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style6.xml" ContentType="application/vnd.ms-office.chartstyle+xml"/>
  <Override PartName="/xl/charts/colors6.xml" ContentType="application/vnd.ms-office.chartcolorstyle+xml"/>
  <Override PartName="/xl/charts/chart1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5.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drawings/drawing6.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pivotTables/pivotTable1.xml" ContentType="application/vnd.openxmlformats-officedocument.spreadsheetml.pivot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Projects\dragon\client\Docs\Progression\"/>
    </mc:Choice>
  </mc:AlternateContent>
  <bookViews>
    <workbookView xWindow="480" yWindow="135" windowWidth="22860" windowHeight="11640" tabRatio="760" activeTab="2"/>
  </bookViews>
  <sheets>
    <sheet name="Help" sheetId="20" r:id="rId1"/>
    <sheet name="Entities" sheetId="12" r:id="rId2"/>
    <sheet name="Dragons" sheetId="3" r:id="rId3"/>
    <sheet name="Prog." sheetId="15" r:id="rId4"/>
    <sheet name="Prog. &quot;Village&quot;" sheetId="8" r:id="rId5"/>
    <sheet name="Prog. &quot;Castle&quot;" sheetId="14" r:id="rId6"/>
    <sheet name="Prog. &quot;Dark&quot;" sheetId="16" r:id="rId7"/>
    <sheet name="PROG. SPAWNERS" sheetId="19" r:id="rId8"/>
    <sheet name="DATA_DRAGONS_CONTENT" sheetId="5" r:id="rId9"/>
    <sheet name="DATA_SCENES_UNITY_1" sheetId="9" r:id="rId10"/>
    <sheet name="DATA_SCENES_UNITY_2" sheetId="13" r:id="rId11"/>
    <sheet name="CheckSpawnersDuplicity" sheetId="17" r:id="rId12"/>
    <sheet name="CheckSpawnersPrefabs" sheetId="21" r:id="rId13"/>
    <sheet name="Entities FPS" sheetId="6" r:id="rId14"/>
  </sheets>
  <functionGroups builtInGroupCount="18"/>
  <calcPr calcId="162913"/>
  <pivotCaches>
    <pivotCache cacheId="0" r:id="rId15"/>
  </pivotCaches>
</workbook>
</file>

<file path=xl/calcChain.xml><?xml version="1.0" encoding="utf-8"?>
<calcChain xmlns="http://schemas.openxmlformats.org/spreadsheetml/2006/main">
  <c r="G192" i="3" l="1"/>
  <c r="G193" i="3"/>
  <c r="G194" i="3"/>
  <c r="G195" i="3"/>
  <c r="G196" i="3"/>
  <c r="G197" i="3" s="1"/>
  <c r="G198" i="3" s="1"/>
  <c r="G199" i="3" s="1"/>
  <c r="G200" i="3" s="1"/>
  <c r="G201" i="3" s="1"/>
  <c r="G202" i="3" s="1"/>
  <c r="G203" i="3" s="1"/>
  <c r="G204" i="3" s="1"/>
  <c r="G205" i="3" s="1"/>
  <c r="G206" i="3" s="1"/>
  <c r="G207" i="3" s="1"/>
  <c r="G208" i="3" s="1"/>
  <c r="G209" i="3" s="1"/>
  <c r="G210" i="3" s="1"/>
  <c r="G211" i="3" s="1"/>
  <c r="G212" i="3" s="1"/>
  <c r="G213" i="3" s="1"/>
  <c r="G214" i="3" s="1"/>
  <c r="G215" i="3" s="1"/>
  <c r="G216" i="3" s="1"/>
  <c r="G217" i="3" s="1"/>
  <c r="G218" i="3" s="1"/>
  <c r="G219" i="3" s="1"/>
  <c r="G220" i="3" s="1"/>
  <c r="G221" i="3" s="1"/>
  <c r="G222" i="3" s="1"/>
  <c r="G223" i="3" s="1"/>
  <c r="G224" i="3" s="1"/>
  <c r="G225" i="3" s="1"/>
  <c r="G226" i="3" s="1"/>
  <c r="G227" i="3" s="1"/>
  <c r="G228" i="3" s="1"/>
  <c r="G229" i="3" s="1"/>
  <c r="G230" i="3" s="1"/>
  <c r="G231" i="3" s="1"/>
  <c r="G232" i="3" s="1"/>
  <c r="G233" i="3" s="1"/>
  <c r="G234" i="3" s="1"/>
  <c r="G235" i="3" s="1"/>
  <c r="G236" i="3" s="1"/>
  <c r="G237" i="3" s="1"/>
  <c r="G238" i="3" s="1"/>
  <c r="G239" i="3" s="1"/>
  <c r="G240" i="3" s="1"/>
  <c r="G241" i="3" s="1"/>
  <c r="G242" i="3" s="1"/>
  <c r="G243" i="3" s="1"/>
  <c r="G244" i="3" s="1"/>
  <c r="G245" i="3" s="1"/>
  <c r="G246" i="3" s="1"/>
  <c r="G247" i="3" s="1"/>
  <c r="G248" i="3" s="1"/>
  <c r="G249" i="3" s="1"/>
  <c r="G250" i="3" s="1"/>
  <c r="G251" i="3" s="1"/>
  <c r="G252" i="3" s="1"/>
  <c r="G253" i="3" s="1"/>
  <c r="G254" i="3" s="1"/>
  <c r="G255" i="3" s="1"/>
  <c r="G256" i="3" s="1"/>
  <c r="G257" i="3" s="1"/>
  <c r="G258" i="3" s="1"/>
  <c r="G259" i="3" s="1"/>
  <c r="G260" i="3" s="1"/>
  <c r="G261" i="3" s="1"/>
  <c r="G262" i="3" s="1"/>
  <c r="G263" i="3" s="1"/>
  <c r="G264" i="3" s="1"/>
  <c r="G265" i="3" s="1"/>
  <c r="G266" i="3" s="1"/>
  <c r="G267" i="3" s="1"/>
  <c r="G268" i="3" s="1"/>
  <c r="G269" i="3" s="1"/>
  <c r="G270" i="3" s="1"/>
  <c r="G271" i="3" s="1"/>
  <c r="G272" i="3" s="1"/>
  <c r="G273" i="3" s="1"/>
  <c r="G274" i="3" s="1"/>
  <c r="G275" i="3" s="1"/>
  <c r="G276" i="3" s="1"/>
  <c r="G277" i="3" s="1"/>
  <c r="G278" i="3" s="1"/>
  <c r="G279" i="3" s="1"/>
  <c r="G280" i="3" s="1"/>
  <c r="G281" i="3" s="1"/>
  <c r="G282" i="3" s="1"/>
  <c r="G283" i="3" s="1"/>
  <c r="G284" i="3" s="1"/>
  <c r="G285" i="3" s="1"/>
  <c r="G286" i="3" s="1"/>
  <c r="G287" i="3" s="1"/>
  <c r="G288" i="3" s="1"/>
  <c r="G289" i="3" s="1"/>
  <c r="G290" i="3" s="1"/>
  <c r="G291" i="3" s="1"/>
  <c r="G292" i="3" s="1"/>
  <c r="G293" i="3" s="1"/>
  <c r="G294" i="3" s="1"/>
  <c r="G295" i="3" s="1"/>
  <c r="G296" i="3" s="1"/>
  <c r="G297" i="3" s="1"/>
  <c r="G298" i="3" s="1"/>
  <c r="G299" i="3" s="1"/>
  <c r="G300" i="3" s="1"/>
  <c r="G301" i="3" s="1"/>
  <c r="G302" i="3" s="1"/>
  <c r="G303" i="3" s="1"/>
  <c r="G304" i="3" s="1"/>
  <c r="G305" i="3" s="1"/>
  <c r="G306" i="3" s="1"/>
  <c r="G307" i="3" s="1"/>
  <c r="G308" i="3" s="1"/>
  <c r="G309" i="3" s="1"/>
  <c r="G310" i="3" s="1"/>
  <c r="G311" i="3" s="1"/>
  <c r="G312" i="3" s="1"/>
  <c r="G313" i="3" s="1"/>
  <c r="G314" i="3" s="1"/>
  <c r="G315" i="3" s="1"/>
  <c r="G316" i="3" s="1"/>
  <c r="G317" i="3" s="1"/>
  <c r="G318" i="3" s="1"/>
  <c r="G319" i="3" s="1"/>
  <c r="G320" i="3" s="1"/>
  <c r="G321" i="3" s="1"/>
  <c r="G322" i="3" s="1"/>
  <c r="G323" i="3" s="1"/>
  <c r="G324" i="3" s="1"/>
  <c r="G325" i="3" s="1"/>
  <c r="G326" i="3" s="1"/>
  <c r="G327" i="3" s="1"/>
  <c r="G328" i="3" s="1"/>
  <c r="G329" i="3" s="1"/>
  <c r="G330" i="3" s="1"/>
  <c r="G331" i="3" s="1"/>
  <c r="G332" i="3" s="1"/>
  <c r="G333" i="3" s="1"/>
  <c r="G334" i="3" s="1"/>
  <c r="G335" i="3" s="1"/>
  <c r="G336" i="3" s="1"/>
  <c r="G337" i="3" s="1"/>
  <c r="G338" i="3" s="1"/>
  <c r="G339" i="3" s="1"/>
  <c r="G340" i="3" s="1"/>
  <c r="G341" i="3" s="1"/>
  <c r="G342" i="3" s="1"/>
  <c r="G343" i="3" s="1"/>
  <c r="G344" i="3" s="1"/>
  <c r="G345" i="3" s="1"/>
  <c r="G346" i="3" s="1"/>
  <c r="G347" i="3" s="1"/>
  <c r="G348" i="3" s="1"/>
  <c r="G349" i="3" s="1"/>
  <c r="G350" i="3" s="1"/>
  <c r="G351" i="3" s="1"/>
  <c r="G352" i="3" s="1"/>
  <c r="G353" i="3" s="1"/>
  <c r="G354" i="3" s="1"/>
  <c r="G355" i="3" s="1"/>
  <c r="G356" i="3" s="1"/>
  <c r="G357" i="3" s="1"/>
  <c r="G358" i="3" s="1"/>
  <c r="G359" i="3" s="1"/>
  <c r="G360" i="3" s="1"/>
  <c r="G361" i="3" s="1"/>
  <c r="G362" i="3" s="1"/>
  <c r="G363" i="3" s="1"/>
  <c r="G364" i="3" s="1"/>
  <c r="G365" i="3" s="1"/>
  <c r="G366" i="3" s="1"/>
  <c r="G367" i="3" s="1"/>
  <c r="G368" i="3" s="1"/>
  <c r="G369" i="3" s="1"/>
  <c r="G370" i="3" s="1"/>
  <c r="G371" i="3" s="1"/>
  <c r="G372" i="3" s="1"/>
  <c r="G373" i="3" s="1"/>
  <c r="G374" i="3" s="1"/>
  <c r="G375" i="3" s="1"/>
  <c r="G376" i="3" s="1"/>
  <c r="G377" i="3" s="1"/>
  <c r="G378" i="3" s="1"/>
  <c r="G379" i="3" s="1"/>
  <c r="G380" i="3" s="1"/>
  <c r="G381" i="3" s="1"/>
  <c r="G382" i="3" s="1"/>
  <c r="G383" i="3" s="1"/>
  <c r="G384" i="3" s="1"/>
  <c r="G385" i="3" s="1"/>
  <c r="G386" i="3" s="1"/>
  <c r="G387" i="3" s="1"/>
  <c r="G388" i="3" s="1"/>
  <c r="G389" i="3" s="1"/>
  <c r="G390" i="3" s="1"/>
  <c r="G391" i="3" s="1"/>
  <c r="G392" i="3" s="1"/>
  <c r="G393" i="3" s="1"/>
  <c r="G394" i="3" s="1"/>
  <c r="G395" i="3" s="1"/>
  <c r="G396" i="3" s="1"/>
  <c r="G397" i="3" s="1"/>
  <c r="G398" i="3" s="1"/>
  <c r="G399" i="3" s="1"/>
  <c r="G400" i="3" s="1"/>
  <c r="G401" i="3" s="1"/>
  <c r="G402" i="3" s="1"/>
  <c r="G403" i="3" s="1"/>
  <c r="G404" i="3" s="1"/>
  <c r="G405" i="3" s="1"/>
  <c r="G406" i="3" s="1"/>
  <c r="G407" i="3" s="1"/>
  <c r="G408" i="3" s="1"/>
  <c r="G409" i="3" s="1"/>
  <c r="G410" i="3" s="1"/>
  <c r="G411" i="3" s="1"/>
  <c r="G412" i="3" s="1"/>
  <c r="G413" i="3" s="1"/>
  <c r="G414" i="3" s="1"/>
  <c r="G415" i="3" s="1"/>
  <c r="G416" i="3" s="1"/>
  <c r="G417" i="3" s="1"/>
  <c r="G418" i="3" s="1"/>
  <c r="G419" i="3" s="1"/>
  <c r="G420" i="3" s="1"/>
  <c r="G421" i="3" s="1"/>
  <c r="G422" i="3" s="1"/>
  <c r="G423" i="3" s="1"/>
  <c r="G424" i="3" s="1"/>
  <c r="G425" i="3" s="1"/>
  <c r="G426" i="3" s="1"/>
  <c r="G427" i="3" s="1"/>
  <c r="G428" i="3" s="1"/>
  <c r="G429" i="3" s="1"/>
  <c r="G430" i="3" s="1"/>
  <c r="G431" i="3" s="1"/>
  <c r="G432" i="3" s="1"/>
  <c r="G433" i="3" s="1"/>
  <c r="G434" i="3" s="1"/>
  <c r="G435" i="3" s="1"/>
  <c r="G436" i="3" s="1"/>
  <c r="G437" i="3" s="1"/>
  <c r="G438" i="3" s="1"/>
  <c r="G439" i="3" s="1"/>
  <c r="G440" i="3" s="1"/>
  <c r="G441" i="3" s="1"/>
  <c r="E192" i="3"/>
  <c r="E193" i="3"/>
  <c r="E194" i="3"/>
  <c r="E195" i="3"/>
  <c r="E196" i="3"/>
  <c r="E197" i="3"/>
  <c r="E198" i="3"/>
  <c r="E199" i="3"/>
  <c r="E200" i="3"/>
  <c r="E201" i="3"/>
  <c r="E202" i="3"/>
  <c r="E203" i="3"/>
  <c r="E204" i="3"/>
  <c r="E205" i="3"/>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E312" i="3"/>
  <c r="E313" i="3"/>
  <c r="E314" i="3"/>
  <c r="E315" i="3"/>
  <c r="E316" i="3"/>
  <c r="E317" i="3"/>
  <c r="E318" i="3"/>
  <c r="E319" i="3"/>
  <c r="E320" i="3"/>
  <c r="E321" i="3"/>
  <c r="E322" i="3"/>
  <c r="E323" i="3"/>
  <c r="E324" i="3"/>
  <c r="E325" i="3"/>
  <c r="E326" i="3"/>
  <c r="E327" i="3"/>
  <c r="E328" i="3"/>
  <c r="E329" i="3"/>
  <c r="E330" i="3"/>
  <c r="E331" i="3"/>
  <c r="E332" i="3"/>
  <c r="E333" i="3"/>
  <c r="E334" i="3"/>
  <c r="E335" i="3"/>
  <c r="E336" i="3"/>
  <c r="E337" i="3"/>
  <c r="E338" i="3"/>
  <c r="E339" i="3"/>
  <c r="E340" i="3"/>
  <c r="E341" i="3"/>
  <c r="E342" i="3"/>
  <c r="E343" i="3"/>
  <c r="E344" i="3"/>
  <c r="E345" i="3"/>
  <c r="E346" i="3"/>
  <c r="E347" i="3"/>
  <c r="E348" i="3"/>
  <c r="E349" i="3"/>
  <c r="E350" i="3"/>
  <c r="E351" i="3"/>
  <c r="E352" i="3"/>
  <c r="E353" i="3"/>
  <c r="E354" i="3"/>
  <c r="E355" i="3"/>
  <c r="E356" i="3"/>
  <c r="E357" i="3"/>
  <c r="E358" i="3"/>
  <c r="E359" i="3"/>
  <c r="E360" i="3"/>
  <c r="E361" i="3"/>
  <c r="E362" i="3"/>
  <c r="E363" i="3"/>
  <c r="E364" i="3"/>
  <c r="E365" i="3"/>
  <c r="E366" i="3"/>
  <c r="E367" i="3"/>
  <c r="E368" i="3"/>
  <c r="E369" i="3"/>
  <c r="E370" i="3"/>
  <c r="E371" i="3"/>
  <c r="E372" i="3"/>
  <c r="E373" i="3"/>
  <c r="E374" i="3"/>
  <c r="E375" i="3"/>
  <c r="E376" i="3"/>
  <c r="E377" i="3"/>
  <c r="E378" i="3"/>
  <c r="E379" i="3"/>
  <c r="E380" i="3"/>
  <c r="E381" i="3"/>
  <c r="E382" i="3"/>
  <c r="E383" i="3"/>
  <c r="E384" i="3"/>
  <c r="E385" i="3"/>
  <c r="E386" i="3"/>
  <c r="E387" i="3"/>
  <c r="E388" i="3"/>
  <c r="E389" i="3"/>
  <c r="E390" i="3"/>
  <c r="E391" i="3"/>
  <c r="E392" i="3"/>
  <c r="E393" i="3"/>
  <c r="E394" i="3"/>
  <c r="E395" i="3"/>
  <c r="E396" i="3"/>
  <c r="E397" i="3"/>
  <c r="E398" i="3"/>
  <c r="E399" i="3"/>
  <c r="E400" i="3"/>
  <c r="E401" i="3"/>
  <c r="E402" i="3"/>
  <c r="E403" i="3"/>
  <c r="E404" i="3"/>
  <c r="E405" i="3"/>
  <c r="E406" i="3"/>
  <c r="E407" i="3"/>
  <c r="E408" i="3"/>
  <c r="E409" i="3"/>
  <c r="E410" i="3"/>
  <c r="E411" i="3"/>
  <c r="E412" i="3"/>
  <c r="E413" i="3"/>
  <c r="E414" i="3"/>
  <c r="E415" i="3"/>
  <c r="E416" i="3"/>
  <c r="E417" i="3"/>
  <c r="E418" i="3"/>
  <c r="E419" i="3"/>
  <c r="E420" i="3"/>
  <c r="E421" i="3"/>
  <c r="E422" i="3"/>
  <c r="E423" i="3"/>
  <c r="E424" i="3"/>
  <c r="E425" i="3"/>
  <c r="E426" i="3"/>
  <c r="E427" i="3"/>
  <c r="E428" i="3"/>
  <c r="E429" i="3"/>
  <c r="E430" i="3"/>
  <c r="E431" i="3"/>
  <c r="E432" i="3"/>
  <c r="E433" i="3"/>
  <c r="E434" i="3"/>
  <c r="E435" i="3"/>
  <c r="E436" i="3"/>
  <c r="E437" i="3"/>
  <c r="E438" i="3"/>
  <c r="E439" i="3"/>
  <c r="E440" i="3"/>
  <c r="E441" i="3"/>
  <c r="C192" i="3"/>
  <c r="C193" i="3"/>
  <c r="C194" i="3"/>
  <c r="C195" i="3" s="1"/>
  <c r="C196" i="3" s="1"/>
  <c r="C197" i="3" s="1"/>
  <c r="C198" i="3" s="1"/>
  <c r="C199" i="3" s="1"/>
  <c r="C200" i="3" s="1"/>
  <c r="C201" i="3" s="1"/>
  <c r="C202" i="3" s="1"/>
  <c r="C203" i="3" s="1"/>
  <c r="C204" i="3" s="1"/>
  <c r="C205" i="3" s="1"/>
  <c r="C206" i="3" s="1"/>
  <c r="C207" i="3" s="1"/>
  <c r="C208" i="3" s="1"/>
  <c r="C209" i="3" s="1"/>
  <c r="C210" i="3" s="1"/>
  <c r="C211" i="3" s="1"/>
  <c r="C212" i="3" s="1"/>
  <c r="C213" i="3" s="1"/>
  <c r="C214" i="3" s="1"/>
  <c r="C215" i="3" s="1"/>
  <c r="C216" i="3" s="1"/>
  <c r="C217" i="3" s="1"/>
  <c r="C218" i="3" s="1"/>
  <c r="C219" i="3" s="1"/>
  <c r="C220" i="3" s="1"/>
  <c r="C221" i="3" s="1"/>
  <c r="C222" i="3" s="1"/>
  <c r="C223" i="3" s="1"/>
  <c r="C224" i="3" s="1"/>
  <c r="C225" i="3" s="1"/>
  <c r="C226" i="3" s="1"/>
  <c r="C227" i="3" s="1"/>
  <c r="C228" i="3" s="1"/>
  <c r="C229" i="3" s="1"/>
  <c r="C230" i="3" s="1"/>
  <c r="C231" i="3" s="1"/>
  <c r="C232" i="3" s="1"/>
  <c r="C233" i="3" s="1"/>
  <c r="C234" i="3" s="1"/>
  <c r="C235" i="3" s="1"/>
  <c r="C236" i="3" s="1"/>
  <c r="C237" i="3" s="1"/>
  <c r="C238" i="3" s="1"/>
  <c r="C239" i="3" s="1"/>
  <c r="C240" i="3" s="1"/>
  <c r="C241" i="3" s="1"/>
  <c r="C242" i="3" s="1"/>
  <c r="C243" i="3" s="1"/>
  <c r="C244" i="3" s="1"/>
  <c r="C245" i="3" s="1"/>
  <c r="C246" i="3" s="1"/>
  <c r="C247" i="3" s="1"/>
  <c r="C248" i="3" s="1"/>
  <c r="C249" i="3" s="1"/>
  <c r="C250" i="3" s="1"/>
  <c r="C251" i="3" s="1"/>
  <c r="C252" i="3" s="1"/>
  <c r="C253" i="3" s="1"/>
  <c r="C254" i="3" s="1"/>
  <c r="C255" i="3" s="1"/>
  <c r="C256" i="3" s="1"/>
  <c r="C257" i="3" s="1"/>
  <c r="C258" i="3" s="1"/>
  <c r="C259" i="3" s="1"/>
  <c r="C260" i="3" s="1"/>
  <c r="C261" i="3" s="1"/>
  <c r="C262" i="3" s="1"/>
  <c r="C263" i="3" s="1"/>
  <c r="C264" i="3" s="1"/>
  <c r="C265" i="3" s="1"/>
  <c r="C266" i="3" s="1"/>
  <c r="C267" i="3" s="1"/>
  <c r="C268" i="3" s="1"/>
  <c r="C269" i="3" s="1"/>
  <c r="C270" i="3" s="1"/>
  <c r="C271" i="3" s="1"/>
  <c r="C272" i="3" s="1"/>
  <c r="C273" i="3" s="1"/>
  <c r="C274" i="3" s="1"/>
  <c r="C275" i="3" s="1"/>
  <c r="C276" i="3" s="1"/>
  <c r="C277" i="3" s="1"/>
  <c r="C278" i="3" s="1"/>
  <c r="C279" i="3" s="1"/>
  <c r="C280" i="3" s="1"/>
  <c r="C281" i="3" s="1"/>
  <c r="C282" i="3" s="1"/>
  <c r="C283" i="3" s="1"/>
  <c r="C284" i="3" s="1"/>
  <c r="C285" i="3" s="1"/>
  <c r="C286" i="3" s="1"/>
  <c r="C287" i="3" s="1"/>
  <c r="C288" i="3" s="1"/>
  <c r="C289" i="3" s="1"/>
  <c r="C290" i="3" s="1"/>
  <c r="C291" i="3" s="1"/>
  <c r="C292" i="3" s="1"/>
  <c r="C293" i="3" s="1"/>
  <c r="C294" i="3" s="1"/>
  <c r="C295" i="3" s="1"/>
  <c r="C296" i="3" s="1"/>
  <c r="C297" i="3" s="1"/>
  <c r="C298" i="3" s="1"/>
  <c r="C299" i="3" s="1"/>
  <c r="C300" i="3" s="1"/>
  <c r="C301" i="3" s="1"/>
  <c r="C302" i="3" s="1"/>
  <c r="C303" i="3" s="1"/>
  <c r="C304" i="3" s="1"/>
  <c r="C305" i="3" s="1"/>
  <c r="C306" i="3" s="1"/>
  <c r="C307" i="3" s="1"/>
  <c r="C308" i="3" s="1"/>
  <c r="C309" i="3" s="1"/>
  <c r="C310" i="3" s="1"/>
  <c r="C311" i="3" s="1"/>
  <c r="C312" i="3" s="1"/>
  <c r="C313" i="3" s="1"/>
  <c r="C314" i="3" s="1"/>
  <c r="C315" i="3" s="1"/>
  <c r="C316" i="3" s="1"/>
  <c r="C317" i="3" s="1"/>
  <c r="C318" i="3" s="1"/>
  <c r="C319" i="3" s="1"/>
  <c r="C320" i="3" s="1"/>
  <c r="C321" i="3" s="1"/>
  <c r="C322" i="3" s="1"/>
  <c r="C323" i="3" s="1"/>
  <c r="C324" i="3" s="1"/>
  <c r="C325" i="3" s="1"/>
  <c r="C326" i="3" s="1"/>
  <c r="C327" i="3" s="1"/>
  <c r="C328" i="3" s="1"/>
  <c r="C329" i="3" s="1"/>
  <c r="C330" i="3" s="1"/>
  <c r="C331" i="3" s="1"/>
  <c r="C332" i="3" s="1"/>
  <c r="C333" i="3" s="1"/>
  <c r="C334" i="3" s="1"/>
  <c r="C335" i="3" s="1"/>
  <c r="C336" i="3" s="1"/>
  <c r="C337" i="3" s="1"/>
  <c r="C338" i="3" s="1"/>
  <c r="C339" i="3" s="1"/>
  <c r="C340" i="3" s="1"/>
  <c r="C341" i="3" s="1"/>
  <c r="C342" i="3" s="1"/>
  <c r="C343" i="3" s="1"/>
  <c r="C344" i="3" s="1"/>
  <c r="C345" i="3" s="1"/>
  <c r="C346" i="3" s="1"/>
  <c r="C347" i="3" s="1"/>
  <c r="C348" i="3" s="1"/>
  <c r="C349" i="3" s="1"/>
  <c r="C350" i="3" s="1"/>
  <c r="C351" i="3" s="1"/>
  <c r="C352" i="3" s="1"/>
  <c r="C353" i="3" s="1"/>
  <c r="C354" i="3" s="1"/>
  <c r="C355" i="3" s="1"/>
  <c r="C356" i="3" s="1"/>
  <c r="C357" i="3" s="1"/>
  <c r="C358" i="3" s="1"/>
  <c r="C359" i="3" s="1"/>
  <c r="C360" i="3" s="1"/>
  <c r="C361" i="3" s="1"/>
  <c r="C362" i="3" s="1"/>
  <c r="C363" i="3" s="1"/>
  <c r="C364" i="3" s="1"/>
  <c r="C365" i="3" s="1"/>
  <c r="C366" i="3" s="1"/>
  <c r="C367" i="3" s="1"/>
  <c r="C368" i="3" s="1"/>
  <c r="C369" i="3" s="1"/>
  <c r="C370" i="3" s="1"/>
  <c r="C371" i="3" s="1"/>
  <c r="C372" i="3" s="1"/>
  <c r="C373" i="3" s="1"/>
  <c r="C374" i="3" s="1"/>
  <c r="C375" i="3" s="1"/>
  <c r="C376" i="3" s="1"/>
  <c r="C377" i="3" s="1"/>
  <c r="C378" i="3" s="1"/>
  <c r="C379" i="3" s="1"/>
  <c r="C380" i="3" s="1"/>
  <c r="C381" i="3" s="1"/>
  <c r="C382" i="3" s="1"/>
  <c r="C383" i="3" s="1"/>
  <c r="C384" i="3" s="1"/>
  <c r="C385" i="3" s="1"/>
  <c r="C386" i="3" s="1"/>
  <c r="C387" i="3" s="1"/>
  <c r="C388" i="3" s="1"/>
  <c r="C389" i="3" s="1"/>
  <c r="C390" i="3" s="1"/>
  <c r="C391" i="3" s="1"/>
  <c r="C392" i="3" s="1"/>
  <c r="C393" i="3" s="1"/>
  <c r="C394" i="3" s="1"/>
  <c r="C395" i="3" s="1"/>
  <c r="C396" i="3" s="1"/>
  <c r="C397" i="3" s="1"/>
  <c r="C398" i="3" s="1"/>
  <c r="C399" i="3" s="1"/>
  <c r="C400" i="3" s="1"/>
  <c r="C401" i="3" s="1"/>
  <c r="C402" i="3" s="1"/>
  <c r="C403" i="3" s="1"/>
  <c r="C404" i="3" s="1"/>
  <c r="C405" i="3" s="1"/>
  <c r="C406" i="3" s="1"/>
  <c r="C407" i="3" s="1"/>
  <c r="C408" i="3" s="1"/>
  <c r="C409" i="3" s="1"/>
  <c r="C410" i="3" s="1"/>
  <c r="C411" i="3" s="1"/>
  <c r="C412" i="3" s="1"/>
  <c r="C413" i="3" s="1"/>
  <c r="C414" i="3" s="1"/>
  <c r="C415" i="3" s="1"/>
  <c r="C416" i="3" s="1"/>
  <c r="C417" i="3" s="1"/>
  <c r="C418" i="3" s="1"/>
  <c r="C419" i="3" s="1"/>
  <c r="C420" i="3" s="1"/>
  <c r="C421" i="3" s="1"/>
  <c r="C422" i="3" s="1"/>
  <c r="C423" i="3" s="1"/>
  <c r="C424" i="3" s="1"/>
  <c r="C425" i="3" s="1"/>
  <c r="C426" i="3" s="1"/>
  <c r="C427" i="3" s="1"/>
  <c r="C428" i="3" s="1"/>
  <c r="C429" i="3" s="1"/>
  <c r="C430" i="3" s="1"/>
  <c r="C431" i="3" s="1"/>
  <c r="C432" i="3" s="1"/>
  <c r="C433" i="3" s="1"/>
  <c r="C434" i="3" s="1"/>
  <c r="C435" i="3" s="1"/>
  <c r="C436" i="3" s="1"/>
  <c r="C437" i="3" s="1"/>
  <c r="C438" i="3" s="1"/>
  <c r="C439" i="3" s="1"/>
  <c r="C440" i="3" s="1"/>
  <c r="C441" i="3" s="1"/>
  <c r="P156" i="3"/>
  <c r="P138" i="3"/>
  <c r="R156" i="3" s="1"/>
  <c r="R138" i="3"/>
  <c r="K138" i="3"/>
  <c r="M138" i="3" s="1"/>
  <c r="L91" i="3"/>
  <c r="M91" i="3" s="1"/>
  <c r="K91" i="3"/>
  <c r="N45" i="3"/>
  <c r="L45" i="3"/>
  <c r="K45" i="3"/>
  <c r="M45" i="3" l="1"/>
  <c r="O45" i="3" s="1"/>
  <c r="L138" i="3"/>
  <c r="U138" i="3" s="1"/>
  <c r="P45" i="3"/>
  <c r="AO8" i="13"/>
  <c r="AO9" i="13"/>
  <c r="AO10" i="13"/>
  <c r="AO11" i="13"/>
  <c r="AO12" i="13"/>
  <c r="AO13" i="13"/>
  <c r="AO14" i="13"/>
  <c r="AO15" i="13"/>
  <c r="AO16" i="13"/>
  <c r="AO17" i="13"/>
  <c r="AO18" i="13"/>
  <c r="AO19" i="13"/>
  <c r="AO20" i="13"/>
  <c r="AO21" i="13"/>
  <c r="AO22" i="13"/>
  <c r="AO23" i="13"/>
  <c r="AO24" i="13"/>
  <c r="AO25" i="13"/>
  <c r="AO26" i="13"/>
  <c r="AO27" i="13"/>
  <c r="AO28" i="13"/>
  <c r="AO29" i="13"/>
  <c r="AO30" i="13"/>
  <c r="AO31" i="13"/>
  <c r="AO32" i="13"/>
  <c r="AO33" i="13"/>
  <c r="AO34" i="13"/>
  <c r="AO35" i="13"/>
  <c r="AO36" i="13"/>
  <c r="AO37" i="13"/>
  <c r="AO38" i="13"/>
  <c r="AO39" i="13"/>
  <c r="AO40" i="13"/>
  <c r="AO41" i="13"/>
  <c r="AO42" i="13"/>
  <c r="AO43" i="13"/>
  <c r="AO44" i="13"/>
  <c r="AO45" i="13"/>
  <c r="AO46" i="13"/>
  <c r="AO47" i="13"/>
  <c r="AO48" i="13"/>
  <c r="AO49" i="13"/>
  <c r="AO50" i="13"/>
  <c r="AO52" i="13"/>
  <c r="AO53" i="13"/>
  <c r="AO54" i="13"/>
  <c r="AO55" i="13"/>
  <c r="AO56" i="13"/>
  <c r="AO57" i="13"/>
  <c r="AO58" i="13"/>
  <c r="AO59" i="13"/>
  <c r="AO60" i="13"/>
  <c r="AO61" i="13"/>
  <c r="AO62" i="13"/>
  <c r="AO63" i="13"/>
  <c r="AO64" i="13"/>
  <c r="AO65" i="13"/>
  <c r="AO66" i="13"/>
  <c r="AO67" i="13"/>
  <c r="AO68" i="13"/>
  <c r="AO69" i="13"/>
  <c r="AO70" i="13"/>
  <c r="AO71" i="13"/>
  <c r="AO72" i="13"/>
  <c r="AO73" i="13"/>
  <c r="AO74" i="13"/>
  <c r="AO75" i="13"/>
  <c r="AO76" i="13"/>
  <c r="AO77" i="13"/>
  <c r="AO78" i="13"/>
  <c r="AO79" i="13"/>
  <c r="AO80" i="13"/>
  <c r="AO81" i="13"/>
  <c r="AO82" i="13"/>
  <c r="AO83" i="13"/>
  <c r="AO84" i="13"/>
  <c r="AO85" i="13"/>
  <c r="AO86" i="13"/>
  <c r="AO87" i="13"/>
  <c r="AO88" i="13"/>
  <c r="AO89" i="13"/>
  <c r="AO90" i="13"/>
  <c r="AO91" i="13"/>
  <c r="AO92" i="13"/>
  <c r="AO93" i="13"/>
  <c r="AO94" i="13"/>
  <c r="AO95" i="13"/>
  <c r="AO96" i="13"/>
  <c r="AO97" i="13"/>
  <c r="AO98" i="13"/>
  <c r="AO100" i="13"/>
  <c r="AO101" i="13"/>
  <c r="AO102" i="13"/>
  <c r="AO103" i="13"/>
  <c r="AO104" i="13"/>
  <c r="AO105" i="13"/>
  <c r="AO106" i="13"/>
  <c r="AO107" i="13"/>
  <c r="AO108" i="13"/>
  <c r="AO109" i="13"/>
  <c r="AO110" i="13"/>
  <c r="AO111" i="13"/>
  <c r="AO112" i="13"/>
  <c r="AO113" i="13"/>
  <c r="AO114" i="13"/>
  <c r="AO115" i="13"/>
  <c r="AO116" i="13"/>
  <c r="AO117" i="13"/>
  <c r="AO118" i="13"/>
  <c r="AO119" i="13"/>
  <c r="AO120" i="13"/>
  <c r="AO121" i="13"/>
  <c r="AO122" i="13"/>
  <c r="AO123" i="13"/>
  <c r="AO124" i="13"/>
  <c r="AO125" i="13"/>
  <c r="AO126" i="13"/>
  <c r="AO127" i="13"/>
  <c r="AO128" i="13"/>
  <c r="AO129" i="13"/>
  <c r="AO130" i="13"/>
  <c r="AO131" i="13"/>
  <c r="AO132" i="13"/>
  <c r="AO133" i="13"/>
  <c r="AO134" i="13"/>
  <c r="AO135" i="13"/>
  <c r="AO136" i="13"/>
  <c r="AO137" i="13"/>
  <c r="AO138" i="13"/>
  <c r="AO139" i="13"/>
  <c r="AO140" i="13"/>
  <c r="AO141" i="13"/>
  <c r="AO142" i="13"/>
  <c r="AO143" i="13"/>
  <c r="AO144" i="13"/>
  <c r="AO146" i="13"/>
  <c r="AO147" i="13"/>
  <c r="AO148" i="13"/>
  <c r="AO150" i="13"/>
  <c r="AO151" i="13"/>
  <c r="AO152" i="13"/>
  <c r="AO153" i="13"/>
  <c r="AO154" i="13"/>
  <c r="AO155" i="13"/>
  <c r="AO156" i="13"/>
  <c r="AO157" i="13"/>
  <c r="AO158" i="13"/>
  <c r="AO159" i="13"/>
  <c r="AO160" i="13"/>
  <c r="AO161" i="13"/>
  <c r="AO162" i="13"/>
  <c r="AO163" i="13"/>
  <c r="AO164" i="13"/>
  <c r="AO165" i="13"/>
  <c r="AO166" i="13"/>
  <c r="AO167" i="13"/>
  <c r="AO168" i="13"/>
  <c r="AO169" i="13"/>
  <c r="AO170" i="13"/>
  <c r="AO171" i="13"/>
  <c r="AO172" i="13"/>
  <c r="AO173" i="13"/>
  <c r="AO174" i="13"/>
  <c r="AO175" i="13"/>
  <c r="AO176" i="13"/>
  <c r="AO177" i="13"/>
  <c r="AO178" i="13"/>
  <c r="AO179" i="13"/>
  <c r="AO180" i="13"/>
  <c r="AO181" i="13"/>
  <c r="AO182" i="13"/>
  <c r="AO183" i="13"/>
  <c r="AO184" i="13"/>
  <c r="AO185" i="13"/>
  <c r="AO186" i="13"/>
  <c r="AO187" i="13"/>
  <c r="AO188" i="13"/>
  <c r="AO189" i="13"/>
  <c r="AO190" i="13"/>
  <c r="AO191" i="13"/>
  <c r="AO192" i="13"/>
  <c r="AO193" i="13"/>
  <c r="AO194" i="13"/>
  <c r="AO195" i="13"/>
  <c r="AO196" i="13"/>
  <c r="AO197" i="13"/>
  <c r="AO198" i="13"/>
  <c r="AO199" i="13"/>
  <c r="AO200" i="13"/>
  <c r="AO201" i="13"/>
  <c r="AO202" i="13"/>
  <c r="AO203" i="13"/>
  <c r="AO204" i="13"/>
  <c r="AO205" i="13"/>
  <c r="AO206" i="13"/>
  <c r="AO207" i="13"/>
  <c r="AO208" i="13"/>
  <c r="AO209" i="13"/>
  <c r="AO210" i="13"/>
  <c r="AO211" i="13"/>
  <c r="AO212" i="13"/>
  <c r="AO213" i="13"/>
  <c r="AO214" i="13"/>
  <c r="AO215" i="13"/>
  <c r="AO216" i="13"/>
  <c r="AO217" i="13"/>
  <c r="AO218" i="13"/>
  <c r="AO219" i="13"/>
  <c r="AO220" i="13"/>
  <c r="AO221" i="13"/>
  <c r="AO222" i="13"/>
  <c r="AO223" i="13"/>
  <c r="AO224" i="13"/>
  <c r="AO225" i="13"/>
  <c r="AO226" i="13"/>
  <c r="AO227" i="13"/>
  <c r="AO228" i="13"/>
  <c r="AO229" i="13"/>
  <c r="AO230" i="13"/>
  <c r="AO231" i="13"/>
  <c r="AO232" i="13"/>
  <c r="AO233" i="13"/>
  <c r="AO234" i="13"/>
  <c r="AO235" i="13"/>
  <c r="AO236" i="13"/>
  <c r="AO237" i="13"/>
  <c r="AO238" i="13"/>
  <c r="AO239" i="13"/>
  <c r="AO240" i="13"/>
  <c r="AO241" i="13"/>
  <c r="AO242" i="13"/>
  <c r="AO243" i="13"/>
  <c r="AO244" i="13"/>
  <c r="AO245" i="13"/>
  <c r="AO246" i="13"/>
  <c r="AO247" i="13"/>
  <c r="AO248" i="13"/>
  <c r="AO249" i="13"/>
  <c r="AO250" i="13"/>
  <c r="AO251" i="13"/>
  <c r="AO252" i="13"/>
  <c r="AO253" i="13"/>
  <c r="AO254" i="13"/>
  <c r="AO255" i="13"/>
  <c r="AO257" i="13"/>
  <c r="AO258" i="13"/>
  <c r="AO259" i="13"/>
  <c r="AO260" i="13"/>
  <c r="AO262" i="13"/>
  <c r="AO263" i="13"/>
  <c r="AO264" i="13"/>
  <c r="AO265" i="13"/>
  <c r="AO266" i="13"/>
  <c r="AO267" i="13"/>
  <c r="AO268" i="13"/>
  <c r="AO269" i="13"/>
  <c r="AO270" i="13"/>
  <c r="AO271" i="13"/>
  <c r="AO272" i="13"/>
  <c r="AO273" i="13"/>
  <c r="AO274" i="13"/>
  <c r="AO275" i="13"/>
  <c r="AO276" i="13"/>
  <c r="AO277" i="13"/>
  <c r="AO278" i="13"/>
  <c r="AO279" i="13"/>
  <c r="AO280" i="13"/>
  <c r="AO281" i="13"/>
  <c r="AO282" i="13"/>
  <c r="AO283" i="13"/>
  <c r="AO284" i="13"/>
  <c r="AO285" i="13"/>
  <c r="AO286" i="13"/>
  <c r="AO287" i="13"/>
  <c r="AO288" i="13"/>
  <c r="AO289" i="13"/>
  <c r="AO290" i="13"/>
  <c r="AO291" i="13"/>
  <c r="AO292" i="13"/>
  <c r="AO293" i="13"/>
  <c r="AO294" i="13"/>
  <c r="AO295" i="13"/>
  <c r="AO296" i="13"/>
  <c r="AO297" i="13"/>
  <c r="AO298" i="13"/>
  <c r="AO299" i="13"/>
  <c r="AO300" i="13"/>
  <c r="AO301" i="13"/>
  <c r="AO302" i="13"/>
  <c r="AO303" i="13"/>
  <c r="AO304" i="13"/>
  <c r="AO305" i="13"/>
  <c r="AO306" i="13"/>
  <c r="AO307" i="13"/>
  <c r="AO308" i="13"/>
  <c r="AO309" i="13"/>
  <c r="AO310" i="13"/>
  <c r="AO311" i="13"/>
  <c r="AO312" i="13"/>
  <c r="AO314" i="13"/>
  <c r="AO315" i="13"/>
  <c r="AO316" i="13"/>
  <c r="AO317" i="13"/>
  <c r="AO318" i="13"/>
  <c r="AO319" i="13"/>
  <c r="AO320" i="13"/>
  <c r="AO321" i="13"/>
  <c r="AO322" i="13"/>
  <c r="AO323" i="13"/>
  <c r="AO324" i="13"/>
  <c r="AO325" i="13"/>
  <c r="AO326" i="13"/>
  <c r="AO327" i="13"/>
  <c r="AO328" i="13"/>
  <c r="AO329" i="13"/>
  <c r="AO330" i="13"/>
  <c r="AO331" i="13"/>
  <c r="AO332" i="13"/>
  <c r="AO333" i="13"/>
  <c r="AO334" i="13"/>
  <c r="AO335" i="13"/>
  <c r="AO336" i="13"/>
  <c r="AO337" i="13"/>
  <c r="AO338" i="13"/>
  <c r="AO339" i="13"/>
  <c r="AO340" i="13"/>
  <c r="AO342" i="13"/>
  <c r="AO343" i="13"/>
  <c r="AO344" i="13"/>
  <c r="AO345" i="13"/>
  <c r="AO346" i="13"/>
  <c r="AO347" i="13"/>
  <c r="AO348" i="13"/>
  <c r="AO349" i="13"/>
  <c r="AO350" i="13"/>
  <c r="AO351" i="13"/>
  <c r="AO352" i="13"/>
  <c r="AO353" i="13"/>
  <c r="AO354" i="13"/>
  <c r="AO355" i="13"/>
  <c r="AO356" i="13"/>
  <c r="AO357" i="13"/>
  <c r="AO358" i="13"/>
  <c r="AO359" i="13"/>
  <c r="AO360" i="13"/>
  <c r="AO361" i="13"/>
  <c r="AO362" i="13"/>
  <c r="AO363" i="13"/>
  <c r="AO364" i="13"/>
  <c r="AO365" i="13"/>
  <c r="AO366" i="13"/>
  <c r="AO367" i="13"/>
  <c r="AO368" i="13"/>
  <c r="AO369" i="13"/>
  <c r="AO370" i="13"/>
  <c r="AO371" i="13"/>
  <c r="AO372" i="13"/>
  <c r="AO373" i="13"/>
  <c r="AO374" i="13"/>
  <c r="AO375" i="13"/>
  <c r="AO376" i="13"/>
  <c r="AO377" i="13"/>
  <c r="AO378" i="13"/>
  <c r="AO379" i="13"/>
  <c r="AO380" i="13"/>
  <c r="AO381" i="13"/>
  <c r="AO382" i="13"/>
  <c r="AO383" i="13"/>
  <c r="AO384" i="13"/>
  <c r="AO385" i="13"/>
  <c r="AO386" i="13"/>
  <c r="AO387" i="13"/>
  <c r="AO388" i="13"/>
  <c r="AO389" i="13"/>
  <c r="AO390" i="13"/>
  <c r="AO391" i="13"/>
  <c r="AO392" i="13"/>
  <c r="AO393" i="13"/>
  <c r="AO394" i="13"/>
  <c r="AO395" i="13"/>
  <c r="AO396" i="13"/>
  <c r="AO397" i="13"/>
  <c r="AO398" i="13"/>
  <c r="AO399" i="13"/>
  <c r="AO400" i="13"/>
  <c r="AO401" i="13"/>
  <c r="AO402" i="13"/>
  <c r="AO403" i="13"/>
  <c r="AO404" i="13"/>
  <c r="AO405" i="13"/>
  <c r="AO406" i="13"/>
  <c r="AO407" i="13"/>
  <c r="AO408" i="13"/>
  <c r="AO409" i="13"/>
  <c r="AO410" i="13"/>
  <c r="AO411" i="13"/>
  <c r="AO412" i="13"/>
  <c r="AO413" i="13"/>
  <c r="AO414" i="13"/>
  <c r="AO415" i="13"/>
  <c r="AO416" i="13"/>
  <c r="AO417" i="13"/>
  <c r="AO418" i="13"/>
  <c r="AO419" i="13"/>
  <c r="AO420" i="13"/>
  <c r="AO421" i="13"/>
  <c r="AO422" i="13"/>
  <c r="AO423" i="13"/>
  <c r="AO424" i="13"/>
  <c r="AO425" i="13"/>
  <c r="AO426" i="13"/>
  <c r="AO427" i="13"/>
  <c r="AO428" i="13"/>
  <c r="AO429" i="13"/>
  <c r="AO430" i="13"/>
  <c r="AO431" i="13"/>
  <c r="AO432" i="13"/>
  <c r="AO433" i="13"/>
  <c r="AO434" i="13"/>
  <c r="AO435" i="13"/>
  <c r="AO436" i="13"/>
  <c r="AO437" i="13"/>
  <c r="AO438" i="13"/>
  <c r="AO439" i="13"/>
  <c r="AO440" i="13"/>
  <c r="AO442" i="13"/>
  <c r="AO443" i="13"/>
  <c r="AO444" i="13"/>
  <c r="AO445" i="13"/>
  <c r="AO446" i="13"/>
  <c r="AO447" i="13"/>
  <c r="AO448" i="13"/>
  <c r="AO449" i="13"/>
  <c r="AO450" i="13"/>
  <c r="AO451" i="13"/>
  <c r="AO452" i="13"/>
  <c r="AO453" i="13"/>
  <c r="AO454" i="13"/>
  <c r="AO455" i="13"/>
  <c r="AO456" i="13"/>
  <c r="AO457" i="13"/>
  <c r="AO458" i="13"/>
  <c r="AO459" i="13"/>
  <c r="AO460" i="13"/>
  <c r="AO461" i="13"/>
  <c r="AO462" i="13"/>
  <c r="AO463" i="13"/>
  <c r="AO464" i="13"/>
  <c r="AO465" i="13"/>
  <c r="AO466" i="13"/>
  <c r="AO467" i="13"/>
  <c r="AO468" i="13"/>
  <c r="AO469" i="13"/>
  <c r="AO470" i="13"/>
  <c r="AO471" i="13"/>
  <c r="AO472" i="13"/>
  <c r="AO473" i="13"/>
  <c r="AO474" i="13"/>
  <c r="AO475" i="13"/>
  <c r="AO476" i="13"/>
  <c r="AO477" i="13"/>
  <c r="AO479" i="13"/>
  <c r="AO481" i="13"/>
  <c r="AO482" i="13"/>
  <c r="AO483" i="13"/>
  <c r="AO484" i="13"/>
  <c r="AO485" i="13"/>
  <c r="AO486" i="13"/>
  <c r="AO487" i="13"/>
  <c r="AO488" i="13"/>
  <c r="AO489" i="13"/>
  <c r="AO490" i="13"/>
  <c r="AO491" i="13"/>
  <c r="AO492" i="13"/>
  <c r="AO493" i="13"/>
  <c r="AO494" i="13"/>
  <c r="AO495" i="13"/>
  <c r="AO496" i="13"/>
  <c r="AO497" i="13"/>
  <c r="AO498" i="13"/>
  <c r="AO499" i="13"/>
  <c r="AO500" i="13"/>
  <c r="AO501" i="13"/>
  <c r="AO502" i="13"/>
  <c r="AO503" i="13"/>
  <c r="AO504" i="13"/>
  <c r="AO505" i="13"/>
  <c r="AO506" i="13"/>
  <c r="AO507" i="13"/>
  <c r="AO508" i="13"/>
  <c r="AO509" i="13"/>
  <c r="AO510" i="13"/>
  <c r="AO511" i="13"/>
  <c r="AO512" i="13"/>
  <c r="AO513" i="13"/>
  <c r="AO514" i="13"/>
  <c r="AO515" i="13"/>
  <c r="AO516" i="13"/>
  <c r="AO517" i="13"/>
  <c r="AO518" i="13"/>
  <c r="AO519" i="13"/>
  <c r="AO520" i="13"/>
  <c r="AO521" i="13"/>
  <c r="AO522" i="13"/>
  <c r="AO523" i="13"/>
  <c r="AO524" i="13"/>
  <c r="AO525" i="13"/>
  <c r="AO526" i="13"/>
  <c r="AO527" i="13"/>
  <c r="AO528" i="13"/>
  <c r="AO529" i="13"/>
  <c r="AO530" i="13"/>
  <c r="AO531" i="13"/>
  <c r="AO532" i="13"/>
  <c r="AO533" i="13"/>
  <c r="AO534" i="13"/>
  <c r="AO535" i="13"/>
  <c r="AO536" i="13"/>
  <c r="AO537" i="13"/>
  <c r="AO538" i="13"/>
  <c r="AO539" i="13"/>
  <c r="AO540" i="13"/>
  <c r="AO541" i="13"/>
  <c r="AO542" i="13"/>
  <c r="AO543" i="13"/>
  <c r="AO544" i="13"/>
  <c r="AO545" i="13"/>
  <c r="AO546" i="13"/>
  <c r="AO548" i="13"/>
  <c r="AO549" i="13"/>
  <c r="AO550" i="13"/>
  <c r="AO551" i="13"/>
  <c r="AO552" i="13"/>
  <c r="AO553" i="13"/>
  <c r="AO554" i="13"/>
  <c r="AO555" i="13"/>
  <c r="AO556" i="13"/>
  <c r="AO557" i="13"/>
  <c r="AO558" i="13"/>
  <c r="AO559" i="13"/>
  <c r="AO560" i="13"/>
  <c r="AO561" i="13"/>
  <c r="AO562" i="13"/>
  <c r="AO563" i="13"/>
  <c r="AO564" i="13"/>
  <c r="AO565" i="13"/>
  <c r="AO566" i="13"/>
  <c r="AO567" i="13"/>
  <c r="AO568" i="13"/>
  <c r="AO569" i="13"/>
  <c r="AO570" i="13"/>
  <c r="AO571" i="13"/>
  <c r="AO572" i="13"/>
  <c r="AO573" i="13"/>
  <c r="AO574" i="13"/>
  <c r="AO575" i="13"/>
  <c r="AO576" i="13"/>
  <c r="AO577" i="13"/>
  <c r="AO578" i="13"/>
  <c r="AO579" i="13"/>
  <c r="AO580" i="13"/>
  <c r="AO581" i="13"/>
  <c r="AO582" i="13"/>
  <c r="AO583" i="13"/>
  <c r="AO584" i="13"/>
  <c r="AO585" i="13"/>
  <c r="AO586" i="13"/>
  <c r="AO587" i="13"/>
  <c r="AO588" i="13"/>
  <c r="AO589" i="13"/>
  <c r="AO591" i="13"/>
  <c r="AO592" i="13"/>
  <c r="AO593" i="13"/>
  <c r="AO594" i="13"/>
  <c r="AO595" i="13"/>
  <c r="AO596" i="13"/>
  <c r="AO597" i="13"/>
  <c r="AO598" i="13"/>
  <c r="AO599" i="13"/>
  <c r="AO600" i="13"/>
  <c r="AO601" i="13"/>
  <c r="AO602" i="13"/>
  <c r="AO603" i="13"/>
  <c r="AO604" i="13"/>
  <c r="AO605" i="13"/>
  <c r="AO606" i="13"/>
  <c r="AO607" i="13"/>
  <c r="AO608" i="13"/>
  <c r="AO609" i="13"/>
  <c r="AO610" i="13"/>
  <c r="AO611" i="13"/>
  <c r="AO612" i="13"/>
  <c r="AO613" i="13"/>
  <c r="AO614" i="13"/>
  <c r="AO615" i="13"/>
  <c r="AO616" i="13"/>
  <c r="AO617" i="13"/>
  <c r="AO618" i="13"/>
  <c r="AO619" i="13"/>
  <c r="AO620" i="13"/>
  <c r="AO621" i="13"/>
  <c r="AO622" i="13"/>
  <c r="AO623" i="13"/>
  <c r="AO624" i="13"/>
  <c r="AO625" i="13"/>
  <c r="AO626" i="13"/>
  <c r="AO627" i="13"/>
  <c r="AO628" i="13"/>
  <c r="AO629" i="13"/>
  <c r="AO630" i="13"/>
  <c r="AO631" i="13"/>
  <c r="AO632" i="13"/>
  <c r="AO633" i="13"/>
  <c r="AO634" i="13"/>
  <c r="AO635" i="13"/>
  <c r="AO636" i="13"/>
  <c r="AO637" i="13"/>
  <c r="AO638" i="13"/>
  <c r="AO639" i="13"/>
  <c r="AO640" i="13"/>
  <c r="AO641" i="13"/>
  <c r="AO642" i="13"/>
  <c r="AO643" i="13"/>
  <c r="AO644" i="13"/>
  <c r="AO645" i="13"/>
  <c r="AO646" i="13"/>
  <c r="AO647" i="13"/>
  <c r="AO649" i="13"/>
  <c r="AO650" i="13"/>
  <c r="AO651" i="13"/>
  <c r="AO652" i="13"/>
  <c r="AO653" i="13"/>
  <c r="AO654" i="13"/>
  <c r="AO655" i="13"/>
  <c r="AO656" i="13"/>
  <c r="AO658" i="13"/>
  <c r="AO659" i="13"/>
  <c r="AO660" i="13"/>
  <c r="AO661" i="13"/>
  <c r="AO662" i="13"/>
  <c r="AO663" i="13"/>
  <c r="AO664" i="13"/>
  <c r="AO665" i="13"/>
  <c r="AO666" i="13"/>
  <c r="AO667" i="13"/>
  <c r="AO668" i="13"/>
  <c r="AO669" i="13"/>
  <c r="AO670" i="13"/>
  <c r="AO671" i="13"/>
  <c r="AO672" i="13"/>
  <c r="AO673" i="13"/>
  <c r="AO674" i="13"/>
  <c r="AO676" i="13"/>
  <c r="AO677" i="13"/>
  <c r="AO678" i="13"/>
  <c r="AO679" i="13"/>
  <c r="AO680" i="13"/>
  <c r="AO681" i="13"/>
  <c r="AO682" i="13"/>
  <c r="AO684" i="13"/>
  <c r="AO685" i="13"/>
  <c r="AO686" i="13"/>
  <c r="AO687" i="13"/>
  <c r="AO688" i="13"/>
  <c r="AO689" i="13"/>
  <c r="AO690" i="13"/>
  <c r="AO691" i="13"/>
  <c r="AO692" i="13"/>
  <c r="AO693" i="13"/>
  <c r="AO694" i="13"/>
  <c r="AO695" i="13"/>
  <c r="AO696" i="13"/>
  <c r="AO697" i="13"/>
  <c r="AO698" i="13"/>
  <c r="AO699" i="13"/>
  <c r="AO700" i="13"/>
  <c r="AO701" i="13"/>
  <c r="AO702" i="13"/>
  <c r="AO703" i="13"/>
  <c r="AO704" i="13"/>
  <c r="AO706" i="13"/>
  <c r="AO708" i="13"/>
  <c r="AO709" i="13"/>
  <c r="AO710" i="13"/>
  <c r="AO711" i="13"/>
  <c r="AO712" i="13"/>
  <c r="AO713" i="13"/>
  <c r="AO714" i="13"/>
  <c r="AO715" i="13"/>
  <c r="AO716" i="13"/>
  <c r="AO717" i="13"/>
  <c r="AO718" i="13"/>
  <c r="AO719" i="13"/>
  <c r="AO720" i="13"/>
  <c r="AO721" i="13"/>
  <c r="AO722" i="13"/>
  <c r="AO723" i="13"/>
  <c r="AO724" i="13"/>
  <c r="AO725" i="13"/>
  <c r="AO726" i="13"/>
  <c r="AO727" i="13"/>
  <c r="AO728" i="13"/>
  <c r="AO729" i="13"/>
  <c r="AO730" i="13"/>
  <c r="AO731" i="13"/>
  <c r="AO732" i="13"/>
  <c r="AO733" i="13"/>
  <c r="AO734" i="13"/>
  <c r="AO735" i="13"/>
  <c r="AO736" i="13"/>
  <c r="AO737" i="13"/>
  <c r="AO738" i="13"/>
  <c r="AO739" i="13"/>
  <c r="AO741" i="13"/>
  <c r="AO742" i="13"/>
  <c r="AO743" i="13"/>
  <c r="AO744" i="13"/>
  <c r="AO745" i="13"/>
  <c r="AO746" i="13"/>
  <c r="AO747" i="13"/>
  <c r="AO748" i="13"/>
  <c r="AO749" i="13"/>
  <c r="AO750" i="13"/>
  <c r="AO751" i="13"/>
  <c r="AO752" i="13"/>
  <c r="AO753" i="13"/>
  <c r="AO754" i="13"/>
  <c r="AO755" i="13"/>
  <c r="AO756" i="13"/>
  <c r="AO757" i="13"/>
  <c r="AO758" i="13"/>
  <c r="AO759" i="13"/>
  <c r="AO760" i="13"/>
  <c r="AO761" i="13"/>
  <c r="AO762" i="13"/>
  <c r="AO763" i="13"/>
  <c r="AO764" i="13"/>
  <c r="AO765" i="13"/>
  <c r="AO766" i="13"/>
  <c r="AO767" i="13"/>
  <c r="AO768" i="13"/>
  <c r="AO769" i="13"/>
  <c r="AO770" i="13"/>
  <c r="AO771" i="13"/>
  <c r="AO772" i="13"/>
  <c r="AO773" i="13"/>
  <c r="AO774" i="13"/>
  <c r="AO775" i="13"/>
  <c r="AO776" i="13"/>
  <c r="AO777" i="13"/>
  <c r="AO778" i="13"/>
  <c r="AO779" i="13"/>
  <c r="AO780" i="13"/>
  <c r="AO781" i="13"/>
  <c r="AO782" i="13"/>
  <c r="AO783" i="13"/>
  <c r="AO784" i="13"/>
  <c r="AO785" i="13"/>
  <c r="AO786" i="13"/>
  <c r="AO787" i="13"/>
  <c r="AO788" i="13"/>
  <c r="AO789" i="13"/>
  <c r="AO790" i="13"/>
  <c r="AO791" i="13"/>
  <c r="AO792" i="13"/>
  <c r="AO793" i="13"/>
  <c r="AO794" i="13"/>
  <c r="AO795" i="13"/>
  <c r="AO796" i="13"/>
  <c r="AO797" i="13"/>
  <c r="AO798" i="13"/>
  <c r="AO799" i="13"/>
  <c r="AO800" i="13"/>
  <c r="AO801" i="13"/>
  <c r="AO802" i="13"/>
  <c r="AO803" i="13"/>
  <c r="AO804" i="13"/>
  <c r="AO805" i="13"/>
  <c r="AO806" i="13"/>
  <c r="AO807" i="13"/>
  <c r="AO808" i="13"/>
  <c r="AO809" i="13"/>
  <c r="AO810" i="13"/>
  <c r="AO811" i="13"/>
  <c r="AO812" i="13"/>
  <c r="AO814" i="13"/>
  <c r="AO815" i="13"/>
  <c r="AO816" i="13"/>
  <c r="AO817" i="13"/>
  <c r="AO818" i="13"/>
  <c r="AO819" i="13"/>
  <c r="AO820" i="13"/>
  <c r="AO821" i="13"/>
  <c r="AO822" i="13"/>
  <c r="AO823" i="13"/>
  <c r="AO824" i="13"/>
  <c r="AO825" i="13"/>
  <c r="AO826" i="13"/>
  <c r="AO827" i="13"/>
  <c r="AO828" i="13"/>
  <c r="AO829" i="13"/>
  <c r="AO830" i="13"/>
  <c r="AO831" i="13"/>
  <c r="AO832" i="13"/>
  <c r="AO833" i="13"/>
  <c r="AO834" i="13"/>
  <c r="AO835" i="13"/>
  <c r="AO836" i="13"/>
  <c r="AO837" i="13"/>
  <c r="AO838" i="13"/>
  <c r="AO839" i="13"/>
  <c r="AO840" i="13"/>
  <c r="AO841" i="13"/>
  <c r="AO842" i="13"/>
  <c r="AO843" i="13"/>
  <c r="AO844" i="13"/>
  <c r="AO845" i="13"/>
  <c r="AO846" i="13"/>
  <c r="AO847" i="13"/>
  <c r="AO848" i="13"/>
  <c r="AO849" i="13"/>
  <c r="AO850" i="13"/>
  <c r="AO851" i="13"/>
  <c r="AO852" i="13"/>
  <c r="AO853" i="13"/>
  <c r="AO854" i="13"/>
  <c r="AO855" i="13"/>
  <c r="AO856" i="13"/>
  <c r="AO857" i="13"/>
  <c r="AO858" i="13"/>
  <c r="AO859" i="13"/>
  <c r="AO860" i="13"/>
  <c r="AO861" i="13"/>
  <c r="AO862" i="13"/>
  <c r="AO863" i="13"/>
  <c r="AO864" i="13"/>
  <c r="AO865" i="13"/>
  <c r="AO866" i="13"/>
  <c r="AO867" i="13"/>
  <c r="AO868" i="13"/>
  <c r="AO869" i="13"/>
  <c r="AO870" i="13"/>
  <c r="AO871" i="13"/>
  <c r="AO872" i="13"/>
  <c r="AO873" i="13"/>
  <c r="AO874" i="13"/>
  <c r="AO875" i="13"/>
  <c r="AO877" i="13"/>
  <c r="AO878" i="13"/>
  <c r="AO879" i="13"/>
  <c r="AO880" i="13"/>
  <c r="AO881" i="13"/>
  <c r="AO882" i="13"/>
  <c r="AO883" i="13"/>
  <c r="AO885" i="13"/>
  <c r="AO886" i="13"/>
  <c r="AO887" i="13"/>
  <c r="AO888" i="13"/>
  <c r="AO889" i="13"/>
  <c r="AO890" i="13"/>
  <c r="AO891" i="13"/>
  <c r="AO892" i="13"/>
  <c r="AO893" i="13"/>
  <c r="AO895" i="13"/>
  <c r="AO896" i="13"/>
  <c r="AO897" i="13"/>
  <c r="AO898" i="13"/>
  <c r="AO899" i="13"/>
  <c r="AO900" i="13"/>
  <c r="AO901" i="13"/>
  <c r="AO902" i="13"/>
  <c r="AO903" i="13"/>
  <c r="AO904" i="13"/>
  <c r="AO905" i="13"/>
  <c r="AO906" i="13"/>
  <c r="AO907" i="13"/>
  <c r="AO908" i="13"/>
  <c r="AO909" i="13"/>
  <c r="AO910" i="13"/>
  <c r="AO911" i="13"/>
  <c r="AO912" i="13"/>
  <c r="AO913" i="13"/>
  <c r="AO914" i="13"/>
  <c r="AO915" i="13"/>
  <c r="AO916" i="13"/>
  <c r="AO917" i="13"/>
  <c r="AO918" i="13"/>
  <c r="AO919" i="13"/>
  <c r="AO920" i="13"/>
  <c r="AO921" i="13"/>
  <c r="AO922" i="13"/>
  <c r="AO923" i="13"/>
  <c r="AO924" i="13"/>
  <c r="AO925" i="13"/>
  <c r="AO926" i="13"/>
  <c r="AO927" i="13"/>
  <c r="AO928" i="13"/>
  <c r="AO929" i="13"/>
  <c r="AO930" i="13"/>
  <c r="AO931" i="13"/>
  <c r="AO932" i="13"/>
  <c r="AO933" i="13"/>
  <c r="AO935" i="13"/>
  <c r="AO936" i="13"/>
  <c r="AO937" i="13"/>
  <c r="AO938" i="13"/>
  <c r="AO939" i="13"/>
  <c r="AO940" i="13"/>
  <c r="AO941" i="13"/>
  <c r="AO942" i="13"/>
  <c r="AO943" i="13"/>
  <c r="AO944" i="13"/>
  <c r="AO945" i="13"/>
  <c r="AO946" i="13"/>
  <c r="AO947" i="13"/>
  <c r="AO948" i="13"/>
  <c r="AO949" i="13"/>
  <c r="AO950" i="13"/>
  <c r="AO951" i="13"/>
  <c r="AO952" i="13"/>
  <c r="AO953" i="13"/>
  <c r="AO954" i="13"/>
  <c r="AO955" i="13"/>
  <c r="AO956" i="13"/>
  <c r="AO957" i="13"/>
  <c r="AO958" i="13"/>
  <c r="AO959" i="13"/>
  <c r="AO960" i="13"/>
  <c r="AO961" i="13"/>
  <c r="AO962" i="13"/>
  <c r="AO963" i="13"/>
  <c r="AO964" i="13"/>
  <c r="AO965" i="13"/>
  <c r="AO966" i="13"/>
  <c r="AO967" i="13"/>
  <c r="AO968" i="13"/>
  <c r="AO969" i="13"/>
  <c r="AO970" i="13"/>
  <c r="AO971" i="13"/>
  <c r="AO972" i="13"/>
  <c r="AO973" i="13"/>
  <c r="AO974" i="13"/>
  <c r="AO975" i="13"/>
  <c r="AO978" i="13"/>
  <c r="AO979" i="13"/>
  <c r="AO980" i="13"/>
  <c r="AO981" i="13"/>
  <c r="AO982" i="13"/>
  <c r="AO983" i="13"/>
  <c r="AO984" i="13"/>
  <c r="AO985" i="13"/>
  <c r="AO986" i="13"/>
  <c r="AO987" i="13"/>
  <c r="AO988" i="13"/>
  <c r="AO989" i="13"/>
  <c r="AO990" i="13"/>
  <c r="AO991" i="13"/>
  <c r="AO992" i="13"/>
  <c r="AO993" i="13"/>
  <c r="AO994" i="13"/>
  <c r="AO995" i="13"/>
  <c r="AO996" i="13"/>
  <c r="AO997" i="13"/>
  <c r="AO998" i="13"/>
  <c r="AO999" i="13"/>
  <c r="AO1000" i="13"/>
  <c r="AO1001" i="13"/>
  <c r="AO1002" i="13"/>
  <c r="AO1003" i="13"/>
  <c r="AO1004" i="13"/>
  <c r="AO1005" i="13"/>
  <c r="AO1006" i="13"/>
  <c r="AO1007" i="13"/>
  <c r="AO1008" i="13"/>
  <c r="AO1009" i="13"/>
  <c r="AO1010" i="13"/>
  <c r="AO1011" i="13"/>
  <c r="AO1012" i="13"/>
  <c r="AO1013" i="13"/>
  <c r="AO1014" i="13"/>
  <c r="AO1015" i="13"/>
  <c r="AO1016" i="13"/>
  <c r="AO1017" i="13"/>
  <c r="AO1018" i="13"/>
  <c r="AO1019" i="13"/>
  <c r="AO1020" i="13"/>
  <c r="AO1021" i="13"/>
  <c r="AO1022" i="13"/>
  <c r="AO1023" i="13"/>
  <c r="AO1024" i="13"/>
  <c r="AO1025" i="13"/>
  <c r="AO1026" i="13"/>
  <c r="AO1027" i="13"/>
  <c r="AO1028" i="13"/>
  <c r="AO1029" i="13"/>
  <c r="AO1030" i="13"/>
  <c r="AO1031" i="13"/>
  <c r="AO1032" i="13"/>
  <c r="AO1033" i="13"/>
  <c r="AO1034" i="13"/>
  <c r="AO1035" i="13"/>
  <c r="AO1036" i="13"/>
  <c r="AO1037" i="13"/>
  <c r="AO1039" i="13"/>
  <c r="AO1040" i="13"/>
  <c r="AO1041" i="13"/>
  <c r="AO1042" i="13"/>
  <c r="AO1043" i="13"/>
  <c r="AO1044" i="13"/>
  <c r="AO1045" i="13"/>
  <c r="AO1046" i="13"/>
  <c r="AO1047" i="13"/>
  <c r="AO1048" i="13"/>
  <c r="AO1049" i="13"/>
  <c r="AO1050" i="13"/>
  <c r="AO1051" i="13"/>
  <c r="AO1052" i="13"/>
  <c r="AO1053" i="13"/>
  <c r="AO1054" i="13"/>
  <c r="AO1055" i="13"/>
  <c r="AO1056" i="13"/>
  <c r="AO1057" i="13"/>
  <c r="AO1058" i="13"/>
  <c r="AO1059" i="13"/>
  <c r="AO1060" i="13"/>
  <c r="AO1061" i="13"/>
  <c r="AO1062" i="13"/>
  <c r="AO1063" i="13"/>
  <c r="AO1064" i="13"/>
  <c r="AO1065" i="13"/>
  <c r="AO1066" i="13"/>
  <c r="AO1067" i="13"/>
  <c r="AO1068" i="13"/>
  <c r="AO1069" i="13"/>
  <c r="AO1070" i="13"/>
  <c r="AO1071" i="13"/>
  <c r="AO1072" i="13"/>
  <c r="AO1073" i="13"/>
  <c r="AO1074" i="13"/>
  <c r="AO1075" i="13"/>
  <c r="AO1076" i="13"/>
  <c r="AO1077" i="13"/>
  <c r="AO1078" i="13"/>
  <c r="AO1079" i="13"/>
  <c r="AO1080" i="13"/>
  <c r="AO1081" i="13"/>
  <c r="AO1082" i="13"/>
  <c r="AO1083" i="13"/>
  <c r="AO1084" i="13"/>
  <c r="AO1085" i="13"/>
  <c r="AO1086" i="13"/>
  <c r="AO1087" i="13"/>
  <c r="AO1088" i="13"/>
  <c r="AO1089" i="13"/>
  <c r="AO1090" i="13"/>
  <c r="AO1091" i="13"/>
  <c r="AO1092" i="13"/>
  <c r="AO1093" i="13"/>
  <c r="AO1094" i="13"/>
  <c r="AO1095" i="13"/>
  <c r="AO1096" i="13"/>
  <c r="AO1097" i="13"/>
  <c r="AO1098" i="13"/>
  <c r="AO1099" i="13"/>
  <c r="AO1100" i="13"/>
  <c r="AO1101" i="13"/>
  <c r="AO1102" i="13"/>
  <c r="AO1103" i="13"/>
  <c r="AO1104" i="13"/>
  <c r="AO1105" i="13"/>
  <c r="AO1106" i="13"/>
  <c r="AO1107" i="13"/>
  <c r="AO1108" i="13"/>
  <c r="AO1109" i="13"/>
  <c r="AO1110" i="13"/>
  <c r="AO1111" i="13"/>
  <c r="AO1112" i="13"/>
  <c r="AO1113" i="13"/>
  <c r="AO1114" i="13"/>
  <c r="AO1115" i="13"/>
  <c r="AO1116" i="13"/>
  <c r="AO1117" i="13"/>
  <c r="AO1118" i="13"/>
  <c r="AO1119" i="13"/>
  <c r="AO1120" i="13"/>
  <c r="AO1121" i="13"/>
  <c r="AO1122" i="13"/>
  <c r="AO1123" i="13"/>
  <c r="AO1124" i="13"/>
  <c r="AO1125" i="13"/>
  <c r="AO1126" i="13"/>
  <c r="AO1127" i="13"/>
  <c r="AO1128" i="13"/>
  <c r="AO1129" i="13"/>
  <c r="AO1130" i="13"/>
  <c r="AO1131" i="13"/>
  <c r="AO1132" i="13"/>
  <c r="AO1133" i="13"/>
  <c r="AO1134" i="13"/>
  <c r="AO1135" i="13"/>
  <c r="AO1136" i="13"/>
  <c r="AO1137" i="13"/>
  <c r="AO1138" i="13"/>
  <c r="AO1139" i="13"/>
  <c r="AO1140" i="13"/>
  <c r="AO1141" i="13"/>
  <c r="AO1142" i="13"/>
  <c r="AO1143" i="13"/>
  <c r="AO1144" i="13"/>
  <c r="AO1145" i="13"/>
  <c r="AO1146" i="13"/>
  <c r="AO1147" i="13"/>
  <c r="AO1148" i="13"/>
  <c r="AO1149" i="13"/>
  <c r="AO1150" i="13"/>
  <c r="AO1151" i="13"/>
  <c r="AO1152" i="13"/>
  <c r="AO1153" i="13"/>
  <c r="AO1154" i="13"/>
  <c r="AO1155" i="13"/>
  <c r="AO1156" i="13"/>
  <c r="AO1157" i="13"/>
  <c r="AO1158" i="13"/>
  <c r="AO1159" i="13"/>
  <c r="AO1160" i="13"/>
  <c r="AO1161" i="13"/>
  <c r="AO1162" i="13"/>
  <c r="Y8" i="13"/>
  <c r="Y9" i="13"/>
  <c r="Y10" i="13"/>
  <c r="Y11" i="13"/>
  <c r="Y12" i="13"/>
  <c r="Y13" i="13"/>
  <c r="Y14" i="13"/>
  <c r="Y15" i="13"/>
  <c r="Y16" i="13"/>
  <c r="Y17" i="13"/>
  <c r="Y18" i="13"/>
  <c r="Y19" i="13"/>
  <c r="Y20" i="13"/>
  <c r="Y21" i="13"/>
  <c r="Y22" i="13"/>
  <c r="Y23" i="13"/>
  <c r="Y24" i="13"/>
  <c r="Y25" i="13"/>
  <c r="Y26" i="13"/>
  <c r="Y27" i="13"/>
  <c r="Y28" i="13"/>
  <c r="Y29" i="13"/>
  <c r="Y30" i="13"/>
  <c r="Y31" i="13"/>
  <c r="Y32" i="13"/>
  <c r="Y33" i="13"/>
  <c r="Y34" i="13"/>
  <c r="Y35" i="13"/>
  <c r="Y36" i="13"/>
  <c r="Y37" i="13"/>
  <c r="Y38" i="13"/>
  <c r="Y39" i="13"/>
  <c r="Y40" i="13"/>
  <c r="Y41" i="13"/>
  <c r="Y42" i="13"/>
  <c r="Y43" i="13"/>
  <c r="Y44" i="13"/>
  <c r="Y45" i="13"/>
  <c r="Y46" i="13"/>
  <c r="Y47" i="13"/>
  <c r="Y48" i="13"/>
  <c r="Y49" i="13"/>
  <c r="Y50" i="13"/>
  <c r="Y51" i="13"/>
  <c r="Y52" i="13"/>
  <c r="Y53" i="13"/>
  <c r="Y54" i="13"/>
  <c r="Y55" i="13"/>
  <c r="Y56" i="13"/>
  <c r="Y57" i="13"/>
  <c r="Y58" i="13"/>
  <c r="Y59" i="13"/>
  <c r="Y60" i="13"/>
  <c r="Y61" i="13"/>
  <c r="Y62" i="13"/>
  <c r="Y63" i="13"/>
  <c r="Y64" i="13"/>
  <c r="Y65" i="13"/>
  <c r="Y66" i="13"/>
  <c r="Y67" i="13"/>
  <c r="Y68" i="13"/>
  <c r="Y69" i="13"/>
  <c r="Y70" i="13"/>
  <c r="Y71" i="13"/>
  <c r="Y72" i="13"/>
  <c r="Y73" i="13"/>
  <c r="Y74" i="13"/>
  <c r="Y75" i="13"/>
  <c r="Y76" i="13"/>
  <c r="Y77" i="13"/>
  <c r="Y78" i="13"/>
  <c r="Y79" i="13"/>
  <c r="Y80" i="13"/>
  <c r="Y81" i="13"/>
  <c r="Y82" i="13"/>
  <c r="Y83" i="13"/>
  <c r="Y84" i="13"/>
  <c r="Y85" i="13"/>
  <c r="Y86" i="13"/>
  <c r="Y87" i="13"/>
  <c r="Y88" i="13"/>
  <c r="Y89" i="13"/>
  <c r="Y90" i="13"/>
  <c r="Y91" i="13"/>
  <c r="Y92" i="13"/>
  <c r="Y93" i="13"/>
  <c r="Y94" i="13"/>
  <c r="Y95" i="13"/>
  <c r="Y96" i="13"/>
  <c r="Y97" i="13"/>
  <c r="Y98" i="13"/>
  <c r="Y99" i="13"/>
  <c r="Y100" i="13"/>
  <c r="Y101" i="13"/>
  <c r="Y102" i="13"/>
  <c r="Y103" i="13"/>
  <c r="Y104" i="13"/>
  <c r="Y105" i="13"/>
  <c r="Y106" i="13"/>
  <c r="Y107" i="13"/>
  <c r="Y108" i="13"/>
  <c r="Y109" i="13"/>
  <c r="Y110" i="13"/>
  <c r="Y111" i="13"/>
  <c r="Y112" i="13"/>
  <c r="Y113" i="13"/>
  <c r="Y114" i="13"/>
  <c r="Y115" i="13"/>
  <c r="Y116" i="13"/>
  <c r="Y117" i="13"/>
  <c r="Y118" i="13"/>
  <c r="Y119" i="13"/>
  <c r="Y120" i="13"/>
  <c r="Y121" i="13"/>
  <c r="Y122" i="13"/>
  <c r="Y123" i="13"/>
  <c r="Y124" i="13"/>
  <c r="Y125" i="13"/>
  <c r="Y126" i="13"/>
  <c r="Y127" i="13"/>
  <c r="Y128" i="13"/>
  <c r="Y129" i="13"/>
  <c r="Y130" i="13"/>
  <c r="Y131" i="13"/>
  <c r="Y132" i="13"/>
  <c r="Y133" i="13"/>
  <c r="Y134" i="13"/>
  <c r="Y135" i="13"/>
  <c r="Y136" i="13"/>
  <c r="Y137" i="13"/>
  <c r="Y138" i="13"/>
  <c r="Y139" i="13"/>
  <c r="Y140" i="13"/>
  <c r="Y141" i="13"/>
  <c r="Y142" i="13"/>
  <c r="Y143" i="13"/>
  <c r="Y144" i="13"/>
  <c r="Y145" i="13"/>
  <c r="Y146" i="13"/>
  <c r="Y147" i="13"/>
  <c r="Y148" i="13"/>
  <c r="Y149" i="13"/>
  <c r="Y150" i="13"/>
  <c r="Y151" i="13"/>
  <c r="Y152" i="13"/>
  <c r="Y153" i="13"/>
  <c r="Y154" i="13"/>
  <c r="Y155" i="13"/>
  <c r="Y156" i="13"/>
  <c r="Y157" i="13"/>
  <c r="Y158" i="13"/>
  <c r="Y159" i="13"/>
  <c r="Y160" i="13"/>
  <c r="Y161" i="13"/>
  <c r="Y162" i="13"/>
  <c r="Y163" i="13"/>
  <c r="Y164" i="13"/>
  <c r="Y165" i="13"/>
  <c r="Y166" i="13"/>
  <c r="Y167" i="13"/>
  <c r="Y168" i="13"/>
  <c r="Y169" i="13"/>
  <c r="Y170" i="13"/>
  <c r="Y171" i="13"/>
  <c r="Y172" i="13"/>
  <c r="Y173" i="13"/>
  <c r="Y174" i="13"/>
  <c r="Y175" i="13"/>
  <c r="Y176" i="13"/>
  <c r="Y177" i="13"/>
  <c r="Y178" i="13"/>
  <c r="Y179" i="13"/>
  <c r="Y180" i="13"/>
  <c r="Y181" i="13"/>
  <c r="Y182" i="13"/>
  <c r="Y183" i="13"/>
  <c r="Y184" i="13"/>
  <c r="Y185" i="13"/>
  <c r="Y186" i="13"/>
  <c r="Y187" i="13"/>
  <c r="Y188" i="13"/>
  <c r="Y189" i="13"/>
  <c r="Y190" i="13"/>
  <c r="Y191" i="13"/>
  <c r="Y192" i="13"/>
  <c r="Y193" i="13"/>
  <c r="Y194" i="13"/>
  <c r="Y195" i="13"/>
  <c r="Y196" i="13"/>
  <c r="Y197" i="13"/>
  <c r="Y198" i="13"/>
  <c r="Y199" i="13"/>
  <c r="Y200" i="13"/>
  <c r="Y201" i="13"/>
  <c r="Y202" i="13"/>
  <c r="Y203" i="13"/>
  <c r="Y204" i="13"/>
  <c r="Y205" i="13"/>
  <c r="Y207" i="13"/>
  <c r="Y208" i="13"/>
  <c r="Y209" i="13"/>
  <c r="Y210" i="13"/>
  <c r="Y211" i="13"/>
  <c r="Y212" i="13"/>
  <c r="Y213" i="13"/>
  <c r="Y214" i="13"/>
  <c r="Y215" i="13"/>
  <c r="Y216" i="13"/>
  <c r="Y217" i="13"/>
  <c r="Y218" i="13"/>
  <c r="Y219" i="13"/>
  <c r="Y220" i="13"/>
  <c r="Y221" i="13"/>
  <c r="Y222" i="13"/>
  <c r="Y223" i="13"/>
  <c r="Y224" i="13"/>
  <c r="Y225" i="13"/>
  <c r="Y226" i="13"/>
  <c r="Y227" i="13"/>
  <c r="Y228" i="13"/>
  <c r="Y229" i="13"/>
  <c r="Y230" i="13"/>
  <c r="Y231" i="13"/>
  <c r="Y232" i="13"/>
  <c r="Y233" i="13"/>
  <c r="Y234" i="13"/>
  <c r="Y235" i="13"/>
  <c r="Y236" i="13"/>
  <c r="Y237" i="13"/>
  <c r="Y238" i="13"/>
  <c r="Y239" i="13"/>
  <c r="Y240" i="13"/>
  <c r="Y241" i="13"/>
  <c r="Y242" i="13"/>
  <c r="Y243" i="13"/>
  <c r="Y244" i="13"/>
  <c r="Y245" i="13"/>
  <c r="Y246" i="13"/>
  <c r="Y247" i="13"/>
  <c r="Y248" i="13"/>
  <c r="Y249" i="13"/>
  <c r="Y250" i="13"/>
  <c r="Y251" i="13"/>
  <c r="Y252" i="13"/>
  <c r="Y253" i="13"/>
  <c r="Y254" i="13"/>
  <c r="Y255" i="13"/>
  <c r="Y256" i="13"/>
  <c r="Y257" i="13"/>
  <c r="Y258" i="13"/>
  <c r="Y259" i="13"/>
  <c r="Y260" i="13"/>
  <c r="Y261" i="13"/>
  <c r="Y262" i="13"/>
  <c r="Y263" i="13"/>
  <c r="Y264" i="13"/>
  <c r="Y265" i="13"/>
  <c r="Y266" i="13"/>
  <c r="Y267" i="13"/>
  <c r="Y268" i="13"/>
  <c r="Y269" i="13"/>
  <c r="Y270" i="13"/>
  <c r="Y271" i="13"/>
  <c r="Y272" i="13"/>
  <c r="Y273" i="13"/>
  <c r="Y274" i="13"/>
  <c r="Y275" i="13"/>
  <c r="Y276" i="13"/>
  <c r="Y277" i="13"/>
  <c r="Y278" i="13"/>
  <c r="Y279" i="13"/>
  <c r="Y280" i="13"/>
  <c r="Y281" i="13"/>
  <c r="Y282" i="13"/>
  <c r="Y283" i="13"/>
  <c r="Y284" i="13"/>
  <c r="Y285" i="13"/>
  <c r="Y286" i="13"/>
  <c r="Y287" i="13"/>
  <c r="Y288" i="13"/>
  <c r="Y289" i="13"/>
  <c r="Y290" i="13"/>
  <c r="Y291" i="13"/>
  <c r="Y292" i="13"/>
  <c r="Y293" i="13"/>
  <c r="Y294" i="13"/>
  <c r="Y295" i="13"/>
  <c r="Y296" i="13"/>
  <c r="Y297" i="13"/>
  <c r="Y298" i="13"/>
  <c r="Y299" i="13"/>
  <c r="Y300" i="13"/>
  <c r="Y301" i="13"/>
  <c r="Y302" i="13"/>
  <c r="Y303" i="13"/>
  <c r="Y304" i="13"/>
  <c r="Y305" i="13"/>
  <c r="Y306" i="13"/>
  <c r="Y307" i="13"/>
  <c r="Y308" i="13"/>
  <c r="Y309" i="13"/>
  <c r="Y310" i="13"/>
  <c r="Y311" i="13"/>
  <c r="Y312" i="13"/>
  <c r="Y313" i="13"/>
  <c r="Y314" i="13"/>
  <c r="Y315" i="13"/>
  <c r="Y316" i="13"/>
  <c r="Y317" i="13"/>
  <c r="Y318" i="13"/>
  <c r="Y319" i="13"/>
  <c r="Y320" i="13"/>
  <c r="Y321" i="13"/>
  <c r="Y322" i="13"/>
  <c r="Y323" i="13"/>
  <c r="Y324" i="13"/>
  <c r="Y325" i="13"/>
  <c r="Y326" i="13"/>
  <c r="Y327" i="13"/>
  <c r="Y328" i="13"/>
  <c r="Y329" i="13"/>
  <c r="Y330" i="13"/>
  <c r="Y331" i="13"/>
  <c r="Y332" i="13"/>
  <c r="Y333" i="13"/>
  <c r="Y334" i="13"/>
  <c r="Y335" i="13"/>
  <c r="Y336" i="13"/>
  <c r="Y337" i="13"/>
  <c r="Y338" i="13"/>
  <c r="Y339" i="13"/>
  <c r="Y340" i="13"/>
  <c r="Y341" i="13"/>
  <c r="Y342" i="13"/>
  <c r="Y343" i="13"/>
  <c r="Y344" i="13"/>
  <c r="Y345" i="13"/>
  <c r="Y346" i="13"/>
  <c r="Y347" i="13"/>
  <c r="Y348" i="13"/>
  <c r="Y349" i="13"/>
  <c r="Y350" i="13"/>
  <c r="Y351" i="13"/>
  <c r="Y352" i="13"/>
  <c r="Y353" i="13"/>
  <c r="Y354" i="13"/>
  <c r="Y355" i="13"/>
  <c r="Y356" i="13"/>
  <c r="Y357" i="13"/>
  <c r="Y358" i="13"/>
  <c r="Y359" i="13"/>
  <c r="Y360" i="13"/>
  <c r="Y361" i="13"/>
  <c r="Y362" i="13"/>
  <c r="Y363" i="13"/>
  <c r="Y364" i="13"/>
  <c r="Y365" i="13"/>
  <c r="Y366" i="13"/>
  <c r="Y367" i="13"/>
  <c r="Y368" i="13"/>
  <c r="Y369" i="13"/>
  <c r="Y370" i="13"/>
  <c r="Y371" i="13"/>
  <c r="Y372" i="13"/>
  <c r="Y373" i="13"/>
  <c r="Y374" i="13"/>
  <c r="Y375" i="13"/>
  <c r="Y376" i="13"/>
  <c r="Y377" i="13"/>
  <c r="Y378" i="13"/>
  <c r="Y379" i="13"/>
  <c r="Y380" i="13"/>
  <c r="Y381" i="13"/>
  <c r="Y382" i="13"/>
  <c r="Y383" i="13"/>
  <c r="Y384" i="13"/>
  <c r="Y385" i="13"/>
  <c r="Y386" i="13"/>
  <c r="Y387" i="13"/>
  <c r="Y388" i="13"/>
  <c r="Y389" i="13"/>
  <c r="Y390" i="13"/>
  <c r="Y391" i="13"/>
  <c r="Y392" i="13"/>
  <c r="Y393" i="13"/>
  <c r="Y394" i="13"/>
  <c r="Y395" i="13"/>
  <c r="Y396" i="13"/>
  <c r="Y397" i="13"/>
  <c r="Y398" i="13"/>
  <c r="Y399" i="13"/>
  <c r="Y400" i="13"/>
  <c r="Y401" i="13"/>
  <c r="Y402" i="13"/>
  <c r="Y403" i="13"/>
  <c r="Y404" i="13"/>
  <c r="Y405" i="13"/>
  <c r="Y406" i="13"/>
  <c r="Y407" i="13"/>
  <c r="Y408" i="13"/>
  <c r="Y409" i="13"/>
  <c r="Y410" i="13"/>
  <c r="Y411" i="13"/>
  <c r="Y412" i="13"/>
  <c r="Y413" i="13"/>
  <c r="Y414" i="13"/>
  <c r="Y415" i="13"/>
  <c r="Y416" i="13"/>
  <c r="Y417" i="13"/>
  <c r="Y418" i="13"/>
  <c r="Y419" i="13"/>
  <c r="Y420" i="13"/>
  <c r="Y421" i="13"/>
  <c r="Y422" i="13"/>
  <c r="Y423" i="13"/>
  <c r="Y424" i="13"/>
  <c r="Y425" i="13"/>
  <c r="Y426" i="13"/>
  <c r="Y427" i="13"/>
  <c r="Y428" i="13"/>
  <c r="Y429" i="13"/>
  <c r="Y430" i="13"/>
  <c r="Y431" i="13"/>
  <c r="Y432" i="13"/>
  <c r="Y433" i="13"/>
  <c r="Y434" i="13"/>
  <c r="Y435" i="13"/>
  <c r="Y436" i="13"/>
  <c r="Y437" i="13"/>
  <c r="Y438" i="13"/>
  <c r="Y439" i="13"/>
  <c r="Y440" i="13"/>
  <c r="Y441" i="13"/>
  <c r="Y442" i="13"/>
  <c r="Y443" i="13"/>
  <c r="Y444" i="13"/>
  <c r="Y445" i="13"/>
  <c r="Y446" i="13"/>
  <c r="Y447" i="13"/>
  <c r="Y448" i="13"/>
  <c r="Y449" i="13"/>
  <c r="Y450" i="13"/>
  <c r="Y451" i="13"/>
  <c r="Y452" i="13"/>
  <c r="Y453" i="13"/>
  <c r="Y454" i="13"/>
  <c r="Y455" i="13"/>
  <c r="Y456" i="13"/>
  <c r="Y457" i="13"/>
  <c r="Y458" i="13"/>
  <c r="Y459" i="13"/>
  <c r="Y460" i="13"/>
  <c r="Y461" i="13"/>
  <c r="Y462" i="13"/>
  <c r="Y463" i="13"/>
  <c r="Y464" i="13"/>
  <c r="Y465" i="13"/>
  <c r="Y466" i="13"/>
  <c r="Y467" i="13"/>
  <c r="Y468" i="13"/>
  <c r="Y469" i="13"/>
  <c r="Y470" i="13"/>
  <c r="Y471" i="13"/>
  <c r="Y472" i="13"/>
  <c r="Y473" i="13"/>
  <c r="Y474" i="13"/>
  <c r="Y475" i="13"/>
  <c r="Y476" i="13"/>
  <c r="Y477" i="13"/>
  <c r="Y478" i="13"/>
  <c r="Y479" i="13"/>
  <c r="Y480" i="13"/>
  <c r="Y481" i="13"/>
  <c r="Y482" i="13"/>
  <c r="Y483" i="13"/>
  <c r="Y484" i="13"/>
  <c r="Y485" i="13"/>
  <c r="Y486" i="13"/>
  <c r="Y487" i="13"/>
  <c r="Y488" i="13"/>
  <c r="Y489" i="13"/>
  <c r="Y490" i="13"/>
  <c r="Y491" i="13"/>
  <c r="Y492" i="13"/>
  <c r="Y493" i="13"/>
  <c r="Y494" i="13"/>
  <c r="Y495" i="13"/>
  <c r="Y496" i="13"/>
  <c r="Y497" i="13"/>
  <c r="Y498" i="13"/>
  <c r="Y499" i="13"/>
  <c r="Y500" i="13"/>
  <c r="Y501" i="13"/>
  <c r="Y502" i="13"/>
  <c r="Y503" i="13"/>
  <c r="Y504" i="13"/>
  <c r="Y505" i="13"/>
  <c r="Y506" i="13"/>
  <c r="Y507" i="13"/>
  <c r="Y508" i="13"/>
  <c r="Y509" i="13"/>
  <c r="Y510" i="13"/>
  <c r="Y511" i="13"/>
  <c r="Y512" i="13"/>
  <c r="Y513" i="13"/>
  <c r="Y514" i="13"/>
  <c r="Y515" i="13"/>
  <c r="Y516" i="13"/>
  <c r="Y517" i="13"/>
  <c r="Y518" i="13"/>
  <c r="Y519" i="13"/>
  <c r="Y520" i="13"/>
  <c r="Y521" i="13"/>
  <c r="Y522" i="13"/>
  <c r="Y523" i="13"/>
  <c r="Y524" i="13"/>
  <c r="Y525" i="13"/>
  <c r="Y526" i="13"/>
  <c r="Y527" i="13"/>
  <c r="Y528" i="13"/>
  <c r="Y529" i="13"/>
  <c r="Y530" i="13"/>
  <c r="Y531" i="13"/>
  <c r="Y532" i="13"/>
  <c r="Y533" i="13"/>
  <c r="Y534" i="13"/>
  <c r="Y535" i="13"/>
  <c r="Y536" i="13"/>
  <c r="Y537" i="13"/>
  <c r="Y538" i="13"/>
  <c r="Y539" i="13"/>
  <c r="Y540" i="13"/>
  <c r="Y541" i="13"/>
  <c r="Y542" i="13"/>
  <c r="Y543" i="13"/>
  <c r="Y544" i="13"/>
  <c r="Y545" i="13"/>
  <c r="Y546" i="13"/>
  <c r="Y547" i="13"/>
  <c r="Y548" i="13"/>
  <c r="Y549" i="13"/>
  <c r="Y550" i="13"/>
  <c r="Y551" i="13"/>
  <c r="Y552" i="13"/>
  <c r="Y553" i="13"/>
  <c r="Y554" i="13"/>
  <c r="Y555" i="13"/>
  <c r="Y556" i="13"/>
  <c r="Y557" i="13"/>
  <c r="Y558" i="13"/>
  <c r="Y559" i="13"/>
  <c r="Y560" i="13"/>
  <c r="Y561" i="13"/>
  <c r="Y562" i="13"/>
  <c r="Y563" i="13"/>
  <c r="Y564" i="13"/>
  <c r="Y565" i="13"/>
  <c r="Y566" i="13"/>
  <c r="Y567" i="13"/>
  <c r="Y568" i="13"/>
  <c r="Y569" i="13"/>
  <c r="Y570" i="13"/>
  <c r="Y571" i="13"/>
  <c r="Y572" i="13"/>
  <c r="Y573" i="13"/>
  <c r="Y574" i="13"/>
  <c r="Y575" i="13"/>
  <c r="Y576" i="13"/>
  <c r="Y577" i="13"/>
  <c r="Y578" i="13"/>
  <c r="Y579" i="13"/>
  <c r="Y580" i="13"/>
  <c r="Y581" i="13"/>
  <c r="Y582" i="13"/>
  <c r="Y583" i="13"/>
  <c r="Y584" i="13"/>
  <c r="Y585" i="13"/>
  <c r="Y586" i="13"/>
  <c r="Y587" i="13"/>
  <c r="Y588" i="13"/>
  <c r="Y589" i="13"/>
  <c r="Y590" i="13"/>
  <c r="Y591" i="13"/>
  <c r="Y592" i="13"/>
  <c r="Y593" i="13"/>
  <c r="Y594" i="13"/>
  <c r="Y595" i="13"/>
  <c r="Y596" i="13"/>
  <c r="Y597" i="13"/>
  <c r="Y598" i="13"/>
  <c r="Y599" i="13"/>
  <c r="Y600" i="13"/>
  <c r="Y601" i="13"/>
  <c r="Y602" i="13"/>
  <c r="Y603" i="13"/>
  <c r="Y604" i="13"/>
  <c r="Y605" i="13"/>
  <c r="Y606" i="13"/>
  <c r="Y607" i="13"/>
  <c r="Y608" i="13"/>
  <c r="Y609" i="13"/>
  <c r="Y610" i="13"/>
  <c r="Y611" i="13"/>
  <c r="Y612" i="13"/>
  <c r="Y613" i="13"/>
  <c r="Y614" i="13"/>
  <c r="Y615" i="13"/>
  <c r="Y616" i="13"/>
  <c r="Y617" i="13"/>
  <c r="Y618" i="13"/>
  <c r="Y619" i="13"/>
  <c r="Y620" i="13"/>
  <c r="Y621" i="13"/>
  <c r="Y622" i="13"/>
  <c r="Y623" i="13"/>
  <c r="Y624" i="13"/>
  <c r="Y625" i="13"/>
  <c r="Y626" i="13"/>
  <c r="Y627" i="13"/>
  <c r="Y628" i="13"/>
  <c r="Y629" i="13"/>
  <c r="Y630" i="13"/>
  <c r="Y631" i="13"/>
  <c r="Y632" i="13"/>
  <c r="Y633" i="13"/>
  <c r="Y634" i="13"/>
  <c r="Y635" i="13"/>
  <c r="Y636" i="13"/>
  <c r="Y637" i="13"/>
  <c r="Y638" i="13"/>
  <c r="Y639" i="13"/>
  <c r="Y640" i="13"/>
  <c r="Y641" i="13"/>
  <c r="Y642" i="13"/>
  <c r="Y643" i="13"/>
  <c r="Y644" i="13"/>
  <c r="Y645" i="13"/>
  <c r="Y646" i="13"/>
  <c r="Y647" i="13"/>
  <c r="Y648" i="13"/>
  <c r="Y649" i="13"/>
  <c r="Y650" i="13"/>
  <c r="Y651" i="13"/>
  <c r="Y652" i="13"/>
  <c r="Y653" i="13"/>
  <c r="Y654" i="13"/>
  <c r="Y655" i="13"/>
  <c r="Y656" i="13"/>
  <c r="Y657" i="13"/>
  <c r="Y658" i="13"/>
  <c r="Y659" i="13"/>
  <c r="Y660" i="13"/>
  <c r="Y661" i="13"/>
  <c r="Y662" i="13"/>
  <c r="Y663" i="13"/>
  <c r="Y664" i="13"/>
  <c r="Y665" i="13"/>
  <c r="Y666" i="13"/>
  <c r="Y667" i="13"/>
  <c r="Y668" i="13"/>
  <c r="Y669" i="13"/>
  <c r="Y670" i="13"/>
  <c r="Y671" i="13"/>
  <c r="Y672" i="13"/>
  <c r="Y673" i="13"/>
  <c r="Y674" i="13"/>
  <c r="Y675" i="13"/>
  <c r="Y676" i="13"/>
  <c r="Y677" i="13"/>
  <c r="Y678" i="13"/>
  <c r="Y679" i="13"/>
  <c r="Y680" i="13"/>
  <c r="Y681" i="13"/>
  <c r="Y682" i="13"/>
  <c r="Y683" i="13"/>
  <c r="Y684" i="13"/>
  <c r="Y685" i="13"/>
  <c r="Y686" i="13"/>
  <c r="Y687" i="13"/>
  <c r="Y688" i="13"/>
  <c r="Y689" i="13"/>
  <c r="Y690" i="13"/>
  <c r="Y691" i="13"/>
  <c r="Y692" i="13"/>
  <c r="Y693" i="13"/>
  <c r="Y694" i="13"/>
  <c r="Y695" i="13"/>
  <c r="Y696" i="13"/>
  <c r="Y697" i="13"/>
  <c r="Y698" i="13"/>
  <c r="Y699" i="13"/>
  <c r="Y700" i="13"/>
  <c r="Y701" i="13"/>
  <c r="Y703" i="13"/>
  <c r="Y704" i="13"/>
  <c r="Y705" i="13"/>
  <c r="Y707" i="13"/>
  <c r="Y708" i="13"/>
  <c r="Y709" i="13"/>
  <c r="Y710" i="13"/>
  <c r="Y711" i="13"/>
  <c r="Y712" i="13"/>
  <c r="Y713" i="13"/>
  <c r="Y714" i="13"/>
  <c r="Y715" i="13"/>
  <c r="Y716" i="13"/>
  <c r="Y717" i="13"/>
  <c r="Y718" i="13"/>
  <c r="Y719" i="13"/>
  <c r="Y720" i="13"/>
  <c r="Y721" i="13"/>
  <c r="Y722" i="13"/>
  <c r="Y723" i="13"/>
  <c r="Y724" i="13"/>
  <c r="Y725" i="13"/>
  <c r="Y726" i="13"/>
  <c r="Y727" i="13"/>
  <c r="Y728" i="13"/>
  <c r="Y729" i="13"/>
  <c r="Y730" i="13"/>
  <c r="Y731" i="13"/>
  <c r="Y732" i="13"/>
  <c r="Y733" i="13"/>
  <c r="Y734" i="13"/>
  <c r="Y735" i="13"/>
  <c r="Y736" i="13"/>
  <c r="Y737" i="13"/>
  <c r="Y738" i="13"/>
  <c r="Y739" i="13"/>
  <c r="Y740" i="13"/>
  <c r="Y741" i="13"/>
  <c r="Y742" i="13"/>
  <c r="Y743" i="13"/>
  <c r="Y744" i="13"/>
  <c r="Y745" i="13"/>
  <c r="Y746" i="13"/>
  <c r="Y747" i="13"/>
  <c r="Y748" i="13"/>
  <c r="Y749" i="13"/>
  <c r="Y750" i="13"/>
  <c r="Y751" i="13"/>
  <c r="Y752" i="13"/>
  <c r="Y753" i="13"/>
  <c r="Y754" i="13"/>
  <c r="Y755" i="13"/>
  <c r="Y756" i="13"/>
  <c r="Y757" i="13"/>
  <c r="Y758" i="13"/>
  <c r="Y759" i="13"/>
  <c r="Y760" i="13"/>
  <c r="Y761" i="13"/>
  <c r="Y762" i="13"/>
  <c r="Y763" i="13"/>
  <c r="Y764" i="13"/>
  <c r="Y765" i="13"/>
  <c r="Y766" i="13"/>
  <c r="Y767" i="13"/>
  <c r="Y768" i="13"/>
  <c r="Y769" i="13"/>
  <c r="Y770" i="13"/>
  <c r="Y771" i="13"/>
  <c r="Y772" i="13"/>
  <c r="Y773" i="13"/>
  <c r="Y774" i="13"/>
  <c r="Y775" i="13"/>
  <c r="Y776" i="13"/>
  <c r="Y777" i="13"/>
  <c r="Y779" i="13"/>
  <c r="Y780" i="13"/>
  <c r="Y781" i="13"/>
  <c r="Y782" i="13"/>
  <c r="Y783" i="13"/>
  <c r="Y784" i="13"/>
  <c r="Y785" i="13"/>
  <c r="Y786" i="13"/>
  <c r="Y787" i="13"/>
  <c r="Y788" i="13"/>
  <c r="Y789" i="13"/>
  <c r="Y790" i="13"/>
  <c r="Y791" i="13"/>
  <c r="Y792" i="13"/>
  <c r="Y793" i="13"/>
  <c r="Y794" i="13"/>
  <c r="Y795" i="13"/>
  <c r="Y796" i="13"/>
  <c r="Y797" i="13"/>
  <c r="Y798" i="13"/>
  <c r="Y799" i="13"/>
  <c r="Y800" i="13"/>
  <c r="Y801" i="13"/>
  <c r="Y802" i="13"/>
  <c r="Y803" i="13"/>
  <c r="Y804" i="13"/>
  <c r="Y805" i="13"/>
  <c r="Y806" i="13"/>
  <c r="Y807" i="13"/>
  <c r="Y808" i="13"/>
  <c r="Y809" i="13"/>
  <c r="Y810" i="13"/>
  <c r="Y811" i="13"/>
  <c r="Y812" i="13"/>
  <c r="Y813" i="13"/>
  <c r="Y814" i="13"/>
  <c r="Y815" i="13"/>
  <c r="Y816" i="13"/>
  <c r="Y817" i="13"/>
  <c r="Y818" i="13"/>
  <c r="Y819" i="13"/>
  <c r="Y820" i="13"/>
  <c r="Y821" i="13"/>
  <c r="Y822" i="13"/>
  <c r="Y823" i="13"/>
  <c r="Y824" i="13"/>
  <c r="Y825" i="13"/>
  <c r="Y826" i="13"/>
  <c r="Y827" i="13"/>
  <c r="Y828" i="13"/>
  <c r="Y829" i="13"/>
  <c r="Y830" i="13"/>
  <c r="Y831" i="13"/>
  <c r="Y832" i="13"/>
  <c r="Y833" i="13"/>
  <c r="Y834" i="13"/>
  <c r="Y835" i="13"/>
  <c r="Y836" i="13"/>
  <c r="Y837" i="13"/>
  <c r="Y838" i="13"/>
  <c r="Y839" i="13"/>
  <c r="Y840" i="13"/>
  <c r="Y841" i="13"/>
  <c r="Y842" i="13"/>
  <c r="Y843" i="13"/>
  <c r="Y844" i="13"/>
  <c r="Y845" i="13"/>
  <c r="Y846" i="13"/>
  <c r="Y847" i="13"/>
  <c r="Y848" i="13"/>
  <c r="Y849" i="13"/>
  <c r="Y850" i="13"/>
  <c r="Y851" i="13"/>
  <c r="Y852" i="13"/>
  <c r="Y853" i="13"/>
  <c r="Y854" i="13"/>
  <c r="Y855" i="13"/>
  <c r="Y856" i="13"/>
  <c r="Y857" i="13"/>
  <c r="Y858" i="13"/>
  <c r="Y859" i="13"/>
  <c r="Y860" i="13"/>
  <c r="Y861" i="13"/>
  <c r="Y862" i="13"/>
  <c r="Y863" i="13"/>
  <c r="Y864" i="13"/>
  <c r="Y865" i="13"/>
  <c r="Y866" i="13"/>
  <c r="Y867" i="13"/>
  <c r="Y868" i="13"/>
  <c r="Y869" i="13"/>
  <c r="Y870" i="13"/>
  <c r="Y871" i="13"/>
  <c r="Y872" i="13"/>
  <c r="Y873" i="13"/>
  <c r="Y874" i="13"/>
  <c r="Y875" i="13"/>
  <c r="Y876" i="13"/>
  <c r="Y877" i="13"/>
  <c r="Y878" i="13"/>
  <c r="Y879" i="13"/>
  <c r="Y880" i="13"/>
  <c r="Y881" i="13"/>
  <c r="Y882" i="13"/>
  <c r="Y883" i="13"/>
  <c r="Y884" i="13"/>
  <c r="Y885" i="13"/>
  <c r="Y886" i="13"/>
  <c r="Y887" i="13"/>
  <c r="Y888" i="13"/>
  <c r="Y889" i="13"/>
  <c r="Y890" i="13"/>
  <c r="Y891" i="13"/>
  <c r="Y892" i="13"/>
  <c r="Y893" i="13"/>
  <c r="Y894" i="13"/>
  <c r="Y895" i="13"/>
  <c r="Y896" i="13"/>
  <c r="Y897" i="13"/>
  <c r="Y898" i="13"/>
  <c r="Y899" i="13"/>
  <c r="Y900" i="13"/>
  <c r="Y901" i="13"/>
  <c r="Y902" i="13"/>
  <c r="Y903" i="13"/>
  <c r="Y904" i="13"/>
  <c r="Y905" i="13"/>
  <c r="Y906" i="13"/>
  <c r="Y907" i="13"/>
  <c r="Y908" i="13"/>
  <c r="Y909" i="13"/>
  <c r="Y910" i="13"/>
  <c r="Y911" i="13"/>
  <c r="Y912" i="13"/>
  <c r="Y913" i="13"/>
  <c r="Y914" i="13"/>
  <c r="Y915" i="13"/>
  <c r="Y916" i="13"/>
  <c r="Y917" i="13"/>
  <c r="Y918" i="13"/>
  <c r="Y919" i="13"/>
  <c r="Y920" i="13"/>
  <c r="Y921" i="13"/>
  <c r="Y922" i="13"/>
  <c r="Y923" i="13"/>
  <c r="Y924" i="13"/>
  <c r="Y925" i="13"/>
  <c r="Y926" i="13"/>
  <c r="Y927" i="13"/>
  <c r="Y928" i="13"/>
  <c r="Y929" i="13"/>
  <c r="Y930" i="13"/>
  <c r="Y931" i="13"/>
  <c r="Y932" i="13"/>
  <c r="Y933" i="13"/>
  <c r="Y934" i="13"/>
  <c r="Y935" i="13"/>
  <c r="Y936" i="13"/>
  <c r="Y937" i="13"/>
  <c r="Y938" i="13"/>
  <c r="Y939" i="13"/>
  <c r="Y940" i="13"/>
  <c r="Y941" i="13"/>
  <c r="Y942" i="13"/>
  <c r="Y943" i="13"/>
  <c r="Y944" i="13"/>
  <c r="Y945" i="13"/>
  <c r="Y946" i="13"/>
  <c r="Y947" i="13"/>
  <c r="Y948" i="13"/>
  <c r="Y949" i="13"/>
  <c r="Y950" i="13"/>
  <c r="Y951" i="13"/>
  <c r="Y952" i="13"/>
  <c r="Y953" i="13"/>
  <c r="Y954" i="13"/>
  <c r="Y955" i="13"/>
  <c r="Y956" i="13"/>
  <c r="Y957" i="13"/>
  <c r="Y958" i="13"/>
  <c r="Y959" i="13"/>
  <c r="Y960" i="13"/>
  <c r="Y961" i="13"/>
  <c r="Y962" i="13"/>
  <c r="Y963" i="13"/>
  <c r="Y964" i="13"/>
  <c r="Y965" i="13"/>
  <c r="Y966" i="13"/>
  <c r="Y967" i="13"/>
  <c r="Y968" i="13"/>
  <c r="Y969" i="13"/>
  <c r="Y970" i="13"/>
  <c r="Y971" i="13"/>
  <c r="Y972" i="13"/>
  <c r="Y973" i="13"/>
  <c r="Y974" i="13"/>
  <c r="Y975" i="13"/>
  <c r="Y976" i="13"/>
  <c r="Y977" i="13"/>
  <c r="Y978" i="13"/>
  <c r="Y979" i="13"/>
  <c r="Y980" i="13"/>
  <c r="Y981" i="13"/>
  <c r="Y982" i="13"/>
  <c r="Y983" i="13"/>
  <c r="Y984" i="13"/>
  <c r="Y985" i="13"/>
  <c r="Y986" i="13"/>
  <c r="Y987" i="13"/>
  <c r="Y988" i="13"/>
  <c r="Y989" i="13"/>
  <c r="Y990" i="13"/>
  <c r="Y991" i="13"/>
  <c r="Y992" i="13"/>
  <c r="Y993" i="13"/>
  <c r="Y994" i="13"/>
  <c r="Y995" i="13"/>
  <c r="Y996" i="13"/>
  <c r="Y997" i="13"/>
  <c r="Y998" i="13"/>
  <c r="Y999" i="13"/>
  <c r="Y1000" i="13"/>
  <c r="Y1001" i="13"/>
  <c r="Y1002" i="13"/>
  <c r="Y1003" i="13"/>
  <c r="Y1004" i="13"/>
  <c r="Y1005" i="13"/>
  <c r="Y1006" i="13"/>
  <c r="Y1007" i="13"/>
  <c r="Y1008" i="13"/>
  <c r="Y1009" i="13"/>
  <c r="Y1010" i="13"/>
  <c r="Y1011" i="13"/>
  <c r="Y1012" i="13"/>
  <c r="Y1013" i="13"/>
  <c r="Y1014" i="13"/>
  <c r="Y1015" i="13"/>
  <c r="Y1016" i="13"/>
  <c r="Y1017" i="13"/>
  <c r="Y1018" i="13"/>
  <c r="Y1019" i="13"/>
  <c r="Y1020" i="13"/>
  <c r="Y1021" i="13"/>
  <c r="Y1022" i="13"/>
  <c r="Y1023" i="13"/>
  <c r="Y1024" i="13"/>
  <c r="Y1025" i="13"/>
  <c r="Y1026" i="13"/>
  <c r="Y1027" i="13"/>
  <c r="Y1028" i="13"/>
  <c r="Y1029" i="13"/>
  <c r="Y1030" i="13"/>
  <c r="Y1031" i="13"/>
  <c r="Y1032" i="13"/>
  <c r="Y1033" i="13"/>
  <c r="Y1034" i="13"/>
  <c r="Y1035" i="13"/>
  <c r="Y1036" i="13"/>
  <c r="Y1037" i="13"/>
  <c r="Y1038" i="13"/>
  <c r="Y1039" i="13"/>
  <c r="Y1040" i="13"/>
  <c r="Y1041" i="13"/>
  <c r="Y1042" i="13"/>
  <c r="Y1043" i="13"/>
  <c r="Y1044" i="13"/>
  <c r="Y1045" i="13"/>
  <c r="Y1046" i="13"/>
  <c r="Y1047" i="13"/>
  <c r="Y1048" i="13"/>
  <c r="Y1049" i="13"/>
  <c r="Y1050" i="13"/>
  <c r="Y1051" i="13"/>
  <c r="Y1052" i="13"/>
  <c r="Y1053" i="13"/>
  <c r="Y1054" i="13"/>
  <c r="Y1055" i="13"/>
  <c r="Y1056" i="13"/>
  <c r="Y1057" i="13"/>
  <c r="Y1058" i="13"/>
  <c r="Y1059" i="13"/>
  <c r="Y1060" i="13"/>
  <c r="Y1061" i="13"/>
  <c r="Y1062" i="13"/>
  <c r="Y1063" i="13"/>
  <c r="Y1064" i="13"/>
  <c r="Y1065" i="13"/>
  <c r="Y1066" i="13"/>
  <c r="Y1067" i="13"/>
  <c r="Y1068" i="13"/>
  <c r="Y1069" i="13"/>
  <c r="Y1070" i="13"/>
  <c r="Y1071" i="13"/>
  <c r="Y1072" i="13"/>
  <c r="Y1073" i="13"/>
  <c r="Y1074" i="13"/>
  <c r="Y1075" i="13"/>
  <c r="Y1076" i="13"/>
  <c r="Y1077" i="13"/>
  <c r="Y1078" i="13"/>
  <c r="Y1079" i="13"/>
  <c r="Y1080" i="13"/>
  <c r="Y1081" i="13"/>
  <c r="Y1082" i="13"/>
  <c r="Y1083" i="13"/>
  <c r="Y1084" i="13"/>
  <c r="Y1085" i="13"/>
  <c r="Y1086" i="13"/>
  <c r="Y1087" i="13"/>
  <c r="Y1088" i="13"/>
  <c r="Y1089" i="13"/>
  <c r="Y1090" i="13"/>
  <c r="Y1091" i="13"/>
  <c r="Y1092" i="13"/>
  <c r="Y1093" i="13"/>
  <c r="Y1094" i="13"/>
  <c r="Y1095" i="13"/>
  <c r="Y1096" i="13"/>
  <c r="Y1097" i="13"/>
  <c r="Y1098" i="13"/>
  <c r="Y1099" i="13"/>
  <c r="Y1100" i="13"/>
  <c r="Y1101" i="13"/>
  <c r="Y1102" i="13"/>
  <c r="Y1103" i="13"/>
  <c r="Y1104" i="13"/>
  <c r="Y1105" i="13"/>
  <c r="Y1106" i="13"/>
  <c r="Y1107" i="13"/>
  <c r="Y1108" i="13"/>
  <c r="Y1109" i="13"/>
  <c r="Y1110" i="13"/>
  <c r="Y1111" i="13"/>
  <c r="Y1112" i="13"/>
  <c r="Y1113" i="13"/>
  <c r="Y1114" i="13"/>
  <c r="Y1115" i="13"/>
  <c r="Y1116" i="13"/>
  <c r="Y1117" i="13"/>
  <c r="Y1118" i="13"/>
  <c r="Y1119" i="13"/>
  <c r="Y1120" i="13"/>
  <c r="Y1121" i="13"/>
  <c r="Y1122" i="13"/>
  <c r="Y1123" i="13"/>
  <c r="Y1124" i="13"/>
  <c r="Y1125" i="13"/>
  <c r="Y1126" i="13"/>
  <c r="Y1127" i="13"/>
  <c r="Y1128" i="13"/>
  <c r="Y1129" i="13"/>
  <c r="Y1130" i="13"/>
  <c r="Y1131" i="13"/>
  <c r="Y1132" i="13"/>
  <c r="Y1133" i="13"/>
  <c r="Y1134" i="13"/>
  <c r="Y1135" i="13"/>
  <c r="Y1136" i="13"/>
  <c r="Y1137" i="13"/>
  <c r="Y1138" i="13"/>
  <c r="Y1139" i="13"/>
  <c r="Y1140" i="13"/>
  <c r="Y1141" i="13"/>
  <c r="Y1142" i="13"/>
  <c r="Y1143" i="13"/>
  <c r="Y1144" i="13"/>
  <c r="Y1145" i="13"/>
  <c r="Y1146" i="13"/>
  <c r="Y1147" i="13"/>
  <c r="Y1148" i="13"/>
  <c r="Y1149" i="13"/>
  <c r="Y1150" i="13"/>
  <c r="Y1151" i="13"/>
  <c r="Y1152" i="13"/>
  <c r="Y1153" i="13"/>
  <c r="Y1154" i="13"/>
  <c r="Y1155" i="13"/>
  <c r="Y1156" i="13"/>
  <c r="Y1157" i="13"/>
  <c r="Y1158" i="13"/>
  <c r="Y1159" i="13"/>
  <c r="Y1160" i="13"/>
  <c r="Y1161" i="13"/>
  <c r="Y1162" i="13"/>
  <c r="Y1163" i="13"/>
  <c r="Y1164" i="13"/>
  <c r="Y1165" i="13"/>
  <c r="Y1166" i="13"/>
  <c r="Y1167" i="13"/>
  <c r="Y1168" i="13"/>
  <c r="Y1169" i="13"/>
  <c r="Y1170" i="13"/>
  <c r="Y1171" i="13"/>
  <c r="Y1172" i="13"/>
  <c r="Y1173" i="13"/>
  <c r="Y1174" i="13"/>
  <c r="Y1175" i="13"/>
  <c r="Y1176" i="13"/>
  <c r="Y1177" i="13"/>
  <c r="Y1178" i="13"/>
  <c r="Y1179" i="13"/>
  <c r="Y1180" i="13"/>
  <c r="Y1181" i="13"/>
  <c r="Y1182" i="13"/>
  <c r="Y1183" i="13"/>
  <c r="Y1184" i="13"/>
  <c r="Y1185" i="13"/>
  <c r="Y1186" i="13"/>
  <c r="Y1187" i="13"/>
  <c r="Y1188" i="13"/>
  <c r="Y1189" i="13"/>
  <c r="Y1190" i="13"/>
  <c r="Y1191" i="13"/>
  <c r="Y1192" i="13"/>
  <c r="Y1193" i="13"/>
  <c r="Y1194" i="13"/>
  <c r="Y1195" i="13"/>
  <c r="Y1196" i="13"/>
  <c r="Y1197" i="13"/>
  <c r="Y1198" i="13"/>
  <c r="Y1199" i="13"/>
  <c r="Y1200" i="13"/>
  <c r="Y1201" i="13"/>
  <c r="Y1202" i="13"/>
  <c r="Y1203" i="13"/>
  <c r="Y1204" i="13"/>
  <c r="Y1205" i="13"/>
  <c r="Y1206" i="13"/>
  <c r="Y1207" i="13"/>
  <c r="Y1208" i="13"/>
  <c r="Y1209" i="13"/>
  <c r="Y1210" i="13"/>
  <c r="Y1211" i="13"/>
  <c r="Y1212" i="13"/>
  <c r="Y1213" i="13"/>
  <c r="Y1214" i="13"/>
  <c r="Y1215" i="13"/>
  <c r="Y1216" i="13"/>
  <c r="Y1217" i="13"/>
  <c r="Y1218" i="13"/>
  <c r="Y1219" i="13"/>
  <c r="Y1220" i="13"/>
  <c r="Y1221" i="13"/>
  <c r="Y1222" i="13"/>
  <c r="Y1223" i="13"/>
  <c r="Y1224" i="13"/>
  <c r="Y1225" i="13"/>
  <c r="Y1226" i="13"/>
  <c r="Y1227" i="13"/>
  <c r="Y1228" i="13"/>
  <c r="Y1229" i="13"/>
  <c r="Y1230" i="13"/>
  <c r="Y1231" i="13"/>
  <c r="Y1232" i="13"/>
  <c r="Y1233" i="13"/>
  <c r="Y1234" i="13"/>
  <c r="Y1235" i="13"/>
  <c r="Y1236" i="13"/>
  <c r="Y1237" i="13"/>
  <c r="Y1238" i="13"/>
  <c r="Y1239" i="13"/>
  <c r="Y1240" i="13"/>
  <c r="Y1241" i="13"/>
  <c r="Y1242" i="13"/>
  <c r="Y1243" i="13"/>
  <c r="Y1244" i="13"/>
  <c r="Y1245" i="13"/>
  <c r="Y1246" i="13"/>
  <c r="Y1247" i="13"/>
  <c r="Y1248" i="13"/>
  <c r="Y1249" i="13"/>
  <c r="Y1250" i="13"/>
  <c r="Y1251" i="13"/>
  <c r="Y1252" i="13"/>
  <c r="Y1253" i="13"/>
  <c r="Y1254" i="13"/>
  <c r="Y1255" i="13"/>
  <c r="Y1256" i="13"/>
  <c r="Y1257" i="13"/>
  <c r="Y1258" i="13"/>
  <c r="Y1259" i="13"/>
  <c r="Y1260" i="13"/>
  <c r="Y1261" i="13"/>
  <c r="Y1262" i="13"/>
  <c r="Y1263" i="13"/>
  <c r="Y1264" i="13"/>
  <c r="Y1265" i="13"/>
  <c r="Y1266" i="13"/>
  <c r="Y1267" i="13"/>
  <c r="Y1268" i="13"/>
  <c r="Y1269" i="13"/>
  <c r="Y1270" i="13"/>
  <c r="Y1271" i="13"/>
  <c r="Y1272" i="13"/>
  <c r="Y1273" i="13"/>
  <c r="Y1274" i="13"/>
  <c r="Y1275" i="13"/>
  <c r="Y1276" i="13"/>
  <c r="Y1277" i="13"/>
  <c r="Y1278" i="13"/>
  <c r="Y1279" i="13"/>
  <c r="Y1280" i="13"/>
  <c r="Y1281" i="13"/>
  <c r="Y1282" i="13"/>
  <c r="Y1283" i="13"/>
  <c r="Y1284" i="13"/>
  <c r="Y1285" i="13"/>
  <c r="Y1286" i="13"/>
  <c r="Y1287" i="13"/>
  <c r="Y1288" i="13"/>
  <c r="Y1289" i="13"/>
  <c r="Y1290" i="13"/>
  <c r="Y1291" i="13"/>
  <c r="Y1292" i="13"/>
  <c r="Y1293" i="13"/>
  <c r="Y1294" i="13"/>
  <c r="Y1295" i="13"/>
  <c r="Y1296" i="13"/>
  <c r="Y1297" i="13"/>
  <c r="Y1298" i="13"/>
  <c r="Y1299" i="13"/>
  <c r="Y1300" i="13"/>
  <c r="Y1301" i="13"/>
  <c r="Y1302" i="13"/>
  <c r="Y1303" i="13"/>
  <c r="Y1304" i="13"/>
  <c r="Y1305" i="13"/>
  <c r="Y1306" i="13"/>
  <c r="Y1307" i="13"/>
  <c r="Y1308" i="13"/>
  <c r="Y1309" i="13"/>
  <c r="Y1310" i="13"/>
  <c r="Y1311" i="13"/>
  <c r="Y1312" i="13"/>
  <c r="Y1313" i="13"/>
  <c r="Y1314" i="13"/>
  <c r="Y1315" i="13"/>
  <c r="Y1316" i="13"/>
  <c r="Y1317" i="13"/>
  <c r="Y1318" i="13"/>
  <c r="Y1319" i="13"/>
  <c r="Y1320" i="13"/>
  <c r="Y1321" i="13"/>
  <c r="Y1322" i="13"/>
  <c r="Y1323" i="13"/>
  <c r="Y1324" i="13"/>
  <c r="Y1325" i="13"/>
  <c r="Y1326" i="13"/>
  <c r="Y1327" i="13"/>
  <c r="Y1328" i="13"/>
  <c r="Y1329" i="13"/>
  <c r="Y1330" i="13"/>
  <c r="Y1331" i="13"/>
  <c r="Y1332" i="13"/>
  <c r="Y1333" i="13"/>
  <c r="Y1334" i="13"/>
  <c r="Y1335" i="13"/>
  <c r="Y1336" i="13"/>
  <c r="Y1337" i="13"/>
  <c r="Y1338" i="13"/>
  <c r="Y1339" i="13"/>
  <c r="Y1340" i="13"/>
  <c r="Y1341" i="13"/>
  <c r="Y1342" i="13"/>
  <c r="Y1343" i="13"/>
  <c r="Y1344" i="13"/>
  <c r="Y1345" i="13"/>
  <c r="Y1346" i="13"/>
  <c r="Y1347" i="13"/>
  <c r="Y1348" i="13"/>
  <c r="Y1349" i="13"/>
  <c r="Y1350" i="13"/>
  <c r="Y1351" i="13"/>
  <c r="Y1352" i="13"/>
  <c r="Y1353" i="13"/>
  <c r="Y1354" i="13"/>
  <c r="Y1355" i="13"/>
  <c r="Y1356" i="13"/>
  <c r="Y1357" i="13"/>
  <c r="Y1358" i="13"/>
  <c r="Y1359" i="13"/>
  <c r="Y1360" i="13"/>
  <c r="Y1361" i="13"/>
  <c r="Y1362" i="13"/>
  <c r="Y1363" i="13"/>
  <c r="Y1364" i="13"/>
  <c r="Y1365" i="13"/>
  <c r="Y1366" i="13"/>
  <c r="Y1367" i="13"/>
  <c r="Y1368" i="13"/>
  <c r="Y1369" i="13"/>
  <c r="Y1370" i="13"/>
  <c r="Y1371" i="13"/>
  <c r="Y1372" i="13"/>
  <c r="Y1373" i="13"/>
  <c r="Y1374" i="13"/>
  <c r="Y1375" i="13"/>
  <c r="Y1376" i="13"/>
  <c r="Y1377" i="13"/>
  <c r="Y1378" i="13"/>
  <c r="Y1379" i="13"/>
  <c r="Y1380" i="13"/>
  <c r="Y1381" i="13"/>
  <c r="Y1382" i="13"/>
  <c r="Y1383" i="13"/>
  <c r="Y1384" i="13"/>
  <c r="Y1385" i="13"/>
  <c r="Y1386" i="13"/>
  <c r="Y1387" i="13"/>
  <c r="Y1388" i="13"/>
  <c r="Y1389" i="13"/>
  <c r="Y1390" i="13"/>
  <c r="Y1391" i="13"/>
  <c r="Y1392" i="13"/>
  <c r="Y1393" i="13"/>
  <c r="Y1394" i="13"/>
  <c r="Y1395" i="13"/>
  <c r="Y1396" i="13"/>
  <c r="Y1397" i="13"/>
  <c r="Y1398" i="13"/>
  <c r="Y1399" i="13"/>
  <c r="Y1400" i="13"/>
  <c r="Y1401" i="13"/>
  <c r="Y1402" i="13"/>
  <c r="Y1403" i="13"/>
  <c r="Y1404" i="13"/>
  <c r="Y1405" i="13"/>
  <c r="Y1406" i="13"/>
  <c r="Y1407" i="13"/>
  <c r="Y1408" i="13"/>
  <c r="Y1409" i="13"/>
  <c r="Y1410" i="13"/>
  <c r="Y1411" i="13"/>
  <c r="Y1412" i="13"/>
  <c r="Y1413" i="13"/>
  <c r="Y1414" i="13"/>
  <c r="Y1415" i="13"/>
  <c r="Y1416" i="13"/>
  <c r="Y1417" i="13"/>
  <c r="Y1418" i="13"/>
  <c r="Y1419" i="13"/>
  <c r="Y1420" i="13"/>
  <c r="Y1421" i="13"/>
  <c r="Y1422" i="13"/>
  <c r="Y1423" i="13"/>
  <c r="Y1424" i="13"/>
  <c r="Y1425" i="13"/>
  <c r="Y1426" i="13"/>
  <c r="Y1427" i="13"/>
  <c r="Y1428" i="13"/>
  <c r="Y1429" i="13"/>
  <c r="Y1430" i="13"/>
  <c r="Y1431" i="13"/>
  <c r="Y1432" i="13"/>
  <c r="Y1433" i="13"/>
  <c r="Y1434" i="13"/>
  <c r="Y1435" i="13"/>
  <c r="Y1436" i="13"/>
  <c r="Y1437" i="13"/>
  <c r="Y1438" i="13"/>
  <c r="Y1439" i="13"/>
  <c r="Y1440" i="13"/>
  <c r="Y1441" i="13"/>
  <c r="Y1442" i="13"/>
  <c r="Y1443" i="13"/>
  <c r="Y1444" i="13"/>
  <c r="Y1445" i="13"/>
  <c r="Y1446" i="13"/>
  <c r="Y1447" i="13"/>
  <c r="Y1448" i="13"/>
  <c r="Y1449" i="13"/>
  <c r="Y1450" i="13"/>
  <c r="Y1451" i="13"/>
  <c r="Y1452" i="13"/>
  <c r="Y1453" i="13"/>
  <c r="Y1454" i="13"/>
  <c r="Y1455" i="13"/>
  <c r="Y1456" i="13"/>
  <c r="Y1457" i="13"/>
  <c r="Y1458" i="13"/>
  <c r="Y1459" i="13"/>
  <c r="Y1460" i="13"/>
  <c r="Y1461" i="13"/>
  <c r="Y1462" i="13"/>
  <c r="Y1463" i="13"/>
  <c r="Y1464" i="13"/>
  <c r="Y1465" i="13"/>
  <c r="Y1466" i="13"/>
  <c r="Y1467" i="13"/>
  <c r="Y1468" i="13"/>
  <c r="Y1469" i="13"/>
  <c r="Y1470" i="13"/>
  <c r="Y1471" i="13"/>
  <c r="Y1472" i="13"/>
  <c r="Y1473" i="13"/>
  <c r="Y1474" i="13"/>
  <c r="Y1475" i="13"/>
  <c r="Y1476" i="13"/>
  <c r="Y1477" i="13"/>
  <c r="Y1478" i="13"/>
  <c r="Y1479" i="13"/>
  <c r="Y1480" i="13"/>
  <c r="Y1481" i="13"/>
  <c r="Y1482" i="13"/>
  <c r="Y1483" i="13"/>
  <c r="Y1484" i="13"/>
  <c r="Y1485" i="13"/>
  <c r="Y1486" i="13"/>
  <c r="Y1487" i="13"/>
  <c r="Y1488" i="13"/>
  <c r="Y1489" i="13"/>
  <c r="Y1490" i="13"/>
  <c r="Y1491" i="13"/>
  <c r="Y1492" i="13"/>
  <c r="Y1493" i="13"/>
  <c r="Y1494" i="13"/>
  <c r="Y1495" i="13"/>
  <c r="Y1496" i="13"/>
  <c r="Y1497" i="13"/>
  <c r="Y1498" i="13"/>
  <c r="Y1499" i="13"/>
  <c r="Y1500" i="13"/>
  <c r="Y1501" i="13"/>
  <c r="Y1502" i="13"/>
  <c r="Y1503" i="13"/>
  <c r="Y1504" i="13"/>
  <c r="Y1505" i="13"/>
  <c r="Y1506" i="13"/>
  <c r="Y1507" i="13"/>
  <c r="Y1508" i="13"/>
  <c r="Y1509" i="13"/>
  <c r="Y1510" i="13"/>
  <c r="Y1511" i="13"/>
  <c r="Y1512" i="13"/>
  <c r="Y1513" i="13"/>
  <c r="Y1514" i="13"/>
  <c r="Y1515" i="13"/>
  <c r="Y1516" i="13"/>
  <c r="Y1517" i="13"/>
  <c r="Y1518" i="13"/>
  <c r="Y1519" i="13"/>
  <c r="Y1520" i="13"/>
  <c r="Y1521" i="13"/>
  <c r="Y1522" i="13"/>
  <c r="Y1523" i="13"/>
  <c r="Y1524" i="13"/>
  <c r="Y1525" i="13"/>
  <c r="Y1526" i="13"/>
  <c r="Y1527" i="13"/>
  <c r="Y1528" i="13"/>
  <c r="Y1529" i="13"/>
  <c r="Y1530" i="13"/>
  <c r="Y1531" i="13"/>
  <c r="Y1532" i="13"/>
  <c r="Y1533" i="13"/>
  <c r="Y1534" i="13"/>
  <c r="Y1535" i="13"/>
  <c r="Y1536" i="13"/>
  <c r="Y1537" i="13"/>
  <c r="Y1538" i="13"/>
  <c r="Y1539" i="13"/>
  <c r="Y1540" i="13"/>
  <c r="Y1541" i="13"/>
  <c r="Y1542" i="13"/>
  <c r="Y1543" i="13"/>
  <c r="Y1544" i="13"/>
  <c r="Y1545" i="13"/>
  <c r="Y1546" i="13"/>
  <c r="Y1547" i="13"/>
  <c r="Y1548" i="13"/>
  <c r="Y1549" i="13"/>
  <c r="Y1550" i="13"/>
  <c r="Y1551" i="13"/>
  <c r="Y1552" i="13"/>
  <c r="Y1553" i="13"/>
  <c r="Y1554" i="13"/>
  <c r="Y1555" i="13"/>
  <c r="Y1556" i="13"/>
  <c r="Y1557" i="13"/>
  <c r="Y1558" i="13"/>
  <c r="Y1559" i="13"/>
  <c r="Y1560" i="13"/>
  <c r="Y1561" i="13"/>
  <c r="Y1562" i="13"/>
  <c r="Y1563" i="13"/>
  <c r="Y1564" i="13"/>
  <c r="Y1565" i="13"/>
  <c r="Y1566" i="13"/>
  <c r="Y1567" i="13"/>
  <c r="Y1568" i="13"/>
  <c r="Y1569" i="13"/>
  <c r="Y1570" i="13"/>
  <c r="Y1571" i="13"/>
  <c r="Y1572" i="13"/>
  <c r="Y1573" i="13"/>
  <c r="Y1574" i="13"/>
  <c r="Y1575" i="13"/>
  <c r="Y1576" i="13"/>
  <c r="Y1577" i="13"/>
  <c r="Y1578" i="13"/>
  <c r="Y1579" i="13"/>
  <c r="Y1580" i="13"/>
  <c r="Y1581" i="13"/>
  <c r="Y1582" i="13"/>
  <c r="Y1583" i="13"/>
  <c r="Y1584" i="13"/>
  <c r="Y1585" i="13"/>
  <c r="Y1586" i="13"/>
  <c r="Y1587" i="13"/>
  <c r="Y1588" i="13"/>
  <c r="Y1589" i="13"/>
  <c r="Y1590" i="13"/>
  <c r="Y1591" i="13"/>
  <c r="Y1592" i="13"/>
  <c r="Y1593" i="13"/>
  <c r="Y1594" i="13"/>
  <c r="Y1595" i="13"/>
  <c r="Y1596" i="13"/>
  <c r="Y1597" i="13"/>
  <c r="Y1598" i="13"/>
  <c r="Y1599" i="13"/>
  <c r="Y1600" i="13"/>
  <c r="Y1601" i="13"/>
  <c r="Y1602" i="13"/>
  <c r="Y1603" i="13"/>
  <c r="Y1604" i="13"/>
  <c r="Y1605" i="13"/>
  <c r="Y1606" i="13"/>
  <c r="Y1607" i="13"/>
  <c r="Y1608" i="13"/>
  <c r="Y1609" i="13"/>
  <c r="Y1610" i="13"/>
  <c r="Y1611" i="13"/>
  <c r="Y1612" i="13"/>
  <c r="Y1613" i="13"/>
  <c r="Y1614" i="13"/>
  <c r="Y1615" i="13"/>
  <c r="Y1616" i="13"/>
  <c r="Y1617" i="13"/>
  <c r="Y1618" i="13"/>
  <c r="Y1619" i="13"/>
  <c r="Y1620" i="13"/>
  <c r="Y1621" i="13"/>
  <c r="Y1622" i="13"/>
  <c r="Y1623" i="13"/>
  <c r="Y1624" i="13"/>
  <c r="Y1625" i="13"/>
  <c r="Y1626" i="13"/>
  <c r="Y1627" i="13"/>
  <c r="Y1628" i="13"/>
  <c r="Y1629" i="13"/>
  <c r="Y1630" i="13"/>
  <c r="Y1631" i="13"/>
  <c r="Y1632" i="13"/>
  <c r="Y1633" i="13"/>
  <c r="Y1634" i="13"/>
  <c r="Y1635" i="13"/>
  <c r="Y1636" i="13"/>
  <c r="Y1637" i="13"/>
  <c r="Y1639" i="13"/>
  <c r="Y1640" i="13"/>
  <c r="Y1641" i="13"/>
  <c r="Y1642" i="13"/>
  <c r="Y1643" i="13"/>
  <c r="Y1644" i="13"/>
  <c r="Y1645" i="13"/>
  <c r="Y1646" i="13"/>
  <c r="Y1647" i="13"/>
  <c r="Y1648" i="13"/>
  <c r="Y1649" i="13"/>
  <c r="Y1650" i="13"/>
  <c r="Y1651" i="13"/>
  <c r="Y1652" i="13"/>
  <c r="Y1653" i="13"/>
  <c r="Y1654" i="13"/>
  <c r="Y1655" i="13"/>
  <c r="Y1656" i="13"/>
  <c r="Y1657" i="13"/>
  <c r="Y1658" i="13"/>
  <c r="Y1659" i="13"/>
  <c r="Y1660" i="13"/>
  <c r="Y1661" i="13"/>
  <c r="Y1662" i="13"/>
  <c r="Y1663" i="13"/>
  <c r="Y1664" i="13"/>
  <c r="Y1665" i="13"/>
  <c r="Y1666" i="13"/>
  <c r="Y1667" i="13"/>
  <c r="Y1668" i="13"/>
  <c r="Y1669" i="13"/>
  <c r="Y1670" i="13"/>
  <c r="Y1671" i="13"/>
  <c r="Y1672" i="13"/>
  <c r="Y1673" i="13"/>
  <c r="Y1674" i="13"/>
  <c r="Y1675" i="13"/>
  <c r="Y1676" i="13"/>
  <c r="Y1677" i="13"/>
  <c r="Y1678" i="13"/>
  <c r="Y1679" i="13"/>
  <c r="Y1680" i="13"/>
  <c r="Y1681" i="13"/>
  <c r="Y1682" i="13"/>
  <c r="Y1683" i="13"/>
  <c r="Y1684" i="13"/>
  <c r="Y1685" i="13"/>
  <c r="Y1686" i="13"/>
  <c r="Y1687" i="13"/>
  <c r="Y1688" i="13"/>
  <c r="Y1689" i="13"/>
  <c r="Y1690" i="13"/>
  <c r="Y1691" i="13"/>
  <c r="Y1692" i="13"/>
  <c r="Y1693" i="13"/>
  <c r="Y1694" i="13"/>
  <c r="Y1695" i="13"/>
  <c r="Y1696" i="13"/>
  <c r="Y1697" i="13"/>
  <c r="Y1698" i="13"/>
  <c r="Y1699" i="13"/>
  <c r="Y1700" i="13"/>
  <c r="Y1701" i="13"/>
  <c r="Y1702" i="13"/>
  <c r="Y1703" i="13"/>
  <c r="Y1704" i="13"/>
  <c r="Y1705" i="13"/>
  <c r="Y1706" i="13"/>
  <c r="Y1707" i="13"/>
  <c r="Y1708" i="13"/>
  <c r="Y1709" i="13"/>
  <c r="Y1710" i="13"/>
  <c r="Y1711" i="13"/>
  <c r="Y1712" i="13"/>
  <c r="Y1713" i="13"/>
  <c r="Y1714" i="13"/>
  <c r="Y1715" i="13"/>
  <c r="Y1716" i="13"/>
  <c r="Y1717" i="13"/>
  <c r="Y1718" i="13"/>
  <c r="Y1719" i="13"/>
  <c r="Y1720" i="13"/>
  <c r="Y1721" i="13"/>
  <c r="Y1722" i="13"/>
  <c r="Y1723" i="13"/>
  <c r="Y1724" i="13"/>
  <c r="Y1725" i="13"/>
  <c r="Y1726" i="13"/>
  <c r="Y1727" i="13"/>
  <c r="Y1728" i="13"/>
  <c r="Y1729" i="13"/>
  <c r="Y1730" i="13"/>
  <c r="Y1731" i="13"/>
  <c r="Y1732" i="13"/>
  <c r="Y1733" i="13"/>
  <c r="Y1734" i="13"/>
  <c r="Y1735" i="13"/>
  <c r="Y1736" i="13"/>
  <c r="Y1737" i="13"/>
  <c r="Y1738" i="13"/>
  <c r="Y1739" i="13"/>
  <c r="Y1740" i="13"/>
  <c r="Y1741" i="13"/>
  <c r="Y1742" i="13"/>
  <c r="Y1743" i="13"/>
  <c r="Y1744" i="13"/>
  <c r="Y1745" i="13"/>
  <c r="Y1746" i="13"/>
  <c r="Y1747" i="13"/>
  <c r="Y1748" i="13"/>
  <c r="Y1749" i="13"/>
  <c r="Y1750" i="13"/>
  <c r="Y1751" i="13"/>
  <c r="Y1752" i="13"/>
  <c r="Y1753" i="13"/>
  <c r="Y1754" i="13"/>
  <c r="Y1755" i="13"/>
  <c r="Y1756" i="13"/>
  <c r="Y1757" i="13"/>
  <c r="Y1758" i="13"/>
  <c r="Y1759" i="13"/>
  <c r="Y1760" i="13"/>
  <c r="Y1761" i="13"/>
  <c r="Y1762" i="13"/>
  <c r="Y1763" i="13"/>
  <c r="Y1764" i="13"/>
  <c r="Y1765" i="13"/>
  <c r="Y1766" i="13"/>
  <c r="Y1767" i="13"/>
  <c r="Y1768" i="13"/>
  <c r="Y1769" i="13"/>
  <c r="Y1770" i="13"/>
  <c r="Y1771" i="13"/>
  <c r="Y1772" i="13"/>
  <c r="Y1773" i="13"/>
  <c r="Y1774" i="13"/>
  <c r="Y1775" i="13"/>
  <c r="Y1776" i="13"/>
  <c r="Y1777" i="13"/>
  <c r="Y1778" i="13"/>
  <c r="Y1779" i="13"/>
  <c r="Y1780" i="13"/>
  <c r="Y1781" i="13"/>
  <c r="Y1782" i="13"/>
  <c r="Y1783" i="13"/>
  <c r="Y1784" i="13"/>
  <c r="Y1785" i="13"/>
  <c r="Y1786" i="13"/>
  <c r="Y1787" i="13"/>
  <c r="Y1788" i="13"/>
  <c r="Y1789" i="13"/>
  <c r="Y1790" i="13"/>
  <c r="Y1791" i="13"/>
  <c r="Y1792" i="13"/>
  <c r="Y1793" i="13"/>
  <c r="Y1794" i="13"/>
  <c r="Y1795" i="13"/>
  <c r="Y1796" i="13"/>
  <c r="Y1797" i="13"/>
  <c r="Y1798" i="13"/>
  <c r="Y1799" i="13"/>
  <c r="Y1800" i="13"/>
  <c r="Y1801" i="13"/>
  <c r="Y1802" i="13"/>
  <c r="Y1803" i="13"/>
  <c r="Y1804" i="13"/>
  <c r="Y1805" i="13"/>
  <c r="Y1806" i="13"/>
  <c r="Y1807" i="13"/>
  <c r="Y1808" i="13"/>
  <c r="Y1809" i="13"/>
  <c r="Y1810" i="13"/>
  <c r="Y1811" i="13"/>
  <c r="Y1812" i="13"/>
  <c r="Y1813" i="13"/>
  <c r="Y1814" i="13"/>
  <c r="Y1815" i="13"/>
  <c r="Y1816" i="13"/>
  <c r="Y1817" i="13"/>
  <c r="Y1818" i="13"/>
  <c r="Y1819" i="13"/>
  <c r="Y1820" i="13"/>
  <c r="Y1821" i="13"/>
  <c r="Y1822" i="13"/>
  <c r="Y1823" i="13"/>
  <c r="Y1824" i="13"/>
  <c r="Y1825" i="13"/>
  <c r="Y1826" i="13"/>
  <c r="Y1827" i="13"/>
  <c r="Y1828" i="13"/>
  <c r="Y1829" i="13"/>
  <c r="Y1830" i="13"/>
  <c r="Y1831" i="13"/>
  <c r="Y1832" i="13"/>
  <c r="Y1833" i="13"/>
  <c r="Y1834" i="13"/>
  <c r="Y1835" i="13"/>
  <c r="Y1836" i="13"/>
  <c r="Y1837" i="13"/>
  <c r="Y1838" i="13"/>
  <c r="Y1839" i="13"/>
  <c r="Y1840" i="13"/>
  <c r="Y1841" i="13"/>
  <c r="Y1842" i="13"/>
  <c r="Y1843" i="13"/>
  <c r="Y1844" i="13"/>
  <c r="Y1845" i="13"/>
  <c r="Y1846" i="13"/>
  <c r="Y1847" i="13"/>
  <c r="Y1848" i="13"/>
  <c r="Y1849" i="13"/>
  <c r="Y1850" i="13"/>
  <c r="Y1851" i="13"/>
  <c r="Y1852" i="13"/>
  <c r="Y1853" i="13"/>
  <c r="Y1854" i="13"/>
  <c r="Y1855" i="13"/>
  <c r="Y1856" i="13"/>
  <c r="Y1857" i="13"/>
  <c r="Y1858" i="13"/>
  <c r="Y1859" i="13"/>
  <c r="Y1860" i="13"/>
  <c r="Y1861" i="13"/>
  <c r="Y1862" i="13"/>
  <c r="Y1863" i="13"/>
  <c r="Y1864" i="13"/>
  <c r="Y1865" i="13"/>
  <c r="Y1866" i="13"/>
  <c r="Y1867" i="13"/>
  <c r="Y1868" i="13"/>
  <c r="Y1869" i="13"/>
  <c r="Y1870" i="13"/>
  <c r="Y1871" i="13"/>
  <c r="Y1872" i="13"/>
  <c r="Y1873" i="13"/>
  <c r="Y1874" i="13"/>
  <c r="Y1875" i="13"/>
  <c r="Y1876" i="13"/>
  <c r="Y1877" i="13"/>
  <c r="Y1878" i="13"/>
  <c r="Y1879" i="13"/>
  <c r="Y1880" i="13"/>
  <c r="Y1881" i="13"/>
  <c r="Y1882" i="13"/>
  <c r="Y1883" i="13"/>
  <c r="Y1884" i="13"/>
  <c r="Y1885" i="13"/>
  <c r="Y1886" i="13"/>
  <c r="Y1887" i="13"/>
  <c r="Y1888" i="13"/>
  <c r="Y1889" i="13"/>
  <c r="Y1890" i="13"/>
  <c r="Y1891" i="13"/>
  <c r="Y1892" i="13"/>
  <c r="Y1893" i="13"/>
  <c r="Y1894" i="13"/>
  <c r="Y1895" i="13"/>
  <c r="Y1896" i="13"/>
  <c r="Y1897" i="13"/>
  <c r="Y1898" i="13"/>
  <c r="Y1899" i="13"/>
  <c r="Y1900" i="13"/>
  <c r="Y1901" i="13"/>
  <c r="Y1902" i="13"/>
  <c r="Y1903" i="13"/>
  <c r="Y1904" i="13"/>
  <c r="Y1905" i="13"/>
  <c r="Y1906" i="13"/>
  <c r="Y1907" i="13"/>
  <c r="Y1908" i="13"/>
  <c r="Y1909" i="13"/>
  <c r="Y1910" i="13"/>
  <c r="Y1911" i="13"/>
  <c r="Y1912" i="13"/>
  <c r="Y1913" i="13"/>
  <c r="Y1914" i="13"/>
  <c r="Y1915" i="13"/>
  <c r="Y1916" i="13"/>
  <c r="Y1917" i="13"/>
  <c r="Y1918" i="13"/>
  <c r="Y1919" i="13"/>
  <c r="Y1920" i="13"/>
  <c r="Y1921" i="13"/>
  <c r="Y1922" i="13"/>
  <c r="Y1923" i="13"/>
  <c r="Y1924" i="13"/>
  <c r="Y1925" i="13"/>
  <c r="Y1926" i="13"/>
  <c r="Y1927" i="13"/>
  <c r="Y1928" i="13"/>
  <c r="Y1929" i="13"/>
  <c r="Y1930" i="13"/>
  <c r="Y1931" i="13"/>
  <c r="Y1932" i="13"/>
  <c r="Y1933" i="13"/>
  <c r="Y1934" i="13"/>
  <c r="Y1935" i="13"/>
  <c r="Y1936" i="13"/>
  <c r="Y1937" i="13"/>
  <c r="Y1938" i="13"/>
  <c r="Y1939" i="13"/>
  <c r="Y1940" i="13"/>
  <c r="Y1941" i="13"/>
  <c r="Y1942" i="13"/>
  <c r="Y1943" i="13"/>
  <c r="Y1944" i="13"/>
  <c r="Y1945" i="13"/>
  <c r="Y1946" i="13"/>
  <c r="Y1947" i="13"/>
  <c r="Y1948" i="13"/>
  <c r="Y1949" i="13"/>
  <c r="Y1950" i="13"/>
  <c r="Y1951" i="13"/>
  <c r="Y1952" i="13"/>
  <c r="Y1953" i="13"/>
  <c r="Y1954" i="13"/>
  <c r="Y1955" i="13"/>
  <c r="Y1957" i="13"/>
  <c r="Y1958" i="13"/>
  <c r="Y1959" i="13"/>
  <c r="Y1960" i="13"/>
  <c r="Y1961" i="13"/>
  <c r="Y1962" i="13"/>
  <c r="Y1963" i="13"/>
  <c r="Y1964" i="13"/>
  <c r="Y1965" i="13"/>
  <c r="Y1966" i="13"/>
  <c r="Y1967" i="13"/>
  <c r="Y1968" i="13"/>
  <c r="Y1969" i="13"/>
  <c r="Y1970" i="13"/>
  <c r="Y1971" i="13"/>
  <c r="Y1972" i="13"/>
  <c r="Y1973" i="13"/>
  <c r="Y1974" i="13"/>
  <c r="Y1975" i="13"/>
  <c r="Y1976" i="13"/>
  <c r="Y1977" i="13"/>
  <c r="Y1978" i="13"/>
  <c r="Y1979" i="13"/>
  <c r="Y1980" i="13"/>
  <c r="Y1981" i="13"/>
  <c r="Y1982" i="13"/>
  <c r="Y1983" i="13"/>
  <c r="Y1984" i="13"/>
  <c r="Y1985" i="13"/>
  <c r="Y1986" i="13"/>
  <c r="Y1987" i="13"/>
  <c r="Y1988" i="13"/>
  <c r="Y1989" i="13"/>
  <c r="Y1990" i="13"/>
  <c r="Y1991" i="13"/>
  <c r="Y1992" i="13"/>
  <c r="Y1993" i="13"/>
  <c r="Y1994" i="13"/>
  <c r="Y1995" i="13"/>
  <c r="Y1996" i="13"/>
  <c r="Y1997" i="13"/>
  <c r="Y1998" i="13"/>
  <c r="Y1999" i="13"/>
  <c r="Y2000" i="13"/>
  <c r="Y2001" i="13"/>
  <c r="Y2002" i="13"/>
  <c r="Y2003" i="13"/>
  <c r="Y2004" i="13"/>
  <c r="Y2005" i="13"/>
  <c r="Y2006" i="13"/>
  <c r="Y2007" i="13"/>
  <c r="Y2008" i="13"/>
  <c r="Y2009" i="13"/>
  <c r="Y2010" i="13"/>
  <c r="Y2011" i="13"/>
  <c r="Y2012" i="13"/>
  <c r="Y2013" i="13"/>
  <c r="Y2014" i="13"/>
  <c r="Y2015" i="13"/>
  <c r="Y2016" i="13"/>
  <c r="Y2017" i="13"/>
  <c r="Y2018" i="13"/>
  <c r="Y2019" i="13"/>
  <c r="Y2020" i="13"/>
  <c r="Y2021" i="13"/>
  <c r="Y2022" i="13"/>
  <c r="Y2023" i="13"/>
  <c r="Y2024" i="13"/>
  <c r="Y2025" i="13"/>
  <c r="Y2026" i="13"/>
  <c r="Y2027" i="13"/>
  <c r="Y2028" i="13"/>
  <c r="Y2029" i="13"/>
  <c r="Y2030" i="13"/>
  <c r="Y2031" i="13"/>
  <c r="Y2032" i="13"/>
  <c r="Y2033" i="13"/>
  <c r="Y2034" i="13"/>
  <c r="Y2035" i="13"/>
  <c r="Y2036" i="13"/>
  <c r="Y2037" i="13"/>
  <c r="Y2038" i="13"/>
  <c r="Y2039" i="13"/>
  <c r="Y2040" i="13"/>
  <c r="Y2041" i="13"/>
  <c r="Y2042" i="13"/>
  <c r="Y2043" i="13"/>
  <c r="Y2044" i="13"/>
  <c r="Y2045" i="13"/>
  <c r="Y2046" i="13"/>
  <c r="Y2047" i="13"/>
  <c r="Y2048" i="13"/>
  <c r="Y2049" i="13"/>
  <c r="Y2050" i="13"/>
  <c r="Y2051" i="13"/>
  <c r="Y2052" i="13"/>
  <c r="Y2053" i="13"/>
  <c r="Y2054" i="13"/>
  <c r="Y2055" i="13"/>
  <c r="Y2056" i="13"/>
  <c r="Y2057" i="13"/>
  <c r="Y2058" i="13"/>
  <c r="Y2059" i="13"/>
  <c r="Y2060" i="13"/>
  <c r="Y2061" i="13"/>
  <c r="Y2062" i="13"/>
  <c r="Y2063" i="13"/>
  <c r="Y2064" i="13"/>
  <c r="Y2065" i="13"/>
  <c r="Y2066" i="13"/>
  <c r="Y2067" i="13"/>
  <c r="Y2068" i="13"/>
  <c r="Y2069" i="13"/>
  <c r="Y2070" i="13"/>
  <c r="Y2071" i="13"/>
  <c r="Y2072" i="13"/>
  <c r="Y2073" i="13"/>
  <c r="Y2074" i="13"/>
  <c r="Y2075" i="13"/>
  <c r="Y2076" i="13"/>
  <c r="Y2077" i="13"/>
  <c r="Y2078" i="13"/>
  <c r="Y2079" i="13"/>
  <c r="Y2080" i="13"/>
  <c r="Y2081" i="13"/>
  <c r="Y2082" i="13"/>
  <c r="I8" i="13"/>
  <c r="I9" i="13"/>
  <c r="I10" i="13"/>
  <c r="I11" i="13"/>
  <c r="I12" i="13"/>
  <c r="I13" i="13"/>
  <c r="I14" i="13"/>
  <c r="I15" i="13"/>
  <c r="I16" i="13"/>
  <c r="I17" i="13"/>
  <c r="I18" i="13"/>
  <c r="I19" i="13"/>
  <c r="I20" i="13"/>
  <c r="I21" i="13"/>
  <c r="I22" i="13"/>
  <c r="I23" i="13"/>
  <c r="I24" i="13"/>
  <c r="I25" i="13"/>
  <c r="I26" i="13"/>
  <c r="I27" i="13"/>
  <c r="I28" i="13"/>
  <c r="I29" i="13"/>
  <c r="I30" i="13"/>
  <c r="I31" i="13"/>
  <c r="I32" i="13"/>
  <c r="I33" i="13"/>
  <c r="I34" i="13"/>
  <c r="I35" i="13"/>
  <c r="I36" i="13"/>
  <c r="I37" i="13"/>
  <c r="I38" i="13"/>
  <c r="I39" i="13"/>
  <c r="I40" i="13"/>
  <c r="I41" i="13"/>
  <c r="I42" i="13"/>
  <c r="I43" i="13"/>
  <c r="I44" i="13"/>
  <c r="I45" i="13"/>
  <c r="I46" i="13"/>
  <c r="I47" i="13"/>
  <c r="I48" i="13"/>
  <c r="I49" i="13"/>
  <c r="I50" i="13"/>
  <c r="I51" i="13"/>
  <c r="I52" i="13"/>
  <c r="I53" i="13"/>
  <c r="I54" i="13"/>
  <c r="I55" i="13"/>
  <c r="I56" i="13"/>
  <c r="I57" i="13"/>
  <c r="I58" i="13"/>
  <c r="I59" i="13"/>
  <c r="I60" i="13"/>
  <c r="I61" i="13"/>
  <c r="I62" i="13"/>
  <c r="I63" i="13"/>
  <c r="I64" i="13"/>
  <c r="I65" i="13"/>
  <c r="I66" i="13"/>
  <c r="I67" i="13"/>
  <c r="I68" i="13"/>
  <c r="I69" i="13"/>
  <c r="I70" i="13"/>
  <c r="I71" i="13"/>
  <c r="I72" i="13"/>
  <c r="I73" i="13"/>
  <c r="I74" i="13"/>
  <c r="I75" i="13"/>
  <c r="I76" i="13"/>
  <c r="I77" i="13"/>
  <c r="I78" i="13"/>
  <c r="I79" i="13"/>
  <c r="I80" i="13"/>
  <c r="I81" i="13"/>
  <c r="I82" i="13"/>
  <c r="I83" i="13"/>
  <c r="I84" i="13"/>
  <c r="I85" i="13"/>
  <c r="I86" i="13"/>
  <c r="I87" i="13"/>
  <c r="I88" i="13"/>
  <c r="I89" i="13"/>
  <c r="I90" i="13"/>
  <c r="I91" i="13"/>
  <c r="I92" i="13"/>
  <c r="I93" i="13"/>
  <c r="I94" i="13"/>
  <c r="I95" i="13"/>
  <c r="I96" i="13"/>
  <c r="I97" i="13"/>
  <c r="I98" i="13"/>
  <c r="I99" i="13"/>
  <c r="I100" i="13"/>
  <c r="I101" i="13"/>
  <c r="I102" i="13"/>
  <c r="I103" i="13"/>
  <c r="I104" i="13"/>
  <c r="I105" i="13"/>
  <c r="I106" i="13"/>
  <c r="I107" i="13"/>
  <c r="I108" i="13"/>
  <c r="I109" i="13"/>
  <c r="I110" i="13"/>
  <c r="I111" i="13"/>
  <c r="I112" i="13"/>
  <c r="I113" i="13"/>
  <c r="I114" i="13"/>
  <c r="I115" i="13"/>
  <c r="I116" i="13"/>
  <c r="I117" i="13"/>
  <c r="I118" i="13"/>
  <c r="I119" i="13"/>
  <c r="I120" i="13"/>
  <c r="I121" i="13"/>
  <c r="I122" i="13"/>
  <c r="I123" i="13"/>
  <c r="I124" i="13"/>
  <c r="I125" i="13"/>
  <c r="I126" i="13"/>
  <c r="I127" i="13"/>
  <c r="I128" i="13"/>
  <c r="I129" i="13"/>
  <c r="I130" i="13"/>
  <c r="I131" i="13"/>
  <c r="I132" i="13"/>
  <c r="I133" i="13"/>
  <c r="I134" i="13"/>
  <c r="I135" i="13"/>
  <c r="I136" i="13"/>
  <c r="I137" i="13"/>
  <c r="I138" i="13"/>
  <c r="I139" i="13"/>
  <c r="I140" i="13"/>
  <c r="I141" i="13"/>
  <c r="I142" i="13"/>
  <c r="I143" i="13"/>
  <c r="I144" i="13"/>
  <c r="I145" i="13"/>
  <c r="I146" i="13"/>
  <c r="I147" i="13"/>
  <c r="I148" i="13"/>
  <c r="I149" i="13"/>
  <c r="I150" i="13"/>
  <c r="I151" i="13"/>
  <c r="I152" i="13"/>
  <c r="I153" i="13"/>
  <c r="I154" i="13"/>
  <c r="I155" i="13"/>
  <c r="I156" i="13"/>
  <c r="I157" i="13"/>
  <c r="I158" i="13"/>
  <c r="I159" i="13"/>
  <c r="I160" i="13"/>
  <c r="I161" i="13"/>
  <c r="I162" i="13"/>
  <c r="I163" i="13"/>
  <c r="I164" i="13"/>
  <c r="I165" i="13"/>
  <c r="I166" i="13"/>
  <c r="I167" i="13"/>
  <c r="I168" i="13"/>
  <c r="I169" i="13"/>
  <c r="I170" i="13"/>
  <c r="I171" i="13"/>
  <c r="I172" i="13"/>
  <c r="I173" i="13"/>
  <c r="I174" i="13"/>
  <c r="I175" i="13"/>
  <c r="I176" i="13"/>
  <c r="I177" i="13"/>
  <c r="I178" i="13"/>
  <c r="I179" i="13"/>
  <c r="I180" i="13"/>
  <c r="I181" i="13"/>
  <c r="I182" i="13"/>
  <c r="I183" i="13"/>
  <c r="I184" i="13"/>
  <c r="I185" i="13"/>
  <c r="I186" i="13"/>
  <c r="I187" i="13"/>
  <c r="I188" i="13"/>
  <c r="I189" i="13"/>
  <c r="I190" i="13"/>
  <c r="I191" i="13"/>
  <c r="I192" i="13"/>
  <c r="I193" i="13"/>
  <c r="I194" i="13"/>
  <c r="I195" i="13"/>
  <c r="I196" i="13"/>
  <c r="I197" i="13"/>
  <c r="I198" i="13"/>
  <c r="I199" i="13"/>
  <c r="I200" i="13"/>
  <c r="I201" i="13"/>
  <c r="I202" i="13"/>
  <c r="I203" i="13"/>
  <c r="I204" i="13"/>
  <c r="I205" i="13"/>
  <c r="I206" i="13"/>
  <c r="I207" i="13"/>
  <c r="I208" i="13"/>
  <c r="I209" i="13"/>
  <c r="I210" i="13"/>
  <c r="I211" i="13"/>
  <c r="I212" i="13"/>
  <c r="I213" i="13"/>
  <c r="I214" i="13"/>
  <c r="I215" i="13"/>
  <c r="I216" i="13"/>
  <c r="I217" i="13"/>
  <c r="I218" i="13"/>
  <c r="I219" i="13"/>
  <c r="I220" i="13"/>
  <c r="I221" i="13"/>
  <c r="I222" i="13"/>
  <c r="I223" i="13"/>
  <c r="I224" i="13"/>
  <c r="I225" i="13"/>
  <c r="I226" i="13"/>
  <c r="I227" i="13"/>
  <c r="I228" i="13"/>
  <c r="I229" i="13"/>
  <c r="I230" i="13"/>
  <c r="I231" i="13"/>
  <c r="I232" i="13"/>
  <c r="I233" i="13"/>
  <c r="I234" i="13"/>
  <c r="I235" i="13"/>
  <c r="I236" i="13"/>
  <c r="I237" i="13"/>
  <c r="I238" i="13"/>
  <c r="I239" i="13"/>
  <c r="I240" i="13"/>
  <c r="I241" i="13"/>
  <c r="I242" i="13"/>
  <c r="I243" i="13"/>
  <c r="I244" i="13"/>
  <c r="I245" i="13"/>
  <c r="I246" i="13"/>
  <c r="I247" i="13"/>
  <c r="I248" i="13"/>
  <c r="I249" i="13"/>
  <c r="I250" i="13"/>
  <c r="I251" i="13"/>
  <c r="I252" i="13"/>
  <c r="I253" i="13"/>
  <c r="I254" i="13"/>
  <c r="I255" i="13"/>
  <c r="I256" i="13"/>
  <c r="I257" i="13"/>
  <c r="I258" i="13"/>
  <c r="I259" i="13"/>
  <c r="I260" i="13"/>
  <c r="I261" i="13"/>
  <c r="I262" i="13"/>
  <c r="I263" i="13"/>
  <c r="I264" i="13"/>
  <c r="I265" i="13"/>
  <c r="I266" i="13"/>
  <c r="I267" i="13"/>
  <c r="I268" i="13"/>
  <c r="I269" i="13"/>
  <c r="I270" i="13"/>
  <c r="I271" i="13"/>
  <c r="I272" i="13"/>
  <c r="I273" i="13"/>
  <c r="I274" i="13"/>
  <c r="I275" i="13"/>
  <c r="I276" i="13"/>
  <c r="I277" i="13"/>
  <c r="I278" i="13"/>
  <c r="I279" i="13"/>
  <c r="I280" i="13"/>
  <c r="I281" i="13"/>
  <c r="I282" i="13"/>
  <c r="I283" i="13"/>
  <c r="I284" i="13"/>
  <c r="I285" i="13"/>
  <c r="I286" i="13"/>
  <c r="I287" i="13"/>
  <c r="I288" i="13"/>
  <c r="I289" i="13"/>
  <c r="I290" i="13"/>
  <c r="I291" i="13"/>
  <c r="I292" i="13"/>
  <c r="I293" i="13"/>
  <c r="I294" i="13"/>
  <c r="I295" i="13"/>
  <c r="I296" i="13"/>
  <c r="I297" i="13"/>
  <c r="I298" i="13"/>
  <c r="I299" i="13"/>
  <c r="I300" i="13"/>
  <c r="I301" i="13"/>
  <c r="I302" i="13"/>
  <c r="I303" i="13"/>
  <c r="I304" i="13"/>
  <c r="I305" i="13"/>
  <c r="I306" i="13"/>
  <c r="I307" i="13"/>
  <c r="I308" i="13"/>
  <c r="I309" i="13"/>
  <c r="I310" i="13"/>
  <c r="I311" i="13"/>
  <c r="I312" i="13"/>
  <c r="I313" i="13"/>
  <c r="I314" i="13"/>
  <c r="I315" i="13"/>
  <c r="I316" i="13"/>
  <c r="I317" i="13"/>
  <c r="I318" i="13"/>
  <c r="I319" i="13"/>
  <c r="I320" i="13"/>
  <c r="I321" i="13"/>
  <c r="I322" i="13"/>
  <c r="I323" i="13"/>
  <c r="I324" i="13"/>
  <c r="I325" i="13"/>
  <c r="I326" i="13"/>
  <c r="I327" i="13"/>
  <c r="I328" i="13"/>
  <c r="I329" i="13"/>
  <c r="I330" i="13"/>
  <c r="I331" i="13"/>
  <c r="I332" i="13"/>
  <c r="I333" i="13"/>
  <c r="I334" i="13"/>
  <c r="I335" i="13"/>
  <c r="I336" i="13"/>
  <c r="I337" i="13"/>
  <c r="I338" i="13"/>
  <c r="I339" i="13"/>
  <c r="I340" i="13"/>
  <c r="I341" i="13"/>
  <c r="I342" i="13"/>
  <c r="I343" i="13"/>
  <c r="I344" i="13"/>
  <c r="I345" i="13"/>
  <c r="I346" i="13"/>
  <c r="I347" i="13"/>
  <c r="I348" i="13"/>
  <c r="I349" i="13"/>
  <c r="I350" i="13"/>
  <c r="I351" i="13"/>
  <c r="I352" i="13"/>
  <c r="I353" i="13"/>
  <c r="I354" i="13"/>
  <c r="I355" i="13"/>
  <c r="I356" i="13"/>
  <c r="I357" i="13"/>
  <c r="I358" i="13"/>
  <c r="I359" i="13"/>
  <c r="I360" i="13"/>
  <c r="I361" i="13"/>
  <c r="I362" i="13"/>
  <c r="I363" i="13"/>
  <c r="I364" i="13"/>
  <c r="I365" i="13"/>
  <c r="I366" i="13"/>
  <c r="I367" i="13"/>
  <c r="I368" i="13"/>
  <c r="I369" i="13"/>
  <c r="I370" i="13"/>
  <c r="I371" i="13"/>
  <c r="I372" i="13"/>
  <c r="I373" i="13"/>
  <c r="I374" i="13"/>
  <c r="I375" i="13"/>
  <c r="I376" i="13"/>
  <c r="I377" i="13"/>
  <c r="I378" i="13"/>
  <c r="I379" i="13"/>
  <c r="I380" i="13"/>
  <c r="I381" i="13"/>
  <c r="I382" i="13"/>
  <c r="I383" i="13"/>
  <c r="I384" i="13"/>
  <c r="I385" i="13"/>
  <c r="I386" i="13"/>
  <c r="I387" i="13"/>
  <c r="I388" i="13"/>
  <c r="I389" i="13"/>
  <c r="I390" i="13"/>
  <c r="I391" i="13"/>
  <c r="I392" i="13"/>
  <c r="I393" i="13"/>
  <c r="I394" i="13"/>
  <c r="I395" i="13"/>
  <c r="I396" i="13"/>
  <c r="I397" i="13"/>
  <c r="I398" i="13"/>
  <c r="I399" i="13"/>
  <c r="I400" i="13"/>
  <c r="I401" i="13"/>
  <c r="I402" i="13"/>
  <c r="I403" i="13"/>
  <c r="I404" i="13"/>
  <c r="I405" i="13"/>
  <c r="I406" i="13"/>
  <c r="I407" i="13"/>
  <c r="I408" i="13"/>
  <c r="I409" i="13"/>
  <c r="I410" i="13"/>
  <c r="I411" i="13"/>
  <c r="I412" i="13"/>
  <c r="I413" i="13"/>
  <c r="I414" i="13"/>
  <c r="I415" i="13"/>
  <c r="I416" i="13"/>
  <c r="I417" i="13"/>
  <c r="I418" i="13"/>
  <c r="I419" i="13"/>
  <c r="I420" i="13"/>
  <c r="I421" i="13"/>
  <c r="I422" i="13"/>
  <c r="I423" i="13"/>
  <c r="I424" i="13"/>
  <c r="I425" i="13"/>
  <c r="I426" i="13"/>
  <c r="I427" i="13"/>
  <c r="I428" i="13"/>
  <c r="I429" i="13"/>
  <c r="I430" i="13"/>
  <c r="I431" i="13"/>
  <c r="I432" i="13"/>
  <c r="I433" i="13"/>
  <c r="I434" i="13"/>
  <c r="I435" i="13"/>
  <c r="I436" i="13"/>
  <c r="I437" i="13"/>
  <c r="I438" i="13"/>
  <c r="I439" i="13"/>
  <c r="I440" i="13"/>
  <c r="I441" i="13"/>
  <c r="I442" i="13"/>
  <c r="I443" i="13"/>
  <c r="I444" i="13"/>
  <c r="I445" i="13"/>
  <c r="I446" i="13"/>
  <c r="I447" i="13"/>
  <c r="I448" i="13"/>
  <c r="I449" i="13"/>
  <c r="I450" i="13"/>
  <c r="I451" i="13"/>
  <c r="I452" i="13"/>
  <c r="I453" i="13"/>
  <c r="I454" i="13"/>
  <c r="I455" i="13"/>
  <c r="I456" i="13"/>
  <c r="I457" i="13"/>
  <c r="I458" i="13"/>
  <c r="I459" i="13"/>
  <c r="I460" i="13"/>
  <c r="I461" i="13"/>
  <c r="I462" i="13"/>
  <c r="I463" i="13"/>
  <c r="I464" i="13"/>
  <c r="I465" i="13"/>
  <c r="I466" i="13"/>
  <c r="I467" i="13"/>
  <c r="I468" i="13"/>
  <c r="I469" i="13"/>
  <c r="I470" i="13"/>
  <c r="I471" i="13"/>
  <c r="I472" i="13"/>
  <c r="I473" i="13"/>
  <c r="I474" i="13"/>
  <c r="I475" i="13"/>
  <c r="I476" i="13"/>
  <c r="I477" i="13"/>
  <c r="I478" i="13"/>
  <c r="I479" i="13"/>
  <c r="I480" i="13"/>
  <c r="I481" i="13"/>
  <c r="I482" i="13"/>
  <c r="I483" i="13"/>
  <c r="I484" i="13"/>
  <c r="I485" i="13"/>
  <c r="I486" i="13"/>
  <c r="I487" i="13"/>
  <c r="I488" i="13"/>
  <c r="I489" i="13"/>
  <c r="I490" i="13"/>
  <c r="I491" i="13"/>
  <c r="I492" i="13"/>
  <c r="I493" i="13"/>
  <c r="I494" i="13"/>
  <c r="I495" i="13"/>
  <c r="I496" i="13"/>
  <c r="I497" i="13"/>
  <c r="I498" i="13"/>
  <c r="I499" i="13"/>
  <c r="I500" i="13"/>
  <c r="I501" i="13"/>
  <c r="I502" i="13"/>
  <c r="I503" i="13"/>
  <c r="I504" i="13"/>
  <c r="I505" i="13"/>
  <c r="I506" i="13"/>
  <c r="I507" i="13"/>
  <c r="I508" i="13"/>
  <c r="I509" i="13"/>
  <c r="I510" i="13"/>
  <c r="I511" i="13"/>
  <c r="I512" i="13"/>
  <c r="I513" i="13"/>
  <c r="I514" i="13"/>
  <c r="I515" i="13"/>
  <c r="I516" i="13"/>
  <c r="I517" i="13"/>
  <c r="I518" i="13"/>
  <c r="I519" i="13"/>
  <c r="I520" i="13"/>
  <c r="I521" i="13"/>
  <c r="I522" i="13"/>
  <c r="I523" i="13"/>
  <c r="I524" i="13"/>
  <c r="I525" i="13"/>
  <c r="I526" i="13"/>
  <c r="I527" i="13"/>
  <c r="I528" i="13"/>
  <c r="I529" i="13"/>
  <c r="I530" i="13"/>
  <c r="I531" i="13"/>
  <c r="I532" i="13"/>
  <c r="I533" i="13"/>
  <c r="I534" i="13"/>
  <c r="I535" i="13"/>
  <c r="I536" i="13"/>
  <c r="I537" i="13"/>
  <c r="I538" i="13"/>
  <c r="I539" i="13"/>
  <c r="I540" i="13"/>
  <c r="I541" i="13"/>
  <c r="I542" i="13"/>
  <c r="I543" i="13"/>
  <c r="I544" i="13"/>
  <c r="I545" i="13"/>
  <c r="I546" i="13"/>
  <c r="I547" i="13"/>
  <c r="I548" i="13"/>
  <c r="I549" i="13"/>
  <c r="I550" i="13"/>
  <c r="I551" i="13"/>
  <c r="I552" i="13"/>
  <c r="I553" i="13"/>
  <c r="I554" i="13"/>
  <c r="I555" i="13"/>
  <c r="I556" i="13"/>
  <c r="I557" i="13"/>
  <c r="I558" i="13"/>
  <c r="I559" i="13"/>
  <c r="I560" i="13"/>
  <c r="I561" i="13"/>
  <c r="I562" i="13"/>
  <c r="I563" i="13"/>
  <c r="I564" i="13"/>
  <c r="I565" i="13"/>
  <c r="I566" i="13"/>
  <c r="I567" i="13"/>
  <c r="I568" i="13"/>
  <c r="I569" i="13"/>
  <c r="I570" i="13"/>
  <c r="I571" i="13"/>
  <c r="I572" i="13"/>
  <c r="I573" i="13"/>
  <c r="I574" i="13"/>
  <c r="I575" i="13"/>
  <c r="I576" i="13"/>
  <c r="I577" i="13"/>
  <c r="I578" i="13"/>
  <c r="I579" i="13"/>
  <c r="I580" i="13"/>
  <c r="I581" i="13"/>
  <c r="I582" i="13"/>
  <c r="I583" i="13"/>
  <c r="I584" i="13"/>
  <c r="I585" i="13"/>
  <c r="I586" i="13"/>
  <c r="I587" i="13"/>
  <c r="I588" i="13"/>
  <c r="I589" i="13"/>
  <c r="I590" i="13"/>
  <c r="I591" i="13"/>
  <c r="I592" i="13"/>
  <c r="I593" i="13"/>
  <c r="I594" i="13"/>
  <c r="I595" i="13"/>
  <c r="I596" i="13"/>
  <c r="I597" i="13"/>
  <c r="I598" i="13"/>
  <c r="I599" i="13"/>
  <c r="I600" i="13"/>
  <c r="I601" i="13"/>
  <c r="I602" i="13"/>
  <c r="I603" i="13"/>
  <c r="I604" i="13"/>
  <c r="I605" i="13"/>
  <c r="I606" i="13"/>
  <c r="I607" i="13"/>
  <c r="I608" i="13"/>
  <c r="I609" i="13"/>
  <c r="I610" i="13"/>
  <c r="I611" i="13"/>
  <c r="I612" i="13"/>
  <c r="I613" i="13"/>
  <c r="I614" i="13"/>
  <c r="I615" i="13"/>
  <c r="I616" i="13"/>
  <c r="I617" i="13"/>
  <c r="I618" i="13"/>
  <c r="I619" i="13"/>
  <c r="I620" i="13"/>
  <c r="I621" i="13"/>
  <c r="I622" i="13"/>
  <c r="I623" i="13"/>
  <c r="I624" i="13"/>
  <c r="I625" i="13"/>
  <c r="I626" i="13"/>
  <c r="I627" i="13"/>
  <c r="I628" i="13"/>
  <c r="I629" i="13"/>
  <c r="I630" i="13"/>
  <c r="I631" i="13"/>
  <c r="I632" i="13"/>
  <c r="I633" i="13"/>
  <c r="I634" i="13"/>
  <c r="I635" i="13"/>
  <c r="I636" i="13"/>
  <c r="I637" i="13"/>
  <c r="I638" i="13"/>
  <c r="I639" i="13"/>
  <c r="I640" i="13"/>
  <c r="I641" i="13"/>
  <c r="I642" i="13"/>
  <c r="I643" i="13"/>
  <c r="I644" i="13"/>
  <c r="I645" i="13"/>
  <c r="I646" i="13"/>
  <c r="I647" i="13"/>
  <c r="I648" i="13"/>
  <c r="I649" i="13"/>
  <c r="I650" i="13"/>
  <c r="I651" i="13"/>
  <c r="I652" i="13"/>
  <c r="I653" i="13"/>
  <c r="I654" i="13"/>
  <c r="I655" i="13"/>
  <c r="I656" i="13"/>
  <c r="I657" i="13"/>
  <c r="I658" i="13"/>
  <c r="I659" i="13"/>
  <c r="I660" i="13"/>
  <c r="I661" i="13"/>
  <c r="I662" i="13"/>
  <c r="I663" i="13"/>
  <c r="I664" i="13"/>
  <c r="I665" i="13"/>
  <c r="I666" i="13"/>
  <c r="I667" i="13"/>
  <c r="I668" i="13"/>
  <c r="I669" i="13"/>
  <c r="I670" i="13"/>
  <c r="I671" i="13"/>
  <c r="I672" i="13"/>
  <c r="I673" i="13"/>
  <c r="I674" i="13"/>
  <c r="I675" i="13"/>
  <c r="I676" i="13"/>
  <c r="I677" i="13"/>
  <c r="I678" i="13"/>
  <c r="I679" i="13"/>
  <c r="I680" i="13"/>
  <c r="I681" i="13"/>
  <c r="I682" i="13"/>
  <c r="I683" i="13"/>
  <c r="I684" i="13"/>
  <c r="I685" i="13"/>
  <c r="I686" i="13"/>
  <c r="I687" i="13"/>
  <c r="I688" i="13"/>
  <c r="I689" i="13"/>
  <c r="I690" i="13"/>
  <c r="I691" i="13"/>
  <c r="I692" i="13"/>
  <c r="I693" i="13"/>
  <c r="I694" i="13"/>
  <c r="I695" i="13"/>
  <c r="I696" i="13"/>
  <c r="I697" i="13"/>
  <c r="I698" i="13"/>
  <c r="I699" i="13"/>
  <c r="I700" i="13"/>
  <c r="I701" i="13"/>
  <c r="I702" i="13"/>
  <c r="I703" i="13"/>
  <c r="I704" i="13"/>
  <c r="I705" i="13"/>
  <c r="I706" i="13"/>
  <c r="I707" i="13"/>
  <c r="I708" i="13"/>
  <c r="I709" i="13"/>
  <c r="I710" i="13"/>
  <c r="I711" i="13"/>
  <c r="I712" i="13"/>
  <c r="I713" i="13"/>
  <c r="I714" i="13"/>
  <c r="I715" i="13"/>
  <c r="I716" i="13"/>
  <c r="I717" i="13"/>
  <c r="I718" i="13"/>
  <c r="I719" i="13"/>
  <c r="I720" i="13"/>
  <c r="I721" i="13"/>
  <c r="I722" i="13"/>
  <c r="I723" i="13"/>
  <c r="I724" i="13"/>
  <c r="I725" i="13"/>
  <c r="I726" i="13"/>
  <c r="I727" i="13"/>
  <c r="I728" i="13"/>
  <c r="I729" i="13"/>
  <c r="I730" i="13"/>
  <c r="I731" i="13"/>
  <c r="I732" i="13"/>
  <c r="I733" i="13"/>
  <c r="I734" i="13"/>
  <c r="I735" i="13"/>
  <c r="I736" i="13"/>
  <c r="I737" i="13"/>
  <c r="I738" i="13"/>
  <c r="I739" i="13"/>
  <c r="I740" i="13"/>
  <c r="I741" i="13"/>
  <c r="I742" i="13"/>
  <c r="I743" i="13"/>
  <c r="I744" i="13"/>
  <c r="I745" i="13"/>
  <c r="I746" i="13"/>
  <c r="I747" i="13"/>
  <c r="I748" i="13"/>
  <c r="I749" i="13"/>
  <c r="I750" i="13"/>
  <c r="I751" i="13"/>
  <c r="I752" i="13"/>
  <c r="I753" i="13"/>
  <c r="I754" i="13"/>
  <c r="I755" i="13"/>
  <c r="I756" i="13"/>
  <c r="I757" i="13"/>
  <c r="I758" i="13"/>
  <c r="I759" i="13"/>
  <c r="I760" i="13"/>
  <c r="I761" i="13"/>
  <c r="I762" i="13"/>
  <c r="I763" i="13"/>
  <c r="I764" i="13"/>
  <c r="I765" i="13"/>
  <c r="I766" i="13"/>
  <c r="I767" i="13"/>
  <c r="I768" i="13"/>
  <c r="I769" i="13"/>
  <c r="I770" i="13"/>
  <c r="I771" i="13"/>
  <c r="I772" i="13"/>
  <c r="I773" i="13"/>
  <c r="I774" i="13"/>
  <c r="I775" i="13"/>
  <c r="I776" i="13"/>
  <c r="I777" i="13"/>
  <c r="I778" i="13"/>
  <c r="I779" i="13"/>
  <c r="I780" i="13"/>
  <c r="I781" i="13"/>
  <c r="I782" i="13"/>
  <c r="I783" i="13"/>
  <c r="I784" i="13"/>
  <c r="I785" i="13"/>
  <c r="I786" i="13"/>
  <c r="I787" i="13"/>
  <c r="I788" i="13"/>
  <c r="I789" i="13"/>
  <c r="I790" i="13"/>
  <c r="I791" i="13"/>
  <c r="I792" i="13"/>
  <c r="I793" i="13"/>
  <c r="I794" i="13"/>
  <c r="I795" i="13"/>
  <c r="I796" i="13"/>
  <c r="I797" i="13"/>
  <c r="I798" i="13"/>
  <c r="I799" i="13"/>
  <c r="I800" i="13"/>
  <c r="I801" i="13"/>
  <c r="I802" i="13"/>
  <c r="I803" i="13"/>
  <c r="I804" i="13"/>
  <c r="I805" i="13"/>
  <c r="I806" i="13"/>
  <c r="I807" i="13"/>
  <c r="I808" i="13"/>
  <c r="I809" i="13"/>
  <c r="I810" i="13"/>
  <c r="I811" i="13"/>
  <c r="I812" i="13"/>
  <c r="I813" i="13"/>
  <c r="I814" i="13"/>
  <c r="I815" i="13"/>
  <c r="I816" i="13"/>
  <c r="I817" i="13"/>
  <c r="I818" i="13"/>
  <c r="I819" i="13"/>
  <c r="I820" i="13"/>
  <c r="I821" i="13"/>
  <c r="I822" i="13"/>
  <c r="I823" i="13"/>
  <c r="I824" i="13"/>
  <c r="I825" i="13"/>
  <c r="I826" i="13"/>
  <c r="I827" i="13"/>
  <c r="I828" i="13"/>
  <c r="I829" i="13"/>
  <c r="I830" i="13"/>
  <c r="I831" i="13"/>
  <c r="I832" i="13"/>
  <c r="I833" i="13"/>
  <c r="I834" i="13"/>
  <c r="I835" i="13"/>
  <c r="I836" i="13"/>
  <c r="I837" i="13"/>
  <c r="I838" i="13"/>
  <c r="I839" i="13"/>
  <c r="I840" i="13"/>
  <c r="I841" i="13"/>
  <c r="I842" i="13"/>
  <c r="I843" i="13"/>
  <c r="I844" i="13"/>
  <c r="I845" i="13"/>
  <c r="I846" i="13"/>
  <c r="I847" i="13"/>
  <c r="I848" i="13"/>
  <c r="I849" i="13"/>
  <c r="I850" i="13"/>
  <c r="I851" i="13"/>
  <c r="I852" i="13"/>
  <c r="I853" i="13"/>
  <c r="I854" i="13"/>
  <c r="I855" i="13"/>
  <c r="I856" i="13"/>
  <c r="I857" i="13"/>
  <c r="I858" i="13"/>
  <c r="I859" i="13"/>
  <c r="I860" i="13"/>
  <c r="I861" i="13"/>
  <c r="I862" i="13"/>
  <c r="I863" i="13"/>
  <c r="I864" i="13"/>
  <c r="I865" i="13"/>
  <c r="I866" i="13"/>
  <c r="I867" i="13"/>
  <c r="I868" i="13"/>
  <c r="I869" i="13"/>
  <c r="I870" i="13"/>
  <c r="I871" i="13"/>
  <c r="I872" i="13"/>
  <c r="I873" i="13"/>
  <c r="I874" i="13"/>
  <c r="I875" i="13"/>
  <c r="I876" i="13"/>
  <c r="I877" i="13"/>
  <c r="I878" i="13"/>
  <c r="I879" i="13"/>
  <c r="I880" i="13"/>
  <c r="I881" i="13"/>
  <c r="I882" i="13"/>
  <c r="I883" i="13"/>
  <c r="I884" i="13"/>
  <c r="I885" i="13"/>
  <c r="I886" i="13"/>
  <c r="I887" i="13"/>
  <c r="I888" i="13"/>
  <c r="I889" i="13"/>
  <c r="I890" i="13"/>
  <c r="I891" i="13"/>
  <c r="I892" i="13"/>
  <c r="I893" i="13"/>
  <c r="I894" i="13"/>
  <c r="I895" i="13"/>
  <c r="I896" i="13"/>
  <c r="I897" i="13"/>
  <c r="I898" i="13"/>
  <c r="I899" i="13"/>
  <c r="I900" i="13"/>
  <c r="I901" i="13"/>
  <c r="I902" i="13"/>
  <c r="I903" i="13"/>
  <c r="I904" i="13"/>
  <c r="I905" i="13"/>
  <c r="I906" i="13"/>
  <c r="I907" i="13"/>
  <c r="I908" i="13"/>
  <c r="I909" i="13"/>
  <c r="I910" i="13"/>
  <c r="I911" i="13"/>
  <c r="I912" i="13"/>
  <c r="I913" i="13"/>
  <c r="I914" i="13"/>
  <c r="I915" i="13"/>
  <c r="I916" i="13"/>
  <c r="I917" i="13"/>
  <c r="I918" i="13"/>
  <c r="I919" i="13"/>
  <c r="I920" i="13"/>
  <c r="I921" i="13"/>
  <c r="I922" i="13"/>
  <c r="I923" i="13"/>
  <c r="I924" i="13"/>
  <c r="I925" i="13"/>
  <c r="I926" i="13"/>
  <c r="I927" i="13"/>
  <c r="I928" i="13"/>
  <c r="I929" i="13"/>
  <c r="I930" i="13"/>
  <c r="I931" i="13"/>
  <c r="I932" i="13"/>
  <c r="I933" i="13"/>
  <c r="I934" i="13"/>
  <c r="I935" i="13"/>
  <c r="I936" i="13"/>
  <c r="I937" i="13"/>
  <c r="I938" i="13"/>
  <c r="I939" i="13"/>
  <c r="I940" i="13"/>
  <c r="I941" i="13"/>
  <c r="I942" i="13"/>
  <c r="I943" i="13"/>
  <c r="I944" i="13"/>
  <c r="I945" i="13"/>
  <c r="I946" i="13"/>
  <c r="I947" i="13"/>
  <c r="I948" i="13"/>
  <c r="I949" i="13"/>
  <c r="I950" i="13"/>
  <c r="I951" i="13"/>
  <c r="I952" i="13"/>
  <c r="I953" i="13"/>
  <c r="I954" i="13"/>
  <c r="I955" i="13"/>
  <c r="I956" i="13"/>
  <c r="I957" i="13"/>
  <c r="I958" i="13"/>
  <c r="I959" i="13"/>
  <c r="I960" i="13"/>
  <c r="I961" i="13"/>
  <c r="I962" i="13"/>
  <c r="I963" i="13"/>
  <c r="I964" i="13"/>
  <c r="I965" i="13"/>
  <c r="I966" i="13"/>
  <c r="I967" i="13"/>
  <c r="I968" i="13"/>
  <c r="I969" i="13"/>
  <c r="I970" i="13"/>
  <c r="I971" i="13"/>
  <c r="I972" i="13"/>
  <c r="I973" i="13"/>
  <c r="I974" i="13"/>
  <c r="I975" i="13"/>
  <c r="I976" i="13"/>
  <c r="I977" i="13"/>
  <c r="I978" i="13"/>
  <c r="I979" i="13"/>
  <c r="I980" i="13"/>
  <c r="I981" i="13"/>
  <c r="I982" i="13"/>
  <c r="I983" i="13"/>
  <c r="I984" i="13"/>
  <c r="I985" i="13"/>
  <c r="I986" i="13"/>
  <c r="I987" i="13"/>
  <c r="I988" i="13"/>
  <c r="I989" i="13"/>
  <c r="I990" i="13"/>
  <c r="I991" i="13"/>
  <c r="I992" i="13"/>
  <c r="I993" i="13"/>
  <c r="I994" i="13"/>
  <c r="I995" i="13"/>
  <c r="I996" i="13"/>
  <c r="I997" i="13"/>
  <c r="I998" i="13"/>
  <c r="I999" i="13"/>
  <c r="I1000" i="13"/>
  <c r="I1001" i="13"/>
  <c r="I1002" i="13"/>
  <c r="I1003" i="13"/>
  <c r="I1004" i="13"/>
  <c r="I1005" i="13"/>
  <c r="I1006" i="13"/>
  <c r="I1007" i="13"/>
  <c r="I1008" i="13"/>
  <c r="I1009" i="13"/>
  <c r="I1010" i="13"/>
  <c r="I1011" i="13"/>
  <c r="I1012" i="13"/>
  <c r="I1013" i="13"/>
  <c r="I1014" i="13"/>
  <c r="I1015" i="13"/>
  <c r="I1016" i="13"/>
  <c r="I1017" i="13"/>
  <c r="I1018" i="13"/>
  <c r="I1019" i="13"/>
  <c r="I1020" i="13"/>
  <c r="I1021" i="13"/>
  <c r="I1022" i="13"/>
  <c r="I1023" i="13"/>
  <c r="I1024" i="13"/>
  <c r="I1025" i="13"/>
  <c r="I1026" i="13"/>
  <c r="I1027" i="13"/>
  <c r="I1028" i="13"/>
  <c r="I1029" i="13"/>
  <c r="I1030" i="13"/>
  <c r="I1032" i="13"/>
  <c r="I1033" i="13"/>
  <c r="I1034" i="13"/>
  <c r="I1035" i="13"/>
  <c r="I1036" i="13"/>
  <c r="I1037" i="13"/>
  <c r="I1038" i="13"/>
  <c r="I1039" i="13"/>
  <c r="I1040" i="13"/>
  <c r="I1041" i="13"/>
  <c r="I1042" i="13"/>
  <c r="I1043" i="13"/>
  <c r="I1044" i="13"/>
  <c r="I1045" i="13"/>
  <c r="I1046" i="13"/>
  <c r="I1047" i="13"/>
  <c r="I1048" i="13"/>
  <c r="I1049" i="13"/>
  <c r="I1050" i="13"/>
  <c r="I1051" i="13"/>
  <c r="I1052" i="13"/>
  <c r="I1053" i="13"/>
  <c r="I1054" i="13"/>
  <c r="I1055" i="13"/>
  <c r="I1056" i="13"/>
  <c r="I1057" i="13"/>
  <c r="I1058" i="13"/>
  <c r="I1059" i="13"/>
  <c r="I1060" i="13"/>
  <c r="I1061" i="13"/>
  <c r="I1062" i="13"/>
  <c r="I1063" i="13"/>
  <c r="I1064" i="13"/>
  <c r="I1065" i="13"/>
  <c r="I1066" i="13"/>
  <c r="I1067" i="13"/>
  <c r="I1068" i="13"/>
  <c r="I1069" i="13"/>
  <c r="I1070" i="13"/>
  <c r="I1071" i="13"/>
  <c r="I1072" i="13"/>
  <c r="I1073" i="13"/>
  <c r="I1074" i="13"/>
  <c r="I1075" i="13"/>
  <c r="I1076" i="13"/>
  <c r="I1077" i="13"/>
  <c r="I1078" i="13"/>
  <c r="I1079" i="13"/>
  <c r="I1080" i="13"/>
  <c r="I1081" i="13"/>
  <c r="I1082" i="13"/>
  <c r="I1083" i="13"/>
  <c r="I1084" i="13"/>
  <c r="I1085" i="13"/>
  <c r="I1086" i="13"/>
  <c r="I1087" i="13"/>
  <c r="I1088" i="13"/>
  <c r="I1089" i="13"/>
  <c r="I1090" i="13"/>
  <c r="I1091" i="13"/>
  <c r="I1092" i="13"/>
  <c r="I1093" i="13"/>
  <c r="I1094" i="13"/>
  <c r="I1095" i="13"/>
  <c r="I1096" i="13"/>
  <c r="I1097" i="13"/>
  <c r="I1098" i="13"/>
  <c r="I1099" i="13"/>
  <c r="I1100" i="13"/>
  <c r="I1101" i="13"/>
  <c r="I1102" i="13"/>
  <c r="I1103" i="13"/>
  <c r="I1104" i="13"/>
  <c r="I1105" i="13"/>
  <c r="I1106" i="13"/>
  <c r="I1107" i="13"/>
  <c r="I1108" i="13"/>
  <c r="I1109" i="13"/>
  <c r="I1110" i="13"/>
  <c r="I1111" i="13"/>
  <c r="I1112" i="13"/>
  <c r="I1113" i="13"/>
  <c r="I1114" i="13"/>
  <c r="I1115" i="13"/>
  <c r="I1116" i="13"/>
  <c r="I1117" i="13"/>
  <c r="I1118" i="13"/>
  <c r="I1119" i="13"/>
  <c r="I1120" i="13"/>
  <c r="I1121" i="13"/>
  <c r="I1122" i="13"/>
  <c r="I1123" i="13"/>
  <c r="I1124" i="13"/>
  <c r="I1125" i="13"/>
  <c r="I1126" i="13"/>
  <c r="I1127" i="13"/>
  <c r="I1128" i="13"/>
  <c r="I1129" i="13"/>
  <c r="I1130" i="13"/>
  <c r="I1131" i="13"/>
  <c r="I1132" i="13"/>
  <c r="I1133" i="13"/>
  <c r="I1134" i="13"/>
  <c r="I1135" i="13"/>
  <c r="I1136" i="13"/>
  <c r="I1137" i="13"/>
  <c r="I1138" i="13"/>
  <c r="I1139" i="13"/>
  <c r="I1140" i="13"/>
  <c r="I1141" i="13"/>
  <c r="I1142" i="13"/>
  <c r="I1143" i="13"/>
  <c r="I1144" i="13"/>
  <c r="I1145" i="13"/>
  <c r="I1146" i="13"/>
  <c r="I1147" i="13"/>
  <c r="I1148" i="13"/>
  <c r="I1149" i="13"/>
  <c r="I1150" i="13"/>
  <c r="I1151" i="13"/>
  <c r="I1152" i="13"/>
  <c r="I1153" i="13"/>
  <c r="I1154" i="13"/>
  <c r="I1155" i="13"/>
  <c r="I1156" i="13"/>
  <c r="I1157" i="13"/>
  <c r="I1158" i="13"/>
  <c r="I1159" i="13"/>
  <c r="I1160" i="13"/>
  <c r="I1161" i="13"/>
  <c r="I1162" i="13"/>
  <c r="I1163" i="13"/>
  <c r="I1164" i="13"/>
  <c r="I1165" i="13"/>
  <c r="I1166" i="13"/>
  <c r="I1167" i="13"/>
  <c r="I1168" i="13"/>
  <c r="I1169" i="13"/>
  <c r="I1170" i="13"/>
  <c r="I1171" i="13"/>
  <c r="I1172" i="13"/>
  <c r="I1173" i="13"/>
  <c r="I1174" i="13"/>
  <c r="I1175" i="13"/>
  <c r="I1176" i="13"/>
  <c r="I1177" i="13"/>
  <c r="I1178" i="13"/>
  <c r="I1179" i="13"/>
  <c r="I1180" i="13"/>
  <c r="I1181" i="13"/>
  <c r="I1182" i="13"/>
  <c r="I1183" i="13"/>
  <c r="I1184" i="13"/>
  <c r="I1186" i="13"/>
  <c r="I1187" i="13"/>
  <c r="I1188" i="13"/>
  <c r="I1189" i="13"/>
  <c r="I1190" i="13"/>
  <c r="I1191" i="13"/>
  <c r="I1192" i="13"/>
  <c r="I1193" i="13"/>
  <c r="I1194" i="13"/>
  <c r="I1195" i="13"/>
  <c r="I1196" i="13"/>
  <c r="I1197" i="13"/>
  <c r="I1198" i="13"/>
  <c r="I1199" i="13"/>
  <c r="I1200" i="13"/>
  <c r="I1201" i="13"/>
  <c r="I1202" i="13"/>
  <c r="I1203" i="13"/>
  <c r="I1204" i="13"/>
  <c r="I1205" i="13"/>
  <c r="I1206" i="13"/>
  <c r="I1207" i="13"/>
  <c r="I1208" i="13"/>
  <c r="I1209" i="13"/>
  <c r="I1210" i="13"/>
  <c r="I1211" i="13"/>
  <c r="I1212" i="13"/>
  <c r="I1213" i="13"/>
  <c r="I1214" i="13"/>
  <c r="I1215" i="13"/>
  <c r="I1216" i="13"/>
  <c r="I1217" i="13"/>
  <c r="I1218" i="13"/>
  <c r="I1219" i="13"/>
  <c r="I1220" i="13"/>
  <c r="I1221" i="13"/>
  <c r="I1222" i="13"/>
  <c r="I1223" i="13"/>
  <c r="I1224" i="13"/>
  <c r="I1225" i="13"/>
  <c r="I1226" i="13"/>
  <c r="I1227" i="13"/>
  <c r="I1228" i="13"/>
  <c r="I1229" i="13"/>
  <c r="I1230" i="13"/>
  <c r="I1231" i="13"/>
  <c r="I1232" i="13"/>
  <c r="I1233" i="13"/>
  <c r="I1234" i="13"/>
  <c r="I1236" i="13"/>
  <c r="I1237" i="13"/>
  <c r="I1238" i="13"/>
  <c r="I1239" i="13"/>
  <c r="I1240" i="13"/>
  <c r="I1241" i="13"/>
  <c r="I1242" i="13"/>
  <c r="I1243" i="13"/>
  <c r="I1244" i="13"/>
  <c r="I1245" i="13"/>
  <c r="I1246" i="13"/>
  <c r="I1247" i="13"/>
  <c r="I1248" i="13"/>
  <c r="I1249" i="13"/>
  <c r="I1250" i="13"/>
  <c r="I1251" i="13"/>
  <c r="I1252" i="13"/>
  <c r="I1253" i="13"/>
  <c r="I1254" i="13"/>
  <c r="I1255" i="13"/>
  <c r="I1256" i="13"/>
  <c r="I1257" i="13"/>
  <c r="I1258" i="13"/>
  <c r="I1259" i="13"/>
  <c r="I1260" i="13"/>
  <c r="I1261" i="13"/>
  <c r="I1262" i="13"/>
  <c r="I1263" i="13"/>
  <c r="I1264" i="13"/>
  <c r="I1265" i="13"/>
  <c r="I1266" i="13"/>
  <c r="I1267" i="13"/>
  <c r="I1268" i="13"/>
  <c r="I1269" i="13"/>
  <c r="I1270" i="13"/>
  <c r="I1271" i="13"/>
  <c r="I1272" i="13"/>
  <c r="I1273" i="13"/>
  <c r="I1274" i="13"/>
  <c r="I1275" i="13"/>
  <c r="I1276" i="13"/>
  <c r="I1277" i="13"/>
  <c r="I1278" i="13"/>
  <c r="I1279" i="13"/>
  <c r="I1280" i="13"/>
  <c r="I1281" i="13"/>
  <c r="I1282" i="13"/>
  <c r="I1283" i="13"/>
  <c r="I1284" i="13"/>
  <c r="I1285" i="13"/>
  <c r="I1286" i="13"/>
  <c r="I1287" i="13"/>
  <c r="I1288" i="13"/>
  <c r="I1289" i="13"/>
  <c r="I1290" i="13"/>
  <c r="I1291" i="13"/>
  <c r="I1292" i="13"/>
  <c r="I1293" i="13"/>
  <c r="I1294" i="13"/>
  <c r="I1295" i="13"/>
  <c r="I1296" i="13"/>
  <c r="I1297" i="13"/>
  <c r="I1298" i="13"/>
  <c r="I1299" i="13"/>
  <c r="I1300" i="13"/>
  <c r="I1301" i="13"/>
  <c r="I1302" i="13"/>
  <c r="I1303" i="13"/>
  <c r="I1304" i="13"/>
  <c r="I1305" i="13"/>
  <c r="I1306" i="13"/>
  <c r="I1307" i="13"/>
  <c r="I1308" i="13"/>
  <c r="I1309" i="13"/>
  <c r="I1310" i="13"/>
  <c r="I1311" i="13"/>
  <c r="I1312" i="13"/>
  <c r="I1313" i="13"/>
  <c r="I1314" i="13"/>
  <c r="I1315" i="13"/>
  <c r="I1316" i="13"/>
  <c r="I1317" i="13"/>
  <c r="I1318" i="13"/>
  <c r="I1319" i="13"/>
  <c r="I1320" i="13"/>
  <c r="I1321" i="13"/>
  <c r="I1322" i="13"/>
  <c r="I1323" i="13"/>
  <c r="I1324" i="13"/>
  <c r="I1325" i="13"/>
  <c r="I1326" i="13"/>
  <c r="I1327" i="13"/>
  <c r="I1328" i="13"/>
  <c r="I1329" i="13"/>
  <c r="I1330" i="13"/>
  <c r="I1331" i="13"/>
  <c r="I1332" i="13"/>
  <c r="I1333" i="13"/>
  <c r="I1334" i="13"/>
  <c r="I1335" i="13"/>
  <c r="I1336" i="13"/>
  <c r="I1337" i="13"/>
  <c r="I1338" i="13"/>
  <c r="I1339" i="13"/>
  <c r="I1340" i="13"/>
  <c r="I1341" i="13"/>
  <c r="I1342" i="13"/>
  <c r="I1343" i="13"/>
  <c r="I1344" i="13"/>
  <c r="I1345" i="13"/>
  <c r="I1346" i="13"/>
  <c r="I1347" i="13"/>
  <c r="I1348" i="13"/>
  <c r="I1349" i="13"/>
  <c r="I1350" i="13"/>
  <c r="I1351" i="13"/>
  <c r="I1352" i="13"/>
  <c r="I1353" i="13"/>
  <c r="I1354" i="13"/>
  <c r="I1355" i="13"/>
  <c r="I1356" i="13"/>
  <c r="I1357" i="13"/>
  <c r="I1358" i="13"/>
  <c r="I1359" i="13"/>
  <c r="I1360" i="13"/>
  <c r="I1361" i="13"/>
  <c r="I1362" i="13"/>
  <c r="I1363" i="13"/>
  <c r="I1364" i="13"/>
  <c r="I1365" i="13"/>
  <c r="I1366" i="13"/>
  <c r="I1367" i="13"/>
  <c r="I1368" i="13"/>
  <c r="I1369" i="13"/>
  <c r="I1370" i="13"/>
  <c r="I1371" i="13"/>
  <c r="I1372" i="13"/>
  <c r="I1373" i="13"/>
  <c r="I1374" i="13"/>
  <c r="I1375" i="13"/>
  <c r="I1376" i="13"/>
  <c r="I1377" i="13"/>
  <c r="I1378" i="13"/>
  <c r="I1379" i="13"/>
  <c r="I1380" i="13"/>
  <c r="I1381" i="13"/>
  <c r="I1382" i="13"/>
  <c r="I1383" i="13"/>
  <c r="I1384" i="13"/>
  <c r="I1385" i="13"/>
  <c r="I1386" i="13"/>
  <c r="I1387" i="13"/>
  <c r="I1388" i="13"/>
  <c r="I1389" i="13"/>
  <c r="I1390" i="13"/>
  <c r="I1391" i="13"/>
  <c r="I1392" i="13"/>
  <c r="I1393" i="13"/>
  <c r="I1394" i="13"/>
  <c r="I1395" i="13"/>
  <c r="I1396" i="13"/>
  <c r="I1397" i="13"/>
  <c r="I1398" i="13"/>
  <c r="I1399" i="13"/>
  <c r="I1400" i="13"/>
  <c r="I1401" i="13"/>
  <c r="I1402" i="13"/>
  <c r="I1403" i="13"/>
  <c r="I1404" i="13"/>
  <c r="I1405" i="13"/>
  <c r="I1406" i="13"/>
  <c r="I1407" i="13"/>
  <c r="I1408" i="13"/>
  <c r="I1409" i="13"/>
  <c r="I1410" i="13"/>
  <c r="I1411" i="13"/>
  <c r="I1412" i="13"/>
  <c r="I1413" i="13"/>
  <c r="I1414" i="13"/>
  <c r="I1415" i="13"/>
  <c r="I1416" i="13"/>
  <c r="I1417" i="13"/>
  <c r="I1418" i="13"/>
  <c r="I1419" i="13"/>
  <c r="I1420" i="13"/>
  <c r="I1421" i="13"/>
  <c r="I1422" i="13"/>
  <c r="I1423" i="13"/>
  <c r="I1424" i="13"/>
  <c r="I1425" i="13"/>
  <c r="I1426" i="13"/>
  <c r="I1427" i="13"/>
  <c r="I1428" i="13"/>
  <c r="I1429" i="13"/>
  <c r="I1430" i="13"/>
  <c r="I1431" i="13"/>
  <c r="I1432" i="13"/>
  <c r="I1433" i="13"/>
  <c r="I1434" i="13"/>
  <c r="I1435" i="13"/>
  <c r="I1437" i="13"/>
  <c r="I1438" i="13"/>
  <c r="I1439" i="13"/>
  <c r="I1440" i="13"/>
  <c r="I1441" i="13"/>
  <c r="I1442" i="13"/>
  <c r="I1443" i="13"/>
  <c r="I1444" i="13"/>
  <c r="I1445" i="13"/>
  <c r="I1446" i="13"/>
  <c r="I1447" i="13"/>
  <c r="I1448" i="13"/>
  <c r="I1449" i="13"/>
  <c r="I1450" i="13"/>
  <c r="I1451" i="13"/>
  <c r="I1452" i="13"/>
  <c r="I1453" i="13"/>
  <c r="I1454" i="13"/>
  <c r="I1455" i="13"/>
  <c r="I1456" i="13"/>
  <c r="I1457" i="13"/>
  <c r="I1458" i="13"/>
  <c r="I1459" i="13"/>
  <c r="I1460" i="13"/>
  <c r="I1461" i="13"/>
  <c r="I1462" i="13"/>
  <c r="I1463" i="13"/>
  <c r="I1464" i="13"/>
  <c r="I1465" i="13"/>
  <c r="I1466" i="13"/>
  <c r="I1467" i="13"/>
  <c r="I1468" i="13"/>
  <c r="I1469" i="13"/>
  <c r="I1470" i="13"/>
  <c r="I1471" i="13"/>
  <c r="I1472" i="13"/>
  <c r="I1473" i="13"/>
  <c r="I1474" i="13"/>
  <c r="I1475" i="13"/>
  <c r="I1476" i="13"/>
  <c r="I1477" i="13"/>
  <c r="I1478" i="13"/>
  <c r="I1479" i="13"/>
  <c r="I1480" i="13"/>
  <c r="I1481" i="13"/>
  <c r="I1482" i="13"/>
  <c r="I1483" i="13"/>
  <c r="I1484" i="13"/>
  <c r="I1485" i="13"/>
  <c r="I1486" i="13"/>
  <c r="I1487" i="13"/>
  <c r="I1488" i="13"/>
  <c r="I1489" i="13"/>
  <c r="I1490" i="13"/>
  <c r="I1491" i="13"/>
  <c r="I1492" i="13"/>
  <c r="I1493" i="13"/>
  <c r="I1494" i="13"/>
  <c r="I1495" i="13"/>
  <c r="I1496" i="13"/>
  <c r="I1497" i="13"/>
  <c r="I1498" i="13"/>
  <c r="I1499" i="13"/>
  <c r="I1500" i="13"/>
  <c r="I1501" i="13"/>
  <c r="I1502" i="13"/>
  <c r="I1503" i="13"/>
  <c r="I1504" i="13"/>
  <c r="I1505" i="13"/>
  <c r="I1506" i="13"/>
  <c r="I1507" i="13"/>
  <c r="I1508" i="13"/>
  <c r="I1509" i="13"/>
  <c r="I1510" i="13"/>
  <c r="I1511" i="13"/>
  <c r="I1512" i="13"/>
  <c r="I1513" i="13"/>
  <c r="I1514" i="13"/>
  <c r="I1515" i="13"/>
  <c r="I1516" i="13"/>
  <c r="I1517" i="13"/>
  <c r="I1518" i="13"/>
  <c r="I1519" i="13"/>
  <c r="I1520" i="13"/>
  <c r="I1521" i="13"/>
  <c r="I1522" i="13"/>
  <c r="I1523" i="13"/>
  <c r="I1524" i="13"/>
  <c r="I1525" i="13"/>
  <c r="I1526" i="13"/>
  <c r="I1527" i="13"/>
  <c r="I1528" i="13"/>
  <c r="I1529" i="13"/>
  <c r="I1530" i="13"/>
  <c r="I1531" i="13"/>
  <c r="I1532" i="13"/>
  <c r="I1533" i="13"/>
  <c r="I1534" i="13"/>
  <c r="I1535" i="13"/>
  <c r="I1536" i="13"/>
  <c r="I1537" i="13"/>
  <c r="I1538" i="13"/>
  <c r="I1539" i="13"/>
  <c r="I1540" i="13"/>
  <c r="I1541" i="13"/>
  <c r="I1542" i="13"/>
  <c r="I1543" i="13"/>
  <c r="I1544" i="13"/>
  <c r="I1545" i="13"/>
  <c r="I1546" i="13"/>
  <c r="I1547" i="13"/>
  <c r="I1548" i="13"/>
  <c r="I1549" i="13"/>
  <c r="I1550" i="13"/>
  <c r="I1551" i="13"/>
  <c r="I1552" i="13"/>
  <c r="I1553" i="13"/>
  <c r="I1554" i="13"/>
  <c r="I1555" i="13"/>
  <c r="I1556" i="13"/>
  <c r="I1557" i="13"/>
  <c r="I1558" i="13"/>
  <c r="I1559" i="13"/>
  <c r="I1560" i="13"/>
  <c r="I1561" i="13"/>
  <c r="I1562" i="13"/>
  <c r="I1563" i="13"/>
  <c r="I1564" i="13"/>
  <c r="I1565" i="13"/>
  <c r="I1566" i="13"/>
  <c r="I1567" i="13"/>
  <c r="I1568" i="13"/>
  <c r="I1569" i="13"/>
  <c r="I1570" i="13"/>
  <c r="I1571" i="13"/>
  <c r="I1572" i="13"/>
  <c r="I1573" i="13"/>
  <c r="I1574" i="13"/>
  <c r="I1575" i="13"/>
  <c r="I1576" i="13"/>
  <c r="I1577" i="13"/>
  <c r="I1578" i="13"/>
  <c r="I1579" i="13"/>
  <c r="I1580" i="13"/>
  <c r="I1581" i="13"/>
  <c r="I1582" i="13"/>
  <c r="I1583" i="13"/>
  <c r="I1584" i="13"/>
  <c r="I1585" i="13"/>
  <c r="I1586" i="13"/>
  <c r="I1587" i="13"/>
  <c r="I1588" i="13"/>
  <c r="I1589" i="13"/>
  <c r="I1590" i="13"/>
  <c r="I1591" i="13"/>
  <c r="I1592" i="13"/>
  <c r="I1593" i="13"/>
  <c r="I1594" i="13"/>
  <c r="I1595" i="13"/>
  <c r="I1596" i="13"/>
  <c r="I1597" i="13"/>
  <c r="I1598" i="13"/>
  <c r="I1599" i="13"/>
  <c r="I1600" i="13"/>
  <c r="I1601" i="13"/>
  <c r="I1602" i="13"/>
  <c r="I1603" i="13"/>
  <c r="I1604" i="13"/>
  <c r="I1605" i="13"/>
  <c r="I1606" i="13"/>
  <c r="I1607" i="13"/>
  <c r="I1608" i="13"/>
  <c r="I1609" i="13"/>
  <c r="I1610" i="13"/>
  <c r="I1611" i="13"/>
  <c r="I1612" i="13"/>
  <c r="I1613" i="13"/>
  <c r="I1614" i="13"/>
  <c r="I1615" i="13"/>
  <c r="I1616" i="13"/>
  <c r="I1617" i="13"/>
  <c r="I1618" i="13"/>
  <c r="I1619" i="13"/>
  <c r="I1620" i="13"/>
  <c r="I1621" i="13"/>
  <c r="I1622" i="13"/>
  <c r="I1623" i="13"/>
  <c r="I1624" i="13"/>
  <c r="I1625" i="13"/>
  <c r="I1626" i="13"/>
  <c r="I1627" i="13"/>
  <c r="I1628" i="13"/>
  <c r="I1629" i="13"/>
  <c r="I1630" i="13"/>
  <c r="I1631" i="13"/>
  <c r="I1632" i="13"/>
  <c r="I1633" i="13"/>
  <c r="I1634" i="13"/>
  <c r="I1635" i="13"/>
  <c r="I1636" i="13"/>
  <c r="I1637" i="13"/>
  <c r="I1638" i="13"/>
  <c r="I1639" i="13"/>
  <c r="I1640" i="13"/>
  <c r="I1641" i="13"/>
  <c r="I1642" i="13"/>
  <c r="I1643" i="13"/>
  <c r="I1644" i="13"/>
  <c r="I1646" i="13"/>
  <c r="I1647" i="13"/>
  <c r="I1648" i="13"/>
  <c r="I1649" i="13"/>
  <c r="I1650" i="13"/>
  <c r="I1651" i="13"/>
  <c r="I1652" i="13"/>
  <c r="I1653" i="13"/>
  <c r="I1654" i="13"/>
  <c r="I1655" i="13"/>
  <c r="I1656" i="13"/>
  <c r="I1657" i="13"/>
  <c r="I1658" i="13"/>
  <c r="I1659" i="13"/>
  <c r="I1660" i="13"/>
  <c r="I1661" i="13"/>
  <c r="I1662" i="13"/>
  <c r="I1663" i="13"/>
  <c r="I1664" i="13"/>
  <c r="I1665" i="13"/>
  <c r="I1666" i="13"/>
  <c r="I1667" i="13"/>
  <c r="I1668" i="13"/>
  <c r="I1669" i="13"/>
  <c r="I1670" i="13"/>
  <c r="I1671" i="13"/>
  <c r="I1672" i="13"/>
  <c r="I1673" i="13"/>
  <c r="I1674" i="13"/>
  <c r="I1675" i="13"/>
  <c r="I1676" i="13"/>
  <c r="I1677" i="13"/>
  <c r="I1678" i="13"/>
  <c r="I1679" i="13"/>
  <c r="I1680" i="13"/>
  <c r="I1681" i="13"/>
  <c r="I1682" i="13"/>
  <c r="I1683" i="13"/>
  <c r="I1684" i="13"/>
  <c r="I1685" i="13"/>
  <c r="I1686" i="13"/>
  <c r="I1687" i="13"/>
  <c r="I1688" i="13"/>
  <c r="I1689" i="13"/>
  <c r="I1690" i="13"/>
  <c r="I1691" i="13"/>
  <c r="I1692" i="13"/>
  <c r="I1693" i="13"/>
  <c r="I1694" i="13"/>
  <c r="I1695" i="13"/>
  <c r="I1696" i="13"/>
  <c r="I1697" i="13"/>
  <c r="I1698" i="13"/>
  <c r="I1699" i="13"/>
  <c r="I1700" i="13"/>
  <c r="I1701" i="13"/>
  <c r="I1702" i="13"/>
  <c r="I1703" i="13"/>
  <c r="I1704" i="13"/>
  <c r="I1705" i="13"/>
  <c r="I1706" i="13"/>
  <c r="I1707" i="13"/>
  <c r="I1708" i="13"/>
  <c r="I1709" i="13"/>
  <c r="I1710" i="13"/>
  <c r="I1711" i="13"/>
  <c r="I1712" i="13"/>
  <c r="I1713" i="13"/>
  <c r="I1714" i="13"/>
  <c r="I1715" i="13"/>
  <c r="I1716" i="13"/>
  <c r="I1717" i="13"/>
  <c r="I1718" i="13"/>
  <c r="I1719" i="13"/>
  <c r="I1720" i="13"/>
  <c r="I1721" i="13"/>
  <c r="I1722" i="13"/>
  <c r="I1723" i="13"/>
  <c r="I1724" i="13"/>
  <c r="I1725" i="13"/>
  <c r="I1726" i="13"/>
  <c r="I1727" i="13"/>
  <c r="I1728" i="13"/>
  <c r="I1729" i="13"/>
  <c r="I1730" i="13"/>
  <c r="I1731" i="13"/>
  <c r="I1732" i="13"/>
  <c r="I1733" i="13"/>
  <c r="I1734" i="13"/>
  <c r="I1735" i="13"/>
  <c r="I1736" i="13"/>
  <c r="I1737" i="13"/>
  <c r="I1738" i="13"/>
  <c r="I1739" i="13"/>
  <c r="I1740" i="13"/>
  <c r="I1741" i="13"/>
  <c r="I1742" i="13"/>
  <c r="I1743" i="13"/>
  <c r="I1744" i="13"/>
  <c r="I1745" i="13"/>
  <c r="I1746" i="13"/>
  <c r="I1747" i="13"/>
  <c r="I1748" i="13"/>
  <c r="I1749" i="13"/>
  <c r="I1750" i="13"/>
  <c r="I1751" i="13"/>
  <c r="I1752" i="13"/>
  <c r="I1753" i="13"/>
  <c r="I1754" i="13"/>
  <c r="I1755" i="13"/>
  <c r="I1756" i="13"/>
  <c r="I1757" i="13"/>
  <c r="I1758" i="13"/>
  <c r="I1759" i="13"/>
  <c r="I1760" i="13"/>
  <c r="I1761" i="13"/>
  <c r="I1762" i="13"/>
  <c r="I1763" i="13"/>
  <c r="I1764" i="13"/>
  <c r="I1765" i="13"/>
  <c r="I1766" i="13"/>
  <c r="I1767" i="13"/>
  <c r="I1768" i="13"/>
  <c r="I1769" i="13"/>
  <c r="I1770" i="13"/>
  <c r="I1771" i="13"/>
  <c r="I1772" i="13"/>
  <c r="I1773" i="13"/>
  <c r="I1774" i="13"/>
  <c r="I1775" i="13"/>
  <c r="I1777" i="13"/>
  <c r="I1778" i="13"/>
  <c r="I1779" i="13"/>
  <c r="I1780" i="13"/>
  <c r="I1781" i="13"/>
  <c r="I1782" i="13"/>
  <c r="I1783" i="13"/>
  <c r="I1784" i="13"/>
  <c r="I1785" i="13"/>
  <c r="I1786" i="13"/>
  <c r="I1787" i="13"/>
  <c r="I1788" i="13"/>
  <c r="I1789" i="13"/>
  <c r="I1790" i="13"/>
  <c r="I1791" i="13"/>
  <c r="I1792" i="13"/>
  <c r="I1793" i="13"/>
  <c r="I1794" i="13"/>
  <c r="I1795" i="13"/>
  <c r="I1796" i="13"/>
  <c r="I1797" i="13"/>
  <c r="I1798" i="13"/>
  <c r="I1799" i="13"/>
  <c r="I1800" i="13"/>
  <c r="I1801" i="13"/>
  <c r="I1802" i="13"/>
  <c r="I1803" i="13"/>
  <c r="I1804" i="13"/>
  <c r="I1805" i="13"/>
  <c r="I1806" i="13"/>
  <c r="I1807" i="13"/>
  <c r="I1808" i="13"/>
  <c r="I1809" i="13"/>
  <c r="I1810" i="13"/>
  <c r="I1812" i="13"/>
  <c r="I1813" i="13"/>
  <c r="I1814" i="13"/>
  <c r="I1815" i="13"/>
  <c r="I1816" i="13"/>
  <c r="I1817" i="13"/>
  <c r="I1818" i="13"/>
  <c r="I1819" i="13"/>
  <c r="I1820" i="13"/>
  <c r="I1821" i="13"/>
  <c r="I1822" i="13"/>
  <c r="I1823" i="13"/>
  <c r="I1824" i="13"/>
  <c r="I1825" i="13"/>
  <c r="I1826" i="13"/>
  <c r="I1827" i="13"/>
  <c r="I1828" i="13"/>
  <c r="I1829" i="13"/>
  <c r="I1830" i="13"/>
  <c r="I1831" i="13"/>
  <c r="I1832" i="13"/>
  <c r="I1833" i="13"/>
  <c r="I1834" i="13"/>
  <c r="I1835" i="13"/>
  <c r="I1836" i="13"/>
  <c r="I1837" i="13"/>
  <c r="I1838" i="13"/>
  <c r="I1839" i="13"/>
  <c r="I1840" i="13"/>
  <c r="I1841" i="13"/>
  <c r="I1842" i="13"/>
  <c r="I1843" i="13"/>
  <c r="I1844" i="13"/>
  <c r="I1845" i="13"/>
  <c r="I1846" i="13"/>
  <c r="I1847" i="13"/>
  <c r="I1848" i="13"/>
  <c r="I1849" i="13"/>
  <c r="I1850" i="13"/>
  <c r="I1851" i="13"/>
  <c r="I1852" i="13"/>
  <c r="I1853" i="13"/>
  <c r="I1854" i="13"/>
  <c r="I1855" i="13"/>
  <c r="I1856" i="13"/>
  <c r="I1857" i="13"/>
  <c r="I1858" i="13"/>
  <c r="I1859" i="13"/>
  <c r="I1860" i="13"/>
  <c r="I1861" i="13"/>
  <c r="I1862" i="13"/>
  <c r="I1863" i="13"/>
  <c r="I1864" i="13"/>
  <c r="I1865" i="13"/>
  <c r="I1866" i="13"/>
  <c r="I1867" i="13"/>
  <c r="I1868" i="13"/>
  <c r="I1869" i="13"/>
  <c r="I1870" i="13"/>
  <c r="I1871" i="13"/>
  <c r="I1872" i="13"/>
  <c r="I1873" i="13"/>
  <c r="I1874" i="13"/>
  <c r="I1875" i="13"/>
  <c r="I1876" i="13"/>
  <c r="I1877" i="13"/>
  <c r="I1878" i="13"/>
  <c r="I1879" i="13"/>
  <c r="I1880" i="13"/>
  <c r="I1881" i="13"/>
  <c r="I1882" i="13"/>
  <c r="I1883" i="13"/>
  <c r="I1884" i="13"/>
  <c r="I1885" i="13"/>
  <c r="I1886" i="13"/>
  <c r="I1887" i="13"/>
  <c r="I1888" i="13"/>
  <c r="I1889" i="13"/>
  <c r="I1890" i="13"/>
  <c r="I1891" i="13"/>
  <c r="I1892" i="13"/>
  <c r="I1893" i="13"/>
  <c r="I1894" i="13"/>
  <c r="I1895" i="13"/>
  <c r="I1896" i="13"/>
  <c r="I1897" i="13"/>
  <c r="I1898" i="13"/>
  <c r="I1899" i="13"/>
  <c r="I1900" i="13"/>
  <c r="I1901" i="13"/>
  <c r="I1902" i="13"/>
  <c r="I1903" i="13"/>
  <c r="I1904" i="13"/>
  <c r="I1905" i="13"/>
  <c r="I1906" i="13"/>
  <c r="I1907" i="13"/>
  <c r="I1908" i="13"/>
  <c r="I1909" i="13"/>
  <c r="I1910" i="13"/>
  <c r="I1911" i="13"/>
  <c r="I1912" i="13"/>
  <c r="I1913" i="13"/>
  <c r="I1914" i="13"/>
  <c r="I1915" i="13"/>
  <c r="I1916" i="13"/>
  <c r="I1917" i="13"/>
  <c r="I1918" i="13"/>
  <c r="I1919" i="13"/>
  <c r="I1920" i="13"/>
  <c r="I1921" i="13"/>
  <c r="I1922" i="13"/>
  <c r="I1923" i="13"/>
  <c r="I1924" i="13"/>
  <c r="I1925" i="13"/>
  <c r="I1926" i="13"/>
  <c r="I1927" i="13"/>
  <c r="I1928" i="13"/>
  <c r="I1929" i="13"/>
  <c r="I1930" i="13"/>
  <c r="I1931" i="13"/>
  <c r="I1932" i="13"/>
  <c r="I1933" i="13"/>
  <c r="I1934" i="13"/>
  <c r="I1935" i="13"/>
  <c r="I1936" i="13"/>
  <c r="I1937" i="13"/>
  <c r="I1938" i="13"/>
  <c r="I1939" i="13"/>
  <c r="I1940" i="13"/>
  <c r="I1941" i="13"/>
  <c r="I1942" i="13"/>
  <c r="I1943" i="13"/>
  <c r="I1944" i="13"/>
  <c r="I1945" i="13"/>
  <c r="I1946" i="13"/>
  <c r="I1947" i="13"/>
  <c r="I1948" i="13"/>
  <c r="I1949" i="13"/>
  <c r="I1950" i="13"/>
  <c r="I1951" i="13"/>
  <c r="I1952" i="13"/>
  <c r="I1953" i="13"/>
  <c r="I1954" i="13"/>
  <c r="I1955" i="13"/>
  <c r="I1956" i="13"/>
  <c r="I1957" i="13"/>
  <c r="I1958" i="13"/>
  <c r="I1959" i="13"/>
  <c r="I1960" i="13"/>
  <c r="I1961" i="13"/>
  <c r="I1962" i="13"/>
  <c r="I1963" i="13"/>
  <c r="I1964" i="13"/>
  <c r="I1965" i="13"/>
  <c r="I1966" i="13"/>
  <c r="I1967" i="13"/>
  <c r="I1968" i="13"/>
  <c r="I1969" i="13"/>
  <c r="I1970" i="13"/>
  <c r="I1971" i="13"/>
  <c r="I1972" i="13"/>
  <c r="I1973" i="13"/>
  <c r="I1974" i="13"/>
  <c r="I1975" i="13"/>
  <c r="I1976" i="13"/>
  <c r="I1977" i="13"/>
  <c r="I1978" i="13"/>
  <c r="I1979" i="13"/>
  <c r="I1980" i="13"/>
  <c r="I1981" i="13"/>
  <c r="I1982" i="13"/>
  <c r="I1983" i="13"/>
  <c r="I1985" i="13"/>
  <c r="I1986" i="13"/>
  <c r="I1987" i="13"/>
  <c r="I1988" i="13"/>
  <c r="I1989" i="13"/>
  <c r="I1990" i="13"/>
  <c r="I1991" i="13"/>
  <c r="I1992" i="13"/>
  <c r="I1993" i="13"/>
  <c r="I1994" i="13"/>
  <c r="I1995" i="13"/>
  <c r="I1996" i="13"/>
  <c r="I1997" i="13"/>
  <c r="I1998" i="13"/>
  <c r="I1999" i="13"/>
  <c r="I2000" i="13"/>
  <c r="I2001" i="13"/>
  <c r="I2002" i="13"/>
  <c r="I2003" i="13"/>
  <c r="I2004" i="13"/>
  <c r="I2005" i="13"/>
  <c r="I2006" i="13"/>
  <c r="I2007" i="13"/>
  <c r="I2008" i="13"/>
  <c r="I2009" i="13"/>
  <c r="I2010" i="13"/>
  <c r="I2011" i="13"/>
  <c r="I2012" i="13"/>
  <c r="I2013" i="13"/>
  <c r="I2014" i="13"/>
  <c r="I2015" i="13"/>
  <c r="I2016" i="13"/>
  <c r="I2017" i="13"/>
  <c r="I2018" i="13"/>
  <c r="I2019" i="13"/>
  <c r="I2020" i="13"/>
  <c r="I2021" i="13"/>
  <c r="I2022" i="13"/>
  <c r="I2023" i="13"/>
  <c r="I2024" i="13"/>
  <c r="I2025" i="13"/>
  <c r="I2026" i="13"/>
  <c r="I2027" i="13"/>
  <c r="I2028" i="13"/>
  <c r="I2029" i="13"/>
  <c r="I2030" i="13"/>
  <c r="I2031" i="13"/>
  <c r="I2032" i="13"/>
  <c r="I2033" i="13"/>
  <c r="I2034" i="13"/>
  <c r="I2035" i="13"/>
  <c r="I2036" i="13"/>
  <c r="I2037" i="13"/>
  <c r="I2038" i="13"/>
  <c r="I2039" i="13"/>
  <c r="I2040" i="13"/>
  <c r="I2041" i="13"/>
  <c r="I2042" i="13"/>
  <c r="I2043" i="13"/>
  <c r="I2044" i="13"/>
  <c r="I2045" i="13"/>
  <c r="I2046" i="13"/>
  <c r="I2047" i="13"/>
  <c r="I2048" i="13"/>
  <c r="I2049" i="13"/>
  <c r="I2050" i="13"/>
  <c r="I2051" i="13"/>
  <c r="I2052" i="13"/>
  <c r="I2053" i="13"/>
  <c r="I2054" i="13"/>
  <c r="I2055" i="13"/>
  <c r="I2056" i="13"/>
  <c r="I2057" i="13"/>
  <c r="I2058" i="13"/>
  <c r="I2059" i="13"/>
  <c r="I2060" i="13"/>
  <c r="I2061" i="13"/>
  <c r="I2062" i="13"/>
  <c r="I2063" i="13"/>
  <c r="I2064" i="13"/>
  <c r="I2065" i="13"/>
  <c r="I2066" i="13"/>
  <c r="I2067" i="13"/>
  <c r="I2068" i="13"/>
  <c r="I2069" i="13"/>
  <c r="I2070" i="13"/>
  <c r="I2071" i="13"/>
  <c r="I2072" i="13"/>
  <c r="I2073" i="13"/>
  <c r="I2074" i="13"/>
  <c r="I2075" i="13"/>
  <c r="I2076" i="13"/>
  <c r="I2077" i="13"/>
  <c r="I2078" i="13"/>
  <c r="I2079" i="13"/>
  <c r="I2080" i="13"/>
  <c r="I2081" i="13"/>
  <c r="I2082" i="13"/>
  <c r="I2083" i="13"/>
  <c r="I2084" i="13"/>
  <c r="I2085" i="13"/>
  <c r="I2086" i="13"/>
  <c r="I2087" i="13"/>
  <c r="I2088" i="13"/>
  <c r="I2089" i="13"/>
  <c r="I2090" i="13"/>
  <c r="I2091" i="13"/>
  <c r="I2092" i="13"/>
  <c r="I2093" i="13"/>
  <c r="I2094" i="13"/>
  <c r="I2095" i="13"/>
  <c r="I2096" i="13"/>
  <c r="I2097" i="13"/>
  <c r="I2098" i="13"/>
  <c r="I2099" i="13"/>
  <c r="I2100" i="13"/>
  <c r="I2101" i="13"/>
  <c r="I2102" i="13"/>
  <c r="I2103" i="13"/>
  <c r="I2104" i="13"/>
  <c r="I2105" i="13"/>
  <c r="I2106" i="13"/>
  <c r="I2107" i="13"/>
  <c r="I2108" i="13"/>
  <c r="I2109" i="13"/>
  <c r="I2110" i="13"/>
  <c r="I2111" i="13"/>
  <c r="I2112" i="13"/>
  <c r="I2113" i="13"/>
  <c r="I2114" i="13"/>
  <c r="I2115" i="13"/>
  <c r="I2116" i="13"/>
  <c r="I2117" i="13"/>
  <c r="I2118" i="13"/>
  <c r="I2119" i="13"/>
  <c r="I2120" i="13"/>
  <c r="I2121" i="13"/>
  <c r="I2122" i="13"/>
  <c r="I2123" i="13"/>
  <c r="I2124" i="13"/>
  <c r="I2125" i="13"/>
  <c r="I2126" i="13"/>
  <c r="I2127" i="13"/>
  <c r="I2128" i="13"/>
  <c r="I2129" i="13"/>
  <c r="I2130" i="13"/>
  <c r="I2131" i="13"/>
  <c r="I2132" i="13"/>
  <c r="I2133" i="13"/>
  <c r="I2134" i="13"/>
  <c r="I2135" i="13"/>
  <c r="I2136" i="13"/>
  <c r="I2137" i="13"/>
  <c r="I2138" i="13"/>
  <c r="I2139" i="13"/>
  <c r="I2140" i="13"/>
  <c r="I2141" i="13"/>
  <c r="I2142" i="13"/>
  <c r="I2143" i="13"/>
  <c r="I2144" i="13"/>
  <c r="I2145" i="13"/>
  <c r="I2146" i="13"/>
  <c r="I2147" i="13"/>
  <c r="I2148" i="13"/>
  <c r="I2149" i="13"/>
  <c r="I2150" i="13"/>
  <c r="I2151" i="13"/>
  <c r="I2152" i="13"/>
  <c r="I2153" i="13"/>
  <c r="I2154" i="13"/>
  <c r="I2155" i="13"/>
  <c r="I2156" i="13"/>
  <c r="I2157" i="13"/>
  <c r="I2158" i="13"/>
  <c r="I2159" i="13"/>
  <c r="I2160" i="13"/>
  <c r="I2161" i="13"/>
  <c r="I2162" i="13"/>
  <c r="I2163" i="13"/>
  <c r="I2164" i="13"/>
  <c r="I2165" i="13"/>
  <c r="I2166" i="13"/>
  <c r="I2167" i="13"/>
  <c r="I2168" i="13"/>
  <c r="I2169" i="13"/>
  <c r="I2170" i="13"/>
  <c r="I2171" i="13"/>
  <c r="I2172" i="13"/>
  <c r="I2173" i="13"/>
  <c r="I2174" i="13"/>
  <c r="I2175" i="13"/>
  <c r="I2176" i="13"/>
  <c r="I2177" i="13"/>
  <c r="I2178" i="13"/>
  <c r="I2179" i="13"/>
  <c r="I2180" i="13"/>
  <c r="I2181" i="13"/>
  <c r="I2182" i="13"/>
  <c r="I2183" i="13"/>
  <c r="I2184" i="13"/>
  <c r="I2185" i="13"/>
  <c r="I2186" i="13"/>
  <c r="I2187" i="13"/>
  <c r="I2188" i="13"/>
  <c r="I2189" i="13"/>
  <c r="I2190" i="13"/>
  <c r="I2191" i="13"/>
  <c r="I2192" i="13"/>
  <c r="I2193" i="13"/>
  <c r="I2194" i="13"/>
  <c r="I2195" i="13"/>
  <c r="I2196" i="13"/>
  <c r="I2197" i="13"/>
  <c r="I2198" i="13"/>
  <c r="I2199" i="13"/>
  <c r="I2200" i="13"/>
  <c r="I2201" i="13"/>
  <c r="I2202" i="13"/>
  <c r="I2203" i="13"/>
  <c r="I2204" i="13"/>
  <c r="I2205" i="13"/>
  <c r="I2206" i="13"/>
  <c r="I2207" i="13"/>
  <c r="I2208" i="13"/>
  <c r="I2209" i="13"/>
  <c r="I2210" i="13"/>
  <c r="I2211" i="13"/>
  <c r="I2212" i="13"/>
  <c r="I2213" i="13"/>
  <c r="I2215" i="13"/>
  <c r="I2216" i="13"/>
  <c r="I2217" i="13"/>
  <c r="I2218" i="13"/>
  <c r="I2219" i="13"/>
  <c r="I2220" i="13"/>
  <c r="I2221" i="13"/>
  <c r="I2222" i="13"/>
  <c r="I2223" i="13"/>
  <c r="I2224" i="13"/>
  <c r="I2225" i="13"/>
  <c r="I2226" i="13"/>
  <c r="I2227" i="13"/>
  <c r="I2228" i="13"/>
  <c r="I2229" i="13"/>
  <c r="I2230" i="13"/>
  <c r="I2231" i="13"/>
  <c r="I2232" i="13"/>
  <c r="I2233" i="13"/>
  <c r="I2234" i="13"/>
  <c r="I2235" i="13"/>
  <c r="I2236" i="13"/>
  <c r="I2237" i="13"/>
  <c r="I2238" i="13"/>
  <c r="I2239" i="13"/>
  <c r="I2240" i="13"/>
  <c r="I2241" i="13"/>
  <c r="I2242" i="13"/>
  <c r="I2243" i="13"/>
  <c r="I2244" i="13"/>
  <c r="I2245" i="13"/>
  <c r="I2246" i="13"/>
  <c r="I2247" i="13"/>
  <c r="I2248" i="13"/>
  <c r="I2249" i="13"/>
  <c r="I2250" i="13"/>
  <c r="I2251" i="13"/>
  <c r="I2252" i="13"/>
  <c r="I2253" i="13"/>
  <c r="I2254" i="13"/>
  <c r="I2255" i="13"/>
  <c r="I2256" i="13"/>
  <c r="I2257" i="13"/>
  <c r="I2258" i="13"/>
  <c r="I2259" i="13"/>
  <c r="I2260" i="13"/>
  <c r="I2261" i="13"/>
  <c r="I2262" i="13"/>
  <c r="I2263" i="13"/>
  <c r="I2264" i="13"/>
  <c r="I2265" i="13"/>
  <c r="I2266" i="13"/>
  <c r="I2267" i="13"/>
  <c r="I2269" i="13"/>
  <c r="I2270" i="13"/>
  <c r="I2271" i="13"/>
  <c r="I2272" i="13"/>
  <c r="I2273" i="13"/>
  <c r="I2274" i="13"/>
  <c r="I2275" i="13"/>
  <c r="I2276" i="13"/>
  <c r="I2277" i="13"/>
  <c r="I2278" i="13"/>
  <c r="I2279" i="13"/>
  <c r="I2280" i="13"/>
  <c r="I2281" i="13"/>
  <c r="I2282" i="13"/>
  <c r="I2283" i="13"/>
  <c r="I2284" i="13"/>
  <c r="I2285" i="13"/>
  <c r="I2286" i="13"/>
  <c r="I2287" i="13"/>
  <c r="I2288" i="13"/>
  <c r="I2289" i="13"/>
  <c r="I2290" i="13"/>
  <c r="I2291" i="13"/>
  <c r="I2292" i="13"/>
  <c r="I2293" i="13"/>
  <c r="I2294" i="13"/>
  <c r="I2295" i="13"/>
  <c r="I2296" i="13"/>
  <c r="I2297" i="13"/>
  <c r="I2298" i="13"/>
  <c r="I2299" i="13"/>
  <c r="I2300" i="13"/>
  <c r="I2301" i="13"/>
  <c r="I2302" i="13"/>
  <c r="I2303" i="13"/>
  <c r="I2304" i="13"/>
  <c r="I2305" i="13"/>
  <c r="I2306" i="13"/>
  <c r="I2307" i="13"/>
  <c r="I2308" i="13"/>
  <c r="I2309" i="13"/>
  <c r="I2310" i="13"/>
  <c r="I2311" i="13"/>
  <c r="I2312" i="13"/>
  <c r="I2313" i="13"/>
  <c r="I2314" i="13"/>
  <c r="I2315" i="13"/>
  <c r="I2316" i="13"/>
  <c r="I2317" i="13"/>
  <c r="I2318" i="13"/>
  <c r="I2319" i="13"/>
  <c r="I2320" i="13"/>
  <c r="I2321" i="13"/>
  <c r="I2322" i="13"/>
  <c r="I2323" i="13"/>
  <c r="I2324" i="13"/>
  <c r="I2325" i="13"/>
  <c r="I2326" i="13"/>
  <c r="I2327" i="13"/>
  <c r="I2328" i="13"/>
  <c r="I2329" i="13"/>
  <c r="I2330" i="13"/>
  <c r="I2331" i="13"/>
  <c r="I2332" i="13"/>
  <c r="I2333" i="13"/>
  <c r="I2334" i="13"/>
  <c r="I2335" i="13"/>
  <c r="I2336" i="13"/>
  <c r="I2337" i="13"/>
  <c r="I2338" i="13"/>
  <c r="I2339" i="13"/>
  <c r="I2340" i="13"/>
  <c r="I2341" i="13"/>
  <c r="I2342" i="13"/>
  <c r="I2343" i="13"/>
  <c r="I2344" i="13"/>
  <c r="I2345" i="13"/>
  <c r="I2346" i="13"/>
  <c r="I2347" i="13"/>
  <c r="I2348" i="13"/>
  <c r="I2349" i="13"/>
  <c r="I2350" i="13"/>
  <c r="I2351" i="13"/>
  <c r="I2352" i="13"/>
  <c r="I2353" i="13"/>
  <c r="I2354" i="13"/>
  <c r="I2355" i="13"/>
  <c r="I2356" i="13"/>
  <c r="I2357" i="13"/>
  <c r="I2358" i="13"/>
  <c r="I2359" i="13"/>
  <c r="I2360" i="13"/>
  <c r="I2361" i="13"/>
  <c r="I2362" i="13"/>
  <c r="I2363" i="13"/>
  <c r="I2364" i="13"/>
  <c r="I2365" i="13"/>
  <c r="I2366" i="13"/>
  <c r="I2367" i="13"/>
  <c r="I2368" i="13"/>
  <c r="I2369" i="13"/>
  <c r="I2370" i="13"/>
  <c r="I2371" i="13"/>
  <c r="I2372" i="13"/>
  <c r="I2373" i="13"/>
  <c r="I2374" i="13"/>
  <c r="I2375" i="13"/>
  <c r="I2376" i="13"/>
  <c r="I2377" i="13"/>
  <c r="I2378" i="13"/>
  <c r="I2379" i="13"/>
  <c r="I2380" i="13"/>
  <c r="I2381" i="13"/>
  <c r="I2382" i="13"/>
  <c r="I2383" i="13"/>
  <c r="I2384" i="13"/>
  <c r="I2385" i="13"/>
  <c r="I2386" i="13"/>
  <c r="I2387" i="13"/>
  <c r="I2388" i="13"/>
  <c r="I2389" i="13"/>
  <c r="I2390" i="13"/>
  <c r="I2391" i="13"/>
  <c r="I2392" i="13"/>
  <c r="I2393" i="13"/>
  <c r="I2394" i="13"/>
  <c r="I2395" i="13"/>
  <c r="I2396" i="13"/>
  <c r="I2397" i="13"/>
  <c r="I2398" i="13"/>
  <c r="I2399" i="13"/>
  <c r="I2400" i="13"/>
  <c r="I2401" i="13"/>
  <c r="I2402" i="13"/>
  <c r="I2403" i="13"/>
  <c r="I2404" i="13"/>
  <c r="I2405" i="13"/>
  <c r="I2406" i="13"/>
  <c r="I2407" i="13"/>
  <c r="I2408" i="13"/>
  <c r="I2409" i="13"/>
  <c r="I2410" i="13"/>
  <c r="I2411" i="13"/>
  <c r="I2412" i="13"/>
  <c r="I2413" i="13"/>
  <c r="I2414" i="13"/>
  <c r="I2415" i="13"/>
  <c r="I2416" i="13"/>
  <c r="I2417" i="13"/>
  <c r="I2418" i="13"/>
  <c r="I2419" i="13"/>
  <c r="I2420" i="13"/>
  <c r="I2421" i="13"/>
  <c r="I2422" i="13"/>
  <c r="I2423" i="13"/>
  <c r="I2424" i="13"/>
  <c r="I2425" i="13"/>
  <c r="I2426" i="13"/>
  <c r="I2427" i="13"/>
  <c r="I2428" i="13"/>
  <c r="I2429" i="13"/>
  <c r="I2430" i="13"/>
  <c r="I2431" i="13"/>
  <c r="I2432" i="13"/>
  <c r="I2433" i="13"/>
  <c r="I2434" i="13"/>
  <c r="I2435" i="13"/>
  <c r="I2436" i="13"/>
  <c r="I2437" i="13"/>
  <c r="I2438" i="13"/>
  <c r="I2439" i="13"/>
  <c r="I2440" i="13"/>
  <c r="I2441" i="13"/>
  <c r="I2442" i="13"/>
  <c r="I2443" i="13"/>
  <c r="I2444" i="13"/>
  <c r="I2445" i="13"/>
  <c r="I2446" i="13"/>
  <c r="I2447" i="13"/>
  <c r="I2448" i="13"/>
  <c r="I2449" i="13"/>
  <c r="I2450" i="13"/>
  <c r="I2451" i="13"/>
  <c r="I2452" i="13"/>
  <c r="I2453" i="13"/>
  <c r="I2454" i="13"/>
  <c r="I2455" i="13"/>
  <c r="I2456" i="13"/>
  <c r="I2457" i="13"/>
  <c r="I2458" i="13"/>
  <c r="I2459" i="13"/>
  <c r="I2460" i="13"/>
  <c r="I2461" i="13"/>
  <c r="I2462" i="13"/>
  <c r="I2463" i="13"/>
  <c r="I2464" i="13"/>
  <c r="I2465" i="13"/>
  <c r="I2466" i="13"/>
  <c r="I2467" i="13"/>
  <c r="I2468" i="13"/>
  <c r="I2469" i="13"/>
  <c r="I2470" i="13"/>
  <c r="I2471" i="13"/>
  <c r="I2472" i="13"/>
  <c r="I2473" i="13"/>
  <c r="I2474" i="13"/>
  <c r="I2475" i="13"/>
  <c r="I2476" i="13"/>
  <c r="I2477" i="13"/>
  <c r="I2478" i="13"/>
  <c r="I2479" i="13"/>
  <c r="I2480" i="13"/>
  <c r="I2481" i="13"/>
  <c r="I2482" i="13"/>
  <c r="I2483" i="13"/>
  <c r="I2484" i="13"/>
  <c r="I2485" i="13"/>
  <c r="I2486" i="13"/>
  <c r="I2487" i="13"/>
  <c r="I2488" i="13"/>
  <c r="I2489" i="13"/>
  <c r="I2490" i="13"/>
  <c r="I2491" i="13"/>
  <c r="I2492" i="13"/>
  <c r="I2493" i="13"/>
  <c r="I2494" i="13"/>
  <c r="I2495" i="13"/>
  <c r="I2496" i="13"/>
  <c r="I2497" i="13"/>
  <c r="I2498" i="13"/>
  <c r="I2499" i="13"/>
  <c r="I2500" i="13"/>
  <c r="I2501" i="13"/>
  <c r="I2502" i="13"/>
  <c r="I2503" i="13"/>
  <c r="I2504" i="13"/>
  <c r="I2505" i="13"/>
  <c r="I2506" i="13"/>
  <c r="I2507" i="13"/>
  <c r="I2508" i="13"/>
  <c r="I2509" i="13"/>
  <c r="I2510" i="13"/>
  <c r="I2511" i="13"/>
  <c r="I2512" i="13"/>
  <c r="I2513" i="13"/>
  <c r="I2514" i="13"/>
  <c r="I2515" i="13"/>
  <c r="I2516" i="13"/>
  <c r="I2517" i="13"/>
  <c r="I2518" i="13"/>
  <c r="I2519" i="13"/>
  <c r="I2520" i="13"/>
  <c r="I2521" i="13"/>
  <c r="I2522" i="13"/>
  <c r="I2523" i="13"/>
  <c r="I2524" i="13"/>
  <c r="I2525" i="13"/>
  <c r="I2526" i="13"/>
  <c r="I2527" i="13"/>
  <c r="I2528" i="13"/>
  <c r="I2529" i="13"/>
  <c r="I2530" i="13"/>
  <c r="I2531" i="13"/>
  <c r="I2532" i="13"/>
  <c r="I2533" i="13"/>
  <c r="I2534" i="13"/>
  <c r="I2535" i="13"/>
  <c r="I2536" i="13"/>
  <c r="I2537" i="13"/>
  <c r="I2538" i="13"/>
  <c r="I2539" i="13"/>
  <c r="I2540" i="13"/>
  <c r="I2541" i="13"/>
  <c r="I2542" i="13"/>
  <c r="I2543" i="13"/>
  <c r="I2544" i="13"/>
  <c r="I2545" i="13"/>
  <c r="I2546" i="13"/>
  <c r="I2547" i="13"/>
  <c r="I2548" i="13"/>
  <c r="I2549" i="13"/>
  <c r="I2550" i="13"/>
  <c r="I2551" i="13"/>
  <c r="I2552" i="13"/>
  <c r="I2553" i="13"/>
  <c r="I2554" i="13"/>
  <c r="I2555" i="13"/>
  <c r="I2556" i="13"/>
  <c r="I2557" i="13"/>
  <c r="I2558" i="13"/>
  <c r="I2559" i="13"/>
  <c r="I2560" i="13"/>
  <c r="I2561" i="13"/>
  <c r="I2562" i="13"/>
  <c r="I2563" i="13"/>
  <c r="I2564" i="13"/>
  <c r="I2565" i="13"/>
  <c r="I2566" i="13"/>
  <c r="I2567" i="13"/>
  <c r="I2568" i="13"/>
  <c r="I2569" i="13"/>
  <c r="I2570" i="13"/>
  <c r="AO977" i="13"/>
  <c r="L128" i="13"/>
  <c r="AB55" i="13"/>
  <c r="L97" i="13"/>
  <c r="AR81" i="13"/>
  <c r="L78" i="13"/>
  <c r="L117" i="13"/>
  <c r="AR102" i="13"/>
  <c r="AR100" i="13"/>
  <c r="L124" i="13"/>
  <c r="L52" i="13"/>
  <c r="AB52" i="13"/>
  <c r="AB49" i="13"/>
  <c r="AB121" i="13"/>
  <c r="AR84" i="13"/>
  <c r="AB101" i="13"/>
  <c r="AR70" i="13"/>
  <c r="AB93" i="13"/>
  <c r="AR60" i="13"/>
  <c r="AB94" i="13"/>
  <c r="L95" i="13"/>
  <c r="L76" i="13"/>
  <c r="AB113" i="13"/>
  <c r="AB130" i="13"/>
  <c r="L91" i="13"/>
  <c r="AB106" i="13"/>
  <c r="AB160" i="13"/>
  <c r="L72" i="13"/>
  <c r="L133" i="13"/>
  <c r="AB116" i="13"/>
  <c r="AB62" i="13"/>
  <c r="AB87" i="13"/>
  <c r="L112" i="13"/>
  <c r="AB45" i="13"/>
  <c r="L58" i="13"/>
  <c r="AB151" i="13"/>
  <c r="AB122" i="13"/>
  <c r="L110" i="13"/>
  <c r="AR65" i="13"/>
  <c r="AB63" i="13"/>
  <c r="L68" i="13"/>
  <c r="AR67" i="13"/>
  <c r="AR68" i="13"/>
  <c r="AB120" i="13"/>
  <c r="AB61" i="13"/>
  <c r="AB118" i="13"/>
  <c r="L64" i="13"/>
  <c r="AR105" i="13"/>
  <c r="AB99" i="13"/>
  <c r="L96" i="13"/>
  <c r="AB88" i="13"/>
  <c r="AR95" i="13"/>
  <c r="L82" i="13"/>
  <c r="AR71" i="13"/>
  <c r="AR62" i="13"/>
  <c r="AB44" i="13"/>
  <c r="L132" i="13"/>
  <c r="AB135" i="13"/>
  <c r="L131" i="13"/>
  <c r="AB148" i="13"/>
  <c r="AB86" i="13"/>
  <c r="AR73" i="13"/>
  <c r="L104" i="13"/>
  <c r="L123" i="13"/>
  <c r="AR45" i="13"/>
  <c r="AR85" i="13"/>
  <c r="L130" i="13"/>
  <c r="AB78" i="13"/>
  <c r="AB164" i="13"/>
  <c r="AB147" i="13"/>
  <c r="L120" i="13"/>
  <c r="AB117" i="13"/>
  <c r="AR89" i="13"/>
  <c r="AB112" i="13"/>
  <c r="L46" i="13"/>
  <c r="AR82" i="13"/>
  <c r="AR63" i="13"/>
  <c r="AB57" i="13"/>
  <c r="L90" i="13"/>
  <c r="L114" i="13"/>
  <c r="AR47" i="13"/>
  <c r="AR72" i="13"/>
  <c r="AB134" i="13"/>
  <c r="AR66" i="13"/>
  <c r="AR76" i="13"/>
  <c r="L47" i="13"/>
  <c r="L139" i="13"/>
  <c r="AB154" i="13"/>
  <c r="AB74" i="13"/>
  <c r="AB65" i="13"/>
  <c r="AR83" i="13"/>
  <c r="AB104" i="13"/>
  <c r="AB132" i="13"/>
  <c r="AR92" i="13"/>
  <c r="AB114" i="13"/>
  <c r="AB69" i="13"/>
  <c r="AR101" i="13"/>
  <c r="AB162" i="13"/>
  <c r="AR79" i="13"/>
  <c r="L93" i="13"/>
  <c r="L115" i="13"/>
  <c r="L60" i="13"/>
  <c r="L126" i="13"/>
  <c r="AR50" i="13"/>
  <c r="AB53" i="13"/>
  <c r="AB100" i="13"/>
  <c r="L122" i="13"/>
  <c r="L77" i="13"/>
  <c r="AB144" i="13"/>
  <c r="AB141" i="13"/>
  <c r="AB73" i="13"/>
  <c r="AR77" i="13"/>
  <c r="L49" i="13"/>
  <c r="AB136" i="13"/>
  <c r="AB50" i="13"/>
  <c r="AR99" i="13"/>
  <c r="AR103" i="13"/>
  <c r="AB111" i="13"/>
  <c r="L116" i="13"/>
  <c r="L62" i="13"/>
  <c r="L113" i="13"/>
  <c r="L50" i="13"/>
  <c r="AB58" i="13"/>
  <c r="L59" i="13"/>
  <c r="AB137" i="13"/>
  <c r="AB159" i="13"/>
  <c r="L57" i="13"/>
  <c r="L121" i="13"/>
  <c r="AB64" i="13"/>
  <c r="L105" i="13"/>
  <c r="AR97" i="13"/>
  <c r="AB56" i="13"/>
  <c r="AB131" i="13"/>
  <c r="L103" i="13"/>
  <c r="L135" i="13"/>
  <c r="L70" i="13"/>
  <c r="AR59" i="13"/>
  <c r="L56" i="13"/>
  <c r="AR61" i="13"/>
  <c r="AB95" i="13"/>
  <c r="AR56" i="13"/>
  <c r="AR58" i="13"/>
  <c r="AB108" i="13"/>
  <c r="AB115" i="13"/>
  <c r="L44" i="13"/>
  <c r="AR46" i="13"/>
  <c r="AR74" i="13"/>
  <c r="L136" i="13"/>
  <c r="AR94" i="13"/>
  <c r="AB51" i="13"/>
  <c r="L125" i="13"/>
  <c r="AB163" i="13"/>
  <c r="L87" i="13"/>
  <c r="AR86" i="13"/>
  <c r="L89" i="13"/>
  <c r="L138" i="13"/>
  <c r="L66" i="13"/>
  <c r="L107" i="13"/>
  <c r="AB153" i="13"/>
  <c r="AB84" i="13"/>
  <c r="AB102" i="13"/>
  <c r="AB70" i="13"/>
  <c r="AB46" i="13"/>
  <c r="AR64" i="13"/>
  <c r="AB77" i="13"/>
  <c r="L141" i="13"/>
  <c r="AB143" i="13"/>
  <c r="AB149" i="13"/>
  <c r="AR52" i="13"/>
  <c r="AR93" i="13"/>
  <c r="AB75" i="13"/>
  <c r="L43" i="13"/>
  <c r="AB155" i="13"/>
  <c r="AB123" i="13"/>
  <c r="L53" i="13"/>
  <c r="AB145" i="13"/>
  <c r="AB105" i="13"/>
  <c r="AB89" i="13"/>
  <c r="L55" i="13"/>
  <c r="AB103" i="13"/>
  <c r="AB82" i="13"/>
  <c r="L142" i="13"/>
  <c r="AB79" i="13"/>
  <c r="L61" i="13"/>
  <c r="L100" i="13"/>
  <c r="L45" i="13"/>
  <c r="L109" i="13"/>
  <c r="AB68" i="13"/>
  <c r="AR51" i="13"/>
  <c r="AR53" i="13"/>
  <c r="AR104" i="13"/>
  <c r="AB107" i="13"/>
  <c r="AB146" i="13"/>
  <c r="L54" i="13"/>
  <c r="L75" i="13"/>
  <c r="AB72" i="13"/>
  <c r="L73" i="13"/>
  <c r="AR43" i="13"/>
  <c r="L111" i="13"/>
  <c r="L92" i="13"/>
  <c r="AB157" i="13"/>
  <c r="AB59" i="13"/>
  <c r="L108" i="13"/>
  <c r="AB90" i="13"/>
  <c r="AR98" i="13"/>
  <c r="L106" i="13"/>
  <c r="L88" i="13"/>
  <c r="AB152" i="13"/>
  <c r="AB83" i="13"/>
  <c r="AR80" i="13"/>
  <c r="AB80" i="13"/>
  <c r="L71" i="13"/>
  <c r="AR78" i="13"/>
  <c r="AB91" i="13"/>
  <c r="AB71" i="13"/>
  <c r="AB66" i="13"/>
  <c r="L102" i="13"/>
  <c r="L63" i="13"/>
  <c r="L69" i="13"/>
  <c r="L83" i="13"/>
  <c r="AB109" i="13"/>
  <c r="L65" i="13"/>
  <c r="AB119" i="13"/>
  <c r="AB81" i="13"/>
  <c r="L81" i="13"/>
  <c r="AB43" i="13"/>
  <c r="AR91" i="13"/>
  <c r="AB126" i="13"/>
  <c r="AB97" i="13"/>
  <c r="AR48" i="13"/>
  <c r="AR90" i="13"/>
  <c r="L51" i="13"/>
  <c r="AR96" i="13"/>
  <c r="L127" i="13"/>
  <c r="AB47" i="13"/>
  <c r="L67" i="13"/>
  <c r="AB142" i="13"/>
  <c r="AB42" i="13"/>
  <c r="L119" i="13"/>
  <c r="L101" i="13"/>
  <c r="AB125" i="13"/>
  <c r="AB67" i="13"/>
  <c r="AB110" i="13"/>
  <c r="AB85" i="13"/>
  <c r="L94" i="13"/>
  <c r="L134" i="13"/>
  <c r="AR75" i="13"/>
  <c r="L48" i="13"/>
  <c r="AR88" i="13"/>
  <c r="AR87" i="13"/>
  <c r="AB96" i="13"/>
  <c r="AB138" i="13"/>
  <c r="AR69" i="13"/>
  <c r="AR54" i="13"/>
  <c r="AB158" i="13"/>
  <c r="AB98" i="13"/>
  <c r="AB48" i="13"/>
  <c r="L42" i="13"/>
  <c r="L86" i="13"/>
  <c r="AR55" i="13"/>
  <c r="AB76" i="13"/>
  <c r="L80" i="13"/>
  <c r="AB156" i="13"/>
  <c r="AB124" i="13"/>
  <c r="AB60" i="13"/>
  <c r="L98" i="13"/>
  <c r="AB129" i="13"/>
  <c r="AB161" i="13"/>
  <c r="L129" i="13"/>
  <c r="L140" i="13"/>
  <c r="AB139" i="13"/>
  <c r="AR44" i="13"/>
  <c r="AB92" i="13"/>
  <c r="L74" i="13"/>
  <c r="AB133" i="13"/>
  <c r="AB128" i="13"/>
  <c r="AR57" i="13"/>
  <c r="L85" i="13"/>
  <c r="AB150" i="13"/>
  <c r="L79" i="13"/>
  <c r="L118" i="13"/>
  <c r="L99" i="13"/>
  <c r="L137" i="13"/>
  <c r="L84" i="13"/>
  <c r="AB54" i="13"/>
  <c r="AR49" i="13"/>
  <c r="AB127" i="13"/>
  <c r="AR42" i="13"/>
  <c r="AB140" i="13"/>
  <c r="P137" i="3" l="1"/>
  <c r="R137" i="3"/>
  <c r="K137" i="3"/>
  <c r="M137" i="3" s="1"/>
  <c r="L90" i="3"/>
  <c r="K90" i="3"/>
  <c r="N44" i="3"/>
  <c r="L44" i="3"/>
  <c r="R45" i="3" s="1"/>
  <c r="K44" i="3"/>
  <c r="M90" i="3" l="1"/>
  <c r="L137" i="3"/>
  <c r="U137" i="3" s="1"/>
  <c r="R155" i="3"/>
  <c r="P155" i="3"/>
  <c r="M44" i="3"/>
  <c r="O44" i="3"/>
  <c r="P44" i="3"/>
  <c r="N12" i="12"/>
  <c r="N13" i="12"/>
  <c r="N14" i="12"/>
  <c r="N15" i="12"/>
  <c r="N16" i="12"/>
  <c r="N17" i="12"/>
  <c r="N18" i="12"/>
  <c r="N19" i="12"/>
  <c r="N20" i="12"/>
  <c r="N21" i="12"/>
  <c r="N22" i="12"/>
  <c r="N23" i="12"/>
  <c r="N24" i="12"/>
  <c r="N25" i="12"/>
  <c r="N26" i="12"/>
  <c r="N27" i="12"/>
  <c r="N28" i="12"/>
  <c r="N31" i="12"/>
  <c r="N32" i="12"/>
  <c r="N33" i="12"/>
  <c r="N34" i="12"/>
  <c r="N29" i="12"/>
  <c r="N30" i="12"/>
  <c r="N36" i="12"/>
  <c r="N35" i="12"/>
  <c r="N37" i="12"/>
  <c r="N38" i="12"/>
  <c r="N39" i="12"/>
  <c r="N40" i="12"/>
  <c r="N41" i="12"/>
  <c r="N42" i="12"/>
  <c r="N43" i="12"/>
  <c r="N44" i="12"/>
  <c r="N45" i="12"/>
  <c r="N46" i="12"/>
  <c r="N47" i="12"/>
  <c r="N48" i="12"/>
  <c r="N49" i="12"/>
  <c r="N50" i="12"/>
  <c r="N51" i="12"/>
  <c r="N52" i="12"/>
  <c r="N53" i="12"/>
  <c r="N55" i="12"/>
  <c r="N56" i="12"/>
  <c r="N57" i="12"/>
  <c r="N58" i="12"/>
  <c r="N59" i="12"/>
  <c r="N60" i="12"/>
  <c r="N54" i="12"/>
  <c r="N61" i="12"/>
  <c r="N62" i="12"/>
  <c r="N63" i="12"/>
  <c r="N64" i="12"/>
  <c r="N65" i="12"/>
  <c r="N66" i="12"/>
  <c r="N67" i="12"/>
  <c r="N68" i="12"/>
  <c r="N69" i="12"/>
  <c r="N70" i="12"/>
  <c r="N71" i="12"/>
  <c r="N72" i="12"/>
  <c r="N73" i="12"/>
  <c r="N74" i="12"/>
  <c r="N75" i="12"/>
  <c r="N76" i="12"/>
  <c r="N77" i="12"/>
  <c r="N78" i="12"/>
  <c r="N79" i="12"/>
  <c r="N80" i="12"/>
  <c r="N81" i="12"/>
  <c r="N82" i="12"/>
  <c r="N83" i="12"/>
  <c r="N84" i="12"/>
  <c r="N85" i="12"/>
  <c r="N86" i="12"/>
  <c r="N87" i="12"/>
  <c r="N88" i="12"/>
  <c r="N89" i="12"/>
  <c r="N90" i="12"/>
  <c r="N91" i="12"/>
  <c r="N93" i="12"/>
  <c r="N92" i="12"/>
  <c r="N94" i="12"/>
  <c r="N95" i="12"/>
  <c r="N96" i="12"/>
  <c r="N97" i="12"/>
  <c r="N98" i="12"/>
  <c r="N99" i="12"/>
  <c r="N100" i="12"/>
  <c r="N101" i="12"/>
  <c r="N102" i="12"/>
  <c r="N103" i="12"/>
  <c r="N104" i="12"/>
  <c r="N105" i="12"/>
  <c r="N106" i="12"/>
  <c r="N107" i="12"/>
  <c r="N108" i="12"/>
  <c r="N109" i="12"/>
  <c r="N110" i="12"/>
  <c r="N111" i="12"/>
  <c r="N112" i="12"/>
  <c r="N113" i="12"/>
  <c r="N114" i="12"/>
  <c r="N115" i="12"/>
  <c r="N116" i="12"/>
  <c r="N117" i="12"/>
  <c r="N118" i="12"/>
  <c r="N119" i="12"/>
  <c r="N120" i="12"/>
  <c r="N121" i="12"/>
  <c r="N122" i="12"/>
  <c r="N123" i="12"/>
  <c r="N124" i="12"/>
  <c r="N125" i="12"/>
  <c r="N126" i="12"/>
  <c r="N127" i="12"/>
  <c r="N129" i="12"/>
  <c r="N130" i="12"/>
  <c r="N128"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8" i="12"/>
  <c r="N159" i="12"/>
  <c r="N160" i="12"/>
  <c r="N161" i="12"/>
  <c r="N162" i="12"/>
  <c r="N163" i="12"/>
  <c r="N164" i="12"/>
  <c r="N165" i="12"/>
  <c r="N166" i="12"/>
  <c r="N167" i="12"/>
  <c r="N157" i="12"/>
  <c r="N168" i="12"/>
  <c r="N169" i="12"/>
  <c r="N171" i="12"/>
  <c r="N172" i="12"/>
  <c r="N173" i="12"/>
  <c r="N174" i="12"/>
  <c r="N175" i="12"/>
  <c r="N170" i="12"/>
  <c r="P12" i="12"/>
  <c r="P13" i="12"/>
  <c r="P14" i="12"/>
  <c r="P15" i="12"/>
  <c r="P16" i="12"/>
  <c r="P17" i="12"/>
  <c r="P18" i="12"/>
  <c r="P19" i="12"/>
  <c r="P20" i="12"/>
  <c r="P21" i="12"/>
  <c r="P22" i="12"/>
  <c r="P23" i="12"/>
  <c r="P24" i="12"/>
  <c r="P25" i="12"/>
  <c r="P26" i="12"/>
  <c r="P27" i="12"/>
  <c r="P28" i="12"/>
  <c r="P31" i="12"/>
  <c r="P32" i="12"/>
  <c r="P33" i="12"/>
  <c r="P34" i="12"/>
  <c r="P29" i="12"/>
  <c r="P30" i="12"/>
  <c r="P36" i="12"/>
  <c r="P35" i="12"/>
  <c r="P37" i="12"/>
  <c r="P38" i="12"/>
  <c r="P39" i="12"/>
  <c r="P40" i="12"/>
  <c r="P41" i="12"/>
  <c r="P42" i="12"/>
  <c r="P43" i="12"/>
  <c r="P44" i="12"/>
  <c r="P45" i="12"/>
  <c r="P46" i="12"/>
  <c r="P47" i="12"/>
  <c r="P48" i="12"/>
  <c r="P49" i="12"/>
  <c r="P50" i="12"/>
  <c r="P51" i="12"/>
  <c r="P52" i="12"/>
  <c r="P53" i="12"/>
  <c r="P55" i="12"/>
  <c r="P56" i="12"/>
  <c r="P57" i="12"/>
  <c r="P58" i="12"/>
  <c r="P59" i="12"/>
  <c r="P60" i="12"/>
  <c r="P54" i="12"/>
  <c r="P61" i="12"/>
  <c r="P62" i="12"/>
  <c r="P63" i="12"/>
  <c r="P64" i="12"/>
  <c r="P65" i="12"/>
  <c r="P66" i="12"/>
  <c r="P67" i="12"/>
  <c r="P68" i="12"/>
  <c r="P69" i="12"/>
  <c r="P70" i="12"/>
  <c r="P71" i="12"/>
  <c r="P72" i="12"/>
  <c r="P73" i="12"/>
  <c r="P74" i="12"/>
  <c r="P75" i="12"/>
  <c r="P76" i="12"/>
  <c r="P77" i="12"/>
  <c r="P78" i="12"/>
  <c r="P79" i="12"/>
  <c r="P80" i="12"/>
  <c r="P81" i="12"/>
  <c r="P82" i="12"/>
  <c r="P83" i="12"/>
  <c r="P84" i="12"/>
  <c r="P85" i="12"/>
  <c r="P86" i="12"/>
  <c r="P87" i="12"/>
  <c r="P88" i="12"/>
  <c r="P89" i="12"/>
  <c r="P90" i="12"/>
  <c r="P91" i="12"/>
  <c r="P93" i="12"/>
  <c r="P92" i="12"/>
  <c r="P94" i="12"/>
  <c r="P95" i="12"/>
  <c r="P96" i="12"/>
  <c r="P97" i="12"/>
  <c r="P98" i="12"/>
  <c r="P99" i="12"/>
  <c r="P100" i="12"/>
  <c r="P101" i="12"/>
  <c r="P102" i="12"/>
  <c r="P103" i="12"/>
  <c r="P104" i="12"/>
  <c r="P105" i="12"/>
  <c r="P106" i="12"/>
  <c r="P107" i="12"/>
  <c r="P108" i="12"/>
  <c r="P109" i="12"/>
  <c r="P110" i="12"/>
  <c r="P111" i="12"/>
  <c r="P112" i="12"/>
  <c r="P113" i="12"/>
  <c r="P114" i="12"/>
  <c r="P115" i="12"/>
  <c r="P116" i="12"/>
  <c r="P117" i="12"/>
  <c r="P118" i="12"/>
  <c r="P119" i="12"/>
  <c r="P120" i="12"/>
  <c r="P121" i="12"/>
  <c r="P122" i="12"/>
  <c r="P123" i="12"/>
  <c r="P124" i="12"/>
  <c r="P125" i="12"/>
  <c r="P126" i="12"/>
  <c r="P127" i="12"/>
  <c r="P129" i="12"/>
  <c r="P130" i="12"/>
  <c r="P128" i="12"/>
  <c r="P131" i="12"/>
  <c r="P132" i="12"/>
  <c r="P133" i="12"/>
  <c r="P134" i="12"/>
  <c r="P135" i="12"/>
  <c r="P136" i="12"/>
  <c r="P137" i="12"/>
  <c r="P138" i="12"/>
  <c r="P139" i="12"/>
  <c r="P140" i="12"/>
  <c r="P141" i="12"/>
  <c r="P142" i="12"/>
  <c r="P143" i="12"/>
  <c r="P144" i="12"/>
  <c r="P145" i="12"/>
  <c r="P146" i="12"/>
  <c r="P147" i="12"/>
  <c r="P148" i="12"/>
  <c r="P149" i="12"/>
  <c r="P150" i="12"/>
  <c r="P151" i="12"/>
  <c r="P152" i="12"/>
  <c r="P153" i="12"/>
  <c r="P154" i="12"/>
  <c r="P155" i="12"/>
  <c r="P156" i="12"/>
  <c r="P158" i="12"/>
  <c r="P159" i="12"/>
  <c r="P160" i="12"/>
  <c r="P161" i="12"/>
  <c r="P162" i="12"/>
  <c r="P163" i="12"/>
  <c r="P164" i="12"/>
  <c r="P165" i="12"/>
  <c r="P166" i="12"/>
  <c r="P167" i="12"/>
  <c r="P157" i="12"/>
  <c r="P168" i="12"/>
  <c r="P169" i="12"/>
  <c r="P171" i="12"/>
  <c r="P172" i="12"/>
  <c r="P173" i="12"/>
  <c r="P174" i="12"/>
  <c r="P175" i="12"/>
  <c r="P170" i="12"/>
  <c r="R12" i="12"/>
  <c r="T12" i="12" s="1"/>
  <c r="R13" i="12"/>
  <c r="T13" i="12" s="1"/>
  <c r="R14" i="12"/>
  <c r="R15" i="12"/>
  <c r="T15" i="12" s="1"/>
  <c r="R16" i="12"/>
  <c r="T16" i="12" s="1"/>
  <c r="R17" i="12"/>
  <c r="R18" i="12"/>
  <c r="R19" i="12"/>
  <c r="R20" i="12"/>
  <c r="R21" i="12"/>
  <c r="T21" i="12" s="1"/>
  <c r="R22" i="12"/>
  <c r="R23" i="12"/>
  <c r="T23" i="12" s="1"/>
  <c r="R24" i="12"/>
  <c r="T24" i="12" s="1"/>
  <c r="R25" i="12"/>
  <c r="T25" i="12" s="1"/>
  <c r="R26" i="12"/>
  <c r="T26" i="12" s="1"/>
  <c r="R27" i="12"/>
  <c r="T27" i="12" s="1"/>
  <c r="R28" i="12"/>
  <c r="T28" i="12" s="1"/>
  <c r="R31" i="12"/>
  <c r="R32" i="12"/>
  <c r="R33" i="12"/>
  <c r="R34" i="12"/>
  <c r="R29" i="12"/>
  <c r="T29" i="12" s="1"/>
  <c r="R30" i="12"/>
  <c r="T30" i="12" s="1"/>
  <c r="R36" i="12"/>
  <c r="R35" i="12"/>
  <c r="R37" i="12"/>
  <c r="R38" i="12"/>
  <c r="T38" i="12" s="1"/>
  <c r="R39" i="12"/>
  <c r="T39" i="12" s="1"/>
  <c r="R40" i="12"/>
  <c r="T40" i="12" s="1"/>
  <c r="R41" i="12"/>
  <c r="R42" i="12"/>
  <c r="R43" i="12"/>
  <c r="T43" i="12" s="1"/>
  <c r="R44" i="12"/>
  <c r="R45" i="12"/>
  <c r="T45" i="12" s="1"/>
  <c r="R46" i="12"/>
  <c r="R47" i="12"/>
  <c r="T47" i="12" s="1"/>
  <c r="R48" i="12"/>
  <c r="R49" i="12"/>
  <c r="R50" i="12"/>
  <c r="R51" i="12"/>
  <c r="T51" i="12" s="1"/>
  <c r="R52" i="12"/>
  <c r="T52" i="12" s="1"/>
  <c r="R53" i="12"/>
  <c r="R55" i="12"/>
  <c r="T55" i="12" s="1"/>
  <c r="R56" i="12"/>
  <c r="T56" i="12" s="1"/>
  <c r="R57" i="12"/>
  <c r="T57" i="12" s="1"/>
  <c r="R58" i="12"/>
  <c r="R59" i="12"/>
  <c r="T59" i="12" s="1"/>
  <c r="R60" i="12"/>
  <c r="T60" i="12" s="1"/>
  <c r="R54" i="12"/>
  <c r="T54" i="12" s="1"/>
  <c r="R61" i="12"/>
  <c r="T61" i="12" s="1"/>
  <c r="R62" i="12"/>
  <c r="R63" i="12"/>
  <c r="T63" i="12" s="1"/>
  <c r="R64" i="12"/>
  <c r="T64" i="12" s="1"/>
  <c r="R65" i="12"/>
  <c r="R66" i="12"/>
  <c r="R67" i="12"/>
  <c r="T67" i="12" s="1"/>
  <c r="R68" i="12"/>
  <c r="R69" i="12"/>
  <c r="T69" i="12" s="1"/>
  <c r="R70" i="12"/>
  <c r="R71" i="12"/>
  <c r="T71" i="12" s="1"/>
  <c r="R72" i="12"/>
  <c r="R73" i="12"/>
  <c r="T73" i="12" s="1"/>
  <c r="R74" i="12"/>
  <c r="T74" i="12" s="1"/>
  <c r="R75" i="12"/>
  <c r="T75" i="12" s="1"/>
  <c r="R76" i="12"/>
  <c r="T76" i="12" s="1"/>
  <c r="R77" i="12"/>
  <c r="R78" i="12"/>
  <c r="R79" i="12"/>
  <c r="T79" i="12" s="1"/>
  <c r="R80" i="12"/>
  <c r="R81" i="12"/>
  <c r="T81" i="12" s="1"/>
  <c r="R82" i="12"/>
  <c r="T82" i="12" s="1"/>
  <c r="R83" i="12"/>
  <c r="T83" i="12" s="1"/>
  <c r="R84" i="12"/>
  <c r="T84" i="12" s="1"/>
  <c r="R85" i="12"/>
  <c r="T85" i="12" s="1"/>
  <c r="R86" i="12"/>
  <c r="T86" i="12" s="1"/>
  <c r="R87" i="12"/>
  <c r="T87" i="12" s="1"/>
  <c r="R88" i="12"/>
  <c r="T88" i="12" s="1"/>
  <c r="R89" i="12"/>
  <c r="R90" i="12"/>
  <c r="R91" i="12"/>
  <c r="T91" i="12" s="1"/>
  <c r="R93" i="12"/>
  <c r="T93" i="12" s="1"/>
  <c r="R92" i="12"/>
  <c r="T92" i="12" s="1"/>
  <c r="R94" i="12"/>
  <c r="T94" i="12" s="1"/>
  <c r="R95" i="12"/>
  <c r="T95" i="12" s="1"/>
  <c r="R96" i="12"/>
  <c r="T96" i="12" s="1"/>
  <c r="R97" i="12"/>
  <c r="R98" i="12"/>
  <c r="R99" i="12"/>
  <c r="T99" i="12" s="1"/>
  <c r="R100" i="12"/>
  <c r="T100" i="12" s="1"/>
  <c r="R101" i="12"/>
  <c r="T101" i="12" s="1"/>
  <c r="R102" i="12"/>
  <c r="R103" i="12"/>
  <c r="T103" i="12" s="1"/>
  <c r="R104" i="12"/>
  <c r="T104" i="12" s="1"/>
  <c r="R105" i="12"/>
  <c r="T105" i="12" s="1"/>
  <c r="R106" i="12"/>
  <c r="T106" i="12" s="1"/>
  <c r="R107" i="12"/>
  <c r="T107" i="12" s="1"/>
  <c r="R108" i="12"/>
  <c r="T108" i="12" s="1"/>
  <c r="R109" i="12"/>
  <c r="T109" i="12" s="1"/>
  <c r="R110" i="12"/>
  <c r="T110" i="12" s="1"/>
  <c r="R111" i="12"/>
  <c r="T111" i="12" s="1"/>
  <c r="R112" i="12"/>
  <c r="T112" i="12" s="1"/>
  <c r="R113" i="12"/>
  <c r="T113" i="12" s="1"/>
  <c r="R114" i="12"/>
  <c r="T114" i="12" s="1"/>
  <c r="R115" i="12"/>
  <c r="T115" i="12" s="1"/>
  <c r="R116" i="12"/>
  <c r="T116" i="12" s="1"/>
  <c r="R117" i="12"/>
  <c r="T117" i="12" s="1"/>
  <c r="R118" i="12"/>
  <c r="T118" i="12" s="1"/>
  <c r="R119" i="12"/>
  <c r="T119" i="12" s="1"/>
  <c r="R120" i="12"/>
  <c r="T120" i="12" s="1"/>
  <c r="R121" i="12"/>
  <c r="T121" i="12" s="1"/>
  <c r="R122" i="12"/>
  <c r="T122" i="12" s="1"/>
  <c r="R123" i="12"/>
  <c r="T123" i="12" s="1"/>
  <c r="R124" i="12"/>
  <c r="T124" i="12" s="1"/>
  <c r="R125" i="12"/>
  <c r="T125" i="12" s="1"/>
  <c r="R126" i="12"/>
  <c r="R127" i="12"/>
  <c r="T127" i="12" s="1"/>
  <c r="R129" i="12"/>
  <c r="T129" i="12" s="1"/>
  <c r="R130" i="12"/>
  <c r="T130" i="12" s="1"/>
  <c r="R128" i="12"/>
  <c r="T128" i="12" s="1"/>
  <c r="R131" i="12"/>
  <c r="T131" i="12" s="1"/>
  <c r="R132" i="12"/>
  <c r="T132" i="12" s="1"/>
  <c r="R133" i="12"/>
  <c r="T133" i="12" s="1"/>
  <c r="R134" i="12"/>
  <c r="T134" i="12" s="1"/>
  <c r="R135" i="12"/>
  <c r="R136" i="12"/>
  <c r="T136" i="12" s="1"/>
  <c r="R137" i="12"/>
  <c r="T137" i="12" s="1"/>
  <c r="R138" i="12"/>
  <c r="T138" i="12" s="1"/>
  <c r="R139" i="12"/>
  <c r="R140" i="12"/>
  <c r="R141" i="12"/>
  <c r="T141" i="12" s="1"/>
  <c r="R142" i="12"/>
  <c r="T142" i="12" s="1"/>
  <c r="R143" i="12"/>
  <c r="R144" i="12"/>
  <c r="T144" i="12" s="1"/>
  <c r="R145" i="12"/>
  <c r="T145" i="12" s="1"/>
  <c r="R146" i="12"/>
  <c r="T146" i="12" s="1"/>
  <c r="R147" i="12"/>
  <c r="R148" i="12"/>
  <c r="T148" i="12" s="1"/>
  <c r="R149" i="12"/>
  <c r="R150" i="12"/>
  <c r="T150" i="12" s="1"/>
  <c r="R151" i="12"/>
  <c r="R152" i="12"/>
  <c r="R153" i="12"/>
  <c r="R154" i="12"/>
  <c r="R155" i="12"/>
  <c r="R156" i="12"/>
  <c r="T156" i="12" s="1"/>
  <c r="R158" i="12"/>
  <c r="R159" i="12"/>
  <c r="R160" i="12"/>
  <c r="R161" i="12"/>
  <c r="R162" i="12"/>
  <c r="R163" i="12"/>
  <c r="R164" i="12"/>
  <c r="R165" i="12"/>
  <c r="R166" i="12"/>
  <c r="R167" i="12"/>
  <c r="R157" i="12"/>
  <c r="R168" i="12"/>
  <c r="R169" i="12"/>
  <c r="R171" i="12"/>
  <c r="R172" i="12"/>
  <c r="R173" i="12"/>
  <c r="R174" i="12"/>
  <c r="R175" i="12"/>
  <c r="R170" i="12"/>
  <c r="T14" i="12"/>
  <c r="T17" i="12"/>
  <c r="T18" i="12"/>
  <c r="T19" i="12"/>
  <c r="T20" i="12"/>
  <c r="T22" i="12"/>
  <c r="T31" i="12"/>
  <c r="T32" i="12"/>
  <c r="T33" i="12"/>
  <c r="T34" i="12"/>
  <c r="T36" i="12"/>
  <c r="T35" i="12"/>
  <c r="T41" i="12"/>
  <c r="T42" i="12"/>
  <c r="T44" i="12"/>
  <c r="T46" i="12"/>
  <c r="T48" i="12"/>
  <c r="T49" i="12"/>
  <c r="T50" i="12"/>
  <c r="T53" i="12"/>
  <c r="T62" i="12"/>
  <c r="T65" i="12"/>
  <c r="T66" i="12"/>
  <c r="T68" i="12"/>
  <c r="T70" i="12"/>
  <c r="T72" i="12"/>
  <c r="T77" i="12"/>
  <c r="T78" i="12"/>
  <c r="T80" i="12"/>
  <c r="T89" i="12"/>
  <c r="T90" i="12"/>
  <c r="T102" i="12"/>
  <c r="T126" i="12"/>
  <c r="V16" i="12"/>
  <c r="V17" i="12"/>
  <c r="V18" i="12"/>
  <c r="V19" i="12"/>
  <c r="V20" i="12"/>
  <c r="V21" i="12"/>
  <c r="V22" i="12"/>
  <c r="V23" i="12"/>
  <c r="V24" i="12"/>
  <c r="V25" i="12"/>
  <c r="V26" i="12"/>
  <c r="V27" i="12"/>
  <c r="V28" i="12"/>
  <c r="V37" i="12"/>
  <c r="V38" i="12"/>
  <c r="V39" i="12"/>
  <c r="V40" i="12"/>
  <c r="V41" i="12"/>
  <c r="V42" i="12"/>
  <c r="V43" i="12"/>
  <c r="V44" i="12"/>
  <c r="V45" i="12"/>
  <c r="V46" i="12"/>
  <c r="V47" i="12"/>
  <c r="V48" i="12"/>
  <c r="V49" i="12"/>
  <c r="V50" i="12"/>
  <c r="V53" i="12"/>
  <c r="V61" i="12"/>
  <c r="V62" i="12"/>
  <c r="V63" i="12"/>
  <c r="V64" i="12"/>
  <c r="V65" i="12"/>
  <c r="V66" i="12"/>
  <c r="V67" i="12"/>
  <c r="V68" i="12"/>
  <c r="V69" i="12"/>
  <c r="V70" i="12"/>
  <c r="V71" i="12"/>
  <c r="V72" i="12"/>
  <c r="V73" i="12"/>
  <c r="V74" i="12"/>
  <c r="V75" i="12"/>
  <c r="V76" i="12"/>
  <c r="V77" i="12"/>
  <c r="V78" i="12"/>
  <c r="V79" i="12"/>
  <c r="V80" i="12"/>
  <c r="V81" i="12"/>
  <c r="V82" i="12"/>
  <c r="V83" i="12"/>
  <c r="V84" i="12"/>
  <c r="V85" i="12"/>
  <c r="V86" i="12"/>
  <c r="V87" i="12"/>
  <c r="V88" i="12"/>
  <c r="V89" i="12"/>
  <c r="V90" i="12"/>
  <c r="V94" i="12"/>
  <c r="V95" i="12"/>
  <c r="V96" i="12"/>
  <c r="V101" i="12"/>
  <c r="V102" i="12"/>
  <c r="V103" i="12"/>
  <c r="V104" i="12"/>
  <c r="V105" i="12"/>
  <c r="V106" i="12"/>
  <c r="V107" i="12"/>
  <c r="V108" i="12"/>
  <c r="V109" i="12"/>
  <c r="V110" i="12"/>
  <c r="V111" i="12"/>
  <c r="V112" i="12"/>
  <c r="V113" i="12"/>
  <c r="V114" i="12"/>
  <c r="V115" i="12"/>
  <c r="V116" i="12"/>
  <c r="V117" i="12"/>
  <c r="V118" i="12"/>
  <c r="V126" i="12"/>
  <c r="V133" i="12"/>
  <c r="V134" i="12"/>
  <c r="V135" i="12"/>
  <c r="V136" i="12"/>
  <c r="V137" i="12"/>
  <c r="V138" i="12"/>
  <c r="V139" i="12"/>
  <c r="V140" i="12"/>
  <c r="V141" i="12"/>
  <c r="V142" i="12"/>
  <c r="V143" i="12"/>
  <c r="V144" i="12"/>
  <c r="V145" i="12"/>
  <c r="V146" i="12"/>
  <c r="V147" i="12"/>
  <c r="V148" i="12"/>
  <c r="V149" i="12"/>
  <c r="V150" i="12"/>
  <c r="V151" i="12"/>
  <c r="V154" i="12"/>
  <c r="V156" i="12"/>
  <c r="V162" i="12"/>
  <c r="V163" i="12"/>
  <c r="V164" i="12"/>
  <c r="V165" i="12"/>
  <c r="V166" i="12"/>
  <c r="V167" i="12"/>
  <c r="V168" i="12"/>
  <c r="V169" i="12"/>
  <c r="V171" i="12"/>
  <c r="V172" i="12"/>
  <c r="V173" i="12"/>
  <c r="V174" i="12"/>
  <c r="V175" i="12"/>
  <c r="V170" i="12"/>
  <c r="Y1956" i="13"/>
  <c r="Y206" i="13"/>
  <c r="I1436" i="13"/>
  <c r="I1235" i="13"/>
  <c r="AO99" i="13"/>
  <c r="AO261" i="13"/>
  <c r="AO675" i="13"/>
  <c r="I1031" i="13"/>
  <c r="Y1638" i="13"/>
  <c r="AO894" i="13"/>
  <c r="AO51" i="13"/>
  <c r="AO648" i="13"/>
  <c r="AO145" i="13"/>
  <c r="AO313" i="13"/>
  <c r="I2214" i="13"/>
  <c r="I2268" i="13"/>
  <c r="AO683" i="13"/>
  <c r="AO149" i="13"/>
  <c r="AO657" i="13"/>
  <c r="AO480" i="13"/>
  <c r="Y702" i="13"/>
  <c r="AO705" i="13"/>
  <c r="I1984" i="13"/>
  <c r="AO976" i="13"/>
  <c r="AO876" i="13"/>
  <c r="AO441" i="13"/>
  <c r="I1185" i="13"/>
  <c r="AO478" i="13"/>
  <c r="I1645" i="13"/>
  <c r="AO256" i="13"/>
  <c r="AO547" i="13"/>
  <c r="AO590" i="13"/>
  <c r="AO740" i="13"/>
  <c r="AO934" i="13"/>
  <c r="AO1038" i="13"/>
  <c r="AO707" i="13"/>
  <c r="I1776" i="13"/>
  <c r="AO813" i="13"/>
  <c r="I1811" i="13"/>
  <c r="AO884" i="13"/>
  <c r="Y706" i="13"/>
  <c r="AO341" i="13"/>
  <c r="Y778" i="13"/>
  <c r="T97" i="12" l="1"/>
  <c r="T37" i="12"/>
  <c r="T58" i="12"/>
  <c r="T98" i="12"/>
  <c r="T157" i="12"/>
  <c r="T155" i="12"/>
  <c r="T143" i="12"/>
  <c r="T166" i="12"/>
  <c r="T153" i="12"/>
  <c r="T163" i="12"/>
  <c r="T149" i="12"/>
  <c r="T147" i="12"/>
  <c r="T158" i="12"/>
  <c r="T161" i="12"/>
  <c r="T160" i="12"/>
  <c r="T135" i="12"/>
  <c r="T172" i="12"/>
  <c r="T151" i="12"/>
  <c r="T139" i="12"/>
  <c r="T171" i="12"/>
  <c r="T159" i="12"/>
  <c r="T169" i="12"/>
  <c r="T162" i="12"/>
  <c r="T168" i="12"/>
  <c r="T175" i="12"/>
  <c r="T173" i="12"/>
  <c r="T174" i="12"/>
  <c r="T170" i="12"/>
  <c r="T164" i="12"/>
  <c r="T167" i="12"/>
  <c r="T154" i="12"/>
  <c r="T165" i="12"/>
  <c r="T152" i="12"/>
  <c r="T140" i="12"/>
  <c r="P136" i="3" l="1"/>
  <c r="R154" i="3" s="1"/>
  <c r="R136" i="3"/>
  <c r="K136" i="3"/>
  <c r="M136" i="3" s="1"/>
  <c r="L89" i="3"/>
  <c r="K89" i="3"/>
  <c r="N43" i="3"/>
  <c r="L43" i="3"/>
  <c r="R44" i="3" s="1"/>
  <c r="K43" i="3"/>
  <c r="L136" i="3" l="1"/>
  <c r="U136" i="3" s="1"/>
  <c r="P154" i="3"/>
  <c r="M89" i="3"/>
  <c r="M43" i="3"/>
  <c r="O43" i="3" s="1"/>
  <c r="P43" i="3"/>
  <c r="E87" i="16" l="1"/>
  <c r="E86" i="16"/>
  <c r="E85" i="16"/>
  <c r="E84" i="16"/>
  <c r="E83" i="16"/>
  <c r="E86" i="14"/>
  <c r="E85" i="14"/>
  <c r="E84" i="14"/>
  <c r="E83" i="14"/>
  <c r="E82" i="14"/>
  <c r="E100" i="8"/>
  <c r="E99" i="8"/>
  <c r="E98" i="8"/>
  <c r="E97" i="8"/>
  <c r="E96" i="8"/>
  <c r="E115" i="15"/>
  <c r="E114" i="15"/>
  <c r="E113" i="15"/>
  <c r="E112" i="15"/>
  <c r="E111" i="15"/>
  <c r="E116" i="15"/>
  <c r="S20" i="12" l="1"/>
  <c r="S34" i="12"/>
  <c r="S44" i="12"/>
  <c r="S57" i="12"/>
  <c r="S68" i="12"/>
  <c r="S80" i="12"/>
  <c r="S93" i="12"/>
  <c r="S104" i="12"/>
  <c r="S116" i="12"/>
  <c r="S22" i="12"/>
  <c r="S30" i="12"/>
  <c r="S46" i="12"/>
  <c r="S59" i="12"/>
  <c r="S70" i="12"/>
  <c r="S82" i="12"/>
  <c r="S94" i="12"/>
  <c r="S106" i="12"/>
  <c r="S118" i="12"/>
  <c r="S128" i="12"/>
  <c r="S142" i="12"/>
  <c r="S23" i="12"/>
  <c r="S36" i="12"/>
  <c r="S47" i="12"/>
  <c r="S60" i="12"/>
  <c r="S71" i="12"/>
  <c r="S83" i="12"/>
  <c r="S95" i="12"/>
  <c r="S107" i="12"/>
  <c r="S119" i="12"/>
  <c r="S131" i="12"/>
  <c r="S143" i="12"/>
  <c r="S12" i="12"/>
  <c r="S24" i="12"/>
  <c r="S35" i="12"/>
  <c r="S48" i="12"/>
  <c r="S54" i="12"/>
  <c r="S72" i="12"/>
  <c r="S84" i="12"/>
  <c r="S96" i="12"/>
  <c r="S108" i="12"/>
  <c r="S120" i="12"/>
  <c r="S132" i="12"/>
  <c r="S144" i="12"/>
  <c r="S156" i="12"/>
  <c r="S168" i="12"/>
  <c r="S16" i="12"/>
  <c r="S28" i="12"/>
  <c r="S40" i="12"/>
  <c r="S52" i="12"/>
  <c r="S64" i="12"/>
  <c r="S76" i="12"/>
  <c r="S88" i="12"/>
  <c r="S100" i="12"/>
  <c r="S112" i="12"/>
  <c r="S124" i="12"/>
  <c r="S136" i="12"/>
  <c r="S148" i="12"/>
  <c r="S161" i="12"/>
  <c r="S173" i="12"/>
  <c r="S17" i="12"/>
  <c r="S31" i="12"/>
  <c r="S41" i="12"/>
  <c r="S53" i="12"/>
  <c r="S65" i="12"/>
  <c r="S77" i="12"/>
  <c r="S89" i="12"/>
  <c r="S101" i="12"/>
  <c r="S113" i="12"/>
  <c r="S125" i="12"/>
  <c r="S137" i="12"/>
  <c r="S18" i="12"/>
  <c r="S32" i="12"/>
  <c r="S42" i="12"/>
  <c r="S55" i="12"/>
  <c r="S66" i="12"/>
  <c r="S78" i="12"/>
  <c r="S90" i="12"/>
  <c r="S102" i="12"/>
  <c r="S114" i="12"/>
  <c r="S126" i="12"/>
  <c r="S138" i="12"/>
  <c r="S150" i="12"/>
  <c r="S163" i="12"/>
  <c r="S175" i="12"/>
  <c r="S38" i="12"/>
  <c r="S67" i="12"/>
  <c r="S97" i="12"/>
  <c r="S153" i="12"/>
  <c r="S13" i="12"/>
  <c r="S69" i="12"/>
  <c r="S98" i="12"/>
  <c r="S127" i="12"/>
  <c r="S158" i="12"/>
  <c r="S74" i="12"/>
  <c r="S14" i="12"/>
  <c r="S43" i="12"/>
  <c r="S73" i="12"/>
  <c r="S130" i="12"/>
  <c r="S159" i="12"/>
  <c r="S45" i="12"/>
  <c r="S103" i="12"/>
  <c r="S133" i="12"/>
  <c r="S19" i="12"/>
  <c r="S49" i="12"/>
  <c r="S105" i="12"/>
  <c r="S134" i="12"/>
  <c r="S164" i="12"/>
  <c r="S21" i="12"/>
  <c r="S50" i="12"/>
  <c r="S79" i="12"/>
  <c r="S109" i="12"/>
  <c r="S166" i="12"/>
  <c r="S25" i="12"/>
  <c r="S81" i="12"/>
  <c r="S110" i="12"/>
  <c r="S139" i="12"/>
  <c r="S169" i="12"/>
  <c r="S26" i="12"/>
  <c r="S56" i="12"/>
  <c r="S85" i="12"/>
  <c r="S141" i="12"/>
  <c r="S171" i="12"/>
  <c r="S33" i="12"/>
  <c r="S61" i="12"/>
  <c r="S117" i="12"/>
  <c r="S146" i="12"/>
  <c r="S170" i="12"/>
  <c r="S122" i="12"/>
  <c r="S29" i="12"/>
  <c r="S62" i="12"/>
  <c r="S91" i="12"/>
  <c r="S121" i="12"/>
  <c r="S37" i="12"/>
  <c r="S92" i="12"/>
  <c r="S151" i="12"/>
  <c r="S27" i="12"/>
  <c r="S58" i="12"/>
  <c r="S86" i="12"/>
  <c r="S115" i="12"/>
  <c r="S145" i="12"/>
  <c r="S147" i="12"/>
  <c r="S111" i="12"/>
  <c r="S135" i="12"/>
  <c r="S160" i="12"/>
  <c r="S129" i="12"/>
  <c r="S174" i="12"/>
  <c r="S15" i="12"/>
  <c r="S162" i="12"/>
  <c r="S167" i="12"/>
  <c r="S172" i="12"/>
  <c r="S149" i="12"/>
  <c r="S87" i="12"/>
  <c r="S154" i="12"/>
  <c r="S51" i="12"/>
  <c r="S99" i="12"/>
  <c r="S63" i="12"/>
  <c r="S39" i="12"/>
  <c r="S123" i="12"/>
  <c r="S75" i="12"/>
  <c r="S165" i="12"/>
  <c r="S157" i="12"/>
  <c r="S152" i="12"/>
  <c r="S155" i="12"/>
  <c r="S140" i="12"/>
  <c r="Q12" i="12"/>
  <c r="Q24" i="12"/>
  <c r="Q35" i="12"/>
  <c r="Q48" i="12"/>
  <c r="Q54" i="12"/>
  <c r="Q72" i="12"/>
  <c r="Q84" i="12"/>
  <c r="Q96" i="12"/>
  <c r="Q108" i="12"/>
  <c r="Q120" i="12"/>
  <c r="Q132" i="12"/>
  <c r="Q13" i="12"/>
  <c r="Q25" i="12"/>
  <c r="Q37" i="12"/>
  <c r="Q49" i="12"/>
  <c r="Q61" i="12"/>
  <c r="Q73" i="12"/>
  <c r="Q85" i="12"/>
  <c r="Q97" i="12"/>
  <c r="Q109" i="12"/>
  <c r="Q121" i="12"/>
  <c r="Q133" i="12"/>
  <c r="Q145" i="12"/>
  <c r="Q158" i="12"/>
  <c r="Q169" i="12"/>
  <c r="Q14" i="12"/>
  <c r="Q26" i="12"/>
  <c r="Q38" i="12"/>
  <c r="Q50" i="12"/>
  <c r="Q62" i="12"/>
  <c r="Q74" i="12"/>
  <c r="Q86" i="12"/>
  <c r="Q98" i="12"/>
  <c r="Q110" i="12"/>
  <c r="Q122" i="12"/>
  <c r="Q134" i="12"/>
  <c r="Q146" i="12"/>
  <c r="Q15" i="12"/>
  <c r="Q27" i="12"/>
  <c r="Q39" i="12"/>
  <c r="Q51" i="12"/>
  <c r="Q63" i="12"/>
  <c r="Q75" i="12"/>
  <c r="Q87" i="12"/>
  <c r="Q99" i="12"/>
  <c r="Q111" i="12"/>
  <c r="Q123" i="12"/>
  <c r="Q135" i="12"/>
  <c r="Q147" i="12"/>
  <c r="Q16" i="12"/>
  <c r="Q28" i="12"/>
  <c r="Q40" i="12"/>
  <c r="Q52" i="12"/>
  <c r="Q64" i="12"/>
  <c r="Q76" i="12"/>
  <c r="Q88" i="12"/>
  <c r="Q100" i="12"/>
  <c r="Q112" i="12"/>
  <c r="Q124" i="12"/>
  <c r="Q136" i="12"/>
  <c r="Q148" i="12"/>
  <c r="Q161" i="12"/>
  <c r="Q173" i="12"/>
  <c r="Q17" i="12"/>
  <c r="Q31" i="12"/>
  <c r="Q41" i="12"/>
  <c r="Q53" i="12"/>
  <c r="Q65" i="12"/>
  <c r="Q77" i="12"/>
  <c r="Q89" i="12"/>
  <c r="Q101" i="12"/>
  <c r="Q113" i="12"/>
  <c r="Q125" i="12"/>
  <c r="Q137" i="12"/>
  <c r="Q149" i="12"/>
  <c r="Q162" i="12"/>
  <c r="Q174" i="12"/>
  <c r="Q18" i="12"/>
  <c r="Q32" i="12"/>
  <c r="Q42" i="12"/>
  <c r="Q55" i="12"/>
  <c r="Q66" i="12"/>
  <c r="Q78" i="12"/>
  <c r="Q90" i="12"/>
  <c r="Q102" i="12"/>
  <c r="Q114" i="12"/>
  <c r="Q126" i="12"/>
  <c r="Q138" i="12"/>
  <c r="Q150" i="12"/>
  <c r="Q163" i="12"/>
  <c r="Q175" i="12"/>
  <c r="Q19" i="12"/>
  <c r="Q20" i="12"/>
  <c r="Q34" i="12"/>
  <c r="Q44" i="12"/>
  <c r="Q57" i="12"/>
  <c r="Q68" i="12"/>
  <c r="Q80" i="12"/>
  <c r="Q93" i="12"/>
  <c r="Q104" i="12"/>
  <c r="Q116" i="12"/>
  <c r="Q129" i="12"/>
  <c r="Q140" i="12"/>
  <c r="Q152" i="12"/>
  <c r="Q165" i="12"/>
  <c r="Q21" i="12"/>
  <c r="Q29" i="12"/>
  <c r="Q45" i="12"/>
  <c r="Q58" i="12"/>
  <c r="Q69" i="12"/>
  <c r="Q81" i="12"/>
  <c r="Q92" i="12"/>
  <c r="Q105" i="12"/>
  <c r="Q117" i="12"/>
  <c r="Q130" i="12"/>
  <c r="Q141" i="12"/>
  <c r="Q22" i="12"/>
  <c r="Q30" i="12"/>
  <c r="Q46" i="12"/>
  <c r="Q59" i="12"/>
  <c r="Q70" i="12"/>
  <c r="Q82" i="12"/>
  <c r="Q94" i="12"/>
  <c r="Q106" i="12"/>
  <c r="Q118" i="12"/>
  <c r="Q128" i="12"/>
  <c r="Q142" i="12"/>
  <c r="Q154" i="12"/>
  <c r="Q167" i="12"/>
  <c r="Q119" i="12"/>
  <c r="Q131" i="12"/>
  <c r="Q155" i="12"/>
  <c r="Q143" i="12"/>
  <c r="Q23" i="12"/>
  <c r="Q157" i="12"/>
  <c r="Q36" i="12"/>
  <c r="Q47" i="12"/>
  <c r="Q60" i="12"/>
  <c r="Q71" i="12"/>
  <c r="Q83" i="12"/>
  <c r="Q95" i="12"/>
  <c r="Q107" i="12"/>
  <c r="Q33" i="12"/>
  <c r="Q164" i="12"/>
  <c r="Q166" i="12"/>
  <c r="Q151" i="12"/>
  <c r="Q153" i="12"/>
  <c r="Q139" i="12"/>
  <c r="Q170" i="12"/>
  <c r="Q171" i="12"/>
  <c r="Q168" i="12"/>
  <c r="Q127" i="12"/>
  <c r="Q159" i="12"/>
  <c r="Q156" i="12"/>
  <c r="Q115" i="12"/>
  <c r="Q144" i="12"/>
  <c r="Q103" i="12"/>
  <c r="Q91" i="12"/>
  <c r="Q79" i="12"/>
  <c r="Q172" i="12"/>
  <c r="Q67" i="12"/>
  <c r="Q160" i="12"/>
  <c r="Q56" i="12"/>
  <c r="Q43" i="12"/>
  <c r="O16" i="12"/>
  <c r="O28" i="12"/>
  <c r="O40" i="12"/>
  <c r="O52" i="12"/>
  <c r="O64" i="12"/>
  <c r="O76" i="12"/>
  <c r="O88" i="12"/>
  <c r="O100" i="12"/>
  <c r="O112" i="12"/>
  <c r="O124" i="12"/>
  <c r="O136" i="12"/>
  <c r="O148" i="12"/>
  <c r="O161" i="12"/>
  <c r="O17" i="12"/>
  <c r="O31" i="12"/>
  <c r="O41" i="12"/>
  <c r="O53" i="12"/>
  <c r="O65" i="12"/>
  <c r="O77" i="12"/>
  <c r="O89" i="12"/>
  <c r="O101" i="12"/>
  <c r="O113" i="12"/>
  <c r="O125" i="12"/>
  <c r="O137" i="12"/>
  <c r="O149" i="12"/>
  <c r="O162" i="12"/>
  <c r="O174" i="12"/>
  <c r="O18" i="12"/>
  <c r="O32" i="12"/>
  <c r="O42" i="12"/>
  <c r="O55" i="12"/>
  <c r="O66" i="12"/>
  <c r="O78" i="12"/>
  <c r="O90" i="12"/>
  <c r="O102" i="12"/>
  <c r="O114" i="12"/>
  <c r="O126" i="12"/>
  <c r="O138" i="12"/>
  <c r="O150" i="12"/>
  <c r="O163" i="12"/>
  <c r="O19" i="12"/>
  <c r="O33" i="12"/>
  <c r="O43" i="12"/>
  <c r="O56" i="12"/>
  <c r="O67" i="12"/>
  <c r="O79" i="12"/>
  <c r="O91" i="12"/>
  <c r="O103" i="12"/>
  <c r="O115" i="12"/>
  <c r="O127" i="12"/>
  <c r="O139" i="12"/>
  <c r="O151" i="12"/>
  <c r="O164" i="12"/>
  <c r="O20" i="12"/>
  <c r="O34" i="12"/>
  <c r="O44" i="12"/>
  <c r="O57" i="12"/>
  <c r="O68" i="12"/>
  <c r="O80" i="12"/>
  <c r="O93" i="12"/>
  <c r="O104" i="12"/>
  <c r="O116" i="12"/>
  <c r="O129" i="12"/>
  <c r="O140" i="12"/>
  <c r="O152" i="12"/>
  <c r="O165" i="12"/>
  <c r="O21" i="12"/>
  <c r="O29" i="12"/>
  <c r="O45" i="12"/>
  <c r="O58" i="12"/>
  <c r="O69" i="12"/>
  <c r="O81" i="12"/>
  <c r="O92" i="12"/>
  <c r="O105" i="12"/>
  <c r="O117" i="12"/>
  <c r="O130" i="12"/>
  <c r="O141" i="12"/>
  <c r="O153" i="12"/>
  <c r="O166" i="12"/>
  <c r="O22" i="12"/>
  <c r="O30" i="12"/>
  <c r="O46" i="12"/>
  <c r="O59" i="12"/>
  <c r="O70" i="12"/>
  <c r="O82" i="12"/>
  <c r="O94" i="12"/>
  <c r="O106" i="12"/>
  <c r="O118" i="12"/>
  <c r="O128" i="12"/>
  <c r="O142" i="12"/>
  <c r="O154" i="12"/>
  <c r="O167" i="12"/>
  <c r="O23" i="12"/>
  <c r="O36" i="12"/>
  <c r="O47" i="12"/>
  <c r="O60" i="12"/>
  <c r="O12" i="12"/>
  <c r="O24" i="12"/>
  <c r="O35" i="12"/>
  <c r="O48" i="12"/>
  <c r="O54" i="12"/>
  <c r="O72" i="12"/>
  <c r="O84" i="12"/>
  <c r="O96" i="12"/>
  <c r="O108" i="12"/>
  <c r="O120" i="12"/>
  <c r="O132" i="12"/>
  <c r="O144" i="12"/>
  <c r="O156" i="12"/>
  <c r="O13" i="12"/>
  <c r="O25" i="12"/>
  <c r="O37" i="12"/>
  <c r="O49" i="12"/>
  <c r="O61" i="12"/>
  <c r="O73" i="12"/>
  <c r="O85" i="12"/>
  <c r="O97" i="12"/>
  <c r="O109" i="12"/>
  <c r="O121" i="12"/>
  <c r="O133" i="12"/>
  <c r="O145" i="12"/>
  <c r="O14" i="12"/>
  <c r="O26" i="12"/>
  <c r="O38" i="12"/>
  <c r="O50" i="12"/>
  <c r="O62" i="12"/>
  <c r="O74" i="12"/>
  <c r="O86" i="12"/>
  <c r="O98" i="12"/>
  <c r="O110" i="12"/>
  <c r="O122" i="12"/>
  <c r="O134" i="12"/>
  <c r="O146" i="12"/>
  <c r="O159" i="12"/>
  <c r="O15" i="12"/>
  <c r="O27" i="12"/>
  <c r="O39" i="12"/>
  <c r="O51" i="12"/>
  <c r="O63" i="12"/>
  <c r="O75" i="12"/>
  <c r="O87" i="12"/>
  <c r="O99" i="12"/>
  <c r="O111" i="12"/>
  <c r="O123" i="12"/>
  <c r="O135" i="12"/>
  <c r="O147" i="12"/>
  <c r="O160" i="12"/>
  <c r="O172" i="12"/>
  <c r="O155" i="12"/>
  <c r="O173" i="12"/>
  <c r="O143" i="12"/>
  <c r="O170" i="12"/>
  <c r="O169" i="12"/>
  <c r="O131" i="12"/>
  <c r="O158" i="12"/>
  <c r="O119" i="12"/>
  <c r="O107" i="12"/>
  <c r="O95" i="12"/>
  <c r="O83" i="12"/>
  <c r="O71" i="12"/>
  <c r="O175" i="12"/>
  <c r="O171" i="12"/>
  <c r="O168" i="12"/>
  <c r="O157" i="12"/>
  <c r="GA217" i="9"/>
  <c r="GA218" i="9"/>
  <c r="GA216" i="9"/>
  <c r="GA215" i="9"/>
  <c r="U34" i="12" l="1"/>
  <c r="U57" i="12"/>
  <c r="U20" i="12"/>
  <c r="U44" i="12"/>
  <c r="U12" i="12"/>
  <c r="U24" i="12"/>
  <c r="U35" i="12"/>
  <c r="U48" i="12"/>
  <c r="U54" i="12"/>
  <c r="U72" i="12"/>
  <c r="U84" i="12"/>
  <c r="U96" i="12"/>
  <c r="U108" i="12"/>
  <c r="U120" i="12"/>
  <c r="U132" i="12"/>
  <c r="U144" i="12"/>
  <c r="U156" i="12"/>
  <c r="U14" i="12"/>
  <c r="U26" i="12"/>
  <c r="U38" i="12"/>
  <c r="U50" i="12"/>
  <c r="U62" i="12"/>
  <c r="U74" i="12"/>
  <c r="U86" i="12"/>
  <c r="U98" i="12"/>
  <c r="U110" i="12"/>
  <c r="U122" i="12"/>
  <c r="U134" i="12"/>
  <c r="U146" i="12"/>
  <c r="U159" i="12"/>
  <c r="U171" i="12"/>
  <c r="U80" i="12"/>
  <c r="U104" i="12"/>
  <c r="U129" i="12"/>
  <c r="U31" i="12"/>
  <c r="U82" i="12"/>
  <c r="U58" i="12"/>
  <c r="U81" i="12"/>
  <c r="U105" i="12"/>
  <c r="U130" i="12"/>
  <c r="U59" i="12"/>
  <c r="U128" i="12"/>
  <c r="U155" i="12"/>
  <c r="U45" i="12"/>
  <c r="U94" i="12"/>
  <c r="U106" i="12"/>
  <c r="U29" i="12"/>
  <c r="U83" i="12"/>
  <c r="U30" i="12"/>
  <c r="U36" i="12"/>
  <c r="U65" i="12"/>
  <c r="U113" i="12"/>
  <c r="U93" i="12"/>
  <c r="U92" i="12"/>
  <c r="U68" i="12"/>
  <c r="U116" i="12"/>
  <c r="U117" i="12"/>
  <c r="U41" i="12"/>
  <c r="U69" i="12"/>
  <c r="U141" i="12"/>
  <c r="U46" i="12"/>
  <c r="U119" i="12"/>
  <c r="U143" i="12"/>
  <c r="U157" i="12"/>
  <c r="U22" i="12"/>
  <c r="U101" i="12"/>
  <c r="U149" i="12"/>
  <c r="U131" i="12"/>
  <c r="U21" i="12"/>
  <c r="U47" i="12"/>
  <c r="U77" i="12"/>
  <c r="U125" i="12"/>
  <c r="U174" i="12"/>
  <c r="U60" i="12"/>
  <c r="U107" i="12"/>
  <c r="U15" i="12"/>
  <c r="U70" i="12"/>
  <c r="U118" i="12"/>
  <c r="U142" i="12"/>
  <c r="U89" i="12"/>
  <c r="U51" i="12"/>
  <c r="U102" i="12"/>
  <c r="U90" i="12"/>
  <c r="U23" i="12"/>
  <c r="U95" i="12"/>
  <c r="U76" i="12"/>
  <c r="U64" i="12"/>
  <c r="U168" i="12"/>
  <c r="U18" i="12"/>
  <c r="U160" i="12"/>
  <c r="U17" i="12"/>
  <c r="U49" i="12"/>
  <c r="U37" i="12"/>
  <c r="U175" i="12"/>
  <c r="U121" i="12"/>
  <c r="U87" i="12"/>
  <c r="U135" i="12"/>
  <c r="U139" i="12"/>
  <c r="U148" i="12"/>
  <c r="U39" i="12"/>
  <c r="U63" i="12"/>
  <c r="U136" i="12"/>
  <c r="U126" i="12"/>
  <c r="U173" i="12"/>
  <c r="U169" i="12"/>
  <c r="U133" i="12"/>
  <c r="U71" i="12"/>
  <c r="U170" i="12"/>
  <c r="U163" i="12"/>
  <c r="U100" i="12"/>
  <c r="U151" i="12"/>
  <c r="U43" i="12"/>
  <c r="U56" i="12"/>
  <c r="U67" i="12"/>
  <c r="U172" i="12"/>
  <c r="U111" i="12"/>
  <c r="U79" i="12"/>
  <c r="U109" i="12"/>
  <c r="U73" i="12"/>
  <c r="U124" i="12"/>
  <c r="U32" i="12"/>
  <c r="U42" i="12"/>
  <c r="U55" i="12"/>
  <c r="U123" i="12"/>
  <c r="U53" i="12"/>
  <c r="U13" i="12"/>
  <c r="U145" i="12"/>
  <c r="U158" i="12"/>
  <c r="U97" i="12"/>
  <c r="U16" i="12"/>
  <c r="U28" i="12"/>
  <c r="U75" i="12"/>
  <c r="U166" i="12"/>
  <c r="U91" i="12"/>
  <c r="U66" i="12"/>
  <c r="U127" i="12"/>
  <c r="U19" i="12"/>
  <c r="U27" i="12"/>
  <c r="U153" i="12"/>
  <c r="U78" i="12"/>
  <c r="U40" i="12"/>
  <c r="U114" i="12"/>
  <c r="U138" i="12"/>
  <c r="U115" i="12"/>
  <c r="U137" i="12"/>
  <c r="U99" i="12"/>
  <c r="U52" i="12"/>
  <c r="U161" i="12"/>
  <c r="U88" i="12"/>
  <c r="U112" i="12"/>
  <c r="U150" i="12"/>
  <c r="U147" i="12"/>
  <c r="U162" i="12"/>
  <c r="U25" i="12"/>
  <c r="U103" i="12"/>
  <c r="U61" i="12"/>
  <c r="U85" i="12"/>
  <c r="U33" i="12"/>
  <c r="U154" i="12"/>
  <c r="U167" i="12"/>
  <c r="U164" i="12"/>
  <c r="U140" i="12"/>
  <c r="U152" i="12"/>
  <c r="U165" i="12"/>
  <c r="K135" i="3" l="1"/>
  <c r="M135" i="3" s="1"/>
  <c r="N42" i="3"/>
  <c r="L42" i="3"/>
  <c r="R43" i="3" s="1"/>
  <c r="K42" i="3"/>
  <c r="L88" i="3"/>
  <c r="K88" i="3"/>
  <c r="R135" i="3"/>
  <c r="P135" i="3"/>
  <c r="R153" i="3" s="1"/>
  <c r="DY249" i="9"/>
  <c r="DW496" i="9"/>
  <c r="EH114" i="9"/>
  <c r="EH104" i="9"/>
  <c r="DW256" i="9"/>
  <c r="DW160" i="9"/>
  <c r="DY80" i="9"/>
  <c r="DY543" i="9"/>
  <c r="DC104" i="9"/>
  <c r="EJ76" i="9"/>
  <c r="DW537" i="9"/>
  <c r="DY667" i="9"/>
  <c r="DL297" i="9"/>
  <c r="DW50" i="9"/>
  <c r="DW284" i="9"/>
  <c r="DW43" i="9"/>
  <c r="DY321" i="9"/>
  <c r="DY729" i="9"/>
  <c r="DY396" i="9"/>
  <c r="DC43" i="9"/>
  <c r="DW319" i="9"/>
  <c r="DW32" i="9"/>
  <c r="DW335" i="9"/>
  <c r="DY131" i="9"/>
  <c r="DY174" i="9"/>
  <c r="DW465" i="9"/>
  <c r="DY550" i="9"/>
  <c r="DW647" i="9"/>
  <c r="DN30" i="9"/>
  <c r="DW86" i="9"/>
  <c r="DA229" i="9"/>
  <c r="DY84" i="9"/>
  <c r="DW253" i="9"/>
  <c r="DY250" i="9"/>
  <c r="DW141" i="9"/>
  <c r="DY32" i="9"/>
  <c r="DA117" i="9"/>
  <c r="DL56" i="9"/>
  <c r="DW223" i="9"/>
  <c r="DL73" i="9"/>
  <c r="EH85" i="9"/>
  <c r="DY304" i="9"/>
  <c r="DC29" i="9"/>
  <c r="DY510" i="9"/>
  <c r="DW521" i="9"/>
  <c r="DY46" i="9"/>
  <c r="DL257" i="9"/>
  <c r="DY293" i="9"/>
  <c r="DW75" i="9"/>
  <c r="DY569" i="9"/>
  <c r="DW747" i="9"/>
  <c r="DW218" i="9"/>
  <c r="DW348" i="9"/>
  <c r="DW309" i="9"/>
  <c r="DY252" i="9"/>
  <c r="DW532" i="9"/>
  <c r="DW597" i="9"/>
  <c r="DW84" i="9"/>
  <c r="DY506" i="9"/>
  <c r="CP305" i="9"/>
  <c r="EH40" i="9"/>
  <c r="DY162" i="9"/>
  <c r="DN294" i="9"/>
  <c r="DY430" i="9"/>
  <c r="DW189" i="9"/>
  <c r="DY316" i="9"/>
  <c r="EH113" i="9"/>
  <c r="DW586" i="9"/>
  <c r="DW459" i="9"/>
  <c r="DL127" i="9"/>
  <c r="DL28" i="9"/>
  <c r="DY568" i="9"/>
  <c r="DY328" i="9"/>
  <c r="DW147" i="9"/>
  <c r="DW171" i="9"/>
  <c r="DL231" i="9"/>
  <c r="EJ77" i="9"/>
  <c r="DY604" i="9"/>
  <c r="DY257" i="9"/>
  <c r="CP367" i="9"/>
  <c r="DN129" i="9"/>
  <c r="DN201" i="9"/>
  <c r="DA142" i="9"/>
  <c r="DW617" i="9"/>
  <c r="DN100" i="9"/>
  <c r="DW432" i="9"/>
  <c r="DW156" i="9"/>
  <c r="DW146" i="9"/>
  <c r="DW106" i="9"/>
  <c r="DL188" i="9"/>
  <c r="DW530" i="9"/>
  <c r="DY371" i="9"/>
  <c r="DW611" i="9"/>
  <c r="DW127" i="9"/>
  <c r="DW389" i="9"/>
  <c r="DY52" i="9"/>
  <c r="DA112" i="9"/>
  <c r="DW596" i="9"/>
  <c r="DW254" i="9"/>
  <c r="DC73" i="9"/>
  <c r="DC36" i="9"/>
  <c r="CP372" i="9"/>
  <c r="DW612" i="9"/>
  <c r="DW341" i="9"/>
  <c r="DW517" i="9"/>
  <c r="DL120" i="9"/>
  <c r="DW64" i="9"/>
  <c r="DY442" i="9"/>
  <c r="DA52" i="9"/>
  <c r="DL168" i="9"/>
  <c r="DL113" i="9"/>
  <c r="DY520" i="9"/>
  <c r="DW548" i="9"/>
  <c r="DA115" i="9"/>
  <c r="DY577" i="9"/>
  <c r="DW729" i="9"/>
  <c r="DW213" i="9"/>
  <c r="DW482" i="9"/>
  <c r="DY378" i="9"/>
  <c r="DW421" i="9"/>
  <c r="DY435" i="9"/>
  <c r="DL43" i="9"/>
  <c r="DY497" i="9"/>
  <c r="DW627" i="9"/>
  <c r="DY528" i="9"/>
  <c r="DA246" i="9"/>
  <c r="DW73" i="9"/>
  <c r="DW324" i="9"/>
  <c r="DY299" i="9"/>
  <c r="DW473" i="9"/>
  <c r="DN153" i="9"/>
  <c r="DY536" i="9"/>
  <c r="DY608" i="9"/>
  <c r="DW170" i="9"/>
  <c r="DW646" i="9"/>
  <c r="DW161" i="9"/>
  <c r="DW331" i="9"/>
  <c r="EJ134" i="9"/>
  <c r="DW343" i="9"/>
  <c r="CP380" i="9"/>
  <c r="EJ26" i="9"/>
  <c r="CR453" i="9"/>
  <c r="EJ66" i="9"/>
  <c r="DL263" i="9"/>
  <c r="DY306" i="9"/>
  <c r="DN333" i="9"/>
  <c r="EH26" i="9"/>
  <c r="DN87" i="9"/>
  <c r="DY347" i="9"/>
  <c r="DY279" i="9"/>
  <c r="DW395" i="9"/>
  <c r="DA39" i="9"/>
  <c r="DW622" i="9"/>
  <c r="DW542" i="9"/>
  <c r="DL49" i="9"/>
  <c r="DY642" i="9"/>
  <c r="CP229" i="9"/>
  <c r="DW481" i="9"/>
  <c r="DY513" i="9"/>
  <c r="DW583" i="9"/>
  <c r="CR210" i="9"/>
  <c r="DL202" i="9"/>
  <c r="DY496" i="9"/>
  <c r="DW91" i="9"/>
  <c r="DY649" i="9"/>
  <c r="DW518" i="9"/>
  <c r="DY160" i="9"/>
  <c r="DY434" i="9"/>
  <c r="EH68" i="9"/>
  <c r="DY228" i="9"/>
  <c r="DY59" i="9"/>
  <c r="CR534" i="9"/>
  <c r="DY599" i="9"/>
  <c r="DW107" i="9"/>
  <c r="DN111" i="9"/>
  <c r="DW248" i="9"/>
  <c r="DW650" i="9"/>
  <c r="DW206" i="9"/>
  <c r="DW88" i="9"/>
  <c r="EH88" i="9"/>
  <c r="DC203" i="9"/>
  <c r="DC114" i="9"/>
  <c r="DL191" i="9"/>
  <c r="DW23" i="9"/>
  <c r="DY705" i="9"/>
  <c r="DW337" i="9"/>
  <c r="DW689" i="9"/>
  <c r="DW59" i="9"/>
  <c r="DW151" i="9"/>
  <c r="DW634" i="9"/>
  <c r="EJ96" i="9"/>
  <c r="EH123" i="9"/>
  <c r="DN272" i="9"/>
  <c r="DY450" i="9"/>
  <c r="DW636" i="9"/>
  <c r="CP346" i="9"/>
  <c r="DW153" i="9"/>
  <c r="DW694" i="9"/>
  <c r="DW339" i="9"/>
  <c r="DW579" i="9"/>
  <c r="EJ83" i="9"/>
  <c r="DA174" i="9"/>
  <c r="DN312" i="9"/>
  <c r="DW317" i="9"/>
  <c r="DY720" i="9"/>
  <c r="DW188" i="9"/>
  <c r="DL38" i="9"/>
  <c r="DW515" i="9"/>
  <c r="DA218" i="9"/>
  <c r="DW455" i="9"/>
  <c r="DL306" i="9"/>
  <c r="DY575" i="9"/>
  <c r="CP127" i="9"/>
  <c r="DY387" i="9"/>
  <c r="DW490" i="9"/>
  <c r="DW584" i="9"/>
  <c r="DW382" i="9"/>
  <c r="DY134" i="9"/>
  <c r="DY622" i="9"/>
  <c r="DW214" i="9"/>
  <c r="EJ51" i="9"/>
  <c r="DW33" i="9"/>
  <c r="EH93" i="9"/>
  <c r="DC41" i="9"/>
  <c r="DL157" i="9"/>
  <c r="EH56" i="9"/>
  <c r="EJ47" i="9"/>
  <c r="EJ140" i="9"/>
  <c r="DA204" i="9"/>
  <c r="DY537" i="9"/>
  <c r="DW744" i="9"/>
  <c r="DY732" i="9"/>
  <c r="DW249" i="9"/>
  <c r="DY103" i="9"/>
  <c r="DY22" i="9"/>
  <c r="EJ65" i="9"/>
  <c r="DW227" i="9"/>
  <c r="DW132" i="9"/>
  <c r="DY634" i="9"/>
  <c r="DY35" i="9"/>
  <c r="DY106" i="9"/>
  <c r="DW738" i="9"/>
  <c r="DY133" i="9"/>
  <c r="DW110" i="9"/>
  <c r="DC230" i="9"/>
  <c r="EJ24" i="9"/>
  <c r="DL237" i="9"/>
  <c r="DY181" i="9"/>
  <c r="DW700" i="9"/>
  <c r="DW325" i="9"/>
  <c r="DY557" i="9"/>
  <c r="DY163" i="9"/>
  <c r="DW562" i="9"/>
  <c r="DW35" i="9"/>
  <c r="DY66" i="9"/>
  <c r="EJ54" i="9"/>
  <c r="DW750" i="9"/>
  <c r="DA233" i="9"/>
  <c r="DY130" i="9"/>
  <c r="DW425" i="9"/>
  <c r="DN130" i="9"/>
  <c r="DY241" i="9"/>
  <c r="DW541" i="9"/>
  <c r="DW356" i="9"/>
  <c r="EH92" i="9"/>
  <c r="DW287" i="9"/>
  <c r="DY369" i="9"/>
  <c r="CR602" i="9"/>
  <c r="DY150" i="9"/>
  <c r="DY436" i="9"/>
  <c r="DY565" i="9"/>
  <c r="DA151" i="9"/>
  <c r="DW692" i="9"/>
  <c r="DY397" i="9"/>
  <c r="DW629" i="9"/>
  <c r="DW51" i="9"/>
  <c r="DW108" i="9"/>
  <c r="DA131" i="9"/>
  <c r="EJ111" i="9"/>
  <c r="DW427" i="9"/>
  <c r="DW323" i="9"/>
  <c r="DW302" i="9"/>
  <c r="DW574" i="9"/>
  <c r="DL87" i="9"/>
  <c r="DY161" i="9"/>
  <c r="DY373" i="9"/>
  <c r="DY476" i="9"/>
  <c r="DY351" i="9"/>
  <c r="DW609" i="9"/>
  <c r="DY615" i="9"/>
  <c r="DW628" i="9"/>
  <c r="DY655" i="9"/>
  <c r="DW196" i="9"/>
  <c r="DN196" i="9"/>
  <c r="DY203" i="9"/>
  <c r="DY349" i="9"/>
  <c r="DC141" i="9"/>
  <c r="DY391" i="9"/>
  <c r="DY613" i="9"/>
  <c r="DY664" i="9"/>
  <c r="DW654" i="9"/>
  <c r="DY486" i="9"/>
  <c r="DW703" i="9"/>
  <c r="EH134" i="9"/>
  <c r="DY383" i="9"/>
  <c r="DY109" i="9"/>
  <c r="DA72" i="9"/>
  <c r="DW327" i="9"/>
  <c r="DY365" i="9"/>
  <c r="DY600" i="9"/>
  <c r="DY390" i="9"/>
  <c r="DL295" i="9"/>
  <c r="DY402" i="9"/>
  <c r="DC94" i="9"/>
  <c r="DW354" i="9"/>
  <c r="DY511" i="9"/>
  <c r="DW329" i="9"/>
  <c r="DL179" i="9"/>
  <c r="DW81" i="9"/>
  <c r="DL106" i="9"/>
  <c r="DY28" i="9"/>
  <c r="DY129" i="9"/>
  <c r="DN266" i="9"/>
  <c r="DC76" i="9"/>
  <c r="DC67" i="9"/>
  <c r="CR496" i="9"/>
  <c r="CR34" i="9"/>
  <c r="DY259" i="9"/>
  <c r="DW626" i="9"/>
  <c r="DW178" i="9"/>
  <c r="DW347" i="9"/>
  <c r="DW581" i="9"/>
  <c r="DC233" i="9"/>
  <c r="DY79" i="9"/>
  <c r="DY750" i="9"/>
  <c r="DW379" i="9"/>
  <c r="DW492" i="9"/>
  <c r="DW483" i="9"/>
  <c r="DL34" i="9"/>
  <c r="DY393" i="9"/>
  <c r="DY418" i="9"/>
  <c r="DY651" i="9"/>
  <c r="DW623" i="9"/>
  <c r="DY487" i="9"/>
  <c r="DW25" i="9"/>
  <c r="DW608" i="9"/>
  <c r="DW585" i="9"/>
  <c r="S208" i="9"/>
  <c r="DC160" i="9"/>
  <c r="DY578" i="9"/>
  <c r="DN88" i="9"/>
  <c r="DW420" i="9"/>
  <c r="DY706" i="9"/>
  <c r="DW648" i="9"/>
  <c r="DY695" i="9"/>
  <c r="DY40" i="9"/>
  <c r="DY676" i="9"/>
  <c r="DW531" i="9"/>
  <c r="DW716" i="9"/>
  <c r="DN95" i="9"/>
  <c r="DW715" i="9"/>
  <c r="DY593" i="9"/>
  <c r="DL59" i="9"/>
  <c r="DY408" i="9"/>
  <c r="DW199" i="9"/>
  <c r="DY580" i="9"/>
  <c r="DY516" i="9"/>
  <c r="DN295" i="9"/>
  <c r="DY326" i="9"/>
  <c r="DL298" i="9"/>
  <c r="DA128" i="9"/>
  <c r="DW391" i="9"/>
  <c r="DY617" i="9"/>
  <c r="DW551" i="9"/>
  <c r="DY735" i="9"/>
  <c r="DW477" i="9"/>
  <c r="CR629" i="9"/>
  <c r="DW128" i="9"/>
  <c r="EJ92" i="9"/>
  <c r="CG269" i="9"/>
  <c r="DN181" i="9"/>
  <c r="DW102" i="9"/>
  <c r="DY619" i="9"/>
  <c r="DW303" i="9"/>
  <c r="DY426" i="9"/>
  <c r="DW660" i="9"/>
  <c r="DW370" i="9"/>
  <c r="DC115" i="9"/>
  <c r="DW437" i="9"/>
  <c r="DW369" i="9"/>
  <c r="CR364" i="9"/>
  <c r="DW486" i="9"/>
  <c r="DY48" i="9"/>
  <c r="DW444" i="9"/>
  <c r="DY284" i="9"/>
  <c r="DY708" i="9"/>
  <c r="DW372" i="9"/>
  <c r="DY205" i="9"/>
  <c r="DW266" i="9"/>
  <c r="DY624" i="9"/>
  <c r="CR405" i="9"/>
  <c r="DY427" i="9"/>
  <c r="DW403" i="9"/>
  <c r="DW298" i="9"/>
  <c r="DW493" i="9"/>
  <c r="DY485" i="9"/>
  <c r="DW513" i="9"/>
  <c r="DY119" i="9"/>
  <c r="DW480" i="9"/>
  <c r="DC243" i="9"/>
  <c r="DN217" i="9"/>
  <c r="DY354" i="9"/>
  <c r="DW158" i="9"/>
  <c r="DW203" i="9"/>
  <c r="DY545" i="9"/>
  <c r="DY207" i="9"/>
  <c r="DW159" i="9"/>
  <c r="DY45" i="9"/>
  <c r="EH97" i="9"/>
  <c r="CP556" i="9"/>
  <c r="DW743" i="9"/>
  <c r="DW375" i="9"/>
  <c r="EJ73" i="9"/>
  <c r="CP441" i="9"/>
  <c r="DW295" i="9"/>
  <c r="EJ102" i="9"/>
  <c r="DA238" i="9"/>
  <c r="DY395" i="9"/>
  <c r="DY616" i="9"/>
  <c r="DY31" i="9"/>
  <c r="DC225" i="9"/>
  <c r="DW594" i="9"/>
  <c r="DW671" i="9"/>
  <c r="EH111" i="9"/>
  <c r="EJ146" i="9"/>
  <c r="DW642" i="9"/>
  <c r="EJ31" i="9"/>
  <c r="DW349" i="9"/>
  <c r="DY597" i="9"/>
  <c r="DC142" i="9"/>
  <c r="DL326" i="9"/>
  <c r="EH43" i="9"/>
  <c r="DW163" i="9"/>
  <c r="DW567" i="9"/>
  <c r="DW232" i="9"/>
  <c r="DY338" i="9"/>
  <c r="DA244" i="9"/>
  <c r="DW497" i="9"/>
  <c r="DY318" i="9"/>
  <c r="DY312" i="9"/>
  <c r="DN288" i="9"/>
  <c r="DW447" i="9"/>
  <c r="DW240" i="9"/>
  <c r="DY298" i="9"/>
  <c r="DY323" i="9"/>
  <c r="DW42" i="9"/>
  <c r="DW702" i="9"/>
  <c r="DY583" i="9"/>
  <c r="DY405" i="9"/>
  <c r="DW70" i="9"/>
  <c r="DW686" i="9"/>
  <c r="DW467" i="9"/>
  <c r="DY126" i="9"/>
  <c r="DW659" i="9"/>
  <c r="DW383" i="9"/>
  <c r="DY196" i="9"/>
  <c r="EJ70" i="9"/>
  <c r="CP509" i="9"/>
  <c r="DY50" i="9"/>
  <c r="DY644" i="9"/>
  <c r="DY57" i="9"/>
  <c r="DW582" i="9"/>
  <c r="DY83" i="9"/>
  <c r="DY315" i="9"/>
  <c r="DY137" i="9"/>
  <c r="DW212" i="9"/>
  <c r="DY684" i="9"/>
  <c r="DL198" i="9"/>
  <c r="CP324" i="9"/>
  <c r="DW423" i="9"/>
  <c r="DY111" i="9"/>
  <c r="DY638" i="9"/>
  <c r="DW512" i="9"/>
  <c r="EH72" i="9"/>
  <c r="DW448" i="9"/>
  <c r="DY484" i="9"/>
  <c r="DW404" i="9"/>
  <c r="DY747" i="9"/>
  <c r="DY498" i="9"/>
  <c r="CR390" i="9"/>
  <c r="DW179" i="9"/>
  <c r="CR445" i="9"/>
  <c r="DW116" i="9"/>
  <c r="DN331" i="9"/>
  <c r="DC247" i="9"/>
  <c r="EJ108" i="9"/>
  <c r="DY533" i="9"/>
  <c r="DY184" i="9"/>
  <c r="EJ88" i="9"/>
  <c r="DC174" i="9"/>
  <c r="DW306" i="9"/>
  <c r="DN38" i="9"/>
  <c r="DW588" i="9"/>
  <c r="DW320" i="9"/>
  <c r="EH99" i="9"/>
  <c r="DN36" i="9"/>
  <c r="DY736" i="9"/>
  <c r="DY327" i="9"/>
  <c r="DA182" i="9"/>
  <c r="DW605" i="9"/>
  <c r="DW527" i="9"/>
  <c r="EH138" i="9"/>
  <c r="DW111" i="9"/>
  <c r="DY288" i="9"/>
  <c r="DW550" i="9"/>
  <c r="DW182" i="9"/>
  <c r="DW726" i="9"/>
  <c r="DW345" i="9"/>
  <c r="DY677" i="9"/>
  <c r="DY197" i="9"/>
  <c r="DW352" i="9"/>
  <c r="DW174" i="9"/>
  <c r="DY238" i="9"/>
  <c r="DL91" i="9"/>
  <c r="DW676" i="9"/>
  <c r="DW216" i="9"/>
  <c r="DY382" i="9"/>
  <c r="DY229" i="9"/>
  <c r="DL318" i="9"/>
  <c r="DW208" i="9"/>
  <c r="DW205" i="9"/>
  <c r="DC49" i="9"/>
  <c r="DW400" i="9"/>
  <c r="DW138" i="9"/>
  <c r="DW228" i="9"/>
  <c r="DY261" i="9"/>
  <c r="EJ113" i="9"/>
  <c r="DY573" i="9"/>
  <c r="DL77" i="9"/>
  <c r="DN220" i="9"/>
  <c r="DW556" i="9"/>
  <c r="DW274" i="9"/>
  <c r="DY752" i="9"/>
  <c r="DW598" i="9"/>
  <c r="DY554" i="9"/>
  <c r="DW346" i="9"/>
  <c r="DY698" i="9"/>
  <c r="DY494" i="9"/>
  <c r="DY639" i="9"/>
  <c r="EH129" i="9"/>
  <c r="DL304" i="9"/>
  <c r="DW640" i="9"/>
  <c r="DW742" i="9"/>
  <c r="DW209" i="9"/>
  <c r="DY149" i="9"/>
  <c r="DA221" i="9"/>
  <c r="DY227" i="9"/>
  <c r="EH127" i="9"/>
  <c r="DN81" i="9"/>
  <c r="EH52" i="9"/>
  <c r="DW511" i="9"/>
  <c r="DW638" i="9"/>
  <c r="DY500" i="9"/>
  <c r="EH102" i="9"/>
  <c r="DW462" i="9"/>
  <c r="DW501" i="9"/>
  <c r="DY741" i="9"/>
  <c r="DW87" i="9"/>
  <c r="DY409" i="9"/>
  <c r="DL55" i="9"/>
  <c r="CR70" i="9"/>
  <c r="DW449" i="9"/>
  <c r="DY527" i="9"/>
  <c r="DW72" i="9"/>
  <c r="DY336" i="9"/>
  <c r="DY591" i="9"/>
  <c r="DW176" i="9"/>
  <c r="DY704" i="9"/>
  <c r="DY101" i="9"/>
  <c r="DY744" i="9"/>
  <c r="CR46" i="9"/>
  <c r="DY745" i="9"/>
  <c r="DW435" i="9"/>
  <c r="DW124" i="9"/>
  <c r="EJ79" i="9"/>
  <c r="DW573" i="9"/>
  <c r="DW365" i="9"/>
  <c r="DY43" i="9"/>
  <c r="DL45" i="9"/>
  <c r="DN35" i="9"/>
  <c r="DY281" i="9"/>
  <c r="DY690" i="9"/>
  <c r="DA243" i="9"/>
  <c r="DC110" i="9"/>
  <c r="DY587" i="9"/>
  <c r="DY661" i="9"/>
  <c r="DY722" i="9"/>
  <c r="DY452" i="9"/>
  <c r="DL262" i="9"/>
  <c r="DW753" i="9"/>
  <c r="EJ32" i="9"/>
  <c r="DL97" i="9"/>
  <c r="DY526" i="9"/>
  <c r="EJ100" i="9"/>
  <c r="DN82" i="9"/>
  <c r="DW587" i="9"/>
  <c r="DL239" i="9"/>
  <c r="DC40" i="9"/>
  <c r="DY290" i="9"/>
  <c r="DA69" i="9"/>
  <c r="DW683" i="9"/>
  <c r="CE174" i="9"/>
  <c r="DY314" i="9"/>
  <c r="DY504" i="9"/>
  <c r="DY377" i="9"/>
  <c r="DY246" i="9"/>
  <c r="DC108" i="9"/>
  <c r="DW211" i="9"/>
  <c r="DW722" i="9"/>
  <c r="DW129" i="9"/>
  <c r="EJ60" i="9"/>
  <c r="DL233" i="9"/>
  <c r="DW164" i="9"/>
  <c r="DW312" i="9"/>
  <c r="DW241" i="9"/>
  <c r="DW207" i="9"/>
  <c r="DN265" i="9"/>
  <c r="DY653" i="9"/>
  <c r="EJ116" i="9"/>
  <c r="DY507" i="9"/>
  <c r="EH159" i="9"/>
  <c r="DY360" i="9"/>
  <c r="EJ129" i="9"/>
  <c r="DL83" i="9"/>
  <c r="DY135" i="9"/>
  <c r="DW191" i="9"/>
  <c r="DW620" i="9"/>
  <c r="DW407" i="9"/>
  <c r="DW371" i="9"/>
  <c r="DN268" i="9"/>
  <c r="DY407" i="9"/>
  <c r="DY215" i="9"/>
  <c r="DY460" i="9"/>
  <c r="DW618" i="9"/>
  <c r="DW536" i="9"/>
  <c r="DY331" i="9"/>
  <c r="DY291" i="9"/>
  <c r="DW711" i="9"/>
  <c r="DY39" i="9"/>
  <c r="EH110" i="9"/>
  <c r="DW104" i="9"/>
  <c r="EH156" i="9"/>
  <c r="EJ119" i="9"/>
  <c r="DW439" i="9"/>
  <c r="DY357" i="9"/>
  <c r="DW281" i="9"/>
  <c r="EJ37" i="9"/>
  <c r="DW590" i="9"/>
  <c r="DY157" i="9"/>
  <c r="DW118" i="9"/>
  <c r="DW684" i="9"/>
  <c r="DA232" i="9"/>
  <c r="CP80" i="9"/>
  <c r="DW36" i="9"/>
  <c r="DY194" i="9"/>
  <c r="DW183" i="9"/>
  <c r="DW39" i="9"/>
  <c r="DW559" i="9"/>
  <c r="DW120" i="9"/>
  <c r="DY531" i="9"/>
  <c r="DW55" i="9"/>
  <c r="CP574" i="9"/>
  <c r="DN211" i="9"/>
  <c r="DY173" i="9"/>
  <c r="DY278" i="9"/>
  <c r="DW509" i="9"/>
  <c r="DW419" i="9"/>
  <c r="DW708" i="9"/>
  <c r="DY478" i="9"/>
  <c r="DY158" i="9"/>
  <c r="DW589" i="9"/>
  <c r="DW500" i="9"/>
  <c r="DA160" i="9"/>
  <c r="DW97" i="9"/>
  <c r="DY626" i="9"/>
  <c r="DY468" i="9"/>
  <c r="DY376" i="9"/>
  <c r="DY566" i="9"/>
  <c r="EH100" i="9"/>
  <c r="DW109" i="9"/>
  <c r="DY532" i="9"/>
  <c r="DY598" i="9"/>
  <c r="DY540" i="9"/>
  <c r="DW378" i="9"/>
  <c r="DY189" i="9"/>
  <c r="DN278" i="9"/>
  <c r="EJ29" i="9"/>
  <c r="DW494" i="9"/>
  <c r="DY746" i="9"/>
  <c r="DY33" i="9"/>
  <c r="DY553" i="9"/>
  <c r="DW506" i="9"/>
  <c r="DN274" i="9"/>
  <c r="DA133" i="9"/>
  <c r="DN182" i="9"/>
  <c r="DW165" i="9"/>
  <c r="DW360" i="9"/>
  <c r="DY81" i="9"/>
  <c r="DW123" i="9"/>
  <c r="DW613" i="9"/>
  <c r="DA141" i="9"/>
  <c r="DY697" i="9"/>
  <c r="DN297" i="9"/>
  <c r="DY448" i="9"/>
  <c r="DW576" i="9"/>
  <c r="DY367" i="9"/>
  <c r="DW357" i="9"/>
  <c r="DW411" i="9"/>
  <c r="DY480" i="9"/>
  <c r="DY256" i="9"/>
  <c r="DY276" i="9"/>
  <c r="DY686" i="9"/>
  <c r="DA98" i="9"/>
  <c r="CP301" i="9"/>
  <c r="S146" i="9"/>
  <c r="DW399" i="9"/>
  <c r="DL63" i="9"/>
  <c r="DY742" i="9"/>
  <c r="DY665" i="9"/>
  <c r="EJ68" i="9"/>
  <c r="DY423" i="9"/>
  <c r="DW131" i="9"/>
  <c r="DW85" i="9"/>
  <c r="DY660" i="9"/>
  <c r="DY67" i="9"/>
  <c r="DW367" i="9"/>
  <c r="DY311" i="9"/>
  <c r="DW40" i="9"/>
  <c r="DA67" i="9"/>
  <c r="DY413" i="9"/>
  <c r="DW392" i="9"/>
  <c r="DY361" i="9"/>
  <c r="DA207" i="9"/>
  <c r="DY267" i="9"/>
  <c r="DW148" i="9"/>
  <c r="DY26" i="9"/>
  <c r="DY429" i="9"/>
  <c r="CP307" i="9"/>
  <c r="EH83" i="9"/>
  <c r="DN99" i="9"/>
  <c r="DY419" i="9"/>
  <c r="DW710" i="9"/>
  <c r="DW472" i="9"/>
  <c r="DW498" i="9"/>
  <c r="DW167" i="9"/>
  <c r="DA237" i="9"/>
  <c r="DW66" i="9"/>
  <c r="DY156" i="9"/>
  <c r="EJ62" i="9"/>
  <c r="DN276" i="9"/>
  <c r="DW271" i="9"/>
  <c r="DW48" i="9"/>
  <c r="DY445" i="9"/>
  <c r="DY571" i="9"/>
  <c r="DY78" i="9"/>
  <c r="DW446" i="9"/>
  <c r="DY466" i="9"/>
  <c r="DY89" i="9"/>
  <c r="DW430" i="9"/>
  <c r="DN264" i="9"/>
  <c r="DC39" i="9"/>
  <c r="DN112" i="9"/>
  <c r="DW557" i="9"/>
  <c r="DW63" i="9"/>
  <c r="DY737" i="9"/>
  <c r="DW294" i="9"/>
  <c r="DW233" i="9"/>
  <c r="DW69" i="9"/>
  <c r="DW610" i="9"/>
  <c r="DC102" i="9"/>
  <c r="DY492" i="9"/>
  <c r="DY552" i="9"/>
  <c r="DW672" i="9"/>
  <c r="DY724" i="9"/>
  <c r="DW308" i="9"/>
  <c r="DY483" i="9"/>
  <c r="DW645" i="9"/>
  <c r="DW599" i="9"/>
  <c r="DY636" i="9"/>
  <c r="DW89" i="9"/>
  <c r="DY206" i="9"/>
  <c r="DW687" i="9"/>
  <c r="DY335" i="9"/>
  <c r="DW440" i="9"/>
  <c r="DW301" i="9"/>
  <c r="DW699" i="9"/>
  <c r="DY200" i="9"/>
  <c r="DY285" i="9"/>
  <c r="DC187" i="9"/>
  <c r="DA242" i="9"/>
  <c r="DN68" i="9"/>
  <c r="DW296" i="9"/>
  <c r="DW554" i="9"/>
  <c r="DY191" i="9"/>
  <c r="DW670" i="9"/>
  <c r="DY305" i="9"/>
  <c r="DW568" i="9"/>
  <c r="DW697" i="9"/>
  <c r="DW731" i="9"/>
  <c r="DN58" i="9"/>
  <c r="DN292" i="9"/>
  <c r="DY141" i="9"/>
  <c r="DW431" i="9"/>
  <c r="DW364" i="9"/>
  <c r="DW54" i="9"/>
  <c r="DY542" i="9"/>
  <c r="DY113" i="9"/>
  <c r="DC71" i="9"/>
  <c r="DY482" i="9"/>
  <c r="DA223" i="9"/>
  <c r="EH146" i="9"/>
  <c r="DY462" i="9"/>
  <c r="DY145" i="9"/>
  <c r="DA35" i="9"/>
  <c r="DW475" i="9"/>
  <c r="DW78" i="9"/>
  <c r="DY96" i="9"/>
  <c r="DW601" i="9"/>
  <c r="DY88" i="9"/>
  <c r="DW61" i="9"/>
  <c r="EJ22" i="9"/>
  <c r="DW540" i="9"/>
  <c r="DW133" i="9"/>
  <c r="DY221" i="9"/>
  <c r="DC34" i="9"/>
  <c r="DW350" i="9"/>
  <c r="EJ110" i="9"/>
  <c r="DW401" i="9"/>
  <c r="DY472" i="9"/>
  <c r="DC197" i="9"/>
  <c r="CP503" i="9"/>
  <c r="DA130" i="9"/>
  <c r="DW100" i="9"/>
  <c r="EJ41" i="9"/>
  <c r="DW468" i="9"/>
  <c r="DN32" i="9"/>
  <c r="DY30" i="9"/>
  <c r="DW678" i="9"/>
  <c r="DW220" i="9"/>
  <c r="CP54" i="9"/>
  <c r="DL265" i="9"/>
  <c r="Q160" i="9"/>
  <c r="DW507" i="9"/>
  <c r="DC161" i="9"/>
  <c r="DL31" i="9"/>
  <c r="EH137" i="9"/>
  <c r="EH140" i="9"/>
  <c r="DY175" i="9"/>
  <c r="DY152" i="9"/>
  <c r="DY71" i="9"/>
  <c r="DY153" i="9"/>
  <c r="DY740" i="9"/>
  <c r="DW422" i="9"/>
  <c r="EH65" i="9"/>
  <c r="DY522" i="9"/>
  <c r="DL33" i="9"/>
  <c r="DL250" i="9"/>
  <c r="DW665" i="9"/>
  <c r="DW677" i="9"/>
  <c r="DC237" i="9"/>
  <c r="DY560" i="9"/>
  <c r="DW682" i="9"/>
  <c r="DW443" i="9"/>
  <c r="DY456" i="9"/>
  <c r="DY609" i="9"/>
  <c r="DC56" i="9"/>
  <c r="DY74" i="9"/>
  <c r="DW322" i="9"/>
  <c r="DY548" i="9"/>
  <c r="DY172" i="9"/>
  <c r="DA48" i="9"/>
  <c r="DW242" i="9"/>
  <c r="DN138" i="9"/>
  <c r="DN48" i="9"/>
  <c r="DW709" i="9"/>
  <c r="DL229" i="9"/>
  <c r="DW204" i="9"/>
  <c r="CR134" i="9"/>
  <c r="DY201" i="9"/>
  <c r="DY353" i="9"/>
  <c r="DW121" i="9"/>
  <c r="DY473" i="9"/>
  <c r="DW563" i="9"/>
  <c r="DY352" i="9"/>
  <c r="DY603" i="9"/>
  <c r="DY474" i="9"/>
  <c r="DA162" i="9"/>
  <c r="DY671" i="9"/>
  <c r="DN290" i="9"/>
  <c r="DW424" i="9"/>
  <c r="DY689" i="9"/>
  <c r="DA22" i="9"/>
  <c r="DY461" i="9"/>
  <c r="DY431" i="9"/>
  <c r="DW412" i="9"/>
  <c r="DY564" i="9"/>
  <c r="DC122" i="9"/>
  <c r="DN145" i="9"/>
  <c r="DC146" i="9"/>
  <c r="DL170" i="9"/>
  <c r="DW529" i="9"/>
  <c r="DW549" i="9"/>
  <c r="DY302" i="9"/>
  <c r="DC215" i="9"/>
  <c r="DY230" i="9"/>
  <c r="DY213" i="9"/>
  <c r="DC47" i="9"/>
  <c r="DY499" i="9"/>
  <c r="EJ145" i="9"/>
  <c r="DY501" i="9"/>
  <c r="DY64" i="9"/>
  <c r="DW749" i="9"/>
  <c r="DY271" i="9"/>
  <c r="DW119" i="9"/>
  <c r="DW377" i="9"/>
  <c r="DY275" i="9"/>
  <c r="DW283" i="9"/>
  <c r="DA183" i="9"/>
  <c r="DY656" i="9"/>
  <c r="DY108" i="9"/>
  <c r="DN131" i="9"/>
  <c r="DW535" i="9"/>
  <c r="DY755" i="9"/>
  <c r="DW374" i="9"/>
  <c r="DY320" i="9"/>
  <c r="DW508" i="9"/>
  <c r="DY612" i="9"/>
  <c r="DL75" i="9"/>
  <c r="CP577" i="9"/>
  <c r="DW30" i="9"/>
  <c r="DY93" i="9"/>
  <c r="DW538" i="9"/>
  <c r="DY681" i="9"/>
  <c r="DW413" i="9"/>
  <c r="EH106" i="9"/>
  <c r="DN329" i="9"/>
  <c r="DY541" i="9"/>
  <c r="DW471" i="9"/>
  <c r="DA31" i="9"/>
  <c r="DY334" i="9"/>
  <c r="DW115" i="9"/>
  <c r="CP612" i="9"/>
  <c r="DW701" i="9"/>
  <c r="DW238" i="9"/>
  <c r="EH103" i="9"/>
  <c r="DW122" i="9"/>
  <c r="DW125" i="9"/>
  <c r="DC173" i="9"/>
  <c r="DY674" i="9"/>
  <c r="DW99" i="9"/>
  <c r="DW442" i="9"/>
  <c r="DY451" i="9"/>
  <c r="EJ117" i="9"/>
  <c r="DW200" i="9"/>
  <c r="DY102" i="9"/>
  <c r="DN161" i="9"/>
  <c r="DA198" i="9"/>
  <c r="CP466" i="9"/>
  <c r="DN65" i="9"/>
  <c r="DN253" i="9"/>
  <c r="DW62" i="9"/>
  <c r="DA197" i="9"/>
  <c r="DA127" i="9"/>
  <c r="CR279" i="9"/>
  <c r="DL32" i="9"/>
  <c r="DY165" i="9"/>
  <c r="DY607" i="9"/>
  <c r="CP572" i="9"/>
  <c r="DA77" i="9"/>
  <c r="CR484" i="9"/>
  <c r="DW269" i="9"/>
  <c r="DY398" i="9"/>
  <c r="DY61" i="9"/>
  <c r="DW450" i="9"/>
  <c r="DW246" i="9"/>
  <c r="DY700" i="9"/>
  <c r="DY385" i="9"/>
  <c r="DY170" i="9"/>
  <c r="DW210" i="9"/>
  <c r="DA42" i="9"/>
  <c r="DL178" i="9"/>
  <c r="DW666" i="9"/>
  <c r="DW277" i="9"/>
  <c r="DA40" i="9"/>
  <c r="DN122" i="9"/>
  <c r="DY36" i="9"/>
  <c r="DW134" i="9"/>
  <c r="DW552" i="9"/>
  <c r="DW60" i="9"/>
  <c r="DC134" i="9"/>
  <c r="DA247" i="9"/>
  <c r="DY539" i="9"/>
  <c r="DY325" i="9"/>
  <c r="DY65" i="9"/>
  <c r="DY505" i="9"/>
  <c r="DN101" i="9"/>
  <c r="DW26" i="9"/>
  <c r="DY424" i="9"/>
  <c r="DW173" i="9"/>
  <c r="DW96" i="9"/>
  <c r="DW316" i="9"/>
  <c r="DA154" i="9"/>
  <c r="DW600" i="9"/>
  <c r="DW571" i="9"/>
  <c r="DW326" i="9"/>
  <c r="DW288" i="9"/>
  <c r="DY439" i="9"/>
  <c r="DY231" i="9"/>
  <c r="DW359" i="9"/>
  <c r="DW44" i="9"/>
  <c r="CP451" i="9"/>
  <c r="DW177" i="9"/>
  <c r="DY585" i="9"/>
  <c r="DY692" i="9"/>
  <c r="DW720" i="9"/>
  <c r="DY611" i="9"/>
  <c r="DW398" i="9"/>
  <c r="DY614" i="9"/>
  <c r="DY675" i="9"/>
  <c r="DW245" i="9"/>
  <c r="DL133" i="9"/>
  <c r="CE271" i="9"/>
  <c r="DL200" i="9"/>
  <c r="DY220" i="9"/>
  <c r="DL172" i="9"/>
  <c r="DY212" i="9"/>
  <c r="DL141" i="9"/>
  <c r="DW71" i="9"/>
  <c r="DY114" i="9"/>
  <c r="DY654" i="9"/>
  <c r="EJ58" i="9"/>
  <c r="DC199" i="9"/>
  <c r="DW112" i="9"/>
  <c r="EH32" i="9"/>
  <c r="DY73" i="9"/>
  <c r="DW311" i="9"/>
  <c r="DC126" i="9"/>
  <c r="DY155" i="9"/>
  <c r="DW639" i="9"/>
  <c r="DW415" i="9"/>
  <c r="DN128" i="9"/>
  <c r="DY699" i="9"/>
  <c r="DW368" i="9"/>
  <c r="DW338" i="9"/>
  <c r="EH142" i="9"/>
  <c r="DW543" i="9"/>
  <c r="DN317" i="9"/>
  <c r="DY195" i="9"/>
  <c r="DW65" i="9"/>
  <c r="CP537" i="9"/>
  <c r="DY77" i="9"/>
  <c r="DY728" i="9"/>
  <c r="DW706" i="9"/>
  <c r="DW591" i="9"/>
  <c r="DY38" i="9"/>
  <c r="DW592" i="9"/>
  <c r="DY273" i="9"/>
  <c r="EH46" i="9"/>
  <c r="EH59" i="9"/>
  <c r="DW649" i="9"/>
  <c r="DY218" i="9"/>
  <c r="CR319" i="9"/>
  <c r="DY384" i="9"/>
  <c r="DW737" i="9"/>
  <c r="DW273" i="9"/>
  <c r="DY518" i="9"/>
  <c r="CR301" i="9"/>
  <c r="DL110" i="9"/>
  <c r="DW730" i="9"/>
  <c r="DW231" i="9"/>
  <c r="DA140" i="9"/>
  <c r="DA46" i="9"/>
  <c r="DW149" i="9"/>
  <c r="DY432" i="9"/>
  <c r="DY495" i="9"/>
  <c r="DY245" i="9"/>
  <c r="DW658" i="9"/>
  <c r="DW426" i="9"/>
  <c r="DL57" i="9"/>
  <c r="DW101" i="9"/>
  <c r="DY659" i="9"/>
  <c r="EJ144" i="9"/>
  <c r="EJ50" i="9"/>
  <c r="DW728" i="9"/>
  <c r="DY182" i="9"/>
  <c r="DY295" i="9"/>
  <c r="DY319" i="9"/>
  <c r="DY286" i="9"/>
  <c r="DW755" i="9"/>
  <c r="DW76" i="9"/>
  <c r="DY581" i="9"/>
  <c r="EH61" i="9"/>
  <c r="DA70" i="9"/>
  <c r="DW355" i="9"/>
  <c r="DW607" i="9"/>
  <c r="DW95" i="9"/>
  <c r="DL208" i="9"/>
  <c r="DY202" i="9"/>
  <c r="DY440" i="9"/>
  <c r="DY49" i="9"/>
  <c r="DY345" i="9"/>
  <c r="DY620" i="9"/>
  <c r="DN235" i="9"/>
  <c r="DN267" i="9"/>
  <c r="DW31" i="9"/>
  <c r="DY503" i="9"/>
  <c r="DW202" i="9"/>
  <c r="DW52" i="9"/>
  <c r="DY240" i="9"/>
  <c r="DY549" i="9"/>
  <c r="DY283" i="9"/>
  <c r="DW595" i="9"/>
  <c r="DN54" i="9"/>
  <c r="DN141" i="9"/>
  <c r="DY399" i="9"/>
  <c r="EH154" i="9"/>
  <c r="DW580" i="9"/>
  <c r="DW408" i="9"/>
  <c r="DA224" i="9"/>
  <c r="DY277" i="9"/>
  <c r="DY521" i="9"/>
  <c r="DW505" i="9"/>
  <c r="DY579" i="9"/>
  <c r="DW264" i="9"/>
  <c r="DN146" i="9"/>
  <c r="DW49" i="9"/>
  <c r="DY139" i="9"/>
  <c r="DY301" i="9"/>
  <c r="DY730" i="9"/>
  <c r="DW268" i="9"/>
  <c r="DW593" i="9"/>
  <c r="DY251" i="9"/>
  <c r="DW361" i="9"/>
  <c r="DA138" i="9"/>
  <c r="DY551" i="9"/>
  <c r="DW47" i="9"/>
  <c r="DY594" i="9"/>
  <c r="DY605" i="9"/>
  <c r="Q205" i="9"/>
  <c r="DW463" i="9"/>
  <c r="EJ43" i="9"/>
  <c r="DL207" i="9"/>
  <c r="DC183" i="9"/>
  <c r="DY94" i="9"/>
  <c r="DY380" i="9"/>
  <c r="DY693" i="9"/>
  <c r="DW516" i="9"/>
  <c r="DY297" i="9"/>
  <c r="EH63" i="9"/>
  <c r="DY214" i="9"/>
  <c r="DY300" i="9"/>
  <c r="DW244" i="9"/>
  <c r="DW456" i="9"/>
  <c r="DW525" i="9"/>
  <c r="DW488" i="9"/>
  <c r="DY386" i="9"/>
  <c r="DY710" i="9"/>
  <c r="DY151" i="9"/>
  <c r="DW464" i="9"/>
  <c r="DY471" i="9"/>
  <c r="DW619" i="9"/>
  <c r="EJ107" i="9"/>
  <c r="DA150" i="9"/>
  <c r="DL40" i="9"/>
  <c r="DA169" i="9"/>
  <c r="DW569" i="9"/>
  <c r="EH79" i="9"/>
  <c r="DW381" i="9"/>
  <c r="DY262" i="9"/>
  <c r="DW315" i="9"/>
  <c r="DY652" i="9"/>
  <c r="DW145" i="9"/>
  <c r="DW282" i="9"/>
  <c r="DW280" i="9"/>
  <c r="DY403" i="9"/>
  <c r="DL66" i="9"/>
  <c r="DY208" i="9"/>
  <c r="DN179" i="9"/>
  <c r="DL311" i="9"/>
  <c r="DY343" i="9"/>
  <c r="DW458" i="9"/>
  <c r="DW655" i="9"/>
  <c r="DW555" i="9"/>
  <c r="DL184" i="9"/>
  <c r="DW162" i="9"/>
  <c r="DY669" i="9"/>
  <c r="DW732" i="9"/>
  <c r="CR219" i="9"/>
  <c r="DN261" i="9"/>
  <c r="DA166" i="9"/>
  <c r="DL296" i="9"/>
  <c r="DY459" i="9"/>
  <c r="DY183" i="9"/>
  <c r="DY524" i="9"/>
  <c r="DW479" i="9"/>
  <c r="DW740" i="9"/>
  <c r="DY310" i="9"/>
  <c r="DY27" i="9"/>
  <c r="DW239" i="9"/>
  <c r="DA118" i="9"/>
  <c r="DW572" i="9"/>
  <c r="DW250" i="9"/>
  <c r="DY610" i="9"/>
  <c r="DN221" i="9"/>
  <c r="DW217" i="9"/>
  <c r="EJ39" i="9"/>
  <c r="DW757" i="9"/>
  <c r="DY596" i="9"/>
  <c r="DN78" i="9"/>
  <c r="DN286" i="9"/>
  <c r="DC30" i="9"/>
  <c r="DY563" i="9"/>
  <c r="DA158" i="9"/>
  <c r="DY97" i="9"/>
  <c r="DY734" i="9"/>
  <c r="DY90" i="9"/>
  <c r="DN230" i="9"/>
  <c r="DL206" i="9"/>
  <c r="DY226" i="9"/>
  <c r="DW667" i="9"/>
  <c r="DW461" i="9"/>
  <c r="EJ67" i="9"/>
  <c r="DY25" i="9"/>
  <c r="DW80" i="9"/>
  <c r="DW195" i="9"/>
  <c r="DW92" i="9"/>
  <c r="DW453" i="9"/>
  <c r="DL195" i="9"/>
  <c r="DL274" i="9"/>
  <c r="DY68" i="9"/>
  <c r="DW168" i="9"/>
  <c r="DW397" i="9"/>
  <c r="DW221" i="9"/>
  <c r="DW314" i="9"/>
  <c r="CR463" i="9"/>
  <c r="DL39" i="9"/>
  <c r="DW366" i="9"/>
  <c r="DW685" i="9"/>
  <c r="DC188" i="9"/>
  <c r="DY100" i="9"/>
  <c r="DW157" i="9"/>
  <c r="DW487" i="9"/>
  <c r="DC240" i="9"/>
  <c r="DL46" i="9"/>
  <c r="DW58" i="9"/>
  <c r="EJ46" i="9"/>
  <c r="DW135" i="9"/>
  <c r="DY340" i="9"/>
  <c r="DY258" i="9"/>
  <c r="DN134" i="9"/>
  <c r="DL35" i="9"/>
  <c r="DY235" i="9"/>
  <c r="DA212" i="9"/>
  <c r="DW577" i="9"/>
  <c r="DA164" i="9"/>
  <c r="DN133" i="9"/>
  <c r="DY142" i="9"/>
  <c r="DW428" i="9"/>
  <c r="CP526" i="9"/>
  <c r="DW734" i="9"/>
  <c r="DY751" i="9"/>
  <c r="EH74" i="9"/>
  <c r="DW631" i="9"/>
  <c r="DN151" i="9"/>
  <c r="DA105" i="9"/>
  <c r="DY140" i="9"/>
  <c r="DW332" i="9"/>
  <c r="DY717" i="9"/>
  <c r="DW546" i="9"/>
  <c r="DW29" i="9"/>
  <c r="DY753" i="9"/>
  <c r="DW674" i="9"/>
  <c r="DA86" i="9"/>
  <c r="DW754" i="9"/>
  <c r="DN324" i="9"/>
  <c r="DY400" i="9"/>
  <c r="DY417" i="9"/>
  <c r="DY243" i="9"/>
  <c r="DC224" i="9"/>
  <c r="DL181" i="9"/>
  <c r="CP412" i="9"/>
  <c r="DY711" i="9"/>
  <c r="DY370" i="9"/>
  <c r="DA134" i="9"/>
  <c r="DW340" i="9"/>
  <c r="DL52" i="9"/>
  <c r="DW653" i="9"/>
  <c r="DW524" i="9"/>
  <c r="DY42" i="9"/>
  <c r="DN106" i="9"/>
  <c r="DW181" i="9"/>
  <c r="EJ150" i="9"/>
  <c r="DL299" i="9"/>
  <c r="CR389" i="9"/>
  <c r="DW390" i="9"/>
  <c r="DC193" i="9"/>
  <c r="DW224" i="9"/>
  <c r="DY410" i="9"/>
  <c r="CP99" i="9"/>
  <c r="DW693" i="9"/>
  <c r="DW130" i="9"/>
  <c r="DW139" i="9"/>
  <c r="EJ35" i="9"/>
  <c r="DW289" i="9"/>
  <c r="DW201" i="9"/>
  <c r="DA215" i="9"/>
  <c r="DA201" i="9"/>
  <c r="DN63" i="9"/>
  <c r="DW336" i="9"/>
  <c r="DA25" i="9"/>
  <c r="CR438" i="9"/>
  <c r="CR631" i="9"/>
  <c r="DL224" i="9"/>
  <c r="DN279" i="9"/>
  <c r="DY112" i="9"/>
  <c r="EJ52" i="9"/>
  <c r="DN188" i="9"/>
  <c r="DN332" i="9"/>
  <c r="DW657" i="9"/>
  <c r="CR435" i="9"/>
  <c r="S255" i="9"/>
  <c r="DY234" i="9"/>
  <c r="DN173" i="9"/>
  <c r="DN105" i="9"/>
  <c r="DW328" i="9"/>
  <c r="DY147" i="9"/>
  <c r="CP357" i="9"/>
  <c r="DL24" i="9"/>
  <c r="EJ127" i="9"/>
  <c r="EH49" i="9"/>
  <c r="DL214" i="9"/>
  <c r="DC105" i="9"/>
  <c r="DW745" i="9"/>
  <c r="DN50" i="9"/>
  <c r="DY754" i="9"/>
  <c r="DW615" i="9"/>
  <c r="DC133" i="9"/>
  <c r="DA74" i="9"/>
  <c r="DA177" i="9"/>
  <c r="CP579" i="9"/>
  <c r="EJ143" i="9"/>
  <c r="DY574" i="9"/>
  <c r="DW533" i="9"/>
  <c r="DA94" i="9"/>
  <c r="EH78" i="9"/>
  <c r="DA103" i="9"/>
  <c r="DN313" i="9"/>
  <c r="DN256" i="9"/>
  <c r="DY726" i="9"/>
  <c r="CR124" i="9"/>
  <c r="CP426" i="9"/>
  <c r="DW727" i="9"/>
  <c r="DW262" i="9"/>
  <c r="DL36" i="9"/>
  <c r="DW416" i="9"/>
  <c r="DW259" i="9"/>
  <c r="DY682" i="9"/>
  <c r="CE347" i="9"/>
  <c r="EH160" i="9"/>
  <c r="EJ90" i="9"/>
  <c r="EH67" i="9"/>
  <c r="CP117" i="9"/>
  <c r="DY447" i="9"/>
  <c r="DY748" i="9"/>
  <c r="DY464" i="9"/>
  <c r="DL122" i="9"/>
  <c r="EH69" i="9"/>
  <c r="DW387" i="9"/>
  <c r="Q253" i="9"/>
  <c r="DN315" i="9"/>
  <c r="CP107" i="9"/>
  <c r="DW285" i="9"/>
  <c r="EJ139" i="9"/>
  <c r="DL293" i="9"/>
  <c r="DY176" i="9"/>
  <c r="DN27" i="9"/>
  <c r="DC78" i="9"/>
  <c r="EJ106" i="9"/>
  <c r="DY488" i="9"/>
  <c r="DL197" i="9"/>
  <c r="CR199" i="9"/>
  <c r="DL81" i="9"/>
  <c r="EJ87" i="9"/>
  <c r="CR555" i="9"/>
  <c r="EJ138" i="9"/>
  <c r="DL242" i="9"/>
  <c r="DY463" i="9"/>
  <c r="DN300" i="9"/>
  <c r="DY364" i="9"/>
  <c r="BK158" i="9"/>
  <c r="CR30" i="9"/>
  <c r="DW414" i="9"/>
  <c r="DW544" i="9"/>
  <c r="EJ121" i="9"/>
  <c r="DY222" i="9"/>
  <c r="DY324" i="9"/>
  <c r="CP308" i="9"/>
  <c r="DY530" i="9"/>
  <c r="DL79" i="9"/>
  <c r="CG297" i="9"/>
  <c r="CR130" i="9"/>
  <c r="DY118" i="9"/>
  <c r="DN104" i="9"/>
  <c r="EJ141" i="9"/>
  <c r="DW680" i="9"/>
  <c r="DW194" i="9"/>
  <c r="DA165" i="9"/>
  <c r="BV89" i="9"/>
  <c r="CP452" i="9"/>
  <c r="DY572" i="9"/>
  <c r="DW566" i="9"/>
  <c r="DW724" i="9"/>
  <c r="DW705" i="9"/>
  <c r="EJ23" i="9"/>
  <c r="DW219" i="9"/>
  <c r="DY514" i="9"/>
  <c r="DY47" i="9"/>
  <c r="CR535" i="9"/>
  <c r="EJ93" i="9"/>
  <c r="DL327" i="9"/>
  <c r="DC181" i="9"/>
  <c r="DA111" i="9"/>
  <c r="EJ94" i="9"/>
  <c r="DW186" i="9"/>
  <c r="DA107" i="9"/>
  <c r="DW68" i="9"/>
  <c r="DY444" i="9"/>
  <c r="DA225" i="9"/>
  <c r="DW187" i="9"/>
  <c r="DC107" i="9"/>
  <c r="CE99" i="9"/>
  <c r="CP573" i="9"/>
  <c r="DN280" i="9"/>
  <c r="DY180" i="9"/>
  <c r="DN243" i="9"/>
  <c r="DW460" i="9"/>
  <c r="DY98" i="9"/>
  <c r="EJ63" i="9"/>
  <c r="CP551" i="9"/>
  <c r="DN307" i="9"/>
  <c r="DC234" i="9"/>
  <c r="DC125" i="9"/>
  <c r="EH96" i="9"/>
  <c r="DW136" i="9"/>
  <c r="DY635" i="9"/>
  <c r="DY719" i="9"/>
  <c r="CR122" i="9"/>
  <c r="DL283" i="9"/>
  <c r="DC226" i="9"/>
  <c r="CR474" i="9"/>
  <c r="DL70" i="9"/>
  <c r="DC128" i="9"/>
  <c r="DW495" i="9"/>
  <c r="DN72" i="9"/>
  <c r="CP547" i="9"/>
  <c r="EJ158" i="9"/>
  <c r="DW386" i="9"/>
  <c r="EH94" i="9"/>
  <c r="DC106" i="9"/>
  <c r="EJ99" i="9"/>
  <c r="DC177" i="9"/>
  <c r="CP472" i="9"/>
  <c r="BV87" i="9"/>
  <c r="DY662" i="9"/>
  <c r="DL203" i="9"/>
  <c r="DY99" i="9"/>
  <c r="DA195" i="9"/>
  <c r="DC217" i="9"/>
  <c r="DN222" i="9"/>
  <c r="DC155" i="9"/>
  <c r="DW434" i="9"/>
  <c r="DN273" i="9"/>
  <c r="CP362" i="9"/>
  <c r="DY618" i="9"/>
  <c r="DA206" i="9"/>
  <c r="DY389" i="9"/>
  <c r="DC24" i="9"/>
  <c r="DY41" i="9"/>
  <c r="DL107" i="9"/>
  <c r="DY739" i="9"/>
  <c r="DA29" i="9"/>
  <c r="DC201" i="9"/>
  <c r="DL143" i="9"/>
  <c r="DL186" i="9"/>
  <c r="DW291" i="9"/>
  <c r="DL118" i="9"/>
  <c r="CP470" i="9"/>
  <c r="DL267" i="9"/>
  <c r="DN190" i="9"/>
  <c r="DL132" i="9"/>
  <c r="DY458" i="9"/>
  <c r="CP224" i="9"/>
  <c r="DY92" i="9"/>
  <c r="DY138" i="9"/>
  <c r="DC68" i="9"/>
  <c r="DY313" i="9"/>
  <c r="DN37" i="9"/>
  <c r="DY481" i="9"/>
  <c r="CR128" i="9"/>
  <c r="DY631" i="9"/>
  <c r="CR108" i="9"/>
  <c r="CR574" i="9"/>
  <c r="CR407" i="9"/>
  <c r="EH128" i="9"/>
  <c r="DN71" i="9"/>
  <c r="DY701" i="9"/>
  <c r="CP569" i="9"/>
  <c r="DY469" i="9"/>
  <c r="DY342" i="9"/>
  <c r="CP210" i="9"/>
  <c r="CP413" i="9"/>
  <c r="CP450" i="9"/>
  <c r="DL111" i="9"/>
  <c r="CP42" i="9"/>
  <c r="DY517" i="9"/>
  <c r="DL182" i="9"/>
  <c r="DN43" i="9"/>
  <c r="DA44" i="9"/>
  <c r="CP603" i="9"/>
  <c r="CP209" i="9"/>
  <c r="CE332" i="9"/>
  <c r="DY685" i="9"/>
  <c r="EH109" i="9"/>
  <c r="CR528" i="9"/>
  <c r="CR316" i="9"/>
  <c r="CR294" i="9"/>
  <c r="BT233" i="9"/>
  <c r="CP432" i="9"/>
  <c r="DY242" i="9"/>
  <c r="CP168" i="9"/>
  <c r="EJ112" i="9"/>
  <c r="CE175" i="9"/>
  <c r="BT143" i="9"/>
  <c r="CR94" i="9"/>
  <c r="DC184" i="9"/>
  <c r="DW454" i="9"/>
  <c r="DY588" i="9"/>
  <c r="DY457" i="9"/>
  <c r="DY508" i="9"/>
  <c r="DW519" i="9"/>
  <c r="DL26" i="9"/>
  <c r="DA217" i="9"/>
  <c r="DN320" i="9"/>
  <c r="EJ57" i="9"/>
  <c r="DW74" i="9"/>
  <c r="EJ34" i="9"/>
  <c r="DC46" i="9"/>
  <c r="CR580" i="9"/>
  <c r="CP317" i="9"/>
  <c r="EJ95" i="9"/>
  <c r="CP333" i="9"/>
  <c r="DL102" i="9"/>
  <c r="CR195" i="9"/>
  <c r="DL54" i="9"/>
  <c r="DW255" i="9"/>
  <c r="DC38" i="9"/>
  <c r="DC206" i="9"/>
  <c r="CG152" i="9"/>
  <c r="DY547" i="9"/>
  <c r="DC144" i="9"/>
  <c r="CP167" i="9"/>
  <c r="DN205" i="9"/>
  <c r="EH117" i="9"/>
  <c r="DL252" i="9"/>
  <c r="DC120" i="9"/>
  <c r="DC138" i="9"/>
  <c r="DN143" i="9"/>
  <c r="DL330" i="9"/>
  <c r="EH157" i="9"/>
  <c r="DY225" i="9"/>
  <c r="DW263" i="9"/>
  <c r="DY584" i="9"/>
  <c r="DY253" i="9"/>
  <c r="DY87" i="9"/>
  <c r="DY146" i="9"/>
  <c r="CG63" i="9"/>
  <c r="CP37" i="9"/>
  <c r="CP448" i="9"/>
  <c r="DY136" i="9"/>
  <c r="DW235" i="9"/>
  <c r="DW155" i="9"/>
  <c r="DL116" i="9"/>
  <c r="DW41" i="9"/>
  <c r="DL101" i="9"/>
  <c r="DY696" i="9"/>
  <c r="DA102" i="9"/>
  <c r="CG328" i="9"/>
  <c r="DL253" i="9"/>
  <c r="S162" i="9"/>
  <c r="DW140" i="9"/>
  <c r="DA236" i="9"/>
  <c r="DW641" i="9"/>
  <c r="DY414" i="9"/>
  <c r="DY104" i="9"/>
  <c r="DN171" i="9"/>
  <c r="DY317" i="9"/>
  <c r="CP23" i="9"/>
  <c r="CP484" i="9"/>
  <c r="CP321" i="9"/>
  <c r="DY29" i="9"/>
  <c r="DW491" i="9"/>
  <c r="DY628" i="9"/>
  <c r="DN275" i="9"/>
  <c r="DN56" i="9"/>
  <c r="S214" i="9"/>
  <c r="DW736" i="9"/>
  <c r="DA43" i="9"/>
  <c r="DW243" i="9"/>
  <c r="CP548" i="9"/>
  <c r="DA179" i="9"/>
  <c r="DW310" i="9"/>
  <c r="DC167" i="9"/>
  <c r="DY437" i="9"/>
  <c r="DN144" i="9"/>
  <c r="EH124" i="9"/>
  <c r="DY116" i="9"/>
  <c r="CP130" i="9"/>
  <c r="CP109" i="9"/>
  <c r="DY490" i="9"/>
  <c r="DW719" i="9"/>
  <c r="DY127" i="9"/>
  <c r="DN119" i="9"/>
  <c r="DW652" i="9"/>
  <c r="DN219" i="9"/>
  <c r="DY128" i="9"/>
  <c r="DY727" i="9"/>
  <c r="CR458" i="9"/>
  <c r="CE120" i="9"/>
  <c r="EJ98" i="9"/>
  <c r="DN233" i="9"/>
  <c r="DC209" i="9"/>
  <c r="DN306" i="9"/>
  <c r="DC33" i="9"/>
  <c r="DW644" i="9"/>
  <c r="CP420" i="9"/>
  <c r="CR441" i="9"/>
  <c r="CE270" i="9"/>
  <c r="CP544" i="9"/>
  <c r="DY266" i="9"/>
  <c r="DN180" i="9"/>
  <c r="EH98" i="9"/>
  <c r="EH33" i="9"/>
  <c r="DY260" i="9"/>
  <c r="CP34" i="9"/>
  <c r="DY702" i="9"/>
  <c r="CR157" i="9"/>
  <c r="DY270" i="9"/>
  <c r="DY454" i="9"/>
  <c r="DC97" i="9"/>
  <c r="CE97" i="9"/>
  <c r="CG347" i="9"/>
  <c r="DN247" i="9"/>
  <c r="CP449" i="9"/>
  <c r="CE37" i="9"/>
  <c r="CP326" i="9"/>
  <c r="DC66" i="9"/>
  <c r="BT340" i="9"/>
  <c r="CG205" i="9"/>
  <c r="DY177" i="9"/>
  <c r="DW251" i="9"/>
  <c r="DC232" i="9"/>
  <c r="DL112" i="9"/>
  <c r="DY411" i="9"/>
  <c r="DA172" i="9"/>
  <c r="DN52" i="9"/>
  <c r="DL98" i="9"/>
  <c r="DY179" i="9"/>
  <c r="DL100" i="9"/>
  <c r="DY85" i="9"/>
  <c r="EH66" i="9"/>
  <c r="CE170" i="9"/>
  <c r="DC101" i="9"/>
  <c r="DY166" i="9"/>
  <c r="DL221" i="9"/>
  <c r="DN60" i="9"/>
  <c r="DA113" i="9"/>
  <c r="DY219" i="9"/>
  <c r="DL315" i="9"/>
  <c r="DC35" i="9"/>
  <c r="CR510" i="9"/>
  <c r="CP496" i="9"/>
  <c r="DW257" i="9"/>
  <c r="DW723" i="9"/>
  <c r="DY688" i="9"/>
  <c r="DA155" i="9"/>
  <c r="DW451" i="9"/>
  <c r="CR26" i="9"/>
  <c r="DC62" i="9"/>
  <c r="DL323" i="9"/>
  <c r="CP553" i="9"/>
  <c r="DA49" i="9"/>
  <c r="DW616" i="9"/>
  <c r="DL269" i="9"/>
  <c r="DN184" i="9"/>
  <c r="CP119" i="9"/>
  <c r="DY632" i="9"/>
  <c r="DY171" i="9"/>
  <c r="DN262" i="9"/>
  <c r="CP106" i="9"/>
  <c r="CR232" i="9"/>
  <c r="CR36" i="9"/>
  <c r="DW522" i="9"/>
  <c r="DN39" i="9"/>
  <c r="DW409" i="9"/>
  <c r="DY355" i="9"/>
  <c r="DN96" i="9"/>
  <c r="DW545" i="9"/>
  <c r="DY185" i="9"/>
  <c r="DW510" i="9"/>
  <c r="DL329" i="9"/>
  <c r="DA230" i="9"/>
  <c r="DN46" i="9"/>
  <c r="EJ33" i="9"/>
  <c r="DW166" i="9"/>
  <c r="DW38" i="9"/>
  <c r="CR379" i="9"/>
  <c r="DY645" i="9"/>
  <c r="DW185" i="9"/>
  <c r="DY121" i="9"/>
  <c r="CE312" i="9"/>
  <c r="CP359" i="9"/>
  <c r="S244" i="9"/>
  <c r="DY441" i="9"/>
  <c r="CP232" i="9"/>
  <c r="DL173" i="9"/>
  <c r="DW534" i="9"/>
  <c r="CR215" i="9"/>
  <c r="CP73" i="9"/>
  <c r="DN192" i="9"/>
  <c r="DA108" i="9"/>
  <c r="CP208" i="9"/>
  <c r="CE108" i="9"/>
  <c r="DN117" i="9"/>
  <c r="DW662" i="9"/>
  <c r="CR483" i="9"/>
  <c r="DL60" i="9"/>
  <c r="EH132" i="9"/>
  <c r="DY211" i="9"/>
  <c r="DY535" i="9"/>
  <c r="EH77" i="9"/>
  <c r="BV74" i="9"/>
  <c r="CR627" i="9"/>
  <c r="DC88" i="9"/>
  <c r="DL268" i="9"/>
  <c r="DA216" i="9"/>
  <c r="DY341" i="9"/>
  <c r="CR49" i="9"/>
  <c r="DL277" i="9"/>
  <c r="DW175" i="9"/>
  <c r="S147" i="9"/>
  <c r="DN277" i="9"/>
  <c r="CR310" i="9"/>
  <c r="CR318" i="9"/>
  <c r="DW656" i="9"/>
  <c r="CR129" i="9"/>
  <c r="DY707" i="9"/>
  <c r="EH64" i="9"/>
  <c r="DY69" i="9"/>
  <c r="S183" i="9"/>
  <c r="DW735" i="9"/>
  <c r="CP408" i="9"/>
  <c r="EJ71" i="9"/>
  <c r="DA32" i="9"/>
  <c r="DL308" i="9"/>
  <c r="EH86" i="9"/>
  <c r="DC59" i="9"/>
  <c r="DN24" i="9"/>
  <c r="DY703" i="9"/>
  <c r="CG294" i="9"/>
  <c r="CR136" i="9"/>
  <c r="CG243" i="9"/>
  <c r="BT128" i="9"/>
  <c r="DA68" i="9"/>
  <c r="DW373" i="9"/>
  <c r="EJ97" i="9"/>
  <c r="DY592" i="9"/>
  <c r="DY296" i="9"/>
  <c r="DW402" i="9"/>
  <c r="DY120" i="9"/>
  <c r="DW707" i="9"/>
  <c r="CP277" i="9"/>
  <c r="DN149" i="9"/>
  <c r="DN41" i="9"/>
  <c r="DW292" i="9"/>
  <c r="EH82" i="9"/>
  <c r="DN62" i="9"/>
  <c r="DY282" i="9"/>
  <c r="DW561" i="9"/>
  <c r="DY381" i="9"/>
  <c r="DN98" i="9"/>
  <c r="DY519" i="9"/>
  <c r="DY359" i="9"/>
  <c r="DY392" i="9"/>
  <c r="CP173" i="9"/>
  <c r="DN303" i="9"/>
  <c r="CE214" i="9"/>
  <c r="DY255" i="9"/>
  <c r="CR288" i="9"/>
  <c r="DN239" i="9"/>
  <c r="DW690" i="9"/>
  <c r="DW272" i="9"/>
  <c r="DW698" i="9"/>
  <c r="DC89" i="9"/>
  <c r="DC176" i="9"/>
  <c r="CG253" i="9"/>
  <c r="BV427" i="9"/>
  <c r="EJ156" i="9"/>
  <c r="DN328" i="9"/>
  <c r="CR105" i="9"/>
  <c r="DW714" i="9"/>
  <c r="DL48" i="9"/>
  <c r="DL123" i="9"/>
  <c r="DL307" i="9"/>
  <c r="CP527" i="9"/>
  <c r="EJ160" i="9"/>
  <c r="DA184" i="9"/>
  <c r="DL105" i="9"/>
  <c r="DA79" i="9"/>
  <c r="CP444" i="9"/>
  <c r="EJ75" i="9"/>
  <c r="DN218" i="9"/>
  <c r="S145" i="9"/>
  <c r="DL121" i="9"/>
  <c r="CP291" i="9"/>
  <c r="DL82" i="9"/>
  <c r="DA45" i="9"/>
  <c r="DL328" i="9"/>
  <c r="EH121" i="9"/>
  <c r="DY269" i="9"/>
  <c r="Q169" i="9"/>
  <c r="CP389" i="9"/>
  <c r="DL228" i="9"/>
  <c r="DW22" i="9"/>
  <c r="DW752" i="9"/>
  <c r="CR286" i="9"/>
  <c r="DA185" i="9"/>
  <c r="CR277" i="9"/>
  <c r="DY595" i="9"/>
  <c r="DY358" i="9"/>
  <c r="DW260" i="9"/>
  <c r="CP586" i="9"/>
  <c r="DC112" i="9"/>
  <c r="DN142" i="9"/>
  <c r="DC83" i="9"/>
  <c r="DW261" i="9"/>
  <c r="CP591" i="9"/>
  <c r="CP588" i="9"/>
  <c r="DW564" i="9"/>
  <c r="DW154" i="9"/>
  <c r="DC48" i="9"/>
  <c r="DL23" i="9"/>
  <c r="DL294" i="9"/>
  <c r="DY217" i="9"/>
  <c r="CR400" i="9"/>
  <c r="CG94" i="9"/>
  <c r="BV248" i="9"/>
  <c r="DW526" i="9"/>
  <c r="DC178" i="9"/>
  <c r="DW297" i="9"/>
  <c r="DY443" i="9"/>
  <c r="DW748" i="9"/>
  <c r="CP194" i="9"/>
  <c r="DN283" i="9"/>
  <c r="CR289" i="9"/>
  <c r="DA24" i="9"/>
  <c r="DY236" i="9"/>
  <c r="DY117" i="9"/>
  <c r="DY154" i="9"/>
  <c r="DC220" i="9"/>
  <c r="DA210" i="9"/>
  <c r="DY247" i="9"/>
  <c r="DW313" i="9"/>
  <c r="DW358" i="9"/>
  <c r="Q257" i="9"/>
  <c r="CR147" i="9"/>
  <c r="DY209" i="9"/>
  <c r="DN116" i="9"/>
  <c r="DL104" i="9"/>
  <c r="DY330" i="9"/>
  <c r="DN241" i="9"/>
  <c r="DY625" i="9"/>
  <c r="DA202" i="9"/>
  <c r="DW351" i="9"/>
  <c r="DY122" i="9"/>
  <c r="DA83" i="9"/>
  <c r="DY348" i="9"/>
  <c r="DC50" i="9"/>
  <c r="DY375" i="9"/>
  <c r="EJ154" i="9"/>
  <c r="DL285" i="9"/>
  <c r="DW717" i="9"/>
  <c r="Q146" i="9"/>
  <c r="CR212" i="9"/>
  <c r="CP205" i="9"/>
  <c r="DL314" i="9"/>
  <c r="CR87" i="9"/>
  <c r="CP445" i="9"/>
  <c r="CP602" i="9"/>
  <c r="DY590" i="9"/>
  <c r="CP90" i="9"/>
  <c r="CP536" i="9"/>
  <c r="DC72" i="9"/>
  <c r="DW669" i="9"/>
  <c r="DA193" i="9"/>
  <c r="DW663" i="9"/>
  <c r="DL47" i="9"/>
  <c r="CP604" i="9"/>
  <c r="DW388" i="9"/>
  <c r="DW643" i="9"/>
  <c r="DN67" i="9"/>
  <c r="CP399" i="9"/>
  <c r="DW57" i="9"/>
  <c r="DL302" i="9"/>
  <c r="CR410" i="9"/>
  <c r="DN45" i="9"/>
  <c r="DY412" i="9"/>
  <c r="DW67" i="9"/>
  <c r="DW502" i="9"/>
  <c r="CP79" i="9"/>
  <c r="CR336" i="9"/>
  <c r="DY37" i="9"/>
  <c r="DW688" i="9"/>
  <c r="DN34" i="9"/>
  <c r="DL30" i="9"/>
  <c r="DY23" i="9"/>
  <c r="DY34" i="9"/>
  <c r="DN245" i="9"/>
  <c r="DA41" i="9"/>
  <c r="DY629" i="9"/>
  <c r="DY148" i="9"/>
  <c r="CP582" i="9"/>
  <c r="CE64" i="9"/>
  <c r="CP159" i="9"/>
  <c r="CP597" i="9"/>
  <c r="EJ148" i="9"/>
  <c r="DY54" i="9"/>
  <c r="DN49" i="9"/>
  <c r="DN176" i="9"/>
  <c r="DW704" i="9"/>
  <c r="CR180" i="9"/>
  <c r="CP335" i="9"/>
  <c r="BV109" i="9"/>
  <c r="DC162" i="9"/>
  <c r="DA136" i="9"/>
  <c r="DC28" i="9"/>
  <c r="DY477" i="9"/>
  <c r="CG91" i="9"/>
  <c r="DL300" i="9"/>
  <c r="DL160" i="9"/>
  <c r="CP223" i="9"/>
  <c r="DN223" i="9"/>
  <c r="Q206" i="9"/>
  <c r="DW344" i="9"/>
  <c r="DY668" i="9"/>
  <c r="DL187" i="9"/>
  <c r="DL319" i="9"/>
  <c r="DN293" i="9"/>
  <c r="DW98" i="9"/>
  <c r="DL251" i="9"/>
  <c r="DN197" i="9"/>
  <c r="CE283" i="9"/>
  <c r="CG359" i="9"/>
  <c r="DY491" i="9"/>
  <c r="CP352" i="9"/>
  <c r="DL282" i="9"/>
  <c r="EH89" i="9"/>
  <c r="CR131" i="9"/>
  <c r="DL159" i="9"/>
  <c r="DA100" i="9"/>
  <c r="DY264" i="9"/>
  <c r="DA71" i="9"/>
  <c r="DY143" i="9"/>
  <c r="EH139" i="9"/>
  <c r="DW441" i="9"/>
  <c r="S205" i="9"/>
  <c r="DN209" i="9"/>
  <c r="EH135" i="9"/>
  <c r="EH133" i="9"/>
  <c r="CR291" i="9"/>
  <c r="CR270" i="9"/>
  <c r="DN252" i="9"/>
  <c r="DW406" i="9"/>
  <c r="DW635" i="9"/>
  <c r="DY110" i="9"/>
  <c r="DA54" i="9"/>
  <c r="CP615" i="9"/>
  <c r="DW230" i="9"/>
  <c r="CR361" i="9"/>
  <c r="DY489" i="9"/>
  <c r="CP103" i="9"/>
  <c r="DC222" i="9"/>
  <c r="DY420" i="9"/>
  <c r="CR102" i="9"/>
  <c r="CP325" i="9"/>
  <c r="DN114" i="9"/>
  <c r="DN309" i="9"/>
  <c r="CE47" i="9"/>
  <c r="Q153" i="9"/>
  <c r="BV211" i="9"/>
  <c r="CE52" i="9"/>
  <c r="CR44" i="9"/>
  <c r="DL64" i="9"/>
  <c r="CP110" i="9"/>
  <c r="CE185" i="9"/>
  <c r="DY198" i="9"/>
  <c r="CR259" i="9"/>
  <c r="DW504" i="9"/>
  <c r="DN148" i="9"/>
  <c r="DW503" i="9"/>
  <c r="DC90" i="9"/>
  <c r="DL288" i="9"/>
  <c r="DY168" i="9"/>
  <c r="DW547" i="9"/>
  <c r="DY332" i="9"/>
  <c r="DC121" i="9"/>
  <c r="CP33" i="9"/>
  <c r="EH115" i="9"/>
  <c r="DL301" i="9"/>
  <c r="CP88" i="9"/>
  <c r="DY190" i="9"/>
  <c r="DN202" i="9"/>
  <c r="DN244" i="9"/>
  <c r="DL281" i="9"/>
  <c r="DY555" i="9"/>
  <c r="DW192" i="9"/>
  <c r="DW565" i="9"/>
  <c r="CP435" i="9"/>
  <c r="CR545" i="9"/>
  <c r="DA87" i="9"/>
  <c r="DN61" i="9"/>
  <c r="DY546" i="9"/>
  <c r="EH45" i="9"/>
  <c r="DL151" i="9"/>
  <c r="EJ104" i="9"/>
  <c r="DA171" i="9"/>
  <c r="DY415" i="9"/>
  <c r="CG224" i="9"/>
  <c r="CP623" i="9"/>
  <c r="DY187" i="9"/>
  <c r="DW429" i="9"/>
  <c r="DN158" i="9"/>
  <c r="EH29" i="9"/>
  <c r="DN311" i="9"/>
  <c r="DY641" i="9"/>
  <c r="DW602" i="9"/>
  <c r="BV128" i="9"/>
  <c r="DN102" i="9"/>
  <c r="CG37" i="9"/>
  <c r="CP629" i="9"/>
  <c r="DW236" i="9"/>
  <c r="EJ27" i="9"/>
  <c r="DW691" i="9"/>
  <c r="DC219" i="9"/>
  <c r="CR72" i="9"/>
  <c r="DL149" i="9"/>
  <c r="DY733" i="9"/>
  <c r="DW197" i="9"/>
  <c r="CG69" i="9"/>
  <c r="CP284" i="9"/>
  <c r="DY666" i="9"/>
  <c r="EH116" i="9"/>
  <c r="DN270" i="9"/>
  <c r="DA176" i="9"/>
  <c r="EJ80" i="9"/>
  <c r="DY362" i="9"/>
  <c r="EJ130" i="9"/>
  <c r="CG114" i="9"/>
  <c r="S176" i="9"/>
  <c r="CR276" i="9"/>
  <c r="DN302" i="9"/>
  <c r="CR440" i="9"/>
  <c r="DY224" i="9"/>
  <c r="DL125" i="9"/>
  <c r="DL161" i="9"/>
  <c r="EH122" i="9"/>
  <c r="CP354" i="9"/>
  <c r="DW90" i="9"/>
  <c r="EH130" i="9"/>
  <c r="Q159" i="9"/>
  <c r="DY712" i="9"/>
  <c r="DY63" i="9"/>
  <c r="DL128" i="9"/>
  <c r="EJ133" i="9"/>
  <c r="DL243" i="9"/>
  <c r="DW410" i="9"/>
  <c r="DN79" i="9"/>
  <c r="DN321" i="9"/>
  <c r="Q176" i="9"/>
  <c r="S167" i="9"/>
  <c r="DN97" i="9"/>
  <c r="CE199" i="9"/>
  <c r="DN260" i="9"/>
  <c r="DN85" i="9"/>
  <c r="DL139" i="9"/>
  <c r="DL211" i="9"/>
  <c r="DA89" i="9"/>
  <c r="CP611" i="9"/>
  <c r="CR550" i="9"/>
  <c r="DY24" i="9"/>
  <c r="DN53" i="9"/>
  <c r="DC22" i="9"/>
  <c r="DL25" i="9"/>
  <c r="DL290" i="9"/>
  <c r="CP342" i="9"/>
  <c r="DN25" i="9"/>
  <c r="EH57" i="9"/>
  <c r="EJ149" i="9"/>
  <c r="DA47" i="9"/>
  <c r="DW624" i="9"/>
  <c r="DW606" i="9"/>
  <c r="DL84" i="9"/>
  <c r="EH70" i="9"/>
  <c r="DN198" i="9"/>
  <c r="DC202" i="9"/>
  <c r="DA231" i="9"/>
  <c r="DL27" i="9"/>
  <c r="DL37" i="9"/>
  <c r="CP169" i="9"/>
  <c r="DL222" i="9"/>
  <c r="BT248" i="9"/>
  <c r="CE236" i="9"/>
  <c r="CR203" i="9"/>
  <c r="DN285" i="9"/>
  <c r="CR348" i="9"/>
  <c r="CP393" i="9"/>
  <c r="CR65" i="9"/>
  <c r="CG357" i="9"/>
  <c r="CG148" i="9"/>
  <c r="EJ30" i="9"/>
  <c r="DC116" i="9"/>
  <c r="DW193" i="9"/>
  <c r="DW300" i="9"/>
  <c r="DY82" i="9"/>
  <c r="DW474" i="9"/>
  <c r="DY687" i="9"/>
  <c r="DL92" i="9"/>
  <c r="DW604" i="9"/>
  <c r="DY51" i="9"/>
  <c r="DA92" i="9"/>
  <c r="DC129" i="9"/>
  <c r="CR170" i="9"/>
  <c r="CP514" i="9"/>
  <c r="DN326" i="9"/>
  <c r="DL241" i="9"/>
  <c r="DY534" i="9"/>
  <c r="DW114" i="9"/>
  <c r="DW394" i="9"/>
  <c r="DA189" i="9"/>
  <c r="DN318" i="9"/>
  <c r="DY438" i="9"/>
  <c r="CR287" i="9"/>
  <c r="EH27" i="9"/>
  <c r="DY56" i="9"/>
  <c r="EJ78" i="9"/>
  <c r="CG234" i="9"/>
  <c r="DN305" i="9"/>
  <c r="DY192" i="9"/>
  <c r="DY714" i="9"/>
  <c r="DA59" i="9"/>
  <c r="BV22" i="9"/>
  <c r="DY274" i="9"/>
  <c r="DY630" i="9"/>
  <c r="DW321" i="9"/>
  <c r="DC171" i="9"/>
  <c r="DL114" i="9"/>
  <c r="DA143" i="9"/>
  <c r="DY254" i="9"/>
  <c r="DC124" i="9"/>
  <c r="CP404" i="9"/>
  <c r="CP310" i="9"/>
  <c r="CR230" i="9"/>
  <c r="DN167" i="9"/>
  <c r="DY502" i="9"/>
  <c r="CP285" i="9"/>
  <c r="EH51" i="9"/>
  <c r="DA248" i="9"/>
  <c r="DN29" i="9"/>
  <c r="DY105" i="9"/>
  <c r="CR412" i="9"/>
  <c r="S243" i="9"/>
  <c r="DC194" i="9"/>
  <c r="DY479" i="9"/>
  <c r="DW476" i="9"/>
  <c r="DA239" i="9"/>
  <c r="DW318" i="9"/>
  <c r="EJ131" i="9"/>
  <c r="DY679" i="9"/>
  <c r="EJ103" i="9"/>
  <c r="DY586" i="9"/>
  <c r="CR231" i="9"/>
  <c r="CP233" i="9"/>
  <c r="DY725" i="9"/>
  <c r="DN108" i="9"/>
  <c r="DL218" i="9"/>
  <c r="CR74" i="9"/>
  <c r="DY263" i="9"/>
  <c r="DL152" i="9"/>
  <c r="CP230" i="9"/>
  <c r="DW278" i="9"/>
  <c r="CP494" i="9"/>
  <c r="CE307" i="9"/>
  <c r="DY691" i="9"/>
  <c r="DY650" i="9"/>
  <c r="CR561" i="9"/>
  <c r="EJ142" i="9"/>
  <c r="DC180" i="9"/>
  <c r="DC25" i="9"/>
  <c r="DA120" i="9"/>
  <c r="DY582" i="9"/>
  <c r="DA122" i="9"/>
  <c r="CP461" i="9"/>
  <c r="DA119" i="9"/>
  <c r="DA168" i="9"/>
  <c r="DY346" i="9"/>
  <c r="CG122" i="9"/>
  <c r="DC231" i="9"/>
  <c r="CP585" i="9"/>
  <c r="EJ55" i="9"/>
  <c r="DL212" i="9"/>
  <c r="CP242" i="9"/>
  <c r="DY416" i="9"/>
  <c r="DY465" i="9"/>
  <c r="DN319" i="9"/>
  <c r="DN229" i="9"/>
  <c r="DY470" i="9"/>
  <c r="DN33" i="9"/>
  <c r="DA219" i="9"/>
  <c r="CP589" i="9"/>
  <c r="S157" i="9"/>
  <c r="DL51" i="9"/>
  <c r="DC45" i="9"/>
  <c r="DW396" i="9"/>
  <c r="DW334" i="9"/>
  <c r="EH48" i="9"/>
  <c r="EJ124" i="9"/>
  <c r="CR228" i="9"/>
  <c r="DY272" i="9"/>
  <c r="DL287" i="9"/>
  <c r="CG109" i="9"/>
  <c r="DY307" i="9"/>
  <c r="DY601" i="9"/>
  <c r="DW733" i="9"/>
  <c r="DW226" i="9"/>
  <c r="DW523" i="9"/>
  <c r="DW330" i="9"/>
  <c r="DY70" i="9"/>
  <c r="DW418" i="9"/>
  <c r="DN237" i="9"/>
  <c r="CP279" i="9"/>
  <c r="EH148" i="9"/>
  <c r="DC150" i="9"/>
  <c r="CP293" i="9"/>
  <c r="DL204" i="9"/>
  <c r="DY455" i="9"/>
  <c r="DW34" i="9"/>
  <c r="DN159" i="9"/>
  <c r="DC143" i="9"/>
  <c r="DW696" i="9"/>
  <c r="DA132" i="9"/>
  <c r="DW103" i="9"/>
  <c r="DY107" i="9"/>
  <c r="CP204" i="9"/>
  <c r="DY559" i="9"/>
  <c r="DL134" i="9"/>
  <c r="DY169" i="9"/>
  <c r="DY515" i="9"/>
  <c r="DY292" i="9"/>
  <c r="DW82" i="9"/>
  <c r="DL150" i="9"/>
  <c r="CG87" i="9"/>
  <c r="CP184" i="9"/>
  <c r="DW661" i="9"/>
  <c r="DN163" i="9"/>
  <c r="DL320" i="9"/>
  <c r="DC32" i="9"/>
  <c r="DW438" i="9"/>
  <c r="CR434" i="9"/>
  <c r="DY525" i="9"/>
  <c r="DW393" i="9"/>
  <c r="CE55" i="9"/>
  <c r="DN208" i="9"/>
  <c r="DN123" i="9"/>
  <c r="DC207" i="9"/>
  <c r="DW433" i="9"/>
  <c r="DN107" i="9"/>
  <c r="CR554" i="9"/>
  <c r="DL324" i="9"/>
  <c r="DW270" i="9"/>
  <c r="DW56" i="9"/>
  <c r="CG167" i="9"/>
  <c r="CP554" i="9"/>
  <c r="DL138" i="9"/>
  <c r="DW725" i="9"/>
  <c r="DC86" i="9"/>
  <c r="EJ59" i="9"/>
  <c r="DA106" i="9"/>
  <c r="EJ105" i="9"/>
  <c r="EH105" i="9"/>
  <c r="CP370" i="9"/>
  <c r="EJ42" i="9"/>
  <c r="CR78" i="9"/>
  <c r="DL196" i="9"/>
  <c r="EH152" i="9"/>
  <c r="DA27" i="9"/>
  <c r="EH153" i="9"/>
  <c r="DL271" i="9"/>
  <c r="DN113" i="9"/>
  <c r="DL266" i="9"/>
  <c r="DW198" i="9"/>
  <c r="DL42" i="9"/>
  <c r="EH91" i="9"/>
  <c r="CR261" i="9"/>
  <c r="DY561" i="9"/>
  <c r="DL85" i="9"/>
  <c r="DL236" i="9"/>
  <c r="DA37" i="9"/>
  <c r="DL69" i="9"/>
  <c r="DA96" i="9"/>
  <c r="DY694" i="9"/>
  <c r="DA240" i="9"/>
  <c r="DN269" i="9"/>
  <c r="DY294" i="9"/>
  <c r="DW713" i="9"/>
  <c r="EJ153" i="9"/>
  <c r="DL312" i="9"/>
  <c r="DN240" i="9"/>
  <c r="CP388" i="9"/>
  <c r="DY538" i="9"/>
  <c r="Q181" i="9"/>
  <c r="DL136" i="9"/>
  <c r="CR333" i="9"/>
  <c r="DL254" i="9"/>
  <c r="CR110" i="9"/>
  <c r="DA234" i="9"/>
  <c r="DY422" i="9"/>
  <c r="CP191" i="9"/>
  <c r="DW172" i="9"/>
  <c r="DW265" i="9"/>
  <c r="DN166" i="9"/>
  <c r="DL78" i="9"/>
  <c r="DW46" i="9"/>
  <c r="DW575" i="9"/>
  <c r="CR325" i="9"/>
  <c r="DN255" i="9"/>
  <c r="CP41" i="9"/>
  <c r="DY289" i="9"/>
  <c r="DY637" i="9"/>
  <c r="DW229" i="9"/>
  <c r="DN257" i="9"/>
  <c r="CP521" i="9"/>
  <c r="DA192" i="9"/>
  <c r="DA152" i="9"/>
  <c r="CE352" i="9"/>
  <c r="DC92" i="9"/>
  <c r="DW83" i="9"/>
  <c r="CR89" i="9"/>
  <c r="DL259" i="9"/>
  <c r="DW668" i="9"/>
  <c r="DW222" i="9"/>
  <c r="DY308" i="9"/>
  <c r="DY204" i="9"/>
  <c r="DW299" i="9"/>
  <c r="DW307" i="9"/>
  <c r="DW45" i="9"/>
  <c r="DL210" i="9"/>
  <c r="DL280" i="9"/>
  <c r="DC96" i="9"/>
  <c r="EH39" i="9"/>
  <c r="CP228" i="9"/>
  <c r="CG199" i="9"/>
  <c r="CR429" i="9"/>
  <c r="CR274" i="9"/>
  <c r="DY449" i="9"/>
  <c r="DN26" i="9"/>
  <c r="DC95" i="9"/>
  <c r="CP303" i="9"/>
  <c r="DY287" i="9"/>
  <c r="DC164" i="9"/>
  <c r="DY233" i="9"/>
  <c r="DA124" i="9"/>
  <c r="DY606" i="9"/>
  <c r="DA228" i="9"/>
  <c r="DC99" i="9"/>
  <c r="DW746" i="9"/>
  <c r="EH36" i="9"/>
  <c r="DY124" i="9"/>
  <c r="DA38" i="9"/>
  <c r="CR488" i="9"/>
  <c r="DY374" i="9"/>
  <c r="EJ45" i="9"/>
  <c r="CR82" i="9"/>
  <c r="DW333" i="9"/>
  <c r="EJ135" i="9"/>
  <c r="DL165" i="9"/>
  <c r="CP273" i="9"/>
  <c r="DL74" i="9"/>
  <c r="CP129" i="9"/>
  <c r="CR186" i="9"/>
  <c r="DL175" i="9"/>
  <c r="CP195" i="9"/>
  <c r="DY421" i="9"/>
  <c r="EH108" i="9"/>
  <c r="EH35" i="9"/>
  <c r="DN89" i="9"/>
  <c r="DY53" i="9"/>
  <c r="DN299" i="9"/>
  <c r="CP516" i="9"/>
  <c r="S190" i="9"/>
  <c r="CP387" i="9"/>
  <c r="DW718" i="9"/>
  <c r="DN308" i="9"/>
  <c r="CR559" i="9"/>
  <c r="DN28" i="9"/>
  <c r="DW385" i="9"/>
  <c r="DA58" i="9"/>
  <c r="DA30" i="9"/>
  <c r="CP164" i="9"/>
  <c r="DY91" i="9"/>
  <c r="CG229" i="9"/>
  <c r="DL284" i="9"/>
  <c r="DC82" i="9"/>
  <c r="DN103" i="9"/>
  <c r="DL166" i="9"/>
  <c r="DY339" i="9"/>
  <c r="DY333" i="9"/>
  <c r="DY475" i="9"/>
  <c r="DW290" i="9"/>
  <c r="CP417" i="9"/>
  <c r="DA175" i="9"/>
  <c r="DY86" i="9"/>
  <c r="DL89" i="9"/>
  <c r="EJ128" i="9"/>
  <c r="EH25" i="9"/>
  <c r="DY648" i="9"/>
  <c r="DW570" i="9"/>
  <c r="DL124" i="9"/>
  <c r="DN140" i="9"/>
  <c r="CE344" i="9"/>
  <c r="DL213" i="9"/>
  <c r="DN120" i="9"/>
  <c r="DW286" i="9"/>
  <c r="CR618" i="9"/>
  <c r="DW520" i="9"/>
  <c r="EJ85" i="9"/>
  <c r="DY512" i="9"/>
  <c r="DW664" i="9"/>
  <c r="CP395" i="9"/>
  <c r="BV247" i="9"/>
  <c r="DW24" i="9"/>
  <c r="DA227" i="9"/>
  <c r="CR207" i="9"/>
  <c r="DY322" i="9"/>
  <c r="DA173" i="9"/>
  <c r="CR331" i="9"/>
  <c r="DW478" i="9"/>
  <c r="DN135" i="9"/>
  <c r="CR214" i="9"/>
  <c r="DL258" i="9"/>
  <c r="DN75" i="9"/>
  <c r="EH34" i="9"/>
  <c r="DW637" i="9"/>
  <c r="DN132" i="9"/>
  <c r="DY570" i="9"/>
  <c r="DC117" i="9"/>
  <c r="DA148" i="9"/>
  <c r="DY646" i="9"/>
  <c r="Q254" i="9"/>
  <c r="EH125" i="9"/>
  <c r="DY60" i="9"/>
  <c r="DY602" i="9"/>
  <c r="DW485" i="9"/>
  <c r="DW275" i="9"/>
  <c r="DY709" i="9"/>
  <c r="DY643" i="9"/>
  <c r="DY672" i="9"/>
  <c r="DW756" i="9"/>
  <c r="DW27" i="9"/>
  <c r="EH42" i="9"/>
  <c r="DY567" i="9"/>
  <c r="DA170" i="9"/>
  <c r="CR77" i="9"/>
  <c r="DW712" i="9"/>
  <c r="DN204" i="9"/>
  <c r="EH144" i="9"/>
  <c r="DW93" i="9"/>
  <c r="DC135" i="9"/>
  <c r="DC65" i="9"/>
  <c r="DC236" i="9"/>
  <c r="DC70" i="9"/>
  <c r="CG252" i="9"/>
  <c r="DW276" i="9"/>
  <c r="DN162" i="9"/>
  <c r="DN225" i="9"/>
  <c r="DN51" i="9"/>
  <c r="DW466" i="9"/>
  <c r="DY372" i="9"/>
  <c r="DA211" i="9"/>
  <c r="DA178" i="9"/>
  <c r="DA208" i="9"/>
  <c r="CP557" i="9"/>
  <c r="DY404" i="9"/>
  <c r="DW384" i="9"/>
  <c r="DN91" i="9"/>
  <c r="DY95" i="9"/>
  <c r="DA82" i="9"/>
  <c r="EJ115" i="9"/>
  <c r="DC229" i="9"/>
  <c r="CR527" i="9"/>
  <c r="DY388" i="9"/>
  <c r="CR503" i="9"/>
  <c r="CP587" i="9"/>
  <c r="DW137" i="9"/>
  <c r="DC61" i="9"/>
  <c r="DN175" i="9"/>
  <c r="DC23" i="9"/>
  <c r="DW673" i="9"/>
  <c r="DC198" i="9"/>
  <c r="CR234" i="9"/>
  <c r="CP259" i="9"/>
  <c r="Q240" i="9"/>
  <c r="DC54" i="9"/>
  <c r="DL310" i="9"/>
  <c r="DA61" i="9"/>
  <c r="DL140" i="9"/>
  <c r="DY757" i="9"/>
  <c r="DY329" i="9"/>
  <c r="DC87" i="9"/>
  <c r="CR557" i="9"/>
  <c r="DA88" i="9"/>
  <c r="BT141" i="9"/>
  <c r="Q164" i="9"/>
  <c r="DY144" i="9"/>
  <c r="CP475" i="9"/>
  <c r="DW37" i="9"/>
  <c r="DN310" i="9"/>
  <c r="DN118" i="9"/>
  <c r="DW380" i="9"/>
  <c r="CP482" i="9"/>
  <c r="DN73" i="9"/>
  <c r="BT75" i="9"/>
  <c r="CG288" i="9"/>
  <c r="DY721" i="9"/>
  <c r="DL225" i="9"/>
  <c r="DC190" i="9"/>
  <c r="DY123" i="9"/>
  <c r="DL230" i="9"/>
  <c r="CR530" i="9"/>
  <c r="EH80" i="9"/>
  <c r="EJ64" i="9"/>
  <c r="CR345" i="9"/>
  <c r="CR363" i="9"/>
  <c r="DN234" i="9"/>
  <c r="DW739" i="9"/>
  <c r="DN212" i="9"/>
  <c r="CP355" i="9"/>
  <c r="DY199" i="9"/>
  <c r="DW528" i="9"/>
  <c r="DW741" i="9"/>
  <c r="DN271" i="9"/>
  <c r="CR446" i="9"/>
  <c r="DY523" i="9"/>
  <c r="DL194" i="9"/>
  <c r="DW304" i="9"/>
  <c r="CR254" i="9"/>
  <c r="DY167" i="9"/>
  <c r="DY62" i="9"/>
  <c r="DA186" i="9"/>
  <c r="DC205" i="9"/>
  <c r="S184" i="9"/>
  <c r="DW452" i="9"/>
  <c r="DN168" i="9"/>
  <c r="DL130" i="9"/>
  <c r="DA145" i="9"/>
  <c r="DY640" i="9"/>
  <c r="DY576" i="9"/>
  <c r="CR396" i="9"/>
  <c r="DA85" i="9"/>
  <c r="DW469" i="9"/>
  <c r="EH53" i="9"/>
  <c r="DN282" i="9"/>
  <c r="DW417" i="9"/>
  <c r="DN59" i="9"/>
  <c r="CR58" i="9"/>
  <c r="BV328" i="9"/>
  <c r="CR148" i="9"/>
  <c r="CE169" i="9"/>
  <c r="BI179" i="9"/>
  <c r="CP59" i="9"/>
  <c r="DA76" i="9"/>
  <c r="DW603" i="9"/>
  <c r="CR357" i="9"/>
  <c r="CG342" i="9"/>
  <c r="DA214" i="9"/>
  <c r="DL273" i="9"/>
  <c r="CE115" i="9"/>
  <c r="CP605" i="9"/>
  <c r="DW489" i="9"/>
  <c r="BT59" i="9"/>
  <c r="CR525" i="9"/>
  <c r="CR239" i="9"/>
  <c r="CP66" i="9"/>
  <c r="DA104" i="9"/>
  <c r="DY379" i="9"/>
  <c r="BT377" i="9"/>
  <c r="BI24" i="9"/>
  <c r="BV351" i="9"/>
  <c r="EJ28" i="9"/>
  <c r="CP137" i="9"/>
  <c r="CR40" i="9"/>
  <c r="CR245" i="9"/>
  <c r="DC147" i="9"/>
  <c r="BV275" i="9"/>
  <c r="BV221" i="9"/>
  <c r="BT246" i="9"/>
  <c r="DN147" i="9"/>
  <c r="CP328" i="9"/>
  <c r="CR179" i="9"/>
  <c r="CP459" i="9"/>
  <c r="CR398" i="9"/>
  <c r="CR117" i="9"/>
  <c r="CE44" i="9"/>
  <c r="CG115" i="9"/>
  <c r="CG284" i="9"/>
  <c r="CP190" i="9"/>
  <c r="DY280" i="9"/>
  <c r="CR509" i="9"/>
  <c r="DL29" i="9"/>
  <c r="DL88" i="9"/>
  <c r="DL322" i="9"/>
  <c r="CP247" i="9"/>
  <c r="CR507" i="9"/>
  <c r="BT127" i="9"/>
  <c r="DN164" i="9"/>
  <c r="CR25" i="9"/>
  <c r="DN228" i="9"/>
  <c r="CP316" i="9"/>
  <c r="CP495" i="9"/>
  <c r="CP258" i="9"/>
  <c r="CR482" i="9"/>
  <c r="CR609" i="9"/>
  <c r="CR164" i="9"/>
  <c r="F582" i="9"/>
  <c r="DC77" i="9"/>
  <c r="S198" i="9"/>
  <c r="DW514" i="9"/>
  <c r="CP304" i="9"/>
  <c r="CE282" i="9"/>
  <c r="DN259" i="9"/>
  <c r="BV76" i="9"/>
  <c r="CP473" i="9"/>
  <c r="CP411" i="9"/>
  <c r="CR466" i="9"/>
  <c r="DN83" i="9"/>
  <c r="CR253" i="9"/>
  <c r="CR372" i="9"/>
  <c r="DA129" i="9"/>
  <c r="DN289" i="9"/>
  <c r="DL234" i="9"/>
  <c r="S204" i="9"/>
  <c r="CR358" i="9"/>
  <c r="CG42" i="9"/>
  <c r="BT130" i="9"/>
  <c r="BT110" i="9"/>
  <c r="CR568" i="9"/>
  <c r="DL217" i="9"/>
  <c r="CG290" i="9"/>
  <c r="EH38" i="9"/>
  <c r="DW94" i="9"/>
  <c r="CP87" i="9"/>
  <c r="DN139" i="9"/>
  <c r="CR382" i="9"/>
  <c r="CG311" i="9"/>
  <c r="BV40" i="9"/>
  <c r="CP185" i="9"/>
  <c r="DN40" i="9"/>
  <c r="DL62" i="9"/>
  <c r="BV320" i="9"/>
  <c r="CR427" i="9"/>
  <c r="BI180" i="9"/>
  <c r="S166" i="9"/>
  <c r="CP201" i="9"/>
  <c r="CG50" i="9"/>
  <c r="CE348" i="9"/>
  <c r="CR575" i="9"/>
  <c r="CP479" i="9"/>
  <c r="DN76" i="9"/>
  <c r="CE370" i="9"/>
  <c r="BV364" i="9"/>
  <c r="DY556" i="9"/>
  <c r="DW79" i="9"/>
  <c r="DC204" i="9"/>
  <c r="CP368" i="9"/>
  <c r="DC55" i="9"/>
  <c r="DL99" i="9"/>
  <c r="DW126" i="9"/>
  <c r="DA181" i="9"/>
  <c r="DY678" i="9"/>
  <c r="DY621" i="9"/>
  <c r="CP165" i="9"/>
  <c r="DW252" i="9"/>
  <c r="CR426" i="9"/>
  <c r="CR151" i="9"/>
  <c r="CR69" i="9"/>
  <c r="CR485" i="9"/>
  <c r="CG146" i="9"/>
  <c r="DW237" i="9"/>
  <c r="AX62" i="9"/>
  <c r="CP424" i="9"/>
  <c r="DN207" i="9"/>
  <c r="BT42" i="9"/>
  <c r="CG25" i="9"/>
  <c r="CP98" i="9"/>
  <c r="CP202" i="9"/>
  <c r="CR374" i="9"/>
  <c r="CP51" i="9"/>
  <c r="CP375" i="9"/>
  <c r="Q235" i="9"/>
  <c r="BT134" i="9"/>
  <c r="DL316" i="9"/>
  <c r="CR591" i="9"/>
  <c r="DN296" i="9"/>
  <c r="DW305" i="9"/>
  <c r="DN94" i="9"/>
  <c r="DA51" i="9"/>
  <c r="BI176" i="9"/>
  <c r="CP30" i="9"/>
  <c r="CR356" i="9"/>
  <c r="DY627" i="9"/>
  <c r="CP296" i="9"/>
  <c r="CR491" i="9"/>
  <c r="CE338" i="9"/>
  <c r="BK154" i="9"/>
  <c r="DA110" i="9"/>
  <c r="EH90" i="9"/>
  <c r="DC137" i="9"/>
  <c r="CP532" i="9"/>
  <c r="CR223" i="9"/>
  <c r="CR601" i="9"/>
  <c r="DW614" i="9"/>
  <c r="CR335" i="9"/>
  <c r="AM326" i="9"/>
  <c r="CE259" i="9"/>
  <c r="CP499" i="9"/>
  <c r="DL278" i="9"/>
  <c r="CR268" i="9"/>
  <c r="BT105" i="9"/>
  <c r="DY633" i="9"/>
  <c r="CR313" i="9"/>
  <c r="DC235" i="9"/>
  <c r="DA149" i="9"/>
  <c r="BI88" i="9"/>
  <c r="DY125" i="9"/>
  <c r="DY44" i="9"/>
  <c r="CP76" i="9"/>
  <c r="BV178" i="9"/>
  <c r="Q238" i="9"/>
  <c r="BT213" i="9"/>
  <c r="BT384" i="9"/>
  <c r="DN80" i="9"/>
  <c r="CR292" i="9"/>
  <c r="CP70" i="9"/>
  <c r="EH54" i="9"/>
  <c r="CP456" i="9"/>
  <c r="CR76" i="9"/>
  <c r="CP406" i="9"/>
  <c r="DL332" i="9"/>
  <c r="CP239" i="9"/>
  <c r="DY248" i="9"/>
  <c r="DW721" i="9"/>
  <c r="CR384" i="9"/>
  <c r="CE297" i="9"/>
  <c r="DY58" i="9"/>
  <c r="CP275" i="9"/>
  <c r="CP193" i="9"/>
  <c r="CP200" i="9"/>
  <c r="BV414" i="9"/>
  <c r="Q255" i="9"/>
  <c r="DN92" i="9"/>
  <c r="CE375" i="9"/>
  <c r="CE215" i="9"/>
  <c r="CG64" i="9"/>
  <c r="EH95" i="9"/>
  <c r="CP207" i="9"/>
  <c r="CR497" i="9"/>
  <c r="DC170" i="9"/>
  <c r="CG65" i="9"/>
  <c r="CP112" i="9"/>
  <c r="DY509" i="9"/>
  <c r="DL189" i="9"/>
  <c r="CR464" i="9"/>
  <c r="BT352" i="9"/>
  <c r="BT23" i="9"/>
  <c r="DN193" i="9"/>
  <c r="CR48" i="9"/>
  <c r="CR163" i="9"/>
  <c r="CR494" i="9"/>
  <c r="BT357" i="9"/>
  <c r="DC109" i="9"/>
  <c r="BT211" i="9"/>
  <c r="BK159" i="9"/>
  <c r="CG360" i="9"/>
  <c r="CR54" i="9"/>
  <c r="CP186" i="9"/>
  <c r="CP93" i="9"/>
  <c r="CP25" i="9"/>
  <c r="CP260" i="9"/>
  <c r="CE33" i="9"/>
  <c r="CR100" i="9"/>
  <c r="DN323" i="9"/>
  <c r="CR514" i="9"/>
  <c r="CE57" i="9"/>
  <c r="BV61" i="9"/>
  <c r="CP312" i="9"/>
  <c r="CP299" i="9"/>
  <c r="DA78" i="9"/>
  <c r="DL147" i="9"/>
  <c r="DY350" i="9"/>
  <c r="DW279" i="9"/>
  <c r="DW28" i="9"/>
  <c r="S224" i="9"/>
  <c r="CG367" i="9"/>
  <c r="CR196" i="9"/>
  <c r="DY467" i="9"/>
  <c r="DN199" i="9"/>
  <c r="DW77" i="9"/>
  <c r="DC113" i="9"/>
  <c r="DC159" i="9"/>
  <c r="EH50" i="9"/>
  <c r="CR452" i="9"/>
  <c r="CR350" i="9"/>
  <c r="CE261" i="9"/>
  <c r="CP26" i="9"/>
  <c r="DY453" i="9"/>
  <c r="CR175" i="9"/>
  <c r="CP517" i="9"/>
  <c r="S233" i="9"/>
  <c r="CP487" i="9"/>
  <c r="CR173" i="9"/>
  <c r="CR597" i="9"/>
  <c r="CP53" i="9"/>
  <c r="BT393" i="9"/>
  <c r="DW190" i="9"/>
  <c r="CR504" i="9"/>
  <c r="CR320" i="9"/>
  <c r="CG118" i="9"/>
  <c r="CR342" i="9"/>
  <c r="CE207" i="9"/>
  <c r="DC149" i="9"/>
  <c r="DL117" i="9"/>
  <c r="S246" i="9"/>
  <c r="CP416" i="9"/>
  <c r="CR306" i="9"/>
  <c r="BT95" i="9"/>
  <c r="BV265" i="9"/>
  <c r="EH112" i="9"/>
  <c r="DA121" i="9"/>
  <c r="CG134" i="9"/>
  <c r="BV82" i="9"/>
  <c r="DA36" i="9"/>
  <c r="CP343" i="9"/>
  <c r="CP267" i="9"/>
  <c r="BV447" i="9"/>
  <c r="DL169" i="9"/>
  <c r="CP96" i="9"/>
  <c r="CP571" i="9"/>
  <c r="CR465" i="9"/>
  <c r="DL226" i="9"/>
  <c r="AO340" i="9"/>
  <c r="DA139" i="9"/>
  <c r="DY232" i="9"/>
  <c r="CG32" i="9"/>
  <c r="CR402" i="9"/>
  <c r="DL72" i="9"/>
  <c r="EJ61" i="9"/>
  <c r="CE246" i="9"/>
  <c r="CR385" i="9"/>
  <c r="CG80" i="9"/>
  <c r="CG157" i="9"/>
  <c r="EH131" i="9"/>
  <c r="DN125" i="9"/>
  <c r="Q156" i="9"/>
  <c r="DL148" i="9"/>
  <c r="CR181" i="9"/>
  <c r="CE105" i="9"/>
  <c r="DL246" i="9"/>
  <c r="CP105" i="9"/>
  <c r="CP128" i="9"/>
  <c r="BT364" i="9"/>
  <c r="CP576" i="9"/>
  <c r="DY132" i="9"/>
  <c r="CR99" i="9"/>
  <c r="CG230" i="9"/>
  <c r="S163" i="9"/>
  <c r="CP196" i="9"/>
  <c r="DW184" i="9"/>
  <c r="BT371" i="9"/>
  <c r="CR217" i="9"/>
  <c r="BK120" i="9"/>
  <c r="DC239" i="9"/>
  <c r="CP391" i="9"/>
  <c r="CP552" i="9"/>
  <c r="CP350" i="9"/>
  <c r="CR332" i="9"/>
  <c r="CP94" i="9"/>
  <c r="CR529" i="9"/>
  <c r="DA57" i="9"/>
  <c r="Q224" i="9"/>
  <c r="AZ59" i="9"/>
  <c r="CR300" i="9"/>
  <c r="CR501" i="9"/>
  <c r="CE335" i="9"/>
  <c r="CR56" i="9"/>
  <c r="DA222" i="9"/>
  <c r="BT133" i="9"/>
  <c r="DA95" i="9"/>
  <c r="DC242" i="9"/>
  <c r="CR146" i="9"/>
  <c r="CP580" i="9"/>
  <c r="CR560" i="9"/>
  <c r="CP187" i="9"/>
  <c r="DA191" i="9"/>
  <c r="CP616" i="9"/>
  <c r="CR576" i="9"/>
  <c r="BV25" i="9"/>
  <c r="CP329" i="9"/>
  <c r="BV244" i="9"/>
  <c r="CE179" i="9"/>
  <c r="BT434" i="9"/>
  <c r="DN195" i="9"/>
  <c r="AX29" i="9"/>
  <c r="S201" i="9"/>
  <c r="BV383" i="9"/>
  <c r="CR521" i="9"/>
  <c r="S229" i="9"/>
  <c r="CG248" i="9"/>
  <c r="DN126" i="9"/>
  <c r="CR150" i="9"/>
  <c r="EH31" i="9"/>
  <c r="DY239" i="9"/>
  <c r="CE324" i="9"/>
  <c r="DW625" i="9"/>
  <c r="DL333" i="9"/>
  <c r="DY368" i="9"/>
  <c r="DW376" i="9"/>
  <c r="DL109" i="9"/>
  <c r="BT380" i="9"/>
  <c r="CP43" i="9"/>
  <c r="DN174" i="9"/>
  <c r="CP390" i="9"/>
  <c r="CR424" i="9"/>
  <c r="CP163" i="9"/>
  <c r="CG127" i="9"/>
  <c r="DL256" i="9"/>
  <c r="BT67" i="9"/>
  <c r="S257" i="9"/>
  <c r="DC214" i="9"/>
  <c r="DW558" i="9"/>
  <c r="CG209" i="9"/>
  <c r="CE254" i="9"/>
  <c r="DA62" i="9"/>
  <c r="DL144" i="9"/>
  <c r="DY193" i="9"/>
  <c r="CP457" i="9"/>
  <c r="DC195" i="9"/>
  <c r="CP221" i="9"/>
  <c r="DL291" i="9"/>
  <c r="DN284" i="9"/>
  <c r="CP151" i="9"/>
  <c r="DC118" i="9"/>
  <c r="CE350" i="9"/>
  <c r="CR191" i="9"/>
  <c r="BT139" i="9"/>
  <c r="Q163" i="9"/>
  <c r="EH141" i="9"/>
  <c r="DN22" i="9"/>
  <c r="Q151" i="9"/>
  <c r="BT300" i="9"/>
  <c r="CE93" i="9"/>
  <c r="DL303" i="9"/>
  <c r="DL235" i="9"/>
  <c r="CP421" i="9"/>
  <c r="EH145" i="9"/>
  <c r="DL67" i="9"/>
  <c r="Q185" i="9"/>
  <c r="EH58" i="9"/>
  <c r="DC145" i="9"/>
  <c r="DA55" i="9"/>
  <c r="CG298" i="9"/>
  <c r="CR111" i="9"/>
  <c r="CP122" i="9"/>
  <c r="CR408" i="9"/>
  <c r="CP75" i="9"/>
  <c r="CP175" i="9"/>
  <c r="CP360" i="9"/>
  <c r="EH28" i="9"/>
  <c r="CP365" i="9"/>
  <c r="CE92" i="9"/>
  <c r="CR586" i="9"/>
  <c r="DL61" i="9"/>
  <c r="DA116" i="9"/>
  <c r="EH151" i="9"/>
  <c r="CR247" i="9"/>
  <c r="Q199" i="9"/>
  <c r="Q236" i="9"/>
  <c r="DA56" i="9"/>
  <c r="DN93" i="9"/>
  <c r="CG105" i="9"/>
  <c r="EH73" i="9"/>
  <c r="CR334" i="9"/>
  <c r="CR625" i="9"/>
  <c r="CE104" i="9"/>
  <c r="DA91" i="9"/>
  <c r="CP36" i="9"/>
  <c r="CE295" i="9"/>
  <c r="DN154" i="9"/>
  <c r="CE67" i="9"/>
  <c r="BV252" i="9"/>
  <c r="BK27" i="9"/>
  <c r="CG193" i="9"/>
  <c r="DA23" i="9"/>
  <c r="CP345" i="9"/>
  <c r="CR344" i="9"/>
  <c r="CG236" i="9"/>
  <c r="DL219" i="9"/>
  <c r="CP134" i="9"/>
  <c r="DY749" i="9"/>
  <c r="CG170" i="9"/>
  <c r="BT232" i="9"/>
  <c r="EJ125" i="9"/>
  <c r="CP135" i="9"/>
  <c r="CP225" i="9"/>
  <c r="CG320" i="9"/>
  <c r="CR125" i="9"/>
  <c r="CP609" i="9"/>
  <c r="DL142" i="9"/>
  <c r="CP24" i="9"/>
  <c r="CR490" i="9"/>
  <c r="CP490" i="9"/>
  <c r="AO367" i="9"/>
  <c r="CP347" i="9"/>
  <c r="CP270" i="9"/>
  <c r="CE322" i="9"/>
  <c r="CP183" i="9"/>
  <c r="Q202" i="9"/>
  <c r="Q148" i="9"/>
  <c r="DC191" i="9"/>
  <c r="CP38" i="9"/>
  <c r="EJ36" i="9"/>
  <c r="CR55" i="9"/>
  <c r="DC103" i="9"/>
  <c r="DY558" i="9"/>
  <c r="DW363" i="9"/>
  <c r="DY713" i="9"/>
  <c r="CR53" i="9"/>
  <c r="DC31" i="9"/>
  <c r="CR299" i="9"/>
  <c r="CE235" i="9"/>
  <c r="CR577" i="9"/>
  <c r="DA167" i="9"/>
  <c r="DY433" i="9"/>
  <c r="DL145" i="9"/>
  <c r="BV361" i="9"/>
  <c r="DC172" i="9"/>
  <c r="CP433" i="9"/>
  <c r="EH71" i="9"/>
  <c r="S242" i="9"/>
  <c r="Q152" i="9"/>
  <c r="CR183" i="9"/>
  <c r="DW632" i="9"/>
  <c r="DN206" i="9"/>
  <c r="CR322" i="9"/>
  <c r="CG242" i="9"/>
  <c r="S154" i="9"/>
  <c r="Q145" i="9"/>
  <c r="CR71" i="9"/>
  <c r="DC74" i="9"/>
  <c r="CR305" i="9"/>
  <c r="CR167" i="9"/>
  <c r="DY178" i="9"/>
  <c r="CG29" i="9"/>
  <c r="DW53" i="9"/>
  <c r="CR137" i="9"/>
  <c r="CR109" i="9"/>
  <c r="EH147" i="9"/>
  <c r="CE132" i="9"/>
  <c r="CR38" i="9"/>
  <c r="BT301" i="9"/>
  <c r="CR406" i="9"/>
  <c r="DN281" i="9"/>
  <c r="DW142" i="9"/>
  <c r="CR519" i="9"/>
  <c r="CR177" i="9"/>
  <c r="DW180" i="9"/>
  <c r="CP480" i="9"/>
  <c r="DY738" i="9"/>
  <c r="AZ76" i="9"/>
  <c r="EH119" i="9"/>
  <c r="CG315" i="9"/>
  <c r="DL321" i="9"/>
  <c r="CR605" i="9"/>
  <c r="BV169" i="9"/>
  <c r="DY715" i="9"/>
  <c r="EJ82" i="9"/>
  <c r="DW247" i="9"/>
  <c r="EJ89" i="9"/>
  <c r="DA65" i="9"/>
  <c r="DC80" i="9"/>
  <c r="CG104" i="9"/>
  <c r="DA144" i="9"/>
  <c r="CR411" i="9"/>
  <c r="CP58" i="9"/>
  <c r="CP294" i="9"/>
  <c r="CP241" i="9"/>
  <c r="S195" i="9"/>
  <c r="DN64" i="9"/>
  <c r="CR469" i="9"/>
  <c r="DL129" i="9"/>
  <c r="DY344" i="9"/>
  <c r="CP483" i="9"/>
  <c r="CR343" i="9"/>
  <c r="DC42" i="9"/>
  <c r="CR22" i="9"/>
  <c r="DA188" i="9"/>
  <c r="CP172" i="9"/>
  <c r="CP418" i="9"/>
  <c r="DC44" i="9"/>
  <c r="BV319" i="9"/>
  <c r="BT100" i="9"/>
  <c r="CR338" i="9"/>
  <c r="CP133" i="9"/>
  <c r="CP227" i="9"/>
  <c r="CR185" i="9"/>
  <c r="CP617" i="9"/>
  <c r="CP222" i="9"/>
  <c r="CP295" i="9"/>
  <c r="DL199" i="9"/>
  <c r="BT275" i="9"/>
  <c r="CG66" i="9"/>
  <c r="Q221" i="9"/>
  <c r="CR298" i="9"/>
  <c r="CP302" i="9"/>
  <c r="EH149" i="9"/>
  <c r="CP632" i="9"/>
  <c r="CP575" i="9"/>
  <c r="CG369" i="9"/>
  <c r="CP314" i="9"/>
  <c r="CR447" i="9"/>
  <c r="BT31" i="9"/>
  <c r="DY244" i="9"/>
  <c r="DA161" i="9"/>
  <c r="CP330" i="9"/>
  <c r="CP440" i="9"/>
  <c r="CG285" i="9"/>
  <c r="BV130" i="9"/>
  <c r="CP145" i="9"/>
  <c r="CE294" i="9"/>
  <c r="BT121" i="9"/>
  <c r="CE253" i="9"/>
  <c r="BK234" i="9"/>
  <c r="BT319" i="9"/>
  <c r="DA146" i="9"/>
  <c r="DC81" i="9"/>
  <c r="CE117" i="9"/>
  <c r="AO338" i="9"/>
  <c r="CR139" i="9"/>
  <c r="BV373" i="9"/>
  <c r="DY265" i="9"/>
  <c r="DC98" i="9"/>
  <c r="CP263" i="9"/>
  <c r="CE183" i="9"/>
  <c r="DW342" i="9"/>
  <c r="CR256" i="9"/>
  <c r="DC163" i="9"/>
  <c r="DL215" i="9"/>
  <c r="DC179" i="9"/>
  <c r="DL115" i="9"/>
  <c r="EJ120" i="9"/>
  <c r="CR620" i="9"/>
  <c r="CE78" i="9"/>
  <c r="CG90" i="9"/>
  <c r="DC248" i="9"/>
  <c r="DN187" i="9"/>
  <c r="CG77" i="9"/>
  <c r="Q174" i="9"/>
  <c r="CG130" i="9"/>
  <c r="CR502" i="9"/>
  <c r="CP216" i="9"/>
  <c r="DA126" i="9"/>
  <c r="DL22" i="9"/>
  <c r="CP607" i="9"/>
  <c r="DC153" i="9"/>
  <c r="DN152" i="9"/>
  <c r="DN183" i="9"/>
  <c r="DL76" i="9"/>
  <c r="CP533" i="9"/>
  <c r="CR285" i="9"/>
  <c r="DW117" i="9"/>
  <c r="CR51" i="9"/>
  <c r="DA220" i="9"/>
  <c r="S164" i="9"/>
  <c r="CR188" i="9"/>
  <c r="CP344" i="9"/>
  <c r="CR604" i="9"/>
  <c r="DN155" i="9"/>
  <c r="CP40" i="9"/>
  <c r="CP340" i="9"/>
  <c r="S256" i="9"/>
  <c r="DC53" i="9"/>
  <c r="S172" i="9"/>
  <c r="DL53" i="9"/>
  <c r="CR462" i="9"/>
  <c r="CR547" i="9"/>
  <c r="Q158" i="9"/>
  <c r="CP268" i="9"/>
  <c r="EJ157" i="9"/>
  <c r="CR392" i="9"/>
  <c r="CR107" i="9"/>
  <c r="CR393" i="9"/>
  <c r="CP171" i="9"/>
  <c r="DY673" i="9"/>
  <c r="CR570" i="9"/>
  <c r="CP594" i="9"/>
  <c r="DC75" i="9"/>
  <c r="CR260" i="9"/>
  <c r="DY366" i="9"/>
  <c r="DL137" i="9"/>
  <c r="CE202" i="9"/>
  <c r="CR433" i="9"/>
  <c r="CR47" i="9"/>
  <c r="EJ126" i="9"/>
  <c r="CP598" i="9"/>
  <c r="CG256" i="9"/>
  <c r="CP478" i="9"/>
  <c r="CP29" i="9"/>
  <c r="DW560" i="9"/>
  <c r="CR611" i="9"/>
  <c r="CP622" i="9"/>
  <c r="DW445" i="9"/>
  <c r="CP437" i="9"/>
  <c r="EJ81" i="9"/>
  <c r="CR589" i="9"/>
  <c r="CP197" i="9"/>
  <c r="CG240" i="9"/>
  <c r="DA97" i="9"/>
  <c r="DW362" i="9"/>
  <c r="S219" i="9"/>
  <c r="CR250" i="9"/>
  <c r="BT399" i="9"/>
  <c r="CG318" i="9"/>
  <c r="CR144" i="9"/>
  <c r="DA81" i="9"/>
  <c r="Q172" i="9"/>
  <c r="CR421" i="9"/>
  <c r="CR511" i="9"/>
  <c r="DA200" i="9"/>
  <c r="DY723" i="9"/>
  <c r="CP481" i="9"/>
  <c r="CP257" i="9"/>
  <c r="BK76" i="9"/>
  <c r="DN246" i="9"/>
  <c r="DN42" i="9"/>
  <c r="CP558" i="9"/>
  <c r="DN263" i="9"/>
  <c r="CP409" i="9"/>
  <c r="DL247" i="9"/>
  <c r="CR236" i="9"/>
  <c r="CR606" i="9"/>
  <c r="CE142" i="9"/>
  <c r="BI22" i="9"/>
  <c r="DY743" i="9"/>
  <c r="DW113" i="9"/>
  <c r="S160" i="9"/>
  <c r="CG225" i="9"/>
  <c r="BV280" i="9"/>
  <c r="AM195" i="9"/>
  <c r="Q162" i="9"/>
  <c r="BV113" i="9"/>
  <c r="AZ138" i="9"/>
  <c r="BV47" i="9"/>
  <c r="CP319" i="9"/>
  <c r="AX171" i="9"/>
  <c r="CR237" i="9"/>
  <c r="S165" i="9"/>
  <c r="BV189" i="9"/>
  <c r="CP160" i="9"/>
  <c r="DY731" i="9"/>
  <c r="S200" i="9"/>
  <c r="DY657" i="9"/>
  <c r="EJ101" i="9"/>
  <c r="CP306" i="9"/>
  <c r="DY164" i="9"/>
  <c r="EJ109" i="9"/>
  <c r="DN236" i="9"/>
  <c r="DW267" i="9"/>
  <c r="CP528" i="9"/>
  <c r="CR543" i="9"/>
  <c r="EH155" i="9"/>
  <c r="CR267" i="9"/>
  <c r="Q245" i="9"/>
  <c r="CP214" i="9"/>
  <c r="BT178" i="9"/>
  <c r="CR556" i="9"/>
  <c r="DL244" i="9"/>
  <c r="BT30" i="9"/>
  <c r="CR290" i="9"/>
  <c r="CR226" i="9"/>
  <c r="CP84" i="9"/>
  <c r="DY718" i="9"/>
  <c r="BT328" i="9"/>
  <c r="DW621" i="9"/>
  <c r="CP491" i="9"/>
  <c r="DW695" i="9"/>
  <c r="CR101" i="9"/>
  <c r="EJ136" i="9"/>
  <c r="CR476" i="9"/>
  <c r="CP143" i="9"/>
  <c r="CR480" i="9"/>
  <c r="EJ123" i="9"/>
  <c r="CP427" i="9"/>
  <c r="CE197" i="9"/>
  <c r="DY683" i="9"/>
  <c r="DA203" i="9"/>
  <c r="CP85" i="9"/>
  <c r="DL193" i="9"/>
  <c r="S232" i="9"/>
  <c r="CR437" i="9"/>
  <c r="CR98" i="9"/>
  <c r="CR202" i="9"/>
  <c r="CG218" i="9"/>
  <c r="CR456" i="9"/>
  <c r="EJ152" i="9"/>
  <c r="Q225" i="9"/>
  <c r="DA135" i="9"/>
  <c r="CP236" i="9"/>
  <c r="BT288" i="9"/>
  <c r="CR161" i="9"/>
  <c r="CE127" i="9"/>
  <c r="S211" i="9"/>
  <c r="DN186" i="9"/>
  <c r="CP44" i="9"/>
  <c r="CP443" i="9"/>
  <c r="BT283" i="9"/>
  <c r="CR67" i="9"/>
  <c r="DL286" i="9"/>
  <c r="CP505" i="9"/>
  <c r="CP288" i="9"/>
  <c r="CP35" i="9"/>
  <c r="CP627" i="9"/>
  <c r="Q256" i="9"/>
  <c r="CG96" i="9"/>
  <c r="DY716" i="9"/>
  <c r="DL176" i="9"/>
  <c r="EJ91" i="9"/>
  <c r="CR377" i="9"/>
  <c r="DY223" i="9"/>
  <c r="CR31" i="9"/>
  <c r="DC130" i="9"/>
  <c r="DC91" i="9"/>
  <c r="DL227" i="9"/>
  <c r="DL135" i="9"/>
  <c r="CR64" i="9"/>
  <c r="CE361" i="9"/>
  <c r="CR190" i="9"/>
  <c r="CP358" i="9"/>
  <c r="DW169" i="9"/>
  <c r="CG337" i="9"/>
  <c r="CR119" i="9"/>
  <c r="S151" i="9"/>
  <c r="S235" i="9"/>
  <c r="DW499" i="9"/>
  <c r="CR116" i="9"/>
  <c r="CR587" i="9"/>
  <c r="CR596" i="9"/>
  <c r="DN232" i="9"/>
  <c r="CR75" i="9"/>
  <c r="CE65" i="9"/>
  <c r="DL223" i="9"/>
  <c r="CR616" i="9"/>
  <c r="CP400" i="9"/>
  <c r="DN251" i="9"/>
  <c r="DN330" i="9"/>
  <c r="CP522" i="9"/>
  <c r="CP320" i="9"/>
  <c r="CR532" i="9"/>
  <c r="DY303" i="9"/>
  <c r="DL164" i="9"/>
  <c r="CP177" i="9"/>
  <c r="DY268" i="9"/>
  <c r="DC166" i="9"/>
  <c r="CE140" i="9"/>
  <c r="DL171" i="9"/>
  <c r="CR198" i="9"/>
  <c r="CP488" i="9"/>
  <c r="CE103" i="9"/>
  <c r="CR193" i="9"/>
  <c r="CE126" i="9"/>
  <c r="CE186" i="9"/>
  <c r="AM290" i="9"/>
  <c r="CE192" i="9"/>
  <c r="CP82" i="9"/>
  <c r="CP415" i="9"/>
  <c r="CE319" i="9"/>
  <c r="EH120" i="9"/>
  <c r="BT425" i="9"/>
  <c r="CR419" i="9"/>
  <c r="CE218" i="9"/>
  <c r="CR468" i="9"/>
  <c r="CG93" i="9"/>
  <c r="EJ69" i="9"/>
  <c r="BI42" i="9"/>
  <c r="BK218" i="9"/>
  <c r="DL68" i="9"/>
  <c r="DW751" i="9"/>
  <c r="CR33" i="9"/>
  <c r="DL50" i="9"/>
  <c r="DW675" i="9"/>
  <c r="DN258" i="9"/>
  <c r="EJ56" i="9"/>
  <c r="CP561" i="9"/>
  <c r="DW651" i="9"/>
  <c r="DW215" i="9"/>
  <c r="CP61" i="9"/>
  <c r="CR365" i="9"/>
  <c r="CR61" i="9"/>
  <c r="CG282" i="9"/>
  <c r="CP309" i="9"/>
  <c r="CR479" i="9"/>
  <c r="DC245" i="9"/>
  <c r="DA199" i="9"/>
  <c r="DN314" i="9"/>
  <c r="CP56" i="9"/>
  <c r="CP311" i="9"/>
  <c r="Q233" i="9"/>
  <c r="DC69" i="9"/>
  <c r="CP253" i="9"/>
  <c r="DY670" i="9"/>
  <c r="CR354" i="9"/>
  <c r="CR533" i="9"/>
  <c r="BT48" i="9"/>
  <c r="DN250" i="9"/>
  <c r="DN160" i="9"/>
  <c r="DC136" i="9"/>
  <c r="BV243" i="9"/>
  <c r="CP407" i="9"/>
  <c r="CP292" i="9"/>
  <c r="CP560" i="9"/>
  <c r="DC93" i="9"/>
  <c r="DN110" i="9"/>
  <c r="Q211" i="9"/>
  <c r="CE288" i="9"/>
  <c r="CP102" i="9"/>
  <c r="CP501" i="9"/>
  <c r="BV95" i="9"/>
  <c r="BT137" i="9"/>
  <c r="DW293" i="9"/>
  <c r="CE376" i="9"/>
  <c r="CP124" i="9"/>
  <c r="CR153" i="9"/>
  <c r="DA33" i="9"/>
  <c r="CP57" i="9"/>
  <c r="CR582" i="9"/>
  <c r="DL162" i="9"/>
  <c r="CG255" i="9"/>
  <c r="CR312" i="9"/>
  <c r="DL58" i="9"/>
  <c r="CP619" i="9"/>
  <c r="CP379" i="9"/>
  <c r="DA163" i="9"/>
  <c r="DL289" i="9"/>
  <c r="CG151" i="9"/>
  <c r="CR451" i="9"/>
  <c r="DW144" i="9"/>
  <c r="CP154" i="9"/>
  <c r="CG135" i="9"/>
  <c r="CR359" i="9"/>
  <c r="CR275" i="9"/>
  <c r="BT263" i="9"/>
  <c r="CP276" i="9"/>
  <c r="EH62" i="9"/>
  <c r="CE102" i="9"/>
  <c r="CP613" i="9"/>
  <c r="CP511" i="9"/>
  <c r="CE32" i="9"/>
  <c r="CR242" i="9"/>
  <c r="EH101" i="9"/>
  <c r="S237" i="9"/>
  <c r="Q230" i="9"/>
  <c r="DN127" i="9"/>
  <c r="DW436" i="9"/>
  <c r="CP599" i="9"/>
  <c r="DC51" i="9"/>
  <c r="Q182" i="9"/>
  <c r="BK124" i="9"/>
  <c r="EJ48" i="9"/>
  <c r="CP240" i="9"/>
  <c r="DN47" i="9"/>
  <c r="CP213" i="9"/>
  <c r="CP46" i="9"/>
  <c r="CR174" i="9"/>
  <c r="CE73" i="9"/>
  <c r="S174" i="9"/>
  <c r="CR341" i="9"/>
  <c r="CG123" i="9"/>
  <c r="CE145" i="9"/>
  <c r="DL119" i="9"/>
  <c r="BK67" i="9"/>
  <c r="DL264" i="9"/>
  <c r="Q171" i="9"/>
  <c r="EJ40" i="9"/>
  <c r="CR90" i="9"/>
  <c r="Q204" i="9"/>
  <c r="CR448" i="9"/>
  <c r="DC165" i="9"/>
  <c r="AO31" i="9"/>
  <c r="DN66" i="9"/>
  <c r="CR505" i="9"/>
  <c r="CP386" i="9"/>
  <c r="CE203" i="9"/>
  <c r="S186" i="9"/>
  <c r="CR360" i="9"/>
  <c r="CR615" i="9"/>
  <c r="CP74" i="9"/>
  <c r="CG181" i="9"/>
  <c r="CP251" i="9"/>
  <c r="CR218" i="9"/>
  <c r="BV329" i="9"/>
  <c r="EJ114" i="9"/>
  <c r="CP272" i="9"/>
  <c r="CG165" i="9"/>
  <c r="CP300" i="9"/>
  <c r="CR449" i="9"/>
  <c r="CP60" i="9"/>
  <c r="DW553" i="9"/>
  <c r="CP446" i="9"/>
  <c r="DY428" i="9"/>
  <c r="DW578" i="9"/>
  <c r="Q231" i="9"/>
  <c r="CP485" i="9"/>
  <c r="DY756" i="9"/>
  <c r="EJ53" i="9"/>
  <c r="CG273" i="9"/>
  <c r="CR367" i="9"/>
  <c r="DW150" i="9"/>
  <c r="CR339" i="9"/>
  <c r="BT419" i="9"/>
  <c r="S161" i="9"/>
  <c r="CR264" i="9"/>
  <c r="CP383" i="9"/>
  <c r="DC196" i="9"/>
  <c r="CR241" i="9"/>
  <c r="CG192" i="9"/>
  <c r="DL260" i="9"/>
  <c r="CR57" i="9"/>
  <c r="CP550" i="9"/>
  <c r="DN44" i="9"/>
  <c r="CR178" i="9"/>
  <c r="CP322" i="9"/>
  <c r="DL305" i="9"/>
  <c r="CE130" i="9"/>
  <c r="CP64" i="9"/>
  <c r="DN55" i="9"/>
  <c r="DL313" i="9"/>
  <c r="CR140" i="9"/>
  <c r="CP226" i="9"/>
  <c r="CG325" i="9"/>
  <c r="DA90" i="9"/>
  <c r="CP140" i="9"/>
  <c r="CP428" i="9"/>
  <c r="CR63" i="9"/>
  <c r="CR457" i="9"/>
  <c r="CP215" i="9"/>
  <c r="CR579" i="9"/>
  <c r="CE110" i="9"/>
  <c r="DY210" i="9"/>
  <c r="DL190" i="9"/>
  <c r="CP423" i="9"/>
  <c r="DL153" i="9"/>
  <c r="DL201" i="9"/>
  <c r="CG304" i="9"/>
  <c r="CP189" i="9"/>
  <c r="DN170" i="9"/>
  <c r="CE133" i="9"/>
  <c r="CG71" i="9"/>
  <c r="EJ137" i="9"/>
  <c r="CR251" i="9"/>
  <c r="CP274" i="9"/>
  <c r="DL317" i="9"/>
  <c r="CP234" i="9"/>
  <c r="DA159" i="9"/>
  <c r="CR138" i="9"/>
  <c r="CR595" i="9"/>
  <c r="BI65" i="9"/>
  <c r="CG55" i="9"/>
  <c r="CP142" i="9"/>
  <c r="CP108" i="9"/>
  <c r="CR368" i="9"/>
  <c r="DC63" i="9"/>
  <c r="DC208" i="9"/>
  <c r="CP50" i="9"/>
  <c r="BV174" i="9"/>
  <c r="CG289" i="9"/>
  <c r="CE146" i="9"/>
  <c r="DY159" i="9"/>
  <c r="DY75" i="9"/>
  <c r="CP218" i="9"/>
  <c r="DC228" i="9"/>
  <c r="DW539" i="9"/>
  <c r="EJ25" i="9"/>
  <c r="CR351" i="9"/>
  <c r="CP238" i="9"/>
  <c r="CR471" i="9"/>
  <c r="CE223" i="9"/>
  <c r="DY72" i="9"/>
  <c r="CR317" i="9"/>
  <c r="DL183" i="9"/>
  <c r="CP146" i="9"/>
  <c r="DA101" i="9"/>
  <c r="DN84" i="9"/>
  <c r="DL185" i="9"/>
  <c r="CP182" i="9"/>
  <c r="DA156" i="9"/>
  <c r="S218" i="9"/>
  <c r="BT54" i="9"/>
  <c r="CR27" i="9"/>
  <c r="S171" i="9"/>
  <c r="CR97" i="9"/>
  <c r="DC244" i="9"/>
  <c r="CR84" i="9"/>
  <c r="CR413" i="9"/>
  <c r="CR197" i="9"/>
  <c r="CR127" i="9"/>
  <c r="Q242" i="9"/>
  <c r="CG86" i="9"/>
  <c r="DW679" i="9"/>
  <c r="DN248" i="9"/>
  <c r="CR133" i="9"/>
  <c r="CG310" i="9"/>
  <c r="BI103" i="9"/>
  <c r="BT339" i="9"/>
  <c r="S148" i="9"/>
  <c r="CR347" i="9"/>
  <c r="BV157" i="9"/>
  <c r="CG365" i="9"/>
  <c r="CP538" i="9"/>
  <c r="Q161" i="9"/>
  <c r="CR614" i="9"/>
  <c r="BT206" i="9"/>
  <c r="BV436" i="9"/>
  <c r="DA109" i="9"/>
  <c r="CG302" i="9"/>
  <c r="S248" i="9"/>
  <c r="DW258" i="9"/>
  <c r="CP91" i="9"/>
  <c r="DN115" i="9"/>
  <c r="DN215" i="9"/>
  <c r="DL174" i="9"/>
  <c r="DN298" i="9"/>
  <c r="DL220" i="9"/>
  <c r="EH55" i="9"/>
  <c r="DY394" i="9"/>
  <c r="DY186" i="9"/>
  <c r="CP48" i="9"/>
  <c r="DL325" i="9"/>
  <c r="DC227" i="9"/>
  <c r="DL249" i="9"/>
  <c r="CR302" i="9"/>
  <c r="DC111" i="9"/>
  <c r="CG238" i="9"/>
  <c r="CP626" i="9"/>
  <c r="CG97" i="9"/>
  <c r="DC140" i="9"/>
  <c r="CP515" i="9"/>
  <c r="CE242" i="9"/>
  <c r="CR184" i="9"/>
  <c r="BI225" i="9"/>
  <c r="DN77" i="9"/>
  <c r="BV291" i="9"/>
  <c r="DN23" i="9"/>
  <c r="DA194" i="9"/>
  <c r="DN137" i="9"/>
  <c r="CG353" i="9"/>
  <c r="CR353" i="9"/>
  <c r="DN231" i="9"/>
  <c r="DW105" i="9"/>
  <c r="S153" i="9"/>
  <c r="S217" i="9"/>
  <c r="CP95" i="9"/>
  <c r="CP67" i="9"/>
  <c r="DL80" i="9"/>
  <c r="DC185" i="9"/>
  <c r="CR544" i="9"/>
  <c r="EH84" i="9"/>
  <c r="CG73" i="9"/>
  <c r="AX133" i="9"/>
  <c r="CP153" i="9"/>
  <c r="CP513" i="9"/>
  <c r="DC186" i="9"/>
  <c r="DY562" i="9"/>
  <c r="CR337" i="9"/>
  <c r="DC218" i="9"/>
  <c r="DY237" i="9"/>
  <c r="CP178" i="9"/>
  <c r="BK217" i="9"/>
  <c r="CG286" i="9"/>
  <c r="CG334" i="9"/>
  <c r="DL279" i="9"/>
  <c r="CP212" i="9"/>
  <c r="CR156" i="9"/>
  <c r="CG40" i="9"/>
  <c r="CP618" i="9"/>
  <c r="CR370" i="9"/>
  <c r="CP71" i="9"/>
  <c r="CP147" i="9"/>
  <c r="CG214" i="9"/>
  <c r="CR388" i="9"/>
  <c r="CP410" i="9"/>
  <c r="DA190" i="9"/>
  <c r="CP376" i="9"/>
  <c r="BV397" i="9"/>
  <c r="CR311" i="9"/>
  <c r="Q150" i="9"/>
  <c r="CR266" i="9"/>
  <c r="BV138" i="9"/>
  <c r="DL216" i="9"/>
  <c r="CP179" i="9"/>
  <c r="BT192" i="9"/>
  <c r="CG176" i="9"/>
  <c r="DY115" i="9"/>
  <c r="CR248" i="9"/>
  <c r="S203" i="9"/>
  <c r="CP198" i="9"/>
  <c r="CP113" i="9"/>
  <c r="CE182" i="9"/>
  <c r="EH41" i="9"/>
  <c r="DN185" i="9"/>
  <c r="Q154" i="9"/>
  <c r="CP181" i="9"/>
  <c r="DL146" i="9"/>
  <c r="DW225" i="9"/>
  <c r="Q234" i="9"/>
  <c r="CR403" i="9"/>
  <c r="CR383" i="9"/>
  <c r="CE289" i="9"/>
  <c r="BT378" i="9"/>
  <c r="DA205" i="9"/>
  <c r="CP261" i="9"/>
  <c r="DW470" i="9"/>
  <c r="CP235" i="9"/>
  <c r="CP525" i="9"/>
  <c r="CP624" i="9"/>
  <c r="CR578" i="9"/>
  <c r="CP269" i="9"/>
  <c r="CR537" i="9"/>
  <c r="BT57" i="9"/>
  <c r="DL238" i="9"/>
  <c r="DA73" i="9"/>
  <c r="CP52" i="9"/>
  <c r="BV396" i="9"/>
  <c r="CP245" i="9"/>
  <c r="CG307" i="9"/>
  <c r="BV103" i="9"/>
  <c r="CE337" i="9"/>
  <c r="CE53" i="9"/>
  <c r="BV227" i="9"/>
  <c r="CR624" i="9"/>
  <c r="DN291" i="9"/>
  <c r="DW484" i="9"/>
  <c r="DA153" i="9"/>
  <c r="DN156" i="9"/>
  <c r="DN124" i="9"/>
  <c r="DY623" i="9"/>
  <c r="DA157" i="9"/>
  <c r="DW457" i="9"/>
  <c r="DN325" i="9"/>
  <c r="DN150" i="9"/>
  <c r="CP568" i="9"/>
  <c r="BT191" i="9"/>
  <c r="CE222" i="9"/>
  <c r="DC223" i="9"/>
  <c r="S234" i="9"/>
  <c r="CR481" i="9"/>
  <c r="BV217" i="9"/>
  <c r="CR563" i="9"/>
  <c r="CP530" i="9"/>
  <c r="DC64" i="9"/>
  <c r="DL248" i="9"/>
  <c r="CP155" i="9"/>
  <c r="CG101" i="9"/>
  <c r="DC119" i="9"/>
  <c r="DY363" i="9"/>
  <c r="CR132" i="9"/>
  <c r="CP290" i="9"/>
  <c r="DN226" i="9"/>
  <c r="DA75" i="9"/>
  <c r="CP614" i="9"/>
  <c r="CP337" i="9"/>
  <c r="BT318" i="9"/>
  <c r="Q186" i="9"/>
  <c r="BT343" i="9"/>
  <c r="DN254" i="9"/>
  <c r="DN227" i="9"/>
  <c r="CR608" i="9"/>
  <c r="CP460" i="9"/>
  <c r="CP282" i="9"/>
  <c r="DC79" i="9"/>
  <c r="DN178" i="9"/>
  <c r="CP565" i="9"/>
  <c r="Q180" i="9"/>
  <c r="CP161" i="9"/>
  <c r="CR257" i="9"/>
  <c r="EH24" i="9"/>
  <c r="DC238" i="9"/>
  <c r="DA50" i="9"/>
  <c r="CP100" i="9"/>
  <c r="EJ86" i="9"/>
  <c r="DC139" i="9"/>
  <c r="CE129" i="9"/>
  <c r="CE326" i="9"/>
  <c r="DC37" i="9"/>
  <c r="CP86" i="9"/>
  <c r="DW681" i="9"/>
  <c r="CR422" i="9"/>
  <c r="CR500" i="9"/>
  <c r="DN109" i="9"/>
  <c r="CR252" i="9"/>
  <c r="CG102" i="9"/>
  <c r="S212" i="9"/>
  <c r="CE141" i="9"/>
  <c r="CR387" i="9"/>
  <c r="CE51" i="9"/>
  <c r="DC211" i="9"/>
  <c r="DA53" i="9"/>
  <c r="CR308" i="9"/>
  <c r="CG200" i="9"/>
  <c r="BT356" i="9"/>
  <c r="CR227" i="9"/>
  <c r="CR282" i="9"/>
  <c r="DL71" i="9"/>
  <c r="CE272" i="9"/>
  <c r="CG35" i="9"/>
  <c r="DN216" i="9"/>
  <c r="BV94" i="9"/>
  <c r="CR565" i="9"/>
  <c r="Q251" i="9"/>
  <c r="CP162" i="9"/>
  <c r="BV324" i="9"/>
  <c r="BV285" i="9"/>
  <c r="DY406" i="9"/>
  <c r="CG113" i="9"/>
  <c r="EJ122" i="9"/>
  <c r="CR487" i="9"/>
  <c r="CR349" i="9"/>
  <c r="DN304" i="9"/>
  <c r="CR114" i="9"/>
  <c r="CP199" i="9"/>
  <c r="DL292" i="9"/>
  <c r="CP132" i="9"/>
  <c r="CG195" i="9"/>
  <c r="DC246" i="9"/>
  <c r="DA209" i="9"/>
  <c r="DC85" i="9"/>
  <c r="CG121" i="9"/>
  <c r="CP396" i="9"/>
  <c r="CR626" i="9"/>
  <c r="DA93" i="9"/>
  <c r="DY401" i="9"/>
  <c r="S247" i="9"/>
  <c r="CG187" i="9"/>
  <c r="DL94" i="9"/>
  <c r="CP192" i="9"/>
  <c r="CR516" i="9"/>
  <c r="BV145" i="9"/>
  <c r="CR541" i="9"/>
  <c r="Q222" i="9"/>
  <c r="S226" i="9"/>
  <c r="S249" i="9"/>
  <c r="BV278" i="9"/>
  <c r="CE281" i="9"/>
  <c r="CR416" i="9"/>
  <c r="BI192" i="9"/>
  <c r="BT66" i="9"/>
  <c r="CG220" i="9"/>
  <c r="S238" i="9"/>
  <c r="CG366" i="9"/>
  <c r="CR263" i="9"/>
  <c r="CR243" i="9"/>
  <c r="DA196" i="9"/>
  <c r="DA213" i="9"/>
  <c r="CR43" i="9"/>
  <c r="CP454" i="9"/>
  <c r="DL205" i="9"/>
  <c r="CP111" i="9"/>
  <c r="CR455" i="9"/>
  <c r="CG345" i="9"/>
  <c r="DN177" i="9"/>
  <c r="CE124" i="9"/>
  <c r="BK85" i="9"/>
  <c r="BV239" i="9"/>
  <c r="CR59" i="9"/>
  <c r="BT68" i="9"/>
  <c r="BV196" i="9"/>
  <c r="CG185" i="9"/>
  <c r="DC156" i="9"/>
  <c r="BK212" i="9"/>
  <c r="CE366" i="9"/>
  <c r="CE234" i="9"/>
  <c r="BT273" i="9"/>
  <c r="CP341" i="9"/>
  <c r="CP620" i="9"/>
  <c r="CE189" i="9"/>
  <c r="CR506" i="9"/>
  <c r="S240" i="9"/>
  <c r="DC169" i="9"/>
  <c r="CG210" i="9"/>
  <c r="BK245" i="9"/>
  <c r="BT306" i="9"/>
  <c r="CG78" i="9"/>
  <c r="CP348" i="9"/>
  <c r="CR189" i="9"/>
  <c r="BT285" i="9"/>
  <c r="CP529" i="9"/>
  <c r="DC189" i="9"/>
  <c r="BT126" i="9"/>
  <c r="CG339" i="9"/>
  <c r="AX31" i="9"/>
  <c r="DL96" i="9"/>
  <c r="BT49" i="9"/>
  <c r="CE165" i="9"/>
  <c r="EH60" i="9"/>
  <c r="BK112" i="9"/>
  <c r="DN157" i="9"/>
  <c r="CG189" i="9"/>
  <c r="CG154" i="9"/>
  <c r="BT220" i="9"/>
  <c r="BI144" i="9"/>
  <c r="CR526" i="9"/>
  <c r="BT267" i="9"/>
  <c r="CR522" i="9"/>
  <c r="CP519" i="9"/>
  <c r="AX140" i="9"/>
  <c r="CE23" i="9"/>
  <c r="DN238" i="9"/>
  <c r="BT375" i="9"/>
  <c r="CR23" i="9"/>
  <c r="CE247" i="9"/>
  <c r="CE45" i="9"/>
  <c r="S88" i="9"/>
  <c r="CR513" i="9"/>
  <c r="BT271" i="9"/>
  <c r="Q249" i="9"/>
  <c r="BV237" i="9"/>
  <c r="CE187" i="9"/>
  <c r="CG260" i="9"/>
  <c r="BT167" i="9"/>
  <c r="CG140" i="9"/>
  <c r="DN301" i="9"/>
  <c r="BT86" i="9"/>
  <c r="S245" i="9"/>
  <c r="DC210" i="9"/>
  <c r="CR542" i="9"/>
  <c r="AM284" i="9"/>
  <c r="CR249" i="9"/>
  <c r="S182" i="9"/>
  <c r="CP467" i="9"/>
  <c r="BT230" i="9"/>
  <c r="BT36" i="9"/>
  <c r="BI55" i="9"/>
  <c r="CE241" i="9"/>
  <c r="DN165" i="9"/>
  <c r="DL44" i="9"/>
  <c r="CE374" i="9"/>
  <c r="BT27" i="9"/>
  <c r="AM124" i="9"/>
  <c r="CR633" i="9"/>
  <c r="CE333" i="9"/>
  <c r="CP633" i="9"/>
  <c r="CE303" i="9"/>
  <c r="CP462" i="9"/>
  <c r="AM184" i="9"/>
  <c r="CP431" i="9"/>
  <c r="BK77" i="9"/>
  <c r="CG70" i="9"/>
  <c r="DL209" i="9"/>
  <c r="CR375" i="9"/>
  <c r="BK88" i="9"/>
  <c r="CE239" i="9"/>
  <c r="CE107" i="9"/>
  <c r="CG194" i="9"/>
  <c r="CE225" i="9"/>
  <c r="CP339" i="9"/>
  <c r="BT332" i="9"/>
  <c r="AO360" i="9"/>
  <c r="BK149" i="9"/>
  <c r="F108" i="9"/>
  <c r="BK190" i="9"/>
  <c r="Q130" i="9"/>
  <c r="BT159" i="9"/>
  <c r="BI99" i="9"/>
  <c r="Q226" i="9"/>
  <c r="BT417" i="9"/>
  <c r="BT342" i="9"/>
  <c r="BT93" i="9"/>
  <c r="AX122" i="9"/>
  <c r="BT338" i="9"/>
  <c r="CE173" i="9"/>
  <c r="AZ92" i="9"/>
  <c r="CG293" i="9"/>
  <c r="BK87" i="9"/>
  <c r="DA34" i="9"/>
  <c r="CP116" i="9"/>
  <c r="DL163" i="9"/>
  <c r="CR549" i="9"/>
  <c r="BT184" i="9"/>
  <c r="BV153" i="9"/>
  <c r="DN69" i="9"/>
  <c r="CR103" i="9"/>
  <c r="CR355" i="9"/>
  <c r="CG168" i="9"/>
  <c r="CP156" i="9"/>
  <c r="AZ114" i="9"/>
  <c r="BT405" i="9"/>
  <c r="AZ148" i="9"/>
  <c r="BI187" i="9"/>
  <c r="CG58" i="9"/>
  <c r="CP27" i="9"/>
  <c r="CG34" i="9"/>
  <c r="CG137" i="9"/>
  <c r="CP369" i="9"/>
  <c r="CE176" i="9"/>
  <c r="CP78" i="9"/>
  <c r="CG222" i="9"/>
  <c r="BV303" i="9"/>
  <c r="CR73" i="9"/>
  <c r="BV223" i="9"/>
  <c r="EJ84" i="9"/>
  <c r="CP434" i="9"/>
  <c r="BV23" i="9"/>
  <c r="CP590" i="9"/>
  <c r="Q220" i="9"/>
  <c r="CG373" i="9"/>
  <c r="CR45" i="9"/>
  <c r="CE136" i="9"/>
  <c r="Q218" i="9"/>
  <c r="S170" i="9"/>
  <c r="CP430" i="9"/>
  <c r="CE300" i="9"/>
  <c r="CR283" i="9"/>
  <c r="AX87" i="9"/>
  <c r="CP385" i="9"/>
  <c r="CR420" i="9"/>
  <c r="DA137" i="9"/>
  <c r="CP211" i="9"/>
  <c r="EJ74" i="9"/>
  <c r="CR32" i="9"/>
  <c r="CG235" i="9"/>
  <c r="S187" i="9"/>
  <c r="CR123" i="9"/>
  <c r="BK94" i="9"/>
  <c r="Q213" i="9"/>
  <c r="Q147" i="9"/>
  <c r="S188" i="9"/>
  <c r="DL155" i="9"/>
  <c r="AZ168" i="9"/>
  <c r="BV168" i="9"/>
  <c r="BT350" i="9"/>
  <c r="BT402" i="9"/>
  <c r="CE373" i="9"/>
  <c r="CR508" i="9"/>
  <c r="BI170" i="9"/>
  <c r="CE204" i="9"/>
  <c r="CR211" i="9"/>
  <c r="AZ145" i="9"/>
  <c r="DL93" i="9"/>
  <c r="CR68" i="9"/>
  <c r="AX60" i="9"/>
  <c r="Q177" i="9"/>
  <c r="Q155" i="9"/>
  <c r="CP378" i="9"/>
  <c r="S228" i="9"/>
  <c r="BV268" i="9"/>
  <c r="DN90" i="9"/>
  <c r="BV347" i="9"/>
  <c r="BT135" i="9"/>
  <c r="AZ117" i="9"/>
  <c r="BV317" i="9"/>
  <c r="CR60" i="9"/>
  <c r="BV431" i="9"/>
  <c r="CE245" i="9"/>
  <c r="BK61" i="9"/>
  <c r="BV360" i="9"/>
  <c r="DN191" i="9"/>
  <c r="S231" i="9"/>
  <c r="BT418" i="9"/>
  <c r="CG186" i="9"/>
  <c r="CG364" i="9"/>
  <c r="AX170" i="9"/>
  <c r="CR442" i="9"/>
  <c r="CP47" i="9"/>
  <c r="CG175" i="9"/>
  <c r="CR371" i="9"/>
  <c r="H203" i="9"/>
  <c r="DW353" i="9"/>
  <c r="BT372" i="9"/>
  <c r="CE83" i="9"/>
  <c r="CP502" i="9"/>
  <c r="CP384" i="9"/>
  <c r="CR293" i="9"/>
  <c r="CE362" i="9"/>
  <c r="CP138" i="9"/>
  <c r="BV46" i="9"/>
  <c r="CG343" i="9"/>
  <c r="CR50" i="9"/>
  <c r="BI81" i="9"/>
  <c r="AO76" i="9"/>
  <c r="AX96" i="9"/>
  <c r="BK63" i="9"/>
  <c r="CP323" i="9"/>
  <c r="BK161" i="9"/>
  <c r="BI154" i="9"/>
  <c r="BT321" i="9"/>
  <c r="CR327" i="9"/>
  <c r="AM317" i="9"/>
  <c r="F380" i="9"/>
  <c r="BI199" i="9"/>
  <c r="BV310" i="9"/>
  <c r="S106" i="9"/>
  <c r="BT367" i="9"/>
  <c r="BK106" i="9"/>
  <c r="CP203" i="9"/>
  <c r="AM318" i="9"/>
  <c r="F537" i="9"/>
  <c r="AO337" i="9"/>
  <c r="S239" i="9"/>
  <c r="H581" i="9"/>
  <c r="BV132" i="9"/>
  <c r="AM53" i="9"/>
  <c r="BV442" i="9"/>
  <c r="DC123" i="9"/>
  <c r="BV152" i="9"/>
  <c r="DC157" i="9"/>
  <c r="EH158" i="9"/>
  <c r="CE88" i="9"/>
  <c r="CG68" i="9"/>
  <c r="DW234" i="9"/>
  <c r="BT355" i="9"/>
  <c r="CR121" i="9"/>
  <c r="DW143" i="9"/>
  <c r="CR303" i="9"/>
  <c r="BT397" i="9"/>
  <c r="DN74" i="9"/>
  <c r="Q198" i="9"/>
  <c r="CG142" i="9"/>
  <c r="BV77" i="9"/>
  <c r="CG100" i="9"/>
  <c r="BV417" i="9"/>
  <c r="CP65" i="9"/>
  <c r="BK114" i="9"/>
  <c r="CR281" i="9"/>
  <c r="CR401" i="9"/>
  <c r="BV283" i="9"/>
  <c r="BI54" i="9"/>
  <c r="BT324" i="9"/>
  <c r="CE119" i="9"/>
  <c r="DY544" i="9"/>
  <c r="DC154" i="9"/>
  <c r="EH87" i="9"/>
  <c r="CE159" i="9"/>
  <c r="CG333" i="9"/>
  <c r="CP506" i="9"/>
  <c r="CE325" i="9"/>
  <c r="CE304" i="9"/>
  <c r="BV78" i="9"/>
  <c r="CR628" i="9"/>
  <c r="CP149" i="9"/>
  <c r="BV125" i="9"/>
  <c r="BK69" i="9"/>
  <c r="CP476" i="9"/>
  <c r="CE36" i="9"/>
  <c r="CR155" i="9"/>
  <c r="CE89" i="9"/>
  <c r="CE79" i="9"/>
  <c r="BV267" i="9"/>
  <c r="CE206" i="9"/>
  <c r="DN136" i="9"/>
  <c r="AZ23" i="9"/>
  <c r="BI181" i="9"/>
  <c r="CR182" i="9"/>
  <c r="CE217" i="9"/>
  <c r="BI138" i="9"/>
  <c r="CR200" i="9"/>
  <c r="CR548" i="9"/>
  <c r="CE359" i="9"/>
  <c r="CP349" i="9"/>
  <c r="CE372" i="9"/>
  <c r="BT136" i="9"/>
  <c r="BK221" i="9"/>
  <c r="CP338" i="9"/>
  <c r="BV250" i="9"/>
  <c r="DN86" i="9"/>
  <c r="CE38" i="9"/>
  <c r="CE255" i="9"/>
  <c r="BT451" i="9"/>
  <c r="DW405" i="9"/>
  <c r="CP564" i="9"/>
  <c r="AX90" i="9"/>
  <c r="CE213" i="9"/>
  <c r="CG173" i="9"/>
  <c r="BI98" i="9"/>
  <c r="CE336" i="9"/>
  <c r="CR498" i="9"/>
  <c r="Q200" i="9"/>
  <c r="CE29" i="9"/>
  <c r="DC58" i="9"/>
  <c r="CG356" i="9"/>
  <c r="CE273" i="9"/>
  <c r="BT25" i="9"/>
  <c r="CE221" i="9"/>
  <c r="AO225" i="9"/>
  <c r="CE224" i="9"/>
  <c r="CG190" i="9"/>
  <c r="BI26" i="9"/>
  <c r="CP555" i="9"/>
  <c r="CP489" i="9"/>
  <c r="CP139" i="9"/>
  <c r="CP115" i="9"/>
  <c r="BT43" i="9"/>
  <c r="CR171" i="9"/>
  <c r="CE22" i="9"/>
  <c r="BT349" i="9"/>
  <c r="BT438" i="9"/>
  <c r="CP318" i="9"/>
  <c r="F74" i="9"/>
  <c r="CG268" i="9"/>
  <c r="CR430" i="9"/>
  <c r="AX175" i="9"/>
  <c r="CE131" i="9"/>
  <c r="CP377" i="9"/>
  <c r="BV251" i="9"/>
  <c r="CG330" i="9"/>
  <c r="CG245" i="9"/>
  <c r="BV378" i="9"/>
  <c r="EH37" i="9"/>
  <c r="BT354" i="9"/>
  <c r="BT221" i="9"/>
  <c r="BI153" i="9"/>
  <c r="AO307" i="9"/>
  <c r="AZ22" i="9"/>
  <c r="AX72" i="9"/>
  <c r="AX50" i="9"/>
  <c r="CR450" i="9"/>
  <c r="CE244" i="9"/>
  <c r="AZ103" i="9"/>
  <c r="AX26" i="9"/>
  <c r="AX113" i="9"/>
  <c r="BT123" i="9"/>
  <c r="BV185" i="9"/>
  <c r="CR37" i="9"/>
  <c r="BI110" i="9"/>
  <c r="BI206" i="9"/>
  <c r="S206" i="9"/>
  <c r="BT432" i="9"/>
  <c r="DW152" i="9"/>
  <c r="S179" i="9"/>
  <c r="DL192" i="9"/>
  <c r="DC132" i="9"/>
  <c r="CG178" i="9"/>
  <c r="CP584" i="9"/>
  <c r="BV204" i="9"/>
  <c r="BI27" i="9"/>
  <c r="CP353" i="9"/>
  <c r="AZ73" i="9"/>
  <c r="CE161" i="9"/>
  <c r="CG233" i="9"/>
  <c r="BI57" i="9"/>
  <c r="BV229" i="9"/>
  <c r="DL154" i="9"/>
  <c r="DL309" i="9"/>
  <c r="DN189" i="9"/>
  <c r="BV379" i="9"/>
  <c r="BV48" i="9"/>
  <c r="CE156" i="9"/>
  <c r="AM404" i="9"/>
  <c r="DA245" i="9"/>
  <c r="CG44" i="9"/>
  <c r="CG207" i="9"/>
  <c r="CG257" i="9"/>
  <c r="DN172" i="9"/>
  <c r="CP332" i="9"/>
  <c r="Q241" i="9"/>
  <c r="CG341" i="9"/>
  <c r="CP381" i="9"/>
  <c r="BT252" i="9"/>
  <c r="BV429" i="9"/>
  <c r="BK157" i="9"/>
  <c r="CG36" i="9"/>
  <c r="CE302" i="9"/>
  <c r="BV345" i="9"/>
  <c r="Q246" i="9"/>
  <c r="AM172" i="9"/>
  <c r="CE230" i="9"/>
  <c r="BK246" i="9"/>
  <c r="CE193" i="9"/>
  <c r="AZ99" i="9"/>
  <c r="CR66" i="9"/>
  <c r="CG131" i="9"/>
  <c r="CE70" i="9"/>
  <c r="BI240" i="9"/>
  <c r="CR295" i="9"/>
  <c r="CE166" i="9"/>
  <c r="CE27" i="9"/>
  <c r="CG278" i="9"/>
  <c r="CG232" i="9"/>
  <c r="BT322" i="9"/>
  <c r="CE329" i="9"/>
  <c r="EJ72" i="9"/>
  <c r="CE298" i="9"/>
  <c r="CR166" i="9"/>
  <c r="CG321" i="9"/>
  <c r="CP219" i="9"/>
  <c r="CE226" i="9"/>
  <c r="DC152" i="9"/>
  <c r="CP540" i="9"/>
  <c r="BT80" i="9"/>
  <c r="CP289" i="9"/>
  <c r="EH118" i="9"/>
  <c r="CP438" i="9"/>
  <c r="S196" i="9"/>
  <c r="BT24" i="9"/>
  <c r="CR603" i="9"/>
  <c r="CE357" i="9"/>
  <c r="BV404" i="9"/>
  <c r="CR244" i="9"/>
  <c r="CG208" i="9"/>
  <c r="CE291" i="9"/>
  <c r="CE87" i="9"/>
  <c r="CR149" i="9"/>
  <c r="CG125" i="9"/>
  <c r="CG249" i="9"/>
  <c r="CR86" i="9"/>
  <c r="BV203" i="9"/>
  <c r="CR205" i="9"/>
  <c r="CR278" i="9"/>
  <c r="CG196" i="9"/>
  <c r="DN316" i="9"/>
  <c r="BT254" i="9"/>
  <c r="CG377" i="9"/>
  <c r="CP256" i="9"/>
  <c r="CP508" i="9"/>
  <c r="CP206" i="9"/>
  <c r="AO109" i="9"/>
  <c r="BK180" i="9"/>
  <c r="CR391" i="9"/>
  <c r="CR386" i="9"/>
  <c r="AZ149" i="9"/>
  <c r="S185" i="9"/>
  <c r="CR523" i="9"/>
  <c r="BV308" i="9"/>
  <c r="S251" i="9"/>
  <c r="CE209" i="9"/>
  <c r="CR160" i="9"/>
  <c r="CE149" i="9"/>
  <c r="CE84" i="9"/>
  <c r="CE268" i="9"/>
  <c r="DC127" i="9"/>
  <c r="CE109" i="9"/>
  <c r="BT255" i="9"/>
  <c r="BT166" i="9"/>
  <c r="BI231" i="9"/>
  <c r="AX99" i="9"/>
  <c r="CE316" i="9"/>
  <c r="BK233" i="9"/>
  <c r="BV315" i="9"/>
  <c r="F441" i="9"/>
  <c r="BK37" i="9"/>
  <c r="BI175" i="9"/>
  <c r="F481" i="9"/>
  <c r="BV41" i="9"/>
  <c r="BK81" i="9"/>
  <c r="BV39" i="9"/>
  <c r="AO74" i="9"/>
  <c r="S49" i="9"/>
  <c r="BT157" i="9"/>
  <c r="CR113" i="9"/>
  <c r="AX154" i="9"/>
  <c r="AZ151" i="9"/>
  <c r="CG272" i="9"/>
  <c r="BV333" i="9"/>
  <c r="CE353" i="9"/>
  <c r="DN224" i="9"/>
  <c r="CE153" i="9"/>
  <c r="CR394" i="9"/>
  <c r="CG61" i="9"/>
  <c r="CP158" i="9"/>
  <c r="DN200" i="9"/>
  <c r="DY680" i="9"/>
  <c r="CR459" i="9"/>
  <c r="DC100" i="9"/>
  <c r="BT331" i="9"/>
  <c r="CP447" i="9"/>
  <c r="CE56" i="9"/>
  <c r="CR470" i="9"/>
  <c r="CR172" i="9"/>
  <c r="CR512" i="9"/>
  <c r="CP545" i="9"/>
  <c r="DN322" i="9"/>
  <c r="Q208" i="9"/>
  <c r="CE327" i="9"/>
  <c r="CE238" i="9"/>
  <c r="CE208" i="9"/>
  <c r="CR538" i="9"/>
  <c r="EH143" i="9"/>
  <c r="S71" i="9"/>
  <c r="BI168" i="9"/>
  <c r="CP596" i="9"/>
  <c r="CR600" i="9"/>
  <c r="CG301" i="9"/>
  <c r="AO224" i="9"/>
  <c r="CE41" i="9"/>
  <c r="BV424" i="9"/>
  <c r="CE293" i="9"/>
  <c r="BK103" i="9"/>
  <c r="AM109" i="9"/>
  <c r="CR135" i="9"/>
  <c r="CG117" i="9"/>
  <c r="CP237" i="9"/>
  <c r="CE111" i="9"/>
  <c r="AZ126" i="9"/>
  <c r="CE95" i="9"/>
  <c r="AM312" i="9"/>
  <c r="CE101" i="9"/>
  <c r="CE75" i="9"/>
  <c r="BT161" i="9"/>
  <c r="CE100" i="9"/>
  <c r="CP297" i="9"/>
  <c r="CR162" i="9"/>
  <c r="CR617" i="9"/>
  <c r="CR415" i="9"/>
  <c r="BI72" i="9"/>
  <c r="BT183" i="9"/>
  <c r="BV368" i="9"/>
  <c r="BV24" i="9"/>
  <c r="CR120" i="9"/>
  <c r="CR489" i="9"/>
  <c r="CR486" i="9"/>
  <c r="CE305" i="9"/>
  <c r="CG203" i="9"/>
  <c r="CR346" i="9"/>
  <c r="BV35" i="9"/>
  <c r="CG270" i="9"/>
  <c r="BT124" i="9"/>
  <c r="S168" i="9"/>
  <c r="BT131" i="9"/>
  <c r="EH126" i="9"/>
  <c r="DL240" i="9"/>
  <c r="CG251" i="9"/>
  <c r="BT440" i="9"/>
  <c r="CE68" i="9"/>
  <c r="CR24" i="9"/>
  <c r="BT196" i="9"/>
  <c r="DA125" i="9"/>
  <c r="CG358" i="9"/>
  <c r="CP439" i="9"/>
  <c r="BK126" i="9"/>
  <c r="Q165" i="9"/>
  <c r="CR632" i="9"/>
  <c r="AX105" i="9"/>
  <c r="CP566" i="9"/>
  <c r="CP498" i="9"/>
  <c r="CR475" i="9"/>
  <c r="Q167" i="9"/>
  <c r="EJ49" i="9"/>
  <c r="BV210" i="9"/>
  <c r="CR221" i="9"/>
  <c r="BV93" i="9"/>
  <c r="CG45" i="9"/>
  <c r="BT287" i="9"/>
  <c r="AZ134" i="9"/>
  <c r="CR85" i="9"/>
  <c r="CR572" i="9"/>
  <c r="CR321" i="9"/>
  <c r="CE72" i="9"/>
  <c r="CP249" i="9"/>
  <c r="CG319" i="9"/>
  <c r="CP606" i="9"/>
  <c r="DL95" i="9"/>
  <c r="BK39" i="9"/>
  <c r="CE43" i="9"/>
  <c r="BT116" i="9"/>
  <c r="CP264" i="9"/>
  <c r="BV365" i="9"/>
  <c r="BV183" i="9"/>
  <c r="CG317" i="9"/>
  <c r="BT247" i="9"/>
  <c r="CG265" i="9"/>
  <c r="BK132" i="9"/>
  <c r="BK184" i="9"/>
  <c r="BV367" i="9"/>
  <c r="S152" i="9"/>
  <c r="EJ118" i="9"/>
  <c r="CE260" i="9"/>
  <c r="Q184" i="9"/>
  <c r="DN203" i="9"/>
  <c r="CR95" i="9"/>
  <c r="CR499" i="9"/>
  <c r="CR395" i="9"/>
  <c r="CR29" i="9"/>
  <c r="CR143" i="9"/>
  <c r="CP141" i="9"/>
  <c r="BV215" i="9"/>
  <c r="S178" i="9"/>
  <c r="DC131" i="9"/>
  <c r="CP280" i="9"/>
  <c r="BT33" i="9"/>
  <c r="CR192" i="9"/>
  <c r="BT353" i="9"/>
  <c r="CP152" i="9"/>
  <c r="CE308" i="9"/>
  <c r="DY76" i="9"/>
  <c r="CP217" i="9"/>
  <c r="CG49" i="9"/>
  <c r="BV399" i="9"/>
  <c r="CE40" i="9"/>
  <c r="S175" i="9"/>
  <c r="DY647" i="9"/>
  <c r="EH23" i="9"/>
  <c r="BV131" i="9"/>
  <c r="BT298" i="9"/>
  <c r="AZ122" i="9"/>
  <c r="BT50" i="9"/>
  <c r="CG33" i="9"/>
  <c r="CR224" i="9"/>
  <c r="CR314" i="9"/>
  <c r="CR141" i="9"/>
  <c r="CR220" i="9"/>
  <c r="CR169" i="9"/>
  <c r="CG355" i="9"/>
  <c r="CG226" i="9"/>
  <c r="AZ137" i="9"/>
  <c r="CP101" i="9"/>
  <c r="CG219" i="9"/>
  <c r="BT365" i="9"/>
  <c r="CP131" i="9"/>
  <c r="CR610" i="9"/>
  <c r="BT279" i="9"/>
  <c r="CR126" i="9"/>
  <c r="CG363" i="9"/>
  <c r="CR524" i="9"/>
  <c r="BK225" i="9"/>
  <c r="CE280" i="9"/>
  <c r="BK127" i="9"/>
  <c r="CP373" i="9"/>
  <c r="DA26" i="9"/>
  <c r="BV255" i="9"/>
  <c r="Q250" i="9"/>
  <c r="Q248" i="9"/>
  <c r="BK118" i="9"/>
  <c r="CR573" i="9"/>
  <c r="BV443" i="9"/>
  <c r="CR106" i="9"/>
  <c r="CP497" i="9"/>
  <c r="CE284" i="9"/>
  <c r="DA28" i="9"/>
  <c r="DY589" i="9"/>
  <c r="BT381" i="9"/>
  <c r="CR369" i="9"/>
  <c r="CG312" i="9"/>
  <c r="CP97" i="9"/>
  <c r="CG375" i="9"/>
  <c r="CR621" i="9"/>
  <c r="BV114" i="9"/>
  <c r="CR145" i="9"/>
  <c r="CE123" i="9"/>
  <c r="BT366" i="9"/>
  <c r="CE301" i="9"/>
  <c r="S225" i="9"/>
  <c r="EH22" i="9"/>
  <c r="DL180" i="9"/>
  <c r="S254" i="9"/>
  <c r="AX142" i="9"/>
  <c r="BT164" i="9"/>
  <c r="CP361" i="9"/>
  <c r="Q243" i="9"/>
  <c r="CE81" i="9"/>
  <c r="CR79" i="9"/>
  <c r="CG81" i="9"/>
  <c r="CR280" i="9"/>
  <c r="CR478" i="9"/>
  <c r="BT251" i="9"/>
  <c r="CG331" i="9"/>
  <c r="BI64" i="9"/>
  <c r="AO89" i="9"/>
  <c r="CP419" i="9"/>
  <c r="BV258" i="9"/>
  <c r="BV58" i="9"/>
  <c r="CG150" i="9"/>
  <c r="CR297" i="9"/>
  <c r="AX79" i="9"/>
  <c r="AM370" i="9"/>
  <c r="CG299" i="9"/>
  <c r="AZ163" i="9"/>
  <c r="CP69" i="9"/>
  <c r="F632" i="9"/>
  <c r="F476" i="9"/>
  <c r="BI135" i="9"/>
  <c r="CR165" i="9"/>
  <c r="F24" i="9"/>
  <c r="AX161" i="9"/>
  <c r="CE24" i="9"/>
  <c r="BK55" i="9"/>
  <c r="CR592" i="9"/>
  <c r="CP392" i="9"/>
  <c r="BT426" i="9"/>
  <c r="AZ66" i="9"/>
  <c r="Q103" i="9"/>
  <c r="CR296" i="9"/>
  <c r="AO94" i="9"/>
  <c r="AX144" i="9"/>
  <c r="BI216" i="9"/>
  <c r="CE54" i="9"/>
  <c r="AZ128" i="9"/>
  <c r="CP402" i="9"/>
  <c r="CE251" i="9"/>
  <c r="BI44" i="9"/>
  <c r="CG145" i="9"/>
  <c r="AM141" i="9"/>
  <c r="BV313" i="9"/>
  <c r="BV207" i="9"/>
  <c r="CE139" i="9"/>
  <c r="DA114" i="9"/>
  <c r="CR431" i="9"/>
  <c r="DA63" i="9"/>
  <c r="CG237" i="9"/>
  <c r="EJ155" i="9"/>
  <c r="CG332" i="9"/>
  <c r="CP608" i="9"/>
  <c r="CR222" i="9"/>
  <c r="BV449" i="9"/>
  <c r="BI162" i="9"/>
  <c r="CP125" i="9"/>
  <c r="CP331" i="9"/>
  <c r="CE211" i="9"/>
  <c r="CG372" i="9"/>
  <c r="BT114" i="9"/>
  <c r="DC213" i="9"/>
  <c r="CG362" i="9"/>
  <c r="S222" i="9"/>
  <c r="EH76" i="9"/>
  <c r="CR423" i="9"/>
  <c r="BV434" i="9"/>
  <c r="S199" i="9"/>
  <c r="CE195" i="9"/>
  <c r="BT281" i="9"/>
  <c r="DN210" i="9"/>
  <c r="CP610" i="9"/>
  <c r="CE296" i="9"/>
  <c r="BV359" i="9"/>
  <c r="CR540" i="9"/>
  <c r="CR473" i="9"/>
  <c r="BK53" i="9"/>
  <c r="BV425" i="9"/>
  <c r="Q252" i="9"/>
  <c r="BT410" i="9"/>
  <c r="Q244" i="9"/>
  <c r="AZ115" i="9"/>
  <c r="BT398" i="9"/>
  <c r="BK213" i="9"/>
  <c r="CR208" i="9"/>
  <c r="BK46" i="9"/>
  <c r="DA66" i="9"/>
  <c r="BV111" i="9"/>
  <c r="BV224" i="9"/>
  <c r="CR493" i="9"/>
  <c r="DY188" i="9"/>
  <c r="BT269" i="9"/>
  <c r="CE147" i="9"/>
  <c r="BV325" i="9"/>
  <c r="CE198" i="9"/>
  <c r="BI94" i="9"/>
  <c r="EJ159" i="9"/>
  <c r="BK104" i="9"/>
  <c r="CE137" i="9"/>
  <c r="DL167" i="9"/>
  <c r="CP266" i="9"/>
  <c r="CE30" i="9"/>
  <c r="CR168" i="9"/>
  <c r="BT290" i="9"/>
  <c r="DC221" i="9"/>
  <c r="DC175" i="9"/>
  <c r="CP334" i="9"/>
  <c r="CE262" i="9"/>
  <c r="CG177" i="9"/>
  <c r="CE310" i="9"/>
  <c r="BI95" i="9"/>
  <c r="BT258" i="9"/>
  <c r="CR229" i="9"/>
  <c r="BK220" i="9"/>
  <c r="BV381" i="9"/>
  <c r="CE345" i="9"/>
  <c r="BT416" i="9"/>
  <c r="S202" i="9"/>
  <c r="CR209" i="9"/>
  <c r="CG59" i="9"/>
  <c r="BV234" i="9"/>
  <c r="BT156" i="9"/>
  <c r="S61" i="9"/>
  <c r="CG180" i="9"/>
  <c r="AZ94" i="9"/>
  <c r="BV382" i="9"/>
  <c r="CP62" i="9"/>
  <c r="CE240" i="9"/>
  <c r="DW633" i="9"/>
  <c r="AZ32" i="9"/>
  <c r="BT144" i="9"/>
  <c r="CG258" i="9"/>
  <c r="S193" i="9"/>
  <c r="BT387" i="9"/>
  <c r="CR553" i="9"/>
  <c r="CG99" i="9"/>
  <c r="BI92" i="9"/>
  <c r="CG144" i="9"/>
  <c r="DL86" i="9"/>
  <c r="DY55" i="9"/>
  <c r="CR439" i="9"/>
  <c r="CR328" i="9"/>
  <c r="BT309" i="9"/>
  <c r="BV134" i="9"/>
  <c r="CG183" i="9"/>
  <c r="CR443" i="9"/>
  <c r="DA241" i="9"/>
  <c r="BV231" i="9"/>
  <c r="BV369" i="9"/>
  <c r="AM49" i="9"/>
  <c r="BV376" i="9"/>
  <c r="BV415" i="9"/>
  <c r="BT315" i="9"/>
  <c r="BK92" i="9"/>
  <c r="AX118" i="9"/>
  <c r="F207" i="9"/>
  <c r="BV142" i="9"/>
  <c r="CR81" i="9"/>
  <c r="CR584" i="9"/>
  <c r="AX63" i="9"/>
  <c r="BV262" i="9"/>
  <c r="BV65" i="9"/>
  <c r="AO387" i="9"/>
  <c r="AO294" i="9"/>
  <c r="BK197" i="9"/>
  <c r="BV62" i="9"/>
  <c r="Q239" i="9"/>
  <c r="CE331" i="9"/>
  <c r="DY309" i="9"/>
  <c r="CR562" i="9"/>
  <c r="DA187" i="9"/>
  <c r="CP148" i="9"/>
  <c r="DN327" i="9"/>
  <c r="CP425" i="9"/>
  <c r="CP523" i="9"/>
  <c r="CR272" i="9"/>
  <c r="DL108" i="9"/>
  <c r="CE342" i="9"/>
  <c r="BT304" i="9"/>
  <c r="CR323" i="9"/>
  <c r="BI145" i="9"/>
  <c r="CE167" i="9"/>
  <c r="CE196" i="9"/>
  <c r="CP524" i="9"/>
  <c r="BI208" i="9"/>
  <c r="BT55" i="9"/>
  <c r="AZ123" i="9"/>
  <c r="CR28" i="9"/>
  <c r="CR83" i="9"/>
  <c r="CE243" i="9"/>
  <c r="BT125" i="9"/>
  <c r="CR262" i="9"/>
  <c r="CP468" i="9"/>
  <c r="CR517" i="9"/>
  <c r="CE227" i="9"/>
  <c r="CE46" i="9"/>
  <c r="BT415" i="9"/>
  <c r="CE125" i="9"/>
  <c r="BI53" i="9"/>
  <c r="CR340" i="9"/>
  <c r="CP45" i="9"/>
  <c r="AZ171" i="9"/>
  <c r="DC26" i="9"/>
  <c r="CP366" i="9"/>
  <c r="CG95" i="9"/>
  <c r="BK192" i="9"/>
  <c r="CR558" i="9"/>
  <c r="CP92" i="9"/>
  <c r="BT320" i="9"/>
  <c r="CR520" i="9"/>
  <c r="CP595" i="9"/>
  <c r="DY425" i="9"/>
  <c r="DL255" i="9"/>
  <c r="CG241" i="9"/>
  <c r="CP436" i="9"/>
  <c r="CE63" i="9"/>
  <c r="BT310" i="9"/>
  <c r="CP600" i="9"/>
  <c r="CR352" i="9"/>
  <c r="CR551" i="9"/>
  <c r="CR432" i="9"/>
  <c r="CP493" i="9"/>
  <c r="CG48" i="9"/>
  <c r="Q228" i="9"/>
  <c r="BT305" i="9"/>
  <c r="BT361" i="9"/>
  <c r="CE160" i="9"/>
  <c r="Q166" i="9"/>
  <c r="AM98" i="9"/>
  <c r="CE220" i="9"/>
  <c r="CR460" i="9"/>
  <c r="CP252" i="9"/>
  <c r="DC192" i="9"/>
  <c r="BV386" i="9"/>
  <c r="CR269" i="9"/>
  <c r="CP248" i="9"/>
  <c r="BT177" i="9"/>
  <c r="CR204" i="9"/>
  <c r="CG74" i="9"/>
  <c r="CP477" i="9"/>
  <c r="DC158" i="9"/>
  <c r="DC52" i="9"/>
  <c r="DY356" i="9"/>
  <c r="BI164" i="9"/>
  <c r="AZ169" i="9"/>
  <c r="AX64" i="9"/>
  <c r="CG162" i="9"/>
  <c r="BI45" i="9"/>
  <c r="CP220" i="9"/>
  <c r="BK194" i="9"/>
  <c r="CR271" i="9"/>
  <c r="CP422" i="9"/>
  <c r="BV220" i="9"/>
  <c r="BT181" i="9"/>
  <c r="CE320" i="9"/>
  <c r="S173" i="9"/>
  <c r="BK155" i="9"/>
  <c r="BT346" i="9"/>
  <c r="CR96" i="9"/>
  <c r="S180" i="9"/>
  <c r="CG262" i="9"/>
  <c r="EJ151" i="9"/>
  <c r="CP166" i="9"/>
  <c r="CE276" i="9"/>
  <c r="CP583" i="9"/>
  <c r="CP405" i="9"/>
  <c r="CP581" i="9"/>
  <c r="S227" i="9"/>
  <c r="DC216" i="9"/>
  <c r="CR41" i="9"/>
  <c r="CP68" i="9"/>
  <c r="AO167" i="9"/>
  <c r="AZ69" i="9"/>
  <c r="AX117" i="9"/>
  <c r="Q216" i="9"/>
  <c r="AX125" i="9"/>
  <c r="BV171" i="9"/>
  <c r="AX67" i="9"/>
  <c r="AO111" i="9"/>
  <c r="CE252" i="9"/>
  <c r="S230" i="9"/>
  <c r="F91" i="9"/>
  <c r="BK178" i="9"/>
  <c r="BI188" i="9"/>
  <c r="AM134" i="9"/>
  <c r="DY216" i="9"/>
  <c r="EH75" i="9"/>
  <c r="BV318" i="9"/>
  <c r="AZ42" i="9"/>
  <c r="S210" i="9"/>
  <c r="EJ38" i="9"/>
  <c r="BT382" i="9"/>
  <c r="BV57" i="9"/>
  <c r="BT138" i="9"/>
  <c r="CR585" i="9"/>
  <c r="CG329" i="9"/>
  <c r="AZ53" i="9"/>
  <c r="Q212" i="9"/>
  <c r="BV92" i="9"/>
  <c r="CE363" i="9"/>
  <c r="BT351" i="9"/>
  <c r="CP188" i="9"/>
  <c r="BV389" i="9"/>
  <c r="CP180" i="9"/>
  <c r="CP81" i="9"/>
  <c r="Q193" i="9"/>
  <c r="CG215" i="9"/>
  <c r="CP631" i="9"/>
  <c r="BT359" i="9"/>
  <c r="CP63" i="9"/>
  <c r="CR569" i="9"/>
  <c r="CE367" i="9"/>
  <c r="CG62" i="9"/>
  <c r="CR619" i="9"/>
  <c r="S207" i="9"/>
  <c r="BV199" i="9"/>
  <c r="BI236" i="9"/>
  <c r="CE237" i="9"/>
  <c r="BK243" i="9"/>
  <c r="DC60" i="9"/>
  <c r="BT74" i="9"/>
  <c r="CG98" i="9"/>
  <c r="AM268" i="9"/>
  <c r="CE151" i="9"/>
  <c r="BV371" i="9"/>
  <c r="CG139" i="9"/>
  <c r="BK208" i="9"/>
  <c r="CG254" i="9"/>
  <c r="DY493" i="9"/>
  <c r="CR381" i="9"/>
  <c r="CE341" i="9"/>
  <c r="BT22" i="9"/>
  <c r="CG169" i="9"/>
  <c r="CR467" i="9"/>
  <c r="Q149" i="9"/>
  <c r="CG280" i="9"/>
  <c r="CE144" i="9"/>
  <c r="DL276" i="9"/>
  <c r="EH136" i="9"/>
  <c r="AX119" i="9"/>
  <c r="AX103" i="9"/>
  <c r="CR536" i="9"/>
  <c r="BV363" i="9"/>
  <c r="S252" i="9"/>
  <c r="CE118" i="9"/>
  <c r="CG147" i="9"/>
  <c r="DL272" i="9"/>
  <c r="BV388" i="9"/>
  <c r="DA123" i="9"/>
  <c r="BT401" i="9"/>
  <c r="BV31" i="9"/>
  <c r="CG351" i="9"/>
  <c r="AO49" i="9"/>
  <c r="CG246" i="9"/>
  <c r="BK235" i="9"/>
  <c r="S236" i="9"/>
  <c r="Q189" i="9"/>
  <c r="BT108" i="9"/>
  <c r="S181" i="9"/>
  <c r="CE219" i="9"/>
  <c r="BK169" i="9"/>
  <c r="AX101" i="9"/>
  <c r="DC27" i="9"/>
  <c r="CE180" i="9"/>
  <c r="AD89" i="9"/>
  <c r="BT44" i="9"/>
  <c r="CE267" i="9"/>
  <c r="Q168" i="9"/>
  <c r="BK137" i="9"/>
  <c r="CR201" i="9"/>
  <c r="BV281" i="9"/>
  <c r="BV55" i="9"/>
  <c r="CG275" i="9"/>
  <c r="CE233" i="9"/>
  <c r="BV126" i="9"/>
  <c r="CE143" i="9"/>
  <c r="CE94" i="9"/>
  <c r="DL65" i="9"/>
  <c r="CP578" i="9"/>
  <c r="BT370" i="9"/>
  <c r="CR213" i="9"/>
  <c r="S213" i="9"/>
  <c r="BT142" i="9"/>
  <c r="CP453" i="9"/>
  <c r="BT296" i="9"/>
  <c r="BT61" i="9"/>
  <c r="CP549" i="9"/>
  <c r="CE317" i="9"/>
  <c r="BV432" i="9"/>
  <c r="AX45" i="9"/>
  <c r="BV38" i="9"/>
  <c r="BV355" i="9"/>
  <c r="AZ78" i="9"/>
  <c r="BV403" i="9"/>
  <c r="BK78" i="9"/>
  <c r="BT295" i="9"/>
  <c r="CG264" i="9"/>
  <c r="AZ140" i="9"/>
  <c r="BT231" i="9"/>
  <c r="AM353" i="9"/>
  <c r="BT293" i="9"/>
  <c r="CG223" i="9"/>
  <c r="CR622" i="9"/>
  <c r="DN57" i="9"/>
  <c r="CP336" i="9"/>
  <c r="DC200" i="9"/>
  <c r="DL245" i="9"/>
  <c r="DY446" i="9"/>
  <c r="CP28" i="9"/>
  <c r="DA80" i="9"/>
  <c r="CG43" i="9"/>
  <c r="BV346" i="9"/>
  <c r="CR246" i="9"/>
  <c r="CG263" i="9"/>
  <c r="S221" i="9"/>
  <c r="BT223" i="9"/>
  <c r="CR39" i="9"/>
  <c r="EH107" i="9"/>
  <c r="CG161" i="9"/>
  <c r="CG112" i="9"/>
  <c r="BT150" i="9"/>
  <c r="BT379" i="9"/>
  <c r="CE365" i="9"/>
  <c r="BT212" i="9"/>
  <c r="CE50" i="9"/>
  <c r="CG159" i="9"/>
  <c r="BT429" i="9"/>
  <c r="CP543" i="9"/>
  <c r="CP628" i="9"/>
  <c r="CR378" i="9"/>
  <c r="CR187" i="9"/>
  <c r="BV115" i="9"/>
  <c r="CG336" i="9"/>
  <c r="BI146" i="9"/>
  <c r="CE339" i="9"/>
  <c r="CR590" i="9"/>
  <c r="DL90" i="9"/>
  <c r="CE90" i="9"/>
  <c r="CP356" i="9"/>
  <c r="CP363" i="9"/>
  <c r="AX65" i="9"/>
  <c r="CG75" i="9"/>
  <c r="AM392" i="9"/>
  <c r="Q217" i="9"/>
  <c r="Q201" i="9"/>
  <c r="BT435" i="9"/>
  <c r="BT422" i="9"/>
  <c r="BI151" i="9"/>
  <c r="CG23" i="9"/>
  <c r="AX34" i="9"/>
  <c r="CG316" i="9"/>
  <c r="DL177" i="9"/>
  <c r="BV232" i="9"/>
  <c r="CE356" i="9"/>
  <c r="EH44" i="9"/>
  <c r="CE80" i="9"/>
  <c r="CP286" i="9"/>
  <c r="BT98" i="9"/>
  <c r="CR425" i="9"/>
  <c r="BI60" i="9"/>
  <c r="Q170" i="9"/>
  <c r="BT40" i="9"/>
  <c r="CE112" i="9"/>
  <c r="CG197" i="9"/>
  <c r="AO237" i="9"/>
  <c r="DY337" i="9"/>
  <c r="DL131" i="9"/>
  <c r="CE351" i="9"/>
  <c r="CE71" i="9"/>
  <c r="DL156" i="9"/>
  <c r="F554" i="9"/>
  <c r="CG160" i="9"/>
  <c r="BI109" i="9"/>
  <c r="CR233" i="9"/>
  <c r="DL158" i="9"/>
  <c r="CG26" i="9"/>
  <c r="CG371" i="9"/>
  <c r="CR564" i="9"/>
  <c r="CG376" i="9"/>
  <c r="BV80" i="9"/>
  <c r="CE91" i="9"/>
  <c r="CR454" i="9"/>
  <c r="CE106" i="9"/>
  <c r="CE346" i="9"/>
  <c r="EJ44" i="9"/>
  <c r="CR607" i="9"/>
  <c r="BT117" i="9"/>
  <c r="CR477" i="9"/>
  <c r="AZ119" i="9"/>
  <c r="CR93" i="9"/>
  <c r="BT313" i="9"/>
  <c r="CP89" i="9"/>
  <c r="CP118" i="9"/>
  <c r="BV435" i="9"/>
  <c r="DN213" i="9"/>
  <c r="AX84" i="9"/>
  <c r="CP136" i="9"/>
  <c r="BT147" i="9"/>
  <c r="S220" i="9"/>
  <c r="CE61" i="9"/>
  <c r="AO330" i="9"/>
  <c r="AX167" i="9"/>
  <c r="BT282" i="9"/>
  <c r="BV406" i="9"/>
  <c r="BI143" i="9"/>
  <c r="Q112" i="9"/>
  <c r="CG309" i="9"/>
  <c r="BT209" i="9"/>
  <c r="AO73" i="9"/>
  <c r="CE128" i="9"/>
  <c r="AB60" i="9"/>
  <c r="AZ154" i="9"/>
  <c r="Q229" i="9"/>
  <c r="EH150" i="9"/>
  <c r="CE154" i="9"/>
  <c r="S94" i="9"/>
  <c r="F630" i="9"/>
  <c r="AX130" i="9"/>
  <c r="BT360" i="9"/>
  <c r="CG191" i="9"/>
  <c r="CE62" i="9"/>
  <c r="CP401" i="9"/>
  <c r="CR366" i="9"/>
  <c r="CP563" i="9"/>
  <c r="CE358" i="9"/>
  <c r="DC212" i="9"/>
  <c r="CR495" i="9"/>
  <c r="CP464" i="9"/>
  <c r="CP504" i="9"/>
  <c r="Q207" i="9"/>
  <c r="CR329" i="9"/>
  <c r="CR258" i="9"/>
  <c r="DN242" i="9"/>
  <c r="CG213" i="9"/>
  <c r="CG259" i="9"/>
  <c r="BT239" i="9"/>
  <c r="DY663" i="9"/>
  <c r="BT294" i="9"/>
  <c r="AM105" i="9"/>
  <c r="CG292" i="9"/>
  <c r="CG72" i="9"/>
  <c r="CR546" i="9"/>
  <c r="BK150" i="9"/>
  <c r="BK207" i="9"/>
  <c r="BT111" i="9"/>
  <c r="S250" i="9"/>
  <c r="CP32" i="9"/>
  <c r="CP123" i="9"/>
  <c r="BT250" i="9"/>
  <c r="CG300" i="9"/>
  <c r="CP55" i="9"/>
  <c r="BV34" i="9"/>
  <c r="AO141" i="9"/>
  <c r="BK138" i="9"/>
  <c r="CR284" i="9"/>
  <c r="DN249" i="9"/>
  <c r="CG202" i="9"/>
  <c r="CE369" i="9"/>
  <c r="BT151" i="9"/>
  <c r="CG163" i="9"/>
  <c r="BI204" i="9"/>
  <c r="CG267" i="9"/>
  <c r="CP327" i="9"/>
  <c r="Q115" i="9"/>
  <c r="BT87" i="9"/>
  <c r="BI41" i="9"/>
  <c r="CR599" i="9"/>
  <c r="BT26" i="9"/>
  <c r="CR240" i="9"/>
  <c r="CR112" i="9"/>
  <c r="AZ146" i="9"/>
  <c r="BV374" i="9"/>
  <c r="BV159" i="9"/>
  <c r="BT51" i="9"/>
  <c r="CR409" i="9"/>
  <c r="CG198" i="9"/>
  <c r="CE155" i="9"/>
  <c r="DN31" i="9"/>
  <c r="CE116" i="9"/>
  <c r="BT245" i="9"/>
  <c r="BT334" i="9"/>
  <c r="CP121" i="9"/>
  <c r="BT433" i="9"/>
  <c r="AZ79" i="9"/>
  <c r="EH47" i="9"/>
  <c r="DN287" i="9"/>
  <c r="DY529" i="9"/>
  <c r="BT72" i="9"/>
  <c r="CP455" i="9"/>
  <c r="CP250" i="9"/>
  <c r="CP150" i="9"/>
  <c r="EH81" i="9"/>
  <c r="CR515" i="9"/>
  <c r="CG314" i="9"/>
  <c r="AX23" i="9"/>
  <c r="CP463" i="9"/>
  <c r="BT291" i="9"/>
  <c r="CG31" i="9"/>
  <c r="BV299" i="9"/>
  <c r="BT403" i="9"/>
  <c r="BV375" i="9"/>
  <c r="BI150" i="9"/>
  <c r="DL103" i="9"/>
  <c r="EJ147" i="9"/>
  <c r="S189" i="9"/>
  <c r="BV405" i="9"/>
  <c r="CR539" i="9"/>
  <c r="CR428" i="9"/>
  <c r="CG374" i="9"/>
  <c r="S197" i="9"/>
  <c r="CP231" i="9"/>
  <c r="AO99" i="9"/>
  <c r="BK95" i="9"/>
  <c r="CP567" i="9"/>
  <c r="CE114" i="9"/>
  <c r="CP471" i="9"/>
  <c r="BT88" i="9"/>
  <c r="BK152" i="9"/>
  <c r="CE82" i="9"/>
  <c r="CP144" i="9"/>
  <c r="CG274" i="9"/>
  <c r="CP601" i="9"/>
  <c r="CE59" i="9"/>
  <c r="CR612" i="9"/>
  <c r="CG166" i="9"/>
  <c r="BV70" i="9"/>
  <c r="BT182" i="9"/>
  <c r="AZ35" i="9"/>
  <c r="BI102" i="9"/>
  <c r="BV263" i="9"/>
  <c r="BV64" i="9"/>
  <c r="F416" i="9"/>
  <c r="CP507" i="9"/>
  <c r="AD38" i="9"/>
  <c r="AM252" i="9"/>
  <c r="BT176" i="9"/>
  <c r="AM232" i="9"/>
  <c r="BT264" i="9"/>
  <c r="F586" i="9"/>
  <c r="CG174" i="9"/>
  <c r="BI182" i="9"/>
  <c r="CE275" i="9"/>
  <c r="BV156" i="9"/>
  <c r="BK182" i="9"/>
  <c r="BT388" i="9"/>
  <c r="BV193" i="9"/>
  <c r="F67" i="9"/>
  <c r="BI230" i="9"/>
  <c r="DC168" i="9"/>
  <c r="CG124" i="9"/>
  <c r="CR404" i="9"/>
  <c r="BV121" i="9"/>
  <c r="CR158" i="9"/>
  <c r="CE256" i="9"/>
  <c r="EJ132" i="9"/>
  <c r="CR330" i="9"/>
  <c r="CE264" i="9"/>
  <c r="BV398" i="9"/>
  <c r="AZ174" i="9"/>
  <c r="AO393" i="9"/>
  <c r="BV99" i="9"/>
  <c r="CE258" i="9"/>
  <c r="BI120" i="9"/>
  <c r="BI142" i="9"/>
  <c r="AZ51" i="9"/>
  <c r="DA147" i="9"/>
  <c r="BT289" i="9"/>
  <c r="BV384" i="9"/>
  <c r="CG84" i="9"/>
  <c r="BT81" i="9"/>
  <c r="DA226" i="9"/>
  <c r="H524" i="9"/>
  <c r="BK143" i="9"/>
  <c r="CR630" i="9"/>
  <c r="BV201" i="9"/>
  <c r="CE266" i="9"/>
  <c r="CG368" i="9"/>
  <c r="AM329" i="9"/>
  <c r="AO104" i="9"/>
  <c r="H31" i="9"/>
  <c r="S64" i="9"/>
  <c r="CE135" i="9"/>
  <c r="BI134" i="9"/>
  <c r="BT395" i="9"/>
  <c r="BV222" i="9"/>
  <c r="AO308" i="9"/>
  <c r="CG128" i="9"/>
  <c r="BV86" i="9"/>
  <c r="AZ153" i="9"/>
  <c r="CP394" i="9"/>
  <c r="AM386" i="9"/>
  <c r="BI133" i="9"/>
  <c r="BV49" i="9"/>
  <c r="AM315" i="9"/>
  <c r="CE309" i="9"/>
  <c r="AM233" i="9"/>
  <c r="AX149" i="9"/>
  <c r="CR118" i="9"/>
  <c r="BV261" i="9"/>
  <c r="AX131" i="9"/>
  <c r="BK35" i="9"/>
  <c r="AO75" i="9"/>
  <c r="BI30" i="9"/>
  <c r="H28" i="9"/>
  <c r="BT308" i="9"/>
  <c r="CE157" i="9"/>
  <c r="BK50" i="9"/>
  <c r="BV59" i="9"/>
  <c r="BT60" i="9"/>
  <c r="BT242" i="9"/>
  <c r="AD68" i="9"/>
  <c r="BV45" i="9"/>
  <c r="BT408" i="9"/>
  <c r="AX48" i="9"/>
  <c r="BV143" i="9"/>
  <c r="BV75" i="9"/>
  <c r="BV37" i="9"/>
  <c r="AM114" i="9"/>
  <c r="BK224" i="9"/>
  <c r="BK226" i="9"/>
  <c r="BV423" i="9"/>
  <c r="DC182" i="9"/>
  <c r="AM163" i="9"/>
  <c r="BK110" i="9"/>
  <c r="CE42" i="9"/>
  <c r="BI125" i="9"/>
  <c r="AX112" i="9"/>
  <c r="Q50" i="9"/>
  <c r="Q54" i="9"/>
  <c r="DC84" i="9"/>
  <c r="BV249" i="9"/>
  <c r="BI196" i="9"/>
  <c r="BV288" i="9"/>
  <c r="BV451" i="9"/>
  <c r="CR593" i="9"/>
  <c r="AO219" i="9"/>
  <c r="BI32" i="9"/>
  <c r="AM345" i="9"/>
  <c r="BK65" i="9"/>
  <c r="F58" i="9"/>
  <c r="AX128" i="9"/>
  <c r="BV279" i="9"/>
  <c r="AX33" i="9"/>
  <c r="F258" i="9"/>
  <c r="BI241" i="9"/>
  <c r="AM40" i="9"/>
  <c r="F125" i="9"/>
  <c r="AM408" i="9"/>
  <c r="AO59" i="9"/>
  <c r="AO305" i="9"/>
  <c r="Q81" i="9"/>
  <c r="AO227" i="9"/>
  <c r="AM350" i="9"/>
  <c r="CE85" i="9"/>
  <c r="BI247" i="9"/>
  <c r="BK135" i="9"/>
  <c r="AD70" i="9"/>
  <c r="F570" i="9"/>
  <c r="AO171" i="9"/>
  <c r="F332" i="9"/>
  <c r="AO226" i="9"/>
  <c r="AO184" i="9"/>
  <c r="F193" i="9"/>
  <c r="F618" i="9"/>
  <c r="S30" i="9"/>
  <c r="BI149" i="9"/>
  <c r="S44" i="9"/>
  <c r="H265" i="9"/>
  <c r="F117" i="9"/>
  <c r="CG247" i="9"/>
  <c r="AO204" i="9"/>
  <c r="AO95" i="9"/>
  <c r="F472" i="9"/>
  <c r="H413" i="9"/>
  <c r="CR552" i="9"/>
  <c r="CP371" i="9"/>
  <c r="CG82" i="9"/>
  <c r="CG305" i="9"/>
  <c r="CR238" i="9"/>
  <c r="Q215" i="9"/>
  <c r="CG76" i="9"/>
  <c r="Q178" i="9"/>
  <c r="CR92" i="9"/>
  <c r="BT262" i="9"/>
  <c r="AM388" i="9"/>
  <c r="AM387" i="9"/>
  <c r="DC151" i="9"/>
  <c r="F502" i="9"/>
  <c r="BV105" i="9"/>
  <c r="CE113" i="9"/>
  <c r="AZ70" i="9"/>
  <c r="F600" i="9"/>
  <c r="CG228" i="9"/>
  <c r="BT175" i="9"/>
  <c r="H316" i="9"/>
  <c r="BT115" i="9"/>
  <c r="BK105" i="9"/>
  <c r="AM84" i="9"/>
  <c r="AM52" i="9"/>
  <c r="BV421" i="9"/>
  <c r="BT407" i="9"/>
  <c r="AO268" i="9"/>
  <c r="AO185" i="9"/>
  <c r="F459" i="9"/>
  <c r="BT317" i="9"/>
  <c r="CE232" i="9"/>
  <c r="BT421" i="9"/>
  <c r="BI228" i="9"/>
  <c r="Q113" i="9"/>
  <c r="AX157" i="9"/>
  <c r="F506" i="9"/>
  <c r="CG306" i="9"/>
  <c r="BK183" i="9"/>
  <c r="AD79" i="9"/>
  <c r="CP486" i="9"/>
  <c r="BV337" i="9"/>
  <c r="BV394" i="9"/>
  <c r="DN169" i="9"/>
  <c r="BV135" i="9"/>
  <c r="BK211" i="9"/>
  <c r="AO84" i="9"/>
  <c r="BI63" i="9"/>
  <c r="AM108" i="9"/>
  <c r="CE191" i="9"/>
  <c r="AM191" i="9"/>
  <c r="AM393" i="9"/>
  <c r="BI226" i="9"/>
  <c r="AM390" i="9"/>
  <c r="BT205" i="9"/>
  <c r="AX126" i="9"/>
  <c r="AD72" i="9"/>
  <c r="AZ175" i="9"/>
  <c r="AX91" i="9"/>
  <c r="BV366" i="9"/>
  <c r="BK47" i="9"/>
  <c r="BV218" i="9"/>
  <c r="AM250" i="9"/>
  <c r="BK130" i="9"/>
  <c r="CP534" i="9"/>
  <c r="AM343" i="9"/>
  <c r="S74" i="9"/>
  <c r="CP520" i="9"/>
  <c r="CG85" i="9"/>
  <c r="AO38" i="9"/>
  <c r="BI229" i="9"/>
  <c r="BK83" i="9"/>
  <c r="AZ38" i="9"/>
  <c r="BT35" i="9"/>
  <c r="CG323" i="9"/>
  <c r="F202" i="9"/>
  <c r="S39" i="9"/>
  <c r="AZ124" i="9"/>
  <c r="BT197" i="9"/>
  <c r="BT140" i="9"/>
  <c r="BK68" i="9"/>
  <c r="AO248" i="9"/>
  <c r="AX123" i="9"/>
  <c r="CE248" i="9"/>
  <c r="BK71" i="9"/>
  <c r="CE249" i="9"/>
  <c r="F452" i="9"/>
  <c r="Q232" i="9"/>
  <c r="BV33" i="9"/>
  <c r="AO266" i="9"/>
  <c r="CE26" i="9"/>
  <c r="CG38" i="9"/>
  <c r="S58" i="9"/>
  <c r="BT244" i="9"/>
  <c r="AZ104" i="9"/>
  <c r="H77" i="9"/>
  <c r="AO173" i="9"/>
  <c r="BV377" i="9"/>
  <c r="BV181" i="9"/>
  <c r="F273" i="9"/>
  <c r="AO200" i="9"/>
  <c r="S32" i="9"/>
  <c r="CG352" i="9"/>
  <c r="CR588" i="9"/>
  <c r="CR373" i="9"/>
  <c r="DA84" i="9"/>
  <c r="AO351" i="9"/>
  <c r="CP39" i="9"/>
  <c r="AZ98" i="9"/>
  <c r="CR418" i="9"/>
  <c r="BV122" i="9"/>
  <c r="S169" i="9"/>
  <c r="AD39" i="9"/>
  <c r="CG156" i="9"/>
  <c r="DN214" i="9"/>
  <c r="CG119" i="9"/>
  <c r="S26" i="9"/>
  <c r="BT77" i="9"/>
  <c r="AX162" i="9"/>
  <c r="CG277" i="9"/>
  <c r="BT444" i="9"/>
  <c r="CG164" i="9"/>
  <c r="BV186" i="9"/>
  <c r="BT235" i="9"/>
  <c r="AZ121" i="9"/>
  <c r="H222" i="9"/>
  <c r="BT91" i="9"/>
  <c r="BT102" i="9"/>
  <c r="BV108" i="9"/>
  <c r="AZ167" i="9"/>
  <c r="CG291" i="9"/>
  <c r="BI59" i="9"/>
  <c r="CG132" i="9"/>
  <c r="CE279" i="9"/>
  <c r="BV426" i="9"/>
  <c r="CG188" i="9"/>
  <c r="AO274" i="9"/>
  <c r="CE299" i="9"/>
  <c r="CG30" i="9"/>
  <c r="Q179" i="9"/>
  <c r="AO169" i="9"/>
  <c r="BV60" i="9"/>
  <c r="BI158" i="9"/>
  <c r="AX120" i="9"/>
  <c r="BT229" i="9"/>
  <c r="CG279" i="9"/>
  <c r="AO161" i="9"/>
  <c r="CG344" i="9"/>
  <c r="BK204" i="9"/>
  <c r="BV411" i="9"/>
  <c r="AB92" i="9"/>
  <c r="AZ158" i="9"/>
  <c r="AM26" i="9"/>
  <c r="CG141" i="9"/>
  <c r="BV176" i="9"/>
  <c r="BV323" i="9"/>
  <c r="AD36" i="9"/>
  <c r="BV180" i="9"/>
  <c r="Q34" i="9"/>
  <c r="BV300" i="9"/>
  <c r="BV294" i="9"/>
  <c r="S141" i="9"/>
  <c r="CP246" i="9"/>
  <c r="CG217" i="9"/>
  <c r="BV395" i="9"/>
  <c r="S93" i="9"/>
  <c r="BI107" i="9"/>
  <c r="AZ143" i="9"/>
  <c r="AM29" i="9"/>
  <c r="BV440" i="9"/>
  <c r="BK241" i="9"/>
  <c r="H300" i="9"/>
  <c r="BK66" i="9"/>
  <c r="AX155" i="9"/>
  <c r="BT63" i="9"/>
  <c r="F421" i="9"/>
  <c r="BK247" i="9"/>
  <c r="BV412" i="9"/>
  <c r="AD83" i="9"/>
  <c r="BK210" i="9"/>
  <c r="Q74" i="9"/>
  <c r="H429" i="9"/>
  <c r="BV245" i="9"/>
  <c r="BI100" i="9"/>
  <c r="CR265" i="9"/>
  <c r="AO98" i="9"/>
  <c r="BK139" i="9"/>
  <c r="BV179" i="9"/>
  <c r="F517" i="9"/>
  <c r="BT83" i="9"/>
  <c r="BV400" i="9"/>
  <c r="Q61" i="9"/>
  <c r="BV42" i="9"/>
  <c r="AM222" i="9"/>
  <c r="CP364" i="9"/>
  <c r="AB78" i="9"/>
  <c r="BT172" i="9"/>
  <c r="BI210" i="9"/>
  <c r="AM243" i="9"/>
  <c r="AX88" i="9"/>
  <c r="AO262" i="9"/>
  <c r="AD67" i="9"/>
  <c r="F336" i="9"/>
  <c r="BV385" i="9"/>
  <c r="Q173" i="9"/>
  <c r="F249" i="9"/>
  <c r="AD54" i="9"/>
  <c r="AZ107" i="9"/>
  <c r="BV96" i="9"/>
  <c r="Q128" i="9"/>
  <c r="AO283" i="9"/>
  <c r="AZ62" i="9"/>
  <c r="AO42" i="9"/>
  <c r="BK48" i="9"/>
  <c r="AM375" i="9"/>
  <c r="H411" i="9"/>
  <c r="BI121" i="9"/>
  <c r="AX106" i="9"/>
  <c r="CP469" i="9"/>
  <c r="DL126" i="9"/>
  <c r="CE138" i="9"/>
  <c r="CR492" i="9"/>
  <c r="CG107" i="9"/>
  <c r="CR115" i="9"/>
  <c r="AB82" i="9"/>
  <c r="S241" i="9"/>
  <c r="Q197" i="9"/>
  <c r="BV254" i="9"/>
  <c r="BK198" i="9"/>
  <c r="BK70" i="9"/>
  <c r="S50" i="9"/>
  <c r="CR273" i="9"/>
  <c r="Q95" i="9"/>
  <c r="BK153" i="9"/>
  <c r="CE210" i="9"/>
  <c r="CR594" i="9"/>
  <c r="AZ93" i="9"/>
  <c r="AX136" i="9"/>
  <c r="AO300" i="9"/>
  <c r="AM251" i="9"/>
  <c r="AM133" i="9"/>
  <c r="BV235" i="9"/>
  <c r="CE257" i="9"/>
  <c r="BI165" i="9"/>
  <c r="AZ41" i="9"/>
  <c r="BT85" i="9"/>
  <c r="BV335" i="9"/>
  <c r="AM311" i="9"/>
  <c r="AX73" i="9"/>
  <c r="AX152" i="9"/>
  <c r="BV69" i="9"/>
  <c r="AO395" i="9"/>
  <c r="CG46" i="9"/>
  <c r="BI115" i="9"/>
  <c r="CR159" i="9"/>
  <c r="BK219" i="9"/>
  <c r="BI246" i="9"/>
  <c r="AB46" i="9"/>
  <c r="BV119" i="9"/>
  <c r="AO335" i="9"/>
  <c r="AZ49" i="9"/>
  <c r="AM116" i="9"/>
  <c r="CP374" i="9"/>
  <c r="CP22" i="9"/>
  <c r="CG116" i="9"/>
  <c r="H156" i="9"/>
  <c r="AO389" i="9"/>
  <c r="BT257" i="9"/>
  <c r="AB64" i="9"/>
  <c r="BV194" i="9"/>
  <c r="BT169" i="9"/>
  <c r="AZ125" i="9"/>
  <c r="BT253" i="9"/>
  <c r="BK123" i="9"/>
  <c r="S159" i="9"/>
  <c r="BV97" i="9"/>
  <c r="BK202" i="9"/>
  <c r="AO53" i="9"/>
  <c r="CP492" i="9"/>
  <c r="AO127" i="9"/>
  <c r="BT201" i="9"/>
  <c r="BT186" i="9"/>
  <c r="BI52" i="9"/>
  <c r="BI130" i="9"/>
  <c r="CR42" i="9"/>
  <c r="AO259" i="9"/>
  <c r="BK162" i="9"/>
  <c r="AZ135" i="9"/>
  <c r="CP315" i="9"/>
  <c r="AX153" i="9"/>
  <c r="BT450" i="9"/>
  <c r="BI126" i="9"/>
  <c r="CP262" i="9"/>
  <c r="AM67" i="9"/>
  <c r="BT337" i="9"/>
  <c r="BT362" i="9"/>
  <c r="AM215" i="9"/>
  <c r="CP72" i="9"/>
  <c r="BT274" i="9"/>
  <c r="BT240" i="9"/>
  <c r="CE328" i="9"/>
  <c r="BI31" i="9"/>
  <c r="BK206" i="9"/>
  <c r="BT216" i="9"/>
  <c r="CG129" i="9"/>
  <c r="CR206" i="9"/>
  <c r="BV158" i="9"/>
  <c r="BK141" i="9"/>
  <c r="AZ105" i="9"/>
  <c r="Q214" i="9"/>
  <c r="BT38" i="9"/>
  <c r="BI36" i="9"/>
  <c r="AB25" i="9"/>
  <c r="AO27" i="9"/>
  <c r="CE286" i="9"/>
  <c r="AD92" i="9"/>
  <c r="S51" i="9"/>
  <c r="F324" i="9"/>
  <c r="AM194" i="9"/>
  <c r="CP546" i="9"/>
  <c r="F573" i="9"/>
  <c r="F275" i="9"/>
  <c r="BI194" i="9"/>
  <c r="F308" i="9"/>
  <c r="F394" i="9"/>
  <c r="AO107" i="9"/>
  <c r="Q76" i="9"/>
  <c r="AM398" i="9"/>
  <c r="BI23" i="9"/>
  <c r="AZ160" i="9"/>
  <c r="CG361" i="9"/>
  <c r="AO149" i="9"/>
  <c r="AO186" i="9"/>
  <c r="AO183" i="9"/>
  <c r="CG57" i="9"/>
  <c r="AM148" i="9"/>
  <c r="H453" i="9"/>
  <c r="AM153" i="9"/>
  <c r="BK136" i="9"/>
  <c r="BT261" i="9"/>
  <c r="AO295" i="9"/>
  <c r="CP278" i="9"/>
  <c r="BT389" i="9"/>
  <c r="S149" i="9"/>
  <c r="CE152" i="9"/>
  <c r="CR307" i="9"/>
  <c r="DL331" i="9"/>
  <c r="BV416" i="9"/>
  <c r="CP114" i="9"/>
  <c r="CG276" i="9"/>
  <c r="CE269" i="9"/>
  <c r="BI28" i="9"/>
  <c r="CG108" i="9"/>
  <c r="BI167" i="9"/>
  <c r="BI177" i="9"/>
  <c r="AX52" i="9"/>
  <c r="AO333" i="9"/>
  <c r="BT299" i="9"/>
  <c r="AX66" i="9"/>
  <c r="BI132" i="9"/>
  <c r="CG28" i="9"/>
  <c r="CP170" i="9"/>
  <c r="AZ172" i="9"/>
  <c r="AX124" i="9"/>
  <c r="BT330" i="9"/>
  <c r="BV161" i="9"/>
  <c r="H56" i="9"/>
  <c r="AD33" i="9"/>
  <c r="CR531" i="9"/>
  <c r="AX77" i="9"/>
  <c r="BV213" i="9"/>
  <c r="BK242" i="9"/>
  <c r="BV71" i="9"/>
  <c r="BK229" i="9"/>
  <c r="CE66" i="9"/>
  <c r="CG349" i="9"/>
  <c r="BI106" i="9"/>
  <c r="DL275" i="9"/>
  <c r="BV98" i="9"/>
  <c r="BT249" i="9"/>
  <c r="H142" i="9"/>
  <c r="BK168" i="9"/>
  <c r="BV408" i="9"/>
  <c r="S215" i="9"/>
  <c r="BV264" i="9"/>
  <c r="AZ25" i="9"/>
  <c r="DL270" i="9"/>
  <c r="CP403" i="9"/>
  <c r="BK97" i="9"/>
  <c r="F279" i="9"/>
  <c r="AO202" i="9"/>
  <c r="BT447" i="9"/>
  <c r="BT194" i="9"/>
  <c r="CP382" i="9"/>
  <c r="AX58" i="9"/>
  <c r="CP541" i="9"/>
  <c r="AZ43" i="9"/>
  <c r="DA235" i="9"/>
  <c r="AZ116" i="9"/>
  <c r="CE77" i="9"/>
  <c r="CP512" i="9"/>
  <c r="F423" i="9"/>
  <c r="BV228" i="9"/>
  <c r="AO378" i="9"/>
  <c r="BI211" i="9"/>
  <c r="F503" i="9"/>
  <c r="BI171" i="9"/>
  <c r="BT374" i="9"/>
  <c r="H150" i="9"/>
  <c r="AX32" i="9"/>
  <c r="AO249" i="9"/>
  <c r="AX163" i="9"/>
  <c r="AX139" i="9"/>
  <c r="AO201" i="9"/>
  <c r="BT325" i="9"/>
  <c r="CG211" i="9"/>
  <c r="H235" i="9"/>
  <c r="AX51" i="9"/>
  <c r="H54" i="9"/>
  <c r="Q191" i="9"/>
  <c r="F556" i="9"/>
  <c r="BK146" i="9"/>
  <c r="AO303" i="9"/>
  <c r="CE188" i="9"/>
  <c r="BT312" i="9"/>
  <c r="BT32" i="9"/>
  <c r="DN121" i="9"/>
  <c r="CR613" i="9"/>
  <c r="S140" i="9"/>
  <c r="BK142" i="9"/>
  <c r="AO253" i="9"/>
  <c r="AX68" i="9"/>
  <c r="H555" i="9"/>
  <c r="BV339" i="9"/>
  <c r="CR623" i="9"/>
  <c r="CE216" i="9"/>
  <c r="CR91" i="9"/>
  <c r="CE178" i="9"/>
  <c r="CE323" i="9"/>
  <c r="BI147" i="9"/>
  <c r="CG322" i="9"/>
  <c r="CE98" i="9"/>
  <c r="AM64" i="9"/>
  <c r="CE290" i="9"/>
  <c r="AM389" i="9"/>
  <c r="CG327" i="9"/>
  <c r="CE287" i="9"/>
  <c r="F102" i="9"/>
  <c r="CE96" i="9"/>
  <c r="Q88" i="9"/>
  <c r="BI139" i="9"/>
  <c r="BT307" i="9"/>
  <c r="BV316" i="9"/>
  <c r="BT106" i="9"/>
  <c r="CG60" i="9"/>
  <c r="BK173" i="9"/>
  <c r="BK60" i="9"/>
  <c r="AO344" i="9"/>
  <c r="BT189" i="9"/>
  <c r="AM38" i="9"/>
  <c r="F97" i="9"/>
  <c r="CE194" i="9"/>
  <c r="Q116" i="9"/>
  <c r="BT326" i="9"/>
  <c r="BT99" i="9"/>
  <c r="CE321" i="9"/>
  <c r="AM104" i="9"/>
  <c r="AZ26" i="9"/>
  <c r="Q194" i="9"/>
  <c r="AM88" i="9"/>
  <c r="BV72" i="9"/>
  <c r="BK134" i="9"/>
  <c r="AM87" i="9"/>
  <c r="BI74" i="9"/>
  <c r="DC148" i="9"/>
  <c r="CG111" i="9"/>
  <c r="BT168" i="9"/>
  <c r="AX39" i="9"/>
  <c r="BI243" i="9"/>
  <c r="CP31" i="9"/>
  <c r="BV289" i="9"/>
  <c r="AX42" i="9"/>
  <c r="BI166" i="9"/>
  <c r="Q237" i="9"/>
  <c r="CE184" i="9"/>
  <c r="AX98" i="9"/>
  <c r="BV79" i="9"/>
  <c r="AZ60" i="9"/>
  <c r="BV116" i="9"/>
  <c r="AO347" i="9"/>
  <c r="DC241" i="9"/>
  <c r="CG261" i="9"/>
  <c r="AO30" i="9"/>
  <c r="AB49" i="9"/>
  <c r="BK57" i="9"/>
  <c r="CP398" i="9"/>
  <c r="BT297" i="9"/>
  <c r="AX46" i="9"/>
  <c r="CP429" i="9"/>
  <c r="BV353" i="9"/>
  <c r="CP243" i="9"/>
  <c r="AX97" i="9"/>
  <c r="AX28" i="9"/>
  <c r="AO193" i="9"/>
  <c r="BK36" i="9"/>
  <c r="BK129" i="9"/>
  <c r="F528" i="9"/>
  <c r="DL261" i="9"/>
  <c r="AB24" i="9"/>
  <c r="AO181" i="9"/>
  <c r="CR225" i="9"/>
  <c r="BV123" i="9"/>
  <c r="BI219" i="9"/>
  <c r="BI122" i="9"/>
  <c r="BT428" i="9"/>
  <c r="H237" i="9"/>
  <c r="AO374" i="9"/>
  <c r="AD48" i="9"/>
  <c r="BV304" i="9"/>
  <c r="AB42" i="9"/>
  <c r="BK214" i="9"/>
  <c r="BV298" i="9"/>
  <c r="Q60" i="9"/>
  <c r="BK189" i="9"/>
  <c r="BT122" i="9"/>
  <c r="BT84" i="9"/>
  <c r="BK116" i="9"/>
  <c r="Q66" i="9"/>
  <c r="BK52" i="9"/>
  <c r="F557" i="9"/>
  <c r="CG244" i="9"/>
  <c r="S108" i="9"/>
  <c r="H216" i="9"/>
  <c r="BI68" i="9"/>
  <c r="F283" i="9"/>
  <c r="S89" i="9"/>
  <c r="AM171" i="9"/>
  <c r="H510" i="9"/>
  <c r="BV246" i="9"/>
  <c r="BT218" i="9"/>
  <c r="AM397" i="9"/>
  <c r="AZ48" i="9"/>
  <c r="F83" i="9"/>
  <c r="AX82" i="9"/>
  <c r="AO302" i="9"/>
  <c r="BK163" i="9"/>
  <c r="AB47" i="9"/>
  <c r="AB79" i="9"/>
  <c r="AO174" i="9"/>
  <c r="CP287" i="9"/>
  <c r="CG106" i="9"/>
  <c r="CG22" i="9"/>
  <c r="CE158" i="9"/>
  <c r="CP265" i="9"/>
  <c r="AX115" i="9"/>
  <c r="CP442" i="9"/>
  <c r="CE371" i="9"/>
  <c r="Q203" i="9"/>
  <c r="CR154" i="9"/>
  <c r="BI232" i="9"/>
  <c r="CE181" i="9"/>
  <c r="BT396" i="9"/>
  <c r="F575" i="9"/>
  <c r="BT155" i="9"/>
  <c r="BV407" i="9"/>
  <c r="CG136" i="9"/>
  <c r="CG41" i="9"/>
  <c r="BT76" i="9"/>
  <c r="Q183" i="9"/>
  <c r="AX89" i="9"/>
  <c r="F263" i="9"/>
  <c r="BI71" i="9"/>
  <c r="BV56" i="9"/>
  <c r="AM142" i="9"/>
  <c r="AX135" i="9"/>
  <c r="BK89" i="9"/>
  <c r="Q223" i="9"/>
  <c r="AZ24" i="9"/>
  <c r="AZ83" i="9"/>
  <c r="BV216" i="9"/>
  <c r="BV297" i="9"/>
  <c r="BV83" i="9"/>
  <c r="BV307" i="9"/>
  <c r="BK209" i="9"/>
  <c r="AM255" i="9"/>
  <c r="CR472" i="9"/>
  <c r="AM334" i="9"/>
  <c r="BI195" i="9"/>
  <c r="BI202" i="9"/>
  <c r="BT149" i="9"/>
  <c r="BI155" i="9"/>
  <c r="CG47" i="9"/>
  <c r="AM319" i="9"/>
  <c r="AX95" i="9"/>
  <c r="CG354" i="9"/>
  <c r="BT190" i="9"/>
  <c r="CR399" i="9"/>
  <c r="AX127" i="9"/>
  <c r="BV139" i="9"/>
  <c r="BV148" i="9"/>
  <c r="CE311" i="9"/>
  <c r="AZ108" i="9"/>
  <c r="BI238" i="9"/>
  <c r="H104" i="9"/>
  <c r="S130" i="9"/>
  <c r="CG126" i="9"/>
  <c r="BK74" i="9"/>
  <c r="F164" i="9"/>
  <c r="CG52" i="9"/>
  <c r="BV88" i="9"/>
  <c r="CG27" i="9"/>
  <c r="BI50" i="9"/>
  <c r="AX40" i="9"/>
  <c r="BV73" i="9"/>
  <c r="F584" i="9"/>
  <c r="CP271" i="9"/>
  <c r="BV348" i="9"/>
  <c r="BI131" i="9"/>
  <c r="BV327" i="9"/>
  <c r="AZ173" i="9"/>
  <c r="AM291" i="9"/>
  <c r="AB35" i="9"/>
  <c r="CE162" i="9"/>
  <c r="AZ109" i="9"/>
  <c r="Q137" i="9"/>
  <c r="BV206" i="9"/>
  <c r="AZ80" i="9"/>
  <c r="BK231" i="9"/>
  <c r="CG266" i="9"/>
  <c r="AO101" i="9"/>
  <c r="BT386" i="9"/>
  <c r="AX164" i="9"/>
  <c r="DN70" i="9"/>
  <c r="AO241" i="9"/>
  <c r="CP83" i="9"/>
  <c r="CP281" i="9"/>
  <c r="AO406" i="9"/>
  <c r="BV129" i="9"/>
  <c r="CG92" i="9"/>
  <c r="BV409" i="9"/>
  <c r="CR567" i="9"/>
  <c r="AZ101" i="9"/>
  <c r="BI40" i="9"/>
  <c r="BV441" i="9"/>
  <c r="BI67" i="9"/>
  <c r="BT215" i="9"/>
  <c r="H96" i="9"/>
  <c r="BK147" i="9"/>
  <c r="AZ170" i="9"/>
  <c r="AM219" i="9"/>
  <c r="AZ106" i="9"/>
  <c r="AM216" i="9"/>
  <c r="AZ39" i="9"/>
  <c r="H299" i="9"/>
  <c r="AO390" i="9"/>
  <c r="AO254" i="9"/>
  <c r="F425" i="9"/>
  <c r="AO362" i="9"/>
  <c r="AO209" i="9"/>
  <c r="F243" i="9"/>
  <c r="BT241" i="9"/>
  <c r="F446" i="9"/>
  <c r="BV202" i="9"/>
  <c r="BV312" i="9"/>
  <c r="CR315" i="9"/>
  <c r="AX129" i="9"/>
  <c r="BV177" i="9"/>
  <c r="CR62" i="9"/>
  <c r="BI89" i="9"/>
  <c r="AO277" i="9"/>
  <c r="CP500" i="9"/>
  <c r="BK227" i="9"/>
  <c r="Q89" i="9"/>
  <c r="BV197" i="9"/>
  <c r="AO199" i="9"/>
  <c r="CE58" i="9"/>
  <c r="BT158" i="9"/>
  <c r="CG138" i="9"/>
  <c r="H140" i="9"/>
  <c r="AX35" i="9"/>
  <c r="BV117" i="9"/>
  <c r="CG271" i="9"/>
  <c r="BT411" i="9"/>
  <c r="S139" i="9"/>
  <c r="AB40" i="9"/>
  <c r="AZ40" i="9"/>
  <c r="BT52" i="9"/>
  <c r="F319" i="9"/>
  <c r="AM372" i="9"/>
  <c r="BI84" i="9"/>
  <c r="AO343" i="9"/>
  <c r="CE285" i="9"/>
  <c r="CE292" i="9"/>
  <c r="Q67" i="9"/>
  <c r="AZ96" i="9"/>
  <c r="CP176" i="9"/>
  <c r="AM187" i="9"/>
  <c r="BT413" i="9"/>
  <c r="AO194" i="9"/>
  <c r="CG155" i="9"/>
  <c r="S209" i="9"/>
  <c r="AD41" i="9"/>
  <c r="Q209" i="9"/>
  <c r="AM122" i="9"/>
  <c r="BV26" i="9"/>
  <c r="BV342" i="9"/>
  <c r="S158" i="9"/>
  <c r="BV102" i="9"/>
  <c r="BK174" i="9"/>
  <c r="CG51" i="9"/>
  <c r="CP174" i="9"/>
  <c r="S100" i="9"/>
  <c r="EH30" i="9"/>
  <c r="BI58" i="9"/>
  <c r="S36" i="9"/>
  <c r="CG308" i="9"/>
  <c r="AO28" i="9"/>
  <c r="BV165" i="9"/>
  <c r="BV140" i="9"/>
  <c r="AO105" i="9"/>
  <c r="CP157" i="9"/>
  <c r="F46" i="9"/>
  <c r="Q105" i="9"/>
  <c r="F406" i="9"/>
  <c r="CE168" i="9"/>
  <c r="CG201" i="9"/>
  <c r="BV104" i="9"/>
  <c r="BV29" i="9"/>
  <c r="AZ54" i="9"/>
  <c r="BV296" i="9"/>
  <c r="AO207" i="9"/>
  <c r="CE28" i="9"/>
  <c r="AM179" i="9"/>
  <c r="BK49" i="9"/>
  <c r="BV277" i="9"/>
  <c r="BV51" i="9"/>
  <c r="AO242" i="9"/>
  <c r="BK42" i="9"/>
  <c r="BT46" i="9"/>
  <c r="DA64" i="9"/>
  <c r="AM211" i="9"/>
  <c r="AM183" i="9"/>
  <c r="AX69" i="9"/>
  <c r="BI38" i="9"/>
  <c r="AO245" i="9"/>
  <c r="AX147" i="9"/>
  <c r="CG239" i="9"/>
  <c r="Q93" i="9"/>
  <c r="AO369" i="9"/>
  <c r="AM47" i="9"/>
  <c r="AO250" i="9"/>
  <c r="BI221" i="9"/>
  <c r="BV150" i="9"/>
  <c r="AO379" i="9"/>
  <c r="BT414" i="9"/>
  <c r="BI73" i="9"/>
  <c r="BV163" i="9"/>
  <c r="BI119" i="9"/>
  <c r="AO165" i="9"/>
  <c r="CG350" i="9"/>
  <c r="AM286" i="9"/>
  <c r="AD61" i="9"/>
  <c r="BK156" i="9"/>
  <c r="AM95" i="9"/>
  <c r="F140" i="9"/>
  <c r="F135" i="9"/>
  <c r="AM267" i="9"/>
  <c r="Q107" i="9"/>
  <c r="AO368" i="9"/>
  <c r="AZ166" i="9"/>
  <c r="BV118" i="9"/>
  <c r="AM192" i="9"/>
  <c r="AM299" i="9"/>
  <c r="AZ112" i="9"/>
  <c r="S83" i="9"/>
  <c r="BT162" i="9"/>
  <c r="H507" i="9"/>
  <c r="BI62" i="9"/>
  <c r="BT154" i="9"/>
  <c r="AX143" i="9"/>
  <c r="AM383" i="9"/>
  <c r="AX83" i="9"/>
  <c r="Q80" i="9"/>
  <c r="CR309" i="9"/>
  <c r="BT345" i="9"/>
  <c r="BT200" i="9"/>
  <c r="CR326" i="9"/>
  <c r="F176" i="9"/>
  <c r="CG56" i="9"/>
  <c r="BT173" i="9"/>
  <c r="Q196" i="9"/>
  <c r="AX173" i="9"/>
  <c r="CE343" i="9"/>
  <c r="CG54" i="9"/>
  <c r="BI112" i="9"/>
  <c r="AZ88" i="9"/>
  <c r="BI56" i="9"/>
  <c r="CP351" i="9"/>
  <c r="AZ139" i="9"/>
  <c r="AZ68" i="9"/>
  <c r="CP474" i="9"/>
  <c r="AZ89" i="9"/>
  <c r="BI33" i="9"/>
  <c r="BV330" i="9"/>
  <c r="BT129" i="9"/>
  <c r="BI189" i="9"/>
  <c r="CR444" i="9"/>
  <c r="AO79" i="9"/>
  <c r="S143" i="9"/>
  <c r="F191" i="9"/>
  <c r="CP104" i="9"/>
  <c r="AD88" i="9"/>
  <c r="BT179" i="9"/>
  <c r="AZ61" i="9"/>
  <c r="BV450" i="9"/>
  <c r="BV428" i="9"/>
  <c r="BT316" i="9"/>
  <c r="BK185" i="9"/>
  <c r="AX174" i="9"/>
  <c r="CE349" i="9"/>
  <c r="AO315" i="9"/>
  <c r="CG39" i="9"/>
  <c r="BT112" i="9"/>
  <c r="AM145" i="9"/>
  <c r="CR414" i="9"/>
  <c r="BT103" i="9"/>
  <c r="BT336" i="9"/>
  <c r="AB55" i="9"/>
  <c r="Q190" i="9"/>
  <c r="BT226" i="9"/>
  <c r="CR35" i="9"/>
  <c r="BK133" i="9"/>
  <c r="CR566" i="9"/>
  <c r="AZ71" i="9"/>
  <c r="S216" i="9"/>
  <c r="BT363" i="9"/>
  <c r="CE25" i="9"/>
  <c r="H120" i="9"/>
  <c r="F93" i="9"/>
  <c r="BT222" i="9"/>
  <c r="CG206" i="9"/>
  <c r="DL41" i="9"/>
  <c r="AO263" i="9"/>
  <c r="AZ120" i="9"/>
  <c r="H204" i="9"/>
  <c r="BI127" i="9"/>
  <c r="BT449" i="9"/>
  <c r="BV253" i="9"/>
  <c r="BV198" i="9"/>
  <c r="CE172" i="9"/>
  <c r="BV270" i="9"/>
  <c r="CE340" i="9"/>
  <c r="AZ110" i="9"/>
  <c r="AX104" i="9"/>
  <c r="BT101" i="9"/>
  <c r="CG324" i="9"/>
  <c r="CE122" i="9"/>
  <c r="BK64" i="9"/>
  <c r="DA99" i="9"/>
  <c r="BT148" i="9"/>
  <c r="BK111" i="9"/>
  <c r="BT119" i="9"/>
  <c r="F318" i="9"/>
  <c r="BT104" i="9"/>
  <c r="Q47" i="9"/>
  <c r="BV242" i="9"/>
  <c r="S156" i="9"/>
  <c r="BV175" i="9"/>
  <c r="CP397" i="9"/>
  <c r="AO71" i="9"/>
  <c r="CP255" i="9"/>
  <c r="AO385" i="9"/>
  <c r="BK29" i="9"/>
  <c r="CR581" i="9"/>
  <c r="BT120" i="9"/>
  <c r="CE150" i="9"/>
  <c r="AO192" i="9"/>
  <c r="BV336" i="9"/>
  <c r="CE364" i="9"/>
  <c r="S67" i="9"/>
  <c r="H329" i="9"/>
  <c r="BT170" i="9"/>
  <c r="AM264" i="9"/>
  <c r="H447" i="9"/>
  <c r="AO155" i="9"/>
  <c r="AX114" i="9"/>
  <c r="S98" i="9"/>
  <c r="AO92" i="9"/>
  <c r="BI80" i="9"/>
  <c r="AO388" i="9"/>
  <c r="BK145" i="9"/>
  <c r="BT436" i="9"/>
  <c r="H146" i="9"/>
  <c r="BK125" i="9"/>
  <c r="AM338" i="9"/>
  <c r="F507" i="9"/>
  <c r="BT445" i="9"/>
  <c r="BV241" i="9"/>
  <c r="DY658" i="9"/>
  <c r="CG335" i="9"/>
  <c r="AZ67" i="9"/>
  <c r="CP510" i="9"/>
  <c r="Q247" i="9"/>
  <c r="CP458" i="9"/>
  <c r="BV54" i="9"/>
  <c r="BK73" i="9"/>
  <c r="AX75" i="9"/>
  <c r="CE318" i="9"/>
  <c r="AZ159" i="9"/>
  <c r="S31" i="9"/>
  <c r="AM369" i="9"/>
  <c r="AX156" i="9"/>
  <c r="AO188" i="9"/>
  <c r="BV260" i="9"/>
  <c r="AM358" i="9"/>
  <c r="Q135" i="9"/>
  <c r="BK22" i="9"/>
  <c r="Q57" i="9"/>
  <c r="BV372" i="9"/>
  <c r="BV66" i="9"/>
  <c r="AM118" i="9"/>
  <c r="AM111" i="9"/>
  <c r="AO396" i="9"/>
  <c r="CG88" i="9"/>
  <c r="AB89" i="9"/>
  <c r="AX166" i="9"/>
  <c r="AO32" i="9"/>
  <c r="BK107" i="9"/>
  <c r="F264" i="9"/>
  <c r="BV446" i="9"/>
  <c r="Q227" i="9"/>
  <c r="DW630" i="9"/>
  <c r="CR80" i="9"/>
  <c r="F325" i="9"/>
  <c r="AB30" i="9"/>
  <c r="BT278" i="9"/>
  <c r="AO115" i="9"/>
  <c r="AX110" i="9"/>
  <c r="BI114" i="9"/>
  <c r="BI82" i="9"/>
  <c r="BT369" i="9"/>
  <c r="CP254" i="9"/>
  <c r="CR518" i="9"/>
  <c r="BT71" i="9"/>
  <c r="F197" i="9"/>
  <c r="AM229" i="9"/>
  <c r="BT64" i="9"/>
  <c r="BK41" i="9"/>
  <c r="BV36" i="9"/>
  <c r="BV422" i="9"/>
  <c r="AO381" i="9"/>
  <c r="AM288" i="9"/>
  <c r="AM365" i="9"/>
  <c r="H481" i="9"/>
  <c r="BV214" i="9"/>
  <c r="CR176" i="9"/>
  <c r="AZ46" i="9"/>
  <c r="CR461" i="9"/>
  <c r="CE360" i="9"/>
  <c r="AO296" i="9"/>
  <c r="BI75" i="9"/>
  <c r="Q188" i="9"/>
  <c r="BK121" i="9"/>
  <c r="AO67" i="9"/>
  <c r="BV91" i="9"/>
  <c r="CG158" i="9"/>
  <c r="AX36" i="9"/>
  <c r="AX132" i="9"/>
  <c r="AM200" i="9"/>
  <c r="CR152" i="9"/>
  <c r="AM110" i="9"/>
  <c r="AO321" i="9"/>
  <c r="BI157" i="9"/>
  <c r="CR255" i="9"/>
  <c r="BV85" i="9"/>
  <c r="S125" i="9"/>
  <c r="CE278" i="9"/>
  <c r="CE39" i="9"/>
  <c r="AX44" i="9"/>
  <c r="S69" i="9"/>
  <c r="F448" i="9"/>
  <c r="CP559" i="9"/>
  <c r="CG296" i="9"/>
  <c r="BT34" i="9"/>
  <c r="BI237" i="9"/>
  <c r="AZ111" i="9"/>
  <c r="BT145" i="9"/>
  <c r="CG184" i="9"/>
  <c r="BI209" i="9"/>
  <c r="BV30" i="9"/>
  <c r="BI140" i="9"/>
  <c r="F420" i="9"/>
  <c r="F404" i="9"/>
  <c r="AM367" i="9"/>
  <c r="AM126" i="9"/>
  <c r="H221" i="9"/>
  <c r="BV286" i="9"/>
  <c r="BT404" i="9"/>
  <c r="DL232" i="9"/>
  <c r="CP535" i="9"/>
  <c r="DN194" i="9"/>
  <c r="CE31" i="9"/>
  <c r="CP562" i="9"/>
  <c r="CE263" i="9"/>
  <c r="Q219" i="9"/>
  <c r="AZ86" i="9"/>
  <c r="BV273" i="9"/>
  <c r="AM154" i="9"/>
  <c r="BV387" i="9"/>
  <c r="CE86" i="9"/>
  <c r="BI222" i="9"/>
  <c r="AM272" i="9"/>
  <c r="BI136" i="9"/>
  <c r="BT97" i="9"/>
  <c r="AM100" i="9"/>
  <c r="Q98" i="9"/>
  <c r="H211" i="9"/>
  <c r="BV149" i="9"/>
  <c r="BI76" i="9"/>
  <c r="BK25" i="9"/>
  <c r="BV287" i="9"/>
  <c r="BV343" i="9"/>
  <c r="DA180" i="9"/>
  <c r="CE315" i="9"/>
  <c r="BV448" i="9"/>
  <c r="BT47" i="9"/>
  <c r="S92" i="9"/>
  <c r="AO297" i="9"/>
  <c r="BV430" i="9"/>
  <c r="AO93" i="9"/>
  <c r="BI174" i="9"/>
  <c r="BT160" i="9"/>
  <c r="BT73" i="9"/>
  <c r="BI191" i="9"/>
  <c r="H610" i="9"/>
  <c r="CP244" i="9"/>
  <c r="CE313" i="9"/>
  <c r="BV314" i="9"/>
  <c r="CE164" i="9"/>
  <c r="BT284" i="9"/>
  <c r="BT443" i="9"/>
  <c r="CR104" i="9"/>
  <c r="BT109" i="9"/>
  <c r="BI35" i="9"/>
  <c r="BV28" i="9"/>
  <c r="CP77" i="9"/>
  <c r="BI108" i="9"/>
  <c r="BT236" i="9"/>
  <c r="BK102" i="9"/>
  <c r="AX78" i="9"/>
  <c r="AO120" i="9"/>
  <c r="CP313" i="9"/>
  <c r="BT238" i="9"/>
  <c r="AO240" i="9"/>
  <c r="AO218" i="9"/>
  <c r="BV290" i="9"/>
  <c r="AM181" i="9"/>
  <c r="Q192" i="9"/>
  <c r="AM263" i="9"/>
  <c r="BK51" i="9"/>
  <c r="BK238" i="9"/>
  <c r="BV219" i="9"/>
  <c r="BV410" i="9"/>
  <c r="AZ95" i="9"/>
  <c r="BK91" i="9"/>
  <c r="BI77" i="9"/>
  <c r="AO83" i="9"/>
  <c r="BI91" i="9"/>
  <c r="H210" i="9"/>
  <c r="AZ147" i="9"/>
  <c r="AO80" i="9"/>
  <c r="CG182" i="9"/>
  <c r="BV272" i="9"/>
  <c r="AM176" i="9"/>
  <c r="CP621" i="9"/>
  <c r="BI101" i="9"/>
  <c r="Q70" i="9"/>
  <c r="CE177" i="9"/>
  <c r="BV259" i="9"/>
  <c r="BI37" i="9"/>
  <c r="BT165" i="9"/>
  <c r="CR52" i="9"/>
  <c r="BV166" i="9"/>
  <c r="AM130" i="9"/>
  <c r="AZ142" i="9"/>
  <c r="CP570" i="9"/>
  <c r="AZ156" i="9"/>
  <c r="AM274" i="9"/>
  <c r="AO238" i="9"/>
  <c r="BK165" i="9"/>
  <c r="H434" i="9"/>
  <c r="AX53" i="9"/>
  <c r="AM57" i="9"/>
  <c r="AM297" i="9"/>
  <c r="H498" i="9"/>
  <c r="AM189" i="9"/>
  <c r="F392" i="9"/>
  <c r="AO22" i="9"/>
  <c r="CR397" i="9"/>
  <c r="H643" i="9"/>
  <c r="H373" i="9"/>
  <c r="Q195" i="9"/>
  <c r="H191" i="9"/>
  <c r="F524" i="9"/>
  <c r="BV226" i="9"/>
  <c r="CG179" i="9"/>
  <c r="AO166" i="9"/>
  <c r="AO239" i="9"/>
  <c r="F212" i="9"/>
  <c r="BV331" i="9"/>
  <c r="AM394" i="9"/>
  <c r="BK148" i="9"/>
  <c r="AO299" i="9"/>
  <c r="BV188" i="9"/>
  <c r="AZ44" i="9"/>
  <c r="BV293" i="9"/>
  <c r="AO247" i="9"/>
  <c r="BV173" i="9"/>
  <c r="AO52" i="9"/>
  <c r="BV137" i="9"/>
  <c r="AO43" i="9"/>
  <c r="H561" i="9"/>
  <c r="AB67" i="9"/>
  <c r="CP298" i="9"/>
  <c r="CE355" i="9"/>
  <c r="AO148" i="9"/>
  <c r="BT260" i="9"/>
  <c r="BK75" i="9"/>
  <c r="BK79" i="9"/>
  <c r="AO324" i="9"/>
  <c r="AZ91" i="9"/>
  <c r="AO69" i="9"/>
  <c r="AO57" i="9"/>
  <c r="AO349" i="9"/>
  <c r="BT202" i="9"/>
  <c r="AM376" i="9"/>
  <c r="AD51" i="9"/>
  <c r="AM339" i="9"/>
  <c r="H194" i="9"/>
  <c r="AM366" i="9"/>
  <c r="H105" i="9"/>
  <c r="AM405" i="9"/>
  <c r="BT174" i="9"/>
  <c r="CG303" i="9"/>
  <c r="H322" i="9"/>
  <c r="CE274" i="9"/>
  <c r="F491" i="9"/>
  <c r="CG120" i="9"/>
  <c r="F346" i="9"/>
  <c r="AM310" i="9"/>
  <c r="H223" i="9"/>
  <c r="AM247" i="9"/>
  <c r="AB59" i="9"/>
  <c r="CE231" i="9"/>
  <c r="F552" i="9"/>
  <c r="AX138" i="9"/>
  <c r="AZ127" i="9"/>
  <c r="H145" i="9"/>
  <c r="H139" i="9"/>
  <c r="AZ37" i="9"/>
  <c r="BT358" i="9"/>
  <c r="BI129" i="9"/>
  <c r="AO47" i="9"/>
  <c r="F171" i="9"/>
  <c r="H477" i="9"/>
  <c r="AD64" i="9"/>
  <c r="Q104" i="9"/>
  <c r="CG216" i="9"/>
  <c r="H250" i="9"/>
  <c r="H26" i="9"/>
  <c r="F177" i="9"/>
  <c r="BI83" i="9"/>
  <c r="BK59" i="9"/>
  <c r="AZ65" i="9"/>
  <c r="F428" i="9"/>
  <c r="AX37" i="9"/>
  <c r="BK86" i="9"/>
  <c r="BV452" i="9"/>
  <c r="F71" i="9"/>
  <c r="BI78" i="9"/>
  <c r="AM331" i="9"/>
  <c r="F565" i="9"/>
  <c r="AD34" i="9"/>
  <c r="AM321" i="9"/>
  <c r="BK181" i="9"/>
  <c r="H607" i="9"/>
  <c r="H168" i="9"/>
  <c r="BK199" i="9"/>
  <c r="AZ87" i="9"/>
  <c r="AB94" i="9"/>
  <c r="AO394" i="9"/>
  <c r="BV321" i="9"/>
  <c r="AM335" i="9"/>
  <c r="F640" i="9"/>
  <c r="CG313" i="9"/>
  <c r="F543" i="9"/>
  <c r="H508" i="9"/>
  <c r="BV106" i="9"/>
  <c r="AM202" i="9"/>
  <c r="F634" i="9"/>
  <c r="CE34" i="9"/>
  <c r="S77" i="9"/>
  <c r="F200" i="9"/>
  <c r="H532" i="9"/>
  <c r="CE148" i="9"/>
  <c r="CP539" i="9"/>
  <c r="BI212" i="9"/>
  <c r="BI61" i="9"/>
  <c r="BT314" i="9"/>
  <c r="CE354" i="9"/>
  <c r="CR417" i="9"/>
  <c r="AZ45" i="9"/>
  <c r="AD28" i="9"/>
  <c r="AZ165" i="9"/>
  <c r="BV357" i="9"/>
  <c r="AB63" i="9"/>
  <c r="AX49" i="9"/>
  <c r="AO339" i="9"/>
  <c r="AM51" i="9"/>
  <c r="BI203" i="9"/>
  <c r="AM173" i="9"/>
  <c r="AO280" i="9"/>
  <c r="CE49" i="9"/>
  <c r="BT237" i="9"/>
  <c r="F646" i="9"/>
  <c r="BI105" i="9"/>
  <c r="F351" i="9"/>
  <c r="AX121" i="9"/>
  <c r="CG281" i="9"/>
  <c r="BK223" i="9"/>
  <c r="H488" i="9"/>
  <c r="AO170" i="9"/>
  <c r="F222" i="9"/>
  <c r="CE377" i="9"/>
  <c r="AB72" i="9"/>
  <c r="AO397" i="9"/>
  <c r="CE200" i="9"/>
  <c r="S87" i="9"/>
  <c r="AM115" i="9"/>
  <c r="AD40" i="9"/>
  <c r="BI245" i="9"/>
  <c r="H467" i="9"/>
  <c r="AM156" i="9"/>
  <c r="S33" i="9"/>
  <c r="F250" i="9"/>
  <c r="AO323" i="9"/>
  <c r="AB58" i="9"/>
  <c r="AO191" i="9"/>
  <c r="F27" i="9"/>
  <c r="AM231" i="9"/>
  <c r="H395" i="9"/>
  <c r="H637" i="9"/>
  <c r="AD46" i="9"/>
  <c r="AX74" i="9"/>
  <c r="AO345" i="9"/>
  <c r="BT277" i="9"/>
  <c r="S53" i="9"/>
  <c r="F169" i="9"/>
  <c r="AM217" i="9"/>
  <c r="AO177" i="9"/>
  <c r="BV309" i="9"/>
  <c r="BK58" i="9"/>
  <c r="BT207" i="9"/>
  <c r="Q78" i="9"/>
  <c r="H622" i="9"/>
  <c r="AO358" i="9"/>
  <c r="H647" i="9"/>
  <c r="CR598" i="9"/>
  <c r="F100" i="9"/>
  <c r="AB86" i="9"/>
  <c r="AM152" i="9"/>
  <c r="CG83" i="9"/>
  <c r="AM260" i="9"/>
  <c r="AD78" i="9"/>
  <c r="AM74" i="9"/>
  <c r="F251" i="9"/>
  <c r="H520" i="9"/>
  <c r="BT265" i="9"/>
  <c r="Q124" i="9"/>
  <c r="Q53" i="9"/>
  <c r="AO87" i="9"/>
  <c r="AX158" i="9"/>
  <c r="AO40" i="9"/>
  <c r="AZ36" i="9"/>
  <c r="BV356" i="9"/>
  <c r="BK30" i="9"/>
  <c r="BI43" i="9"/>
  <c r="H193" i="9"/>
  <c r="BT409" i="9"/>
  <c r="Q42" i="9"/>
  <c r="S75" i="9"/>
  <c r="S223" i="9"/>
  <c r="AX71" i="9"/>
  <c r="BI223" i="9"/>
  <c r="AD91" i="9"/>
  <c r="AZ113" i="9"/>
  <c r="BT333" i="9"/>
  <c r="H484" i="9"/>
  <c r="F122" i="9"/>
  <c r="BV340" i="9"/>
  <c r="H501" i="9"/>
  <c r="BK40" i="9"/>
  <c r="AX148" i="9"/>
  <c r="Q59" i="9"/>
  <c r="H500" i="9"/>
  <c r="F254" i="9"/>
  <c r="BI79" i="9"/>
  <c r="AO26" i="9"/>
  <c r="BT259" i="9"/>
  <c r="H281" i="9"/>
  <c r="AM203" i="9"/>
  <c r="F26" i="9"/>
  <c r="F514" i="9"/>
  <c r="H540" i="9"/>
  <c r="H628" i="9"/>
  <c r="AM59" i="9"/>
  <c r="AX169" i="9"/>
  <c r="F34" i="9"/>
  <c r="H497" i="9"/>
  <c r="F466" i="9"/>
  <c r="AM198" i="9"/>
  <c r="F257" i="9"/>
  <c r="F347" i="9"/>
  <c r="H384" i="9"/>
  <c r="F68" i="9"/>
  <c r="F373" i="9"/>
  <c r="CR304" i="9"/>
  <c r="AM214" i="9"/>
  <c r="DC57" i="9"/>
  <c r="BT344" i="9"/>
  <c r="BK191" i="9"/>
  <c r="Q157" i="9"/>
  <c r="AZ144" i="9"/>
  <c r="BV27" i="9"/>
  <c r="AM346" i="9"/>
  <c r="F284" i="9"/>
  <c r="H317" i="9"/>
  <c r="Q33" i="9"/>
  <c r="AZ84" i="9"/>
  <c r="BI156" i="9"/>
  <c r="CR571" i="9"/>
  <c r="AX102" i="9"/>
  <c r="BT96" i="9"/>
  <c r="AD52" i="9"/>
  <c r="H297" i="9"/>
  <c r="H101" i="9"/>
  <c r="AO24" i="9"/>
  <c r="CE334" i="9"/>
  <c r="CG283" i="9"/>
  <c r="Q51" i="9"/>
  <c r="F343" i="9"/>
  <c r="H267" i="9"/>
  <c r="AX43" i="9"/>
  <c r="H103" i="9"/>
  <c r="H308" i="9"/>
  <c r="BT392" i="9"/>
  <c r="AM139" i="9"/>
  <c r="F487" i="9"/>
  <c r="AM285" i="9"/>
  <c r="S48" i="9"/>
  <c r="AM349" i="9"/>
  <c r="BV269" i="9"/>
  <c r="BV344" i="9"/>
  <c r="H51" i="9"/>
  <c r="AO312" i="9"/>
  <c r="AM340" i="9"/>
  <c r="H641" i="9"/>
  <c r="AO133" i="9"/>
  <c r="AZ52" i="9"/>
  <c r="F598" i="9"/>
  <c r="BV154" i="9"/>
  <c r="F114" i="9"/>
  <c r="Q75" i="9"/>
  <c r="H433" i="9"/>
  <c r="F542" i="9"/>
  <c r="AM120" i="9"/>
  <c r="H181" i="9"/>
  <c r="BV184" i="9"/>
  <c r="BI141" i="9"/>
  <c r="AZ141" i="9"/>
  <c r="AD80" i="9"/>
  <c r="F146" i="9"/>
  <c r="Q27" i="9"/>
  <c r="F624" i="9"/>
  <c r="BT227" i="9"/>
  <c r="AO139" i="9"/>
  <c r="AZ30" i="9"/>
  <c r="F245" i="9"/>
  <c r="AB88" i="9"/>
  <c r="CG143" i="9"/>
  <c r="AO232" i="9"/>
  <c r="AM99" i="9"/>
  <c r="AO180" i="9"/>
  <c r="BT214" i="9"/>
  <c r="AD37" i="9"/>
  <c r="H345" i="9"/>
  <c r="F73" i="9"/>
  <c r="BT302" i="9"/>
  <c r="BV208" i="9"/>
  <c r="Q38" i="9"/>
  <c r="F157" i="9"/>
  <c r="AM257" i="9"/>
  <c r="BI244" i="9"/>
  <c r="AO203" i="9"/>
  <c r="AB85" i="9"/>
  <c r="AO198" i="9"/>
  <c r="Q79" i="9"/>
  <c r="AO123" i="9"/>
  <c r="AM138" i="9"/>
  <c r="BT423" i="9"/>
  <c r="AM246" i="9"/>
  <c r="F302" i="9"/>
  <c r="BV438" i="9"/>
  <c r="BV90" i="9"/>
  <c r="AO190" i="9"/>
  <c r="BI85" i="9"/>
  <c r="H594" i="9"/>
  <c r="CG103" i="9"/>
  <c r="S117" i="9"/>
  <c r="S111" i="9"/>
  <c r="BV68" i="9"/>
  <c r="CE76" i="9"/>
  <c r="Q132" i="9"/>
  <c r="AX168" i="9"/>
  <c r="F184" i="9"/>
  <c r="F174" i="9"/>
  <c r="Q64" i="9"/>
  <c r="S119" i="9"/>
  <c r="Q187" i="9"/>
  <c r="F226" i="9"/>
  <c r="AM166" i="9"/>
  <c r="H335" i="9"/>
  <c r="H248" i="9"/>
  <c r="H95" i="9"/>
  <c r="H495" i="9"/>
  <c r="F321" i="9"/>
  <c r="H323" i="9"/>
  <c r="Q122" i="9"/>
  <c r="F467" i="9"/>
  <c r="H218" i="9"/>
  <c r="F237" i="9"/>
  <c r="H123" i="9"/>
  <c r="AO125" i="9"/>
  <c r="H589" i="9"/>
  <c r="F291" i="9"/>
  <c r="AD94" i="9"/>
  <c r="F504" i="9"/>
  <c r="H494" i="9"/>
  <c r="H275" i="9"/>
  <c r="H513" i="9"/>
  <c r="F271" i="9"/>
  <c r="AM97" i="9"/>
  <c r="H358" i="9"/>
  <c r="CE190" i="9"/>
  <c r="CR376" i="9"/>
  <c r="S253" i="9"/>
  <c r="CE250" i="9"/>
  <c r="F429" i="9"/>
  <c r="CR216" i="9"/>
  <c r="S155" i="9"/>
  <c r="BI97" i="9"/>
  <c r="CG221" i="9"/>
  <c r="H152" i="9"/>
  <c r="AM86" i="9"/>
  <c r="BV167" i="9"/>
  <c r="BK56" i="9"/>
  <c r="AO371" i="9"/>
  <c r="AD43" i="9"/>
  <c r="AM201" i="9"/>
  <c r="BV212" i="9"/>
  <c r="BI86" i="9"/>
  <c r="H604" i="9"/>
  <c r="BI34" i="9"/>
  <c r="BT193" i="9"/>
  <c r="BT89" i="9"/>
  <c r="CP465" i="9"/>
  <c r="AO364" i="9"/>
  <c r="H55" i="9"/>
  <c r="BK109" i="9"/>
  <c r="BI169" i="9"/>
  <c r="H301" i="9"/>
  <c r="AO68" i="9"/>
  <c r="AM208" i="9"/>
  <c r="S105" i="9"/>
  <c r="CE171" i="9"/>
  <c r="S46" i="9"/>
  <c r="Q96" i="9"/>
  <c r="AM287" i="9"/>
  <c r="BT225" i="9"/>
  <c r="Q110" i="9"/>
  <c r="H327" i="9"/>
  <c r="F621" i="9"/>
  <c r="F513" i="9"/>
  <c r="H320" i="9"/>
  <c r="BV311" i="9"/>
  <c r="CG67" i="9"/>
  <c r="BI242" i="9"/>
  <c r="AO354" i="9"/>
  <c r="F118" i="9"/>
  <c r="AM46" i="9"/>
  <c r="F22" i="9"/>
  <c r="F228" i="9"/>
  <c r="H566" i="9"/>
  <c r="BI148" i="9"/>
  <c r="H530" i="9"/>
  <c r="BV200" i="9"/>
  <c r="AD65" i="9"/>
  <c r="Q100" i="9"/>
  <c r="H642" i="9"/>
  <c r="H374" i="9"/>
  <c r="AM228" i="9"/>
  <c r="S134" i="9"/>
  <c r="BI215" i="9"/>
  <c r="AX76" i="9"/>
  <c r="AB57" i="9"/>
  <c r="H147" i="9"/>
  <c r="AO46" i="9"/>
  <c r="H425" i="9"/>
  <c r="AZ55" i="9"/>
  <c r="AD71" i="9"/>
  <c r="F331" i="9"/>
  <c r="AO235" i="9"/>
  <c r="H100" i="9"/>
  <c r="Q65" i="9"/>
  <c r="AO211" i="9"/>
  <c r="BT311" i="9"/>
  <c r="AX54" i="9"/>
  <c r="AO131" i="9"/>
  <c r="AM42" i="9"/>
  <c r="BK23" i="9"/>
  <c r="BV141" i="9"/>
  <c r="H127" i="9"/>
  <c r="AX141" i="9"/>
  <c r="BI218" i="9"/>
  <c r="BK119" i="9"/>
  <c r="AM205" i="9"/>
  <c r="H72" i="9"/>
  <c r="BV127" i="9"/>
  <c r="BK44" i="9"/>
  <c r="BV146" i="9"/>
  <c r="AD87" i="9"/>
  <c r="F131" i="9"/>
  <c r="AX150" i="9"/>
  <c r="F59" i="9"/>
  <c r="BK200" i="9"/>
  <c r="AM399" i="9"/>
  <c r="AZ81" i="9"/>
  <c r="F84" i="9"/>
  <c r="BK131" i="9"/>
  <c r="AO271" i="9"/>
  <c r="H214" i="9"/>
  <c r="BT70" i="9"/>
  <c r="H319" i="9"/>
  <c r="AD32" i="9"/>
  <c r="H366" i="9"/>
  <c r="CP542" i="9"/>
  <c r="CG212" i="9"/>
  <c r="AM280" i="9"/>
  <c r="BV352" i="9"/>
  <c r="AM48" i="9"/>
  <c r="AZ90" i="9"/>
  <c r="CE35" i="9"/>
  <c r="BT270" i="9"/>
  <c r="AO82" i="9"/>
  <c r="AO357" i="9"/>
  <c r="BV419" i="9"/>
  <c r="Q58" i="9"/>
  <c r="AO346" i="9"/>
  <c r="AD30" i="9"/>
  <c r="AM28" i="9"/>
  <c r="BI47" i="9"/>
  <c r="H502" i="9"/>
  <c r="AO37" i="9"/>
  <c r="F409" i="9"/>
  <c r="H57" i="9"/>
  <c r="BK201" i="9"/>
  <c r="BI214" i="9"/>
  <c r="AO233" i="9"/>
  <c r="BI227" i="9"/>
  <c r="BK222" i="9"/>
  <c r="AO221" i="9"/>
  <c r="AO391" i="9"/>
  <c r="S124" i="9"/>
  <c r="AO269" i="9"/>
  <c r="F155" i="9"/>
  <c r="BK232" i="9"/>
  <c r="CE74" i="9"/>
  <c r="AX59" i="9"/>
  <c r="AO291" i="9"/>
  <c r="AX151" i="9"/>
  <c r="AO265" i="9"/>
  <c r="F479" i="9"/>
  <c r="BI207" i="9"/>
  <c r="F244" i="9"/>
  <c r="CR583" i="9"/>
  <c r="S136" i="9"/>
  <c r="BI233" i="9"/>
  <c r="S192" i="9"/>
  <c r="H456" i="9"/>
  <c r="AZ136" i="9"/>
  <c r="H370" i="9"/>
  <c r="AO146" i="9"/>
  <c r="AM93" i="9"/>
  <c r="AO282" i="9"/>
  <c r="AM294" i="9"/>
  <c r="AO359" i="9"/>
  <c r="H551" i="9"/>
  <c r="AM307" i="9"/>
  <c r="BI193" i="9"/>
  <c r="S60" i="9"/>
  <c r="BK31" i="9"/>
  <c r="S126" i="9"/>
  <c r="BV182" i="9"/>
  <c r="AO405" i="9"/>
  <c r="BK32" i="9"/>
  <c r="AO25" i="9"/>
  <c r="AO407" i="9"/>
  <c r="CG250" i="9"/>
  <c r="AO361" i="9"/>
  <c r="BT329" i="9"/>
  <c r="BT92" i="9"/>
  <c r="BI185" i="9"/>
  <c r="BV276" i="9"/>
  <c r="S72" i="9"/>
  <c r="F72" i="9"/>
  <c r="AM395" i="9"/>
  <c r="F277" i="9"/>
  <c r="BI152" i="9"/>
  <c r="CR88" i="9"/>
  <c r="BK84" i="9"/>
  <c r="AX107" i="9"/>
  <c r="S113" i="9"/>
  <c r="AM90" i="9"/>
  <c r="H341" i="9"/>
  <c r="BV301" i="9"/>
  <c r="BK164" i="9"/>
  <c r="AM188" i="9"/>
  <c r="F151" i="9"/>
  <c r="S70" i="9"/>
  <c r="BV413" i="9"/>
  <c r="AO164" i="9"/>
  <c r="S57" i="9"/>
  <c r="F579" i="9"/>
  <c r="F153" i="9"/>
  <c r="AM283" i="9"/>
  <c r="BI163" i="9"/>
  <c r="AM379" i="9"/>
  <c r="H243" i="9"/>
  <c r="BV274" i="9"/>
  <c r="F532" i="9"/>
  <c r="CG295" i="9"/>
  <c r="AM359" i="9"/>
  <c r="Q139" i="9"/>
  <c r="AX134" i="9"/>
  <c r="AB54" i="9"/>
  <c r="F603" i="9"/>
  <c r="Q99" i="9"/>
  <c r="AD23" i="9"/>
  <c r="CR436" i="9"/>
  <c r="CG340" i="9"/>
  <c r="BV67" i="9"/>
  <c r="S177" i="9"/>
  <c r="AO44" i="9"/>
  <c r="BV63" i="9"/>
  <c r="BT65" i="9"/>
  <c r="CR142" i="9"/>
  <c r="AO286" i="9"/>
  <c r="CE60" i="9"/>
  <c r="AM94" i="9"/>
  <c r="AZ64" i="9"/>
  <c r="F642" i="9"/>
  <c r="AM151" i="9"/>
  <c r="AM266" i="9"/>
  <c r="AM112" i="9"/>
  <c r="H197" i="9"/>
  <c r="S96" i="9"/>
  <c r="H284" i="9"/>
  <c r="BT276" i="9"/>
  <c r="F413" i="9"/>
  <c r="AO63" i="9"/>
  <c r="BV445" i="9"/>
  <c r="AM381" i="9"/>
  <c r="F371" i="9"/>
  <c r="AX47" i="9"/>
  <c r="BK93" i="9"/>
  <c r="BT272" i="9"/>
  <c r="AM253" i="9"/>
  <c r="F106" i="9"/>
  <c r="AM102" i="9"/>
  <c r="AO273" i="9"/>
  <c r="H114" i="9"/>
  <c r="BV151" i="9"/>
  <c r="AM293" i="9"/>
  <c r="F143" i="9"/>
  <c r="BT448" i="9"/>
  <c r="F32" i="9"/>
  <c r="AM238" i="9"/>
  <c r="BT45" i="9"/>
  <c r="AM344" i="9"/>
  <c r="AB76" i="9"/>
  <c r="CE134" i="9"/>
  <c r="S35" i="9"/>
  <c r="F456" i="9"/>
  <c r="AO100" i="9"/>
  <c r="AO213" i="9"/>
  <c r="AO327" i="9"/>
  <c r="AM140" i="9"/>
  <c r="F297" i="9"/>
  <c r="AM218" i="9"/>
  <c r="AB43" i="9"/>
  <c r="BV191" i="9"/>
  <c r="F590" i="9"/>
  <c r="AZ29" i="9"/>
  <c r="AZ102" i="9"/>
  <c r="BT146" i="9"/>
  <c r="CE229" i="9"/>
  <c r="AM230" i="9"/>
  <c r="BV418" i="9"/>
  <c r="F241" i="9"/>
  <c r="H514" i="9"/>
  <c r="AM258" i="9"/>
  <c r="BK100" i="9"/>
  <c r="AM193" i="9"/>
  <c r="BT171" i="9"/>
  <c r="BK24" i="9"/>
  <c r="F160" i="9"/>
  <c r="Q43" i="9"/>
  <c r="BK228" i="9"/>
  <c r="BV354" i="9"/>
  <c r="H490" i="9"/>
  <c r="F547" i="9"/>
  <c r="BK62" i="9"/>
  <c r="F495" i="9"/>
  <c r="H549" i="9"/>
  <c r="BT210" i="9"/>
  <c r="Q28" i="9"/>
  <c r="S62" i="9"/>
  <c r="F501" i="9"/>
  <c r="AX165" i="9"/>
  <c r="H340" i="9"/>
  <c r="AZ33" i="9"/>
  <c r="S52" i="9"/>
  <c r="BT58" i="9"/>
  <c r="AZ118" i="9"/>
  <c r="F165" i="9"/>
  <c r="F38" i="9"/>
  <c r="BT118" i="9"/>
  <c r="AZ157" i="9"/>
  <c r="BI160" i="9"/>
  <c r="AX109" i="9"/>
  <c r="F269" i="9"/>
  <c r="AB75" i="9"/>
  <c r="AM240" i="9"/>
  <c r="CP625" i="9"/>
  <c r="AO140" i="9"/>
  <c r="AZ77" i="9"/>
  <c r="AO182" i="9"/>
  <c r="AO60" i="9"/>
  <c r="BV190" i="9"/>
  <c r="AM185" i="9"/>
  <c r="BI200" i="9"/>
  <c r="H602" i="9"/>
  <c r="AO122" i="9"/>
  <c r="S81" i="9"/>
  <c r="AO287" i="9"/>
  <c r="F533" i="9"/>
  <c r="AM265" i="9"/>
  <c r="F50" i="9"/>
  <c r="BT383" i="9"/>
  <c r="AM378" i="9"/>
  <c r="H410" i="9"/>
  <c r="AM101" i="9"/>
  <c r="Q123" i="9"/>
  <c r="BI201" i="9"/>
  <c r="F468" i="9"/>
  <c r="AD86" i="9"/>
  <c r="H449" i="9"/>
  <c r="H161" i="9"/>
  <c r="F120" i="9"/>
  <c r="AM61" i="9"/>
  <c r="F355" i="9"/>
  <c r="BK237" i="9"/>
  <c r="AM242" i="9"/>
  <c r="AZ74" i="9"/>
  <c r="S24" i="9"/>
  <c r="BT268" i="9"/>
  <c r="AO231" i="9"/>
  <c r="F231" i="9"/>
  <c r="Q127" i="9"/>
  <c r="S23" i="9"/>
  <c r="F301" i="9"/>
  <c r="AZ150" i="9"/>
  <c r="CG346" i="9"/>
  <c r="BK179" i="9"/>
  <c r="AB61" i="9"/>
  <c r="F460" i="9"/>
  <c r="F438" i="9"/>
  <c r="F645" i="9"/>
  <c r="BT217" i="9"/>
  <c r="F477" i="9"/>
  <c r="BT442" i="9"/>
  <c r="AM282" i="9"/>
  <c r="BK170" i="9"/>
  <c r="AO65" i="9"/>
  <c r="BV192" i="9"/>
  <c r="Q126" i="9"/>
  <c r="S132" i="9"/>
  <c r="H385" i="9"/>
  <c r="AM125" i="9"/>
  <c r="AM332" i="9"/>
  <c r="AM269" i="9"/>
  <c r="H486" i="9"/>
  <c r="AM342" i="9"/>
  <c r="AO90" i="9"/>
  <c r="S38" i="9"/>
  <c r="BK216" i="9"/>
  <c r="BK172" i="9"/>
  <c r="AO352" i="9"/>
  <c r="F559" i="9"/>
  <c r="CG338" i="9"/>
  <c r="F265" i="9"/>
  <c r="AO326" i="9"/>
  <c r="H32" i="9"/>
  <c r="F489" i="9"/>
  <c r="AM177" i="9"/>
  <c r="BT430" i="9"/>
  <c r="AO179" i="9"/>
  <c r="Q68" i="9"/>
  <c r="AD69" i="9"/>
  <c r="H236" i="9"/>
  <c r="BI51" i="9"/>
  <c r="H325" i="9"/>
  <c r="BT394" i="9"/>
  <c r="AM70" i="9"/>
  <c r="AO403" i="9"/>
  <c r="H27" i="9"/>
  <c r="AM309" i="9"/>
  <c r="BK236" i="9"/>
  <c r="AZ97" i="9"/>
  <c r="AO108" i="9"/>
  <c r="H519" i="9"/>
  <c r="BV172" i="9"/>
  <c r="AX56" i="9"/>
  <c r="F464" i="9"/>
  <c r="BK177" i="9"/>
  <c r="AB34" i="9"/>
  <c r="AM121" i="9"/>
  <c r="BT347" i="9"/>
  <c r="H356" i="9"/>
  <c r="BI104" i="9"/>
  <c r="F539" i="9"/>
  <c r="AD63" i="9"/>
  <c r="F81" i="9"/>
  <c r="F374" i="9"/>
  <c r="S28" i="9"/>
  <c r="H344" i="9"/>
  <c r="AO81" i="9"/>
  <c r="AM165" i="9"/>
  <c r="F560" i="9"/>
  <c r="H149" i="9"/>
  <c r="AM356" i="9"/>
  <c r="F137" i="9"/>
  <c r="F246" i="9"/>
  <c r="F526" i="9"/>
  <c r="F25" i="9"/>
  <c r="H263" i="9"/>
  <c r="BV236" i="9"/>
  <c r="BK196" i="9"/>
  <c r="CE121" i="9"/>
  <c r="BT400" i="9"/>
  <c r="S34" i="9"/>
  <c r="BI190" i="9"/>
  <c r="AO175" i="9"/>
  <c r="BT204" i="9"/>
  <c r="BT153" i="9"/>
  <c r="AZ161" i="9"/>
  <c r="BT348" i="9"/>
  <c r="H119" i="9"/>
  <c r="H619" i="9"/>
  <c r="AX92" i="9"/>
  <c r="AO113" i="9"/>
  <c r="S131" i="9"/>
  <c r="F199" i="9"/>
  <c r="BI235" i="9"/>
  <c r="F432" i="9"/>
  <c r="AD76" i="9"/>
  <c r="H241" i="9"/>
  <c r="AM143" i="9"/>
  <c r="CP531" i="9"/>
  <c r="AO400" i="9"/>
  <c r="F613" i="9"/>
  <c r="BK90" i="9"/>
  <c r="AD82" i="9"/>
  <c r="BV44" i="9"/>
  <c r="AO276" i="9"/>
  <c r="BV81" i="9"/>
  <c r="AO156" i="9"/>
  <c r="BT327" i="9"/>
  <c r="S40" i="9"/>
  <c r="AM24" i="9"/>
  <c r="BK34" i="9"/>
  <c r="F179" i="9"/>
  <c r="F76" i="9"/>
  <c r="BI29" i="9"/>
  <c r="BT132" i="9"/>
  <c r="BI123" i="9"/>
  <c r="BT286" i="9"/>
  <c r="AO279" i="9"/>
  <c r="AO214" i="9"/>
  <c r="BT69" i="9"/>
  <c r="AX30" i="9"/>
  <c r="AO328" i="9"/>
  <c r="BK72" i="9"/>
  <c r="H580" i="9"/>
  <c r="BT219" i="9"/>
  <c r="BI173" i="9"/>
  <c r="H578" i="9"/>
  <c r="H368" i="9"/>
  <c r="BT53" i="9"/>
  <c r="AO54" i="9"/>
  <c r="AM89" i="9"/>
  <c r="BT41" i="9"/>
  <c r="H568" i="9"/>
  <c r="H616" i="9"/>
  <c r="AM382" i="9"/>
  <c r="F386" i="9"/>
  <c r="Q119" i="9"/>
  <c r="AB74" i="9"/>
  <c r="BI197" i="9"/>
  <c r="F281" i="9"/>
  <c r="BV306" i="9"/>
  <c r="S118" i="9"/>
  <c r="BT437" i="9"/>
  <c r="F77" i="9"/>
  <c r="BI25" i="9"/>
  <c r="H466" i="9"/>
  <c r="AO159" i="9"/>
  <c r="AO154" i="9"/>
  <c r="F66" i="9"/>
  <c r="AM341" i="9"/>
  <c r="BT113" i="9"/>
  <c r="BV266" i="9"/>
  <c r="H310" i="9"/>
  <c r="F519" i="9"/>
  <c r="AO255" i="9"/>
  <c r="BK215" i="9"/>
  <c r="AD31" i="9"/>
  <c r="BI159" i="9"/>
  <c r="AM85" i="9"/>
  <c r="H135" i="9"/>
  <c r="AZ75" i="9"/>
  <c r="AX57" i="9"/>
  <c r="BV370" i="9"/>
  <c r="Q109" i="9"/>
  <c r="H144" i="9"/>
  <c r="Q118" i="9"/>
  <c r="BV295" i="9"/>
  <c r="AO322" i="9"/>
  <c r="F145" i="9"/>
  <c r="F221" i="9"/>
  <c r="S65" i="9"/>
  <c r="CE314" i="9"/>
  <c r="Q82" i="9"/>
  <c r="AO196" i="9"/>
  <c r="BK82" i="9"/>
  <c r="F636" i="9"/>
  <c r="CG53" i="9"/>
  <c r="F148" i="9"/>
  <c r="AM220" i="9"/>
  <c r="AM54" i="9"/>
  <c r="AO375" i="9"/>
  <c r="AD42" i="9"/>
  <c r="AM50" i="9"/>
  <c r="H102" i="9"/>
  <c r="AM316" i="9"/>
  <c r="H487" i="9"/>
  <c r="AO23" i="9"/>
  <c r="F262" i="9"/>
  <c r="H118" i="9"/>
  <c r="H189" i="9"/>
  <c r="H285" i="9"/>
  <c r="F306" i="9"/>
  <c r="AO195" i="9"/>
  <c r="AM227" i="9"/>
  <c r="H408" i="9"/>
  <c r="H473" i="9"/>
  <c r="Q106" i="9"/>
  <c r="F170" i="9"/>
  <c r="H491" i="9"/>
  <c r="F378" i="9"/>
  <c r="BK160" i="9"/>
  <c r="CG79" i="9"/>
  <c r="H369" i="9"/>
  <c r="BT39" i="9"/>
  <c r="AO267" i="9"/>
  <c r="BV170" i="9"/>
  <c r="CG370" i="9"/>
  <c r="CR362" i="9"/>
  <c r="F591" i="9"/>
  <c r="BV53" i="9"/>
  <c r="CG24" i="9"/>
  <c r="BT94" i="9"/>
  <c r="BT424" i="9"/>
  <c r="BK117" i="9"/>
  <c r="BK140" i="9"/>
  <c r="AZ164" i="9"/>
  <c r="Q141" i="9"/>
  <c r="BI239" i="9"/>
  <c r="AM225" i="9"/>
  <c r="S114" i="9"/>
  <c r="BK240" i="9"/>
  <c r="AM354" i="9"/>
  <c r="BK187" i="9"/>
  <c r="F415" i="9"/>
  <c r="S120" i="9"/>
  <c r="BT163" i="9"/>
  <c r="AM45" i="9"/>
  <c r="AX160" i="9"/>
  <c r="AO353" i="9"/>
  <c r="CR194" i="9"/>
  <c r="AM303" i="9"/>
  <c r="AO176" i="9"/>
  <c r="AB62" i="9"/>
  <c r="AZ63" i="9"/>
  <c r="DA60" i="9"/>
  <c r="F278" i="9"/>
  <c r="BK108" i="9"/>
  <c r="AM30" i="9"/>
  <c r="AM79" i="9"/>
  <c r="BT373" i="9"/>
  <c r="F98" i="9"/>
  <c r="AD77" i="9"/>
  <c r="F444" i="9"/>
  <c r="BV233" i="9"/>
  <c r="S68" i="9"/>
  <c r="F555" i="9"/>
  <c r="H92" i="9"/>
  <c r="Q138" i="9"/>
  <c r="CR380" i="9"/>
  <c r="F376" i="9"/>
  <c r="AB70" i="9"/>
  <c r="F42" i="9"/>
  <c r="H212" i="9"/>
  <c r="AM162" i="9"/>
  <c r="AM175" i="9"/>
  <c r="AM259" i="9"/>
  <c r="AM276" i="9"/>
  <c r="CE163" i="9"/>
  <c r="AM302" i="9"/>
  <c r="AM77" i="9"/>
  <c r="AM223" i="9"/>
  <c r="F549" i="9"/>
  <c r="BK166" i="9"/>
  <c r="AO158" i="9"/>
  <c r="BV302" i="9"/>
  <c r="BV164" i="9"/>
  <c r="AM167" i="9"/>
  <c r="AO313" i="9"/>
  <c r="AZ132" i="9"/>
  <c r="AM33" i="9"/>
  <c r="Q52" i="9"/>
  <c r="F101" i="9"/>
  <c r="BT56" i="9"/>
  <c r="H635" i="9"/>
  <c r="AM62" i="9"/>
  <c r="H506" i="9"/>
  <c r="AM103" i="9"/>
  <c r="AO258" i="9"/>
  <c r="AO398" i="9"/>
  <c r="Q49" i="9"/>
  <c r="Q29" i="9"/>
  <c r="AO51" i="9"/>
  <c r="BV402" i="9"/>
  <c r="AM149" i="9"/>
  <c r="BT420" i="9"/>
  <c r="S122" i="9"/>
  <c r="F65" i="9"/>
  <c r="BV358" i="9"/>
  <c r="H47" i="9"/>
  <c r="AO355" i="9"/>
  <c r="Q45" i="9"/>
  <c r="AB90" i="9"/>
  <c r="AX100" i="9"/>
  <c r="F326" i="9"/>
  <c r="F375" i="9"/>
  <c r="H315" i="9"/>
  <c r="AD55" i="9"/>
  <c r="H531" i="9"/>
  <c r="AZ57" i="9"/>
  <c r="BT335" i="9"/>
  <c r="H577" i="9"/>
  <c r="AB36" i="9"/>
  <c r="AB27" i="9"/>
  <c r="AM325" i="9"/>
  <c r="F410" i="9"/>
  <c r="F518" i="9"/>
  <c r="F320" i="9"/>
  <c r="AO260" i="9"/>
  <c r="F119" i="9"/>
  <c r="AX24" i="9"/>
  <c r="AO118" i="9"/>
  <c r="AO102" i="9"/>
  <c r="F56" i="9"/>
  <c r="H174" i="9"/>
  <c r="H465" i="9"/>
  <c r="H255" i="9"/>
  <c r="F339" i="9"/>
  <c r="H296" i="9"/>
  <c r="H234" i="9"/>
  <c r="Q25" i="9"/>
  <c r="H274" i="9"/>
  <c r="H351" i="9"/>
  <c r="F403" i="9"/>
  <c r="H36" i="9"/>
  <c r="F418" i="9"/>
  <c r="AX111" i="9"/>
  <c r="H591" i="9"/>
  <c r="BV391" i="9"/>
  <c r="AM32" i="9"/>
  <c r="H209" i="9"/>
  <c r="AO138" i="9"/>
  <c r="AO281" i="9"/>
  <c r="BI220" i="9"/>
  <c r="Q210" i="9"/>
  <c r="AM357" i="9"/>
  <c r="BT208" i="9"/>
  <c r="H277" i="9"/>
  <c r="S138" i="9"/>
  <c r="F260" i="9"/>
  <c r="AO261" i="9"/>
  <c r="F564" i="9"/>
  <c r="H544" i="9"/>
  <c r="BI48" i="9"/>
  <c r="AO356" i="9"/>
  <c r="AO382" i="9"/>
  <c r="AM401" i="9"/>
  <c r="BV284" i="9"/>
  <c r="AO292" i="9"/>
  <c r="H337" i="9"/>
  <c r="BV390" i="9"/>
  <c r="F323" i="9"/>
  <c r="F314" i="9"/>
  <c r="BV420" i="9"/>
  <c r="F631" i="9"/>
  <c r="BK128" i="9"/>
  <c r="BK188" i="9"/>
  <c r="AB29" i="9"/>
  <c r="AM289" i="9"/>
  <c r="AM256" i="9"/>
  <c r="F497" i="9"/>
  <c r="F470" i="9"/>
  <c r="AZ133" i="9"/>
  <c r="AO320" i="9"/>
  <c r="AM63" i="9"/>
  <c r="H597" i="9"/>
  <c r="F141" i="9"/>
  <c r="BI111" i="9"/>
  <c r="Q91" i="9"/>
  <c r="H587" i="9"/>
  <c r="S150" i="9"/>
  <c r="AO85" i="9"/>
  <c r="F123" i="9"/>
  <c r="CG348" i="9"/>
  <c r="AO172" i="9"/>
  <c r="CP283" i="9"/>
  <c r="BT303" i="9"/>
  <c r="AO210" i="9"/>
  <c r="AM360" i="9"/>
  <c r="H386" i="9"/>
  <c r="BK167" i="9"/>
  <c r="BT224" i="9"/>
  <c r="AM322" i="9"/>
  <c r="AM147" i="9"/>
  <c r="BT234" i="9"/>
  <c r="H343" i="9"/>
  <c r="S76" i="9"/>
  <c r="H155" i="9"/>
  <c r="AM226" i="9"/>
  <c r="Q90" i="9"/>
  <c r="BT37" i="9"/>
  <c r="Q84" i="9"/>
  <c r="H306" i="9"/>
  <c r="AM406" i="9"/>
  <c r="AM107" i="9"/>
  <c r="F280" i="9"/>
  <c r="AZ56" i="9"/>
  <c r="F230" i="9"/>
  <c r="AX41" i="9"/>
  <c r="AM43" i="9"/>
  <c r="BV350" i="9"/>
  <c r="BK38" i="9"/>
  <c r="BV444" i="9"/>
  <c r="H76" i="9"/>
  <c r="CE205" i="9"/>
  <c r="AM22" i="9"/>
  <c r="AM336" i="9"/>
  <c r="BV240" i="9"/>
  <c r="AB41" i="9"/>
  <c r="F553" i="9"/>
  <c r="AM158" i="9"/>
  <c r="AB87" i="9"/>
  <c r="AM306" i="9"/>
  <c r="AB44" i="9"/>
  <c r="CG227" i="9"/>
  <c r="CG326" i="9"/>
  <c r="AO399" i="9"/>
  <c r="AX94" i="9"/>
  <c r="CP518" i="9"/>
  <c r="BV205" i="9"/>
  <c r="S41" i="9"/>
  <c r="BV271" i="9"/>
  <c r="AM81" i="9"/>
  <c r="BT62" i="9"/>
  <c r="AM55" i="9"/>
  <c r="F28" i="9"/>
  <c r="H375" i="9"/>
  <c r="F37" i="9"/>
  <c r="AO91" i="9"/>
  <c r="F493" i="9"/>
  <c r="H34" i="9"/>
  <c r="S112" i="9"/>
  <c r="BI184" i="9"/>
  <c r="BI161" i="9"/>
  <c r="H376" i="9"/>
  <c r="Q101" i="9"/>
  <c r="Q121" i="9"/>
  <c r="S73" i="9"/>
  <c r="AO319" i="9"/>
  <c r="AO244" i="9"/>
  <c r="H208" i="9"/>
  <c r="F311" i="9"/>
  <c r="AO402" i="9"/>
  <c r="AM400" i="9"/>
  <c r="BT180" i="9"/>
  <c r="BT292" i="9"/>
  <c r="H132" i="9"/>
  <c r="AD74" i="9"/>
  <c r="H441" i="9"/>
  <c r="BT188" i="9"/>
  <c r="H457" i="9"/>
  <c r="F55" i="9"/>
  <c r="AO168" i="9"/>
  <c r="AX38" i="9"/>
  <c r="BT152" i="9"/>
  <c r="AM304" i="9"/>
  <c r="CG89" i="9"/>
  <c r="AM292" i="9"/>
  <c r="F35" i="9"/>
  <c r="Q48" i="9"/>
  <c r="BK54" i="9"/>
  <c r="BT28" i="9"/>
  <c r="AM132" i="9"/>
  <c r="AM384" i="9"/>
  <c r="BK43" i="9"/>
  <c r="H136" i="9"/>
  <c r="BI183" i="9"/>
  <c r="BI234" i="9"/>
  <c r="AO88" i="9"/>
  <c r="AO408" i="9"/>
  <c r="AM196" i="9"/>
  <c r="BI186" i="9"/>
  <c r="AM314" i="9"/>
  <c r="S144" i="9"/>
  <c r="F147" i="9"/>
  <c r="BT79" i="9"/>
  <c r="H198" i="9"/>
  <c r="AO216" i="9"/>
  <c r="BV110" i="9"/>
  <c r="AO311" i="9"/>
  <c r="AM91" i="9"/>
  <c r="H259" i="9"/>
  <c r="Q62" i="9"/>
  <c r="BT195" i="9"/>
  <c r="AM245" i="9"/>
  <c r="AM361" i="9"/>
  <c r="BT78" i="9"/>
  <c r="F551" i="9"/>
  <c r="AM374" i="9"/>
  <c r="F597" i="9"/>
  <c r="AM199" i="9"/>
  <c r="F136" i="9"/>
  <c r="F561" i="9"/>
  <c r="AM277" i="9"/>
  <c r="F546" i="9"/>
  <c r="BT441" i="9"/>
  <c r="AM113" i="9"/>
  <c r="F85" i="9"/>
  <c r="BI118" i="9"/>
  <c r="H130" i="9"/>
  <c r="H80" i="9"/>
  <c r="AM65" i="9"/>
  <c r="F204" i="9"/>
  <c r="AD45" i="9"/>
  <c r="H87" i="9"/>
  <c r="AX137" i="9"/>
  <c r="F602" i="9"/>
  <c r="CE228" i="9"/>
  <c r="BT427" i="9"/>
  <c r="H489" i="9"/>
  <c r="BT203" i="9"/>
  <c r="AO128" i="9"/>
  <c r="AM244" i="9"/>
  <c r="F648" i="9"/>
  <c r="H110" i="9"/>
  <c r="AM41" i="9"/>
  <c r="S133" i="9"/>
  <c r="F195" i="9"/>
  <c r="H257" i="9"/>
  <c r="F208" i="9"/>
  <c r="H126" i="9"/>
  <c r="BT266" i="9"/>
  <c r="BV282" i="9"/>
  <c r="BI205" i="9"/>
  <c r="F534" i="9"/>
  <c r="H68" i="9"/>
  <c r="S54" i="9"/>
  <c r="H238" i="9"/>
  <c r="AX146" i="9"/>
  <c r="H73" i="9"/>
  <c r="CG204" i="9"/>
  <c r="F443" i="9"/>
  <c r="F340" i="9"/>
  <c r="H70" i="9"/>
  <c r="F227" i="9"/>
  <c r="BI87" i="9"/>
  <c r="AX93" i="9"/>
  <c r="AM273" i="9"/>
  <c r="H460" i="9"/>
  <c r="H430" i="9"/>
  <c r="H372" i="9"/>
  <c r="H541" i="9"/>
  <c r="F545" i="9"/>
  <c r="F388" i="9"/>
  <c r="H294" i="9"/>
  <c r="H565" i="9"/>
  <c r="F307" i="9"/>
  <c r="AO366" i="9"/>
  <c r="BT107" i="9"/>
  <c r="BK151" i="9"/>
  <c r="AO70" i="9"/>
  <c r="AX80" i="9"/>
  <c r="BI213" i="9"/>
  <c r="AO301" i="9"/>
  <c r="BK171" i="9"/>
  <c r="BV326" i="9"/>
  <c r="BV195" i="9"/>
  <c r="AO151" i="9"/>
  <c r="H148" i="9"/>
  <c r="CG110" i="9"/>
  <c r="BT390" i="9"/>
  <c r="CP126" i="9"/>
  <c r="BT280" i="9"/>
  <c r="AO284" i="9"/>
  <c r="AD66" i="9"/>
  <c r="AM72" i="9"/>
  <c r="F252" i="9"/>
  <c r="F23" i="9"/>
  <c r="AB50" i="9"/>
  <c r="F61" i="9"/>
  <c r="H333" i="9"/>
  <c r="F574" i="9"/>
  <c r="H220" i="9"/>
  <c r="BI46" i="9"/>
  <c r="F124" i="9"/>
  <c r="F149" i="9"/>
  <c r="AO217" i="9"/>
  <c r="H461" i="9"/>
  <c r="BI137" i="9"/>
  <c r="F614" i="9"/>
  <c r="H233" i="9"/>
  <c r="F484" i="9"/>
  <c r="H205" i="9"/>
  <c r="H455" i="9"/>
  <c r="F235" i="9"/>
  <c r="AB69" i="9"/>
  <c r="F353" i="9"/>
  <c r="F596" i="9"/>
  <c r="AZ100" i="9"/>
  <c r="AD44" i="9"/>
  <c r="H85" i="9"/>
  <c r="H93" i="9"/>
  <c r="H359" i="9"/>
  <c r="H629" i="9"/>
  <c r="H177" i="9"/>
  <c r="AD59" i="9"/>
  <c r="H623" i="9"/>
  <c r="AM363" i="9"/>
  <c r="Q23" i="9"/>
  <c r="H106" i="9"/>
  <c r="F635" i="9"/>
  <c r="F505" i="9"/>
  <c r="AO41" i="9"/>
  <c r="BT385" i="9"/>
  <c r="AO145" i="9"/>
  <c r="AM92" i="9"/>
  <c r="F411" i="9"/>
  <c r="H620" i="9"/>
  <c r="BV120" i="9"/>
  <c r="H175" i="9"/>
  <c r="AD85" i="9"/>
  <c r="H288" i="9"/>
  <c r="H328" i="9"/>
  <c r="H379" i="9"/>
  <c r="H583" i="9"/>
  <c r="F471" i="9"/>
  <c r="AD27" i="9"/>
  <c r="AM137" i="9"/>
  <c r="AM136" i="9"/>
  <c r="H24" i="9"/>
  <c r="BK239" i="9"/>
  <c r="F350" i="9"/>
  <c r="BV437" i="9"/>
  <c r="H67" i="9"/>
  <c r="F435" i="9"/>
  <c r="H83" i="9"/>
  <c r="H421" i="9"/>
  <c r="F620" i="9"/>
  <c r="H432" i="9"/>
  <c r="AO275" i="9"/>
  <c r="F625" i="9"/>
  <c r="AO163" i="9"/>
  <c r="H525" i="9"/>
  <c r="AM348" i="9"/>
  <c r="BT256" i="9"/>
  <c r="H304" i="9"/>
  <c r="F198" i="9"/>
  <c r="F427" i="9"/>
  <c r="F348" i="9"/>
  <c r="AZ31" i="9"/>
  <c r="H182" i="9"/>
  <c r="S80" i="9"/>
  <c r="H38" i="9"/>
  <c r="BT391" i="9"/>
  <c r="H75" i="9"/>
  <c r="H559" i="9"/>
  <c r="F327" i="9"/>
  <c r="F483" i="9"/>
  <c r="F368" i="9"/>
  <c r="BT341" i="9"/>
  <c r="F333" i="9"/>
  <c r="BV292" i="9"/>
  <c r="H302" i="9"/>
  <c r="F588" i="9"/>
  <c r="F357" i="9"/>
  <c r="H522" i="9"/>
  <c r="H582" i="9"/>
  <c r="F397" i="9"/>
  <c r="H553" i="9"/>
  <c r="AX61" i="9"/>
  <c r="BV101" i="9"/>
  <c r="AM254" i="9"/>
  <c r="H166" i="9"/>
  <c r="AX159" i="9"/>
  <c r="CP414" i="9"/>
  <c r="F30" i="9"/>
  <c r="BK205" i="9"/>
  <c r="BI217" i="9"/>
  <c r="AM31" i="9"/>
  <c r="AO288" i="9"/>
  <c r="BK144" i="9"/>
  <c r="BV322" i="9"/>
  <c r="AM146" i="9"/>
  <c r="AM178" i="9"/>
  <c r="BI172" i="9"/>
  <c r="BI198" i="9"/>
  <c r="F359" i="9"/>
  <c r="H188" i="9"/>
  <c r="F103" i="9"/>
  <c r="BI117" i="9"/>
  <c r="H217" i="9"/>
  <c r="F337" i="9"/>
  <c r="H593" i="9"/>
  <c r="AM135" i="9"/>
  <c r="H157" i="9"/>
  <c r="H475" i="9"/>
  <c r="H289" i="9"/>
  <c r="F167" i="9"/>
  <c r="AO329" i="9"/>
  <c r="AO50" i="9"/>
  <c r="F39" i="9"/>
  <c r="H330" i="9"/>
  <c r="H49" i="9"/>
  <c r="H318" i="9"/>
  <c r="H444" i="9"/>
  <c r="H567" i="9"/>
  <c r="F87" i="9"/>
  <c r="AB45" i="9"/>
  <c r="AO309" i="9"/>
  <c r="F402" i="9"/>
  <c r="H560" i="9"/>
  <c r="H546" i="9"/>
  <c r="F453" i="9"/>
  <c r="H213" i="9"/>
  <c r="S115" i="9"/>
  <c r="H634" i="9"/>
  <c r="F256" i="9"/>
  <c r="H454" i="9"/>
  <c r="BI124" i="9"/>
  <c r="Q71" i="9"/>
  <c r="AM271" i="9"/>
  <c r="H29" i="9"/>
  <c r="H81" i="9"/>
  <c r="H124" i="9"/>
  <c r="H269" i="9"/>
  <c r="Q36" i="9"/>
  <c r="H403" i="9"/>
  <c r="H648" i="9"/>
  <c r="AO97" i="9"/>
  <c r="H112" i="9"/>
  <c r="H452" i="9"/>
  <c r="AM150" i="9"/>
  <c r="H141" i="9"/>
  <c r="H420" i="9"/>
  <c r="F628" i="9"/>
  <c r="AO252" i="9"/>
  <c r="F531" i="9"/>
  <c r="AO215" i="9"/>
  <c r="H360" i="9"/>
  <c r="CR235" i="9"/>
  <c r="AM155" i="9"/>
  <c r="AO35" i="9"/>
  <c r="F604" i="9"/>
  <c r="F395" i="9"/>
  <c r="F268" i="9"/>
  <c r="CE265" i="9"/>
  <c r="F515" i="9"/>
  <c r="F610" i="9"/>
  <c r="F492" i="9"/>
  <c r="H548" i="9"/>
  <c r="H595" i="9"/>
  <c r="H536" i="9"/>
  <c r="F367" i="9"/>
  <c r="H613" i="9"/>
  <c r="F69" i="9"/>
  <c r="F310" i="9"/>
  <c r="F293" i="9"/>
  <c r="H534" i="9"/>
  <c r="F577" i="9"/>
  <c r="F152" i="9"/>
  <c r="CG231" i="9"/>
  <c r="S135" i="9"/>
  <c r="H521" i="9"/>
  <c r="H640" i="9"/>
  <c r="AM206" i="9"/>
  <c r="H291" i="9"/>
  <c r="F550" i="9"/>
  <c r="F372" i="9"/>
  <c r="AO318" i="9"/>
  <c r="AD24" i="9"/>
  <c r="S191" i="9"/>
  <c r="H108" i="9"/>
  <c r="F581" i="9"/>
  <c r="CG171" i="9"/>
  <c r="AM396" i="9"/>
  <c r="AB93" i="9"/>
  <c r="BK244" i="9"/>
  <c r="BK203" i="9"/>
  <c r="BK193" i="9"/>
  <c r="AM204" i="9"/>
  <c r="AB80" i="9"/>
  <c r="BV341" i="9"/>
  <c r="AO401" i="9"/>
  <c r="AM58" i="9"/>
  <c r="AO208" i="9"/>
  <c r="CE212" i="9"/>
  <c r="AM235" i="9"/>
  <c r="BV433" i="9"/>
  <c r="AO55" i="9"/>
  <c r="Q94" i="9"/>
  <c r="AM270" i="9"/>
  <c r="F185" i="9"/>
  <c r="F363" i="9"/>
  <c r="F330" i="9"/>
  <c r="F139" i="9"/>
  <c r="H40" i="9"/>
  <c r="BT185" i="9"/>
  <c r="S116" i="9"/>
  <c r="AM23" i="9"/>
  <c r="AO129" i="9"/>
  <c r="H45" i="9"/>
  <c r="H424" i="9"/>
  <c r="AZ34" i="9"/>
  <c r="F641" i="9"/>
  <c r="F523" i="9"/>
  <c r="H184" i="9"/>
  <c r="H247" i="9"/>
  <c r="H89" i="9"/>
  <c r="AO243" i="9"/>
  <c r="F224" i="9"/>
  <c r="H131" i="9"/>
  <c r="H242" i="9"/>
  <c r="H164" i="9"/>
  <c r="BI66" i="9"/>
  <c r="F451" i="9"/>
  <c r="AO197" i="9"/>
  <c r="H399" i="9"/>
  <c r="F300" i="9"/>
  <c r="S97" i="9"/>
  <c r="H202" i="9"/>
  <c r="AO304" i="9"/>
  <c r="F391" i="9"/>
  <c r="F282" i="9"/>
  <c r="AD47" i="9"/>
  <c r="AM281" i="9"/>
  <c r="AZ50" i="9"/>
  <c r="F150" i="9"/>
  <c r="H227" i="9"/>
  <c r="F594" i="9"/>
  <c r="S99" i="9"/>
  <c r="H272" i="9"/>
  <c r="F317" i="9"/>
  <c r="F401" i="9"/>
  <c r="BK80" i="9"/>
  <c r="H324" i="9"/>
  <c r="F498" i="9"/>
  <c r="H414" i="9"/>
  <c r="F303" i="9"/>
  <c r="H229" i="9"/>
  <c r="H286" i="9"/>
  <c r="F276" i="9"/>
  <c r="H163" i="9"/>
  <c r="S109" i="9"/>
  <c r="AO373" i="9"/>
  <c r="AM25" i="9"/>
  <c r="BV187" i="9"/>
  <c r="AO153" i="9"/>
  <c r="H86" i="9"/>
  <c r="S121" i="9"/>
  <c r="AD29" i="9"/>
  <c r="AZ162" i="9"/>
  <c r="F637" i="9"/>
  <c r="F462" i="9"/>
  <c r="AM241" i="9"/>
  <c r="F396" i="9"/>
  <c r="BK101" i="9"/>
  <c r="BT452" i="9"/>
  <c r="AM380" i="9"/>
  <c r="AO222" i="9"/>
  <c r="AO246" i="9"/>
  <c r="AB22" i="9"/>
  <c r="F370" i="9"/>
  <c r="AM210" i="9"/>
  <c r="F436" i="9"/>
  <c r="H52" i="9"/>
  <c r="AB68" i="9"/>
  <c r="F63" i="9"/>
  <c r="F576" i="9"/>
  <c r="F156" i="9"/>
  <c r="H633" i="9"/>
  <c r="H290" i="9"/>
  <c r="AB48" i="9"/>
  <c r="H398" i="9"/>
  <c r="BV257" i="9"/>
  <c r="F407" i="9"/>
  <c r="F389" i="9"/>
  <c r="F217" i="9"/>
  <c r="H307" i="9"/>
  <c r="BT439" i="9"/>
  <c r="F89" i="9"/>
  <c r="AM78" i="9"/>
  <c r="H160" i="9"/>
  <c r="H58" i="9"/>
  <c r="H573" i="9"/>
  <c r="F92" i="9"/>
  <c r="F538" i="9"/>
  <c r="BK33" i="9"/>
  <c r="H207" i="9"/>
  <c r="F338" i="9"/>
  <c r="H84" i="9"/>
  <c r="H334" i="9"/>
  <c r="F344" i="9"/>
  <c r="F187" i="9"/>
  <c r="H153" i="9"/>
  <c r="Q35" i="9"/>
  <c r="H391" i="9"/>
  <c r="F424" i="9"/>
  <c r="AO124" i="9"/>
  <c r="F387" i="9"/>
  <c r="F52" i="9"/>
  <c r="BV144" i="9"/>
  <c r="F105" i="9"/>
  <c r="F566" i="9"/>
  <c r="F362" i="9"/>
  <c r="F571" i="9"/>
  <c r="AZ85" i="9"/>
  <c r="AO61" i="9"/>
  <c r="H493" i="9"/>
  <c r="F126" i="9"/>
  <c r="H438" i="9"/>
  <c r="BV155" i="9"/>
  <c r="F356" i="9"/>
  <c r="F172" i="9"/>
  <c r="F168" i="9"/>
  <c r="H258" i="9"/>
  <c r="AO386" i="9"/>
  <c r="BV136" i="9"/>
  <c r="H154" i="9"/>
  <c r="F266" i="9"/>
  <c r="H579" i="9"/>
  <c r="H121" i="9"/>
  <c r="H246" i="9"/>
  <c r="BV362" i="9"/>
  <c r="H492" i="9"/>
  <c r="AO229" i="9"/>
  <c r="H644" i="9"/>
  <c r="AO341" i="9"/>
  <c r="F616" i="9"/>
  <c r="F127" i="9"/>
  <c r="H557" i="9"/>
  <c r="AM164" i="9"/>
  <c r="H63" i="9"/>
  <c r="AM275" i="9"/>
  <c r="S78" i="9"/>
  <c r="F328" i="9"/>
  <c r="H621" i="9"/>
  <c r="Q72" i="9"/>
  <c r="H245" i="9"/>
  <c r="F133" i="9"/>
  <c r="F541" i="9"/>
  <c r="F629" i="9"/>
  <c r="H528" i="9"/>
  <c r="BV160" i="9"/>
  <c r="H42" i="9"/>
  <c r="Q37" i="9"/>
  <c r="BT29" i="9"/>
  <c r="AB31" i="9"/>
  <c r="F361" i="9"/>
  <c r="BV43" i="9"/>
  <c r="AO223" i="9"/>
  <c r="F563" i="9"/>
  <c r="AO150" i="9"/>
  <c r="H69" i="9"/>
  <c r="H342" i="9"/>
  <c r="AO96" i="9"/>
  <c r="F86" i="9"/>
  <c r="F619" i="9"/>
  <c r="AB52" i="9"/>
  <c r="Q26" i="9"/>
  <c r="F508" i="9"/>
  <c r="BT90" i="9"/>
  <c r="AO278" i="9"/>
  <c r="AD25" i="9"/>
  <c r="H471" i="9"/>
  <c r="AM308" i="9"/>
  <c r="F612" i="9"/>
  <c r="BV124" i="9"/>
  <c r="H134" i="9"/>
  <c r="F95" i="9"/>
  <c r="AM44" i="9"/>
  <c r="Q134" i="9"/>
  <c r="BK186" i="9"/>
  <c r="AD26" i="9"/>
  <c r="F525" i="9"/>
  <c r="BV225" i="9"/>
  <c r="AO121" i="9"/>
  <c r="F335" i="9"/>
  <c r="BV162" i="9"/>
  <c r="AO189" i="9"/>
  <c r="AM144" i="9"/>
  <c r="H406" i="9"/>
  <c r="F213" i="9"/>
  <c r="F414" i="9"/>
  <c r="AO135" i="9"/>
  <c r="BV100" i="9"/>
  <c r="BV32" i="9"/>
  <c r="AM182" i="9"/>
  <c r="H276" i="9"/>
  <c r="F112" i="9"/>
  <c r="H526" i="9"/>
  <c r="Q39" i="9"/>
  <c r="F434" i="9"/>
  <c r="H383" i="9"/>
  <c r="H470" i="9"/>
  <c r="F480" i="9"/>
  <c r="F342" i="9"/>
  <c r="AO56" i="9"/>
  <c r="H279" i="9"/>
  <c r="AZ58" i="9"/>
  <c r="AO178" i="9"/>
  <c r="AO45" i="9"/>
  <c r="H293" i="9"/>
  <c r="F366" i="9"/>
  <c r="H436" i="9"/>
  <c r="H273" i="9"/>
  <c r="H367" i="9"/>
  <c r="AO293" i="9"/>
  <c r="H362" i="9"/>
  <c r="AM161" i="9"/>
  <c r="F107" i="9"/>
  <c r="F60" i="9"/>
  <c r="AM403" i="9"/>
  <c r="AM330" i="9"/>
  <c r="F499" i="9"/>
  <c r="H122" i="9"/>
  <c r="AO363" i="9"/>
  <c r="Q120" i="9"/>
  <c r="H392" i="9"/>
  <c r="F607" i="9"/>
  <c r="H256" i="9"/>
  <c r="H363" i="9"/>
  <c r="F216" i="9"/>
  <c r="AD60" i="9"/>
  <c r="F144" i="9"/>
  <c r="H354" i="9"/>
  <c r="AM83" i="9"/>
  <c r="AO384" i="9"/>
  <c r="AX27" i="9"/>
  <c r="H400" i="9"/>
  <c r="AM174" i="9"/>
  <c r="AO144" i="9"/>
  <c r="BK176" i="9"/>
  <c r="AD73" i="9"/>
  <c r="F210" i="9"/>
  <c r="Q41" i="9"/>
  <c r="H39" i="9"/>
  <c r="H295" i="9"/>
  <c r="F509" i="9"/>
  <c r="AB33" i="9"/>
  <c r="H206" i="9"/>
  <c r="H195" i="9"/>
  <c r="Q117" i="9"/>
  <c r="H44" i="9"/>
  <c r="H625" i="9"/>
  <c r="AO205" i="9"/>
  <c r="Q133" i="9"/>
  <c r="F295" i="9"/>
  <c r="S42" i="9"/>
  <c r="H133" i="9"/>
  <c r="H303" i="9"/>
  <c r="F31" i="9"/>
  <c r="H446" i="9"/>
  <c r="BI178" i="9"/>
  <c r="AM313" i="9"/>
  <c r="H312" i="9"/>
  <c r="AO220" i="9"/>
  <c r="BK195" i="9"/>
  <c r="F592" i="9"/>
  <c r="F138" i="9"/>
  <c r="F457" i="9"/>
  <c r="H172" i="9"/>
  <c r="F430" i="9"/>
  <c r="S194" i="9"/>
  <c r="AM76" i="9"/>
  <c r="H71" i="9"/>
  <c r="H313" i="9"/>
  <c r="AO285" i="9"/>
  <c r="AB83" i="9"/>
  <c r="BT187" i="9"/>
  <c r="S103" i="9"/>
  <c r="H504" i="9"/>
  <c r="AB39" i="9"/>
  <c r="AX116" i="9"/>
  <c r="H270" i="9"/>
  <c r="AO310" i="9"/>
  <c r="F309" i="9"/>
  <c r="BV380" i="9"/>
  <c r="BT431" i="9"/>
  <c r="AO370" i="9"/>
  <c r="H503" i="9"/>
  <c r="H382" i="9"/>
  <c r="AB84" i="9"/>
  <c r="H271" i="9"/>
  <c r="AO270" i="9"/>
  <c r="AO147" i="9"/>
  <c r="F485" i="9"/>
  <c r="F219" i="9"/>
  <c r="F638" i="9"/>
  <c r="AO116" i="9"/>
  <c r="F48" i="9"/>
  <c r="AO206" i="9"/>
  <c r="AO130" i="9"/>
  <c r="H158" i="9"/>
  <c r="AO376" i="9"/>
  <c r="AM278" i="9"/>
  <c r="F449" i="9"/>
  <c r="F465" i="9"/>
  <c r="AO66" i="9"/>
  <c r="BV256" i="9"/>
  <c r="F486" i="9"/>
  <c r="F578" i="9"/>
  <c r="BI116" i="9"/>
  <c r="AM347" i="9"/>
  <c r="F529" i="9"/>
  <c r="F161" i="9"/>
  <c r="H558" i="9"/>
  <c r="BT228" i="9"/>
  <c r="H569" i="9"/>
  <c r="AX85" i="9"/>
  <c r="F516" i="9"/>
  <c r="BT198" i="9"/>
  <c r="AX145" i="9"/>
  <c r="BI113" i="9"/>
  <c r="F558" i="9"/>
  <c r="AM295" i="9"/>
  <c r="AO392" i="9"/>
  <c r="BK175" i="9"/>
  <c r="BI128" i="9"/>
  <c r="AM352" i="9"/>
  <c r="Q44" i="9"/>
  <c r="Q136" i="9"/>
  <c r="AM249" i="9"/>
  <c r="H23" i="9"/>
  <c r="BT82" i="9"/>
  <c r="BV305" i="9"/>
  <c r="AM385" i="9"/>
  <c r="CE277" i="9"/>
  <c r="H187" i="9"/>
  <c r="F322" i="9"/>
  <c r="H463" i="9"/>
  <c r="AM168" i="9"/>
  <c r="H371" i="9"/>
  <c r="F329" i="9"/>
  <c r="F433" i="9"/>
  <c r="F439" i="9"/>
  <c r="H511" i="9"/>
  <c r="F398" i="9"/>
  <c r="S104" i="9"/>
  <c r="H397" i="9"/>
  <c r="F305" i="9"/>
  <c r="F62" i="9"/>
  <c r="AM123" i="9"/>
  <c r="H547" i="9"/>
  <c r="AO152" i="9"/>
  <c r="H266" i="9"/>
  <c r="Q97" i="9"/>
  <c r="H588" i="9"/>
  <c r="AX55" i="9"/>
  <c r="F544" i="9"/>
  <c r="AM37" i="9"/>
  <c r="H412" i="9"/>
  <c r="F627" i="9"/>
  <c r="H251" i="9"/>
  <c r="F43" i="9"/>
  <c r="AM300" i="9"/>
  <c r="AD81" i="9"/>
  <c r="H483" i="9"/>
  <c r="H552" i="9"/>
  <c r="H562" i="9"/>
  <c r="AM261" i="9"/>
  <c r="F130" i="9"/>
  <c r="CE330" i="9"/>
  <c r="F522" i="9"/>
  <c r="AO377" i="9"/>
  <c r="AO372" i="9"/>
  <c r="AO380" i="9"/>
  <c r="H468" i="9"/>
  <c r="H632" i="9"/>
  <c r="F274" i="9"/>
  <c r="BK96" i="9"/>
  <c r="F488" i="9"/>
  <c r="AM35" i="9"/>
  <c r="H332" i="9"/>
  <c r="S95" i="9"/>
  <c r="Q86" i="9"/>
  <c r="AX70" i="9"/>
  <c r="F316" i="9"/>
  <c r="AM301" i="9"/>
  <c r="F475" i="9"/>
  <c r="AO332" i="9"/>
  <c r="H364" i="9"/>
  <c r="Q69" i="9"/>
  <c r="BI70" i="9"/>
  <c r="Q63" i="9"/>
  <c r="F352" i="9"/>
  <c r="F381" i="9"/>
  <c r="H443" i="9"/>
  <c r="S90" i="9"/>
  <c r="BV439" i="9"/>
  <c r="F589" i="9"/>
  <c r="H611" i="9"/>
  <c r="H292" i="9"/>
  <c r="H527" i="9"/>
  <c r="F383" i="9"/>
  <c r="F478" i="9"/>
  <c r="F194" i="9"/>
  <c r="AM73" i="9"/>
  <c r="AZ82" i="9"/>
  <c r="Q131" i="9"/>
  <c r="H479" i="9"/>
  <c r="H137" i="9"/>
  <c r="Q175" i="9"/>
  <c r="AM333" i="9"/>
  <c r="H348" i="9"/>
  <c r="H626" i="9"/>
  <c r="AM119" i="9"/>
  <c r="BI93" i="9"/>
  <c r="BK230" i="9"/>
  <c r="S79" i="9"/>
  <c r="BK115" i="9"/>
  <c r="AO36" i="9"/>
  <c r="AM221" i="9"/>
  <c r="H116" i="9"/>
  <c r="AM68" i="9"/>
  <c r="AM169" i="9"/>
  <c r="S59" i="9"/>
  <c r="F548" i="9"/>
  <c r="AO298" i="9"/>
  <c r="Q32" i="9"/>
  <c r="AM27" i="9"/>
  <c r="Q87" i="9"/>
  <c r="AB77" i="9"/>
  <c r="F196" i="9"/>
  <c r="H64" i="9"/>
  <c r="F189" i="9"/>
  <c r="F569" i="9"/>
  <c r="F496" i="9"/>
  <c r="F593" i="9"/>
  <c r="S22" i="9"/>
  <c r="AM368" i="9"/>
  <c r="AM60" i="9"/>
  <c r="H232" i="9"/>
  <c r="H516" i="9"/>
  <c r="BV332" i="9"/>
  <c r="F644" i="9"/>
  <c r="H309" i="9"/>
  <c r="F78" i="9"/>
  <c r="AO383" i="9"/>
  <c r="H143" i="9"/>
  <c r="BV349" i="9"/>
  <c r="H82" i="9"/>
  <c r="S85" i="9"/>
  <c r="Q108" i="9"/>
  <c r="AO342" i="9"/>
  <c r="H631" i="9"/>
  <c r="BT368" i="9"/>
  <c r="AO404" i="9"/>
  <c r="AO39" i="9"/>
  <c r="H563" i="9"/>
  <c r="F447" i="9"/>
  <c r="H469" i="9"/>
  <c r="AM391" i="9"/>
  <c r="Q56" i="9"/>
  <c r="BK99" i="9"/>
  <c r="S66" i="9"/>
  <c r="F134" i="9"/>
  <c r="AM170" i="9"/>
  <c r="AD53" i="9"/>
  <c r="F535" i="9"/>
  <c r="AM373" i="9"/>
  <c r="F512" i="9"/>
  <c r="AO33" i="9"/>
  <c r="F234" i="9"/>
  <c r="AM279" i="9"/>
  <c r="H107" i="9"/>
  <c r="AB81" i="9"/>
  <c r="F54" i="9"/>
  <c r="S86" i="9"/>
  <c r="F474" i="9"/>
  <c r="H407" i="9"/>
  <c r="F111" i="9"/>
  <c r="H451" i="9"/>
  <c r="F33" i="9"/>
  <c r="H78" i="9"/>
  <c r="CP630" i="9"/>
  <c r="AM190" i="9"/>
  <c r="AB51" i="9"/>
  <c r="F115" i="9"/>
  <c r="S25" i="9"/>
  <c r="AB91" i="9"/>
  <c r="S43" i="9"/>
  <c r="H405" i="9"/>
  <c r="AD49" i="9"/>
  <c r="AX108" i="9"/>
  <c r="F473" i="9"/>
  <c r="H349" i="9"/>
  <c r="H173" i="9"/>
  <c r="F633" i="9"/>
  <c r="H572" i="9"/>
  <c r="F88" i="9"/>
  <c r="BV393" i="9"/>
  <c r="AO34" i="9"/>
  <c r="F599" i="9"/>
  <c r="H90" i="9"/>
  <c r="Q24" i="9"/>
  <c r="BV334" i="9"/>
  <c r="H617" i="9"/>
  <c r="H543" i="9"/>
  <c r="H171" i="9"/>
  <c r="H186" i="9"/>
  <c r="BT406" i="9"/>
  <c r="AO58" i="9"/>
  <c r="AO334" i="9"/>
  <c r="H585" i="9"/>
  <c r="AZ47" i="9"/>
  <c r="S56" i="9"/>
  <c r="F408" i="9"/>
  <c r="F299" i="9"/>
  <c r="F341" i="9"/>
  <c r="H357" i="9"/>
  <c r="BV133" i="9"/>
  <c r="H394" i="9"/>
  <c r="H474" i="9"/>
  <c r="AD50" i="9"/>
  <c r="Q129" i="9"/>
  <c r="H50" i="9"/>
  <c r="H537" i="9"/>
  <c r="H439" i="9"/>
  <c r="F606" i="9"/>
  <c r="Q83" i="9"/>
  <c r="H311" i="9"/>
  <c r="F242" i="9"/>
  <c r="BT323" i="9"/>
  <c r="H645" i="9"/>
  <c r="F163" i="9"/>
  <c r="BT376" i="9"/>
  <c r="H570" i="9"/>
  <c r="AM207" i="9"/>
  <c r="H575" i="9"/>
  <c r="BT199" i="9"/>
  <c r="BI90" i="9"/>
  <c r="AZ27" i="9"/>
  <c r="F527" i="9"/>
  <c r="F287" i="9"/>
  <c r="S127" i="9"/>
  <c r="S123" i="9"/>
  <c r="S128" i="9"/>
  <c r="H614" i="9"/>
  <c r="AO137" i="9"/>
  <c r="H339" i="9"/>
  <c r="AM69" i="9"/>
  <c r="CP120" i="9"/>
  <c r="AO236" i="9"/>
  <c r="H25" i="9"/>
  <c r="F29" i="9"/>
  <c r="H111" i="9"/>
  <c r="H523" i="9"/>
  <c r="H165" i="9"/>
  <c r="H388" i="9"/>
  <c r="F364" i="9"/>
  <c r="H618" i="9"/>
  <c r="F419" i="9"/>
  <c r="AO136" i="9"/>
  <c r="H609" i="9"/>
  <c r="H459" i="9"/>
  <c r="F360" i="9"/>
  <c r="S37" i="9"/>
  <c r="H387" i="9"/>
  <c r="BI49" i="9"/>
  <c r="AM82" i="9"/>
  <c r="F540" i="9"/>
  <c r="H423" i="9"/>
  <c r="H409" i="9"/>
  <c r="H646" i="9"/>
  <c r="H352" i="9"/>
  <c r="H321" i="9"/>
  <c r="H402" i="9"/>
  <c r="H440" i="9"/>
  <c r="CP592" i="9"/>
  <c r="F494" i="9"/>
  <c r="F90" i="9"/>
  <c r="H539" i="9"/>
  <c r="H353" i="9"/>
  <c r="AM234" i="9"/>
  <c r="H458" i="9"/>
  <c r="H62" i="9"/>
  <c r="F238" i="9"/>
  <c r="AO112" i="9"/>
  <c r="AX81" i="9"/>
  <c r="AM39" i="9"/>
  <c r="H61" i="9"/>
  <c r="AZ152" i="9"/>
  <c r="AB23" i="9"/>
  <c r="S110" i="9"/>
  <c r="F510" i="9"/>
  <c r="AD35" i="9"/>
  <c r="H129" i="9"/>
  <c r="H365" i="9"/>
  <c r="F159" i="9"/>
  <c r="H305" i="9"/>
  <c r="H346" i="9"/>
  <c r="AZ129" i="9"/>
  <c r="F229" i="9"/>
  <c r="H592" i="9"/>
  <c r="H287" i="9"/>
  <c r="F626" i="9"/>
  <c r="H180" i="9"/>
  <c r="Q144" i="9"/>
  <c r="F382" i="9"/>
  <c r="F180" i="9"/>
  <c r="H162" i="9"/>
  <c r="H326" i="9"/>
  <c r="AM337" i="9"/>
  <c r="H282" i="9"/>
  <c r="H509" i="9"/>
  <c r="F442" i="9"/>
  <c r="AO228" i="9"/>
  <c r="F259" i="9"/>
  <c r="F568" i="9"/>
  <c r="AO48" i="9"/>
  <c r="AO350" i="9"/>
  <c r="F51" i="9"/>
  <c r="S29" i="9"/>
  <c r="AO110" i="9"/>
  <c r="AM117" i="9"/>
  <c r="H576" i="9"/>
  <c r="AO264" i="9"/>
  <c r="H178" i="9"/>
  <c r="H22" i="9"/>
  <c r="AO331" i="9"/>
  <c r="CG149" i="9"/>
  <c r="F313" i="9"/>
  <c r="AO365" i="9"/>
  <c r="H199" i="9"/>
  <c r="F605" i="9"/>
  <c r="F41" i="9"/>
  <c r="H37" i="9"/>
  <c r="F482" i="9"/>
  <c r="Q85" i="9"/>
  <c r="F379" i="9"/>
  <c r="F292" i="9"/>
  <c r="H41" i="9"/>
  <c r="AM213" i="9"/>
  <c r="Q55" i="9"/>
  <c r="F454" i="9"/>
  <c r="H378" i="9"/>
  <c r="F205" i="9"/>
  <c r="AM296" i="9"/>
  <c r="F354" i="9"/>
  <c r="H252" i="9"/>
  <c r="H347" i="9"/>
  <c r="AM128" i="9"/>
  <c r="BV112" i="9"/>
  <c r="AO134" i="9"/>
  <c r="CP49" i="9"/>
  <c r="AB28" i="9"/>
  <c r="AO257" i="9"/>
  <c r="S142" i="9"/>
  <c r="CE306" i="9"/>
  <c r="S27" i="9"/>
  <c r="H480" i="9"/>
  <c r="BV52" i="9"/>
  <c r="H538" i="9"/>
  <c r="AM212" i="9"/>
  <c r="H564" i="9"/>
  <c r="H79" i="9"/>
  <c r="H529" i="9"/>
  <c r="F45" i="9"/>
  <c r="F166" i="9"/>
  <c r="H485" i="9"/>
  <c r="AM351" i="9"/>
  <c r="H97" i="9"/>
  <c r="AM236" i="9"/>
  <c r="BT243" i="9"/>
  <c r="BV209" i="9"/>
  <c r="CE368" i="9"/>
  <c r="AM160" i="9"/>
  <c r="AM237" i="9"/>
  <c r="H66" i="9"/>
  <c r="H448" i="9"/>
  <c r="AM56" i="9"/>
  <c r="H215" i="9"/>
  <c r="Q125" i="9"/>
  <c r="F615" i="9"/>
  <c r="S47" i="9"/>
  <c r="BK98" i="9"/>
  <c r="S129" i="9"/>
  <c r="H179" i="9"/>
  <c r="Q114" i="9"/>
  <c r="H225" i="9"/>
  <c r="F384" i="9"/>
  <c r="F511" i="9"/>
  <c r="CR324" i="9"/>
  <c r="H426" i="9"/>
  <c r="S63" i="9"/>
  <c r="F385" i="9"/>
  <c r="F129" i="9"/>
  <c r="F580" i="9"/>
  <c r="F622" i="9"/>
  <c r="H43" i="9"/>
  <c r="H169" i="9"/>
  <c r="H499" i="9"/>
  <c r="H53" i="9"/>
  <c r="AM209" i="9"/>
  <c r="AM197" i="9"/>
  <c r="F49" i="9"/>
  <c r="AO29" i="9"/>
  <c r="F455" i="9"/>
  <c r="H159" i="9"/>
  <c r="BV50" i="9"/>
  <c r="F417" i="9"/>
  <c r="F288" i="9"/>
  <c r="AM80" i="9"/>
  <c r="S91" i="9"/>
  <c r="AD58" i="9"/>
  <c r="AM402" i="9"/>
  <c r="F214" i="9"/>
  <c r="AB38" i="9"/>
  <c r="F233" i="9"/>
  <c r="F296" i="9"/>
  <c r="F585" i="9"/>
  <c r="F218" i="9"/>
  <c r="F40" i="9"/>
  <c r="BK122" i="9"/>
  <c r="H422" i="9"/>
  <c r="F142" i="9"/>
  <c r="H472" i="9"/>
  <c r="F312" i="9"/>
  <c r="F458" i="9"/>
  <c r="H151" i="9"/>
  <c r="AM96" i="9"/>
  <c r="H278" i="9"/>
  <c r="H601" i="9"/>
  <c r="F220" i="9"/>
  <c r="F609" i="9"/>
  <c r="H505" i="9"/>
  <c r="Q140" i="9"/>
  <c r="H262" i="9"/>
  <c r="AO142" i="9"/>
  <c r="AO106" i="9"/>
  <c r="F181" i="9"/>
  <c r="H476" i="9"/>
  <c r="H350" i="9"/>
  <c r="AO126" i="9"/>
  <c r="H416" i="9"/>
  <c r="F595" i="9"/>
  <c r="H435" i="9"/>
  <c r="AO314" i="9"/>
  <c r="CG172" i="9"/>
  <c r="F110" i="9"/>
  <c r="F116" i="9"/>
  <c r="AM159" i="9"/>
  <c r="F643" i="9"/>
  <c r="CE201" i="9"/>
  <c r="F583" i="9"/>
  <c r="S101" i="9"/>
  <c r="H482" i="9"/>
  <c r="BV238" i="9"/>
  <c r="H533" i="9"/>
  <c r="F437" i="9"/>
  <c r="F206" i="9"/>
  <c r="H393" i="9"/>
  <c r="Q73" i="9"/>
  <c r="H450" i="9"/>
  <c r="BK28" i="9"/>
  <c r="H249" i="9"/>
  <c r="AO212" i="9"/>
  <c r="S102" i="9"/>
  <c r="S84" i="9"/>
  <c r="H428" i="9"/>
  <c r="Q22" i="9"/>
  <c r="H512" i="9"/>
  <c r="AO64" i="9"/>
  <c r="F173" i="9"/>
  <c r="H231" i="9"/>
  <c r="F377" i="9"/>
  <c r="CG287" i="9"/>
  <c r="F608" i="9"/>
  <c r="F132" i="9"/>
  <c r="AO117" i="9"/>
  <c r="BT412" i="9"/>
  <c r="F369" i="9"/>
  <c r="F611" i="9"/>
  <c r="H608" i="9"/>
  <c r="AM180" i="9"/>
  <c r="BV84" i="9"/>
  <c r="H419" i="9"/>
  <c r="H542" i="9"/>
  <c r="H574" i="9"/>
  <c r="H586" i="9"/>
  <c r="AO251" i="9"/>
  <c r="AB73" i="9"/>
  <c r="AD90" i="9"/>
  <c r="F267" i="9"/>
  <c r="AO336" i="9"/>
  <c r="F445" i="9"/>
  <c r="Q111" i="9"/>
  <c r="H314" i="9"/>
  <c r="AM131" i="9"/>
  <c r="F289" i="9"/>
  <c r="H517" i="9"/>
  <c r="F113" i="9"/>
  <c r="S107" i="9"/>
  <c r="AM262" i="9"/>
  <c r="H518" i="9"/>
  <c r="H176" i="9"/>
  <c r="BV401" i="9"/>
  <c r="AM320" i="9"/>
  <c r="AD56" i="9"/>
  <c r="F211" i="9"/>
  <c r="H192" i="9"/>
  <c r="F572" i="9"/>
  <c r="AO143" i="9"/>
  <c r="F47" i="9"/>
  <c r="H556" i="9"/>
  <c r="AD57" i="9"/>
  <c r="F536" i="9"/>
  <c r="H630" i="9"/>
  <c r="H550" i="9"/>
  <c r="F75" i="9"/>
  <c r="AX86" i="9"/>
  <c r="H48" i="9"/>
  <c r="F412" i="9"/>
  <c r="F154" i="9"/>
  <c r="F64" i="9"/>
  <c r="H462" i="9"/>
  <c r="H401" i="9"/>
  <c r="F232" i="9"/>
  <c r="AB66" i="9"/>
  <c r="H226" i="9"/>
  <c r="F315" i="9"/>
  <c r="AO289" i="9"/>
  <c r="F639" i="9"/>
  <c r="F334" i="9"/>
  <c r="H283" i="9"/>
  <c r="F426" i="9"/>
  <c r="Q30" i="9"/>
  <c r="H377" i="9"/>
  <c r="AB53" i="9"/>
  <c r="H244" i="9"/>
  <c r="H361" i="9"/>
  <c r="F225" i="9"/>
  <c r="F79" i="9"/>
  <c r="AO119" i="9"/>
  <c r="AM298" i="9"/>
  <c r="H390" i="9"/>
  <c r="F248" i="9"/>
  <c r="AB65" i="9"/>
  <c r="AO62" i="9"/>
  <c r="F255" i="9"/>
  <c r="AD93" i="9"/>
  <c r="F121" i="9"/>
  <c r="F36" i="9"/>
  <c r="H496" i="9"/>
  <c r="H167" i="9"/>
  <c r="AX25" i="9"/>
  <c r="F400" i="9"/>
  <c r="AM248" i="9"/>
  <c r="BV338" i="9"/>
  <c r="AM328" i="9"/>
  <c r="F500" i="9"/>
  <c r="H239" i="9"/>
  <c r="H615" i="9"/>
  <c r="F647" i="9"/>
  <c r="AM407" i="9"/>
  <c r="F399" i="9"/>
  <c r="H117" i="9"/>
  <c r="F188" i="9"/>
  <c r="F294" i="9"/>
  <c r="H94" i="9"/>
  <c r="H170" i="9"/>
  <c r="AO230" i="9"/>
  <c r="AO290" i="9"/>
  <c r="AD75" i="9"/>
  <c r="H98" i="9"/>
  <c r="AM75" i="9"/>
  <c r="F521" i="9"/>
  <c r="F601" i="9"/>
  <c r="H624" i="9"/>
  <c r="F463" i="9"/>
  <c r="H596" i="9"/>
  <c r="AD84" i="9"/>
  <c r="H571" i="9"/>
  <c r="AM186" i="9"/>
  <c r="H240" i="9"/>
  <c r="AB71" i="9"/>
  <c r="F223" i="9"/>
  <c r="H91" i="9"/>
  <c r="F365" i="9"/>
  <c r="AD22" i="9"/>
  <c r="AO103" i="9"/>
  <c r="F209" i="9"/>
  <c r="F109" i="9"/>
  <c r="H228" i="9"/>
  <c r="H264" i="9"/>
  <c r="Q46" i="9"/>
  <c r="H404" i="9"/>
  <c r="F215" i="9"/>
  <c r="H113" i="9"/>
  <c r="H381" i="9"/>
  <c r="H417" i="9"/>
  <c r="AM377" i="9"/>
  <c r="H185" i="9"/>
  <c r="AX22" i="9"/>
  <c r="H30" i="9"/>
  <c r="F623" i="9"/>
  <c r="AZ131" i="9"/>
  <c r="H606" i="9"/>
  <c r="BV392" i="9"/>
  <c r="F286" i="9"/>
  <c r="H261" i="9"/>
  <c r="H253" i="9"/>
  <c r="F82" i="9"/>
  <c r="H389" i="9"/>
  <c r="F272" i="9"/>
  <c r="F80" i="9"/>
  <c r="AO78" i="9"/>
  <c r="H268" i="9"/>
  <c r="F158" i="9"/>
  <c r="BK26" i="9"/>
  <c r="F96" i="9"/>
  <c r="AM323" i="9"/>
  <c r="AD62" i="9"/>
  <c r="H183" i="9"/>
  <c r="Q40" i="9"/>
  <c r="F192" i="9"/>
  <c r="AO256" i="9"/>
  <c r="CE48" i="9"/>
  <c r="F345" i="9"/>
  <c r="S55" i="9"/>
  <c r="H99" i="9"/>
  <c r="AO157" i="9"/>
  <c r="F304" i="9"/>
  <c r="BI224" i="9"/>
  <c r="F562" i="9"/>
  <c r="F162" i="9"/>
  <c r="F530" i="9"/>
  <c r="F70" i="9"/>
  <c r="F183" i="9"/>
  <c r="H442" i="9"/>
  <c r="F182" i="9"/>
  <c r="F99" i="9"/>
  <c r="AM224" i="9"/>
  <c r="F298" i="9"/>
  <c r="BI96" i="9"/>
  <c r="AO114" i="9"/>
  <c r="H396" i="9"/>
  <c r="BI39" i="9"/>
  <c r="H224" i="9"/>
  <c r="CE69" i="9"/>
  <c r="H60" i="9"/>
  <c r="AO187" i="9"/>
  <c r="H478" i="9"/>
  <c r="AB26" i="9"/>
  <c r="BV147" i="9"/>
  <c r="F450" i="9"/>
  <c r="AB37" i="9"/>
  <c r="AM239" i="9"/>
  <c r="H427" i="9"/>
  <c r="H638" i="9"/>
  <c r="AM305" i="9"/>
  <c r="AB32" i="9"/>
  <c r="F53" i="9"/>
  <c r="BV107" i="9"/>
  <c r="AM157" i="9"/>
  <c r="F349" i="9"/>
  <c r="BK113" i="9"/>
  <c r="Q142" i="9"/>
  <c r="H128" i="9"/>
  <c r="S45" i="9"/>
  <c r="CP593" i="9"/>
  <c r="AO160" i="9"/>
  <c r="H515" i="9"/>
  <c r="H46" i="9"/>
  <c r="H545" i="9"/>
  <c r="F190" i="9"/>
  <c r="AZ28" i="9"/>
  <c r="H59" i="9"/>
  <c r="F490" i="9"/>
  <c r="H445" i="9"/>
  <c r="BV230" i="9"/>
  <c r="H125" i="9"/>
  <c r="H415" i="9"/>
  <c r="H109" i="9"/>
  <c r="F247" i="9"/>
  <c r="H627" i="9"/>
  <c r="H598" i="9"/>
  <c r="AM36" i="9"/>
  <c r="H33" i="9"/>
  <c r="H254" i="9"/>
  <c r="H418" i="9"/>
  <c r="F186" i="9"/>
  <c r="AM362" i="9"/>
  <c r="H260" i="9"/>
  <c r="H554" i="9"/>
  <c r="F44" i="9"/>
  <c r="F469" i="9"/>
  <c r="F461" i="9"/>
  <c r="AZ130" i="9"/>
  <c r="H331" i="9"/>
  <c r="Q77" i="9"/>
  <c r="AM355" i="9"/>
  <c r="H355" i="9"/>
  <c r="S82" i="9"/>
  <c r="F94" i="9"/>
  <c r="H599" i="9"/>
  <c r="F431" i="9"/>
  <c r="Q31" i="9"/>
  <c r="F617" i="9"/>
  <c r="AZ155" i="9"/>
  <c r="F201" i="9"/>
  <c r="H380" i="9"/>
  <c r="F270" i="9"/>
  <c r="F567" i="9"/>
  <c r="F57" i="9"/>
  <c r="AM106" i="9"/>
  <c r="H639" i="9"/>
  <c r="H280" i="9"/>
  <c r="Q102" i="9"/>
  <c r="AO72" i="9"/>
  <c r="H201" i="9"/>
  <c r="AO316" i="9"/>
  <c r="BI69" i="9"/>
  <c r="AM327" i="9"/>
  <c r="F128" i="9"/>
  <c r="F290" i="9"/>
  <c r="H600" i="9"/>
  <c r="CG153" i="9"/>
  <c r="AM371" i="9"/>
  <c r="AB56" i="9"/>
  <c r="F587" i="9"/>
  <c r="Q143" i="9"/>
  <c r="H603" i="9"/>
  <c r="F203" i="9"/>
  <c r="H35" i="9"/>
  <c r="F104" i="9"/>
  <c r="BT446" i="9"/>
  <c r="H190" i="9"/>
  <c r="H584" i="9"/>
  <c r="H535" i="9"/>
  <c r="AO86" i="9"/>
  <c r="AM66" i="9"/>
  <c r="F520" i="9"/>
  <c r="H219" i="9"/>
  <c r="F236" i="9"/>
  <c r="AO132" i="9"/>
  <c r="AO348" i="9"/>
  <c r="H336" i="9"/>
  <c r="H431" i="9"/>
  <c r="H74" i="9"/>
  <c r="F253" i="9"/>
  <c r="F240" i="9"/>
  <c r="F261" i="9"/>
  <c r="H200" i="9"/>
  <c r="H464" i="9"/>
  <c r="H437" i="9"/>
  <c r="H196" i="9"/>
  <c r="S137" i="9"/>
  <c r="BK45" i="9"/>
  <c r="H605" i="9"/>
  <c r="H88" i="9"/>
  <c r="F178" i="9"/>
  <c r="F239" i="9"/>
  <c r="AM71" i="9"/>
  <c r="AM129" i="9"/>
  <c r="F285" i="9"/>
  <c r="F405" i="9"/>
  <c r="CG133" i="9"/>
  <c r="AM127" i="9"/>
  <c r="Q92" i="9"/>
  <c r="AM324" i="9"/>
  <c r="AM34" i="9"/>
  <c r="H338" i="9"/>
  <c r="F422" i="9"/>
  <c r="AO162" i="9"/>
  <c r="AX172" i="9"/>
  <c r="H115" i="9"/>
  <c r="H612" i="9"/>
  <c r="F440" i="9"/>
  <c r="H636" i="9"/>
  <c r="AO325" i="9"/>
  <c r="AO317" i="9"/>
  <c r="H138" i="9"/>
  <c r="AO234" i="9"/>
  <c r="H590" i="9"/>
  <c r="H65" i="9"/>
  <c r="H230" i="9"/>
  <c r="F390" i="9"/>
  <c r="H298" i="9"/>
  <c r="AM364" i="9"/>
  <c r="F358" i="9"/>
  <c r="AO77" i="9"/>
  <c r="AO272" i="9"/>
  <c r="AZ72" i="9"/>
  <c r="AO306" i="9"/>
  <c r="F393" i="9"/>
  <c r="F175" i="9"/>
  <c r="G175" i="9" l="1"/>
  <c r="G393" i="9"/>
  <c r="G358" i="9"/>
  <c r="AN364" i="9"/>
  <c r="G390" i="9"/>
  <c r="G440" i="9"/>
  <c r="AY172" i="9"/>
  <c r="G422" i="9"/>
  <c r="AN34" i="9"/>
  <c r="AN324" i="9"/>
  <c r="R92" i="9"/>
  <c r="AN127" i="9"/>
  <c r="G405" i="9"/>
  <c r="G285" i="9"/>
  <c r="AN129" i="9"/>
  <c r="AN71" i="9"/>
  <c r="G239" i="9"/>
  <c r="G178" i="9"/>
  <c r="G261" i="9"/>
  <c r="G240" i="9"/>
  <c r="G253" i="9"/>
  <c r="G236" i="9"/>
  <c r="G520" i="9"/>
  <c r="AN66" i="9"/>
  <c r="BU446" i="9"/>
  <c r="G104" i="9"/>
  <c r="G203" i="9"/>
  <c r="R143" i="9"/>
  <c r="G587" i="9"/>
  <c r="AC56" i="9"/>
  <c r="AN371" i="9"/>
  <c r="G290" i="9"/>
  <c r="G128" i="9"/>
  <c r="AN327" i="9"/>
  <c r="BJ69" i="9"/>
  <c r="R102" i="9"/>
  <c r="AN106" i="9"/>
  <c r="G57" i="9"/>
  <c r="G567" i="9"/>
  <c r="G270" i="9"/>
  <c r="G201" i="9"/>
  <c r="G617" i="9"/>
  <c r="R31" i="9"/>
  <c r="G431" i="9"/>
  <c r="G94" i="9"/>
  <c r="AN355" i="9"/>
  <c r="R77" i="9"/>
  <c r="G461" i="9"/>
  <c r="G469" i="9"/>
  <c r="G44" i="9"/>
  <c r="AN362" i="9"/>
  <c r="G186" i="9"/>
  <c r="AN36" i="9"/>
  <c r="G247" i="9"/>
  <c r="G490" i="9"/>
  <c r="G190" i="9"/>
  <c r="CQ593" i="9"/>
  <c r="R142" i="9"/>
  <c r="G349" i="9"/>
  <c r="AN157" i="9"/>
  <c r="G53" i="9"/>
  <c r="AC32" i="9"/>
  <c r="AN305" i="9"/>
  <c r="AN239" i="9"/>
  <c r="AC37" i="9"/>
  <c r="G450" i="9"/>
  <c r="AC26" i="9"/>
  <c r="CF69" i="9"/>
  <c r="BJ39" i="9"/>
  <c r="BJ96" i="9"/>
  <c r="G298" i="9"/>
  <c r="AN224" i="9"/>
  <c r="G99" i="9"/>
  <c r="G182" i="9"/>
  <c r="G183" i="9"/>
  <c r="G70" i="9"/>
  <c r="G530" i="9"/>
  <c r="G162" i="9"/>
  <c r="G562" i="9"/>
  <c r="BJ224" i="9"/>
  <c r="G304" i="9"/>
  <c r="G345" i="9"/>
  <c r="CF48" i="9"/>
  <c r="G192" i="9"/>
  <c r="R40" i="9"/>
  <c r="AN323" i="9"/>
  <c r="G96" i="9"/>
  <c r="G158" i="9"/>
  <c r="G80" i="9"/>
  <c r="G272" i="9"/>
  <c r="G82" i="9"/>
  <c r="G286" i="9"/>
  <c r="G623" i="9"/>
  <c r="AY22" i="9"/>
  <c r="AN377" i="9"/>
  <c r="G215" i="9"/>
  <c r="R46" i="9"/>
  <c r="G109" i="9"/>
  <c r="G209" i="9"/>
  <c r="G365" i="9"/>
  <c r="G223" i="9"/>
  <c r="AC71" i="9"/>
  <c r="AN186" i="9"/>
  <c r="G463" i="9"/>
  <c r="G601" i="9"/>
  <c r="G521" i="9"/>
  <c r="AN75" i="9"/>
  <c r="G294" i="9"/>
  <c r="G188" i="9"/>
  <c r="G399" i="9"/>
  <c r="AN407" i="9"/>
  <c r="G647" i="9"/>
  <c r="G500" i="9"/>
  <c r="AN328" i="9"/>
  <c r="AN248" i="9"/>
  <c r="G400" i="9"/>
  <c r="AY25" i="9"/>
  <c r="G36" i="9"/>
  <c r="G121" i="9"/>
  <c r="G255" i="9"/>
  <c r="AC65" i="9"/>
  <c r="G248" i="9"/>
  <c r="AN298" i="9"/>
  <c r="G79" i="9"/>
  <c r="G225" i="9"/>
  <c r="AC53" i="9"/>
  <c r="R30" i="9"/>
  <c r="G426" i="9"/>
  <c r="G334" i="9"/>
  <c r="G639" i="9"/>
  <c r="G315" i="9"/>
  <c r="AC66" i="9"/>
  <c r="G232" i="9"/>
  <c r="G64" i="9"/>
  <c r="G154" i="9"/>
  <c r="G412" i="9"/>
  <c r="AY86" i="9"/>
  <c r="G75" i="9"/>
  <c r="G536" i="9"/>
  <c r="G47" i="9"/>
  <c r="G572" i="9"/>
  <c r="G211" i="9"/>
  <c r="AN320" i="9"/>
  <c r="AN262" i="9"/>
  <c r="G113" i="9"/>
  <c r="G289" i="9"/>
  <c r="AN131" i="9"/>
  <c r="R111" i="9"/>
  <c r="G445" i="9"/>
  <c r="G267" i="9"/>
  <c r="AC73" i="9"/>
  <c r="AN180" i="9"/>
  <c r="G611" i="9"/>
  <c r="G369" i="9"/>
  <c r="BU412" i="9"/>
  <c r="G132" i="9"/>
  <c r="G608" i="9"/>
  <c r="G377" i="9"/>
  <c r="G173" i="9"/>
  <c r="R22" i="9"/>
  <c r="R73" i="9"/>
  <c r="G206" i="9"/>
  <c r="G437" i="9"/>
  <c r="G583" i="9"/>
  <c r="CF201" i="9"/>
  <c r="G643" i="9"/>
  <c r="AN159" i="9"/>
  <c r="G116" i="9"/>
  <c r="G110" i="9"/>
  <c r="G595" i="9"/>
  <c r="G181" i="9"/>
  <c r="R140" i="9"/>
  <c r="G609" i="9"/>
  <c r="G220" i="9"/>
  <c r="AN96" i="9"/>
  <c r="G458" i="9"/>
  <c r="G312" i="9"/>
  <c r="G142" i="9"/>
  <c r="G40" i="9"/>
  <c r="G218" i="9"/>
  <c r="G585" i="9"/>
  <c r="G296" i="9"/>
  <c r="G233" i="9"/>
  <c r="AC38" i="9"/>
  <c r="G214" i="9"/>
  <c r="AN402" i="9"/>
  <c r="AN80" i="9"/>
  <c r="G288" i="9"/>
  <c r="G417" i="9"/>
  <c r="G455" i="9"/>
  <c r="G49" i="9"/>
  <c r="AN197" i="9"/>
  <c r="AN209" i="9"/>
  <c r="G622" i="9"/>
  <c r="G580" i="9"/>
  <c r="G129" i="9"/>
  <c r="G385" i="9"/>
  <c r="G511" i="9"/>
  <c r="G384" i="9"/>
  <c r="R114" i="9"/>
  <c r="G615" i="9"/>
  <c r="R125" i="9"/>
  <c r="AN56" i="9"/>
  <c r="AN237" i="9"/>
  <c r="AN160" i="9"/>
  <c r="CF368" i="9"/>
  <c r="BU243" i="9"/>
  <c r="AN236" i="9"/>
  <c r="AN351" i="9"/>
  <c r="G166" i="9"/>
  <c r="G45" i="9"/>
  <c r="AN212" i="9"/>
  <c r="CF306" i="9"/>
  <c r="AC28" i="9"/>
  <c r="CQ49" i="9"/>
  <c r="AN128" i="9"/>
  <c r="G354" i="9"/>
  <c r="AN296" i="9"/>
  <c r="G205" i="9"/>
  <c r="G454" i="9"/>
  <c r="R55" i="9"/>
  <c r="AN213" i="9"/>
  <c r="G292" i="9"/>
  <c r="G379" i="9"/>
  <c r="R85" i="9"/>
  <c r="G482" i="9"/>
  <c r="G41" i="9"/>
  <c r="G605" i="9"/>
  <c r="G313" i="9"/>
  <c r="AN117" i="9"/>
  <c r="G51" i="9"/>
  <c r="G568" i="9"/>
  <c r="G259" i="9"/>
  <c r="G442" i="9"/>
  <c r="AN337" i="9"/>
  <c r="G180" i="9"/>
  <c r="G382" i="9"/>
  <c r="R144" i="9"/>
  <c r="G626" i="9"/>
  <c r="G229" i="9"/>
  <c r="G159" i="9"/>
  <c r="G510" i="9"/>
  <c r="AC23" i="9"/>
  <c r="AN39" i="9"/>
  <c r="AY81" i="9"/>
  <c r="G238" i="9"/>
  <c r="AN234" i="9"/>
  <c r="G90" i="9"/>
  <c r="G494" i="9"/>
  <c r="CQ592" i="9"/>
  <c r="G540" i="9"/>
  <c r="AN82" i="9"/>
  <c r="BJ49" i="9"/>
  <c r="G360" i="9"/>
  <c r="G419" i="9"/>
  <c r="G364" i="9"/>
  <c r="G29" i="9"/>
  <c r="CQ120" i="9"/>
  <c r="AN69" i="9"/>
  <c r="G287" i="9"/>
  <c r="G527" i="9"/>
  <c r="BJ90" i="9"/>
  <c r="BU199" i="9"/>
  <c r="AN207" i="9"/>
  <c r="BU376" i="9"/>
  <c r="G163" i="9"/>
  <c r="BU323" i="9"/>
  <c r="G242" i="9"/>
  <c r="R83" i="9"/>
  <c r="G606" i="9"/>
  <c r="R129" i="9"/>
  <c r="G341" i="9"/>
  <c r="G299" i="9"/>
  <c r="G408" i="9"/>
  <c r="BU406" i="9"/>
  <c r="R24" i="9"/>
  <c r="G599" i="9"/>
  <c r="G88" i="9"/>
  <c r="G633" i="9"/>
  <c r="G473" i="9"/>
  <c r="AY108" i="9"/>
  <c r="AC91" i="9"/>
  <c r="G115" i="9"/>
  <c r="AC51" i="9"/>
  <c r="AN190" i="9"/>
  <c r="CQ630" i="9"/>
  <c r="G33" i="9"/>
  <c r="G111" i="9"/>
  <c r="G474" i="9"/>
  <c r="G54" i="9"/>
  <c r="AC81" i="9"/>
  <c r="AN279" i="9"/>
  <c r="G234" i="9"/>
  <c r="G512" i="9"/>
  <c r="AN373" i="9"/>
  <c r="G535" i="9"/>
  <c r="AN170" i="9"/>
  <c r="G134" i="9"/>
  <c r="R56" i="9"/>
  <c r="AN391" i="9"/>
  <c r="G447" i="9"/>
  <c r="BU368" i="9"/>
  <c r="R108" i="9"/>
  <c r="G78" i="9"/>
  <c r="G644" i="9"/>
  <c r="AN60" i="9"/>
  <c r="AN368" i="9"/>
  <c r="G593" i="9"/>
  <c r="G496" i="9"/>
  <c r="G569" i="9"/>
  <c r="G189" i="9"/>
  <c r="G196" i="9"/>
  <c r="AC77" i="9"/>
  <c r="R87" i="9"/>
  <c r="AN27" i="9"/>
  <c r="R32" i="9"/>
  <c r="G548" i="9"/>
  <c r="AN169" i="9"/>
  <c r="AN68" i="9"/>
  <c r="AN221" i="9"/>
  <c r="BJ93" i="9"/>
  <c r="AN119" i="9"/>
  <c r="AN333" i="9"/>
  <c r="R175" i="9"/>
  <c r="R131" i="9"/>
  <c r="AN73" i="9"/>
  <c r="G194" i="9"/>
  <c r="G478" i="9"/>
  <c r="G383" i="9"/>
  <c r="G589" i="9"/>
  <c r="G381" i="9"/>
  <c r="G352" i="9"/>
  <c r="R63" i="9"/>
  <c r="BJ70" i="9"/>
  <c r="R69" i="9"/>
  <c r="G475" i="9"/>
  <c r="AN301" i="9"/>
  <c r="G316" i="9"/>
  <c r="AY70" i="9"/>
  <c r="R86" i="9"/>
  <c r="AN35" i="9"/>
  <c r="G488" i="9"/>
  <c r="G274" i="9"/>
  <c r="G522" i="9"/>
  <c r="CF330" i="9"/>
  <c r="G130" i="9"/>
  <c r="AN261" i="9"/>
  <c r="AN300" i="9"/>
  <c r="G43" i="9"/>
  <c r="G627" i="9"/>
  <c r="AN37" i="9"/>
  <c r="G544" i="9"/>
  <c r="AY55" i="9"/>
  <c r="R97" i="9"/>
  <c r="AN123" i="9"/>
  <c r="G62" i="9"/>
  <c r="G305" i="9"/>
  <c r="G398" i="9"/>
  <c r="G439" i="9"/>
  <c r="G433" i="9"/>
  <c r="G329" i="9"/>
  <c r="AN168" i="9"/>
  <c r="G322" i="9"/>
  <c r="CF277" i="9"/>
  <c r="AN385" i="9"/>
  <c r="BU82" i="9"/>
  <c r="AN249" i="9"/>
  <c r="R136" i="9"/>
  <c r="R44" i="9"/>
  <c r="AN352" i="9"/>
  <c r="BJ128" i="9"/>
  <c r="AN295" i="9"/>
  <c r="G558" i="9"/>
  <c r="BJ113" i="9"/>
  <c r="AY145" i="9"/>
  <c r="BU198" i="9"/>
  <c r="G516" i="9"/>
  <c r="AY85" i="9"/>
  <c r="BU228" i="9"/>
  <c r="G161" i="9"/>
  <c r="G529" i="9"/>
  <c r="AN347" i="9"/>
  <c r="BJ116" i="9"/>
  <c r="G578" i="9"/>
  <c r="G486" i="9"/>
  <c r="G465" i="9"/>
  <c r="G449" i="9"/>
  <c r="AN278" i="9"/>
  <c r="G48" i="9"/>
  <c r="G638" i="9"/>
  <c r="G219" i="9"/>
  <c r="G485" i="9"/>
  <c r="AC84" i="9"/>
  <c r="BU431" i="9"/>
  <c r="G309" i="9"/>
  <c r="AY116" i="9"/>
  <c r="AC39" i="9"/>
  <c r="BU187" i="9"/>
  <c r="AC83" i="9"/>
  <c r="AN76" i="9"/>
  <c r="G430" i="9"/>
  <c r="G457" i="9"/>
  <c r="G138" i="9"/>
  <c r="G592" i="9"/>
  <c r="AN313" i="9"/>
  <c r="BJ178" i="9"/>
  <c r="G31" i="9"/>
  <c r="G295" i="9"/>
  <c r="R133" i="9"/>
  <c r="R117" i="9"/>
  <c r="AC33" i="9"/>
  <c r="G509" i="9"/>
  <c r="R41" i="9"/>
  <c r="G210" i="9"/>
  <c r="AN174" i="9"/>
  <c r="AY27" i="9"/>
  <c r="AN83" i="9"/>
  <c r="G144" i="9"/>
  <c r="G216" i="9"/>
  <c r="G607" i="9"/>
  <c r="R120" i="9"/>
  <c r="G499" i="9"/>
  <c r="AN330" i="9"/>
  <c r="AN403" i="9"/>
  <c r="G60" i="9"/>
  <c r="G107" i="9"/>
  <c r="AN161" i="9"/>
  <c r="G366" i="9"/>
  <c r="G342" i="9"/>
  <c r="G480" i="9"/>
  <c r="G434" i="9"/>
  <c r="R39" i="9"/>
  <c r="G112" i="9"/>
  <c r="AN182" i="9"/>
  <c r="G414" i="9"/>
  <c r="G213" i="9"/>
  <c r="AN144" i="9"/>
  <c r="G335" i="9"/>
  <c r="G525" i="9"/>
  <c r="R134" i="9"/>
  <c r="AN44" i="9"/>
  <c r="G95" i="9"/>
  <c r="G612" i="9"/>
  <c r="AN308" i="9"/>
  <c r="BU90" i="9"/>
  <c r="G508" i="9"/>
  <c r="R26" i="9"/>
  <c r="AC52" i="9"/>
  <c r="G619" i="9"/>
  <c r="G86" i="9"/>
  <c r="G563" i="9"/>
  <c r="G361" i="9"/>
  <c r="AC31" i="9"/>
  <c r="BU29" i="9"/>
  <c r="R37" i="9"/>
  <c r="G629" i="9"/>
  <c r="G541" i="9"/>
  <c r="G133" i="9"/>
  <c r="R72" i="9"/>
  <c r="G328" i="9"/>
  <c r="AN275" i="9"/>
  <c r="AN164" i="9"/>
  <c r="G127" i="9"/>
  <c r="G616" i="9"/>
  <c r="G266" i="9"/>
  <c r="G168" i="9"/>
  <c r="G172" i="9"/>
  <c r="G356" i="9"/>
  <c r="G126" i="9"/>
  <c r="G571" i="9"/>
  <c r="G362" i="9"/>
  <c r="G566" i="9"/>
  <c r="G105" i="9"/>
  <c r="G52" i="9"/>
  <c r="G387" i="9"/>
  <c r="G424" i="9"/>
  <c r="R35" i="9"/>
  <c r="G187" i="9"/>
  <c r="G344" i="9"/>
  <c r="G338" i="9"/>
  <c r="G538" i="9"/>
  <c r="G92" i="9"/>
  <c r="AN78" i="9"/>
  <c r="G89" i="9"/>
  <c r="BU439" i="9"/>
  <c r="G217" i="9"/>
  <c r="G389" i="9"/>
  <c r="G407" i="9"/>
  <c r="AC48" i="9"/>
  <c r="G156" i="9"/>
  <c r="G576" i="9"/>
  <c r="G63" i="9"/>
  <c r="AC68" i="9"/>
  <c r="G436" i="9"/>
  <c r="AN210" i="9"/>
  <c r="G370" i="9"/>
  <c r="AC22" i="9"/>
  <c r="AN380" i="9"/>
  <c r="BU452" i="9"/>
  <c r="G396" i="9"/>
  <c r="AN241" i="9"/>
  <c r="G462" i="9"/>
  <c r="G637" i="9"/>
  <c r="AN25" i="9"/>
  <c r="G276" i="9"/>
  <c r="G303" i="9"/>
  <c r="G498" i="9"/>
  <c r="G401" i="9"/>
  <c r="G317" i="9"/>
  <c r="G594" i="9"/>
  <c r="G150" i="9"/>
  <c r="AN281" i="9"/>
  <c r="G282" i="9"/>
  <c r="G391" i="9"/>
  <c r="G300" i="9"/>
  <c r="G451" i="9"/>
  <c r="BJ66" i="9"/>
  <c r="G224" i="9"/>
  <c r="G523" i="9"/>
  <c r="G641" i="9"/>
  <c r="AN23" i="9"/>
  <c r="BU185" i="9"/>
  <c r="G139" i="9"/>
  <c r="G330" i="9"/>
  <c r="G363" i="9"/>
  <c r="G185" i="9"/>
  <c r="AN270" i="9"/>
  <c r="R94" i="9"/>
  <c r="AN235" i="9"/>
  <c r="CF212" i="9"/>
  <c r="AN58" i="9"/>
  <c r="AC80" i="9"/>
  <c r="AN204" i="9"/>
  <c r="AC93" i="9"/>
  <c r="AN396" i="9"/>
  <c r="G581" i="9"/>
  <c r="G372" i="9"/>
  <c r="G550" i="9"/>
  <c r="AN206" i="9"/>
  <c r="G152" i="9"/>
  <c r="G577" i="9"/>
  <c r="G293" i="9"/>
  <c r="G310" i="9"/>
  <c r="G69" i="9"/>
  <c r="G367" i="9"/>
  <c r="G492" i="9"/>
  <c r="G610" i="9"/>
  <c r="G515" i="9"/>
  <c r="CF265" i="9"/>
  <c r="G268" i="9"/>
  <c r="G395" i="9"/>
  <c r="G604" i="9"/>
  <c r="AN155" i="9"/>
  <c r="G531" i="9"/>
  <c r="G628" i="9"/>
  <c r="AN150" i="9"/>
  <c r="R36" i="9"/>
  <c r="AN271" i="9"/>
  <c r="R71" i="9"/>
  <c r="BJ124" i="9"/>
  <c r="G256" i="9"/>
  <c r="G453" i="9"/>
  <c r="G402" i="9"/>
  <c r="AC45" i="9"/>
  <c r="G87" i="9"/>
  <c r="G39" i="9"/>
  <c r="G167" i="9"/>
  <c r="AN135" i="9"/>
  <c r="G337" i="9"/>
  <c r="BJ117" i="9"/>
  <c r="G103" i="9"/>
  <c r="G359" i="9"/>
  <c r="BJ198" i="9"/>
  <c r="BJ172" i="9"/>
  <c r="AN178" i="9"/>
  <c r="AN146" i="9"/>
  <c r="AN31" i="9"/>
  <c r="BJ217" i="9"/>
  <c r="G30" i="9"/>
  <c r="CQ414" i="9"/>
  <c r="AY159" i="9"/>
  <c r="AN254" i="9"/>
  <c r="AY61" i="9"/>
  <c r="G397" i="9"/>
  <c r="G357" i="9"/>
  <c r="G588" i="9"/>
  <c r="G333" i="9"/>
  <c r="BU341" i="9"/>
  <c r="G368" i="9"/>
  <c r="G483" i="9"/>
  <c r="G327" i="9"/>
  <c r="BU391" i="9"/>
  <c r="G348" i="9"/>
  <c r="G427" i="9"/>
  <c r="G198" i="9"/>
  <c r="BU256" i="9"/>
  <c r="AN348" i="9"/>
  <c r="G625" i="9"/>
  <c r="G620" i="9"/>
  <c r="G435" i="9"/>
  <c r="G350" i="9"/>
  <c r="AN136" i="9"/>
  <c r="AN137" i="9"/>
  <c r="G471" i="9"/>
  <c r="G411" i="9"/>
  <c r="AN92" i="9"/>
  <c r="BU385" i="9"/>
  <c r="G505" i="9"/>
  <c r="G635" i="9"/>
  <c r="R23" i="9"/>
  <c r="AN363" i="9"/>
  <c r="G596" i="9"/>
  <c r="G353" i="9"/>
  <c r="AC69" i="9"/>
  <c r="G235" i="9"/>
  <c r="G484" i="9"/>
  <c r="G614" i="9"/>
  <c r="BJ137" i="9"/>
  <c r="G149" i="9"/>
  <c r="G124" i="9"/>
  <c r="BJ46" i="9"/>
  <c r="G574" i="9"/>
  <c r="G61" i="9"/>
  <c r="AC50" i="9"/>
  <c r="G23" i="9"/>
  <c r="G252" i="9"/>
  <c r="AN72" i="9"/>
  <c r="BU280" i="9"/>
  <c r="CQ126" i="9"/>
  <c r="BU390" i="9"/>
  <c r="BJ213" i="9"/>
  <c r="AY80" i="9"/>
  <c r="BU107" i="9"/>
  <c r="G307" i="9"/>
  <c r="G388" i="9"/>
  <c r="G545" i="9"/>
  <c r="AN273" i="9"/>
  <c r="AY93" i="9"/>
  <c r="BJ87" i="9"/>
  <c r="G227" i="9"/>
  <c r="G340" i="9"/>
  <c r="G443" i="9"/>
  <c r="AY146" i="9"/>
  <c r="G534" i="9"/>
  <c r="BJ205" i="9"/>
  <c r="BU266" i="9"/>
  <c r="G208" i="9"/>
  <c r="G195" i="9"/>
  <c r="AN41" i="9"/>
  <c r="G648" i="9"/>
  <c r="AN244" i="9"/>
  <c r="BU203" i="9"/>
  <c r="BU427" i="9"/>
  <c r="CF228" i="9"/>
  <c r="G602" i="9"/>
  <c r="AY137" i="9"/>
  <c r="G204" i="9"/>
  <c r="AN65" i="9"/>
  <c r="BJ118" i="9"/>
  <c r="G85" i="9"/>
  <c r="AN113" i="9"/>
  <c r="BU441" i="9"/>
  <c r="G546" i="9"/>
  <c r="AN277" i="9"/>
  <c r="G561" i="9"/>
  <c r="G136" i="9"/>
  <c r="AN199" i="9"/>
  <c r="G597" i="9"/>
  <c r="AN374" i="9"/>
  <c r="G551" i="9"/>
  <c r="BU78" i="9"/>
  <c r="AN361" i="9"/>
  <c r="AN245" i="9"/>
  <c r="BU195" i="9"/>
  <c r="R62" i="9"/>
  <c r="AN91" i="9"/>
  <c r="BU79" i="9"/>
  <c r="G147" i="9"/>
  <c r="AN314" i="9"/>
  <c r="BJ186" i="9"/>
  <c r="AN196" i="9"/>
  <c r="BJ234" i="9"/>
  <c r="BJ183" i="9"/>
  <c r="AN384" i="9"/>
  <c r="AN132" i="9"/>
  <c r="BU28" i="9"/>
  <c r="R48" i="9"/>
  <c r="G35" i="9"/>
  <c r="AN292" i="9"/>
  <c r="AN304" i="9"/>
  <c r="BU152" i="9"/>
  <c r="AY38" i="9"/>
  <c r="G55" i="9"/>
  <c r="BU188" i="9"/>
  <c r="BU292" i="9"/>
  <c r="BU180" i="9"/>
  <c r="AN400" i="9"/>
  <c r="G311" i="9"/>
  <c r="R121" i="9"/>
  <c r="R101" i="9"/>
  <c r="BJ161" i="9"/>
  <c r="BJ184" i="9"/>
  <c r="G493" i="9"/>
  <c r="G37" i="9"/>
  <c r="G28" i="9"/>
  <c r="AN55" i="9"/>
  <c r="BU62" i="9"/>
  <c r="AN81" i="9"/>
  <c r="CQ518" i="9"/>
  <c r="AY94" i="9"/>
  <c r="AC44" i="9"/>
  <c r="AN306" i="9"/>
  <c r="AC87" i="9"/>
  <c r="AN158" i="9"/>
  <c r="G553" i="9"/>
  <c r="AC41" i="9"/>
  <c r="AN336" i="9"/>
  <c r="AN22" i="9"/>
  <c r="CF205" i="9"/>
  <c r="AN43" i="9"/>
  <c r="AY41" i="9"/>
  <c r="G230" i="9"/>
  <c r="G280" i="9"/>
  <c r="AN107" i="9"/>
  <c r="AN406" i="9"/>
  <c r="R84" i="9"/>
  <c r="BU37" i="9"/>
  <c r="R90" i="9"/>
  <c r="AN226" i="9"/>
  <c r="BU234" i="9"/>
  <c r="AN147" i="9"/>
  <c r="AN322" i="9"/>
  <c r="BU224" i="9"/>
  <c r="AN360" i="9"/>
  <c r="BU303" i="9"/>
  <c r="CQ283" i="9"/>
  <c r="G123" i="9"/>
  <c r="R91" i="9"/>
  <c r="BJ111" i="9"/>
  <c r="G141" i="9"/>
  <c r="AN63" i="9"/>
  <c r="G470" i="9"/>
  <c r="G497" i="9"/>
  <c r="AN256" i="9"/>
  <c r="AN289" i="9"/>
  <c r="AC29" i="9"/>
  <c r="G631" i="9"/>
  <c r="G314" i="9"/>
  <c r="G323" i="9"/>
  <c r="AN401" i="9"/>
  <c r="BJ48" i="9"/>
  <c r="G564" i="9"/>
  <c r="G260" i="9"/>
  <c r="BU208" i="9"/>
  <c r="AN357" i="9"/>
  <c r="R210" i="9"/>
  <c r="BJ220" i="9"/>
  <c r="AN32" i="9"/>
  <c r="AY111" i="9"/>
  <c r="G418" i="9"/>
  <c r="G403" i="9"/>
  <c r="R25" i="9"/>
  <c r="G339" i="9"/>
  <c r="G56" i="9"/>
  <c r="AY24" i="9"/>
  <c r="G119" i="9"/>
  <c r="G320" i="9"/>
  <c r="G518" i="9"/>
  <c r="G410" i="9"/>
  <c r="AN325" i="9"/>
  <c r="AC27" i="9"/>
  <c r="AC36" i="9"/>
  <c r="BU335" i="9"/>
  <c r="G375" i="9"/>
  <c r="G326" i="9"/>
  <c r="AY100" i="9"/>
  <c r="AC90" i="9"/>
  <c r="R45" i="9"/>
  <c r="G65" i="9"/>
  <c r="BU420" i="9"/>
  <c r="AN149" i="9"/>
  <c r="R29" i="9"/>
  <c r="R49" i="9"/>
  <c r="AN103" i="9"/>
  <c r="AN62" i="9"/>
  <c r="BU56" i="9"/>
  <c r="G101" i="9"/>
  <c r="R52" i="9"/>
  <c r="AN33" i="9"/>
  <c r="AN167" i="9"/>
  <c r="G549" i="9"/>
  <c r="AN223" i="9"/>
  <c r="AN77" i="9"/>
  <c r="AN302" i="9"/>
  <c r="CF163" i="9"/>
  <c r="AN276" i="9"/>
  <c r="AN259" i="9"/>
  <c r="AN175" i="9"/>
  <c r="AN162" i="9"/>
  <c r="G42" i="9"/>
  <c r="AC70" i="9"/>
  <c r="G376" i="9"/>
  <c r="R138" i="9"/>
  <c r="G555" i="9"/>
  <c r="G444" i="9"/>
  <c r="G98" i="9"/>
  <c r="BU373" i="9"/>
  <c r="AN79" i="9"/>
  <c r="AN30" i="9"/>
  <c r="G278" i="9"/>
  <c r="DB60" i="9"/>
  <c r="AC62" i="9"/>
  <c r="AN303" i="9"/>
  <c r="AY160" i="9"/>
  <c r="AN45" i="9"/>
  <c r="BU163" i="9"/>
  <c r="G415" i="9"/>
  <c r="AN354" i="9"/>
  <c r="AN225" i="9"/>
  <c r="BJ239" i="9"/>
  <c r="R141" i="9"/>
  <c r="BU424" i="9"/>
  <c r="BU94" i="9"/>
  <c r="G591" i="9"/>
  <c r="BU39" i="9"/>
  <c r="G378" i="9"/>
  <c r="G170" i="9"/>
  <c r="R106" i="9"/>
  <c r="AN227" i="9"/>
  <c r="G306" i="9"/>
  <c r="G262" i="9"/>
  <c r="AN316" i="9"/>
  <c r="AN50" i="9"/>
  <c r="AN54" i="9"/>
  <c r="AN220" i="9"/>
  <c r="G148" i="9"/>
  <c r="G636" i="9"/>
  <c r="R82" i="9"/>
  <c r="CF314" i="9"/>
  <c r="G221" i="9"/>
  <c r="G145" i="9"/>
  <c r="R118" i="9"/>
  <c r="R109" i="9"/>
  <c r="AY57" i="9"/>
  <c r="AN85" i="9"/>
  <c r="BJ159" i="9"/>
  <c r="G519" i="9"/>
  <c r="BU113" i="9"/>
  <c r="AN341" i="9"/>
  <c r="G66" i="9"/>
  <c r="BJ25" i="9"/>
  <c r="G77" i="9"/>
  <c r="BU437" i="9"/>
  <c r="G281" i="9"/>
  <c r="BJ197" i="9"/>
  <c r="AC74" i="9"/>
  <c r="R119" i="9"/>
  <c r="G386" i="9"/>
  <c r="AN382" i="9"/>
  <c r="BU41" i="9"/>
  <c r="AN89" i="9"/>
  <c r="BU53" i="9"/>
  <c r="BJ173" i="9"/>
  <c r="BU219" i="9"/>
  <c r="AY30" i="9"/>
  <c r="BU69" i="9"/>
  <c r="BU286" i="9"/>
  <c r="BJ123" i="9"/>
  <c r="BU132" i="9"/>
  <c r="BJ29" i="9"/>
  <c r="G76" i="9"/>
  <c r="G179" i="9"/>
  <c r="AN24" i="9"/>
  <c r="BU327" i="9"/>
  <c r="G613" i="9"/>
  <c r="CQ531" i="9"/>
  <c r="AN143" i="9"/>
  <c r="G432" i="9"/>
  <c r="BJ235" i="9"/>
  <c r="G199" i="9"/>
  <c r="AY92" i="9"/>
  <c r="BU348" i="9"/>
  <c r="BU153" i="9"/>
  <c r="BU204" i="9"/>
  <c r="BJ190" i="9"/>
  <c r="BU400" i="9"/>
  <c r="CF121" i="9"/>
  <c r="G25" i="9"/>
  <c r="G526" i="9"/>
  <c r="G246" i="9"/>
  <c r="G137" i="9"/>
  <c r="AN356" i="9"/>
  <c r="G560" i="9"/>
  <c r="AN165" i="9"/>
  <c r="G374" i="9"/>
  <c r="G81" i="9"/>
  <c r="G539" i="9"/>
  <c r="BJ104" i="9"/>
  <c r="BU347" i="9"/>
  <c r="AN121" i="9"/>
  <c r="AC34" i="9"/>
  <c r="G464" i="9"/>
  <c r="AY56" i="9"/>
  <c r="AN309" i="9"/>
  <c r="AN70" i="9"/>
  <c r="BU394" i="9"/>
  <c r="BJ51" i="9"/>
  <c r="R68" i="9"/>
  <c r="BU430" i="9"/>
  <c r="AN177" i="9"/>
  <c r="G489" i="9"/>
  <c r="G265" i="9"/>
  <c r="G559" i="9"/>
  <c r="AN342" i="9"/>
  <c r="AN269" i="9"/>
  <c r="AN332" i="9"/>
  <c r="AN125" i="9"/>
  <c r="R126" i="9"/>
  <c r="AN282" i="9"/>
  <c r="BU442" i="9"/>
  <c r="G477" i="9"/>
  <c r="BU217" i="9"/>
  <c r="G645" i="9"/>
  <c r="G438" i="9"/>
  <c r="G460" i="9"/>
  <c r="AC61" i="9"/>
  <c r="G301" i="9"/>
  <c r="R127" i="9"/>
  <c r="G231" i="9"/>
  <c r="BU268" i="9"/>
  <c r="AN242" i="9"/>
  <c r="G355" i="9"/>
  <c r="AN61" i="9"/>
  <c r="G120" i="9"/>
  <c r="G468" i="9"/>
  <c r="BJ201" i="9"/>
  <c r="R123" i="9"/>
  <c r="AN101" i="9"/>
  <c r="AN378" i="9"/>
  <c r="BU383" i="9"/>
  <c r="G50" i="9"/>
  <c r="AN265" i="9"/>
  <c r="G533" i="9"/>
  <c r="BJ200" i="9"/>
  <c r="AN185" i="9"/>
  <c r="CQ625" i="9"/>
  <c r="AN240" i="9"/>
  <c r="AC75" i="9"/>
  <c r="G269" i="9"/>
  <c r="AY109" i="9"/>
  <c r="BJ160" i="9"/>
  <c r="BU118" i="9"/>
  <c r="G38" i="9"/>
  <c r="G165" i="9"/>
  <c r="BU58" i="9"/>
  <c r="AY165" i="9"/>
  <c r="G501" i="9"/>
  <c r="R28" i="9"/>
  <c r="BU210" i="9"/>
  <c r="G495" i="9"/>
  <c r="G547" i="9"/>
  <c r="R43" i="9"/>
  <c r="G160" i="9"/>
  <c r="BU171" i="9"/>
  <c r="AN193" i="9"/>
  <c r="AN258" i="9"/>
  <c r="G241" i="9"/>
  <c r="AN230" i="9"/>
  <c r="CF229" i="9"/>
  <c r="BU146" i="9"/>
  <c r="G590" i="9"/>
  <c r="AC43" i="9"/>
  <c r="AN218" i="9"/>
  <c r="G297" i="9"/>
  <c r="AN140" i="9"/>
  <c r="G456" i="9"/>
  <c r="CF134" i="9"/>
  <c r="AC76" i="9"/>
  <c r="AN344" i="9"/>
  <c r="BU45" i="9"/>
  <c r="AN238" i="9"/>
  <c r="G32" i="9"/>
  <c r="BU448" i="9"/>
  <c r="G143" i="9"/>
  <c r="AN293" i="9"/>
  <c r="AN102" i="9"/>
  <c r="G106" i="9"/>
  <c r="AN253" i="9"/>
  <c r="BU272" i="9"/>
  <c r="AY47" i="9"/>
  <c r="G371" i="9"/>
  <c r="AN381" i="9"/>
  <c r="G413" i="9"/>
  <c r="BU276" i="9"/>
  <c r="AN112" i="9"/>
  <c r="AN266" i="9"/>
  <c r="AN151" i="9"/>
  <c r="G642" i="9"/>
  <c r="AN94" i="9"/>
  <c r="CF60" i="9"/>
  <c r="BU65" i="9"/>
  <c r="R99" i="9"/>
  <c r="G603" i="9"/>
  <c r="AC54" i="9"/>
  <c r="AY134" i="9"/>
  <c r="R139" i="9"/>
  <c r="AN359" i="9"/>
  <c r="G532" i="9"/>
  <c r="AN379" i="9"/>
  <c r="BJ163" i="9"/>
  <c r="AN283" i="9"/>
  <c r="G153" i="9"/>
  <c r="G579" i="9"/>
  <c r="G151" i="9"/>
  <c r="AN188" i="9"/>
  <c r="AN90" i="9"/>
  <c r="AY107" i="9"/>
  <c r="BJ152" i="9"/>
  <c r="G277" i="9"/>
  <c r="AN395" i="9"/>
  <c r="G72" i="9"/>
  <c r="BJ185" i="9"/>
  <c r="BU92" i="9"/>
  <c r="BU329" i="9"/>
  <c r="BJ193" i="9"/>
  <c r="AN307" i="9"/>
  <c r="AN294" i="9"/>
  <c r="AN93" i="9"/>
  <c r="BJ233" i="9"/>
  <c r="G244" i="9"/>
  <c r="BJ207" i="9"/>
  <c r="G479" i="9"/>
  <c r="AY151" i="9"/>
  <c r="AY59" i="9"/>
  <c r="CF74" i="9"/>
  <c r="G155" i="9"/>
  <c r="BJ227" i="9"/>
  <c r="BJ214" i="9"/>
  <c r="G409" i="9"/>
  <c r="BJ47" i="9"/>
  <c r="AN28" i="9"/>
  <c r="R58" i="9"/>
  <c r="BU270" i="9"/>
  <c r="CF35" i="9"/>
  <c r="AN48" i="9"/>
  <c r="AN280" i="9"/>
  <c r="CQ542" i="9"/>
  <c r="BU70" i="9"/>
  <c r="G84" i="9"/>
  <c r="AN399" i="9"/>
  <c r="G59" i="9"/>
  <c r="AY150" i="9"/>
  <c r="G131" i="9"/>
  <c r="AN205" i="9"/>
  <c r="BJ218" i="9"/>
  <c r="AY141" i="9"/>
  <c r="AN42" i="9"/>
  <c r="AY54" i="9"/>
  <c r="BU311" i="9"/>
  <c r="R65" i="9"/>
  <c r="G331" i="9"/>
  <c r="AC57" i="9"/>
  <c r="AY76" i="9"/>
  <c r="BJ215" i="9"/>
  <c r="AN228" i="9"/>
  <c r="R100" i="9"/>
  <c r="BJ148" i="9"/>
  <c r="G228" i="9"/>
  <c r="G22" i="9"/>
  <c r="AN46" i="9"/>
  <c r="G118" i="9"/>
  <c r="BJ242" i="9"/>
  <c r="G513" i="9"/>
  <c r="G621" i="9"/>
  <c r="R110" i="9"/>
  <c r="BU225" i="9"/>
  <c r="AN287" i="9"/>
  <c r="R96" i="9"/>
  <c r="CF171" i="9"/>
  <c r="AN208" i="9"/>
  <c r="BJ169" i="9"/>
  <c r="CQ465" i="9"/>
  <c r="BU89" i="9"/>
  <c r="BU193" i="9"/>
  <c r="BJ34" i="9"/>
  <c r="BJ86" i="9"/>
  <c r="AN201" i="9"/>
  <c r="AN86" i="9"/>
  <c r="BJ97" i="9"/>
  <c r="G429" i="9"/>
  <c r="CF250" i="9"/>
  <c r="CF190" i="9"/>
  <c r="AN97" i="9"/>
  <c r="G271" i="9"/>
  <c r="G504" i="9"/>
  <c r="G291" i="9"/>
  <c r="G237" i="9"/>
  <c r="G467" i="9"/>
  <c r="R122" i="9"/>
  <c r="G321" i="9"/>
  <c r="AN166" i="9"/>
  <c r="G226" i="9"/>
  <c r="R187" i="9"/>
  <c r="R64" i="9"/>
  <c r="G174" i="9"/>
  <c r="G184" i="9"/>
  <c r="AY168" i="9"/>
  <c r="R132" i="9"/>
  <c r="CF76" i="9"/>
  <c r="BJ85" i="9"/>
  <c r="G302" i="9"/>
  <c r="AN246" i="9"/>
  <c r="BU423" i="9"/>
  <c r="AN138" i="9"/>
  <c r="R79" i="9"/>
  <c r="AC85" i="9"/>
  <c r="BJ244" i="9"/>
  <c r="AN257" i="9"/>
  <c r="G157" i="9"/>
  <c r="R38" i="9"/>
  <c r="BU302" i="9"/>
  <c r="G73" i="9"/>
  <c r="BU214" i="9"/>
  <c r="AN99" i="9"/>
  <c r="AC88" i="9"/>
  <c r="G245" i="9"/>
  <c r="BU227" i="9"/>
  <c r="G624" i="9"/>
  <c r="R27" i="9"/>
  <c r="G146" i="9"/>
  <c r="BJ141" i="9"/>
  <c r="AN120" i="9"/>
  <c r="G542" i="9"/>
  <c r="R75" i="9"/>
  <c r="G114" i="9"/>
  <c r="G598" i="9"/>
  <c r="AN340" i="9"/>
  <c r="AN349" i="9"/>
  <c r="AN285" i="9"/>
  <c r="G487" i="9"/>
  <c r="AN139" i="9"/>
  <c r="BU392" i="9"/>
  <c r="AY43" i="9"/>
  <c r="G343" i="9"/>
  <c r="R51" i="9"/>
  <c r="CF334" i="9"/>
  <c r="BU96" i="9"/>
  <c r="AY102" i="9"/>
  <c r="BJ156" i="9"/>
  <c r="R33" i="9"/>
  <c r="G284" i="9"/>
  <c r="AN346" i="9"/>
  <c r="R157" i="9"/>
  <c r="BU344" i="9"/>
  <c r="AN214" i="9"/>
  <c r="G373" i="9"/>
  <c r="G68" i="9"/>
  <c r="G347" i="9"/>
  <c r="G257" i="9"/>
  <c r="AN198" i="9"/>
  <c r="G466" i="9"/>
  <c r="G34" i="9"/>
  <c r="AY169" i="9"/>
  <c r="AN59" i="9"/>
  <c r="G514" i="9"/>
  <c r="G26" i="9"/>
  <c r="AN203" i="9"/>
  <c r="BU259" i="9"/>
  <c r="BJ79" i="9"/>
  <c r="G254" i="9"/>
  <c r="R59" i="9"/>
  <c r="AY148" i="9"/>
  <c r="G122" i="9"/>
  <c r="BU333" i="9"/>
  <c r="BJ223" i="9"/>
  <c r="AY71" i="9"/>
  <c r="R42" i="9"/>
  <c r="BU409" i="9"/>
  <c r="BJ43" i="9"/>
  <c r="AY158" i="9"/>
  <c r="R53" i="9"/>
  <c r="R124" i="9"/>
  <c r="BU265" i="9"/>
  <c r="G251" i="9"/>
  <c r="AN74" i="9"/>
  <c r="AN260" i="9"/>
  <c r="AN152" i="9"/>
  <c r="AC86" i="9"/>
  <c r="G100" i="9"/>
  <c r="R78" i="9"/>
  <c r="BU207" i="9"/>
  <c r="AN217" i="9"/>
  <c r="G169" i="9"/>
  <c r="BU277" i="9"/>
  <c r="AY74" i="9"/>
  <c r="AN231" i="9"/>
  <c r="G27" i="9"/>
  <c r="AC58" i="9"/>
  <c r="G250" i="9"/>
  <c r="AN156" i="9"/>
  <c r="BJ245" i="9"/>
  <c r="AN115" i="9"/>
  <c r="CF200" i="9"/>
  <c r="AC72" i="9"/>
  <c r="CF377" i="9"/>
  <c r="G222" i="9"/>
  <c r="AY121" i="9"/>
  <c r="G351" i="9"/>
  <c r="BJ105" i="9"/>
  <c r="G646" i="9"/>
  <c r="BU237" i="9"/>
  <c r="CF49" i="9"/>
  <c r="AN173" i="9"/>
  <c r="BJ203" i="9"/>
  <c r="AN51" i="9"/>
  <c r="AY49" i="9"/>
  <c r="AC63" i="9"/>
  <c r="CF354" i="9"/>
  <c r="BU314" i="9"/>
  <c r="BJ61" i="9"/>
  <c r="BJ212" i="9"/>
  <c r="CQ539" i="9"/>
  <c r="CF148" i="9"/>
  <c r="G200" i="9"/>
  <c r="CF34" i="9"/>
  <c r="G634" i="9"/>
  <c r="AN202" i="9"/>
  <c r="G543" i="9"/>
  <c r="G640" i="9"/>
  <c r="AN335" i="9"/>
  <c r="AC94" i="9"/>
  <c r="AN321" i="9"/>
  <c r="G565" i="9"/>
  <c r="AN331" i="9"/>
  <c r="BJ78" i="9"/>
  <c r="G71" i="9"/>
  <c r="AY37" i="9"/>
  <c r="G428" i="9"/>
  <c r="BJ83" i="9"/>
  <c r="G177" i="9"/>
  <c r="R104" i="9"/>
  <c r="G171" i="9"/>
  <c r="BJ129" i="9"/>
  <c r="BU358" i="9"/>
  <c r="AY138" i="9"/>
  <c r="G552" i="9"/>
  <c r="CF231" i="9"/>
  <c r="AC59" i="9"/>
  <c r="AN247" i="9"/>
  <c r="AN310" i="9"/>
  <c r="G346" i="9"/>
  <c r="G491" i="9"/>
  <c r="CF274" i="9"/>
  <c r="BU174" i="9"/>
  <c r="AN405" i="9"/>
  <c r="AN366" i="9"/>
  <c r="AN339" i="9"/>
  <c r="AN376" i="9"/>
  <c r="BU202" i="9"/>
  <c r="BU260" i="9"/>
  <c r="CF355" i="9"/>
  <c r="CQ298" i="9"/>
  <c r="AC67" i="9"/>
  <c r="AN394" i="9"/>
  <c r="G212" i="9"/>
  <c r="G524" i="9"/>
  <c r="R195" i="9"/>
  <c r="G392" i="9"/>
  <c r="AN189" i="9"/>
  <c r="AN297" i="9"/>
  <c r="AN57" i="9"/>
  <c r="AY53" i="9"/>
  <c r="AN274" i="9"/>
  <c r="CQ570" i="9"/>
  <c r="AN130" i="9"/>
  <c r="BU165" i="9"/>
  <c r="BJ37" i="9"/>
  <c r="CF177" i="9"/>
  <c r="R70" i="9"/>
  <c r="BJ101" i="9"/>
  <c r="CQ621" i="9"/>
  <c r="AN176" i="9"/>
  <c r="BJ91" i="9"/>
  <c r="BJ77" i="9"/>
  <c r="AN263" i="9"/>
  <c r="R192" i="9"/>
  <c r="AN181" i="9"/>
  <c r="BU238" i="9"/>
  <c r="CQ313" i="9"/>
  <c r="AY78" i="9"/>
  <c r="BU236" i="9"/>
  <c r="BJ108" i="9"/>
  <c r="CQ77" i="9"/>
  <c r="BJ35" i="9"/>
  <c r="BU109" i="9"/>
  <c r="BU443" i="9"/>
  <c r="BU284" i="9"/>
  <c r="CF164" i="9"/>
  <c r="CF313" i="9"/>
  <c r="CQ244" i="9"/>
  <c r="BJ191" i="9"/>
  <c r="BU73" i="9"/>
  <c r="BU160" i="9"/>
  <c r="BJ174" i="9"/>
  <c r="BU47" i="9"/>
  <c r="CF315" i="9"/>
  <c r="DB180" i="9"/>
  <c r="BJ76" i="9"/>
  <c r="R98" i="9"/>
  <c r="AN100" i="9"/>
  <c r="BU97" i="9"/>
  <c r="BJ136" i="9"/>
  <c r="AN272" i="9"/>
  <c r="BJ222" i="9"/>
  <c r="CF86" i="9"/>
  <c r="AN154" i="9"/>
  <c r="R219" i="9"/>
  <c r="CF263" i="9"/>
  <c r="CQ562" i="9"/>
  <c r="CF31" i="9"/>
  <c r="CQ535" i="9"/>
  <c r="DM232" i="9"/>
  <c r="BU404" i="9"/>
  <c r="AN126" i="9"/>
  <c r="AN367" i="9"/>
  <c r="G404" i="9"/>
  <c r="G420" i="9"/>
  <c r="BJ140" i="9"/>
  <c r="BJ209" i="9"/>
  <c r="BU145" i="9"/>
  <c r="BJ237" i="9"/>
  <c r="BU34" i="9"/>
  <c r="CQ559" i="9"/>
  <c r="G448" i="9"/>
  <c r="AY44" i="9"/>
  <c r="CF39" i="9"/>
  <c r="CF278" i="9"/>
  <c r="BJ157" i="9"/>
  <c r="AN110" i="9"/>
  <c r="AN200" i="9"/>
  <c r="AY132" i="9"/>
  <c r="AY36" i="9"/>
  <c r="R188" i="9"/>
  <c r="BJ75" i="9"/>
  <c r="CF360" i="9"/>
  <c r="AN365" i="9"/>
  <c r="AN288" i="9"/>
  <c r="BU64" i="9"/>
  <c r="AN229" i="9"/>
  <c r="G197" i="9"/>
  <c r="BU71" i="9"/>
  <c r="CQ254" i="9"/>
  <c r="BU369" i="9"/>
  <c r="BJ82" i="9"/>
  <c r="BJ114" i="9"/>
  <c r="AY110" i="9"/>
  <c r="BU278" i="9"/>
  <c r="AC30" i="9"/>
  <c r="G325" i="9"/>
  <c r="DX630" i="9"/>
  <c r="R227" i="9"/>
  <c r="G264" i="9"/>
  <c r="AY166" i="9"/>
  <c r="AC89" i="9"/>
  <c r="AN111" i="9"/>
  <c r="AN118" i="9"/>
  <c r="R57" i="9"/>
  <c r="R135" i="9"/>
  <c r="AN358" i="9"/>
  <c r="AY156" i="9"/>
  <c r="AN369" i="9"/>
  <c r="CF318" i="9"/>
  <c r="AY75" i="9"/>
  <c r="CQ458" i="9"/>
  <c r="R247" i="9"/>
  <c r="CQ510" i="9"/>
  <c r="BU445" i="9"/>
  <c r="G507" i="9"/>
  <c r="AN338" i="9"/>
  <c r="BU436" i="9"/>
  <c r="BJ80" i="9"/>
  <c r="AY114" i="9"/>
  <c r="AN264" i="9"/>
  <c r="BU170" i="9"/>
  <c r="CF364" i="9"/>
  <c r="CF150" i="9"/>
  <c r="BU120" i="9"/>
  <c r="CQ255" i="9"/>
  <c r="CQ397" i="9"/>
  <c r="R47" i="9"/>
  <c r="BU104" i="9"/>
  <c r="G318" i="9"/>
  <c r="BU119" i="9"/>
  <c r="BU148" i="9"/>
  <c r="DB99" i="9"/>
  <c r="CF122" i="9"/>
  <c r="BU101" i="9"/>
  <c r="AY104" i="9"/>
  <c r="CF340" i="9"/>
  <c r="CF172" i="9"/>
  <c r="BU449" i="9"/>
  <c r="BJ127" i="9"/>
  <c r="DM41" i="9"/>
  <c r="BU222" i="9"/>
  <c r="G93" i="9"/>
  <c r="CF25" i="9"/>
  <c r="BU363" i="9"/>
  <c r="BU226" i="9"/>
  <c r="R190" i="9"/>
  <c r="AC55" i="9"/>
  <c r="BU336" i="9"/>
  <c r="BU103" i="9"/>
  <c r="AN145" i="9"/>
  <c r="BU112" i="9"/>
  <c r="CF349" i="9"/>
  <c r="AY174" i="9"/>
  <c r="BU316" i="9"/>
  <c r="BU179" i="9"/>
  <c r="CQ104" i="9"/>
  <c r="G191" i="9"/>
  <c r="BJ189" i="9"/>
  <c r="BU129" i="9"/>
  <c r="BJ33" i="9"/>
  <c r="CQ474" i="9"/>
  <c r="CQ351" i="9"/>
  <c r="BJ56" i="9"/>
  <c r="BJ112" i="9"/>
  <c r="CF343" i="9"/>
  <c r="AY173" i="9"/>
  <c r="R196" i="9"/>
  <c r="BU173" i="9"/>
  <c r="G176" i="9"/>
  <c r="BU200" i="9"/>
  <c r="BU345" i="9"/>
  <c r="R80" i="9"/>
  <c r="AY83" i="9"/>
  <c r="AN383" i="9"/>
  <c r="AY143" i="9"/>
  <c r="BU154" i="9"/>
  <c r="BJ62" i="9"/>
  <c r="BU162" i="9"/>
  <c r="AN299" i="9"/>
  <c r="AN192" i="9"/>
  <c r="R107" i="9"/>
  <c r="AN267" i="9"/>
  <c r="G135" i="9"/>
  <c r="G140" i="9"/>
  <c r="AN95" i="9"/>
  <c r="AN286" i="9"/>
  <c r="BJ119" i="9"/>
  <c r="BJ73" i="9"/>
  <c r="BU414" i="9"/>
  <c r="BJ221" i="9"/>
  <c r="AN47" i="9"/>
  <c r="R93" i="9"/>
  <c r="AY147" i="9"/>
  <c r="BJ38" i="9"/>
  <c r="AY69" i="9"/>
  <c r="AN183" i="9"/>
  <c r="AN211" i="9"/>
  <c r="DB64" i="9"/>
  <c r="BU46" i="9"/>
  <c r="AN179" i="9"/>
  <c r="CF28" i="9"/>
  <c r="CF168" i="9"/>
  <c r="G406" i="9"/>
  <c r="R105" i="9"/>
  <c r="G46" i="9"/>
  <c r="CQ157" i="9"/>
  <c r="BJ58" i="9"/>
  <c r="EI30" i="9"/>
  <c r="CQ174" i="9"/>
  <c r="AN122" i="9"/>
  <c r="R209" i="9"/>
  <c r="BU413" i="9"/>
  <c r="AN187" i="9"/>
  <c r="CQ176" i="9"/>
  <c r="R67" i="9"/>
  <c r="CF292" i="9"/>
  <c r="CF285" i="9"/>
  <c r="BJ84" i="9"/>
  <c r="AN372" i="9"/>
  <c r="G319" i="9"/>
  <c r="BU52" i="9"/>
  <c r="AC40" i="9"/>
  <c r="BU411" i="9"/>
  <c r="AY35" i="9"/>
  <c r="BU158" i="9"/>
  <c r="CF58" i="9"/>
  <c r="R89" i="9"/>
  <c r="CQ500" i="9"/>
  <c r="BJ89" i="9"/>
  <c r="AY129" i="9"/>
  <c r="G446" i="9"/>
  <c r="BU241" i="9"/>
  <c r="G243" i="9"/>
  <c r="G425" i="9"/>
  <c r="AN216" i="9"/>
  <c r="AN219" i="9"/>
  <c r="BU215" i="9"/>
  <c r="BJ67" i="9"/>
  <c r="BJ40" i="9"/>
  <c r="CQ281" i="9"/>
  <c r="CQ83" i="9"/>
  <c r="AY164" i="9"/>
  <c r="BU386" i="9"/>
  <c r="R137" i="9"/>
  <c r="CF162" i="9"/>
  <c r="AC35" i="9"/>
  <c r="AN291" i="9"/>
  <c r="BJ131" i="9"/>
  <c r="CQ271" i="9"/>
  <c r="G584" i="9"/>
  <c r="AY40" i="9"/>
  <c r="BJ50" i="9"/>
  <c r="G164" i="9"/>
  <c r="BJ238" i="9"/>
  <c r="CF311" i="9"/>
  <c r="AY127" i="9"/>
  <c r="BU190" i="9"/>
  <c r="AY95" i="9"/>
  <c r="AN319" i="9"/>
  <c r="BJ155" i="9"/>
  <c r="BU149" i="9"/>
  <c r="BJ202" i="9"/>
  <c r="BJ195" i="9"/>
  <c r="AN334" i="9"/>
  <c r="AN255" i="9"/>
  <c r="R223" i="9"/>
  <c r="AY135" i="9"/>
  <c r="AN142" i="9"/>
  <c r="BJ71" i="9"/>
  <c r="G263" i="9"/>
  <c r="AY89" i="9"/>
  <c r="R183" i="9"/>
  <c r="BU76" i="9"/>
  <c r="BU155" i="9"/>
  <c r="G575" i="9"/>
  <c r="BU396" i="9"/>
  <c r="CF181" i="9"/>
  <c r="BJ232" i="9"/>
  <c r="R203" i="9"/>
  <c r="CF371" i="9"/>
  <c r="CQ442" i="9"/>
  <c r="AY115" i="9"/>
  <c r="CQ265" i="9"/>
  <c r="CF158" i="9"/>
  <c r="CQ287" i="9"/>
  <c r="AC79" i="9"/>
  <c r="AC47" i="9"/>
  <c r="AY82" i="9"/>
  <c r="G83" i="9"/>
  <c r="AN397" i="9"/>
  <c r="BU218" i="9"/>
  <c r="AN171" i="9"/>
  <c r="G283" i="9"/>
  <c r="BJ68" i="9"/>
  <c r="G557" i="9"/>
  <c r="R66" i="9"/>
  <c r="BU84" i="9"/>
  <c r="BU122" i="9"/>
  <c r="R60" i="9"/>
  <c r="AC42" i="9"/>
  <c r="BU428" i="9"/>
  <c r="BJ122" i="9"/>
  <c r="BJ219" i="9"/>
  <c r="AC24" i="9"/>
  <c r="DM261" i="9"/>
  <c r="G528" i="9"/>
  <c r="AY28" i="9"/>
  <c r="AY97" i="9"/>
  <c r="CQ243" i="9"/>
  <c r="CQ429" i="9"/>
  <c r="AY46" i="9"/>
  <c r="BU297" i="9"/>
  <c r="CQ398" i="9"/>
  <c r="AC49" i="9"/>
  <c r="AY98" i="9"/>
  <c r="CF184" i="9"/>
  <c r="R237" i="9"/>
  <c r="BJ166" i="9"/>
  <c r="AY42" i="9"/>
  <c r="CQ31" i="9"/>
  <c r="BJ243" i="9"/>
  <c r="AY39" i="9"/>
  <c r="BU168" i="9"/>
  <c r="BJ74" i="9"/>
  <c r="AN87" i="9"/>
  <c r="AN88" i="9"/>
  <c r="R194" i="9"/>
  <c r="AN104" i="9"/>
  <c r="CF321" i="9"/>
  <c r="BU99" i="9"/>
  <c r="BU326" i="9"/>
  <c r="R116" i="9"/>
  <c r="CF194" i="9"/>
  <c r="G97" i="9"/>
  <c r="AN38" i="9"/>
  <c r="BU189" i="9"/>
  <c r="BU106" i="9"/>
  <c r="BU307" i="9"/>
  <c r="BJ139" i="9"/>
  <c r="R88" i="9"/>
  <c r="CF96" i="9"/>
  <c r="G102" i="9"/>
  <c r="CF287" i="9"/>
  <c r="AN389" i="9"/>
  <c r="CF290" i="9"/>
  <c r="AN64" i="9"/>
  <c r="CF98" i="9"/>
  <c r="BJ147" i="9"/>
  <c r="CF323" i="9"/>
  <c r="CF178" i="9"/>
  <c r="CF216" i="9"/>
  <c r="AY68" i="9"/>
  <c r="BU32" i="9"/>
  <c r="BU312" i="9"/>
  <c r="CF188" i="9"/>
  <c r="G556" i="9"/>
  <c r="R191" i="9"/>
  <c r="AY51" i="9"/>
  <c r="BU325" i="9"/>
  <c r="AY139" i="9"/>
  <c r="AY163" i="9"/>
  <c r="AY32" i="9"/>
  <c r="BU374" i="9"/>
  <c r="BJ171" i="9"/>
  <c r="G503" i="9"/>
  <c r="BJ211" i="9"/>
  <c r="G423" i="9"/>
  <c r="CQ512" i="9"/>
  <c r="CF77" i="9"/>
  <c r="DB235" i="9"/>
  <c r="CQ541" i="9"/>
  <c r="AY58" i="9"/>
  <c r="CQ382" i="9"/>
  <c r="BU194" i="9"/>
  <c r="BU447" i="9"/>
  <c r="G279" i="9"/>
  <c r="CQ403" i="9"/>
  <c r="DM270" i="9"/>
  <c r="BU249" i="9"/>
  <c r="DM275" i="9"/>
  <c r="BJ106" i="9"/>
  <c r="CF66" i="9"/>
  <c r="AY77" i="9"/>
  <c r="BU330" i="9"/>
  <c r="AY124" i="9"/>
  <c r="CQ170" i="9"/>
  <c r="BJ132" i="9"/>
  <c r="AY66" i="9"/>
  <c r="BU299" i="9"/>
  <c r="AY52" i="9"/>
  <c r="BJ177" i="9"/>
  <c r="BJ167" i="9"/>
  <c r="BJ28" i="9"/>
  <c r="CF269" i="9"/>
  <c r="CQ114" i="9"/>
  <c r="DM331" i="9"/>
  <c r="CF152" i="9"/>
  <c r="BU389" i="9"/>
  <c r="CQ278" i="9"/>
  <c r="BU261" i="9"/>
  <c r="AN153" i="9"/>
  <c r="AN148" i="9"/>
  <c r="BJ23" i="9"/>
  <c r="AN398" i="9"/>
  <c r="R76" i="9"/>
  <c r="G394" i="9"/>
  <c r="G308" i="9"/>
  <c r="BJ194" i="9"/>
  <c r="G275" i="9"/>
  <c r="G573" i="9"/>
  <c r="CQ546" i="9"/>
  <c r="AN194" i="9"/>
  <c r="G324" i="9"/>
  <c r="CF286" i="9"/>
  <c r="AC25" i="9"/>
  <c r="BJ36" i="9"/>
  <c r="BU38" i="9"/>
  <c r="R214" i="9"/>
  <c r="BU216" i="9"/>
  <c r="BJ31" i="9"/>
  <c r="CF328" i="9"/>
  <c r="BU240" i="9"/>
  <c r="BU274" i="9"/>
  <c r="CQ72" i="9"/>
  <c r="AN215" i="9"/>
  <c r="BU362" i="9"/>
  <c r="BU337" i="9"/>
  <c r="AN67" i="9"/>
  <c r="CQ262" i="9"/>
  <c r="BJ126" i="9"/>
  <c r="BU450" i="9"/>
  <c r="AY153" i="9"/>
  <c r="CQ315" i="9"/>
  <c r="BJ130" i="9"/>
  <c r="BJ52" i="9"/>
  <c r="BU186" i="9"/>
  <c r="BU201" i="9"/>
  <c r="CQ492" i="9"/>
  <c r="BU253" i="9"/>
  <c r="BU169" i="9"/>
  <c r="AC64" i="9"/>
  <c r="BU257" i="9"/>
  <c r="CQ22" i="9"/>
  <c r="CQ374" i="9"/>
  <c r="AN116" i="9"/>
  <c r="AC46" i="9"/>
  <c r="BJ246" i="9"/>
  <c r="BJ115" i="9"/>
  <c r="AY152" i="9"/>
  <c r="AY73" i="9"/>
  <c r="AN311" i="9"/>
  <c r="BU85" i="9"/>
  <c r="BJ165" i="9"/>
  <c r="CF257" i="9"/>
  <c r="AN133" i="9"/>
  <c r="AN251" i="9"/>
  <c r="AY136" i="9"/>
  <c r="CF210" i="9"/>
  <c r="R95" i="9"/>
  <c r="R197" i="9"/>
  <c r="AC82" i="9"/>
  <c r="CF138" i="9"/>
  <c r="DM126" i="9"/>
  <c r="CQ469" i="9"/>
  <c r="AY106" i="9"/>
  <c r="BJ121" i="9"/>
  <c r="AN375" i="9"/>
  <c r="R128" i="9"/>
  <c r="G249" i="9"/>
  <c r="R173" i="9"/>
  <c r="G336" i="9"/>
  <c r="AY88" i="9"/>
  <c r="AN243" i="9"/>
  <c r="BJ210" i="9"/>
  <c r="BU172" i="9"/>
  <c r="AC78" i="9"/>
  <c r="CQ364" i="9"/>
  <c r="AN222" i="9"/>
  <c r="R61" i="9"/>
  <c r="BU83" i="9"/>
  <c r="G517" i="9"/>
  <c r="BJ100" i="9"/>
  <c r="R74" i="9"/>
  <c r="G421" i="9"/>
  <c r="BU63" i="9"/>
  <c r="AY155" i="9"/>
  <c r="AN29" i="9"/>
  <c r="BJ107" i="9"/>
  <c r="CQ246" i="9"/>
  <c r="R34" i="9"/>
  <c r="AN26" i="9"/>
  <c r="AC92" i="9"/>
  <c r="BU229" i="9"/>
  <c r="AY120" i="9"/>
  <c r="BJ158" i="9"/>
  <c r="R179" i="9"/>
  <c r="CF299" i="9"/>
  <c r="CF279" i="9"/>
  <c r="BJ59" i="9"/>
  <c r="BU102" i="9"/>
  <c r="BU91" i="9"/>
  <c r="BU235" i="9"/>
  <c r="BU444" i="9"/>
  <c r="AY162" i="9"/>
  <c r="BU77" i="9"/>
  <c r="CQ39" i="9"/>
  <c r="DB84" i="9"/>
  <c r="G273" i="9"/>
  <c r="BU244" i="9"/>
  <c r="CF26" i="9"/>
  <c r="R232" i="9"/>
  <c r="G452" i="9"/>
  <c r="CF249" i="9"/>
  <c r="CF248" i="9"/>
  <c r="AY123" i="9"/>
  <c r="BU140" i="9"/>
  <c r="BU197" i="9"/>
  <c r="G202" i="9"/>
  <c r="BU35" i="9"/>
  <c r="BJ229" i="9"/>
  <c r="CQ520" i="9"/>
  <c r="AN343" i="9"/>
  <c r="CQ534" i="9"/>
  <c r="AN250" i="9"/>
  <c r="AY91" i="9"/>
  <c r="AY126" i="9"/>
  <c r="BU205" i="9"/>
  <c r="AN390" i="9"/>
  <c r="BJ226" i="9"/>
  <c r="AN393" i="9"/>
  <c r="AN191" i="9"/>
  <c r="CF191" i="9"/>
  <c r="AN108" i="9"/>
  <c r="BJ63" i="9"/>
  <c r="CQ486" i="9"/>
  <c r="G506" i="9"/>
  <c r="AY157" i="9"/>
  <c r="R113" i="9"/>
  <c r="BJ228" i="9"/>
  <c r="BU421" i="9"/>
  <c r="CF232" i="9"/>
  <c r="BU317" i="9"/>
  <c r="G459" i="9"/>
  <c r="BU407" i="9"/>
  <c r="AN52" i="9"/>
  <c r="AN84" i="9"/>
  <c r="BU115" i="9"/>
  <c r="BU175" i="9"/>
  <c r="G600" i="9"/>
  <c r="CF113" i="9"/>
  <c r="G502" i="9"/>
  <c r="AN387" i="9"/>
  <c r="AN388" i="9"/>
  <c r="BU262" i="9"/>
  <c r="R178" i="9"/>
  <c r="R215" i="9"/>
  <c r="CQ371" i="9"/>
  <c r="G472" i="9"/>
  <c r="G117" i="9"/>
  <c r="BJ149" i="9"/>
  <c r="G618" i="9"/>
  <c r="G193" i="9"/>
  <c r="G332" i="9"/>
  <c r="G570" i="9"/>
  <c r="BJ247" i="9"/>
  <c r="CF85" i="9"/>
  <c r="AN350" i="9"/>
  <c r="R81" i="9"/>
  <c r="AN408" i="9"/>
  <c r="G125" i="9"/>
  <c r="AN40" i="9"/>
  <c r="BJ241" i="9"/>
  <c r="G258" i="9"/>
  <c r="AY33" i="9"/>
  <c r="AY128" i="9"/>
  <c r="G58" i="9"/>
  <c r="AN345" i="9"/>
  <c r="BJ32" i="9"/>
  <c r="BJ196" i="9"/>
  <c r="R54" i="9"/>
  <c r="R50" i="9"/>
  <c r="AY112" i="9"/>
  <c r="BJ125" i="9"/>
  <c r="CF42" i="9"/>
  <c r="AN163" i="9"/>
  <c r="AN114" i="9"/>
  <c r="AY48" i="9"/>
  <c r="BU408" i="9"/>
  <c r="BU242" i="9"/>
  <c r="BU60" i="9"/>
  <c r="CF157" i="9"/>
  <c r="BU308" i="9"/>
  <c r="BJ30" i="9"/>
  <c r="AY131" i="9"/>
  <c r="AY149" i="9"/>
  <c r="AN233" i="9"/>
  <c r="CF309" i="9"/>
  <c r="AN315" i="9"/>
  <c r="BJ133" i="9"/>
  <c r="AN386" i="9"/>
  <c r="CQ394" i="9"/>
  <c r="BU395" i="9"/>
  <c r="BJ134" i="9"/>
  <c r="CF135" i="9"/>
  <c r="AN329" i="9"/>
  <c r="CF266" i="9"/>
  <c r="DB226" i="9"/>
  <c r="BU81" i="9"/>
  <c r="BU289" i="9"/>
  <c r="DB147" i="9"/>
  <c r="BJ142" i="9"/>
  <c r="BJ120" i="9"/>
  <c r="CF258" i="9"/>
  <c r="CF264" i="9"/>
  <c r="CF256" i="9"/>
  <c r="BJ230" i="9"/>
  <c r="G67" i="9"/>
  <c r="BU388" i="9"/>
  <c r="CF275" i="9"/>
  <c r="BJ182" i="9"/>
  <c r="G586" i="9"/>
  <c r="BU264" i="9"/>
  <c r="AN232" i="9"/>
  <c r="BU176" i="9"/>
  <c r="AN252" i="9"/>
  <c r="CQ507" i="9"/>
  <c r="G416" i="9"/>
  <c r="BJ102" i="9"/>
  <c r="BU182" i="9"/>
  <c r="CF59" i="9"/>
  <c r="CQ601" i="9"/>
  <c r="CQ144" i="9"/>
  <c r="CF82" i="9"/>
  <c r="BU88" i="9"/>
  <c r="CQ471" i="9"/>
  <c r="CF114" i="9"/>
  <c r="CQ567" i="9"/>
  <c r="CQ231" i="9"/>
  <c r="DM103" i="9"/>
  <c r="BJ150" i="9"/>
  <c r="BU403" i="9"/>
  <c r="BU291" i="9"/>
  <c r="CQ463" i="9"/>
  <c r="AY23" i="9"/>
  <c r="EI81" i="9"/>
  <c r="CQ150" i="9"/>
  <c r="CQ250" i="9"/>
  <c r="CQ455" i="9"/>
  <c r="BU72" i="9"/>
  <c r="EI47" i="9"/>
  <c r="BU433" i="9"/>
  <c r="CQ121" i="9"/>
  <c r="BU334" i="9"/>
  <c r="BU245" i="9"/>
  <c r="CF116" i="9"/>
  <c r="CF155" i="9"/>
  <c r="BU51" i="9"/>
  <c r="BU26" i="9"/>
  <c r="BJ41" i="9"/>
  <c r="BU87" i="9"/>
  <c r="R115" i="9"/>
  <c r="CQ327" i="9"/>
  <c r="BJ204" i="9"/>
  <c r="BU151" i="9"/>
  <c r="CF369" i="9"/>
  <c r="CQ55" i="9"/>
  <c r="BU250" i="9"/>
  <c r="CQ123" i="9"/>
  <c r="CQ32" i="9"/>
  <c r="BU111" i="9"/>
  <c r="AN105" i="9"/>
  <c r="BU294" i="9"/>
  <c r="BU239" i="9"/>
  <c r="R207" i="9"/>
  <c r="CQ504" i="9"/>
  <c r="CQ464" i="9"/>
  <c r="CF358" i="9"/>
  <c r="CQ563" i="9"/>
  <c r="CQ401" i="9"/>
  <c r="CF62" i="9"/>
  <c r="BU360" i="9"/>
  <c r="AY130" i="9"/>
  <c r="G630" i="9"/>
  <c r="CF154" i="9"/>
  <c r="EI150" i="9"/>
  <c r="R229" i="9"/>
  <c r="AC60" i="9"/>
  <c r="CF128" i="9"/>
  <c r="BU209" i="9"/>
  <c r="R112" i="9"/>
  <c r="BJ143" i="9"/>
  <c r="BU282" i="9"/>
  <c r="AY167" i="9"/>
  <c r="CF61" i="9"/>
  <c r="BU147" i="9"/>
  <c r="CQ136" i="9"/>
  <c r="AY84" i="9"/>
  <c r="CQ118" i="9"/>
  <c r="CQ89" i="9"/>
  <c r="BU313" i="9"/>
  <c r="BU117" i="9"/>
  <c r="CF346" i="9"/>
  <c r="CF106" i="9"/>
  <c r="CF91" i="9"/>
  <c r="DM158" i="9"/>
  <c r="BJ109" i="9"/>
  <c r="G554" i="9"/>
  <c r="DM156" i="9"/>
  <c r="CF71" i="9"/>
  <c r="CF351" i="9"/>
  <c r="DM131" i="9"/>
  <c r="CF112" i="9"/>
  <c r="BU40" i="9"/>
  <c r="R170" i="9"/>
  <c r="BJ60" i="9"/>
  <c r="BU98" i="9"/>
  <c r="CQ286" i="9"/>
  <c r="CF80" i="9"/>
  <c r="EI44" i="9"/>
  <c r="CF356" i="9"/>
  <c r="DM177" i="9"/>
  <c r="AY34" i="9"/>
  <c r="BJ151" i="9"/>
  <c r="BU422" i="9"/>
  <c r="BU435" i="9"/>
  <c r="R201" i="9"/>
  <c r="R217" i="9"/>
  <c r="AN392" i="9"/>
  <c r="AY65" i="9"/>
  <c r="CQ363" i="9"/>
  <c r="CQ356" i="9"/>
  <c r="CF90" i="9"/>
  <c r="DM90" i="9"/>
  <c r="CF339" i="9"/>
  <c r="BJ146" i="9"/>
  <c r="CQ628" i="9"/>
  <c r="CQ543" i="9"/>
  <c r="BU429" i="9"/>
  <c r="CF50" i="9"/>
  <c r="BU212" i="9"/>
  <c r="CF365" i="9"/>
  <c r="BU379" i="9"/>
  <c r="BU150" i="9"/>
  <c r="EI107" i="9"/>
  <c r="BU223" i="9"/>
  <c r="DB80" i="9"/>
  <c r="CQ28" i="9"/>
  <c r="DM245" i="9"/>
  <c r="CQ336" i="9"/>
  <c r="BU293" i="9"/>
  <c r="AN353" i="9"/>
  <c r="BU231" i="9"/>
  <c r="BU295" i="9"/>
  <c r="AY45" i="9"/>
  <c r="CF317" i="9"/>
  <c r="CQ549" i="9"/>
  <c r="BU61" i="9"/>
  <c r="BU296" i="9"/>
  <c r="CQ453" i="9"/>
  <c r="BU142" i="9"/>
  <c r="BU370" i="9"/>
  <c r="CQ578" i="9"/>
  <c r="DM65" i="9"/>
  <c r="CF94" i="9"/>
  <c r="CF143" i="9"/>
  <c r="CF233" i="9"/>
  <c r="R168" i="9"/>
  <c r="CF267" i="9"/>
  <c r="BU44" i="9"/>
  <c r="CF180" i="9"/>
  <c r="AY101" i="9"/>
  <c r="CF219" i="9"/>
  <c r="BU108" i="9"/>
  <c r="R189" i="9"/>
  <c r="BU401" i="9"/>
  <c r="DB123" i="9"/>
  <c r="DM272" i="9"/>
  <c r="CF118" i="9"/>
  <c r="AY103" i="9"/>
  <c r="AY119" i="9"/>
  <c r="EI136" i="9"/>
  <c r="DM276" i="9"/>
  <c r="CF144" i="9"/>
  <c r="R149" i="9"/>
  <c r="BU22" i="9"/>
  <c r="CF341" i="9"/>
  <c r="CF151" i="9"/>
  <c r="AN268" i="9"/>
  <c r="BU74" i="9"/>
  <c r="CF237" i="9"/>
  <c r="BJ236" i="9"/>
  <c r="CF367" i="9"/>
  <c r="CQ63" i="9"/>
  <c r="BU359" i="9"/>
  <c r="CQ631" i="9"/>
  <c r="R193" i="9"/>
  <c r="CQ81" i="9"/>
  <c r="CQ180" i="9"/>
  <c r="CQ188" i="9"/>
  <c r="BU351" i="9"/>
  <c r="CF363" i="9"/>
  <c r="R212" i="9"/>
  <c r="BU138" i="9"/>
  <c r="BU382" i="9"/>
  <c r="EI75" i="9"/>
  <c r="AN134" i="9"/>
  <c r="BJ188" i="9"/>
  <c r="G91" i="9"/>
  <c r="CF252" i="9"/>
  <c r="AY67" i="9"/>
  <c r="AY125" i="9"/>
  <c r="R216" i="9"/>
  <c r="AY117" i="9"/>
  <c r="CQ68" i="9"/>
  <c r="CQ581" i="9"/>
  <c r="CQ405" i="9"/>
  <c r="CQ583" i="9"/>
  <c r="CF276" i="9"/>
  <c r="CQ166" i="9"/>
  <c r="BU346" i="9"/>
  <c r="CF320" i="9"/>
  <c r="BU181" i="9"/>
  <c r="CQ422" i="9"/>
  <c r="CQ220" i="9"/>
  <c r="BJ45" i="9"/>
  <c r="AY64" i="9"/>
  <c r="BJ164" i="9"/>
  <c r="CQ477" i="9"/>
  <c r="BU177" i="9"/>
  <c r="CQ248" i="9"/>
  <c r="CQ252" i="9"/>
  <c r="CF220" i="9"/>
  <c r="AN98" i="9"/>
  <c r="R166" i="9"/>
  <c r="CF160" i="9"/>
  <c r="BU361" i="9"/>
  <c r="BU305" i="9"/>
  <c r="R228" i="9"/>
  <c r="CQ493" i="9"/>
  <c r="CQ600" i="9"/>
  <c r="BU310" i="9"/>
  <c r="CF63" i="9"/>
  <c r="CQ436" i="9"/>
  <c r="DM255" i="9"/>
  <c r="CQ595" i="9"/>
  <c r="BU320" i="9"/>
  <c r="CQ92" i="9"/>
  <c r="CQ366" i="9"/>
  <c r="CQ45" i="9"/>
  <c r="BJ53" i="9"/>
  <c r="CF125" i="9"/>
  <c r="BU415" i="9"/>
  <c r="CF46" i="9"/>
  <c r="CF227" i="9"/>
  <c r="CQ468" i="9"/>
  <c r="BU125" i="9"/>
  <c r="CF243" i="9"/>
  <c r="BU55" i="9"/>
  <c r="BJ208" i="9"/>
  <c r="CQ524" i="9"/>
  <c r="CF196" i="9"/>
  <c r="CF167" i="9"/>
  <c r="BJ145" i="9"/>
  <c r="BU304" i="9"/>
  <c r="CF342" i="9"/>
  <c r="DM108" i="9"/>
  <c r="CQ523" i="9"/>
  <c r="CQ425" i="9"/>
  <c r="CQ148" i="9"/>
  <c r="DB187" i="9"/>
  <c r="CF331" i="9"/>
  <c r="R239" i="9"/>
  <c r="AY63" i="9"/>
  <c r="G207" i="9"/>
  <c r="AY118" i="9"/>
  <c r="BU315" i="9"/>
  <c r="AN49" i="9"/>
  <c r="DB241" i="9"/>
  <c r="BU309" i="9"/>
  <c r="DM86" i="9"/>
  <c r="BJ92" i="9"/>
  <c r="BU387" i="9"/>
  <c r="BU144" i="9"/>
  <c r="DX633" i="9"/>
  <c r="CF240" i="9"/>
  <c r="CQ62" i="9"/>
  <c r="BU156" i="9"/>
  <c r="BU416" i="9"/>
  <c r="CF345" i="9"/>
  <c r="BU258" i="9"/>
  <c r="BJ95" i="9"/>
  <c r="CF310" i="9"/>
  <c r="CF262" i="9"/>
  <c r="CQ334" i="9"/>
  <c r="BU290" i="9"/>
  <c r="CF30" i="9"/>
  <c r="CQ266" i="9"/>
  <c r="DM167" i="9"/>
  <c r="CF137" i="9"/>
  <c r="BJ94" i="9"/>
  <c r="CF198" i="9"/>
  <c r="CF147" i="9"/>
  <c r="BU269" i="9"/>
  <c r="DB66" i="9"/>
  <c r="BU398" i="9"/>
  <c r="R244" i="9"/>
  <c r="BU410" i="9"/>
  <c r="R252" i="9"/>
  <c r="CF296" i="9"/>
  <c r="CQ610" i="9"/>
  <c r="BU281" i="9"/>
  <c r="CF195" i="9"/>
  <c r="EI76" i="9"/>
  <c r="BU114" i="9"/>
  <c r="CF211" i="9"/>
  <c r="CQ331" i="9"/>
  <c r="CQ125" i="9"/>
  <c r="BJ162" i="9"/>
  <c r="CQ608" i="9"/>
  <c r="DB63" i="9"/>
  <c r="DB114" i="9"/>
  <c r="CF139" i="9"/>
  <c r="AN141" i="9"/>
  <c r="BJ44" i="9"/>
  <c r="CF251" i="9"/>
  <c r="CQ402" i="9"/>
  <c r="CF54" i="9"/>
  <c r="BJ216" i="9"/>
  <c r="AY144" i="9"/>
  <c r="R103" i="9"/>
  <c r="BU426" i="9"/>
  <c r="CQ392" i="9"/>
  <c r="CF24" i="9"/>
  <c r="AY161" i="9"/>
  <c r="G24" i="9"/>
  <c r="BJ135" i="9"/>
  <c r="G476" i="9"/>
  <c r="G632" i="9"/>
  <c r="CQ69" i="9"/>
  <c r="AN370" i="9"/>
  <c r="AY79" i="9"/>
  <c r="CQ419" i="9"/>
  <c r="BJ64" i="9"/>
  <c r="BU251" i="9"/>
  <c r="CF81" i="9"/>
  <c r="R243" i="9"/>
  <c r="CQ361" i="9"/>
  <c r="BU164" i="9"/>
  <c r="AY142" i="9"/>
  <c r="DM180" i="9"/>
  <c r="EI22" i="9"/>
  <c r="CF301" i="9"/>
  <c r="BU366" i="9"/>
  <c r="CF123" i="9"/>
  <c r="CQ97" i="9"/>
  <c r="BU381" i="9"/>
  <c r="DB28" i="9"/>
  <c r="CF284" i="9"/>
  <c r="CQ497" i="9"/>
  <c r="R248" i="9"/>
  <c r="R250" i="9"/>
  <c r="DB26" i="9"/>
  <c r="CQ373" i="9"/>
  <c r="CF280" i="9"/>
  <c r="BU279" i="9"/>
  <c r="CQ131" i="9"/>
  <c r="BU365" i="9"/>
  <c r="CQ101" i="9"/>
  <c r="BU50" i="9"/>
  <c r="BU298" i="9"/>
  <c r="EI23" i="9"/>
  <c r="CF40" i="9"/>
  <c r="CQ217" i="9"/>
  <c r="CF308" i="9"/>
  <c r="CQ152" i="9"/>
  <c r="BU353" i="9"/>
  <c r="BU33" i="9"/>
  <c r="CQ280" i="9"/>
  <c r="CQ141" i="9"/>
  <c r="R184" i="9"/>
  <c r="CF260" i="9"/>
  <c r="BU247" i="9"/>
  <c r="CQ264" i="9"/>
  <c r="BU116" i="9"/>
  <c r="CF43" i="9"/>
  <c r="DM95" i="9"/>
  <c r="CQ606" i="9"/>
  <c r="CQ249" i="9"/>
  <c r="CF72" i="9"/>
  <c r="BU287" i="9"/>
  <c r="R167" i="9"/>
  <c r="CQ498" i="9"/>
  <c r="CQ566" i="9"/>
  <c r="AY105" i="9"/>
  <c r="R165" i="9"/>
  <c r="CQ439" i="9"/>
  <c r="DB125" i="9"/>
  <c r="BU196" i="9"/>
  <c r="CF68" i="9"/>
  <c r="BU440" i="9"/>
  <c r="DM240" i="9"/>
  <c r="EI126" i="9"/>
  <c r="BU131" i="9"/>
  <c r="BU124" i="9"/>
  <c r="CF305" i="9"/>
  <c r="BU183" i="9"/>
  <c r="BJ72" i="9"/>
  <c r="CQ297" i="9"/>
  <c r="CF100" i="9"/>
  <c r="BU161" i="9"/>
  <c r="CF75" i="9"/>
  <c r="CF101" i="9"/>
  <c r="AN312" i="9"/>
  <c r="CF95" i="9"/>
  <c r="CF111" i="9"/>
  <c r="CQ237" i="9"/>
  <c r="AN109" i="9"/>
  <c r="CF293" i="9"/>
  <c r="CF41" i="9"/>
  <c r="CQ596" i="9"/>
  <c r="BJ168" i="9"/>
  <c r="EI143" i="9"/>
  <c r="CF208" i="9"/>
  <c r="CF238" i="9"/>
  <c r="CF327" i="9"/>
  <c r="R208" i="9"/>
  <c r="CQ545" i="9"/>
  <c r="CF56" i="9"/>
  <c r="CQ447" i="9"/>
  <c r="BU331" i="9"/>
  <c r="CQ158" i="9"/>
  <c r="CF153" i="9"/>
  <c r="CF353" i="9"/>
  <c r="AY154" i="9"/>
  <c r="BU157" i="9"/>
  <c r="G481" i="9"/>
  <c r="BJ175" i="9"/>
  <c r="G441" i="9"/>
  <c r="CF316" i="9"/>
  <c r="AY99" i="9"/>
  <c r="BJ231" i="9"/>
  <c r="BU166" i="9"/>
  <c r="BU255" i="9"/>
  <c r="CF109" i="9"/>
  <c r="CF268" i="9"/>
  <c r="CF84" i="9"/>
  <c r="CF149" i="9"/>
  <c r="CF209" i="9"/>
  <c r="CQ206" i="9"/>
  <c r="CQ508" i="9"/>
  <c r="CQ256" i="9"/>
  <c r="BU254" i="9"/>
  <c r="CF87" i="9"/>
  <c r="CF291" i="9"/>
  <c r="CF357" i="9"/>
  <c r="BU24" i="9"/>
  <c r="CQ438" i="9"/>
  <c r="EI118" i="9"/>
  <c r="CQ289" i="9"/>
  <c r="BU80" i="9"/>
  <c r="CQ540" i="9"/>
  <c r="CF226" i="9"/>
  <c r="CQ219" i="9"/>
  <c r="CF298" i="9"/>
  <c r="CF329" i="9"/>
  <c r="BU322" i="9"/>
  <c r="CF27" i="9"/>
  <c r="CF166" i="9"/>
  <c r="BJ240" i="9"/>
  <c r="CF70" i="9"/>
  <c r="CF193" i="9"/>
  <c r="CF230" i="9"/>
  <c r="AN172" i="9"/>
  <c r="R246" i="9"/>
  <c r="CF302" i="9"/>
  <c r="BU252" i="9"/>
  <c r="CQ381" i="9"/>
  <c r="R241" i="9"/>
  <c r="CQ332" i="9"/>
  <c r="DB245" i="9"/>
  <c r="AN404" i="9"/>
  <c r="CF156" i="9"/>
  <c r="DM309" i="9"/>
  <c r="DM154" i="9"/>
  <c r="BJ57" i="9"/>
  <c r="CF161" i="9"/>
  <c r="CQ353" i="9"/>
  <c r="BJ27" i="9"/>
  <c r="CQ584" i="9"/>
  <c r="DM192" i="9"/>
  <c r="DX152" i="9"/>
  <c r="BU432" i="9"/>
  <c r="BJ206" i="9"/>
  <c r="BJ110" i="9"/>
  <c r="BU123" i="9"/>
  <c r="AY113" i="9"/>
  <c r="AY26" i="9"/>
  <c r="CF244" i="9"/>
  <c r="AY50" i="9"/>
  <c r="AY72" i="9"/>
  <c r="BJ153" i="9"/>
  <c r="BU221" i="9"/>
  <c r="BU354" i="9"/>
  <c r="EI37" i="9"/>
  <c r="CQ377" i="9"/>
  <c r="CF131" i="9"/>
  <c r="AY175" i="9"/>
  <c r="G74" i="9"/>
  <c r="CQ318" i="9"/>
  <c r="BU438" i="9"/>
  <c r="BU349" i="9"/>
  <c r="CF22" i="9"/>
  <c r="BU43" i="9"/>
  <c r="CQ115" i="9"/>
  <c r="CQ139" i="9"/>
  <c r="CQ489" i="9"/>
  <c r="CQ555" i="9"/>
  <c r="BJ26" i="9"/>
  <c r="CF224" i="9"/>
  <c r="CF221" i="9"/>
  <c r="BU25" i="9"/>
  <c r="CF273" i="9"/>
  <c r="CF29" i="9"/>
  <c r="R200" i="9"/>
  <c r="CF336" i="9"/>
  <c r="BJ98" i="9"/>
  <c r="CF213" i="9"/>
  <c r="AY90" i="9"/>
  <c r="CQ564" i="9"/>
  <c r="DX405" i="9"/>
  <c r="BU451" i="9"/>
  <c r="CF255" i="9"/>
  <c r="CF38" i="9"/>
  <c r="CQ338" i="9"/>
  <c r="BU136" i="9"/>
  <c r="CF372" i="9"/>
  <c r="CQ349" i="9"/>
  <c r="CF359" i="9"/>
  <c r="BJ138" i="9"/>
  <c r="CF217" i="9"/>
  <c r="BJ181" i="9"/>
  <c r="CF206" i="9"/>
  <c r="CF79" i="9"/>
  <c r="CF89" i="9"/>
  <c r="CF36" i="9"/>
  <c r="CQ476" i="9"/>
  <c r="CQ149" i="9"/>
  <c r="CF304" i="9"/>
  <c r="CF325" i="9"/>
  <c r="CQ506" i="9"/>
  <c r="CF159" i="9"/>
  <c r="EI87" i="9"/>
  <c r="CF119" i="9"/>
  <c r="BU324" i="9"/>
  <c r="BJ54" i="9"/>
  <c r="CQ65" i="9"/>
  <c r="R198" i="9"/>
  <c r="BU397" i="9"/>
  <c r="DX143" i="9"/>
  <c r="BU355" i="9"/>
  <c r="DX234" i="9"/>
  <c r="CF88" i="9"/>
  <c r="EI158" i="9"/>
  <c r="AN53" i="9"/>
  <c r="G537" i="9"/>
  <c r="AN318" i="9"/>
  <c r="CQ203" i="9"/>
  <c r="BU367" i="9"/>
  <c r="BJ199" i="9"/>
  <c r="G380" i="9"/>
  <c r="AN317" i="9"/>
  <c r="BU321" i="9"/>
  <c r="BJ154" i="9"/>
  <c r="CQ323" i="9"/>
  <c r="AY96" i="9"/>
  <c r="BJ81" i="9"/>
  <c r="CQ138" i="9"/>
  <c r="CF362" i="9"/>
  <c r="CQ384" i="9"/>
  <c r="CQ502" i="9"/>
  <c r="CF83" i="9"/>
  <c r="BU372" i="9"/>
  <c r="DX353" i="9"/>
  <c r="CQ47" i="9"/>
  <c r="AY170" i="9"/>
  <c r="BU418" i="9"/>
  <c r="CF245" i="9"/>
  <c r="BU135" i="9"/>
  <c r="CQ378" i="9"/>
  <c r="R155" i="9"/>
  <c r="R177" i="9"/>
  <c r="AY60" i="9"/>
  <c r="DM93" i="9"/>
  <c r="CF204" i="9"/>
  <c r="BJ170" i="9"/>
  <c r="CF373" i="9"/>
  <c r="BU402" i="9"/>
  <c r="BU350" i="9"/>
  <c r="DM155" i="9"/>
  <c r="R147" i="9"/>
  <c r="R213" i="9"/>
  <c r="CQ211" i="9"/>
  <c r="DB137" i="9"/>
  <c r="CQ385" i="9"/>
  <c r="AY87" i="9"/>
  <c r="CF300" i="9"/>
  <c r="CQ430" i="9"/>
  <c r="R218" i="9"/>
  <c r="CF136" i="9"/>
  <c r="R220" i="9"/>
  <c r="CQ590" i="9"/>
  <c r="CQ434" i="9"/>
  <c r="CQ78" i="9"/>
  <c r="CF176" i="9"/>
  <c r="CQ369" i="9"/>
  <c r="CQ27" i="9"/>
  <c r="BJ187" i="9"/>
  <c r="BU405" i="9"/>
  <c r="CQ156" i="9"/>
  <c r="BU184" i="9"/>
  <c r="DM163" i="9"/>
  <c r="CQ116" i="9"/>
  <c r="DB34" i="9"/>
  <c r="CF173" i="9"/>
  <c r="BU338" i="9"/>
  <c r="AY122" i="9"/>
  <c r="BU93" i="9"/>
  <c r="BU342" i="9"/>
  <c r="BU417" i="9"/>
  <c r="R226" i="9"/>
  <c r="BJ99" i="9"/>
  <c r="BU159" i="9"/>
  <c r="R130" i="9"/>
  <c r="G108" i="9"/>
  <c r="BU332" i="9"/>
  <c r="CQ339" i="9"/>
  <c r="CF225" i="9"/>
  <c r="CF107" i="9"/>
  <c r="CF239" i="9"/>
  <c r="DM209" i="9"/>
  <c r="CQ431" i="9"/>
  <c r="AN184" i="9"/>
  <c r="CQ462" i="9"/>
  <c r="CF303" i="9"/>
  <c r="CQ633" i="9"/>
  <c r="CF333" i="9"/>
  <c r="AN124" i="9"/>
  <c r="BU27" i="9"/>
  <c r="CF374" i="9"/>
  <c r="DM44" i="9"/>
  <c r="CF241" i="9"/>
  <c r="BJ55" i="9"/>
  <c r="BU36" i="9"/>
  <c r="BU230" i="9"/>
  <c r="CQ467" i="9"/>
  <c r="AN284" i="9"/>
  <c r="BU86" i="9"/>
  <c r="BU167" i="9"/>
  <c r="CF187" i="9"/>
  <c r="R249" i="9"/>
  <c r="BU271" i="9"/>
  <c r="CF45" i="9"/>
  <c r="CF247" i="9"/>
  <c r="BU375" i="9"/>
  <c r="CF23" i="9"/>
  <c r="AY140" i="9"/>
  <c r="CQ519" i="9"/>
  <c r="BU267" i="9"/>
  <c r="BJ144" i="9"/>
  <c r="BU220" i="9"/>
  <c r="EI60" i="9"/>
  <c r="CF165" i="9"/>
  <c r="BU49" i="9"/>
  <c r="DM96" i="9"/>
  <c r="AY31" i="9"/>
  <c r="BU126" i="9"/>
  <c r="CQ529" i="9"/>
  <c r="BU285" i="9"/>
  <c r="CQ348" i="9"/>
  <c r="BU306" i="9"/>
  <c r="CF189" i="9"/>
  <c r="CQ620" i="9"/>
  <c r="CQ341" i="9"/>
  <c r="BU273" i="9"/>
  <c r="CF234" i="9"/>
  <c r="CF366" i="9"/>
  <c r="BU68" i="9"/>
  <c r="CF124" i="9"/>
  <c r="CQ111" i="9"/>
  <c r="DM205" i="9"/>
  <c r="CQ454" i="9"/>
  <c r="DB213" i="9"/>
  <c r="DB196" i="9"/>
  <c r="BU66" i="9"/>
  <c r="BJ192" i="9"/>
  <c r="CF281" i="9"/>
  <c r="R222" i="9"/>
  <c r="CQ192" i="9"/>
  <c r="DM94" i="9"/>
  <c r="DB93" i="9"/>
  <c r="CQ396" i="9"/>
  <c r="DB209" i="9"/>
  <c r="CQ132" i="9"/>
  <c r="DM292" i="9"/>
  <c r="CQ199" i="9"/>
  <c r="CQ162" i="9"/>
  <c r="R251" i="9"/>
  <c r="CF272" i="9"/>
  <c r="DM71" i="9"/>
  <c r="BU356" i="9"/>
  <c r="DB53" i="9"/>
  <c r="CF51" i="9"/>
  <c r="CF141" i="9"/>
  <c r="DX681" i="9"/>
  <c r="CQ86" i="9"/>
  <c r="CF326" i="9"/>
  <c r="CF129" i="9"/>
  <c r="CQ100" i="9"/>
  <c r="DB50" i="9"/>
  <c r="EI24" i="9"/>
  <c r="CQ161" i="9"/>
  <c r="R180" i="9"/>
  <c r="CQ565" i="9"/>
  <c r="CQ282" i="9"/>
  <c r="CQ460" i="9"/>
  <c r="BU343" i="9"/>
  <c r="R186" i="9"/>
  <c r="BU318" i="9"/>
  <c r="CQ337" i="9"/>
  <c r="CQ614" i="9"/>
  <c r="DB75" i="9"/>
  <c r="CQ290" i="9"/>
  <c r="CQ155" i="9"/>
  <c r="DM248" i="9"/>
  <c r="CQ530" i="9"/>
  <c r="CF222" i="9"/>
  <c r="BU191" i="9"/>
  <c r="CQ568" i="9"/>
  <c r="DX457" i="9"/>
  <c r="DB157" i="9"/>
  <c r="DB153" i="9"/>
  <c r="DX484" i="9"/>
  <c r="CF53" i="9"/>
  <c r="CF337" i="9"/>
  <c r="CQ245" i="9"/>
  <c r="CQ52" i="9"/>
  <c r="DB73" i="9"/>
  <c r="DM238" i="9"/>
  <c r="BU57" i="9"/>
  <c r="CQ269" i="9"/>
  <c r="CQ624" i="9"/>
  <c r="CQ525" i="9"/>
  <c r="CQ235" i="9"/>
  <c r="DX470" i="9"/>
  <c r="CQ261" i="9"/>
  <c r="DB205" i="9"/>
  <c r="BU378" i="9"/>
  <c r="CF289" i="9"/>
  <c r="R234" i="9"/>
  <c r="DX225" i="9"/>
  <c r="DM146" i="9"/>
  <c r="CQ181" i="9"/>
  <c r="R154" i="9"/>
  <c r="EI41" i="9"/>
  <c r="CF182" i="9"/>
  <c r="CQ113" i="9"/>
  <c r="CQ198" i="9"/>
  <c r="BU192" i="9"/>
  <c r="CQ179" i="9"/>
  <c r="DM216" i="9"/>
  <c r="R150" i="9"/>
  <c r="CQ376" i="9"/>
  <c r="DB190" i="9"/>
  <c r="CQ410" i="9"/>
  <c r="CQ147" i="9"/>
  <c r="CQ71" i="9"/>
  <c r="CQ618" i="9"/>
  <c r="CQ212" i="9"/>
  <c r="DM279" i="9"/>
  <c r="CQ178" i="9"/>
  <c r="CQ513" i="9"/>
  <c r="CQ153" i="9"/>
  <c r="AY133" i="9"/>
  <c r="EI84" i="9"/>
  <c r="DM80" i="9"/>
  <c r="CQ67" i="9"/>
  <c r="CQ95" i="9"/>
  <c r="DX105" i="9"/>
  <c r="DB194" i="9"/>
  <c r="BJ225" i="9"/>
  <c r="CF242" i="9"/>
  <c r="CQ515" i="9"/>
  <c r="CQ626" i="9"/>
  <c r="DM249" i="9"/>
  <c r="DM325" i="9"/>
  <c r="CQ48" i="9"/>
  <c r="EI55" i="9"/>
  <c r="DM220" i="9"/>
  <c r="DM174" i="9"/>
  <c r="CQ91" i="9"/>
  <c r="DX258" i="9"/>
  <c r="DB109" i="9"/>
  <c r="BU206" i="9"/>
  <c r="R161" i="9"/>
  <c r="CQ538" i="9"/>
  <c r="BU339" i="9"/>
  <c r="BJ103" i="9"/>
  <c r="DX679" i="9"/>
  <c r="R242" i="9"/>
  <c r="BU54" i="9"/>
  <c r="DB156" i="9"/>
  <c r="CQ182" i="9"/>
  <c r="DM185" i="9"/>
  <c r="DB101" i="9"/>
  <c r="CQ146" i="9"/>
  <c r="DM183" i="9"/>
  <c r="CF223" i="9"/>
  <c r="CQ238" i="9"/>
  <c r="DX539" i="9"/>
  <c r="CQ218" i="9"/>
  <c r="CF146" i="9"/>
  <c r="CQ50" i="9"/>
  <c r="CQ108" i="9"/>
  <c r="CQ142" i="9"/>
  <c r="BJ65" i="9"/>
  <c r="DB159" i="9"/>
  <c r="CQ234" i="9"/>
  <c r="DM317" i="9"/>
  <c r="CQ274" i="9"/>
  <c r="CF133" i="9"/>
  <c r="CQ189" i="9"/>
  <c r="DM201" i="9"/>
  <c r="DM153" i="9"/>
  <c r="CQ423" i="9"/>
  <c r="DM190" i="9"/>
  <c r="CF110" i="9"/>
  <c r="CQ215" i="9"/>
  <c r="CQ428" i="9"/>
  <c r="CQ140" i="9"/>
  <c r="DB90" i="9"/>
  <c r="CQ226" i="9"/>
  <c r="DM313" i="9"/>
  <c r="CQ64" i="9"/>
  <c r="CF130" i="9"/>
  <c r="DM305" i="9"/>
  <c r="CQ322" i="9"/>
  <c r="CQ550" i="9"/>
  <c r="DM260" i="9"/>
  <c r="CQ383" i="9"/>
  <c r="BU419" i="9"/>
  <c r="DX150" i="9"/>
  <c r="CQ485" i="9"/>
  <c r="R231" i="9"/>
  <c r="DX578" i="9"/>
  <c r="CQ446" i="9"/>
  <c r="DX553" i="9"/>
  <c r="CQ60" i="9"/>
  <c r="CQ300" i="9"/>
  <c r="CQ272" i="9"/>
  <c r="CQ251" i="9"/>
  <c r="CQ74" i="9"/>
  <c r="CF203" i="9"/>
  <c r="CQ386" i="9"/>
  <c r="R204" i="9"/>
  <c r="R171" i="9"/>
  <c r="DM264" i="9"/>
  <c r="DM119" i="9"/>
  <c r="CF145" i="9"/>
  <c r="CF73" i="9"/>
  <c r="CQ46" i="9"/>
  <c r="CQ213" i="9"/>
  <c r="CQ240" i="9"/>
  <c r="R182" i="9"/>
  <c r="CQ599" i="9"/>
  <c r="DX436" i="9"/>
  <c r="R230" i="9"/>
  <c r="EI101" i="9"/>
  <c r="CF32" i="9"/>
  <c r="CQ511" i="9"/>
  <c r="CQ613" i="9"/>
  <c r="CF102" i="9"/>
  <c r="EI62" i="9"/>
  <c r="CQ276" i="9"/>
  <c r="BU263" i="9"/>
  <c r="CQ154" i="9"/>
  <c r="DX144" i="9"/>
  <c r="DM289" i="9"/>
  <c r="DB163" i="9"/>
  <c r="CQ379" i="9"/>
  <c r="CQ619" i="9"/>
  <c r="DM58" i="9"/>
  <c r="DM162" i="9"/>
  <c r="CQ57" i="9"/>
  <c r="DB33" i="9"/>
  <c r="CQ124" i="9"/>
  <c r="CF376" i="9"/>
  <c r="DX293" i="9"/>
  <c r="BU137" i="9"/>
  <c r="CQ501" i="9"/>
  <c r="CQ102" i="9"/>
  <c r="CF288" i="9"/>
  <c r="R211" i="9"/>
  <c r="CQ560" i="9"/>
  <c r="CQ292" i="9"/>
  <c r="CQ407" i="9"/>
  <c r="BU48" i="9"/>
  <c r="CQ253" i="9"/>
  <c r="R233" i="9"/>
  <c r="CQ311" i="9"/>
  <c r="CQ56" i="9"/>
  <c r="DB199" i="9"/>
  <c r="CQ309" i="9"/>
  <c r="CQ61" i="9"/>
  <c r="DX215" i="9"/>
  <c r="DX651" i="9"/>
  <c r="CQ561" i="9"/>
  <c r="DX675" i="9"/>
  <c r="DM50" i="9"/>
  <c r="DX751" i="9"/>
  <c r="DM68" i="9"/>
  <c r="BJ42" i="9"/>
  <c r="CF218" i="9"/>
  <c r="BU425" i="9"/>
  <c r="EI120" i="9"/>
  <c r="CF319" i="9"/>
  <c r="CQ415" i="9"/>
  <c r="CQ82" i="9"/>
  <c r="CF192" i="9"/>
  <c r="AN290" i="9"/>
  <c r="CF186" i="9"/>
  <c r="CF126" i="9"/>
  <c r="CF103" i="9"/>
  <c r="CQ488" i="9"/>
  <c r="DM171" i="9"/>
  <c r="CF140" i="9"/>
  <c r="CQ177" i="9"/>
  <c r="DM164" i="9"/>
  <c r="CQ320" i="9"/>
  <c r="CQ522" i="9"/>
  <c r="CQ400" i="9"/>
  <c r="DM223" i="9"/>
  <c r="CF65" i="9"/>
  <c r="DX499" i="9"/>
  <c r="DX169" i="9"/>
  <c r="CQ358" i="9"/>
  <c r="CF361" i="9"/>
  <c r="DM135" i="9"/>
  <c r="DM227" i="9"/>
  <c r="DM176" i="9"/>
  <c r="R256" i="9"/>
  <c r="CQ627" i="9"/>
  <c r="CQ35" i="9"/>
  <c r="CQ288" i="9"/>
  <c r="CQ505" i="9"/>
  <c r="DM286" i="9"/>
  <c r="BU283" i="9"/>
  <c r="CQ443" i="9"/>
  <c r="CQ44" i="9"/>
  <c r="CF127" i="9"/>
  <c r="BU288" i="9"/>
  <c r="CQ236" i="9"/>
  <c r="DB135" i="9"/>
  <c r="R225" i="9"/>
  <c r="DM193" i="9"/>
  <c r="CQ85" i="9"/>
  <c r="DB203" i="9"/>
  <c r="CF197" i="9"/>
  <c r="CQ427" i="9"/>
  <c r="CQ143" i="9"/>
  <c r="DX695" i="9"/>
  <c r="CQ491" i="9"/>
  <c r="DX621" i="9"/>
  <c r="BU328" i="9"/>
  <c r="CQ84" i="9"/>
  <c r="BU30" i="9"/>
  <c r="DM244" i="9"/>
  <c r="BU178" i="9"/>
  <c r="CQ214" i="9"/>
  <c r="R245" i="9"/>
  <c r="EI155" i="9"/>
  <c r="CQ528" i="9"/>
  <c r="DX267" i="9"/>
  <c r="CQ306" i="9"/>
  <c r="CQ160" i="9"/>
  <c r="AY171" i="9"/>
  <c r="CQ319" i="9"/>
  <c r="R162" i="9"/>
  <c r="AN195" i="9"/>
  <c r="DX113" i="9"/>
  <c r="BJ22" i="9"/>
  <c r="CF142" i="9"/>
  <c r="DM247" i="9"/>
  <c r="CQ409" i="9"/>
  <c r="CQ558" i="9"/>
  <c r="CQ257" i="9"/>
  <c r="CQ481" i="9"/>
  <c r="DB200" i="9"/>
  <c r="R172" i="9"/>
  <c r="DB81" i="9"/>
  <c r="BU399" i="9"/>
  <c r="DX362" i="9"/>
  <c r="DB97" i="9"/>
  <c r="CQ197" i="9"/>
  <c r="CQ437" i="9"/>
  <c r="DX445" i="9"/>
  <c r="CQ622" i="9"/>
  <c r="DX560" i="9"/>
  <c r="CQ29" i="9"/>
  <c r="CQ478" i="9"/>
  <c r="CQ598" i="9"/>
  <c r="CF202" i="9"/>
  <c r="DM137" i="9"/>
  <c r="CQ594" i="9"/>
  <c r="CQ171" i="9"/>
  <c r="CQ268" i="9"/>
  <c r="R158" i="9"/>
  <c r="DM53" i="9"/>
  <c r="CQ340" i="9"/>
  <c r="CQ40" i="9"/>
  <c r="CQ344" i="9"/>
  <c r="DB220" i="9"/>
  <c r="DX117" i="9"/>
  <c r="CQ533" i="9"/>
  <c r="DM76" i="9"/>
  <c r="CQ607" i="9"/>
  <c r="DM22" i="9"/>
  <c r="DB126" i="9"/>
  <c r="CQ216" i="9"/>
  <c r="R174" i="9"/>
  <c r="CF78" i="9"/>
  <c r="DM115" i="9"/>
  <c r="DM215" i="9"/>
  <c r="DX342" i="9"/>
  <c r="CF183" i="9"/>
  <c r="CQ263" i="9"/>
  <c r="CF117" i="9"/>
  <c r="DB146" i="9"/>
  <c r="BU319" i="9"/>
  <c r="CF253" i="9"/>
  <c r="BU121" i="9"/>
  <c r="CF294" i="9"/>
  <c r="CQ145" i="9"/>
  <c r="CQ440" i="9"/>
  <c r="CQ330" i="9"/>
  <c r="DB161" i="9"/>
  <c r="BU31" i="9"/>
  <c r="CQ314" i="9"/>
  <c r="CQ575" i="9"/>
  <c r="CQ632" i="9"/>
  <c r="EI149" i="9"/>
  <c r="CQ302" i="9"/>
  <c r="R221" i="9"/>
  <c r="BU275" i="9"/>
  <c r="DM199" i="9"/>
  <c r="CQ295" i="9"/>
  <c r="CQ222" i="9"/>
  <c r="CQ617" i="9"/>
  <c r="CQ227" i="9"/>
  <c r="CQ133" i="9"/>
  <c r="BU100" i="9"/>
  <c r="CQ418" i="9"/>
  <c r="CQ172" i="9"/>
  <c r="DB188" i="9"/>
  <c r="CQ483" i="9"/>
  <c r="DM129" i="9"/>
  <c r="CQ241" i="9"/>
  <c r="CQ294" i="9"/>
  <c r="CQ58" i="9"/>
  <c r="DB144" i="9"/>
  <c r="DB65" i="9"/>
  <c r="DX247" i="9"/>
  <c r="DM321" i="9"/>
  <c r="EI119" i="9"/>
  <c r="CQ480" i="9"/>
  <c r="DX180" i="9"/>
  <c r="DX142" i="9"/>
  <c r="BU301" i="9"/>
  <c r="CF132" i="9"/>
  <c r="EI147" i="9"/>
  <c r="DX53" i="9"/>
  <c r="R145" i="9"/>
  <c r="DX632" i="9"/>
  <c r="R152" i="9"/>
  <c r="EI71" i="9"/>
  <c r="CQ433" i="9"/>
  <c r="DM145" i="9"/>
  <c r="DB167" i="9"/>
  <c r="CF235" i="9"/>
  <c r="DX363" i="9"/>
  <c r="CQ38" i="9"/>
  <c r="R148" i="9"/>
  <c r="R202" i="9"/>
  <c r="CQ183" i="9"/>
  <c r="CF322" i="9"/>
  <c r="CQ270" i="9"/>
  <c r="CQ347" i="9"/>
  <c r="CQ490" i="9"/>
  <c r="CQ24" i="9"/>
  <c r="DM142" i="9"/>
  <c r="CQ609" i="9"/>
  <c r="CQ225" i="9"/>
  <c r="CQ135" i="9"/>
  <c r="BU232" i="9"/>
  <c r="CQ134" i="9"/>
  <c r="DM219" i="9"/>
  <c r="CQ345" i="9"/>
  <c r="DB23" i="9"/>
  <c r="CF67" i="9"/>
  <c r="CF295" i="9"/>
  <c r="CQ36" i="9"/>
  <c r="DB91" i="9"/>
  <c r="CF104" i="9"/>
  <c r="EI73" i="9"/>
  <c r="DB56" i="9"/>
  <c r="R236" i="9"/>
  <c r="R199" i="9"/>
  <c r="EI151" i="9"/>
  <c r="DB116" i="9"/>
  <c r="DM61" i="9"/>
  <c r="CF92" i="9"/>
  <c r="CQ365" i="9"/>
  <c r="EI28" i="9"/>
  <c r="CQ360" i="9"/>
  <c r="CQ175" i="9"/>
  <c r="CQ75" i="9"/>
  <c r="CQ122" i="9"/>
  <c r="DB55" i="9"/>
  <c r="EI58" i="9"/>
  <c r="R185" i="9"/>
  <c r="DM67" i="9"/>
  <c r="EI145" i="9"/>
  <c r="CQ421" i="9"/>
  <c r="DM235" i="9"/>
  <c r="DM303" i="9"/>
  <c r="CF93" i="9"/>
  <c r="BU300" i="9"/>
  <c r="R151" i="9"/>
  <c r="EI141" i="9"/>
  <c r="R163" i="9"/>
  <c r="BU139" i="9"/>
  <c r="CF350" i="9"/>
  <c r="CQ151" i="9"/>
  <c r="DM291" i="9"/>
  <c r="CQ221" i="9"/>
  <c r="CQ457" i="9"/>
  <c r="DM144" i="9"/>
  <c r="DB62" i="9"/>
  <c r="CF254" i="9"/>
  <c r="DX558" i="9"/>
  <c r="BU67" i="9"/>
  <c r="DM256" i="9"/>
  <c r="CQ163" i="9"/>
  <c r="CQ390" i="9"/>
  <c r="CQ43" i="9"/>
  <c r="BU380" i="9"/>
  <c r="DM109" i="9"/>
  <c r="DX376" i="9"/>
  <c r="DM333" i="9"/>
  <c r="DX625" i="9"/>
  <c r="CF324" i="9"/>
  <c r="EI31" i="9"/>
  <c r="AY29" i="9"/>
  <c r="BU434" i="9"/>
  <c r="CF179" i="9"/>
  <c r="CQ329" i="9"/>
  <c r="CQ616" i="9"/>
  <c r="DB191" i="9"/>
  <c r="CQ187" i="9"/>
  <c r="CQ580" i="9"/>
  <c r="DB95" i="9"/>
  <c r="BU133" i="9"/>
  <c r="DB222" i="9"/>
  <c r="CF335" i="9"/>
  <c r="R224" i="9"/>
  <c r="DB57" i="9"/>
  <c r="CQ94" i="9"/>
  <c r="CQ350" i="9"/>
  <c r="CQ552" i="9"/>
  <c r="CQ391" i="9"/>
  <c r="BU371" i="9"/>
  <c r="DX184" i="9"/>
  <c r="CQ196" i="9"/>
  <c r="CQ576" i="9"/>
  <c r="BU364" i="9"/>
  <c r="CQ128" i="9"/>
  <c r="CQ105" i="9"/>
  <c r="DM246" i="9"/>
  <c r="CF105" i="9"/>
  <c r="DM148" i="9"/>
  <c r="R156" i="9"/>
  <c r="EI131" i="9"/>
  <c r="CF246" i="9"/>
  <c r="DM72" i="9"/>
  <c r="DB139" i="9"/>
  <c r="DM226" i="9"/>
  <c r="CQ571" i="9"/>
  <c r="CQ96" i="9"/>
  <c r="DM169" i="9"/>
  <c r="CQ267" i="9"/>
  <c r="CQ343" i="9"/>
  <c r="DB36" i="9"/>
  <c r="DB121" i="9"/>
  <c r="EI112" i="9"/>
  <c r="BU95" i="9"/>
  <c r="CQ416" i="9"/>
  <c r="DM117" i="9"/>
  <c r="CF207" i="9"/>
  <c r="DX190" i="9"/>
  <c r="BU393" i="9"/>
  <c r="CQ53" i="9"/>
  <c r="CQ487" i="9"/>
  <c r="CQ517" i="9"/>
  <c r="CQ26" i="9"/>
  <c r="CF261" i="9"/>
  <c r="EI50" i="9"/>
  <c r="DX77" i="9"/>
  <c r="DX28" i="9"/>
  <c r="DX279" i="9"/>
  <c r="DM147" i="9"/>
  <c r="DB78" i="9"/>
  <c r="CQ299" i="9"/>
  <c r="CQ312" i="9"/>
  <c r="CF57" i="9"/>
  <c r="CF33" i="9"/>
  <c r="CQ260" i="9"/>
  <c r="CQ25" i="9"/>
  <c r="CQ93" i="9"/>
  <c r="CQ186" i="9"/>
  <c r="BU211" i="9"/>
  <c r="BU357" i="9"/>
  <c r="BU23" i="9"/>
  <c r="BU352" i="9"/>
  <c r="DM189" i="9"/>
  <c r="CQ112" i="9"/>
  <c r="CQ207" i="9"/>
  <c r="EI95" i="9"/>
  <c r="CF215" i="9"/>
  <c r="CF375" i="9"/>
  <c r="R255" i="9"/>
  <c r="CQ200" i="9"/>
  <c r="CQ193" i="9"/>
  <c r="CQ275" i="9"/>
  <c r="CF297" i="9"/>
  <c r="DX721" i="9"/>
  <c r="CQ239" i="9"/>
  <c r="DM332" i="9"/>
  <c r="CQ406" i="9"/>
  <c r="CQ456" i="9"/>
  <c r="EI54" i="9"/>
  <c r="CQ70" i="9"/>
  <c r="BU384" i="9"/>
  <c r="BU213" i="9"/>
  <c r="R238" i="9"/>
  <c r="CQ76" i="9"/>
  <c r="BJ88" i="9"/>
  <c r="DB149" i="9"/>
  <c r="BU105" i="9"/>
  <c r="DM278" i="9"/>
  <c r="CQ499" i="9"/>
  <c r="CF259" i="9"/>
  <c r="AN326" i="9"/>
  <c r="DX614" i="9"/>
  <c r="CQ532" i="9"/>
  <c r="EI90" i="9"/>
  <c r="DB110" i="9"/>
  <c r="CF338" i="9"/>
  <c r="CQ296" i="9"/>
  <c r="CQ30" i="9"/>
  <c r="BJ176" i="9"/>
  <c r="DB51" i="9"/>
  <c r="DX305" i="9"/>
  <c r="DM316" i="9"/>
  <c r="BU134" i="9"/>
  <c r="R235" i="9"/>
  <c r="CQ375" i="9"/>
  <c r="CQ51" i="9"/>
  <c r="CQ202" i="9"/>
  <c r="CQ98" i="9"/>
  <c r="BU42" i="9"/>
  <c r="CQ424" i="9"/>
  <c r="AY62" i="9"/>
  <c r="DX237" i="9"/>
  <c r="DX252" i="9"/>
  <c r="CQ165" i="9"/>
  <c r="DB181" i="9"/>
  <c r="DX126" i="9"/>
  <c r="DM99" i="9"/>
  <c r="CQ368" i="9"/>
  <c r="DX79" i="9"/>
  <c r="CF370" i="9"/>
  <c r="CQ479" i="9"/>
  <c r="CF348" i="9"/>
  <c r="CQ201" i="9"/>
  <c r="BJ180" i="9"/>
  <c r="DM62" i="9"/>
  <c r="CQ185" i="9"/>
  <c r="CQ87" i="9"/>
  <c r="DX94" i="9"/>
  <c r="EI38" i="9"/>
  <c r="DM217" i="9"/>
  <c r="BU110" i="9"/>
  <c r="BU130" i="9"/>
  <c r="DM234" i="9"/>
  <c r="DB129" i="9"/>
  <c r="CQ411" i="9"/>
  <c r="CQ473" i="9"/>
  <c r="CF282" i="9"/>
  <c r="CQ304" i="9"/>
  <c r="DX514" i="9"/>
  <c r="G582" i="9"/>
  <c r="CQ258" i="9"/>
  <c r="CQ495" i="9"/>
  <c r="CQ316" i="9"/>
  <c r="BU127" i="9"/>
  <c r="CQ247" i="9"/>
  <c r="DM322" i="9"/>
  <c r="DM88" i="9"/>
  <c r="DM29" i="9"/>
  <c r="CQ190" i="9"/>
  <c r="CF44" i="9"/>
  <c r="CQ459" i="9"/>
  <c r="CQ328" i="9"/>
  <c r="BU246" i="9"/>
  <c r="CQ137" i="9"/>
  <c r="BJ24" i="9"/>
  <c r="BU377" i="9"/>
  <c r="DB104" i="9"/>
  <c r="CQ66" i="9"/>
  <c r="BU59" i="9"/>
  <c r="DX489" i="9"/>
  <c r="CQ605" i="9"/>
  <c r="CF115" i="9"/>
  <c r="DM273" i="9"/>
  <c r="DB214" i="9"/>
  <c r="DX603" i="9"/>
  <c r="DB76" i="9"/>
  <c r="CQ59" i="9"/>
  <c r="BJ179" i="9"/>
  <c r="CF169" i="9"/>
  <c r="DX417" i="9"/>
  <c r="EI53" i="9"/>
  <c r="DX469" i="9"/>
  <c r="DB85" i="9"/>
  <c r="DB145" i="9"/>
  <c r="DM130" i="9"/>
  <c r="DX452" i="9"/>
  <c r="DB186" i="9"/>
  <c r="DX304" i="9"/>
  <c r="DM194" i="9"/>
  <c r="DX741" i="9"/>
  <c r="DX528" i="9"/>
  <c r="CQ355" i="9"/>
  <c r="DX739" i="9"/>
  <c r="EI80" i="9"/>
  <c r="DM230" i="9"/>
  <c r="DM225" i="9"/>
  <c r="BU75" i="9"/>
  <c r="CQ482" i="9"/>
  <c r="DX380" i="9"/>
  <c r="DX37" i="9"/>
  <c r="CQ475" i="9"/>
  <c r="R164" i="9"/>
  <c r="BU141" i="9"/>
  <c r="DB88" i="9"/>
  <c r="DM140" i="9"/>
  <c r="DB61" i="9"/>
  <c r="DM310" i="9"/>
  <c r="R240" i="9"/>
  <c r="CQ259" i="9"/>
  <c r="DX673" i="9"/>
  <c r="DX137" i="9"/>
  <c r="CQ587" i="9"/>
  <c r="DB82" i="9"/>
  <c r="DX384" i="9"/>
  <c r="CQ557" i="9"/>
  <c r="DB208" i="9"/>
  <c r="DB178" i="9"/>
  <c r="DB211" i="9"/>
  <c r="DX466" i="9"/>
  <c r="DX276" i="9"/>
  <c r="DX93" i="9"/>
  <c r="EI144" i="9"/>
  <c r="DX712" i="9"/>
  <c r="DB170" i="9"/>
  <c r="EI42" i="9"/>
  <c r="DX27" i="9"/>
  <c r="DX756" i="9"/>
  <c r="DX275" i="9"/>
  <c r="DX485" i="9"/>
  <c r="EI125" i="9"/>
  <c r="R254" i="9"/>
  <c r="DB148" i="9"/>
  <c r="DX637" i="9"/>
  <c r="EI34" i="9"/>
  <c r="DM258" i="9"/>
  <c r="DX478" i="9"/>
  <c r="DB173" i="9"/>
  <c r="DB227" i="9"/>
  <c r="DX24" i="9"/>
  <c r="CQ395" i="9"/>
  <c r="DX664" i="9"/>
  <c r="DX520" i="9"/>
  <c r="DX286" i="9"/>
  <c r="DM213" i="9"/>
  <c r="CF344" i="9"/>
  <c r="DM124" i="9"/>
  <c r="DX570" i="9"/>
  <c r="EI25" i="9"/>
  <c r="DM89" i="9"/>
  <c r="DB175" i="9"/>
  <c r="CQ417" i="9"/>
  <c r="DX290" i="9"/>
  <c r="DM166" i="9"/>
  <c r="DM284" i="9"/>
  <c r="CQ164" i="9"/>
  <c r="DB30" i="9"/>
  <c r="DB58" i="9"/>
  <c r="DX385" i="9"/>
  <c r="DX718" i="9"/>
  <c r="CQ387" i="9"/>
  <c r="CQ516" i="9"/>
  <c r="EI35" i="9"/>
  <c r="EI108" i="9"/>
  <c r="CQ195" i="9"/>
  <c r="DM175" i="9"/>
  <c r="CQ129" i="9"/>
  <c r="DM74" i="9"/>
  <c r="CQ273" i="9"/>
  <c r="DM165" i="9"/>
  <c r="DX333" i="9"/>
  <c r="DB38" i="9"/>
  <c r="EI36" i="9"/>
  <c r="DX746" i="9"/>
  <c r="DB228" i="9"/>
  <c r="DB124" i="9"/>
  <c r="CQ303" i="9"/>
  <c r="CQ228" i="9"/>
  <c r="EI39" i="9"/>
  <c r="DM280" i="9"/>
  <c r="DM210" i="9"/>
  <c r="DX45" i="9"/>
  <c r="DX307" i="9"/>
  <c r="DX299" i="9"/>
  <c r="DX222" i="9"/>
  <c r="DX668" i="9"/>
  <c r="DM259" i="9"/>
  <c r="DX83" i="9"/>
  <c r="CF352" i="9"/>
  <c r="DB152" i="9"/>
  <c r="DB192" i="9"/>
  <c r="CQ521" i="9"/>
  <c r="DX229" i="9"/>
  <c r="CQ41" i="9"/>
  <c r="DX575" i="9"/>
  <c r="DX46" i="9"/>
  <c r="DM78" i="9"/>
  <c r="DX265" i="9"/>
  <c r="DX172" i="9"/>
  <c r="CQ191" i="9"/>
  <c r="DB234" i="9"/>
  <c r="DM254" i="9"/>
  <c r="DM136" i="9"/>
  <c r="R181" i="9"/>
  <c r="CQ388" i="9"/>
  <c r="DM312" i="9"/>
  <c r="DX713" i="9"/>
  <c r="DB240" i="9"/>
  <c r="DB96" i="9"/>
  <c r="DM69" i="9"/>
  <c r="DB37" i="9"/>
  <c r="DM236" i="9"/>
  <c r="DM85" i="9"/>
  <c r="EI91" i="9"/>
  <c r="DM42" i="9"/>
  <c r="DX198" i="9"/>
  <c r="DM266" i="9"/>
  <c r="DM271" i="9"/>
  <c r="EI153" i="9"/>
  <c r="DB27" i="9"/>
  <c r="EI152" i="9"/>
  <c r="DM196" i="9"/>
  <c r="CQ370" i="9"/>
  <c r="EI105" i="9"/>
  <c r="DB106" i="9"/>
  <c r="DX725" i="9"/>
  <c r="DM138" i="9"/>
  <c r="CQ554" i="9"/>
  <c r="DX56" i="9"/>
  <c r="DX270" i="9"/>
  <c r="DM324" i="9"/>
  <c r="DX433" i="9"/>
  <c r="CF55" i="9"/>
  <c r="DX393" i="9"/>
  <c r="DX438" i="9"/>
  <c r="DM320" i="9"/>
  <c r="DX661" i="9"/>
  <c r="CQ184" i="9"/>
  <c r="DM150" i="9"/>
  <c r="DX82" i="9"/>
  <c r="DM134" i="9"/>
  <c r="CQ204" i="9"/>
  <c r="DX103" i="9"/>
  <c r="DB132" i="9"/>
  <c r="DX696" i="9"/>
  <c r="DX34" i="9"/>
  <c r="DM204" i="9"/>
  <c r="CQ293" i="9"/>
  <c r="EI148" i="9"/>
  <c r="CQ279" i="9"/>
  <c r="DX418" i="9"/>
  <c r="DX330" i="9"/>
  <c r="DX523" i="9"/>
  <c r="DX226" i="9"/>
  <c r="DX733" i="9"/>
  <c r="DM287" i="9"/>
  <c r="EI48" i="9"/>
  <c r="DX334" i="9"/>
  <c r="DX396" i="9"/>
  <c r="DM51" i="9"/>
  <c r="CQ589" i="9"/>
  <c r="DB219" i="9"/>
  <c r="CQ242" i="9"/>
  <c r="DM212" i="9"/>
  <c r="CQ585" i="9"/>
  <c r="DB168" i="9"/>
  <c r="DB119" i="9"/>
  <c r="CQ461" i="9"/>
  <c r="DB122" i="9"/>
  <c r="DB120" i="9"/>
  <c r="CF307" i="9"/>
  <c r="CQ494" i="9"/>
  <c r="DX278" i="9"/>
  <c r="CQ230" i="9"/>
  <c r="DM152" i="9"/>
  <c r="DM218" i="9"/>
  <c r="CQ233" i="9"/>
  <c r="DX318" i="9"/>
  <c r="DB239" i="9"/>
  <c r="DX476" i="9"/>
  <c r="DB248" i="9"/>
  <c r="EI51" i="9"/>
  <c r="CQ285" i="9"/>
  <c r="CQ310" i="9"/>
  <c r="CQ404" i="9"/>
  <c r="DB143" i="9"/>
  <c r="DM114" i="9"/>
  <c r="DX321" i="9"/>
  <c r="DB59" i="9"/>
  <c r="EI27" i="9"/>
  <c r="DB189" i="9"/>
  <c r="DX394" i="9"/>
  <c r="DX114" i="9"/>
  <c r="DM241" i="9"/>
  <c r="CQ514" i="9"/>
  <c r="DB92" i="9"/>
  <c r="DX604" i="9"/>
  <c r="DM92" i="9"/>
  <c r="DX474" i="9"/>
  <c r="DX300" i="9"/>
  <c r="DX193" i="9"/>
  <c r="CQ393" i="9"/>
  <c r="CF236" i="9"/>
  <c r="BU248" i="9"/>
  <c r="DM222" i="9"/>
  <c r="CQ169" i="9"/>
  <c r="DM37" i="9"/>
  <c r="DM27" i="9"/>
  <c r="DB231" i="9"/>
  <c r="EI70" i="9"/>
  <c r="DM84" i="9"/>
  <c r="DX606" i="9"/>
  <c r="DX624" i="9"/>
  <c r="DB47" i="9"/>
  <c r="EI57" i="9"/>
  <c r="CQ342" i="9"/>
  <c r="DM290" i="9"/>
  <c r="DM25" i="9"/>
  <c r="CQ611" i="9"/>
  <c r="DB89" i="9"/>
  <c r="DM211" i="9"/>
  <c r="DM139" i="9"/>
  <c r="CF199" i="9"/>
  <c r="R176" i="9"/>
  <c r="DX410" i="9"/>
  <c r="DM243" i="9"/>
  <c r="DM128" i="9"/>
  <c r="R159" i="9"/>
  <c r="EI130" i="9"/>
  <c r="DX90" i="9"/>
  <c r="CQ354" i="9"/>
  <c r="EI122" i="9"/>
  <c r="DM161" i="9"/>
  <c r="DM125" i="9"/>
  <c r="DB176" i="9"/>
  <c r="EI116" i="9"/>
  <c r="CQ284" i="9"/>
  <c r="DX197" i="9"/>
  <c r="DM149" i="9"/>
  <c r="DX691" i="9"/>
  <c r="DX236" i="9"/>
  <c r="CQ629" i="9"/>
  <c r="DX602" i="9"/>
  <c r="EI29" i="9"/>
  <c r="DX429" i="9"/>
  <c r="CQ623" i="9"/>
  <c r="DB171" i="9"/>
  <c r="DM151" i="9"/>
  <c r="EI45" i="9"/>
  <c r="DB87" i="9"/>
  <c r="CQ435" i="9"/>
  <c r="DX565" i="9"/>
  <c r="DX192" i="9"/>
  <c r="DM281" i="9"/>
  <c r="CQ88" i="9"/>
  <c r="DM301" i="9"/>
  <c r="EI115" i="9"/>
  <c r="CQ33" i="9"/>
  <c r="DX547" i="9"/>
  <c r="DM288" i="9"/>
  <c r="DX503" i="9"/>
  <c r="DX504" i="9"/>
  <c r="CF185" i="9"/>
  <c r="CQ110" i="9"/>
  <c r="DM64" i="9"/>
  <c r="CF52" i="9"/>
  <c r="R153" i="9"/>
  <c r="CF47" i="9"/>
  <c r="CQ325" i="9"/>
  <c r="CQ103" i="9"/>
  <c r="DX230" i="9"/>
  <c r="CQ615" i="9"/>
  <c r="DB54" i="9"/>
  <c r="DX635" i="9"/>
  <c r="DX406" i="9"/>
  <c r="EI133" i="9"/>
  <c r="EI135" i="9"/>
  <c r="DX441" i="9"/>
  <c r="EI139" i="9"/>
  <c r="DB71" i="9"/>
  <c r="DB100" i="9"/>
  <c r="DM159" i="9"/>
  <c r="EI89" i="9"/>
  <c r="DM282" i="9"/>
  <c r="CQ352" i="9"/>
  <c r="CF283" i="9"/>
  <c r="DM251" i="9"/>
  <c r="DX98" i="9"/>
  <c r="DM319" i="9"/>
  <c r="DM187" i="9"/>
  <c r="DX344" i="9"/>
  <c r="R206" i="9"/>
  <c r="CQ223" i="9"/>
  <c r="DM160" i="9"/>
  <c r="DM300" i="9"/>
  <c r="DB136" i="9"/>
  <c r="CQ335" i="9"/>
  <c r="DX704" i="9"/>
  <c r="CQ597" i="9"/>
  <c r="CQ159" i="9"/>
  <c r="CF64" i="9"/>
  <c r="CQ582" i="9"/>
  <c r="DB41" i="9"/>
  <c r="DM30" i="9"/>
  <c r="DX688" i="9"/>
  <c r="CQ79" i="9"/>
  <c r="DX502" i="9"/>
  <c r="DX67" i="9"/>
  <c r="DM302" i="9"/>
  <c r="DX57" i="9"/>
  <c r="CQ399" i="9"/>
  <c r="DX643" i="9"/>
  <c r="DX388" i="9"/>
  <c r="CQ604" i="9"/>
  <c r="DM47" i="9"/>
  <c r="DX663" i="9"/>
  <c r="DB193" i="9"/>
  <c r="DX669" i="9"/>
  <c r="CQ536" i="9"/>
  <c r="CQ90" i="9"/>
  <c r="CQ602" i="9"/>
  <c r="CQ445" i="9"/>
  <c r="DM314" i="9"/>
  <c r="CQ205" i="9"/>
  <c r="R146" i="9"/>
  <c r="DX717" i="9"/>
  <c r="DM285" i="9"/>
  <c r="DB83" i="9"/>
  <c r="DX351" i="9"/>
  <c r="DB202" i="9"/>
  <c r="DM104" i="9"/>
  <c r="R257" i="9"/>
  <c r="DX358" i="9"/>
  <c r="DX313" i="9"/>
  <c r="DB210" i="9"/>
  <c r="DB24" i="9"/>
  <c r="CQ194" i="9"/>
  <c r="DX748" i="9"/>
  <c r="DX297" i="9"/>
  <c r="DX526" i="9"/>
  <c r="DM294" i="9"/>
  <c r="DM23" i="9"/>
  <c r="DX154" i="9"/>
  <c r="DX564" i="9"/>
  <c r="CQ588" i="9"/>
  <c r="CQ591" i="9"/>
  <c r="DX261" i="9"/>
  <c r="CQ586" i="9"/>
  <c r="DX260" i="9"/>
  <c r="DB185" i="9"/>
  <c r="DX752" i="9"/>
  <c r="DX22" i="9"/>
  <c r="DM228" i="9"/>
  <c r="CQ389" i="9"/>
  <c r="R169" i="9"/>
  <c r="EI121" i="9"/>
  <c r="DM328" i="9"/>
  <c r="DB45" i="9"/>
  <c r="DM82" i="9"/>
  <c r="CQ291" i="9"/>
  <c r="DM121" i="9"/>
  <c r="CQ444" i="9"/>
  <c r="DB79" i="9"/>
  <c r="DM105" i="9"/>
  <c r="DB184" i="9"/>
  <c r="CQ527" i="9"/>
  <c r="DM307" i="9"/>
  <c r="DM123" i="9"/>
  <c r="DM48" i="9"/>
  <c r="DX714" i="9"/>
  <c r="DX698" i="9"/>
  <c r="DX272" i="9"/>
  <c r="DX690" i="9"/>
  <c r="CF214" i="9"/>
  <c r="CQ173" i="9"/>
  <c r="DX561" i="9"/>
  <c r="EI82" i="9"/>
  <c r="DX292" i="9"/>
  <c r="CQ277" i="9"/>
  <c r="DX707" i="9"/>
  <c r="DX402" i="9"/>
  <c r="DX373" i="9"/>
  <c r="DB68" i="9"/>
  <c r="BU128" i="9"/>
  <c r="EI86" i="9"/>
  <c r="DM308" i="9"/>
  <c r="DB32" i="9"/>
  <c r="CQ408" i="9"/>
  <c r="DX735" i="9"/>
  <c r="EI64" i="9"/>
  <c r="DX656" i="9"/>
  <c r="DX175" i="9"/>
  <c r="DM277" i="9"/>
  <c r="DB216" i="9"/>
  <c r="DM268" i="9"/>
  <c r="EI77" i="9"/>
  <c r="EI132" i="9"/>
  <c r="DM60" i="9"/>
  <c r="DX662" i="9"/>
  <c r="CF108" i="9"/>
  <c r="CQ208" i="9"/>
  <c r="DB108" i="9"/>
  <c r="CQ73" i="9"/>
  <c r="DX534" i="9"/>
  <c r="DM173" i="9"/>
  <c r="CQ232" i="9"/>
  <c r="CQ359" i="9"/>
  <c r="CF312" i="9"/>
  <c r="DX185" i="9"/>
  <c r="DX38" i="9"/>
  <c r="DX166" i="9"/>
  <c r="DB230" i="9"/>
  <c r="DM329" i="9"/>
  <c r="DX510" i="9"/>
  <c r="DX545" i="9"/>
  <c r="DX409" i="9"/>
  <c r="DX522" i="9"/>
  <c r="CQ106" i="9"/>
  <c r="CQ119" i="9"/>
  <c r="DM269" i="9"/>
  <c r="DX616" i="9"/>
  <c r="DB49" i="9"/>
  <c r="CQ553" i="9"/>
  <c r="DM323" i="9"/>
  <c r="DX451" i="9"/>
  <c r="DB155" i="9"/>
  <c r="DX723" i="9"/>
  <c r="DX257" i="9"/>
  <c r="CQ496" i="9"/>
  <c r="DM315" i="9"/>
  <c r="DB113" i="9"/>
  <c r="DM221" i="9"/>
  <c r="CF170" i="9"/>
  <c r="EI66" i="9"/>
  <c r="DM100" i="9"/>
  <c r="DM98" i="9"/>
  <c r="DB172" i="9"/>
  <c r="DM112" i="9"/>
  <c r="DX251" i="9"/>
  <c r="BU340" i="9"/>
  <c r="CQ326" i="9"/>
  <c r="CF37" i="9"/>
  <c r="CQ449" i="9"/>
  <c r="CF97" i="9"/>
  <c r="CQ34" i="9"/>
  <c r="EI33" i="9"/>
  <c r="EI98" i="9"/>
  <c r="CQ544" i="9"/>
  <c r="CF270" i="9"/>
  <c r="CQ420" i="9"/>
  <c r="DX644" i="9"/>
  <c r="CF120" i="9"/>
  <c r="DX652" i="9"/>
  <c r="DX719" i="9"/>
  <c r="CQ109" i="9"/>
  <c r="CQ130" i="9"/>
  <c r="EI124" i="9"/>
  <c r="DX310" i="9"/>
  <c r="DB179" i="9"/>
  <c r="CQ548" i="9"/>
  <c r="DX243" i="9"/>
  <c r="DB43" i="9"/>
  <c r="DX736" i="9"/>
  <c r="DX491" i="9"/>
  <c r="CQ321" i="9"/>
  <c r="CQ484" i="9"/>
  <c r="CQ23" i="9"/>
  <c r="DX641" i="9"/>
  <c r="DB236" i="9"/>
  <c r="DX140" i="9"/>
  <c r="DM253" i="9"/>
  <c r="DB102" i="9"/>
  <c r="DM101" i="9"/>
  <c r="DX41" i="9"/>
  <c r="DM116" i="9"/>
  <c r="DX155" i="9"/>
  <c r="DX235" i="9"/>
  <c r="CQ448" i="9"/>
  <c r="CQ37" i="9"/>
  <c r="DX263" i="9"/>
  <c r="EI157" i="9"/>
  <c r="DM330" i="9"/>
  <c r="DM252" i="9"/>
  <c r="EI117" i="9"/>
  <c r="CQ167" i="9"/>
  <c r="DX255" i="9"/>
  <c r="DM54" i="9"/>
  <c r="DM102" i="9"/>
  <c r="CQ333" i="9"/>
  <c r="CQ317" i="9"/>
  <c r="DX74" i="9"/>
  <c r="DB217" i="9"/>
  <c r="DM26" i="9"/>
  <c r="DX519" i="9"/>
  <c r="DX454" i="9"/>
  <c r="BU143" i="9"/>
  <c r="CF175" i="9"/>
  <c r="CQ168" i="9"/>
  <c r="CQ432" i="9"/>
  <c r="BU233" i="9"/>
  <c r="EI109" i="9"/>
  <c r="CF332" i="9"/>
  <c r="CQ209" i="9"/>
  <c r="CQ603" i="9"/>
  <c r="DB44" i="9"/>
  <c r="DM182" i="9"/>
  <c r="CQ42" i="9"/>
  <c r="DM111" i="9"/>
  <c r="CQ450" i="9"/>
  <c r="CQ413" i="9"/>
  <c r="CQ210" i="9"/>
  <c r="CQ569" i="9"/>
  <c r="EI128" i="9"/>
  <c r="CQ224" i="9"/>
  <c r="DM132" i="9"/>
  <c r="DM267" i="9"/>
  <c r="CQ470" i="9"/>
  <c r="DM118" i="9"/>
  <c r="DX291" i="9"/>
  <c r="DM186" i="9"/>
  <c r="DM143" i="9"/>
  <c r="DB29" i="9"/>
  <c r="DM107" i="9"/>
  <c r="DB206" i="9"/>
  <c r="CQ362" i="9"/>
  <c r="DX434" i="9"/>
  <c r="DB195" i="9"/>
  <c r="DM203" i="9"/>
  <c r="CQ472" i="9"/>
  <c r="EI94" i="9"/>
  <c r="DX386" i="9"/>
  <c r="CQ547" i="9"/>
  <c r="DX495" i="9"/>
  <c r="DM70" i="9"/>
  <c r="DM283" i="9"/>
  <c r="DX136" i="9"/>
  <c r="EI96" i="9"/>
  <c r="CQ551" i="9"/>
  <c r="DX460" i="9"/>
  <c r="CQ573" i="9"/>
  <c r="CF99" i="9"/>
  <c r="DX187" i="9"/>
  <c r="DB225" i="9"/>
  <c r="DX68" i="9"/>
  <c r="DB107" i="9"/>
  <c r="DX186" i="9"/>
  <c r="DB111" i="9"/>
  <c r="DM327" i="9"/>
  <c r="DX219" i="9"/>
  <c r="DX705" i="9"/>
  <c r="DX724" i="9"/>
  <c r="DX566" i="9"/>
  <c r="CQ452" i="9"/>
  <c r="DB165" i="9"/>
  <c r="DX194" i="9"/>
  <c r="DX680" i="9"/>
  <c r="DM79" i="9"/>
  <c r="CQ308" i="9"/>
  <c r="DX544" i="9"/>
  <c r="DX414" i="9"/>
  <c r="DM242" i="9"/>
  <c r="DM81" i="9"/>
  <c r="DM197" i="9"/>
  <c r="DM293" i="9"/>
  <c r="DX285" i="9"/>
  <c r="CQ107" i="9"/>
  <c r="R253" i="9"/>
  <c r="DX387" i="9"/>
  <c r="EI69" i="9"/>
  <c r="DM122" i="9"/>
  <c r="CQ117" i="9"/>
  <c r="EI67" i="9"/>
  <c r="EI160" i="9"/>
  <c r="CF347" i="9"/>
  <c r="DX259" i="9"/>
  <c r="DX416" i="9"/>
  <c r="DM36" i="9"/>
  <c r="DX262" i="9"/>
  <c r="DX727" i="9"/>
  <c r="CQ426" i="9"/>
  <c r="DB103" i="9"/>
  <c r="EI78" i="9"/>
  <c r="DB94" i="9"/>
  <c r="DX533" i="9"/>
  <c r="CQ579" i="9"/>
  <c r="DB177" i="9"/>
  <c r="DB74" i="9"/>
  <c r="DX615" i="9"/>
  <c r="DX745" i="9"/>
  <c r="DM214" i="9"/>
  <c r="EI49" i="9"/>
  <c r="DM24" i="9"/>
  <c r="CQ357" i="9"/>
  <c r="DX328" i="9"/>
  <c r="DX657" i="9"/>
  <c r="DM224" i="9"/>
  <c r="DB25" i="9"/>
  <c r="DX336" i="9"/>
  <c r="DB201" i="9"/>
  <c r="DB215" i="9"/>
  <c r="DX201" i="9"/>
  <c r="DX289" i="9"/>
  <c r="DX139" i="9"/>
  <c r="DX130" i="9"/>
  <c r="DX693" i="9"/>
  <c r="CQ99" i="9"/>
  <c r="DX224" i="9"/>
  <c r="DX390" i="9"/>
  <c r="DM299" i="9"/>
  <c r="DX181" i="9"/>
  <c r="DX524" i="9"/>
  <c r="DX653" i="9"/>
  <c r="DM52" i="9"/>
  <c r="DX340" i="9"/>
  <c r="DB134" i="9"/>
  <c r="CQ412" i="9"/>
  <c r="DM181" i="9"/>
  <c r="DX754" i="9"/>
  <c r="DB86" i="9"/>
  <c r="DX674" i="9"/>
  <c r="DX29" i="9"/>
  <c r="DX546" i="9"/>
  <c r="DX332" i="9"/>
  <c r="DB105" i="9"/>
  <c r="DX631" i="9"/>
  <c r="EI74" i="9"/>
  <c r="DX734" i="9"/>
  <c r="CQ526" i="9"/>
  <c r="DX428" i="9"/>
  <c r="DB164" i="9"/>
  <c r="DX577" i="9"/>
  <c r="DB212" i="9"/>
  <c r="DM35" i="9"/>
  <c r="DX135" i="9"/>
  <c r="DX58" i="9"/>
  <c r="DM46" i="9"/>
  <c r="DX487" i="9"/>
  <c r="DX157" i="9"/>
  <c r="DX685" i="9"/>
  <c r="DX366" i="9"/>
  <c r="DM39" i="9"/>
  <c r="DX314" i="9"/>
  <c r="DX221" i="9"/>
  <c r="DX397" i="9"/>
  <c r="DX168" i="9"/>
  <c r="DM274" i="9"/>
  <c r="DM195" i="9"/>
  <c r="DX453" i="9"/>
  <c r="DX92" i="9"/>
  <c r="DX195" i="9"/>
  <c r="DX80" i="9"/>
  <c r="DX461" i="9"/>
  <c r="DX667" i="9"/>
  <c r="DM206" i="9"/>
  <c r="DB158" i="9"/>
  <c r="DX757" i="9"/>
  <c r="DX217" i="9"/>
  <c r="DX250" i="9"/>
  <c r="DX572" i="9"/>
  <c r="DB118" i="9"/>
  <c r="DX239" i="9"/>
  <c r="DX740" i="9"/>
  <c r="DX479" i="9"/>
  <c r="DM296" i="9"/>
  <c r="DB166" i="9"/>
  <c r="DX732" i="9"/>
  <c r="DX162" i="9"/>
  <c r="DM184" i="9"/>
  <c r="DX555" i="9"/>
  <c r="DX655" i="9"/>
  <c r="DX458" i="9"/>
  <c r="DM311" i="9"/>
  <c r="DM66" i="9"/>
  <c r="DX280" i="9"/>
  <c r="DX282" i="9"/>
  <c r="DX145" i="9"/>
  <c r="DX315" i="9"/>
  <c r="DX381" i="9"/>
  <c r="EI79" i="9"/>
  <c r="DX569" i="9"/>
  <c r="DB169" i="9"/>
  <c r="DM40" i="9"/>
  <c r="DB150" i="9"/>
  <c r="DX619" i="9"/>
  <c r="DX464" i="9"/>
  <c r="DX488" i="9"/>
  <c r="DX525" i="9"/>
  <c r="DX456" i="9"/>
  <c r="DX244" i="9"/>
  <c r="EI63" i="9"/>
  <c r="DX516" i="9"/>
  <c r="DM207" i="9"/>
  <c r="DX463" i="9"/>
  <c r="R205" i="9"/>
  <c r="DX47" i="9"/>
  <c r="DB138" i="9"/>
  <c r="DX361" i="9"/>
  <c r="DX593" i="9"/>
  <c r="DX268" i="9"/>
  <c r="DX49" i="9"/>
  <c r="DX264" i="9"/>
  <c r="DX505" i="9"/>
  <c r="DB224" i="9"/>
  <c r="DX408" i="9"/>
  <c r="DX580" i="9"/>
  <c r="EI154" i="9"/>
  <c r="DX595" i="9"/>
  <c r="DX52" i="9"/>
  <c r="DX202" i="9"/>
  <c r="DX31" i="9"/>
  <c r="DM208" i="9"/>
  <c r="DX95" i="9"/>
  <c r="DX607" i="9"/>
  <c r="DX355" i="9"/>
  <c r="DB70" i="9"/>
  <c r="EI61" i="9"/>
  <c r="DX76" i="9"/>
  <c r="DX755" i="9"/>
  <c r="DX728" i="9"/>
  <c r="DX101" i="9"/>
  <c r="DM57" i="9"/>
  <c r="DX426" i="9"/>
  <c r="DX658" i="9"/>
  <c r="DX149" i="9"/>
  <c r="DB46" i="9"/>
  <c r="DB140" i="9"/>
  <c r="DX231" i="9"/>
  <c r="DX730" i="9"/>
  <c r="DM110" i="9"/>
  <c r="DX273" i="9"/>
  <c r="DX737" i="9"/>
  <c r="DX649" i="9"/>
  <c r="EI59" i="9"/>
  <c r="EI46" i="9"/>
  <c r="DX592" i="9"/>
  <c r="DX591" i="9"/>
  <c r="DX706" i="9"/>
  <c r="CQ537" i="9"/>
  <c r="DX65" i="9"/>
  <c r="DX543" i="9"/>
  <c r="EI142" i="9"/>
  <c r="DX338" i="9"/>
  <c r="DX368" i="9"/>
  <c r="DX415" i="9"/>
  <c r="DX639" i="9"/>
  <c r="DX311" i="9"/>
  <c r="EI32" i="9"/>
  <c r="DX112" i="9"/>
  <c r="DX71" i="9"/>
  <c r="DM141" i="9"/>
  <c r="DM172" i="9"/>
  <c r="DM200" i="9"/>
  <c r="CF271" i="9"/>
  <c r="DM133" i="9"/>
  <c r="DX245" i="9"/>
  <c r="DX398" i="9"/>
  <c r="DX720" i="9"/>
  <c r="DX177" i="9"/>
  <c r="CQ451" i="9"/>
  <c r="DX44" i="9"/>
  <c r="DX359" i="9"/>
  <c r="DX288" i="9"/>
  <c r="DX326" i="9"/>
  <c r="DX571" i="9"/>
  <c r="DX600" i="9"/>
  <c r="DB154" i="9"/>
  <c r="DX316" i="9"/>
  <c r="DX96" i="9"/>
  <c r="DX173" i="9"/>
  <c r="DX26" i="9"/>
  <c r="DB247" i="9"/>
  <c r="DX60" i="9"/>
  <c r="DX552" i="9"/>
  <c r="DX134" i="9"/>
  <c r="DB40" i="9"/>
  <c r="DX277" i="9"/>
  <c r="DX666" i="9"/>
  <c r="DM178" i="9"/>
  <c r="DB42" i="9"/>
  <c r="DX210" i="9"/>
  <c r="DX246" i="9"/>
  <c r="DX450" i="9"/>
  <c r="DX269" i="9"/>
  <c r="DB77" i="9"/>
  <c r="CQ572" i="9"/>
  <c r="DM32" i="9"/>
  <c r="DB127" i="9"/>
  <c r="DB197" i="9"/>
  <c r="DX62" i="9"/>
  <c r="CQ466" i="9"/>
  <c r="DB198" i="9"/>
  <c r="DX200" i="9"/>
  <c r="DX442" i="9"/>
  <c r="DX99" i="9"/>
  <c r="DX125" i="9"/>
  <c r="DX122" i="9"/>
  <c r="EI103" i="9"/>
  <c r="DX238" i="9"/>
  <c r="DX701" i="9"/>
  <c r="CQ612" i="9"/>
  <c r="DX115" i="9"/>
  <c r="DB31" i="9"/>
  <c r="DX471" i="9"/>
  <c r="EI106" i="9"/>
  <c r="DX413" i="9"/>
  <c r="DX538" i="9"/>
  <c r="DX30" i="9"/>
  <c r="CQ577" i="9"/>
  <c r="DM75" i="9"/>
  <c r="DX508" i="9"/>
  <c r="DX374" i="9"/>
  <c r="DX535" i="9"/>
  <c r="DB183" i="9"/>
  <c r="DX283" i="9"/>
  <c r="DX377" i="9"/>
  <c r="DX119" i="9"/>
  <c r="DX749" i="9"/>
  <c r="DX549" i="9"/>
  <c r="DX529" i="9"/>
  <c r="DM170" i="9"/>
  <c r="DX412" i="9"/>
  <c r="DB22" i="9"/>
  <c r="DX424" i="9"/>
  <c r="DB162" i="9"/>
  <c r="DX563" i="9"/>
  <c r="DX121" i="9"/>
  <c r="DX204" i="9"/>
  <c r="DM229" i="9"/>
  <c r="DX709" i="9"/>
  <c r="DX242" i="9"/>
  <c r="DB48" i="9"/>
  <c r="DX322" i="9"/>
  <c r="DX443" i="9"/>
  <c r="DX682" i="9"/>
  <c r="DX677" i="9"/>
  <c r="DX665" i="9"/>
  <c r="DM250" i="9"/>
  <c r="DM33" i="9"/>
  <c r="EI65" i="9"/>
  <c r="DX422" i="9"/>
  <c r="EI140" i="9"/>
  <c r="EI137" i="9"/>
  <c r="DM31" i="9"/>
  <c r="DX507" i="9"/>
  <c r="R160" i="9"/>
  <c r="DM265" i="9"/>
  <c r="CQ54" i="9"/>
  <c r="DX220" i="9"/>
  <c r="DX678" i="9"/>
  <c r="DX468" i="9"/>
  <c r="DX100" i="9"/>
  <c r="DB130" i="9"/>
  <c r="CQ503" i="9"/>
  <c r="DX401" i="9"/>
  <c r="DX350" i="9"/>
  <c r="DX133" i="9"/>
  <c r="DX540" i="9"/>
  <c r="DX61" i="9"/>
  <c r="DX601" i="9"/>
  <c r="DX78" i="9"/>
  <c r="DX475" i="9"/>
  <c r="DB35" i="9"/>
  <c r="EI146" i="9"/>
  <c r="DB223" i="9"/>
  <c r="DX54" i="9"/>
  <c r="DX364" i="9"/>
  <c r="DX431" i="9"/>
  <c r="DX731" i="9"/>
  <c r="DX697" i="9"/>
  <c r="DX568" i="9"/>
  <c r="DX670" i="9"/>
  <c r="DX554" i="9"/>
  <c r="DX296" i="9"/>
  <c r="DB242" i="9"/>
  <c r="DX699" i="9"/>
  <c r="DX301" i="9"/>
  <c r="DX440" i="9"/>
  <c r="DX687" i="9"/>
  <c r="DX89" i="9"/>
  <c r="DX599" i="9"/>
  <c r="DX645" i="9"/>
  <c r="DX308" i="9"/>
  <c r="DX672" i="9"/>
  <c r="DX610" i="9"/>
  <c r="DX69" i="9"/>
  <c r="DX233" i="9"/>
  <c r="DX294" i="9"/>
  <c r="DX63" i="9"/>
  <c r="DX557" i="9"/>
  <c r="DX430" i="9"/>
  <c r="DX446" i="9"/>
  <c r="DX48" i="9"/>
  <c r="DX271" i="9"/>
  <c r="DX66" i="9"/>
  <c r="DB237" i="9"/>
  <c r="DX167" i="9"/>
  <c r="DX498" i="9"/>
  <c r="DX472" i="9"/>
  <c r="DX710" i="9"/>
  <c r="EI83" i="9"/>
  <c r="CQ307" i="9"/>
  <c r="DX148" i="9"/>
  <c r="DB207" i="9"/>
  <c r="DX392" i="9"/>
  <c r="DB67" i="9"/>
  <c r="DX40" i="9"/>
  <c r="DX367" i="9"/>
  <c r="DX85" i="9"/>
  <c r="DX131" i="9"/>
  <c r="DM63" i="9"/>
  <c r="DX399" i="9"/>
  <c r="CQ301" i="9"/>
  <c r="DB98" i="9"/>
  <c r="DX411" i="9"/>
  <c r="DX357" i="9"/>
  <c r="DX576" i="9"/>
  <c r="DB141" i="9"/>
  <c r="DX613" i="9"/>
  <c r="DX123" i="9"/>
  <c r="DX360" i="9"/>
  <c r="DX165" i="9"/>
  <c r="DB133" i="9"/>
  <c r="DX506" i="9"/>
  <c r="DX494" i="9"/>
  <c r="DX378" i="9"/>
  <c r="DX109" i="9"/>
  <c r="EI100" i="9"/>
  <c r="DX97" i="9"/>
  <c r="DB160" i="9"/>
  <c r="DX500" i="9"/>
  <c r="DX589" i="9"/>
  <c r="DX708" i="9"/>
  <c r="DX419" i="9"/>
  <c r="DX509" i="9"/>
  <c r="CQ574" i="9"/>
  <c r="DX55" i="9"/>
  <c r="DX120" i="9"/>
  <c r="DX559" i="9"/>
  <c r="DX39" i="9"/>
  <c r="DX183" i="9"/>
  <c r="DX36" i="9"/>
  <c r="CQ80" i="9"/>
  <c r="DB232" i="9"/>
  <c r="DX684" i="9"/>
  <c r="DX118" i="9"/>
  <c r="DX590" i="9"/>
  <c r="DX281" i="9"/>
  <c r="DX439" i="9"/>
  <c r="EI156" i="9"/>
  <c r="DX104" i="9"/>
  <c r="EI110" i="9"/>
  <c r="DX711" i="9"/>
  <c r="DX536" i="9"/>
  <c r="DX618" i="9"/>
  <c r="DX371" i="9"/>
  <c r="DX407" i="9"/>
  <c r="DX620" i="9"/>
  <c r="DX191" i="9"/>
  <c r="DM83" i="9"/>
  <c r="EI159" i="9"/>
  <c r="DX207" i="9"/>
  <c r="DX241" i="9"/>
  <c r="DX312" i="9"/>
  <c r="DX164" i="9"/>
  <c r="DM233" i="9"/>
  <c r="DX129" i="9"/>
  <c r="DX722" i="9"/>
  <c r="DX211" i="9"/>
  <c r="CF174" i="9"/>
  <c r="DX683" i="9"/>
  <c r="DB69" i="9"/>
  <c r="DM239" i="9"/>
  <c r="DX587" i="9"/>
  <c r="DM97" i="9"/>
  <c r="DX753" i="9"/>
  <c r="DM262" i="9"/>
  <c r="DB243" i="9"/>
  <c r="DM45" i="9"/>
  <c r="DX365" i="9"/>
  <c r="DX573" i="9"/>
  <c r="DX124" i="9"/>
  <c r="DX435" i="9"/>
  <c r="DX176" i="9"/>
  <c r="DX72" i="9"/>
  <c r="DX449" i="9"/>
  <c r="DM55" i="9"/>
  <c r="DX87" i="9"/>
  <c r="DX501" i="9"/>
  <c r="DX462" i="9"/>
  <c r="EI102" i="9"/>
  <c r="DX638" i="9"/>
  <c r="DX511" i="9"/>
  <c r="EI52" i="9"/>
  <c r="EI127" i="9"/>
  <c r="DB221" i="9"/>
  <c r="DX209" i="9"/>
  <c r="DX742" i="9"/>
  <c r="DX640" i="9"/>
  <c r="DM304" i="9"/>
  <c r="EI129" i="9"/>
  <c r="DX346" i="9"/>
  <c r="DX598" i="9"/>
  <c r="DX274" i="9"/>
  <c r="DX556" i="9"/>
  <c r="DM77" i="9"/>
  <c r="DX228" i="9"/>
  <c r="DX138" i="9"/>
  <c r="DX400" i="9"/>
  <c r="DX205" i="9"/>
  <c r="DX208" i="9"/>
  <c r="DM318" i="9"/>
  <c r="DX216" i="9"/>
  <c r="DX676" i="9"/>
  <c r="DM91" i="9"/>
  <c r="DX174" i="9"/>
  <c r="DX352" i="9"/>
  <c r="DX345" i="9"/>
  <c r="DX726" i="9"/>
  <c r="DX182" i="9"/>
  <c r="DX550" i="9"/>
  <c r="DX111" i="9"/>
  <c r="EI138" i="9"/>
  <c r="DX527" i="9"/>
  <c r="DX605" i="9"/>
  <c r="DB182" i="9"/>
  <c r="EI99" i="9"/>
  <c r="DX320" i="9"/>
  <c r="DX588" i="9"/>
  <c r="DX306" i="9"/>
  <c r="DX116" i="9"/>
  <c r="DX179" i="9"/>
  <c r="DX404" i="9"/>
  <c r="DX448" i="9"/>
  <c r="EI72" i="9"/>
  <c r="DX512" i="9"/>
  <c r="DX423" i="9"/>
  <c r="CQ324" i="9"/>
  <c r="DM198" i="9"/>
  <c r="DX212" i="9"/>
  <c r="DX582" i="9"/>
  <c r="CQ509" i="9"/>
  <c r="DX383" i="9"/>
  <c r="DX659" i="9"/>
  <c r="DX467" i="9"/>
  <c r="DX686" i="9"/>
  <c r="DX70" i="9"/>
  <c r="DX702" i="9"/>
  <c r="DX42" i="9"/>
  <c r="DX240" i="9"/>
  <c r="DX447" i="9"/>
  <c r="DX497" i="9"/>
  <c r="DB244" i="9"/>
  <c r="DX232" i="9"/>
  <c r="DX567" i="9"/>
  <c r="DX163" i="9"/>
  <c r="EI43" i="9"/>
  <c r="DM326" i="9"/>
  <c r="DX349" i="9"/>
  <c r="DX642" i="9"/>
  <c r="EI111" i="9"/>
  <c r="DX671" i="9"/>
  <c r="DX594" i="9"/>
  <c r="DB238" i="9"/>
  <c r="DX295" i="9"/>
  <c r="CQ441" i="9"/>
  <c r="DX375" i="9"/>
  <c r="DX743" i="9"/>
  <c r="CQ556" i="9"/>
  <c r="EI97" i="9"/>
  <c r="DX159" i="9"/>
  <c r="DX203" i="9"/>
  <c r="DX158" i="9"/>
  <c r="DX480" i="9"/>
  <c r="DX513" i="9"/>
  <c r="DX493" i="9"/>
  <c r="DX298" i="9"/>
  <c r="DX403" i="9"/>
  <c r="DX266" i="9"/>
  <c r="DX372" i="9"/>
  <c r="DX444" i="9"/>
  <c r="DX486" i="9"/>
  <c r="DX369" i="9"/>
  <c r="DX437" i="9"/>
  <c r="DX370" i="9"/>
  <c r="DX660" i="9"/>
  <c r="DX303" i="9"/>
  <c r="DX102" i="9"/>
  <c r="DX128" i="9"/>
  <c r="DX477" i="9"/>
  <c r="DX551" i="9"/>
  <c r="DX391" i="9"/>
  <c r="DB128" i="9"/>
  <c r="DM298" i="9"/>
  <c r="DX199" i="9"/>
  <c r="DM59" i="9"/>
  <c r="DX715" i="9"/>
  <c r="DX716" i="9"/>
  <c r="DX531" i="9"/>
  <c r="DX648" i="9"/>
  <c r="DX420" i="9"/>
  <c r="DX585" i="9"/>
  <c r="DX608" i="9"/>
  <c r="DX25" i="9"/>
  <c r="DX623" i="9"/>
  <c r="DM34" i="9"/>
  <c r="DX483" i="9"/>
  <c r="DX492" i="9"/>
  <c r="DX379" i="9"/>
  <c r="DX581" i="9"/>
  <c r="DX347" i="9"/>
  <c r="DX178" i="9"/>
  <c r="DX626" i="9"/>
  <c r="DM106" i="9"/>
  <c r="DX81" i="9"/>
  <c r="DM179" i="9"/>
  <c r="DX329" i="9"/>
  <c r="DX354" i="9"/>
  <c r="DM295" i="9"/>
  <c r="DX327" i="9"/>
  <c r="DB72" i="9"/>
  <c r="EI134" i="9"/>
  <c r="DX703" i="9"/>
  <c r="DX654" i="9"/>
  <c r="DX196" i="9"/>
  <c r="DX628" i="9"/>
  <c r="DX609" i="9"/>
  <c r="DM87" i="9"/>
  <c r="DX574" i="9"/>
  <c r="DX302" i="9"/>
  <c r="DX323" i="9"/>
  <c r="DX427" i="9"/>
  <c r="DB131" i="9"/>
  <c r="DX108" i="9"/>
  <c r="DX51" i="9"/>
  <c r="DX629" i="9"/>
  <c r="DX692" i="9"/>
  <c r="DB151" i="9"/>
  <c r="DX287" i="9"/>
  <c r="EI92" i="9"/>
  <c r="DX356" i="9"/>
  <c r="DX541" i="9"/>
  <c r="DX425" i="9"/>
  <c r="DB233" i="9"/>
  <c r="DX750" i="9"/>
  <c r="DX35" i="9"/>
  <c r="DX562" i="9"/>
  <c r="DX325" i="9"/>
  <c r="DX700" i="9"/>
  <c r="DM237" i="9"/>
  <c r="DX110" i="9"/>
  <c r="DX738" i="9"/>
  <c r="DX132" i="9"/>
  <c r="DX227" i="9"/>
  <c r="DX249" i="9"/>
  <c r="DX744" i="9"/>
  <c r="DB204" i="9"/>
  <c r="EI56" i="9"/>
  <c r="DM157" i="9"/>
  <c r="EI93" i="9"/>
  <c r="DX33" i="9"/>
  <c r="DX214" i="9"/>
  <c r="DX382" i="9"/>
  <c r="DX584" i="9"/>
  <c r="DX490" i="9"/>
  <c r="CQ127" i="9"/>
  <c r="DM306" i="9"/>
  <c r="DX455" i="9"/>
  <c r="DB218" i="9"/>
  <c r="DX515" i="9"/>
  <c r="DM38" i="9"/>
  <c r="DX188" i="9"/>
  <c r="DX317" i="9"/>
  <c r="DB174" i="9"/>
  <c r="DX579" i="9"/>
  <c r="DX339" i="9"/>
  <c r="DX694" i="9"/>
  <c r="DX153" i="9"/>
  <c r="CQ346" i="9"/>
  <c r="DX636" i="9"/>
  <c r="EI123" i="9"/>
  <c r="DX634" i="9"/>
  <c r="DX151" i="9"/>
  <c r="DX59" i="9"/>
  <c r="DX689" i="9"/>
  <c r="DX337" i="9"/>
  <c r="DX23" i="9"/>
  <c r="DM191" i="9"/>
  <c r="EI88" i="9"/>
  <c r="DX88" i="9"/>
  <c r="DX206" i="9"/>
  <c r="DX650" i="9"/>
  <c r="DX248" i="9"/>
  <c r="DX107" i="9"/>
  <c r="EI68" i="9"/>
  <c r="DX518" i="9"/>
  <c r="DX91" i="9"/>
  <c r="DM202" i="9"/>
  <c r="DX583" i="9"/>
  <c r="DX481" i="9"/>
  <c r="CQ229" i="9"/>
  <c r="DM49" i="9"/>
  <c r="DX542" i="9"/>
  <c r="DX622" i="9"/>
  <c r="DB39" i="9"/>
  <c r="DX395" i="9"/>
  <c r="EI26" i="9"/>
  <c r="DM263" i="9"/>
  <c r="CQ380" i="9"/>
  <c r="DX343" i="9"/>
  <c r="DX331" i="9"/>
  <c r="DX161" i="9"/>
  <c r="DX646" i="9"/>
  <c r="DX170" i="9"/>
  <c r="DX473" i="9"/>
  <c r="DX324" i="9"/>
  <c r="DX73" i="9"/>
  <c r="DB246" i="9"/>
  <c r="DX627" i="9"/>
  <c r="DM43" i="9"/>
  <c r="DX421" i="9"/>
  <c r="DX482" i="9"/>
  <c r="DX213" i="9"/>
  <c r="DX729" i="9"/>
  <c r="DB115" i="9"/>
  <c r="DX548" i="9"/>
  <c r="DM113" i="9"/>
  <c r="DM168" i="9"/>
  <c r="DB52" i="9"/>
  <c r="DX64" i="9"/>
  <c r="DM120" i="9"/>
  <c r="DX517" i="9"/>
  <c r="DX341" i="9"/>
  <c r="DX612" i="9"/>
  <c r="CQ372" i="9"/>
  <c r="DX254" i="9"/>
  <c r="DX596" i="9"/>
  <c r="DB112" i="9"/>
  <c r="DX389" i="9"/>
  <c r="DX127" i="9"/>
  <c r="DX611" i="9"/>
  <c r="DX530" i="9"/>
  <c r="DM188" i="9"/>
  <c r="DX106" i="9"/>
  <c r="DX146" i="9"/>
  <c r="DX156" i="9"/>
  <c r="DX432" i="9"/>
  <c r="DX617" i="9"/>
  <c r="DB142" i="9"/>
  <c r="CQ367" i="9"/>
  <c r="DM231" i="9"/>
  <c r="DX171" i="9"/>
  <c r="DX147" i="9"/>
  <c r="DM28" i="9"/>
  <c r="DM127" i="9"/>
  <c r="DX459" i="9"/>
  <c r="DX586" i="9"/>
  <c r="EI113" i="9"/>
  <c r="DX189" i="9"/>
  <c r="EI40" i="9"/>
  <c r="CQ305" i="9"/>
  <c r="DX84" i="9"/>
  <c r="DX597" i="9"/>
  <c r="DX532" i="9"/>
  <c r="DX309" i="9"/>
  <c r="DX348" i="9"/>
  <c r="DX218" i="9"/>
  <c r="DX747" i="9"/>
  <c r="DX75" i="9"/>
  <c r="DM257" i="9"/>
  <c r="DX521" i="9"/>
  <c r="EI85" i="9"/>
  <c r="DM73" i="9"/>
  <c r="DX223" i="9"/>
  <c r="DM56" i="9"/>
  <c r="DB117" i="9"/>
  <c r="DX141" i="9"/>
  <c r="DX253" i="9"/>
  <c r="DB229" i="9"/>
  <c r="DX86" i="9"/>
  <c r="DX647" i="9"/>
  <c r="DX465" i="9"/>
  <c r="DX335" i="9"/>
  <c r="DX32" i="9"/>
  <c r="DX319" i="9"/>
  <c r="DX43" i="9"/>
  <c r="DX284" i="9"/>
  <c r="DX50" i="9"/>
  <c r="DM297" i="9"/>
  <c r="DX537" i="9"/>
  <c r="DX160" i="9"/>
  <c r="DX256" i="9"/>
  <c r="EI104" i="9"/>
  <c r="EI114" i="9"/>
  <c r="DX496" i="9"/>
  <c r="AU41" i="13"/>
  <c r="P42" i="3"/>
  <c r="M42" i="3"/>
  <c r="O42" i="3" s="1"/>
  <c r="O41" i="13"/>
  <c r="M88" i="3"/>
  <c r="P153" i="3"/>
  <c r="L135" i="3"/>
  <c r="U135" i="3" s="1"/>
  <c r="GM135" i="9"/>
  <c r="FF142" i="9"/>
  <c r="FZ198" i="9"/>
  <c r="EU108" i="9"/>
  <c r="FO128" i="9"/>
  <c r="EU247" i="9"/>
  <c r="FZ173" i="9"/>
  <c r="FO85" i="9"/>
  <c r="FQ75" i="9"/>
  <c r="EU330" i="9"/>
  <c r="EU96" i="9"/>
  <c r="EU212" i="9"/>
  <c r="EU142" i="9"/>
  <c r="GB210" i="9"/>
  <c r="FO151" i="9"/>
  <c r="ES76" i="9"/>
  <c r="FZ101" i="9"/>
  <c r="FD159" i="9"/>
  <c r="FZ83" i="9"/>
  <c r="FD211" i="9"/>
  <c r="FF197" i="9"/>
  <c r="FF34" i="9"/>
  <c r="EU85" i="9"/>
  <c r="FF139" i="9"/>
  <c r="FF74" i="9"/>
  <c r="FQ47" i="9"/>
  <c r="FQ146" i="9"/>
  <c r="FZ139" i="9"/>
  <c r="EU288" i="9"/>
  <c r="FZ174" i="9"/>
  <c r="EU179" i="9"/>
  <c r="EU92" i="9"/>
  <c r="FO45" i="9"/>
  <c r="EU100" i="9"/>
  <c r="FF101" i="9"/>
  <c r="ES102" i="9"/>
  <c r="FD85" i="9"/>
  <c r="FF113" i="9"/>
  <c r="ES173" i="9"/>
  <c r="ES93" i="9"/>
  <c r="FD232" i="9"/>
  <c r="FQ137" i="9"/>
  <c r="GB118" i="9"/>
  <c r="ES141" i="9"/>
  <c r="GK84" i="9"/>
  <c r="EU53" i="9"/>
  <c r="FD73" i="9"/>
  <c r="EU125" i="9"/>
  <c r="FF64" i="9"/>
  <c r="ES61" i="9"/>
  <c r="EU170" i="9"/>
  <c r="FF147" i="9"/>
  <c r="GB127" i="9"/>
  <c r="EU76" i="9"/>
  <c r="FF178" i="9"/>
  <c r="ES39" i="9"/>
  <c r="GM139" i="9"/>
  <c r="FZ72" i="9"/>
  <c r="FQ148" i="9"/>
  <c r="GK116" i="9"/>
  <c r="FO91" i="9"/>
  <c r="GM99" i="9"/>
  <c r="GM74" i="9"/>
  <c r="FQ45" i="9"/>
  <c r="GM27" i="9"/>
  <c r="EU140" i="9"/>
  <c r="ES50" i="9"/>
  <c r="GM64" i="9"/>
  <c r="FZ58" i="9"/>
  <c r="EU167" i="9"/>
  <c r="GK128" i="9"/>
  <c r="EU153" i="9"/>
  <c r="FZ47" i="9"/>
  <c r="GB179" i="9"/>
  <c r="FO23" i="9"/>
  <c r="FZ33" i="9"/>
  <c r="EU161" i="9"/>
  <c r="EU71" i="9"/>
  <c r="FD198" i="9"/>
  <c r="FF159" i="9"/>
  <c r="FQ70" i="9"/>
  <c r="GK150" i="9"/>
  <c r="FQ49" i="9"/>
  <c r="GM81" i="9"/>
  <c r="ES170" i="9"/>
  <c r="FZ53" i="9"/>
  <c r="EU57" i="9"/>
  <c r="FQ22" i="9"/>
  <c r="FF223" i="9"/>
  <c r="FQ78" i="9"/>
  <c r="FD30" i="9"/>
  <c r="FF82" i="9"/>
  <c r="FQ174" i="9"/>
  <c r="FD151" i="9"/>
  <c r="FQ144" i="9"/>
  <c r="EU232" i="9"/>
  <c r="FD92" i="9"/>
  <c r="EU139" i="9"/>
  <c r="GK101" i="9"/>
  <c r="FF118" i="9"/>
  <c r="FZ206" i="9"/>
  <c r="GB185" i="9"/>
  <c r="ES147" i="9"/>
  <c r="GK55" i="9"/>
  <c r="GB98" i="9"/>
  <c r="EU129" i="9"/>
  <c r="FF99" i="9"/>
  <c r="FO172" i="9"/>
  <c r="FF184" i="9"/>
  <c r="GB63" i="9"/>
  <c r="ES294" i="9"/>
  <c r="GB54" i="9"/>
  <c r="FO123" i="9"/>
  <c r="GB93" i="9"/>
  <c r="FD36" i="9"/>
  <c r="FZ131" i="9"/>
  <c r="FF96" i="9"/>
  <c r="ES118" i="9"/>
  <c r="ES69" i="9"/>
  <c r="FQ73" i="9"/>
  <c r="FQ162" i="9"/>
  <c r="ES125" i="9"/>
  <c r="FF185" i="9"/>
  <c r="GB96" i="9"/>
  <c r="GM88" i="9"/>
  <c r="GB57" i="9"/>
  <c r="ES270" i="9"/>
  <c r="GM25" i="9"/>
  <c r="ES337" i="9"/>
  <c r="FZ159" i="9"/>
  <c r="EU166" i="9"/>
  <c r="FQ124" i="9"/>
  <c r="ES192" i="9"/>
  <c r="ES275" i="9"/>
  <c r="GK87" i="9"/>
  <c r="GB125" i="9"/>
  <c r="GM118" i="9"/>
  <c r="ES299" i="9"/>
  <c r="EU216" i="9"/>
  <c r="FO70" i="9"/>
  <c r="FO145" i="9"/>
  <c r="GM153" i="9"/>
  <c r="ES85" i="9"/>
  <c r="EU94" i="9"/>
  <c r="GK27" i="9"/>
  <c r="ES314" i="9"/>
  <c r="FF234" i="9"/>
  <c r="ES309" i="9"/>
  <c r="FZ62" i="9"/>
  <c r="FF90" i="9"/>
  <c r="GB205" i="9"/>
  <c r="GK86" i="9"/>
  <c r="FF162" i="9"/>
  <c r="FO175" i="9"/>
  <c r="ES48" i="9"/>
  <c r="EU49" i="9"/>
  <c r="FZ169" i="9"/>
  <c r="FF78" i="9"/>
  <c r="FQ138" i="9"/>
  <c r="GK40" i="9"/>
  <c r="FF59" i="9"/>
  <c r="FZ158" i="9"/>
  <c r="ES155" i="9"/>
  <c r="FD83" i="9"/>
  <c r="GM124" i="9"/>
  <c r="FF182" i="9"/>
  <c r="FD109" i="9"/>
  <c r="GK64" i="9"/>
  <c r="FQ115" i="9"/>
  <c r="FZ213" i="9"/>
  <c r="FQ33" i="9"/>
  <c r="ES276" i="9"/>
  <c r="GK43" i="9"/>
  <c r="GM71" i="9"/>
  <c r="FZ133" i="9"/>
  <c r="FZ153" i="9"/>
  <c r="FO98" i="9"/>
  <c r="EU192" i="9"/>
  <c r="FZ110" i="9"/>
  <c r="GK53" i="9"/>
  <c r="FO120" i="9"/>
  <c r="FQ142" i="9"/>
  <c r="ES181" i="9"/>
  <c r="GM95" i="9"/>
  <c r="EU245" i="9"/>
  <c r="GB77" i="9"/>
  <c r="FD242" i="9"/>
  <c r="FF170" i="9"/>
  <c r="GB26" i="9"/>
  <c r="FF24" i="9"/>
  <c r="GB167" i="9"/>
  <c r="FO28" i="9"/>
  <c r="EU190" i="9"/>
  <c r="GB181" i="9"/>
  <c r="FZ103" i="9"/>
  <c r="FZ183" i="9"/>
  <c r="ES83" i="9"/>
  <c r="FO99" i="9"/>
  <c r="FZ92" i="9"/>
  <c r="GM146" i="9"/>
  <c r="FD52" i="9"/>
  <c r="EU81" i="9"/>
  <c r="GK28" i="9"/>
  <c r="FD111" i="9"/>
  <c r="FD200" i="9"/>
  <c r="ES303" i="9"/>
  <c r="EU151" i="9"/>
  <c r="FF30" i="9"/>
  <c r="GB180" i="9"/>
  <c r="FD156" i="9"/>
  <c r="FF52" i="9"/>
  <c r="ES241" i="9"/>
  <c r="FO51" i="9"/>
  <c r="GK31" i="9"/>
  <c r="ES317" i="9"/>
  <c r="EU137" i="9"/>
  <c r="FZ196" i="9"/>
  <c r="GB74" i="9"/>
  <c r="FZ170" i="9"/>
  <c r="FO102" i="9"/>
  <c r="FO115" i="9"/>
  <c r="FF207" i="9"/>
  <c r="ES332" i="9"/>
  <c r="ES315" i="9"/>
  <c r="FZ82" i="9"/>
  <c r="GB101" i="9"/>
  <c r="GM34" i="9"/>
  <c r="FF158" i="9"/>
  <c r="FD161" i="9"/>
  <c r="ES159" i="9"/>
  <c r="GB131" i="9"/>
  <c r="GB65" i="9"/>
  <c r="EU313" i="9"/>
  <c r="FD39" i="9"/>
  <c r="EU119" i="9"/>
  <c r="FD117" i="9"/>
  <c r="GB47" i="9"/>
  <c r="EU316" i="9"/>
  <c r="FO159" i="9"/>
  <c r="FD59" i="9"/>
  <c r="ES216" i="9"/>
  <c r="FF105" i="9"/>
  <c r="FQ66" i="9"/>
  <c r="FF167" i="9"/>
  <c r="FZ64" i="9"/>
  <c r="ES220" i="9"/>
  <c r="FD29" i="9"/>
  <c r="GB213" i="9"/>
  <c r="ES215" i="9"/>
  <c r="GB32" i="9"/>
  <c r="EU42" i="9"/>
  <c r="ES254" i="9"/>
  <c r="FQ117" i="9"/>
  <c r="FF23" i="9"/>
  <c r="ES264" i="9"/>
  <c r="FD166" i="9"/>
  <c r="GK92" i="9"/>
  <c r="ES63" i="9"/>
  <c r="EU236" i="9"/>
  <c r="ES44" i="9"/>
  <c r="EU303" i="9"/>
  <c r="ES210" i="9"/>
  <c r="EU27" i="9"/>
  <c r="GB45" i="9"/>
  <c r="FQ112" i="9"/>
  <c r="FZ93" i="9"/>
  <c r="FD183" i="9"/>
  <c r="FO48" i="9"/>
  <c r="FO171" i="9"/>
  <c r="ES191" i="9"/>
  <c r="ES305" i="9"/>
  <c r="FQ109" i="9"/>
  <c r="FO141" i="9"/>
  <c r="EU41" i="9"/>
  <c r="FQ84" i="9"/>
  <c r="GB84" i="9"/>
  <c r="FD123" i="9"/>
  <c r="FD233" i="9"/>
  <c r="GB121" i="9"/>
  <c r="EU189" i="9"/>
  <c r="FQ81" i="9"/>
  <c r="GM141" i="9"/>
  <c r="FF237" i="9"/>
  <c r="FD191" i="9"/>
  <c r="GM36" i="9"/>
  <c r="ES75" i="9"/>
  <c r="FF205" i="9"/>
  <c r="FZ192" i="9"/>
  <c r="FF218" i="9"/>
  <c r="EU147" i="9"/>
  <c r="ES26" i="9"/>
  <c r="FO142" i="9"/>
  <c r="FQ129" i="9"/>
  <c r="EU286" i="9"/>
  <c r="FD63" i="9"/>
  <c r="FF198" i="9"/>
  <c r="EU118" i="9"/>
  <c r="GB39" i="9"/>
  <c r="GM152" i="9"/>
  <c r="EU186" i="9"/>
  <c r="FZ186" i="9"/>
  <c r="GB138" i="9"/>
  <c r="FF202" i="9"/>
  <c r="GK32" i="9"/>
  <c r="FD116" i="9"/>
  <c r="FD94" i="9"/>
  <c r="ES300" i="9"/>
  <c r="FF36" i="9"/>
  <c r="ES194" i="9"/>
  <c r="FZ210" i="9"/>
  <c r="FD97" i="9"/>
  <c r="EU158" i="9"/>
  <c r="FD227" i="9"/>
  <c r="FF121" i="9"/>
  <c r="FD104" i="9"/>
  <c r="GM121" i="9"/>
  <c r="GB31" i="9"/>
  <c r="EU287" i="9"/>
  <c r="FQ106" i="9"/>
  <c r="GM75" i="9"/>
  <c r="EU213" i="9"/>
  <c r="FQ65" i="9"/>
  <c r="GM60" i="9"/>
  <c r="FO75" i="9"/>
  <c r="FZ163" i="9"/>
  <c r="GM107" i="9"/>
  <c r="EU334" i="9"/>
  <c r="FZ125" i="9"/>
  <c r="EU278" i="9"/>
  <c r="EU37" i="9"/>
  <c r="GB211" i="9"/>
  <c r="FD79" i="9"/>
  <c r="FF127" i="9"/>
  <c r="GB112" i="9"/>
  <c r="GB115" i="9"/>
  <c r="FD89" i="9"/>
  <c r="GM83" i="9"/>
  <c r="FQ151" i="9"/>
  <c r="FZ61" i="9"/>
  <c r="FQ71" i="9"/>
  <c r="FZ94" i="9"/>
  <c r="GK146" i="9"/>
  <c r="FQ59" i="9"/>
  <c r="ES65" i="9"/>
  <c r="FF196" i="9"/>
  <c r="FZ25" i="9"/>
  <c r="FZ121" i="9"/>
  <c r="ES128" i="9"/>
  <c r="GM106" i="9"/>
  <c r="FZ146" i="9"/>
  <c r="FZ63" i="9"/>
  <c r="FO130" i="9"/>
  <c r="EU162" i="9"/>
  <c r="GM144" i="9"/>
  <c r="GK74" i="9"/>
  <c r="ES225" i="9"/>
  <c r="FQ165" i="9"/>
  <c r="EU26" i="9"/>
  <c r="GM126" i="9"/>
  <c r="GM68" i="9"/>
  <c r="EU106" i="9"/>
  <c r="EU62" i="9"/>
  <c r="EU176" i="9"/>
  <c r="EU69" i="9"/>
  <c r="ES138" i="9"/>
  <c r="ES25" i="9"/>
  <c r="FF174" i="9"/>
  <c r="ES219" i="9"/>
  <c r="FF129" i="9"/>
  <c r="FZ162" i="9"/>
  <c r="ES231" i="9"/>
  <c r="FZ177" i="9"/>
  <c r="GK75" i="9"/>
  <c r="GB114" i="9"/>
  <c r="EU294" i="9"/>
  <c r="FF171" i="9"/>
  <c r="FZ73" i="9"/>
  <c r="FZ201" i="9"/>
  <c r="GK95" i="9"/>
  <c r="EU144" i="9"/>
  <c r="GB144" i="9"/>
  <c r="GM108" i="9"/>
  <c r="FD134" i="9"/>
  <c r="GB85" i="9"/>
  <c r="FF166" i="9"/>
  <c r="ES321" i="9"/>
  <c r="EU265" i="9"/>
  <c r="ES32" i="9"/>
  <c r="FQ99" i="9"/>
  <c r="ES133" i="9"/>
  <c r="GB86" i="9"/>
  <c r="FD82" i="9"/>
  <c r="FD133" i="9"/>
  <c r="FF80" i="9"/>
  <c r="GM31" i="9"/>
  <c r="GK93" i="9"/>
  <c r="FO73" i="9"/>
  <c r="EU205" i="9"/>
  <c r="FZ34" i="9"/>
  <c r="FF128" i="9"/>
  <c r="FD173" i="9"/>
  <c r="ES259" i="9"/>
  <c r="EU70" i="9"/>
  <c r="FO127" i="9"/>
  <c r="EU88" i="9"/>
  <c r="FD174" i="9"/>
  <c r="ES129" i="9"/>
  <c r="EU89" i="9"/>
  <c r="FO97" i="9"/>
  <c r="ES221" i="9"/>
  <c r="GM52" i="9"/>
  <c r="FD86" i="9"/>
  <c r="FF71" i="9"/>
  <c r="EU258" i="9"/>
  <c r="FD70" i="9"/>
  <c r="FO157" i="9"/>
  <c r="FO107" i="9"/>
  <c r="FD210" i="9"/>
  <c r="FO25" i="9"/>
  <c r="ES245" i="9"/>
  <c r="ES30" i="9"/>
  <c r="FF176" i="9"/>
  <c r="GB123" i="9"/>
  <c r="GM59" i="9"/>
  <c r="GB76" i="9"/>
  <c r="FQ159" i="9"/>
  <c r="FO96" i="9"/>
  <c r="FD122" i="9"/>
  <c r="GB92" i="9"/>
  <c r="FO92" i="9"/>
  <c r="FD114" i="9"/>
  <c r="ES206" i="9"/>
  <c r="FZ147" i="9"/>
  <c r="EU242" i="9"/>
  <c r="FD67" i="9"/>
  <c r="EU304" i="9"/>
  <c r="GB83" i="9"/>
  <c r="FZ37" i="9"/>
  <c r="FZ23" i="9"/>
  <c r="GB49" i="9"/>
  <c r="FF83" i="9"/>
  <c r="ES306" i="9"/>
  <c r="GM51" i="9"/>
  <c r="GM91" i="9"/>
  <c r="GB224" i="9"/>
  <c r="FF67" i="9"/>
  <c r="FF188" i="9"/>
  <c r="ES266" i="9"/>
  <c r="FF212" i="9"/>
  <c r="GB55" i="9"/>
  <c r="GB200" i="9"/>
  <c r="EU198" i="9"/>
  <c r="FD102" i="9"/>
  <c r="ES113" i="9"/>
  <c r="FO149" i="9"/>
  <c r="FF172" i="9"/>
  <c r="EU78" i="9"/>
  <c r="GB117" i="9"/>
  <c r="GM66" i="9"/>
  <c r="ES263" i="9"/>
  <c r="FF28" i="9"/>
  <c r="ES135" i="9"/>
  <c r="FD140" i="9"/>
  <c r="FF63" i="9"/>
  <c r="GK77" i="9"/>
  <c r="EU285" i="9"/>
  <c r="FZ115" i="9"/>
  <c r="GB209" i="9"/>
  <c r="FZ48" i="9"/>
  <c r="EU223" i="9"/>
  <c r="GK54" i="9"/>
  <c r="GK79" i="9"/>
  <c r="FD91" i="9"/>
  <c r="ES236" i="9"/>
  <c r="ES278" i="9"/>
  <c r="FF204" i="9"/>
  <c r="ES77" i="9"/>
  <c r="EU143" i="9"/>
  <c r="FO106" i="9"/>
  <c r="FZ128" i="9"/>
  <c r="FZ113" i="9"/>
  <c r="ES209" i="9"/>
  <c r="GM56" i="9"/>
  <c r="FD207" i="9"/>
  <c r="FD243" i="9"/>
  <c r="GM67" i="9"/>
  <c r="FF88" i="9"/>
  <c r="ES88" i="9"/>
  <c r="GK125" i="9"/>
  <c r="ES73" i="9"/>
  <c r="ES95" i="9"/>
  <c r="FD145" i="9"/>
  <c r="ES302" i="9"/>
  <c r="ES56" i="9"/>
  <c r="FD171" i="9"/>
  <c r="FF72" i="9"/>
  <c r="FQ169" i="9"/>
  <c r="EU52" i="9"/>
  <c r="FO27" i="9"/>
  <c r="EU281" i="9"/>
  <c r="FZ29" i="9"/>
  <c r="EU194" i="9"/>
  <c r="GK72" i="9"/>
  <c r="FF46" i="9"/>
  <c r="ES291" i="9"/>
  <c r="EU214" i="9"/>
  <c r="FD132" i="9"/>
  <c r="FZ224" i="9"/>
  <c r="GM132" i="9"/>
  <c r="FO77" i="9"/>
  <c r="ES31" i="9"/>
  <c r="FO105" i="9"/>
  <c r="ES58" i="9"/>
  <c r="GM97" i="9"/>
  <c r="EU324" i="9"/>
  <c r="FF148" i="9"/>
  <c r="FO113" i="9"/>
  <c r="ES98" i="9"/>
  <c r="FF57" i="9"/>
  <c r="FF169" i="9"/>
  <c r="ES124" i="9"/>
  <c r="FQ53" i="9"/>
  <c r="GB81" i="9"/>
  <c r="GB90" i="9"/>
  <c r="ES146" i="9"/>
  <c r="EU99" i="9"/>
  <c r="FZ179" i="9"/>
  <c r="ES297" i="9"/>
  <c r="ES111" i="9"/>
  <c r="FZ99" i="9"/>
  <c r="EU128" i="9"/>
  <c r="EU195" i="9"/>
  <c r="GB214" i="9"/>
  <c r="FD186" i="9"/>
  <c r="ES211" i="9"/>
  <c r="GB29" i="9"/>
  <c r="ES151" i="9"/>
  <c r="FF93" i="9"/>
  <c r="ES55" i="9"/>
  <c r="GK76" i="9"/>
  <c r="FO116" i="9"/>
  <c r="FD144" i="9"/>
  <c r="GB52" i="9"/>
  <c r="ES96" i="9"/>
  <c r="ES161" i="9"/>
  <c r="ES107" i="9"/>
  <c r="GB158" i="9"/>
  <c r="EU221" i="9"/>
  <c r="EU323" i="9"/>
  <c r="FQ104" i="9"/>
  <c r="ES120" i="9"/>
  <c r="EU248" i="9"/>
  <c r="GK123" i="9"/>
  <c r="FO57" i="9"/>
  <c r="ES149" i="9"/>
  <c r="GB206" i="9"/>
  <c r="FQ91" i="9"/>
  <c r="FF195" i="9"/>
  <c r="FF150" i="9"/>
  <c r="FO95" i="9"/>
  <c r="GK99" i="9"/>
  <c r="FZ108" i="9"/>
  <c r="FQ156" i="9"/>
  <c r="EU246" i="9"/>
  <c r="GB173" i="9"/>
  <c r="FZ107" i="9"/>
  <c r="EU251" i="9"/>
  <c r="EU262" i="9"/>
  <c r="FQ155" i="9"/>
  <c r="EU228" i="9"/>
  <c r="FQ130" i="9"/>
  <c r="GB151" i="9"/>
  <c r="FZ106" i="9"/>
  <c r="ES336" i="9"/>
  <c r="FQ95" i="9"/>
  <c r="EU40" i="9"/>
  <c r="FF77" i="9"/>
  <c r="FO55" i="9"/>
  <c r="FQ93" i="9"/>
  <c r="FF136" i="9"/>
  <c r="GM127" i="9"/>
  <c r="GK144" i="9"/>
  <c r="FQ141" i="9"/>
  <c r="ES207" i="9"/>
  <c r="GM48" i="9"/>
  <c r="EU73" i="9"/>
  <c r="FZ214" i="9"/>
  <c r="ES187" i="9"/>
  <c r="FZ54" i="9"/>
  <c r="FZ205" i="9"/>
  <c r="FO100" i="9"/>
  <c r="ES249" i="9"/>
  <c r="FD77" i="9"/>
  <c r="EU315" i="9"/>
  <c r="GB160" i="9"/>
  <c r="GM110" i="9"/>
  <c r="ES193" i="9"/>
  <c r="ES283" i="9"/>
  <c r="FO144" i="9"/>
  <c r="EU210" i="9"/>
  <c r="ES258" i="9"/>
  <c r="FZ166" i="9"/>
  <c r="ES100" i="9"/>
  <c r="EU169" i="9"/>
  <c r="FF115" i="9"/>
  <c r="GB51" i="9"/>
  <c r="FZ57" i="9"/>
  <c r="GK56" i="9"/>
  <c r="EU239" i="9"/>
  <c r="FZ42" i="9"/>
  <c r="FF155" i="9"/>
  <c r="FZ225" i="9"/>
  <c r="FZ91" i="9"/>
  <c r="FO126" i="9"/>
  <c r="GB193" i="9"/>
  <c r="EU317" i="9"/>
  <c r="FF214" i="9"/>
  <c r="GK106" i="9"/>
  <c r="FQ176" i="9"/>
  <c r="FD53" i="9"/>
  <c r="FO33" i="9"/>
  <c r="EU175" i="9"/>
  <c r="EU157" i="9"/>
  <c r="GM115" i="9"/>
  <c r="ES262" i="9"/>
  <c r="ES64" i="9"/>
  <c r="FZ136" i="9"/>
  <c r="FF173" i="9"/>
  <c r="EU297" i="9"/>
  <c r="EU181" i="9"/>
  <c r="FZ129" i="9"/>
  <c r="EU39" i="9"/>
  <c r="FO176" i="9"/>
  <c r="GK34" i="9"/>
  <c r="FZ126" i="9"/>
  <c r="GM57" i="9"/>
  <c r="FF32" i="9"/>
  <c r="EU48" i="9"/>
  <c r="FD234" i="9"/>
  <c r="FO80" i="9"/>
  <c r="FD71" i="9"/>
  <c r="FZ150" i="9"/>
  <c r="EU172" i="9"/>
  <c r="FQ175" i="9"/>
  <c r="ES178" i="9"/>
  <c r="GB201" i="9"/>
  <c r="ES27" i="9"/>
  <c r="FD50" i="9"/>
  <c r="FF137" i="9"/>
  <c r="FO109" i="9"/>
  <c r="FD222" i="9"/>
  <c r="FD137" i="9"/>
  <c r="GK69" i="9"/>
  <c r="GK80" i="9"/>
  <c r="ES185" i="9"/>
  <c r="FQ27" i="9"/>
  <c r="FF81" i="9"/>
  <c r="GM143" i="9"/>
  <c r="FF219" i="9"/>
  <c r="GB50" i="9"/>
  <c r="FQ90" i="9"/>
  <c r="ES272" i="9"/>
  <c r="FD34" i="9"/>
  <c r="GB195" i="9"/>
  <c r="FZ182" i="9"/>
  <c r="GM111" i="9"/>
  <c r="GB124" i="9"/>
  <c r="GB202" i="9"/>
  <c r="EU114" i="9"/>
  <c r="FF144" i="9"/>
  <c r="ES247" i="9"/>
  <c r="EU86" i="9"/>
  <c r="FD235" i="9"/>
  <c r="FD138" i="9"/>
  <c r="EU145" i="9"/>
  <c r="FF243" i="9"/>
  <c r="FQ63" i="9"/>
  <c r="EU25" i="9"/>
  <c r="GB133" i="9"/>
  <c r="EU164" i="9"/>
  <c r="EU95" i="9"/>
  <c r="FF103" i="9"/>
  <c r="FF177" i="9"/>
  <c r="GM101" i="9"/>
  <c r="ES163" i="9"/>
  <c r="FQ120" i="9"/>
  <c r="ES131" i="9"/>
  <c r="FF165" i="9"/>
  <c r="FZ67" i="9"/>
  <c r="FQ34" i="9"/>
  <c r="GB80" i="9"/>
  <c r="ES214" i="9"/>
  <c r="GK122" i="9"/>
  <c r="ES165" i="9"/>
  <c r="ES89" i="9"/>
  <c r="GM35" i="9"/>
  <c r="GB154" i="9"/>
  <c r="FD81" i="9"/>
  <c r="FZ219" i="9"/>
  <c r="FZ31" i="9"/>
  <c r="GM65" i="9"/>
  <c r="EU325" i="9"/>
  <c r="EU291" i="9"/>
  <c r="FO46" i="9"/>
  <c r="ES333" i="9"/>
  <c r="EU337" i="9"/>
  <c r="FD241" i="9"/>
  <c r="FO154" i="9"/>
  <c r="FZ80" i="9"/>
  <c r="FF50" i="9"/>
  <c r="ES331" i="9"/>
  <c r="ES60" i="9"/>
  <c r="ES290" i="9"/>
  <c r="FD25" i="9"/>
  <c r="GM80" i="9"/>
  <c r="FD100" i="9"/>
  <c r="FF232" i="9"/>
  <c r="GK130" i="9"/>
  <c r="ES183" i="9"/>
  <c r="FO68" i="9"/>
  <c r="FF164" i="9"/>
  <c r="GB48" i="9"/>
  <c r="ES212" i="9"/>
  <c r="ES45" i="9"/>
  <c r="GB119" i="9"/>
  <c r="GB64" i="9"/>
  <c r="GM145" i="9"/>
  <c r="FO158" i="9"/>
  <c r="GK127" i="9"/>
  <c r="GB71" i="9"/>
  <c r="FQ100" i="9"/>
  <c r="FD204" i="9"/>
  <c r="EU107" i="9"/>
  <c r="GB142" i="9"/>
  <c r="EU290" i="9"/>
  <c r="FO41" i="9"/>
  <c r="FD31" i="9"/>
  <c r="FF42" i="9"/>
  <c r="ES230" i="9"/>
  <c r="GK154" i="9"/>
  <c r="FF60" i="9"/>
  <c r="EU82" i="9"/>
  <c r="ES91" i="9"/>
  <c r="ES38" i="9"/>
  <c r="EU134" i="9"/>
  <c r="FF217" i="9"/>
  <c r="GK97" i="9"/>
  <c r="GM148" i="9"/>
  <c r="FD124" i="9"/>
  <c r="FQ166" i="9"/>
  <c r="EU279" i="9"/>
  <c r="FF73" i="9"/>
  <c r="FZ117" i="9"/>
  <c r="ES196" i="9"/>
  <c r="ES68" i="9"/>
  <c r="FD239" i="9"/>
  <c r="FF181" i="9"/>
  <c r="FD112" i="9"/>
  <c r="GK120" i="9"/>
  <c r="EU171" i="9"/>
  <c r="FZ175" i="9"/>
  <c r="EU152" i="9"/>
  <c r="EU50" i="9"/>
  <c r="FQ88" i="9"/>
  <c r="ES66" i="9"/>
  <c r="ES198" i="9"/>
  <c r="FQ123" i="9"/>
  <c r="GM58" i="9"/>
  <c r="GB128" i="9"/>
  <c r="GM151" i="9"/>
  <c r="FO152" i="9"/>
  <c r="GM130" i="9"/>
  <c r="FZ187" i="9"/>
  <c r="FQ150" i="9"/>
  <c r="FO174" i="9"/>
  <c r="GK147" i="9"/>
  <c r="EU257" i="9"/>
  <c r="FD107" i="9"/>
  <c r="FO62" i="9"/>
  <c r="ES184" i="9"/>
  <c r="GB207" i="9"/>
  <c r="GB58" i="9"/>
  <c r="GM32" i="9"/>
  <c r="EU196" i="9"/>
  <c r="EU201" i="9"/>
  <c r="FZ116" i="9"/>
  <c r="ES62" i="9"/>
  <c r="FD146" i="9"/>
  <c r="FD213" i="9"/>
  <c r="FF152" i="9"/>
  <c r="GB192" i="9"/>
  <c r="EU138" i="9"/>
  <c r="FF206" i="9"/>
  <c r="FZ209" i="9"/>
  <c r="FD165" i="9"/>
  <c r="GB157" i="9"/>
  <c r="ES320" i="9"/>
  <c r="GK136" i="9"/>
  <c r="GK148" i="9"/>
  <c r="FO53" i="9"/>
  <c r="FO54" i="9"/>
  <c r="GB79" i="9"/>
  <c r="FF149" i="9"/>
  <c r="FZ102" i="9"/>
  <c r="FD187" i="9"/>
  <c r="GM100" i="9"/>
  <c r="ES156" i="9"/>
  <c r="EU28" i="9"/>
  <c r="FF108" i="9"/>
  <c r="GM78" i="9"/>
  <c r="GM134" i="9"/>
  <c r="FF54" i="9"/>
  <c r="FQ83" i="9"/>
  <c r="FZ36" i="9"/>
  <c r="GK111" i="9"/>
  <c r="ES40" i="9"/>
  <c r="FQ61" i="9"/>
  <c r="ES234" i="9"/>
  <c r="GM119" i="9"/>
  <c r="ES94" i="9"/>
  <c r="ES154" i="9"/>
  <c r="FF58" i="9"/>
  <c r="GB148" i="9"/>
  <c r="EU59" i="9"/>
  <c r="ES224" i="9"/>
  <c r="FD130" i="9"/>
  <c r="FO37" i="9"/>
  <c r="FD68" i="9"/>
  <c r="GK41" i="9"/>
  <c r="GM47" i="9"/>
  <c r="GB222" i="9"/>
  <c r="GK61" i="9"/>
  <c r="FD32" i="9"/>
  <c r="EU219" i="9"/>
  <c r="GM136" i="9"/>
  <c r="GB187" i="9"/>
  <c r="ES166" i="9"/>
  <c r="FZ188" i="9"/>
  <c r="GB66" i="9"/>
  <c r="GK58" i="9"/>
  <c r="FQ31" i="9"/>
  <c r="FD106" i="9"/>
  <c r="EU23" i="9"/>
  <c r="ES235" i="9"/>
  <c r="FD206" i="9"/>
  <c r="GK100" i="9"/>
  <c r="ES51" i="9"/>
  <c r="EU79" i="9"/>
  <c r="EU113" i="9"/>
  <c r="FD27" i="9"/>
  <c r="FD184" i="9"/>
  <c r="GM30" i="9"/>
  <c r="EU67" i="9"/>
  <c r="FD180" i="9"/>
  <c r="FO112" i="9"/>
  <c r="FF222" i="9"/>
  <c r="GK88" i="9"/>
  <c r="FZ211" i="9"/>
  <c r="GB170" i="9"/>
  <c r="GB97" i="9"/>
  <c r="FF215" i="9"/>
  <c r="FZ41" i="9"/>
  <c r="FO88" i="9"/>
  <c r="FF120" i="9"/>
  <c r="ES28" i="9"/>
  <c r="GB199" i="9"/>
  <c r="GK57" i="9"/>
  <c r="GM49" i="9"/>
  <c r="GK132" i="9"/>
  <c r="FF29" i="9"/>
  <c r="GK115" i="9"/>
  <c r="GB168" i="9"/>
  <c r="FD141" i="9"/>
  <c r="EU301" i="9"/>
  <c r="FF225" i="9"/>
  <c r="FF61" i="9"/>
  <c r="GK151" i="9"/>
  <c r="FD75" i="9"/>
  <c r="FQ161" i="9"/>
  <c r="FZ39" i="9"/>
  <c r="FZ89" i="9"/>
  <c r="FF91" i="9"/>
  <c r="FD212" i="9"/>
  <c r="FO50" i="9"/>
  <c r="ES72" i="9"/>
  <c r="EU226" i="9"/>
  <c r="ES74" i="9"/>
  <c r="EU233" i="9"/>
  <c r="FZ149" i="9"/>
  <c r="EU238" i="9"/>
  <c r="FO82" i="9"/>
  <c r="FD42" i="9"/>
  <c r="EU296" i="9"/>
  <c r="ES123" i="9"/>
  <c r="GB217" i="9"/>
  <c r="GK119" i="9"/>
  <c r="FO79" i="9"/>
  <c r="GK78" i="9"/>
  <c r="FF124" i="9"/>
  <c r="GK45" i="9"/>
  <c r="FZ75" i="9"/>
  <c r="GK152" i="9"/>
  <c r="FF75" i="9"/>
  <c r="FQ51" i="9"/>
  <c r="FF179" i="9"/>
  <c r="GK131" i="9"/>
  <c r="EU109" i="9"/>
  <c r="GB150" i="9"/>
  <c r="GB108" i="9"/>
  <c r="ES42" i="9"/>
  <c r="ES152" i="9"/>
  <c r="FD238" i="9"/>
  <c r="EU284" i="9"/>
  <c r="GM150" i="9"/>
  <c r="FD223" i="9"/>
  <c r="FD66" i="9"/>
  <c r="FO103" i="9"/>
  <c r="FQ119" i="9"/>
  <c r="GB174" i="9"/>
  <c r="GB182" i="9"/>
  <c r="FQ164" i="9"/>
  <c r="FD225" i="9"/>
  <c r="GB104" i="9"/>
  <c r="EU271" i="9"/>
  <c r="FF22" i="9"/>
  <c r="FD158" i="9"/>
  <c r="GB227" i="9"/>
  <c r="FO121" i="9"/>
  <c r="FF221" i="9"/>
  <c r="FO129" i="9"/>
  <c r="GM44" i="9"/>
  <c r="GM26" i="9"/>
  <c r="FQ82" i="9"/>
  <c r="FQ77" i="9"/>
  <c r="EU80" i="9"/>
  <c r="FZ203" i="9"/>
  <c r="FZ127" i="9"/>
  <c r="FO122" i="9"/>
  <c r="FF187" i="9"/>
  <c r="ES237" i="9"/>
  <c r="FD197" i="9"/>
  <c r="EU259" i="9"/>
  <c r="GB88" i="9"/>
  <c r="FD95" i="9"/>
  <c r="ES328" i="9"/>
  <c r="GM79" i="9"/>
  <c r="ES67" i="9"/>
  <c r="FZ28" i="9"/>
  <c r="GB95" i="9"/>
  <c r="EU54" i="9"/>
  <c r="EU44" i="9"/>
  <c r="ES182" i="9"/>
  <c r="FZ212" i="9"/>
  <c r="EU45" i="9"/>
  <c r="FF168" i="9"/>
  <c r="EU35" i="9"/>
  <c r="ES329" i="9"/>
  <c r="GB107" i="9"/>
  <c r="FD54" i="9"/>
  <c r="ES325" i="9"/>
  <c r="GK81" i="9"/>
  <c r="FD99" i="9"/>
  <c r="GM123" i="9"/>
  <c r="FZ207" i="9"/>
  <c r="FQ103" i="9"/>
  <c r="ES319" i="9"/>
  <c r="FZ79" i="9"/>
  <c r="ES323" i="9"/>
  <c r="GK137" i="9"/>
  <c r="EU29" i="9"/>
  <c r="EU207" i="9"/>
  <c r="EU300" i="9"/>
  <c r="FD125" i="9"/>
  <c r="FZ167" i="9"/>
  <c r="EU46" i="9"/>
  <c r="ES136" i="9"/>
  <c r="GB102" i="9"/>
  <c r="EU117" i="9"/>
  <c r="ES248" i="9"/>
  <c r="GB106" i="9"/>
  <c r="ES269" i="9"/>
  <c r="GB46" i="9"/>
  <c r="ES280" i="9"/>
  <c r="GB218" i="9"/>
  <c r="FD240" i="9"/>
  <c r="FF235" i="9"/>
  <c r="FZ157" i="9"/>
  <c r="GB61" i="9"/>
  <c r="ES296" i="9"/>
  <c r="FF122" i="9"/>
  <c r="GB204" i="9"/>
  <c r="FQ163" i="9"/>
  <c r="ES202" i="9"/>
  <c r="GB134" i="9"/>
  <c r="FQ125" i="9"/>
  <c r="FZ84" i="9"/>
  <c r="GK50" i="9"/>
  <c r="FQ139" i="9"/>
  <c r="FZ132" i="9"/>
  <c r="FD65" i="9"/>
  <c r="FF203" i="9"/>
  <c r="FF43" i="9"/>
  <c r="GK59" i="9"/>
  <c r="FF193" i="9"/>
  <c r="FF130" i="9"/>
  <c r="FF189" i="9"/>
  <c r="FZ221" i="9"/>
  <c r="EU32" i="9"/>
  <c r="FO135" i="9"/>
  <c r="FQ37" i="9"/>
  <c r="EU123" i="9"/>
  <c r="GK44" i="9"/>
  <c r="GK143" i="9"/>
  <c r="FF112" i="9"/>
  <c r="FO58" i="9"/>
  <c r="FZ66" i="9"/>
  <c r="FQ56" i="9"/>
  <c r="FF209" i="9"/>
  <c r="EU102" i="9"/>
  <c r="FO81" i="9"/>
  <c r="FD219" i="9"/>
  <c r="GM28" i="9"/>
  <c r="ES171" i="9"/>
  <c r="FZ168" i="9"/>
  <c r="FQ110" i="9"/>
  <c r="ES217" i="9"/>
  <c r="FF117" i="9"/>
  <c r="FO163" i="9"/>
  <c r="GB176" i="9"/>
  <c r="FF31" i="9"/>
  <c r="FD55" i="9"/>
  <c r="FQ157" i="9"/>
  <c r="GB56" i="9"/>
  <c r="FQ136" i="9"/>
  <c r="FZ138" i="9"/>
  <c r="GK124" i="9"/>
  <c r="FF201" i="9"/>
  <c r="FQ160" i="9"/>
  <c r="GK149" i="9"/>
  <c r="FQ76" i="9"/>
  <c r="FD218" i="9"/>
  <c r="EU58" i="9"/>
  <c r="GM102" i="9"/>
  <c r="FD119" i="9"/>
  <c r="ES160" i="9"/>
  <c r="GB216" i="9"/>
  <c r="GB72" i="9"/>
  <c r="EU272" i="9"/>
  <c r="GB132" i="9"/>
  <c r="GK121" i="9"/>
  <c r="FO143" i="9"/>
  <c r="FZ50" i="9"/>
  <c r="ES148" i="9"/>
  <c r="ES33" i="9"/>
  <c r="FD221" i="9"/>
  <c r="FZ161" i="9"/>
  <c r="FZ156" i="9"/>
  <c r="ES137" i="9"/>
  <c r="FO139" i="9"/>
  <c r="ES36" i="9"/>
  <c r="FQ60" i="9"/>
  <c r="FD108" i="9"/>
  <c r="ES158" i="9"/>
  <c r="EU93" i="9"/>
  <c r="FQ92" i="9"/>
  <c r="FD40" i="9"/>
  <c r="ES277" i="9"/>
  <c r="GB42" i="9"/>
  <c r="FO44" i="9"/>
  <c r="EU116" i="9"/>
  <c r="FF38" i="9"/>
  <c r="EU225" i="9"/>
  <c r="GM116" i="9"/>
  <c r="FO69" i="9"/>
  <c r="GM114" i="9"/>
  <c r="FQ111" i="9"/>
  <c r="ES324" i="9"/>
  <c r="GB34" i="9"/>
  <c r="FF51" i="9"/>
  <c r="EU177" i="9"/>
  <c r="GB152" i="9"/>
  <c r="GK90" i="9"/>
  <c r="FQ135" i="9"/>
  <c r="FQ79" i="9"/>
  <c r="GB177" i="9"/>
  <c r="FF49" i="9"/>
  <c r="EU75" i="9"/>
  <c r="FZ119" i="9"/>
  <c r="GK107" i="9"/>
  <c r="FZ71" i="9"/>
  <c r="FQ101" i="9"/>
  <c r="FO170" i="9"/>
  <c r="FD152" i="9"/>
  <c r="ES335" i="9"/>
  <c r="GB203" i="9"/>
  <c r="FD185" i="9"/>
  <c r="FO49" i="9"/>
  <c r="ES253" i="9"/>
  <c r="GB165" i="9"/>
  <c r="EU112" i="9"/>
  <c r="FO40" i="9"/>
  <c r="ES213" i="9"/>
  <c r="GK112" i="9"/>
  <c r="GK153" i="9"/>
  <c r="GB68" i="9"/>
  <c r="EU120" i="9"/>
  <c r="FQ41" i="9"/>
  <c r="FQ32" i="9"/>
  <c r="FO111" i="9"/>
  <c r="GB87" i="9"/>
  <c r="GB156" i="9"/>
  <c r="GK109" i="9"/>
  <c r="FF62" i="9"/>
  <c r="FD229" i="9"/>
  <c r="FD136" i="9"/>
  <c r="FZ32" i="9"/>
  <c r="EU101" i="9"/>
  <c r="FZ171" i="9"/>
  <c r="FF227" i="9"/>
  <c r="GB139" i="9"/>
  <c r="GB140" i="9"/>
  <c r="ES186" i="9"/>
  <c r="FF107" i="9"/>
  <c r="FZ140" i="9"/>
  <c r="ES164" i="9"/>
  <c r="GB183" i="9"/>
  <c r="FO137" i="9"/>
  <c r="FZ180" i="9"/>
  <c r="FZ130" i="9"/>
  <c r="ES326" i="9"/>
  <c r="FQ50" i="9"/>
  <c r="FD168" i="9"/>
  <c r="FZ26" i="9"/>
  <c r="ES99" i="9"/>
  <c r="FF84" i="9"/>
  <c r="EU280" i="9"/>
  <c r="FQ132" i="9"/>
  <c r="GB145" i="9"/>
  <c r="ES122" i="9"/>
  <c r="FQ55" i="9"/>
  <c r="FF199" i="9"/>
  <c r="GB197" i="9"/>
  <c r="FQ97" i="9"/>
  <c r="FZ134" i="9"/>
  <c r="GB169" i="9"/>
  <c r="ES97" i="9"/>
  <c r="FQ105" i="9"/>
  <c r="FZ78" i="9"/>
  <c r="FF163" i="9"/>
  <c r="FO34" i="9"/>
  <c r="FF229" i="9"/>
  <c r="FZ76" i="9"/>
  <c r="FD167" i="9"/>
  <c r="ES140" i="9"/>
  <c r="EU66" i="9"/>
  <c r="FQ107" i="9"/>
  <c r="GM94" i="9"/>
  <c r="FD236" i="9"/>
  <c r="ES232" i="9"/>
  <c r="GB41" i="9"/>
  <c r="ES265" i="9"/>
  <c r="FF194" i="9"/>
  <c r="ES268" i="9"/>
  <c r="ES150" i="9"/>
  <c r="FQ44" i="9"/>
  <c r="GM149" i="9"/>
  <c r="FZ204" i="9"/>
  <c r="FO132" i="9"/>
  <c r="FD61" i="9"/>
  <c r="FZ202" i="9"/>
  <c r="GK133" i="9"/>
  <c r="ES121" i="9"/>
  <c r="GB225" i="9"/>
  <c r="FD230" i="9"/>
  <c r="FQ140" i="9"/>
  <c r="EU135" i="9"/>
  <c r="GB129" i="9"/>
  <c r="ES267" i="9"/>
  <c r="GB73" i="9"/>
  <c r="GB120" i="9"/>
  <c r="GB184" i="9"/>
  <c r="GB153" i="9"/>
  <c r="FF45" i="9"/>
  <c r="ES227" i="9"/>
  <c r="GM147" i="9"/>
  <c r="ES313" i="9"/>
  <c r="FZ154" i="9"/>
  <c r="FO110" i="9"/>
  <c r="FD60" i="9"/>
  <c r="GK68" i="9"/>
  <c r="GM103" i="9"/>
  <c r="ES168" i="9"/>
  <c r="GM131" i="9"/>
  <c r="FF106" i="9"/>
  <c r="EU149" i="9"/>
  <c r="FD149" i="9"/>
  <c r="GM112" i="9"/>
  <c r="FQ29" i="9"/>
  <c r="EU148" i="9"/>
  <c r="FZ52" i="9"/>
  <c r="EU321" i="9"/>
  <c r="FZ227" i="9"/>
  <c r="FD121" i="9"/>
  <c r="GK49" i="9"/>
  <c r="FF233" i="9"/>
  <c r="EU63" i="9"/>
  <c r="FQ153" i="9"/>
  <c r="FO93" i="9"/>
  <c r="FQ80" i="9"/>
  <c r="FD170" i="9"/>
  <c r="GM105" i="9"/>
  <c r="EU188" i="9"/>
  <c r="FZ193" i="9"/>
  <c r="GB35" i="9"/>
  <c r="FD224" i="9"/>
  <c r="ES189" i="9"/>
  <c r="EU332" i="9"/>
  <c r="GK83" i="9"/>
  <c r="EU197" i="9"/>
  <c r="EU314" i="9"/>
  <c r="FF104" i="9"/>
  <c r="EU333" i="9"/>
  <c r="EU136" i="9"/>
  <c r="FF26" i="9"/>
  <c r="GK63" i="9"/>
  <c r="ES35" i="9"/>
  <c r="FF156" i="9"/>
  <c r="ES109" i="9"/>
  <c r="FO61" i="9"/>
  <c r="FQ57" i="9"/>
  <c r="EU319" i="9"/>
  <c r="FF95" i="9"/>
  <c r="EU312" i="9"/>
  <c r="EU65" i="9"/>
  <c r="FZ141" i="9"/>
  <c r="FZ96" i="9"/>
  <c r="GK36" i="9"/>
  <c r="EU60" i="9"/>
  <c r="EU55" i="9"/>
  <c r="GM42" i="9"/>
  <c r="ES162" i="9"/>
  <c r="FZ104" i="9"/>
  <c r="EU105" i="9"/>
  <c r="EU132" i="9"/>
  <c r="FF65" i="9"/>
  <c r="ES240" i="9"/>
  <c r="GM45" i="9"/>
  <c r="GM77" i="9"/>
  <c r="ES260" i="9"/>
  <c r="FZ122" i="9"/>
  <c r="EU184" i="9"/>
  <c r="EU38" i="9"/>
  <c r="EU255" i="9"/>
  <c r="FD195" i="9"/>
  <c r="EU77" i="9"/>
  <c r="FQ94" i="9"/>
  <c r="FD98" i="9"/>
  <c r="FD78" i="9"/>
  <c r="FO173" i="9"/>
  <c r="FF216" i="9"/>
  <c r="FO24" i="9"/>
  <c r="GM61" i="9"/>
  <c r="ES115" i="9"/>
  <c r="GK135" i="9"/>
  <c r="ES110" i="9"/>
  <c r="FD148" i="9"/>
  <c r="GM55" i="9"/>
  <c r="FF111" i="9"/>
  <c r="EU270" i="9"/>
  <c r="GB212" i="9"/>
  <c r="GB219" i="9"/>
  <c r="ES90" i="9"/>
  <c r="FZ55" i="9"/>
  <c r="ES308" i="9"/>
  <c r="GM23" i="9"/>
  <c r="GB111" i="9"/>
  <c r="GB99" i="9"/>
  <c r="ES238" i="9"/>
  <c r="FF44" i="9"/>
  <c r="FZ123" i="9"/>
  <c r="GB24" i="9"/>
  <c r="EU241" i="9"/>
  <c r="FO60" i="9"/>
  <c r="FD147" i="9"/>
  <c r="FZ38" i="9"/>
  <c r="FZ137" i="9"/>
  <c r="FZ68" i="9"/>
  <c r="FQ131" i="9"/>
  <c r="FZ143" i="9"/>
  <c r="FO63" i="9"/>
  <c r="FO156" i="9"/>
  <c r="FZ151" i="9"/>
  <c r="EU182" i="9"/>
  <c r="GK52" i="9"/>
  <c r="GM85" i="9"/>
  <c r="FQ25" i="9"/>
  <c r="FF180" i="9"/>
  <c r="GB25" i="9"/>
  <c r="GB27" i="9"/>
  <c r="FQ116" i="9"/>
  <c r="EU292" i="9"/>
  <c r="FO56" i="9"/>
  <c r="ES153" i="9"/>
  <c r="EU185" i="9"/>
  <c r="FF41" i="9"/>
  <c r="FZ195" i="9"/>
  <c r="FZ74" i="9"/>
  <c r="FQ171" i="9"/>
  <c r="GM92" i="9"/>
  <c r="FQ23" i="9"/>
  <c r="EU230" i="9"/>
  <c r="ES79" i="9"/>
  <c r="EU231" i="9"/>
  <c r="FZ98" i="9"/>
  <c r="FD157" i="9"/>
  <c r="ES92" i="9"/>
  <c r="FF97" i="9"/>
  <c r="FD193" i="9"/>
  <c r="FF190" i="9"/>
  <c r="GM22" i="9"/>
  <c r="ES144" i="9"/>
  <c r="EU156" i="9"/>
  <c r="FF213" i="9"/>
  <c r="EU115" i="9"/>
  <c r="FF132" i="9"/>
  <c r="EU206" i="9"/>
  <c r="FO36" i="9"/>
  <c r="EU34" i="9"/>
  <c r="GB109" i="9"/>
  <c r="GK65" i="9"/>
  <c r="GM122" i="9"/>
  <c r="FQ134" i="9"/>
  <c r="FF200" i="9"/>
  <c r="FD217" i="9"/>
  <c r="FD129" i="9"/>
  <c r="EU222" i="9"/>
  <c r="FF224" i="9"/>
  <c r="GM90" i="9"/>
  <c r="FZ160" i="9"/>
  <c r="EU204" i="9"/>
  <c r="FZ178" i="9"/>
  <c r="FQ62" i="9"/>
  <c r="FQ38" i="9"/>
  <c r="FZ87" i="9"/>
  <c r="ES104" i="9"/>
  <c r="ES34" i="9"/>
  <c r="FQ149" i="9"/>
  <c r="FD154" i="9"/>
  <c r="FQ24" i="9"/>
  <c r="EU211" i="9"/>
  <c r="GB70" i="9"/>
  <c r="FQ35" i="9"/>
  <c r="GB130" i="9"/>
  <c r="FQ86" i="9"/>
  <c r="FF92" i="9"/>
  <c r="ES311" i="9"/>
  <c r="FO134" i="9"/>
  <c r="GK62" i="9"/>
  <c r="EU91" i="9"/>
  <c r="ES271" i="9"/>
  <c r="GM98" i="9"/>
  <c r="FQ158" i="9"/>
  <c r="GB113" i="9"/>
  <c r="FD28" i="9"/>
  <c r="EU273" i="9"/>
  <c r="FD44" i="9"/>
  <c r="GK102" i="9"/>
  <c r="FD51" i="9"/>
  <c r="GB37" i="9"/>
  <c r="ES105" i="9"/>
  <c r="GB28" i="9"/>
  <c r="FO31" i="9"/>
  <c r="FZ181" i="9"/>
  <c r="EU234" i="9"/>
  <c r="FD188" i="9"/>
  <c r="FZ51" i="9"/>
  <c r="FD190" i="9"/>
  <c r="FQ126" i="9"/>
  <c r="FQ87" i="9"/>
  <c r="FZ120" i="9"/>
  <c r="FZ59" i="9"/>
  <c r="GB33" i="9"/>
  <c r="GB59" i="9"/>
  <c r="FD203" i="9"/>
  <c r="FD205" i="9"/>
  <c r="FD176" i="9"/>
  <c r="GB23" i="9"/>
  <c r="FO42" i="9"/>
  <c r="FF151" i="9"/>
  <c r="GM63" i="9"/>
  <c r="GM76" i="9"/>
  <c r="EU329" i="9"/>
  <c r="ES157" i="9"/>
  <c r="GK94" i="9"/>
  <c r="GM133" i="9"/>
  <c r="EU126" i="9"/>
  <c r="FF76" i="9"/>
  <c r="FD142" i="9"/>
  <c r="FD33" i="9"/>
  <c r="GB69" i="9"/>
  <c r="FZ165" i="9"/>
  <c r="ES71" i="9"/>
  <c r="GK134" i="9"/>
  <c r="EU275" i="9"/>
  <c r="ES82" i="9"/>
  <c r="FQ52" i="9"/>
  <c r="ES208" i="9"/>
  <c r="FD101" i="9"/>
  <c r="FO30" i="9"/>
  <c r="ES293" i="9"/>
  <c r="ES49" i="9"/>
  <c r="FO67" i="9"/>
  <c r="FO90" i="9"/>
  <c r="ES243" i="9"/>
  <c r="GB67" i="9"/>
  <c r="ES334" i="9"/>
  <c r="GB175" i="9"/>
  <c r="FO118" i="9"/>
  <c r="FF186" i="9"/>
  <c r="FO150" i="9"/>
  <c r="FF98" i="9"/>
  <c r="FZ70" i="9"/>
  <c r="EU309" i="9"/>
  <c r="FQ172" i="9"/>
  <c r="FO101" i="9"/>
  <c r="FD23" i="9"/>
  <c r="ES252" i="9"/>
  <c r="EU74" i="9"/>
  <c r="ES84" i="9"/>
  <c r="FO108" i="9"/>
  <c r="FF240" i="9"/>
  <c r="EU253" i="9"/>
  <c r="FD38" i="9"/>
  <c r="FQ40" i="9"/>
  <c r="FD237" i="9"/>
  <c r="FQ173" i="9"/>
  <c r="FQ64" i="9"/>
  <c r="ES327" i="9"/>
  <c r="FF210" i="9"/>
  <c r="GK141" i="9"/>
  <c r="GK25" i="9"/>
  <c r="EU308" i="9"/>
  <c r="FF35" i="9"/>
  <c r="ES229" i="9"/>
  <c r="FO78" i="9"/>
  <c r="FQ74" i="9"/>
  <c r="GK98" i="9"/>
  <c r="ES200" i="9"/>
  <c r="FD172" i="9"/>
  <c r="EU178" i="9"/>
  <c r="FD215" i="9"/>
  <c r="ES119" i="9"/>
  <c r="GK51" i="9"/>
  <c r="FO47" i="9"/>
  <c r="GK70" i="9"/>
  <c r="FO76" i="9"/>
  <c r="GM38" i="9"/>
  <c r="FF79" i="9"/>
  <c r="EU322" i="9"/>
  <c r="EU183" i="9"/>
  <c r="FZ194" i="9"/>
  <c r="FD110" i="9"/>
  <c r="GK104" i="9"/>
  <c r="FF69" i="9"/>
  <c r="FF86" i="9"/>
  <c r="EU224" i="9"/>
  <c r="FZ208" i="9"/>
  <c r="FD26" i="9"/>
  <c r="FF55" i="9"/>
  <c r="GM73" i="9"/>
  <c r="FZ65" i="9"/>
  <c r="EU218" i="9"/>
  <c r="EU244" i="9"/>
  <c r="FF238" i="9"/>
  <c r="FZ43" i="9"/>
  <c r="FF53" i="9"/>
  <c r="GB147" i="9"/>
  <c r="EU193" i="9"/>
  <c r="EU289" i="9"/>
  <c r="FO89" i="9"/>
  <c r="FD74" i="9"/>
  <c r="EU267" i="9"/>
  <c r="FF123" i="9"/>
  <c r="ES176" i="9"/>
  <c r="EU133" i="9"/>
  <c r="GK60" i="9"/>
  <c r="FF239" i="9"/>
  <c r="GK103" i="9"/>
  <c r="FF175" i="9"/>
  <c r="EU165" i="9"/>
  <c r="ES318" i="9"/>
  <c r="FZ45" i="9"/>
  <c r="FO39" i="9"/>
  <c r="ES180" i="9"/>
  <c r="ES29" i="9"/>
  <c r="GK26" i="9"/>
  <c r="EU293" i="9"/>
  <c r="FZ222" i="9"/>
  <c r="EU261" i="9"/>
  <c r="FF228" i="9"/>
  <c r="FD90" i="9"/>
  <c r="EU243" i="9"/>
  <c r="FO35" i="9"/>
  <c r="FZ111" i="9"/>
  <c r="GB38" i="9"/>
  <c r="GM86" i="9"/>
  <c r="FO83" i="9"/>
  <c r="EU320" i="9"/>
  <c r="FZ27" i="9"/>
  <c r="FD49" i="9"/>
  <c r="EU335" i="9"/>
  <c r="ES279" i="9"/>
  <c r="FQ36" i="9"/>
  <c r="ES139" i="9"/>
  <c r="EU331" i="9"/>
  <c r="ES177" i="9"/>
  <c r="FO168" i="9"/>
  <c r="FO94" i="9"/>
  <c r="GB215" i="9"/>
  <c r="GK48" i="9"/>
  <c r="ES46" i="9"/>
  <c r="GM54" i="9"/>
  <c r="FZ223" i="9"/>
  <c r="FF119" i="9"/>
  <c r="FO125" i="9"/>
  <c r="FD209" i="9"/>
  <c r="EU268" i="9"/>
  <c r="ES322" i="9"/>
  <c r="FD131" i="9"/>
  <c r="FD103" i="9"/>
  <c r="GB126" i="9"/>
  <c r="GM93" i="9"/>
  <c r="GK91" i="9"/>
  <c r="FF89" i="9"/>
  <c r="EU311" i="9"/>
  <c r="EU307" i="9"/>
  <c r="FO146" i="9"/>
  <c r="EU208" i="9"/>
  <c r="EU202" i="9"/>
  <c r="GM138" i="9"/>
  <c r="FZ200" i="9"/>
  <c r="FF100" i="9"/>
  <c r="GB171" i="9"/>
  <c r="EU155" i="9"/>
  <c r="ES126" i="9"/>
  <c r="EU191" i="9"/>
  <c r="FF47" i="9"/>
  <c r="EU235" i="9"/>
  <c r="EU336" i="9"/>
  <c r="GB208" i="9"/>
  <c r="FO84" i="9"/>
  <c r="GB40" i="9"/>
  <c r="ES117" i="9"/>
  <c r="FD196" i="9"/>
  <c r="EU310" i="9"/>
  <c r="FQ39" i="9"/>
  <c r="EU305" i="9"/>
  <c r="FZ145" i="9"/>
  <c r="FF231" i="9"/>
  <c r="GM84" i="9"/>
  <c r="FQ43" i="9"/>
  <c r="EU68" i="9"/>
  <c r="EU229" i="9"/>
  <c r="GK24" i="9"/>
  <c r="ES274" i="9"/>
  <c r="EU72" i="9"/>
  <c r="FQ167" i="9"/>
  <c r="FF230" i="9"/>
  <c r="GK108" i="9"/>
  <c r="GB89" i="9"/>
  <c r="EU154" i="9"/>
  <c r="GM154" i="9"/>
  <c r="EU61" i="9"/>
  <c r="FZ189" i="9"/>
  <c r="ES188" i="9"/>
  <c r="FD220" i="9"/>
  <c r="EU31" i="9"/>
  <c r="FD118" i="9"/>
  <c r="FD139" i="9"/>
  <c r="ES316" i="9"/>
  <c r="FZ35" i="9"/>
  <c r="EU264" i="9"/>
  <c r="ES179" i="9"/>
  <c r="ES199" i="9"/>
  <c r="FQ42" i="9"/>
  <c r="GK85" i="9"/>
  <c r="FO164" i="9"/>
  <c r="FF110" i="9"/>
  <c r="EU215" i="9"/>
  <c r="ES307" i="9"/>
  <c r="FD182" i="9"/>
  <c r="ES24" i="9"/>
  <c r="FD115" i="9"/>
  <c r="FZ142" i="9"/>
  <c r="GB149" i="9"/>
  <c r="FQ26" i="9"/>
  <c r="GB82" i="9"/>
  <c r="FD164" i="9"/>
  <c r="ES80" i="9"/>
  <c r="FD45" i="9"/>
  <c r="EU56" i="9"/>
  <c r="FD37" i="9"/>
  <c r="EU121" i="9"/>
  <c r="FQ102" i="9"/>
  <c r="ES287" i="9"/>
  <c r="FD120" i="9"/>
  <c r="FF135" i="9"/>
  <c r="FO29" i="9"/>
  <c r="EU160" i="9"/>
  <c r="GB189" i="9"/>
  <c r="EU327" i="9"/>
  <c r="FD88" i="9"/>
  <c r="GB44" i="9"/>
  <c r="GK42" i="9"/>
  <c r="EU250" i="9"/>
  <c r="FF208" i="9"/>
  <c r="FF25" i="9"/>
  <c r="FD87" i="9"/>
  <c r="GM41" i="9"/>
  <c r="GK37" i="9"/>
  <c r="EU187" i="9"/>
  <c r="FD62" i="9"/>
  <c r="FF85" i="9"/>
  <c r="GB186" i="9"/>
  <c r="GB172" i="9"/>
  <c r="EU318" i="9"/>
  <c r="ES101" i="9"/>
  <c r="ES282" i="9"/>
  <c r="GK138" i="9"/>
  <c r="FF37" i="9"/>
  <c r="EU217" i="9"/>
  <c r="GM128" i="9"/>
  <c r="FO43" i="9"/>
  <c r="GB135" i="9"/>
  <c r="FQ54" i="9"/>
  <c r="GM37" i="9"/>
  <c r="FF143" i="9"/>
  <c r="FO167" i="9"/>
  <c r="GK96" i="9"/>
  <c r="FD46" i="9"/>
  <c r="FF146" i="9"/>
  <c r="FQ96" i="9"/>
  <c r="EU203" i="9"/>
  <c r="GB103" i="9"/>
  <c r="GK38" i="9"/>
  <c r="GB43" i="9"/>
  <c r="FQ28" i="9"/>
  <c r="EU174" i="9"/>
  <c r="EU209" i="9"/>
  <c r="FZ172" i="9"/>
  <c r="FD80" i="9"/>
  <c r="ES132" i="9"/>
  <c r="EU260" i="9"/>
  <c r="FD189" i="9"/>
  <c r="EU98" i="9"/>
  <c r="EU200" i="9"/>
  <c r="GK46" i="9"/>
  <c r="GB22" i="9"/>
  <c r="EU146" i="9"/>
  <c r="GB220" i="9"/>
  <c r="FF56" i="9"/>
  <c r="FZ60" i="9"/>
  <c r="ES172" i="9"/>
  <c r="ES284" i="9"/>
  <c r="EU237" i="9"/>
  <c r="ES304" i="9"/>
  <c r="FO136" i="9"/>
  <c r="FZ105" i="9"/>
  <c r="FD76" i="9"/>
  <c r="FD69" i="9"/>
  <c r="FO166" i="9"/>
  <c r="FF183" i="9"/>
  <c r="FD199" i="9"/>
  <c r="FQ143" i="9"/>
  <c r="EU30" i="9"/>
  <c r="EU295" i="9"/>
  <c r="EU199" i="9"/>
  <c r="FZ46" i="9"/>
  <c r="GB110" i="9"/>
  <c r="EU283" i="9"/>
  <c r="FF154" i="9"/>
  <c r="FF157" i="9"/>
  <c r="FQ30" i="9"/>
  <c r="EU36" i="9"/>
  <c r="FZ97" i="9"/>
  <c r="GB155" i="9"/>
  <c r="FZ144" i="9"/>
  <c r="GB194" i="9"/>
  <c r="EU282" i="9"/>
  <c r="FZ148" i="9"/>
  <c r="FZ226" i="9"/>
  <c r="EU252" i="9"/>
  <c r="ES295" i="9"/>
  <c r="GB190" i="9"/>
  <c r="EU103" i="9"/>
  <c r="ES246" i="9"/>
  <c r="FD24" i="9"/>
  <c r="GM29" i="9"/>
  <c r="GK30" i="9"/>
  <c r="ES86" i="9"/>
  <c r="GM24" i="9"/>
  <c r="FF138" i="9"/>
  <c r="GM70" i="9"/>
  <c r="FZ164" i="9"/>
  <c r="GM62" i="9"/>
  <c r="FF141" i="9"/>
  <c r="GK117" i="9"/>
  <c r="EU163" i="9"/>
  <c r="FO64" i="9"/>
  <c r="FO165" i="9"/>
  <c r="FD202" i="9"/>
  <c r="ES41" i="9"/>
  <c r="FZ86" i="9"/>
  <c r="FF140" i="9"/>
  <c r="EU51" i="9"/>
  <c r="ES23" i="9"/>
  <c r="EU127" i="9"/>
  <c r="FO59" i="9"/>
  <c r="FO87" i="9"/>
  <c r="GB164" i="9"/>
  <c r="GK145" i="9"/>
  <c r="FQ113" i="9"/>
  <c r="FO155" i="9"/>
  <c r="ES223" i="9"/>
  <c r="FO104" i="9"/>
  <c r="EU328" i="9"/>
  <c r="ES233" i="9"/>
  <c r="ES257" i="9"/>
  <c r="ES330" i="9"/>
  <c r="EU168" i="9"/>
  <c r="FD135" i="9"/>
  <c r="FO147" i="9"/>
  <c r="GK47" i="9"/>
  <c r="FQ122" i="9"/>
  <c r="GK71" i="9"/>
  <c r="FD216" i="9"/>
  <c r="FD35" i="9"/>
  <c r="FD192" i="9"/>
  <c r="GB136" i="9"/>
  <c r="FD231" i="9"/>
  <c r="ES204" i="9"/>
  <c r="GK139" i="9"/>
  <c r="FQ168" i="9"/>
  <c r="FO124" i="9"/>
  <c r="EU131" i="9"/>
  <c r="EU43" i="9"/>
  <c r="FD169" i="9"/>
  <c r="GM117" i="9"/>
  <c r="FZ100" i="9"/>
  <c r="ES57" i="9"/>
  <c r="GB143" i="9"/>
  <c r="FF27" i="9"/>
  <c r="ES103" i="9"/>
  <c r="ES127" i="9"/>
  <c r="FZ90" i="9"/>
  <c r="ES301" i="9"/>
  <c r="GB166" i="9"/>
  <c r="FZ77" i="9"/>
  <c r="FQ72" i="9"/>
  <c r="GB196" i="9"/>
  <c r="FF33" i="9"/>
  <c r="EU299" i="9"/>
  <c r="EU269" i="9"/>
  <c r="FZ197" i="9"/>
  <c r="FF48" i="9"/>
  <c r="GM96" i="9"/>
  <c r="ES226" i="9"/>
  <c r="FF114" i="9"/>
  <c r="FF66" i="9"/>
  <c r="EU266" i="9"/>
  <c r="FO119" i="9"/>
  <c r="FZ49" i="9"/>
  <c r="FZ56" i="9"/>
  <c r="FD96" i="9"/>
  <c r="GK89" i="9"/>
  <c r="FF191" i="9"/>
  <c r="FD163" i="9"/>
  <c r="GM82" i="9"/>
  <c r="ES53" i="9"/>
  <c r="FD58" i="9"/>
  <c r="ES87" i="9"/>
  <c r="FF87" i="9"/>
  <c r="GK66" i="9"/>
  <c r="FD201" i="9"/>
  <c r="FO66" i="9"/>
  <c r="GB53" i="9"/>
  <c r="FZ44" i="9"/>
  <c r="FQ118" i="9"/>
  <c r="ES114" i="9"/>
  <c r="GK35" i="9"/>
  <c r="GM89" i="9"/>
  <c r="FQ58" i="9"/>
  <c r="ES201" i="9"/>
  <c r="GM109" i="9"/>
  <c r="FQ67" i="9"/>
  <c r="FZ155" i="9"/>
  <c r="FO131" i="9"/>
  <c r="FF40" i="9"/>
  <c r="GM40" i="9"/>
  <c r="FZ124" i="9"/>
  <c r="GB60" i="9"/>
  <c r="FF134" i="9"/>
  <c r="EU220" i="9"/>
  <c r="ES288" i="9"/>
  <c r="FQ128" i="9"/>
  <c r="GK23" i="9"/>
  <c r="ES218" i="9"/>
  <c r="EU150" i="9"/>
  <c r="GB159" i="9"/>
  <c r="FD226" i="9"/>
  <c r="FZ88" i="9"/>
  <c r="ES59" i="9"/>
  <c r="ES143" i="9"/>
  <c r="ES286" i="9"/>
  <c r="GB100" i="9"/>
  <c r="GB161" i="9"/>
  <c r="ES22" i="9"/>
  <c r="FF161" i="9"/>
  <c r="EU24" i="9"/>
  <c r="FZ135" i="9"/>
  <c r="GK82" i="9"/>
  <c r="FD43" i="9"/>
  <c r="FD194" i="9"/>
  <c r="EU111" i="9"/>
  <c r="FO38" i="9"/>
  <c r="FF116" i="9"/>
  <c r="GB91" i="9"/>
  <c r="GB188" i="9"/>
  <c r="FZ69" i="9"/>
  <c r="EU173" i="9"/>
  <c r="FZ191" i="9"/>
  <c r="FQ114" i="9"/>
  <c r="FF211" i="9"/>
  <c r="EU298" i="9"/>
  <c r="FD208" i="9"/>
  <c r="GK67" i="9"/>
  <c r="ES261" i="9"/>
  <c r="FO65" i="9"/>
  <c r="ES116" i="9"/>
  <c r="ES47" i="9"/>
  <c r="ES108" i="9"/>
  <c r="EU249" i="9"/>
  <c r="GK126" i="9"/>
  <c r="FD93" i="9"/>
  <c r="GK129" i="9"/>
  <c r="FF126" i="9"/>
  <c r="EU306" i="9"/>
  <c r="FZ190" i="9"/>
  <c r="ES292" i="9"/>
  <c r="GB122" i="9"/>
  <c r="ES255" i="9"/>
  <c r="GM39" i="9"/>
  <c r="FF242" i="9"/>
  <c r="FD179" i="9"/>
  <c r="FF94" i="9"/>
  <c r="EU326" i="9"/>
  <c r="FZ184" i="9"/>
  <c r="FD228" i="9"/>
  <c r="GM140" i="9"/>
  <c r="FD56" i="9"/>
  <c r="EU180" i="9"/>
  <c r="GB116" i="9"/>
  <c r="FF153" i="9"/>
  <c r="GM53" i="9"/>
  <c r="FD57" i="9"/>
  <c r="FQ68" i="9"/>
  <c r="GK105" i="9"/>
  <c r="FD150" i="9"/>
  <c r="FF109" i="9"/>
  <c r="FD214" i="9"/>
  <c r="ES106" i="9"/>
  <c r="EU83" i="9"/>
  <c r="FQ147" i="9"/>
  <c r="GB75" i="9"/>
  <c r="FQ69" i="9"/>
  <c r="FQ154" i="9"/>
  <c r="EU22" i="9"/>
  <c r="ES251" i="9"/>
  <c r="FD155" i="9"/>
  <c r="ES134" i="9"/>
  <c r="EU240" i="9"/>
  <c r="FZ185" i="9"/>
  <c r="FF220" i="9"/>
  <c r="EU263" i="9"/>
  <c r="EU124" i="9"/>
  <c r="EU104" i="9"/>
  <c r="FD41" i="9"/>
  <c r="ES175" i="9"/>
  <c r="FF160" i="9"/>
  <c r="EU47" i="9"/>
  <c r="FF145" i="9"/>
  <c r="FZ81" i="9"/>
  <c r="FD105" i="9"/>
  <c r="GK73" i="9"/>
  <c r="FQ170" i="9"/>
  <c r="FO133" i="9"/>
  <c r="FQ98" i="9"/>
  <c r="GB62" i="9"/>
  <c r="FZ220" i="9"/>
  <c r="EU87" i="9"/>
  <c r="ES228" i="9"/>
  <c r="ES142" i="9"/>
  <c r="FF125" i="9"/>
  <c r="FF133" i="9"/>
  <c r="FD128" i="9"/>
  <c r="FF236" i="9"/>
  <c r="GB141" i="9"/>
  <c r="GM69" i="9"/>
  <c r="GM33" i="9"/>
  <c r="ES169" i="9"/>
  <c r="FO161" i="9"/>
  <c r="ES312" i="9"/>
  <c r="FO26" i="9"/>
  <c r="FQ48" i="9"/>
  <c r="EU302" i="9"/>
  <c r="FZ30" i="9"/>
  <c r="EU33" i="9"/>
  <c r="FZ118" i="9"/>
  <c r="ES37" i="9"/>
  <c r="FD84" i="9"/>
  <c r="GB221" i="9"/>
  <c r="FD126" i="9"/>
  <c r="GB191" i="9"/>
  <c r="ES112" i="9"/>
  <c r="EU97" i="9"/>
  <c r="FF241" i="9"/>
  <c r="FO138" i="9"/>
  <c r="GK114" i="9"/>
  <c r="FO114" i="9"/>
  <c r="ES203" i="9"/>
  <c r="ES239" i="9"/>
  <c r="FO169" i="9"/>
  <c r="GB36" i="9"/>
  <c r="ES174" i="9"/>
  <c r="FD178" i="9"/>
  <c r="EU90" i="9"/>
  <c r="FF192" i="9"/>
  <c r="GK22" i="9"/>
  <c r="GB94" i="9"/>
  <c r="EU277" i="9"/>
  <c r="ES250" i="9"/>
  <c r="FZ40" i="9"/>
  <c r="EU84" i="9"/>
  <c r="FD181" i="9"/>
  <c r="ES310" i="9"/>
  <c r="FD143" i="9"/>
  <c r="GM129" i="9"/>
  <c r="GB198" i="9"/>
  <c r="ES222" i="9"/>
  <c r="ES195" i="9"/>
  <c r="ES285" i="9"/>
  <c r="GK29" i="9"/>
  <c r="EU159" i="9"/>
  <c r="ES256" i="9"/>
  <c r="EU227" i="9"/>
  <c r="FF226" i="9"/>
  <c r="FD22" i="9"/>
  <c r="EU254" i="9"/>
  <c r="EU141" i="9"/>
  <c r="FZ22" i="9"/>
  <c r="FD177" i="9"/>
  <c r="FD160" i="9"/>
  <c r="FZ95" i="9"/>
  <c r="FO71" i="9"/>
  <c r="FF131" i="9"/>
  <c r="GK118" i="9"/>
  <c r="GK110" i="9"/>
  <c r="GM46" i="9"/>
  <c r="GK39" i="9"/>
  <c r="FD48" i="9"/>
  <c r="ES167" i="9"/>
  <c r="EU130" i="9"/>
  <c r="FO148" i="9"/>
  <c r="FO153" i="9"/>
  <c r="FQ89" i="9"/>
  <c r="ES78" i="9"/>
  <c r="GB137" i="9"/>
  <c r="FD162" i="9"/>
  <c r="EU276" i="9"/>
  <c r="FD72" i="9"/>
  <c r="ES70" i="9"/>
  <c r="FQ145" i="9"/>
  <c r="ES43" i="9"/>
  <c r="FZ199" i="9"/>
  <c r="ES197" i="9"/>
  <c r="FO32" i="9"/>
  <c r="GM142" i="9"/>
  <c r="GM137" i="9"/>
  <c r="ES54" i="9"/>
  <c r="GB146" i="9"/>
  <c r="ES298" i="9"/>
  <c r="FD127" i="9"/>
  <c r="EU256" i="9"/>
  <c r="FF70" i="9"/>
  <c r="GK113" i="9"/>
  <c r="FF102" i="9"/>
  <c r="FQ127" i="9"/>
  <c r="FQ152" i="9"/>
  <c r="FO160" i="9"/>
  <c r="FQ133" i="9"/>
  <c r="ES190" i="9"/>
  <c r="FO86" i="9"/>
  <c r="FO52" i="9"/>
  <c r="GM72" i="9"/>
  <c r="FD153" i="9"/>
  <c r="ES205" i="9"/>
  <c r="FZ85" i="9"/>
  <c r="FD47" i="9"/>
  <c r="FD64" i="9"/>
  <c r="FQ85" i="9"/>
  <c r="FZ176" i="9"/>
  <c r="GM87" i="9"/>
  <c r="ES130" i="9"/>
  <c r="GM125" i="9"/>
  <c r="GM50" i="9"/>
  <c r="FZ152" i="9"/>
  <c r="ES281" i="9"/>
  <c r="GB78" i="9"/>
  <c r="FO72" i="9"/>
  <c r="GB30" i="9"/>
  <c r="ES81" i="9"/>
  <c r="GM43" i="9"/>
  <c r="GB223" i="9"/>
  <c r="GB162" i="9"/>
  <c r="GK142" i="9"/>
  <c r="GM113" i="9"/>
  <c r="GK33" i="9"/>
  <c r="FF39" i="9"/>
  <c r="FQ108" i="9"/>
  <c r="ES52" i="9"/>
  <c r="FZ112" i="9"/>
  <c r="FZ24" i="9"/>
  <c r="FO22" i="9"/>
  <c r="FD113" i="9"/>
  <c r="FQ46" i="9"/>
  <c r="FF68" i="9"/>
  <c r="GB163" i="9"/>
  <c r="ES273" i="9"/>
  <c r="FQ121" i="9"/>
  <c r="FZ114" i="9"/>
  <c r="GM120" i="9"/>
  <c r="ES145" i="9"/>
  <c r="GB178" i="9"/>
  <c r="FO140" i="9"/>
  <c r="FD175" i="9"/>
  <c r="ES289" i="9"/>
  <c r="FO117" i="9"/>
  <c r="EU64" i="9"/>
  <c r="FO74" i="9"/>
  <c r="GM104" i="9"/>
  <c r="ES242" i="9"/>
  <c r="EU122" i="9"/>
  <c r="FZ109" i="9"/>
  <c r="EU110" i="9"/>
  <c r="GK140" i="9"/>
  <c r="FO162" i="9"/>
  <c r="EU274" i="9"/>
  <c r="GB105" i="9"/>
  <c r="GB226" i="9"/>
  <c r="ES244" i="9"/>
  <c r="GA174" i="9" l="1"/>
  <c r="ET276" i="9"/>
  <c r="FE202" i="9"/>
  <c r="ET249" i="9"/>
  <c r="FP151" i="9"/>
  <c r="ET326" i="9"/>
  <c r="ET241" i="9"/>
  <c r="ET216" i="9"/>
  <c r="GL84" i="9"/>
  <c r="ET112" i="9"/>
  <c r="FE224" i="9"/>
  <c r="ET71" i="9"/>
  <c r="GL33" i="9"/>
  <c r="FE146" i="9"/>
  <c r="FP33" i="9"/>
  <c r="FP40" i="9"/>
  <c r="GL116" i="9"/>
  <c r="FE169" i="9"/>
  <c r="FE105" i="9"/>
  <c r="FE230" i="9"/>
  <c r="GL131" i="9"/>
  <c r="GA187" i="9"/>
  <c r="ET256" i="9"/>
  <c r="GL108" i="9"/>
  <c r="GA138" i="9"/>
  <c r="GL124" i="9"/>
  <c r="GL98" i="9"/>
  <c r="FE136" i="9"/>
  <c r="GL127" i="9"/>
  <c r="FE163" i="9"/>
  <c r="ET334" i="9"/>
  <c r="FP147" i="9"/>
  <c r="FE166" i="9"/>
  <c r="ET23" i="9"/>
  <c r="GL55" i="9"/>
  <c r="ET38" i="9"/>
  <c r="ET80" i="9"/>
  <c r="FE196" i="9"/>
  <c r="FP112" i="9"/>
  <c r="GA199" i="9"/>
  <c r="GL67" i="9"/>
  <c r="ET191" i="9"/>
  <c r="FE112" i="9"/>
  <c r="GA165" i="9"/>
  <c r="FP120" i="9"/>
  <c r="GA183" i="9"/>
  <c r="GL82" i="9"/>
  <c r="ET308" i="9"/>
  <c r="FP82" i="9"/>
  <c r="FP61" i="9"/>
  <c r="FP109" i="9"/>
  <c r="GA133" i="9"/>
  <c r="ET232" i="9"/>
  <c r="ET43" i="9"/>
  <c r="GA108" i="9"/>
  <c r="FE25" i="9"/>
  <c r="ET290" i="9"/>
  <c r="FE221" i="9"/>
  <c r="GA146" i="9"/>
  <c r="FE91" i="9"/>
  <c r="ET248" i="9"/>
  <c r="GL23" i="9"/>
  <c r="ET107" i="9"/>
  <c r="FE42" i="9"/>
  <c r="FP23" i="9"/>
  <c r="FE193" i="9"/>
  <c r="ET282" i="9"/>
  <c r="FP100" i="9"/>
  <c r="ET91" i="9"/>
  <c r="FE134" i="9"/>
  <c r="FE81" i="9"/>
  <c r="GA81" i="9"/>
  <c r="ET305" i="9"/>
  <c r="GA126" i="9"/>
  <c r="GA134" i="9"/>
  <c r="GA43" i="9"/>
  <c r="FE156" i="9"/>
  <c r="ET175" i="9"/>
  <c r="ET318" i="9"/>
  <c r="GL79" i="9"/>
  <c r="GA207" i="9"/>
  <c r="ET153" i="9"/>
  <c r="FE122" i="9"/>
  <c r="ET219" i="9"/>
  <c r="FP165" i="9"/>
  <c r="ET218" i="9"/>
  <c r="ET62" i="9"/>
  <c r="GA130" i="9"/>
  <c r="GA34" i="9"/>
  <c r="FE59" i="9"/>
  <c r="ET199" i="9"/>
  <c r="GA103" i="9"/>
  <c r="FP59" i="9"/>
  <c r="GA219" i="9"/>
  <c r="ET118" i="9"/>
  <c r="FE53" i="9"/>
  <c r="GL88" i="9"/>
  <c r="GA161" i="9"/>
  <c r="GL39" i="9"/>
  <c r="ET202" i="9"/>
  <c r="FP173" i="9"/>
  <c r="FE170" i="9"/>
  <c r="FP91" i="9"/>
  <c r="ET40" i="9"/>
  <c r="FE208" i="9"/>
  <c r="FE191" i="9"/>
  <c r="ET264" i="9"/>
  <c r="FE135" i="9"/>
  <c r="FE55" i="9"/>
  <c r="GL46" i="9"/>
  <c r="ET147" i="9"/>
  <c r="ET306" i="9"/>
  <c r="FE164" i="9"/>
  <c r="ET117" i="9"/>
  <c r="FE180" i="9"/>
  <c r="GA111" i="9"/>
  <c r="FP171" i="9"/>
  <c r="FP78" i="9"/>
  <c r="FP158" i="9"/>
  <c r="FP44" i="9"/>
  <c r="FE227" i="9"/>
  <c r="GA135" i="9"/>
  <c r="GA55" i="9"/>
  <c r="GL99" i="9"/>
  <c r="GA149" i="9"/>
  <c r="ET109" i="9"/>
  <c r="FE138" i="9"/>
  <c r="FE236" i="9"/>
  <c r="ET60" i="9"/>
  <c r="ET33" i="9"/>
  <c r="ET31" i="9"/>
  <c r="GA82" i="9"/>
  <c r="ET161" i="9"/>
  <c r="GA213" i="9"/>
  <c r="ET69" i="9"/>
  <c r="ET292" i="9"/>
  <c r="FP54" i="9"/>
  <c r="ET101" i="9"/>
  <c r="ET141" i="9"/>
  <c r="GA169" i="9"/>
  <c r="FP166" i="9"/>
  <c r="GL34" i="9"/>
  <c r="FE229" i="9"/>
  <c r="GL22" i="9"/>
  <c r="GA99" i="9"/>
  <c r="FE41" i="9"/>
  <c r="ET242" i="9"/>
  <c r="GL138" i="9"/>
  <c r="FP94" i="9"/>
  <c r="GL54" i="9"/>
  <c r="FP56" i="9"/>
  <c r="FE86" i="9"/>
  <c r="GA139" i="9"/>
  <c r="FP64" i="9"/>
  <c r="ET34" i="9"/>
  <c r="GA116" i="9"/>
  <c r="GA180" i="9"/>
  <c r="FP159" i="9"/>
  <c r="ET179" i="9"/>
  <c r="FE126" i="9"/>
  <c r="FP113" i="9"/>
  <c r="ET246" i="9"/>
  <c r="ET121" i="9"/>
  <c r="GA28" i="9"/>
  <c r="GA205" i="9"/>
  <c r="GA72" i="9"/>
  <c r="FP108" i="9"/>
  <c r="GA176" i="9"/>
  <c r="FP152" i="9"/>
  <c r="FP96" i="9"/>
  <c r="GL29" i="9"/>
  <c r="FE78" i="9"/>
  <c r="GL111" i="9"/>
  <c r="GL89" i="9"/>
  <c r="ET243" i="9"/>
  <c r="FE45" i="9"/>
  <c r="FE50" i="9"/>
  <c r="GA47" i="9"/>
  <c r="GA104" i="9"/>
  <c r="ET192" i="9"/>
  <c r="FE243" i="9"/>
  <c r="FP35" i="9"/>
  <c r="FP48" i="9"/>
  <c r="GL110" i="9"/>
  <c r="ET229" i="9"/>
  <c r="FE33" i="9"/>
  <c r="GL73" i="9"/>
  <c r="GL58" i="9"/>
  <c r="ET130" i="9"/>
  <c r="GL35" i="9"/>
  <c r="ET90" i="9"/>
  <c r="FP95" i="9"/>
  <c r="GL53" i="9"/>
  <c r="FE235" i="9"/>
  <c r="GL42" i="9"/>
  <c r="ET70" i="9"/>
  <c r="FE88" i="9"/>
  <c r="ET253" i="9"/>
  <c r="FP73" i="9"/>
  <c r="ET331" i="9"/>
  <c r="ET148" i="9"/>
  <c r="FP77" i="9"/>
  <c r="GL142" i="9"/>
  <c r="GL103" i="9"/>
  <c r="ET288" i="9"/>
  <c r="ET315" i="9"/>
  <c r="ET96" i="9"/>
  <c r="FE141" i="9"/>
  <c r="GA190" i="9"/>
  <c r="FP53" i="9"/>
  <c r="ET92" i="9"/>
  <c r="GA68" i="9"/>
  <c r="GA194" i="9"/>
  <c r="FE69" i="9"/>
  <c r="FP176" i="9"/>
  <c r="ET336" i="9"/>
  <c r="ET111" i="9"/>
  <c r="FP168" i="9"/>
  <c r="FE99" i="9"/>
  <c r="ET25" i="9"/>
  <c r="ET104" i="9"/>
  <c r="FP137" i="9"/>
  <c r="FE239" i="9"/>
  <c r="GA143" i="9"/>
  <c r="GL133" i="9"/>
  <c r="GA131" i="9"/>
  <c r="GL106" i="9"/>
  <c r="ET67" i="9"/>
  <c r="GA54" i="9"/>
  <c r="ET84" i="9"/>
  <c r="FP124" i="9"/>
  <c r="FP149" i="9"/>
  <c r="ET285" i="9"/>
  <c r="FE98" i="9"/>
  <c r="ET105" i="9"/>
  <c r="ET244" i="9"/>
  <c r="GA36" i="9"/>
  <c r="ET100" i="9"/>
  <c r="FE96" i="9"/>
  <c r="FP90" i="9"/>
  <c r="ET330" i="9"/>
  <c r="FE149" i="9"/>
  <c r="ET27" i="9"/>
  <c r="GA206" i="9"/>
  <c r="ET162" i="9"/>
  <c r="FP84" i="9"/>
  <c r="GA66" i="9"/>
  <c r="FE207" i="9"/>
  <c r="GL113" i="9"/>
  <c r="FE183" i="9"/>
  <c r="GL118" i="9"/>
  <c r="ET277" i="9"/>
  <c r="FE142" i="9"/>
  <c r="FE68" i="9"/>
  <c r="FE97" i="9"/>
  <c r="GL65" i="9"/>
  <c r="GA53" i="9"/>
  <c r="ET114" i="9"/>
  <c r="ET74" i="9"/>
  <c r="ET35" i="9"/>
  <c r="GA110" i="9"/>
  <c r="GA159" i="9"/>
  <c r="FE46" i="9"/>
  <c r="FE72" i="9"/>
  <c r="FP49" i="9"/>
  <c r="GL93" i="9"/>
  <c r="GA50" i="9"/>
  <c r="GL43" i="9"/>
  <c r="ET136" i="9"/>
  <c r="FP103" i="9"/>
  <c r="ET332" i="9"/>
  <c r="GL64" i="9"/>
  <c r="FE89" i="9"/>
  <c r="GA163" i="9"/>
  <c r="GL148" i="9"/>
  <c r="FE157" i="9"/>
  <c r="GA137" i="9"/>
  <c r="GL154" i="9"/>
  <c r="ET89" i="9"/>
  <c r="ET48" i="9"/>
  <c r="FE76" i="9"/>
  <c r="GL109" i="9"/>
  <c r="GA106" i="9"/>
  <c r="ET297" i="9"/>
  <c r="FP74" i="9"/>
  <c r="ET273" i="9"/>
  <c r="ET177" i="9"/>
  <c r="GA48" i="9"/>
  <c r="GL81" i="9"/>
  <c r="ET221" i="9"/>
  <c r="ET138" i="9"/>
  <c r="GL117" i="9"/>
  <c r="GA87" i="9"/>
  <c r="ET68" i="9"/>
  <c r="GA35" i="9"/>
  <c r="FE84" i="9"/>
  <c r="FP28" i="9"/>
  <c r="GA202" i="9"/>
  <c r="FE36" i="9"/>
  <c r="ET187" i="9"/>
  <c r="ET39" i="9"/>
  <c r="GA59" i="9"/>
  <c r="GA211" i="9"/>
  <c r="FE103" i="9"/>
  <c r="FE64" i="9"/>
  <c r="ET113" i="9"/>
  <c r="ET195" i="9"/>
  <c r="ET274" i="9"/>
  <c r="FE128" i="9"/>
  <c r="FP93" i="9"/>
  <c r="GL62" i="9"/>
  <c r="GA166" i="9"/>
  <c r="ET254" i="9"/>
  <c r="GA56" i="9"/>
  <c r="GL90" i="9"/>
  <c r="FP67" i="9"/>
  <c r="ET257" i="9"/>
  <c r="FP163" i="9"/>
  <c r="ET227" i="9"/>
  <c r="FE189" i="9"/>
  <c r="GA23" i="9"/>
  <c r="GL128" i="9"/>
  <c r="GL152" i="9"/>
  <c r="FE184" i="9"/>
  <c r="FP58" i="9"/>
  <c r="FE90" i="9"/>
  <c r="GA93" i="9"/>
  <c r="FE40" i="9"/>
  <c r="GA188" i="9"/>
  <c r="FP37" i="9"/>
  <c r="GA210" i="9"/>
  <c r="ET22" i="9"/>
  <c r="ET170" i="9"/>
  <c r="GL63" i="9"/>
  <c r="ET247" i="9"/>
  <c r="ET337" i="9"/>
  <c r="GL96" i="9"/>
  <c r="FE185" i="9"/>
  <c r="GA80" i="9"/>
  <c r="FP143" i="9"/>
  <c r="ET128" i="9"/>
  <c r="GA224" i="9"/>
  <c r="GL60" i="9"/>
  <c r="FE66" i="9"/>
  <c r="FE144" i="9"/>
  <c r="GL115" i="9"/>
  <c r="FE109" i="9"/>
  <c r="FP75" i="9"/>
  <c r="GL136" i="9"/>
  <c r="GA98" i="9"/>
  <c r="GA38" i="9"/>
  <c r="ET230" i="9"/>
  <c r="FE232" i="9"/>
  <c r="GL95" i="9"/>
  <c r="ET165" i="9"/>
  <c r="GA86" i="9"/>
  <c r="FP175" i="9"/>
  <c r="ET85" i="9"/>
  <c r="GA105" i="9"/>
  <c r="GA129" i="9"/>
  <c r="GA65" i="9"/>
  <c r="FE178" i="9"/>
  <c r="ET303" i="9"/>
  <c r="GA179" i="9"/>
  <c r="ET325" i="9"/>
  <c r="FP97" i="9"/>
  <c r="GA77" i="9"/>
  <c r="ET106" i="9"/>
  <c r="FE56" i="9"/>
  <c r="FE63" i="9"/>
  <c r="ET164" i="9"/>
  <c r="ET196" i="9"/>
  <c r="FE117" i="9"/>
  <c r="ET316" i="9"/>
  <c r="ET37" i="9"/>
  <c r="ET295" i="9"/>
  <c r="FE61" i="9"/>
  <c r="ET328" i="9"/>
  <c r="GA214" i="9"/>
  <c r="ET252" i="9"/>
  <c r="GL139" i="9"/>
  <c r="GA120" i="9"/>
  <c r="FE131" i="9"/>
  <c r="ET296" i="9"/>
  <c r="FE47" i="9"/>
  <c r="FE102" i="9"/>
  <c r="ET222" i="9"/>
  <c r="GL24" i="9"/>
  <c r="FE51" i="9"/>
  <c r="FP134" i="9"/>
  <c r="GA191" i="9"/>
  <c r="ET258" i="9"/>
  <c r="GA49" i="9"/>
  <c r="ET49" i="9"/>
  <c r="ET233" i="9"/>
  <c r="ET178" i="9"/>
  <c r="GL101" i="9"/>
  <c r="GA37" i="9"/>
  <c r="GA142" i="9"/>
  <c r="GA75" i="9"/>
  <c r="FE27" i="9"/>
  <c r="GL59" i="9"/>
  <c r="ET209" i="9"/>
  <c r="FP71" i="9"/>
  <c r="GL25" i="9"/>
  <c r="ET45" i="9"/>
  <c r="ET166" i="9"/>
  <c r="FE130" i="9"/>
  <c r="ET194" i="9"/>
  <c r="GA44" i="9"/>
  <c r="ET72" i="9"/>
  <c r="ET140" i="9"/>
  <c r="FP167" i="9"/>
  <c r="FE162" i="9"/>
  <c r="FP154" i="9"/>
  <c r="GL121" i="9"/>
  <c r="GA121" i="9"/>
  <c r="FE132" i="9"/>
  <c r="GA167" i="9"/>
  <c r="FP76" i="9"/>
  <c r="FE223" i="9"/>
  <c r="FP115" i="9"/>
  <c r="FP116" i="9"/>
  <c r="GL129" i="9"/>
  <c r="ET320" i="9"/>
  <c r="FE147" i="9"/>
  <c r="ET93" i="9"/>
  <c r="GA201" i="9"/>
  <c r="GL122" i="9"/>
  <c r="FP136" i="9"/>
  <c r="ET122" i="9"/>
  <c r="ET174" i="9"/>
  <c r="FE200" i="9"/>
  <c r="FP117" i="9"/>
  <c r="ET139" i="9"/>
  <c r="GA115" i="9"/>
  <c r="FE54" i="9"/>
  <c r="FP129" i="9"/>
  <c r="FE214" i="9"/>
  <c r="GA140" i="9"/>
  <c r="GA117" i="9"/>
  <c r="FE139" i="9"/>
  <c r="GA118" i="9"/>
  <c r="FP132" i="9"/>
  <c r="FP123" i="9"/>
  <c r="FE95" i="9"/>
  <c r="FE23" i="9"/>
  <c r="ET204" i="9"/>
  <c r="ET322" i="9"/>
  <c r="GA85" i="9"/>
  <c r="FE195" i="9"/>
  <c r="GL102" i="9"/>
  <c r="ET311" i="9"/>
  <c r="FP119" i="9"/>
  <c r="ET293" i="9"/>
  <c r="ET217" i="9"/>
  <c r="ET132" i="9"/>
  <c r="GA58" i="9"/>
  <c r="FE115" i="9"/>
  <c r="GL45" i="9"/>
  <c r="GL143" i="9"/>
  <c r="GA113" i="9"/>
  <c r="FE127" i="9"/>
  <c r="GA95" i="9"/>
  <c r="GL141" i="9"/>
  <c r="ET212" i="9"/>
  <c r="ET224" i="9"/>
  <c r="FP36" i="9"/>
  <c r="FP50" i="9"/>
  <c r="ET270" i="9"/>
  <c r="FE167" i="9"/>
  <c r="FP29" i="9"/>
  <c r="ET335" i="9"/>
  <c r="FE133" i="9"/>
  <c r="FE241" i="9"/>
  <c r="GA25" i="9"/>
  <c r="FE171" i="9"/>
  <c r="ET81" i="9"/>
  <c r="FE125" i="9"/>
  <c r="ET176" i="9"/>
  <c r="GA124" i="9"/>
  <c r="GL70" i="9"/>
  <c r="FP102" i="9"/>
  <c r="GL76" i="9"/>
  <c r="GL132" i="9"/>
  <c r="FE93" i="9"/>
  <c r="ET79" i="9"/>
  <c r="FE62" i="9"/>
  <c r="FP60" i="9"/>
  <c r="FE31" i="9"/>
  <c r="ET173" i="9"/>
  <c r="GA73" i="9"/>
  <c r="ET214" i="9"/>
  <c r="ET41" i="9"/>
  <c r="GL86" i="9"/>
  <c r="FP145" i="9"/>
  <c r="ET304" i="9"/>
  <c r="FP111" i="9"/>
  <c r="FE111" i="9"/>
  <c r="ET146" i="9"/>
  <c r="GA185" i="9"/>
  <c r="ET289" i="9"/>
  <c r="ET129" i="9"/>
  <c r="ET301" i="9"/>
  <c r="GA164" i="9"/>
  <c r="FE228" i="9"/>
  <c r="GA178" i="9"/>
  <c r="FE39" i="9"/>
  <c r="FE118" i="9"/>
  <c r="FE176" i="9"/>
  <c r="GA226" i="9"/>
  <c r="GA204" i="9"/>
  <c r="FP126" i="9"/>
  <c r="FP101" i="9"/>
  <c r="FE231" i="9"/>
  <c r="FP85" i="9"/>
  <c r="GL149" i="9"/>
  <c r="GA157" i="9"/>
  <c r="ET205" i="9"/>
  <c r="ET198" i="9"/>
  <c r="ET142" i="9"/>
  <c r="FE44" i="9"/>
  <c r="GA69" i="9"/>
  <c r="FE233" i="9"/>
  <c r="FP144" i="9"/>
  <c r="ET215" i="9"/>
  <c r="FP30" i="9"/>
  <c r="FP104" i="9"/>
  <c r="ET168" i="9"/>
  <c r="FE80" i="9"/>
  <c r="FE92" i="9"/>
  <c r="ET24" i="9"/>
  <c r="GL36" i="9"/>
  <c r="GL44" i="9"/>
  <c r="GA128" i="9"/>
  <c r="GA222" i="9"/>
  <c r="ET298" i="9"/>
  <c r="FE160" i="9"/>
  <c r="ET158" i="9"/>
  <c r="GL94" i="9"/>
  <c r="ET300" i="9"/>
  <c r="ET286" i="9"/>
  <c r="GL150" i="9"/>
  <c r="FP66" i="9"/>
  <c r="ET149" i="9"/>
  <c r="FE212" i="9"/>
  <c r="FP130" i="9"/>
  <c r="GA76" i="9"/>
  <c r="ET78" i="9"/>
  <c r="FE152" i="9"/>
  <c r="FE82" i="9"/>
  <c r="ET291" i="9"/>
  <c r="ET56" i="9"/>
  <c r="FP47" i="9"/>
  <c r="GA170" i="9"/>
  <c r="ET55" i="9"/>
  <c r="FE83" i="9"/>
  <c r="FE79" i="9"/>
  <c r="GL126" i="9"/>
  <c r="FE165" i="9"/>
  <c r="FP41" i="9"/>
  <c r="FP70" i="9"/>
  <c r="FE26" i="9"/>
  <c r="FP169" i="9"/>
  <c r="GL28" i="9"/>
  <c r="FE175" i="9"/>
  <c r="FE113" i="9"/>
  <c r="ET279" i="9"/>
  <c r="GL77" i="9"/>
  <c r="ET329" i="9"/>
  <c r="FP121" i="9"/>
  <c r="FE174" i="9"/>
  <c r="GA90" i="9"/>
  <c r="FE150" i="9"/>
  <c r="GA184" i="9"/>
  <c r="FP142" i="9"/>
  <c r="ET184" i="9"/>
  <c r="ET186" i="9"/>
  <c r="GA30" i="9"/>
  <c r="FE218" i="9"/>
  <c r="GA148" i="9"/>
  <c r="ET294" i="9"/>
  <c r="GA91" i="9"/>
  <c r="ET207" i="9"/>
  <c r="GA173" i="9"/>
  <c r="FP146" i="9"/>
  <c r="FE209" i="9"/>
  <c r="FE153" i="9"/>
  <c r="ET66" i="9"/>
  <c r="ET30" i="9"/>
  <c r="FE143" i="9"/>
  <c r="ET228" i="9"/>
  <c r="GL49" i="9"/>
  <c r="FE123" i="9"/>
  <c r="ET283" i="9"/>
  <c r="FE101" i="9"/>
  <c r="ET223" i="9"/>
  <c r="GA168" i="9"/>
  <c r="GA150" i="9"/>
  <c r="GA172" i="9"/>
  <c r="FE67" i="9"/>
  <c r="ET50" i="9"/>
  <c r="FE182" i="9"/>
  <c r="GL78" i="9"/>
  <c r="GA96" i="9"/>
  <c r="ET51" i="9"/>
  <c r="FE65" i="9"/>
  <c r="FP106" i="9"/>
  <c r="ET210" i="9"/>
  <c r="FE177" i="9"/>
  <c r="ET327" i="9"/>
  <c r="FE108" i="9"/>
  <c r="ET157" i="9"/>
  <c r="FE94" i="9"/>
  <c r="ET143" i="9"/>
  <c r="FE201" i="9"/>
  <c r="FE148" i="9"/>
  <c r="FP57" i="9"/>
  <c r="FP98" i="9"/>
  <c r="FE120" i="9"/>
  <c r="FP170" i="9"/>
  <c r="ET333" i="9"/>
  <c r="ET65" i="9"/>
  <c r="ET302" i="9"/>
  <c r="FP72" i="9"/>
  <c r="GL51" i="9"/>
  <c r="FE238" i="9"/>
  <c r="GL57" i="9"/>
  <c r="ET155" i="9"/>
  <c r="GA209" i="9"/>
  <c r="GL37" i="9"/>
  <c r="FE85" i="9"/>
  <c r="ET284" i="9"/>
  <c r="GA136" i="9"/>
  <c r="GA208" i="9"/>
  <c r="ET239" i="9"/>
  <c r="ET134" i="9"/>
  <c r="FP140" i="9"/>
  <c r="FP22" i="9"/>
  <c r="ET127" i="9"/>
  <c r="GL105" i="9"/>
  <c r="GA160" i="9"/>
  <c r="ET26" i="9"/>
  <c r="FP62" i="9"/>
  <c r="FE220" i="9"/>
  <c r="FE242" i="9"/>
  <c r="GA46" i="9"/>
  <c r="GA225" i="9"/>
  <c r="FE197" i="9"/>
  <c r="FE192" i="9"/>
  <c r="FE190" i="9"/>
  <c r="FP125" i="9"/>
  <c r="FE240" i="9"/>
  <c r="ET245" i="9"/>
  <c r="ET310" i="9"/>
  <c r="FE121" i="9"/>
  <c r="FE28" i="9"/>
  <c r="ET193" i="9"/>
  <c r="FE29" i="9"/>
  <c r="ET324" i="9"/>
  <c r="ET208" i="9"/>
  <c r="FP155" i="9"/>
  <c r="ET171" i="9"/>
  <c r="GL68" i="9"/>
  <c r="FE71" i="9"/>
  <c r="ET307" i="9"/>
  <c r="FP79" i="9"/>
  <c r="GA141" i="9"/>
  <c r="ET126" i="9"/>
  <c r="GL100" i="9"/>
  <c r="GA132" i="9"/>
  <c r="GL26" i="9"/>
  <c r="ET54" i="9"/>
  <c r="GA22" i="9"/>
  <c r="FP68" i="9"/>
  <c r="FE32" i="9"/>
  <c r="FE116" i="9"/>
  <c r="ET59" i="9"/>
  <c r="GL66" i="9"/>
  <c r="ET110" i="9"/>
  <c r="GL123" i="9"/>
  <c r="GA89" i="9"/>
  <c r="GA153" i="9"/>
  <c r="ET185" i="9"/>
  <c r="FP34" i="9"/>
  <c r="FP153" i="9"/>
  <c r="ET287" i="9"/>
  <c r="ET133" i="9"/>
  <c r="FP46" i="9"/>
  <c r="GL72" i="9"/>
  <c r="FE145" i="9"/>
  <c r="FE74" i="9"/>
  <c r="FP131" i="9"/>
  <c r="ET119" i="9"/>
  <c r="ET152" i="9"/>
  <c r="GA196" i="9"/>
  <c r="ET151" i="9"/>
  <c r="GA158" i="9"/>
  <c r="ET108" i="9"/>
  <c r="GA123" i="9"/>
  <c r="ET102" i="9"/>
  <c r="GA67" i="9"/>
  <c r="FP162" i="9"/>
  <c r="GA62" i="9"/>
  <c r="ET299" i="9"/>
  <c r="ET172" i="9"/>
  <c r="ET64" i="9"/>
  <c r="ET203" i="9"/>
  <c r="FE52" i="9"/>
  <c r="FE155" i="9"/>
  <c r="GA24" i="9"/>
  <c r="FE49" i="9"/>
  <c r="FE140" i="9"/>
  <c r="GL52" i="9"/>
  <c r="FE158" i="9"/>
  <c r="FP127" i="9"/>
  <c r="ET103" i="9"/>
  <c r="FE211" i="9"/>
  <c r="FE107" i="9"/>
  <c r="FE124" i="9"/>
  <c r="ET188" i="9"/>
  <c r="FE205" i="9"/>
  <c r="ET150" i="9"/>
  <c r="ET237" i="9"/>
  <c r="GL144" i="9"/>
  <c r="ET61" i="9"/>
  <c r="GA70" i="9"/>
  <c r="FE35" i="9"/>
  <c r="FP128" i="9"/>
  <c r="GA51" i="9"/>
  <c r="FP52" i="9"/>
  <c r="ET266" i="9"/>
  <c r="FP25" i="9"/>
  <c r="FE181" i="9"/>
  <c r="GA122" i="9"/>
  <c r="GA220" i="9"/>
  <c r="GA227" i="9"/>
  <c r="ET156" i="9"/>
  <c r="ET220" i="9"/>
  <c r="ET226" i="9"/>
  <c r="FE60" i="9"/>
  <c r="ET267" i="9"/>
  <c r="FP80" i="9"/>
  <c r="FE151" i="9"/>
  <c r="GA147" i="9"/>
  <c r="GL119" i="9"/>
  <c r="FE206" i="9"/>
  <c r="FP135" i="9"/>
  <c r="ET77" i="9"/>
  <c r="ET29" i="9"/>
  <c r="ET44" i="9"/>
  <c r="ET183" i="9"/>
  <c r="ET36" i="9"/>
  <c r="GL61" i="9"/>
  <c r="ET154" i="9"/>
  <c r="GL32" i="9"/>
  <c r="GA88" i="9"/>
  <c r="FE198" i="9"/>
  <c r="GL135" i="9"/>
  <c r="GA39" i="9"/>
  <c r="GA63" i="9"/>
  <c r="GA182" i="9"/>
  <c r="GL80" i="9"/>
  <c r="FP43" i="9"/>
  <c r="FP148" i="9"/>
  <c r="GA71" i="9"/>
  <c r="ET160" i="9"/>
  <c r="GL146" i="9"/>
  <c r="ET95" i="9"/>
  <c r="ET281" i="9"/>
  <c r="GL137" i="9"/>
  <c r="FP89" i="9"/>
  <c r="GA155" i="9"/>
  <c r="FE215" i="9"/>
  <c r="ET42" i="9"/>
  <c r="ET28" i="9"/>
  <c r="ET47" i="9"/>
  <c r="FE87" i="9"/>
  <c r="GL75" i="9"/>
  <c r="GL140" i="9"/>
  <c r="ET309" i="9"/>
  <c r="GA60" i="9"/>
  <c r="ET262" i="9"/>
  <c r="ET99" i="9"/>
  <c r="GA107" i="9"/>
  <c r="FP114" i="9"/>
  <c r="ET124" i="9"/>
  <c r="ET251" i="9"/>
  <c r="ET145" i="9"/>
  <c r="GA112" i="9"/>
  <c r="GA27" i="9"/>
  <c r="ET135" i="9"/>
  <c r="GA83" i="9"/>
  <c r="ET86" i="9"/>
  <c r="FE57" i="9"/>
  <c r="FE179" i="9"/>
  <c r="ET159" i="9"/>
  <c r="GA189" i="9"/>
  <c r="FP26" i="9"/>
  <c r="GA193" i="9"/>
  <c r="GA144" i="9"/>
  <c r="ET268" i="9"/>
  <c r="FP172" i="9"/>
  <c r="GA42" i="9"/>
  <c r="FE216" i="9"/>
  <c r="FE188" i="9"/>
  <c r="GA223" i="9"/>
  <c r="ET280" i="9"/>
  <c r="FP86" i="9"/>
  <c r="FE210" i="9"/>
  <c r="ET260" i="9"/>
  <c r="GA145" i="9"/>
  <c r="FP38" i="9"/>
  <c r="GA64" i="9"/>
  <c r="ET82" i="9"/>
  <c r="GL145" i="9"/>
  <c r="FE219" i="9"/>
  <c r="FP110" i="9"/>
  <c r="FE234" i="9"/>
  <c r="ET206" i="9"/>
  <c r="ET235" i="9"/>
  <c r="GL50" i="9"/>
  <c r="ET180" i="9"/>
  <c r="FE237" i="9"/>
  <c r="GL130" i="9"/>
  <c r="FP139" i="9"/>
  <c r="ET94" i="9"/>
  <c r="FE226" i="9"/>
  <c r="ET87" i="9"/>
  <c r="ET115" i="9"/>
  <c r="ET120" i="9"/>
  <c r="GL83" i="9"/>
  <c r="GL69" i="9"/>
  <c r="ET125" i="9"/>
  <c r="GA78" i="9"/>
  <c r="GL107" i="9"/>
  <c r="ET32" i="9"/>
  <c r="FE119" i="9"/>
  <c r="GA94" i="9"/>
  <c r="GA29" i="9"/>
  <c r="ET73" i="9"/>
  <c r="GA152" i="9"/>
  <c r="ET323" i="9"/>
  <c r="ET317" i="9"/>
  <c r="ET211" i="9"/>
  <c r="GL40" i="9"/>
  <c r="GA125" i="9"/>
  <c r="ET116" i="9"/>
  <c r="GA74" i="9"/>
  <c r="ET238" i="9"/>
  <c r="FE204" i="9"/>
  <c r="GA177" i="9"/>
  <c r="ET131" i="9"/>
  <c r="GA26" i="9"/>
  <c r="GL153" i="9"/>
  <c r="GL114" i="9"/>
  <c r="GA92" i="9"/>
  <c r="ET52" i="9"/>
  <c r="GA212" i="9"/>
  <c r="GA151" i="9"/>
  <c r="ET259" i="9"/>
  <c r="FE159" i="9"/>
  <c r="GL30" i="9"/>
  <c r="GA192" i="9"/>
  <c r="GL147" i="9"/>
  <c r="GA171" i="9"/>
  <c r="GL97" i="9"/>
  <c r="FE161" i="9"/>
  <c r="ET312" i="9"/>
  <c r="FP122" i="9"/>
  <c r="FP150" i="9"/>
  <c r="GL71" i="9"/>
  <c r="GA198" i="9"/>
  <c r="GL91" i="9"/>
  <c r="ET190" i="9"/>
  <c r="GA175" i="9"/>
  <c r="FP107" i="9"/>
  <c r="GA40" i="9"/>
  <c r="GA52" i="9"/>
  <c r="FE187" i="9"/>
  <c r="FP141" i="9"/>
  <c r="FP69" i="9"/>
  <c r="FP81" i="9"/>
  <c r="GA154" i="9"/>
  <c r="FE114" i="9"/>
  <c r="FP164" i="9"/>
  <c r="ET123" i="9"/>
  <c r="GA221" i="9"/>
  <c r="GA84" i="9"/>
  <c r="ET278" i="9"/>
  <c r="FP39" i="9"/>
  <c r="FP32" i="9"/>
  <c r="ET63" i="9"/>
  <c r="FE22" i="9"/>
  <c r="ET137" i="9"/>
  <c r="ET144" i="9"/>
  <c r="FE58" i="9"/>
  <c r="FE75" i="9"/>
  <c r="ET58" i="9"/>
  <c r="FE34" i="9"/>
  <c r="FE137" i="9"/>
  <c r="ET167" i="9"/>
  <c r="FE37" i="9"/>
  <c r="GA119" i="9"/>
  <c r="GL125" i="9"/>
  <c r="GA79" i="9"/>
  <c r="FE172" i="9"/>
  <c r="GL31" i="9"/>
  <c r="FE186" i="9"/>
  <c r="FP88" i="9"/>
  <c r="FP65" i="9"/>
  <c r="GA195" i="9"/>
  <c r="FP45" i="9"/>
  <c r="ET231" i="9"/>
  <c r="GA109" i="9"/>
  <c r="ET314" i="9"/>
  <c r="GL87" i="9"/>
  <c r="FE168" i="9"/>
  <c r="GL104" i="9"/>
  <c r="GL112" i="9"/>
  <c r="FP138" i="9"/>
  <c r="FP99" i="9"/>
  <c r="GA114" i="9"/>
  <c r="FP83" i="9"/>
  <c r="ET263" i="9"/>
  <c r="ET182" i="9"/>
  <c r="FP156" i="9"/>
  <c r="FE173" i="9"/>
  <c r="ET57" i="9"/>
  <c r="GA101" i="9"/>
  <c r="ET225" i="9"/>
  <c r="FE129" i="9"/>
  <c r="FP174" i="9"/>
  <c r="FP161" i="9"/>
  <c r="ET181" i="9"/>
  <c r="GA97" i="9"/>
  <c r="ET265" i="9"/>
  <c r="GL56" i="9"/>
  <c r="GA127" i="9"/>
  <c r="FE73" i="9"/>
  <c r="GA181" i="9"/>
  <c r="ET46" i="9"/>
  <c r="ET269" i="9"/>
  <c r="FP157" i="9"/>
  <c r="ET250" i="9"/>
  <c r="FP133" i="9"/>
  <c r="ET271" i="9"/>
  <c r="GA102" i="9"/>
  <c r="FE194" i="9"/>
  <c r="FE77" i="9"/>
  <c r="GA197" i="9"/>
  <c r="GL134" i="9"/>
  <c r="FP87" i="9"/>
  <c r="ET313" i="9"/>
  <c r="GL38" i="9"/>
  <c r="FE30" i="9"/>
  <c r="FP92" i="9"/>
  <c r="GL85" i="9"/>
  <c r="GA200" i="9"/>
  <c r="FE106" i="9"/>
  <c r="ET236" i="9"/>
  <c r="GA45" i="9"/>
  <c r="ET197" i="9"/>
  <c r="GL92" i="9"/>
  <c r="FE38" i="9"/>
  <c r="FE100" i="9"/>
  <c r="GA156" i="9"/>
  <c r="FP42" i="9"/>
  <c r="GL41" i="9"/>
  <c r="ET234" i="9"/>
  <c r="GA186" i="9"/>
  <c r="GA33" i="9"/>
  <c r="ET53" i="9"/>
  <c r="FP24" i="9"/>
  <c r="GL151" i="9"/>
  <c r="ET189" i="9"/>
  <c r="FP105" i="9"/>
  <c r="ET272" i="9"/>
  <c r="FE222" i="9"/>
  <c r="ET97" i="9"/>
  <c r="FE48" i="9"/>
  <c r="ET321" i="9"/>
  <c r="GA31" i="9"/>
  <c r="GA61" i="9"/>
  <c r="FP27" i="9"/>
  <c r="ET88" i="9"/>
  <c r="ET319" i="9"/>
  <c r="ET201" i="9"/>
  <c r="ET200" i="9"/>
  <c r="FP51" i="9"/>
  <c r="GA41" i="9"/>
  <c r="FE104" i="9"/>
  <c r="ET261" i="9"/>
  <c r="FE213" i="9"/>
  <c r="GA162" i="9"/>
  <c r="ET163" i="9"/>
  <c r="GL27" i="9"/>
  <c r="ET275" i="9"/>
  <c r="FE110" i="9"/>
  <c r="ET213" i="9"/>
  <c r="ET83" i="9"/>
  <c r="ET98" i="9"/>
  <c r="FP63" i="9"/>
  <c r="FE225" i="9"/>
  <c r="GA100" i="9"/>
  <c r="ET76" i="9"/>
  <c r="GL74" i="9"/>
  <c r="FE24" i="9"/>
  <c r="ET255" i="9"/>
  <c r="FE217" i="9"/>
  <c r="ET75" i="9"/>
  <c r="GA32" i="9"/>
  <c r="ET169" i="9"/>
  <c r="FE203" i="9"/>
  <c r="FE199" i="9"/>
  <c r="GA57" i="9"/>
  <c r="GA203" i="9"/>
  <c r="FP55" i="9"/>
  <c r="FP118" i="9"/>
  <c r="GL47" i="9"/>
  <c r="FP31" i="9"/>
  <c r="GL48" i="9"/>
  <c r="FP160" i="9"/>
  <c r="GL120" i="9"/>
  <c r="FE70" i="9"/>
  <c r="ET240" i="9"/>
  <c r="FE154" i="9"/>
  <c r="FE43" i="9"/>
  <c r="AE41" i="13"/>
  <c r="EE7" i="9"/>
  <c r="G71" i="3" l="1"/>
  <c r="P134" i="3" l="1"/>
  <c r="R152" i="3" s="1"/>
  <c r="R134" i="3"/>
  <c r="K134" i="3"/>
  <c r="M134" i="3" s="1"/>
  <c r="L87" i="3"/>
  <c r="K87" i="3"/>
  <c r="K86" i="3"/>
  <c r="N41" i="3"/>
  <c r="L41" i="3"/>
  <c r="R42" i="3" s="1"/>
  <c r="K41" i="3"/>
  <c r="M87" i="3" l="1"/>
  <c r="M41" i="3"/>
  <c r="O41" i="3" s="1"/>
  <c r="L134" i="3"/>
  <c r="U134" i="3" s="1"/>
  <c r="P41" i="3"/>
  <c r="P152" i="3"/>
  <c r="J10" i="15"/>
  <c r="J9" i="15"/>
  <c r="J8" i="15"/>
  <c r="AG8" i="13" l="1"/>
  <c r="AW8" i="13"/>
  <c r="EP7" i="9" l="1"/>
  <c r="GH7" i="9"/>
  <c r="AS8" i="13" l="1"/>
  <c r="M8" i="13" l="1"/>
  <c r="Q8" i="13"/>
  <c r="D112" i="15"/>
  <c r="D82" i="14"/>
  <c r="D86" i="16"/>
  <c r="D84" i="14"/>
  <c r="D83" i="16"/>
  <c r="D85" i="16"/>
  <c r="D98" i="8"/>
  <c r="D97" i="8"/>
  <c r="D100" i="8"/>
  <c r="D114" i="15"/>
  <c r="D83" i="14"/>
  <c r="D86" i="14"/>
  <c r="D111" i="15"/>
  <c r="D115" i="15"/>
  <c r="D87" i="16"/>
  <c r="D96" i="8"/>
  <c r="D84" i="16"/>
  <c r="D85" i="14"/>
  <c r="D113" i="15"/>
  <c r="D99" i="8"/>
  <c r="AR9" i="13" l="1"/>
  <c r="AS9" i="13" s="1"/>
  <c r="AQ10" i="13"/>
  <c r="AR10" i="13" l="1"/>
  <c r="AR11" i="13" s="1"/>
  <c r="AR12" i="13" s="1"/>
  <c r="AR13" i="13" s="1"/>
  <c r="AR14" i="13" s="1"/>
  <c r="AR15" i="13" s="1"/>
  <c r="AR16" i="13" s="1"/>
  <c r="AR17" i="13" s="1"/>
  <c r="AR18" i="13" s="1"/>
  <c r="AR19" i="13" s="1"/>
  <c r="AR20" i="13" s="1"/>
  <c r="AR21" i="13" s="1"/>
  <c r="AR22" i="13" s="1"/>
  <c r="AR23" i="13" s="1"/>
  <c r="AR24" i="13" s="1"/>
  <c r="AR25" i="13" s="1"/>
  <c r="AR26" i="13" s="1"/>
  <c r="AR27" i="13" s="1"/>
  <c r="AR28" i="13" s="1"/>
  <c r="AR29" i="13" s="1"/>
  <c r="AR30" i="13" s="1"/>
  <c r="AR31" i="13" s="1"/>
  <c r="AR32" i="13" s="1"/>
  <c r="AR33" i="13" s="1"/>
  <c r="AR34" i="13" s="1"/>
  <c r="AR35" i="13" s="1"/>
  <c r="AR36" i="13" s="1"/>
  <c r="AR37" i="13" s="1"/>
  <c r="AR38" i="13" s="1"/>
  <c r="AQ11" i="13"/>
  <c r="AS10" i="13" l="1"/>
  <c r="AQ12" i="13"/>
  <c r="AS11" i="13"/>
  <c r="AQ13" i="13" l="1"/>
  <c r="AS12" i="13"/>
  <c r="C11" i="9"/>
  <c r="C7" i="9"/>
  <c r="C13" i="9" s="1"/>
  <c r="AQ14" i="13" l="1"/>
  <c r="AS13" i="13"/>
  <c r="AQ15" i="13" l="1"/>
  <c r="AS14" i="13"/>
  <c r="AU10" i="13"/>
  <c r="AV9" i="13"/>
  <c r="AE10" i="13"/>
  <c r="AE11" i="13" s="1"/>
  <c r="AE12" i="13" s="1"/>
  <c r="AE13" i="13" s="1"/>
  <c r="AE14" i="13" s="1"/>
  <c r="AE15" i="13" s="1"/>
  <c r="AE16" i="13" s="1"/>
  <c r="AE17" i="13" s="1"/>
  <c r="AE18" i="13" s="1"/>
  <c r="AE19" i="13" s="1"/>
  <c r="AE20" i="13" s="1"/>
  <c r="AE21" i="13" s="1"/>
  <c r="AE22" i="13" s="1"/>
  <c r="AE23" i="13" s="1"/>
  <c r="AE24" i="13" s="1"/>
  <c r="AE25" i="13" s="1"/>
  <c r="AE26" i="13" s="1"/>
  <c r="AE27" i="13" s="1"/>
  <c r="AE28" i="13" s="1"/>
  <c r="AE29" i="13" s="1"/>
  <c r="AE30" i="13" s="1"/>
  <c r="AE31" i="13" s="1"/>
  <c r="AE32" i="13" s="1"/>
  <c r="AE33" i="13" s="1"/>
  <c r="AE34" i="13" s="1"/>
  <c r="AE35" i="13" s="1"/>
  <c r="AE36" i="13" s="1"/>
  <c r="AE37" i="13" s="1"/>
  <c r="AE38" i="13" s="1"/>
  <c r="AF9" i="13"/>
  <c r="AF10" i="13" s="1"/>
  <c r="AF11" i="13" s="1"/>
  <c r="AF12" i="13" s="1"/>
  <c r="AF13" i="13" s="1"/>
  <c r="AF14" i="13" s="1"/>
  <c r="AF15" i="13" s="1"/>
  <c r="AF16" i="13" s="1"/>
  <c r="AF17" i="13" s="1"/>
  <c r="AF18" i="13" s="1"/>
  <c r="AF19" i="13" s="1"/>
  <c r="AF20" i="13" s="1"/>
  <c r="AF21" i="13" s="1"/>
  <c r="AF22" i="13" s="1"/>
  <c r="AF23" i="13" s="1"/>
  <c r="AF24" i="13" s="1"/>
  <c r="AF25" i="13" s="1"/>
  <c r="AF26" i="13" s="1"/>
  <c r="AF27" i="13" s="1"/>
  <c r="AF28" i="13" s="1"/>
  <c r="AF29" i="13" s="1"/>
  <c r="AF30" i="13" s="1"/>
  <c r="AF31" i="13" s="1"/>
  <c r="AF32" i="13" s="1"/>
  <c r="AF33" i="13" s="1"/>
  <c r="AF34" i="13" s="1"/>
  <c r="AF35" i="13" s="1"/>
  <c r="AF36" i="13" s="1"/>
  <c r="AF37" i="13" s="1"/>
  <c r="AF38" i="13" s="1"/>
  <c r="P9" i="13"/>
  <c r="O10" i="13"/>
  <c r="O11" i="13" s="1"/>
  <c r="K10" i="13"/>
  <c r="L9" i="13"/>
  <c r="M9" i="13" s="1"/>
  <c r="AW9" i="13" l="1"/>
  <c r="AG9" i="13"/>
  <c r="P10" i="13"/>
  <c r="P11" i="13" s="1"/>
  <c r="P12" i="13" s="1"/>
  <c r="P13" i="13" s="1"/>
  <c r="P14" i="13" s="1"/>
  <c r="P15" i="13" s="1"/>
  <c r="P16" i="13" s="1"/>
  <c r="P17" i="13" s="1"/>
  <c r="P18" i="13" s="1"/>
  <c r="P19" i="13" s="1"/>
  <c r="P20" i="13" s="1"/>
  <c r="P21" i="13" s="1"/>
  <c r="P22" i="13" s="1"/>
  <c r="P23" i="13" s="1"/>
  <c r="P24" i="13" s="1"/>
  <c r="P25" i="13" s="1"/>
  <c r="P26" i="13" s="1"/>
  <c r="P27" i="13" s="1"/>
  <c r="P28" i="13" s="1"/>
  <c r="P29" i="13" s="1"/>
  <c r="P30" i="13" s="1"/>
  <c r="P31" i="13" s="1"/>
  <c r="P32" i="13" s="1"/>
  <c r="P33" i="13" s="1"/>
  <c r="P34" i="13" s="1"/>
  <c r="P35" i="13" s="1"/>
  <c r="P36" i="13" s="1"/>
  <c r="P37" i="13" s="1"/>
  <c r="P38" i="13" s="1"/>
  <c r="Q9" i="13"/>
  <c r="AV10" i="13"/>
  <c r="AV11" i="13" s="1"/>
  <c r="AV12" i="13" s="1"/>
  <c r="AV13" i="13" s="1"/>
  <c r="AV14" i="13" s="1"/>
  <c r="AV15" i="13" s="1"/>
  <c r="AV16" i="13" s="1"/>
  <c r="AV17" i="13" s="1"/>
  <c r="AV18" i="13" s="1"/>
  <c r="AV19" i="13" s="1"/>
  <c r="AV20" i="13" s="1"/>
  <c r="AV21" i="13" s="1"/>
  <c r="AV22" i="13" s="1"/>
  <c r="AV23" i="13" s="1"/>
  <c r="AV24" i="13" s="1"/>
  <c r="AV25" i="13" s="1"/>
  <c r="AV26" i="13" s="1"/>
  <c r="AV27" i="13" s="1"/>
  <c r="AV28" i="13" s="1"/>
  <c r="AV29" i="13" s="1"/>
  <c r="AV30" i="13" s="1"/>
  <c r="AV31" i="13" s="1"/>
  <c r="AV32" i="13" s="1"/>
  <c r="AV33" i="13" s="1"/>
  <c r="AV34" i="13" s="1"/>
  <c r="AV35" i="13" s="1"/>
  <c r="AV36" i="13" s="1"/>
  <c r="AV37" i="13" s="1"/>
  <c r="AV38" i="13" s="1"/>
  <c r="AU11" i="13"/>
  <c r="AQ16" i="13"/>
  <c r="AS16" i="13" s="1"/>
  <c r="AS15" i="13"/>
  <c r="O12" i="13"/>
  <c r="AG10" i="13" l="1"/>
  <c r="AG11" i="13"/>
  <c r="Q11" i="13"/>
  <c r="AW10" i="13"/>
  <c r="Q10" i="13"/>
  <c r="Q12" i="13"/>
  <c r="AQ17" i="13"/>
  <c r="AU12" i="13"/>
  <c r="AG12" i="13" s="1"/>
  <c r="AW11" i="13"/>
  <c r="O13" i="13"/>
  <c r="Q13" i="13" s="1"/>
  <c r="AU13" i="13" l="1"/>
  <c r="AG13" i="13" s="1"/>
  <c r="AW12" i="13"/>
  <c r="AQ18" i="13"/>
  <c r="AS17" i="13"/>
  <c r="O14" i="13"/>
  <c r="K133" i="3"/>
  <c r="L133" i="3" s="1"/>
  <c r="AQ19" i="13" l="1"/>
  <c r="AS18" i="13"/>
  <c r="AU14" i="13"/>
  <c r="AW13" i="13"/>
  <c r="O15" i="13"/>
  <c r="Q14" i="13"/>
  <c r="K128" i="3"/>
  <c r="K125" i="3"/>
  <c r="M125" i="3" s="1"/>
  <c r="K124" i="3"/>
  <c r="M124" i="3" s="1"/>
  <c r="K123" i="3"/>
  <c r="M123" i="3" s="1"/>
  <c r="M126" i="3"/>
  <c r="L77" i="3"/>
  <c r="L78" i="3"/>
  <c r="L79" i="3"/>
  <c r="L80" i="3"/>
  <c r="L81" i="3"/>
  <c r="L82" i="3"/>
  <c r="L83" i="3"/>
  <c r="L84" i="3"/>
  <c r="L85" i="3"/>
  <c r="L86" i="3"/>
  <c r="L76" i="3"/>
  <c r="K76" i="3"/>
  <c r="AW14" i="13" l="1"/>
  <c r="AG14" i="13"/>
  <c r="AU15" i="13"/>
  <c r="AG15" i="13" s="1"/>
  <c r="AQ20" i="13"/>
  <c r="AS19" i="13"/>
  <c r="L123" i="3"/>
  <c r="U123" i="3" s="1"/>
  <c r="O16" i="13"/>
  <c r="Q15" i="13"/>
  <c r="M76" i="3"/>
  <c r="AQ21" i="13" l="1"/>
  <c r="AS20" i="13"/>
  <c r="AU16" i="13"/>
  <c r="AG16" i="13" s="1"/>
  <c r="AW15" i="13"/>
  <c r="O17" i="13"/>
  <c r="Q16" i="13"/>
  <c r="AU17" i="13" l="1"/>
  <c r="AG17" i="13" s="1"/>
  <c r="AW16" i="13"/>
  <c r="AQ22" i="13"/>
  <c r="AS21" i="13"/>
  <c r="O18" i="13"/>
  <c r="Q17" i="13"/>
  <c r="AQ23" i="13" l="1"/>
  <c r="AS22" i="13"/>
  <c r="AU18" i="13"/>
  <c r="AG18" i="13" s="1"/>
  <c r="AW17" i="13"/>
  <c r="F115" i="15"/>
  <c r="O19" i="13"/>
  <c r="Q18" i="13"/>
  <c r="E140" i="15"/>
  <c r="E136" i="15"/>
  <c r="E137" i="15"/>
  <c r="E132" i="15"/>
  <c r="E127" i="15"/>
  <c r="E138" i="15"/>
  <c r="E135" i="15"/>
  <c r="E126" i="15"/>
  <c r="E128" i="15"/>
  <c r="E133" i="15"/>
  <c r="E139" i="15"/>
  <c r="E131" i="15"/>
  <c r="E134" i="15"/>
  <c r="E130" i="15"/>
  <c r="E125" i="15"/>
  <c r="E129" i="15"/>
  <c r="E123" i="15"/>
  <c r="E124" i="15"/>
  <c r="AU19" i="13" l="1"/>
  <c r="AG19" i="13" s="1"/>
  <c r="AW18" i="13"/>
  <c r="AQ24" i="13"/>
  <c r="AS23" i="13"/>
  <c r="O20" i="13"/>
  <c r="Q19" i="13"/>
  <c r="E88" i="16"/>
  <c r="E87" i="14"/>
  <c r="E101" i="8"/>
  <c r="AQ25" i="13" l="1"/>
  <c r="AS24" i="13"/>
  <c r="AU20" i="13"/>
  <c r="AG20" i="13" s="1"/>
  <c r="AW19" i="13"/>
  <c r="O21" i="13"/>
  <c r="Q20" i="13"/>
  <c r="F84" i="16"/>
  <c r="F85" i="16"/>
  <c r="F86" i="16"/>
  <c r="F87" i="16"/>
  <c r="F83" i="16"/>
  <c r="F82" i="14"/>
  <c r="F84" i="14"/>
  <c r="F85" i="14"/>
  <c r="F83" i="14"/>
  <c r="F86" i="14"/>
  <c r="F96" i="8"/>
  <c r="F97" i="8"/>
  <c r="F98" i="8"/>
  <c r="F99" i="8"/>
  <c r="F100" i="8"/>
  <c r="F111" i="15"/>
  <c r="AU21" i="13" l="1"/>
  <c r="AG21" i="13" s="1"/>
  <c r="AW20" i="13"/>
  <c r="AQ26" i="13"/>
  <c r="AS25" i="13"/>
  <c r="O22" i="13"/>
  <c r="Q21" i="13"/>
  <c r="F101" i="8"/>
  <c r="F87" i="14"/>
  <c r="AQ27" i="13" l="1"/>
  <c r="AS26" i="13"/>
  <c r="AU22" i="13"/>
  <c r="AG22" i="13" s="1"/>
  <c r="AW21" i="13"/>
  <c r="O23" i="13"/>
  <c r="Q22" i="13"/>
  <c r="GH11" i="9"/>
  <c r="GK11" i="9" s="1"/>
  <c r="F140" i="15" s="1"/>
  <c r="GK9" i="9"/>
  <c r="AQ28" i="13" l="1"/>
  <c r="AS27" i="13"/>
  <c r="AU23" i="13"/>
  <c r="AG23" i="13" s="1"/>
  <c r="AW22" i="13"/>
  <c r="O24" i="13"/>
  <c r="Q23" i="13"/>
  <c r="GH13" i="9"/>
  <c r="GH15" i="9"/>
  <c r="GH16" i="9"/>
  <c r="GH14" i="9"/>
  <c r="GK7" i="9"/>
  <c r="EE11" i="9"/>
  <c r="EH11" i="9" s="1"/>
  <c r="F138" i="15" s="1"/>
  <c r="EE16" i="9"/>
  <c r="AQ29" i="13" l="1"/>
  <c r="AS28" i="13"/>
  <c r="AU24" i="13"/>
  <c r="AG24" i="13" s="1"/>
  <c r="AW23" i="13"/>
  <c r="O25" i="13"/>
  <c r="Q24" i="13"/>
  <c r="EH9" i="9"/>
  <c r="EE13" i="9"/>
  <c r="EE14" i="9"/>
  <c r="EE15" i="9"/>
  <c r="EH7" i="9"/>
  <c r="CB11" i="9"/>
  <c r="CE11" i="9" s="1"/>
  <c r="F139" i="15" s="1"/>
  <c r="CB7" i="9"/>
  <c r="CE9" i="9" s="1"/>
  <c r="AQ30" i="13" l="1"/>
  <c r="AS29" i="13"/>
  <c r="AU25" i="13"/>
  <c r="AG25" i="13" s="1"/>
  <c r="AW24" i="13"/>
  <c r="O26" i="13"/>
  <c r="Q25" i="13"/>
  <c r="CB13" i="9"/>
  <c r="CB14" i="9"/>
  <c r="CB15" i="9"/>
  <c r="CB16" i="9"/>
  <c r="CE7" i="9"/>
  <c r="AQ31" i="13" l="1"/>
  <c r="AS30" i="13"/>
  <c r="AU26" i="13"/>
  <c r="AG26" i="13" s="1"/>
  <c r="AW25" i="13"/>
  <c r="O27" i="13"/>
  <c r="Q26" i="13"/>
  <c r="R131" i="3"/>
  <c r="P131" i="3"/>
  <c r="P149" i="3" s="1"/>
  <c r="K131" i="3"/>
  <c r="K84" i="3"/>
  <c r="M84" i="3" s="1"/>
  <c r="N38" i="3"/>
  <c r="L38" i="3"/>
  <c r="K38" i="3"/>
  <c r="K39" i="3"/>
  <c r="R39" i="3" l="1"/>
  <c r="AQ32" i="13"/>
  <c r="AS31" i="13"/>
  <c r="AU27" i="13"/>
  <c r="AG27" i="13" s="1"/>
  <c r="AW26" i="13"/>
  <c r="O28" i="13"/>
  <c r="Q27" i="13"/>
  <c r="L131" i="3"/>
  <c r="M131" i="3"/>
  <c r="M38" i="3"/>
  <c r="O38" i="3" s="1"/>
  <c r="R149" i="3"/>
  <c r="P38" i="3"/>
  <c r="AQ33" i="13" l="1"/>
  <c r="AS32" i="13"/>
  <c r="AU28" i="13"/>
  <c r="AG28" i="13" s="1"/>
  <c r="AW27" i="13"/>
  <c r="O29" i="13"/>
  <c r="Q28" i="13"/>
  <c r="U131" i="3"/>
  <c r="GH9" i="9"/>
  <c r="GH8" i="9"/>
  <c r="R123" i="3"/>
  <c r="N30" i="3"/>
  <c r="N40" i="3"/>
  <c r="N39" i="3"/>
  <c r="N37" i="3"/>
  <c r="N36" i="3"/>
  <c r="N35" i="3"/>
  <c r="N34" i="3"/>
  <c r="N33" i="3"/>
  <c r="N32" i="3"/>
  <c r="N31" i="3"/>
  <c r="AU29" i="13" l="1"/>
  <c r="AG29" i="13" s="1"/>
  <c r="AW28" i="13"/>
  <c r="AQ34" i="13"/>
  <c r="AS33" i="13"/>
  <c r="O30" i="13"/>
  <c r="Q29" i="13"/>
  <c r="GH6" i="9"/>
  <c r="C8" i="9" l="1"/>
  <c r="CB9" i="9"/>
  <c r="CB8" i="9"/>
  <c r="AU30" i="13"/>
  <c r="AG30" i="13" s="1"/>
  <c r="AW29" i="13"/>
  <c r="AQ35" i="13"/>
  <c r="AS34" i="13"/>
  <c r="O31" i="13"/>
  <c r="Q30" i="13"/>
  <c r="FW6" i="9"/>
  <c r="GK6" i="9"/>
  <c r="E12" i="16"/>
  <c r="F88" i="16"/>
  <c r="F114" i="15"/>
  <c r="F113" i="15"/>
  <c r="F112" i="15"/>
  <c r="EE9" i="9" l="1"/>
  <c r="EE8" i="9"/>
  <c r="BQ6" i="9"/>
  <c r="C6" i="9"/>
  <c r="CB6" i="9"/>
  <c r="CE6" i="9" s="1"/>
  <c r="AU31" i="13"/>
  <c r="AG31" i="13" s="1"/>
  <c r="AW30" i="13"/>
  <c r="AQ36" i="13"/>
  <c r="AS35" i="13"/>
  <c r="Q31" i="13"/>
  <c r="O32" i="13"/>
  <c r="F116" i="15"/>
  <c r="EE6" i="9" l="1"/>
  <c r="E12" i="14" s="1"/>
  <c r="E15" i="8"/>
  <c r="AU32" i="13"/>
  <c r="AG32" i="13" s="1"/>
  <c r="AW31" i="13"/>
  <c r="AQ37" i="13"/>
  <c r="AS36" i="13"/>
  <c r="O33" i="13"/>
  <c r="Q32" i="13"/>
  <c r="R133" i="3"/>
  <c r="R132" i="3"/>
  <c r="R130" i="3"/>
  <c r="R129" i="3"/>
  <c r="R128" i="3"/>
  <c r="R127" i="3"/>
  <c r="R126" i="3"/>
  <c r="R125" i="3"/>
  <c r="R124" i="3"/>
  <c r="EH6" i="9" l="1"/>
  <c r="AU33" i="13"/>
  <c r="AG33" i="13" s="1"/>
  <c r="AW32" i="13"/>
  <c r="AQ38" i="13"/>
  <c r="AS38" i="13" s="1"/>
  <c r="AS37" i="13"/>
  <c r="O34" i="13"/>
  <c r="Q33" i="13"/>
  <c r="K129" i="3"/>
  <c r="L126" i="3"/>
  <c r="U126" i="3" s="1"/>
  <c r="AU34" i="13" l="1"/>
  <c r="AG34" i="13" s="1"/>
  <c r="AW33" i="13"/>
  <c r="Q34" i="13"/>
  <c r="O35" i="13"/>
  <c r="L129" i="3"/>
  <c r="M129" i="3"/>
  <c r="FW11" i="9"/>
  <c r="FZ11" i="9" s="1"/>
  <c r="F136" i="15" s="1"/>
  <c r="FW9" i="9"/>
  <c r="FW8" i="9"/>
  <c r="FW7" i="9"/>
  <c r="FL11" i="9"/>
  <c r="FO11" i="9" s="1"/>
  <c r="F137" i="15" s="1"/>
  <c r="FL9" i="9"/>
  <c r="FL8" i="9"/>
  <c r="FL7" i="9"/>
  <c r="FA8" i="9"/>
  <c r="FA11" i="9"/>
  <c r="FD11" i="9" s="1"/>
  <c r="F132" i="15" s="1"/>
  <c r="FA9" i="9"/>
  <c r="FA7" i="9"/>
  <c r="EP11" i="9"/>
  <c r="EP9" i="9"/>
  <c r="EP8" i="9"/>
  <c r="AU35" i="13" l="1"/>
  <c r="AG35" i="13" s="1"/>
  <c r="AW34" i="13"/>
  <c r="O36" i="13"/>
  <c r="Q35" i="13"/>
  <c r="U129" i="3"/>
  <c r="G10" i="15"/>
  <c r="F10" i="15"/>
  <c r="I10" i="15"/>
  <c r="H10" i="15"/>
  <c r="FZ9" i="9"/>
  <c r="FW14" i="9"/>
  <c r="FW13" i="9"/>
  <c r="EP13" i="9"/>
  <c r="ES9" i="9"/>
  <c r="EP14" i="9"/>
  <c r="FL13" i="9"/>
  <c r="FO9" i="9"/>
  <c r="FL14" i="9"/>
  <c r="FA13" i="9"/>
  <c r="FD9" i="9"/>
  <c r="FA14" i="9"/>
  <c r="FW16" i="9"/>
  <c r="FD7" i="9"/>
  <c r="FL16" i="9"/>
  <c r="ES7" i="9"/>
  <c r="ES11" i="9"/>
  <c r="F127" i="15" s="1"/>
  <c r="EP15" i="9"/>
  <c r="EP16" i="9"/>
  <c r="FA15" i="9"/>
  <c r="FA16" i="9"/>
  <c r="FL15" i="9"/>
  <c r="FZ7" i="9"/>
  <c r="FW15" i="9"/>
  <c r="FO7" i="9"/>
  <c r="AU36" i="13" l="1"/>
  <c r="AG36" i="13" s="1"/>
  <c r="AW35" i="13"/>
  <c r="O37" i="13"/>
  <c r="Q36" i="13"/>
  <c r="AU37" i="13" l="1"/>
  <c r="AG37" i="13" s="1"/>
  <c r="AW36" i="13"/>
  <c r="O38" i="13"/>
  <c r="Q38" i="13" s="1"/>
  <c r="Q37" i="13"/>
  <c r="AU38" i="13" l="1"/>
  <c r="AW37" i="13"/>
  <c r="FA6" i="9"/>
  <c r="AW38" i="13" l="1"/>
  <c r="AG38" i="13"/>
  <c r="E9" i="16"/>
  <c r="FD6" i="9"/>
  <c r="E11" i="16" l="1"/>
  <c r="FL6" i="9"/>
  <c r="E10" i="16" s="1"/>
  <c r="BF6" i="9"/>
  <c r="FZ6" i="9" l="1"/>
  <c r="FO6" i="9"/>
  <c r="EP6" i="9" l="1"/>
  <c r="E10" i="15" s="1"/>
  <c r="L10" i="15" s="1"/>
  <c r="K10" i="15" l="1"/>
  <c r="ES6" i="9"/>
  <c r="E8" i="16"/>
  <c r="AA10" i="13" l="1"/>
  <c r="AB9" i="13"/>
  <c r="AC9" i="13" s="1"/>
  <c r="AC8" i="13"/>
  <c r="DT11" i="9"/>
  <c r="DW11" i="9" s="1"/>
  <c r="F135" i="15" s="1"/>
  <c r="DT9" i="9"/>
  <c r="DT8" i="9"/>
  <c r="DT7" i="9"/>
  <c r="DI11" i="9"/>
  <c r="DL11" i="9" s="1"/>
  <c r="F126" i="15" s="1"/>
  <c r="DI9" i="9"/>
  <c r="DI8" i="9"/>
  <c r="DI7" i="9"/>
  <c r="AA11" i="13" l="1"/>
  <c r="DT14" i="9"/>
  <c r="DT13" i="9"/>
  <c r="DW9" i="9"/>
  <c r="DI14" i="9"/>
  <c r="DI13" i="9"/>
  <c r="DL9" i="9"/>
  <c r="DT15" i="9"/>
  <c r="DT16" i="9"/>
  <c r="AB10" i="13"/>
  <c r="AC10" i="13" s="1"/>
  <c r="DI15" i="9"/>
  <c r="DI16" i="9"/>
  <c r="DW7" i="9"/>
  <c r="DL7" i="9"/>
  <c r="CX11" i="9"/>
  <c r="DA11" i="9" s="1"/>
  <c r="F128" i="15" s="1"/>
  <c r="CX9" i="9"/>
  <c r="CX8" i="9"/>
  <c r="CX7" i="9"/>
  <c r="CX13" i="9" s="1"/>
  <c r="CM11" i="9"/>
  <c r="CM9" i="9"/>
  <c r="CM8" i="9"/>
  <c r="CM7" i="9"/>
  <c r="F9" i="15" l="1"/>
  <c r="AA12" i="13"/>
  <c r="I9" i="15"/>
  <c r="G9" i="15"/>
  <c r="H9" i="15"/>
  <c r="CM14" i="9"/>
  <c r="CM13" i="9"/>
  <c r="CP9" i="9"/>
  <c r="CX14" i="9"/>
  <c r="DA9" i="9"/>
  <c r="AB11" i="13"/>
  <c r="AC11" i="13" s="1"/>
  <c r="CX15" i="9"/>
  <c r="CX16" i="9"/>
  <c r="CM15" i="9"/>
  <c r="CM16" i="9"/>
  <c r="DA7" i="9"/>
  <c r="AA13" i="13" l="1"/>
  <c r="AB12" i="13"/>
  <c r="AC12" i="13" s="1"/>
  <c r="CP11" i="9"/>
  <c r="F133" i="15" s="1"/>
  <c r="AA14" i="13" l="1"/>
  <c r="AB13" i="13"/>
  <c r="AC13" i="13" s="1"/>
  <c r="CP7" i="9"/>
  <c r="K80" i="3"/>
  <c r="M80" i="3" s="1"/>
  <c r="BQ11" i="9"/>
  <c r="BT11" i="9" s="1"/>
  <c r="F131" i="15" s="1"/>
  <c r="BF11" i="9"/>
  <c r="BI11" i="9" s="1"/>
  <c r="F134" i="15" s="1"/>
  <c r="AU11" i="9"/>
  <c r="AX11" i="9" s="1"/>
  <c r="F130" i="15" s="1"/>
  <c r="AJ11" i="9"/>
  <c r="AM11" i="9" s="1"/>
  <c r="F125" i="15" s="1"/>
  <c r="Y11" i="9"/>
  <c r="AB11" i="9" s="1"/>
  <c r="F129" i="15" s="1"/>
  <c r="N11" i="9"/>
  <c r="BQ7" i="9"/>
  <c r="BF7" i="9"/>
  <c r="AU7" i="9"/>
  <c r="AJ7" i="9"/>
  <c r="Y7" i="9"/>
  <c r="N7" i="9"/>
  <c r="BQ9" i="9"/>
  <c r="BQ8" i="9"/>
  <c r="BF9" i="9"/>
  <c r="BF8" i="9"/>
  <c r="Y9" i="9"/>
  <c r="Y8" i="9"/>
  <c r="K79" i="3"/>
  <c r="M79" i="3" s="1"/>
  <c r="K77" i="3"/>
  <c r="M77" i="3" s="1"/>
  <c r="AU9" i="9"/>
  <c r="AU8" i="9"/>
  <c r="AJ9" i="9"/>
  <c r="AJ8" i="9"/>
  <c r="N9" i="9"/>
  <c r="N8" i="9"/>
  <c r="C9" i="9"/>
  <c r="J51" i="6"/>
  <c r="J50" i="6"/>
  <c r="J49" i="6"/>
  <c r="J48" i="6"/>
  <c r="J47" i="6"/>
  <c r="J46" i="6"/>
  <c r="J45" i="6"/>
  <c r="J44" i="6"/>
  <c r="J43" i="6"/>
  <c r="J42" i="6"/>
  <c r="J41" i="6"/>
  <c r="K40" i="6"/>
  <c r="J40" i="6"/>
  <c r="K39" i="6"/>
  <c r="J39" i="6"/>
  <c r="K38" i="6"/>
  <c r="J38" i="6"/>
  <c r="K37" i="6"/>
  <c r="J37" i="6"/>
  <c r="K36" i="6"/>
  <c r="J36" i="6"/>
  <c r="K35" i="6"/>
  <c r="J35" i="6"/>
  <c r="K34" i="6"/>
  <c r="J34" i="6"/>
  <c r="K33" i="6"/>
  <c r="J33" i="6"/>
  <c r="K32" i="6"/>
  <c r="T8" i="6" s="1"/>
  <c r="J32" i="6"/>
  <c r="K31" i="6"/>
  <c r="J31" i="6"/>
  <c r="K30" i="6"/>
  <c r="J30" i="6"/>
  <c r="K29" i="6"/>
  <c r="J29" i="6"/>
  <c r="K28" i="6"/>
  <c r="J28" i="6"/>
  <c r="K27" i="6"/>
  <c r="J27" i="6"/>
  <c r="K26" i="6"/>
  <c r="J26" i="6"/>
  <c r="K25" i="6"/>
  <c r="J25" i="6"/>
  <c r="K24" i="6"/>
  <c r="T7" i="6" s="1"/>
  <c r="J24" i="6"/>
  <c r="K23" i="6"/>
  <c r="J23" i="6"/>
  <c r="K22" i="6"/>
  <c r="J22" i="6"/>
  <c r="K21" i="6"/>
  <c r="J21" i="6"/>
  <c r="K20" i="6"/>
  <c r="J20" i="6"/>
  <c r="K19" i="6"/>
  <c r="J19" i="6"/>
  <c r="K18" i="6"/>
  <c r="J18" i="6"/>
  <c r="K17" i="6"/>
  <c r="J17" i="6"/>
  <c r="K16" i="6"/>
  <c r="J16" i="6"/>
  <c r="K15" i="6"/>
  <c r="J15" i="6"/>
  <c r="K14" i="6"/>
  <c r="J14" i="6"/>
  <c r="K13" i="6"/>
  <c r="T5" i="6" s="1"/>
  <c r="J13" i="6"/>
  <c r="T9" i="6"/>
  <c r="P9" i="6"/>
  <c r="O9" i="6"/>
  <c r="N9" i="6"/>
  <c r="O8" i="6"/>
  <c r="N8" i="6"/>
  <c r="P8" i="6" s="1"/>
  <c r="O7" i="6"/>
  <c r="P7" i="6" s="1"/>
  <c r="N7" i="6"/>
  <c r="T6" i="6"/>
  <c r="P6" i="6"/>
  <c r="O6" i="6"/>
  <c r="N6" i="6"/>
  <c r="O5" i="6"/>
  <c r="N5" i="6"/>
  <c r="P5" i="6" s="1"/>
  <c r="R12" i="6" s="1"/>
  <c r="P133" i="3"/>
  <c r="L40" i="3"/>
  <c r="R41" i="3" s="1"/>
  <c r="K40" i="3"/>
  <c r="P132" i="3"/>
  <c r="K132" i="3"/>
  <c r="L39" i="3"/>
  <c r="P130" i="3"/>
  <c r="K130" i="3"/>
  <c r="L37" i="3"/>
  <c r="R38" i="3" s="1"/>
  <c r="K37" i="3"/>
  <c r="P129" i="3"/>
  <c r="L36" i="3"/>
  <c r="K36" i="3"/>
  <c r="P128" i="3"/>
  <c r="L35" i="3"/>
  <c r="K35" i="3"/>
  <c r="P127" i="3"/>
  <c r="K127" i="3"/>
  <c r="L34" i="3"/>
  <c r="K34" i="3"/>
  <c r="P126" i="3"/>
  <c r="L33" i="3"/>
  <c r="K33" i="3"/>
  <c r="P125" i="3"/>
  <c r="L32" i="3"/>
  <c r="K32" i="3"/>
  <c r="P124" i="3"/>
  <c r="L31" i="3"/>
  <c r="K31" i="3"/>
  <c r="P123" i="3"/>
  <c r="P141" i="3" s="1"/>
  <c r="L30" i="3"/>
  <c r="K30" i="3"/>
  <c r="C71" i="3"/>
  <c r="E71" i="3" s="1"/>
  <c r="F20" i="3"/>
  <c r="F16" i="3"/>
  <c r="K83" i="3"/>
  <c r="M83" i="3" s="1"/>
  <c r="M86" i="3"/>
  <c r="K82" i="3"/>
  <c r="M82" i="3" s="1"/>
  <c r="K78" i="3"/>
  <c r="M78" i="3" s="1"/>
  <c r="K81" i="3"/>
  <c r="M81" i="3" s="1"/>
  <c r="K85" i="3"/>
  <c r="M85" i="3" s="1"/>
  <c r="AA15" i="13" l="1"/>
  <c r="K11" i="13"/>
  <c r="K12" i="13" s="1"/>
  <c r="M30" i="3"/>
  <c r="L127" i="3"/>
  <c r="M127" i="3"/>
  <c r="M133" i="3"/>
  <c r="L124" i="3"/>
  <c r="U124" i="3" s="1"/>
  <c r="L132" i="3"/>
  <c r="M132" i="3"/>
  <c r="L130" i="3"/>
  <c r="M130" i="3"/>
  <c r="L125" i="3"/>
  <c r="U125" i="3" s="1"/>
  <c r="L128" i="3"/>
  <c r="M128" i="3"/>
  <c r="Q11" i="9"/>
  <c r="F123" i="15" s="1"/>
  <c r="I8" i="15"/>
  <c r="J21" i="15" s="1"/>
  <c r="C15" i="9"/>
  <c r="F8" i="15"/>
  <c r="J18" i="15" s="1"/>
  <c r="H8" i="15"/>
  <c r="J20" i="15" s="1"/>
  <c r="G8" i="15"/>
  <c r="J19" i="15" s="1"/>
  <c r="T10" i="6"/>
  <c r="T12" i="6" s="1"/>
  <c r="N13" i="9"/>
  <c r="Q9" i="9"/>
  <c r="N14" i="9"/>
  <c r="AB9" i="9"/>
  <c r="Y14" i="9"/>
  <c r="Y13" i="9"/>
  <c r="C72" i="3"/>
  <c r="E72" i="3" s="1"/>
  <c r="G72" i="3" s="1"/>
  <c r="F9" i="9"/>
  <c r="C14" i="9"/>
  <c r="AM9" i="9"/>
  <c r="AJ14" i="9"/>
  <c r="AJ13" i="9"/>
  <c r="BQ14" i="9"/>
  <c r="BQ13" i="9"/>
  <c r="BT9" i="9"/>
  <c r="AX9" i="9"/>
  <c r="AU14" i="9"/>
  <c r="AU13" i="9"/>
  <c r="BF14" i="9"/>
  <c r="BF13" i="9"/>
  <c r="BI9" i="9"/>
  <c r="R145" i="3"/>
  <c r="P145" i="3"/>
  <c r="P150" i="3"/>
  <c r="R150" i="3"/>
  <c r="R141" i="3"/>
  <c r="R144" i="3"/>
  <c r="P144" i="3"/>
  <c r="R146" i="3"/>
  <c r="P146" i="3"/>
  <c r="P142" i="3"/>
  <c r="R142" i="3"/>
  <c r="P143" i="3"/>
  <c r="R143" i="3"/>
  <c r="P148" i="3"/>
  <c r="R148" i="3"/>
  <c r="P151" i="3"/>
  <c r="R151" i="3"/>
  <c r="R147" i="3"/>
  <c r="P147" i="3"/>
  <c r="BT7" i="9"/>
  <c r="Q7" i="9"/>
  <c r="AB7" i="9"/>
  <c r="AM7" i="9"/>
  <c r="AX7" i="9"/>
  <c r="BI7" i="9"/>
  <c r="BQ15" i="9"/>
  <c r="C16" i="9"/>
  <c r="N15" i="9"/>
  <c r="AJ16" i="9"/>
  <c r="AJ15" i="9"/>
  <c r="N16" i="9"/>
  <c r="AU15" i="9"/>
  <c r="F11" i="9"/>
  <c r="F124" i="15" s="1"/>
  <c r="F7" i="9"/>
  <c r="L10" i="13"/>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AB14" i="13"/>
  <c r="AC14" i="13" s="1"/>
  <c r="P33" i="3"/>
  <c r="M33" i="3"/>
  <c r="O33" i="3" s="1"/>
  <c r="M35" i="3"/>
  <c r="O35" i="3" s="1"/>
  <c r="M39" i="3"/>
  <c r="O39" i="3" s="1"/>
  <c r="AU16" i="9"/>
  <c r="BQ16" i="9"/>
  <c r="P35" i="3"/>
  <c r="P30" i="3"/>
  <c r="P34" i="3"/>
  <c r="Y15" i="9"/>
  <c r="Y16" i="9"/>
  <c r="M32" i="3"/>
  <c r="O32" i="3" s="1"/>
  <c r="BF15" i="9"/>
  <c r="BF16" i="9"/>
  <c r="P37" i="3"/>
  <c r="M37" i="3"/>
  <c r="O37" i="3" s="1"/>
  <c r="M36" i="3"/>
  <c r="O36" i="3" s="1"/>
  <c r="P36" i="3"/>
  <c r="R36" i="3"/>
  <c r="R34" i="3"/>
  <c r="R33" i="3"/>
  <c r="P39" i="3"/>
  <c r="P40" i="3"/>
  <c r="R40" i="3"/>
  <c r="O30" i="3"/>
  <c r="M34" i="3"/>
  <c r="O34" i="3" s="1"/>
  <c r="R35" i="3"/>
  <c r="J27" i="15" l="1"/>
  <c r="J24" i="15"/>
  <c r="J26" i="15"/>
  <c r="J25" i="15"/>
  <c r="AA16" i="13"/>
  <c r="M12" i="13"/>
  <c r="M10" i="13"/>
  <c r="M11" i="13"/>
  <c r="U132" i="3"/>
  <c r="U133" i="3"/>
  <c r="U128" i="3"/>
  <c r="U130" i="3"/>
  <c r="U127" i="3"/>
  <c r="C73" i="3"/>
  <c r="C74" i="3" s="1"/>
  <c r="K20" i="15"/>
  <c r="J30" i="15"/>
  <c r="K19" i="15"/>
  <c r="AB15" i="13"/>
  <c r="AC15" i="13" s="1"/>
  <c r="K13" i="13"/>
  <c r="M13" i="13" s="1"/>
  <c r="M31" i="3"/>
  <c r="O31" i="3" s="1"/>
  <c r="R32" i="3"/>
  <c r="P31" i="3"/>
  <c r="R31" i="3"/>
  <c r="R37" i="3"/>
  <c r="M40" i="3"/>
  <c r="O40" i="3" s="1"/>
  <c r="P32" i="3"/>
  <c r="AA17" i="13" l="1"/>
  <c r="E73" i="3"/>
  <c r="G73" i="3" s="1"/>
  <c r="E74" i="3"/>
  <c r="C75" i="3"/>
  <c r="Y6" i="9"/>
  <c r="AB16" i="13"/>
  <c r="AC16" i="13" s="1"/>
  <c r="K14" i="13"/>
  <c r="M14" i="13" s="1"/>
  <c r="AA18" i="13" l="1"/>
  <c r="G74" i="3"/>
  <c r="E75" i="3"/>
  <c r="G75" i="3" s="1"/>
  <c r="C76" i="3"/>
  <c r="AB6" i="9"/>
  <c r="E10" i="8"/>
  <c r="F11" i="8" s="1"/>
  <c r="AU6" i="9"/>
  <c r="AB17" i="13"/>
  <c r="AC17" i="13" s="1"/>
  <c r="K15" i="13"/>
  <c r="M15" i="13" s="1"/>
  <c r="AA19" i="13" l="1"/>
  <c r="E76" i="3"/>
  <c r="G76" i="3" s="1"/>
  <c r="C77" i="3"/>
  <c r="AB18" i="13"/>
  <c r="AC18" i="13" s="1"/>
  <c r="K16" i="13"/>
  <c r="M16" i="13" s="1"/>
  <c r="AA20" i="13" l="1"/>
  <c r="E77" i="3"/>
  <c r="G77" i="3" s="1"/>
  <c r="C78" i="3"/>
  <c r="AB19" i="13"/>
  <c r="AC19" i="13" s="1"/>
  <c r="K17" i="13"/>
  <c r="M17" i="13" s="1"/>
  <c r="AA21" i="13" l="1"/>
  <c r="E78" i="3"/>
  <c r="G78" i="3" s="1"/>
  <c r="C79" i="3"/>
  <c r="AB20" i="13"/>
  <c r="AC20" i="13" s="1"/>
  <c r="K18" i="13"/>
  <c r="M18" i="13" s="1"/>
  <c r="AA22" i="13" l="1"/>
  <c r="E79" i="3"/>
  <c r="G79" i="3" s="1"/>
  <c r="C80" i="3"/>
  <c r="AB21" i="13"/>
  <c r="AC21" i="13" s="1"/>
  <c r="K19" i="13"/>
  <c r="M19" i="13" s="1"/>
  <c r="AA23" i="13" l="1"/>
  <c r="E80" i="3"/>
  <c r="G80" i="3" s="1"/>
  <c r="C81" i="3"/>
  <c r="AB22" i="13"/>
  <c r="AC22" i="13" s="1"/>
  <c r="K20" i="13"/>
  <c r="M20" i="13" s="1"/>
  <c r="AA24" i="13" l="1"/>
  <c r="E81" i="3"/>
  <c r="G81" i="3" s="1"/>
  <c r="C82" i="3"/>
  <c r="DT6" i="9"/>
  <c r="E11" i="14" s="1"/>
  <c r="DI6" i="9"/>
  <c r="CX6" i="9"/>
  <c r="CM6" i="9"/>
  <c r="AB23" i="13"/>
  <c r="AC23" i="13" s="1"/>
  <c r="K21" i="13"/>
  <c r="M21" i="13" s="1"/>
  <c r="AA25" i="13" l="1"/>
  <c r="E9" i="15"/>
  <c r="L9" i="15" s="1"/>
  <c r="E82" i="3"/>
  <c r="G82" i="3" s="1"/>
  <c r="C83" i="3"/>
  <c r="DL6" i="9"/>
  <c r="F11" i="16"/>
  <c r="DA6" i="9"/>
  <c r="F10" i="16"/>
  <c r="E8" i="14"/>
  <c r="F9" i="14" s="1"/>
  <c r="F9" i="16"/>
  <c r="DW6" i="9"/>
  <c r="E10" i="14"/>
  <c r="F11" i="14" s="1"/>
  <c r="E9" i="14"/>
  <c r="F10" i="14" s="1"/>
  <c r="CP6" i="9"/>
  <c r="AB24" i="13"/>
  <c r="AC24" i="13" s="1"/>
  <c r="K22" i="13"/>
  <c r="M22" i="13" s="1"/>
  <c r="AA26" i="13" l="1"/>
  <c r="K9" i="15"/>
  <c r="E83" i="3"/>
  <c r="G83" i="3" s="1"/>
  <c r="C84" i="3"/>
  <c r="AB25" i="13"/>
  <c r="AC25" i="13" s="1"/>
  <c r="K23" i="13"/>
  <c r="M23" i="13" s="1"/>
  <c r="AA27" i="13" l="1"/>
  <c r="E84" i="3"/>
  <c r="G84" i="3" s="1"/>
  <c r="C85" i="3"/>
  <c r="AB26" i="13"/>
  <c r="AC26" i="13" s="1"/>
  <c r="K24" i="13"/>
  <c r="M24" i="13" s="1"/>
  <c r="AA28" i="13" l="1"/>
  <c r="E85" i="3"/>
  <c r="G85" i="3" s="1"/>
  <c r="C86" i="3"/>
  <c r="AB27" i="13"/>
  <c r="AC27" i="13" s="1"/>
  <c r="K25" i="13"/>
  <c r="M25" i="13" s="1"/>
  <c r="AA29" i="13" l="1"/>
  <c r="E86" i="3"/>
  <c r="G86" i="3" s="1"/>
  <c r="C87" i="3"/>
  <c r="N6" i="9"/>
  <c r="AJ6" i="9"/>
  <c r="E12" i="8" s="1"/>
  <c r="BI6" i="9"/>
  <c r="E14" i="8"/>
  <c r="AB28" i="13"/>
  <c r="AC28" i="13" s="1"/>
  <c r="K26" i="13"/>
  <c r="M26" i="13" s="1"/>
  <c r="AA30" i="13" l="1"/>
  <c r="E8" i="15"/>
  <c r="J17" i="15" s="1"/>
  <c r="Q6" i="9"/>
  <c r="E87" i="3"/>
  <c r="G87" i="3" s="1"/>
  <c r="C88" i="3"/>
  <c r="C89" i="3" s="1"/>
  <c r="C90" i="3" s="1"/>
  <c r="C91" i="3" s="1"/>
  <c r="AX6" i="9"/>
  <c r="E13" i="8"/>
  <c r="F14" i="8" s="1"/>
  <c r="AM6" i="9"/>
  <c r="F13" i="8"/>
  <c r="E8" i="8"/>
  <c r="F9" i="8" s="1"/>
  <c r="E9" i="8"/>
  <c r="F10" i="8" s="1"/>
  <c r="F6" i="9"/>
  <c r="E11" i="8"/>
  <c r="F12" i="8" s="1"/>
  <c r="BT6" i="9"/>
  <c r="AB29" i="13"/>
  <c r="AC29" i="13" s="1"/>
  <c r="K27" i="13"/>
  <c r="M27" i="13" s="1"/>
  <c r="C92" i="3" l="1"/>
  <c r="E91" i="3"/>
  <c r="E90" i="3"/>
  <c r="E89" i="3"/>
  <c r="AA31" i="13"/>
  <c r="L8" i="15"/>
  <c r="K8" i="15"/>
  <c r="E88" i="3"/>
  <c r="G88" i="3" s="1"/>
  <c r="G89" i="3" s="1"/>
  <c r="G90" i="3" s="1"/>
  <c r="G91" i="3" s="1"/>
  <c r="AB30" i="13"/>
  <c r="AC30" i="13" s="1"/>
  <c r="K28" i="13"/>
  <c r="M28" i="13" s="1"/>
  <c r="C93" i="3" l="1"/>
  <c r="E92" i="3"/>
  <c r="G92" i="3" s="1"/>
  <c r="AA32" i="13"/>
  <c r="AB31" i="13"/>
  <c r="AC31" i="13" s="1"/>
  <c r="K29" i="13"/>
  <c r="M29" i="13" s="1"/>
  <c r="C94" i="3" l="1"/>
  <c r="E93" i="3"/>
  <c r="G93" i="3" s="1"/>
  <c r="AA33" i="13"/>
  <c r="AB32" i="13"/>
  <c r="AC32" i="13" s="1"/>
  <c r="K30" i="13"/>
  <c r="M30" i="13" s="1"/>
  <c r="C95" i="3" l="1"/>
  <c r="E94" i="3"/>
  <c r="G94" i="3" s="1"/>
  <c r="AA34" i="13"/>
  <c r="AB33" i="13"/>
  <c r="AC33" i="13" s="1"/>
  <c r="K31" i="13"/>
  <c r="M31" i="13" s="1"/>
  <c r="C96" i="3" l="1"/>
  <c r="E95" i="3"/>
  <c r="G95" i="3" s="1"/>
  <c r="AA35" i="13"/>
  <c r="AB34" i="13"/>
  <c r="AC34" i="13" s="1"/>
  <c r="K32" i="13"/>
  <c r="M32" i="13" s="1"/>
  <c r="C97" i="3" l="1"/>
  <c r="E96" i="3"/>
  <c r="G96" i="3" s="1"/>
  <c r="AA36" i="13"/>
  <c r="AB35" i="13"/>
  <c r="AC35" i="13" s="1"/>
  <c r="K33" i="13"/>
  <c r="M33" i="13" s="1"/>
  <c r="C98" i="3" l="1"/>
  <c r="E97" i="3"/>
  <c r="G97" i="3" s="1"/>
  <c r="AA37" i="13"/>
  <c r="AB36" i="13"/>
  <c r="AC36" i="13" s="1"/>
  <c r="K34" i="13"/>
  <c r="M34" i="13" s="1"/>
  <c r="C99" i="3" l="1"/>
  <c r="E98" i="3"/>
  <c r="G98" i="3" s="1"/>
  <c r="AA38" i="13"/>
  <c r="AB37" i="13"/>
  <c r="AC37" i="13" s="1"/>
  <c r="K35" i="13"/>
  <c r="M35" i="13" s="1"/>
  <c r="C100" i="3" l="1"/>
  <c r="E99" i="3"/>
  <c r="G99" i="3" s="1"/>
  <c r="AB38" i="13"/>
  <c r="AC38" i="13" s="1"/>
  <c r="K36" i="13"/>
  <c r="M36" i="13" s="1"/>
  <c r="C101" i="3" l="1"/>
  <c r="E100" i="3"/>
  <c r="G100" i="3" s="1"/>
  <c r="K37" i="13"/>
  <c r="M37" i="13" s="1"/>
  <c r="C102" i="3" l="1"/>
  <c r="E101" i="3"/>
  <c r="G101" i="3" s="1"/>
  <c r="K38" i="13"/>
  <c r="M38" i="13" s="1"/>
  <c r="C103" i="3" l="1"/>
  <c r="E102" i="3"/>
  <c r="G102" i="3" s="1"/>
  <c r="C104" i="3" l="1"/>
  <c r="E103" i="3"/>
  <c r="G103" i="3" s="1"/>
  <c r="C105" i="3" l="1"/>
  <c r="E104" i="3"/>
  <c r="G104" i="3" s="1"/>
  <c r="C106" i="3" l="1"/>
  <c r="E105" i="3"/>
  <c r="G105" i="3" s="1"/>
  <c r="C107" i="3" l="1"/>
  <c r="E106" i="3"/>
  <c r="G106" i="3" s="1"/>
  <c r="C108" i="3" l="1"/>
  <c r="E107" i="3"/>
  <c r="G107" i="3" s="1"/>
  <c r="C109" i="3" l="1"/>
  <c r="E108" i="3"/>
  <c r="G108" i="3" s="1"/>
  <c r="C110" i="3" l="1"/>
  <c r="E109" i="3"/>
  <c r="G109" i="3" s="1"/>
  <c r="C111" i="3" l="1"/>
  <c r="E110" i="3"/>
  <c r="G110" i="3" s="1"/>
  <c r="C112" i="3" l="1"/>
  <c r="E111" i="3"/>
  <c r="G111" i="3" s="1"/>
  <c r="C113" i="3" l="1"/>
  <c r="E112" i="3"/>
  <c r="G112" i="3" s="1"/>
  <c r="C114" i="3" l="1"/>
  <c r="E113" i="3"/>
  <c r="G113" i="3" s="1"/>
  <c r="C115" i="3" l="1"/>
  <c r="E114" i="3"/>
  <c r="G114" i="3" s="1"/>
  <c r="C116" i="3" l="1"/>
  <c r="E115" i="3"/>
  <c r="G115" i="3" s="1"/>
  <c r="C117" i="3" l="1"/>
  <c r="E116" i="3"/>
  <c r="G116" i="3" s="1"/>
  <c r="C118" i="3" l="1"/>
  <c r="E117" i="3"/>
  <c r="G117" i="3" s="1"/>
  <c r="C119" i="3" l="1"/>
  <c r="E118" i="3"/>
  <c r="G118" i="3" s="1"/>
  <c r="C120" i="3" l="1"/>
  <c r="E119" i="3"/>
  <c r="G119" i="3" s="1"/>
  <c r="C121" i="3" l="1"/>
  <c r="E120" i="3"/>
  <c r="G120" i="3" s="1"/>
  <c r="C122" i="3" l="1"/>
  <c r="E121" i="3"/>
  <c r="G121" i="3" s="1"/>
  <c r="C123" i="3" l="1"/>
  <c r="E122" i="3"/>
  <c r="G122" i="3" s="1"/>
  <c r="C124" i="3" l="1"/>
  <c r="E123" i="3"/>
  <c r="G123" i="3" s="1"/>
  <c r="C125" i="3" l="1"/>
  <c r="E124" i="3"/>
  <c r="G124" i="3" s="1"/>
  <c r="C126" i="3" l="1"/>
  <c r="E125" i="3"/>
  <c r="G125" i="3" s="1"/>
  <c r="C127" i="3" l="1"/>
  <c r="E126" i="3"/>
  <c r="G126" i="3" s="1"/>
  <c r="C128" i="3" l="1"/>
  <c r="E127" i="3"/>
  <c r="G127" i="3" s="1"/>
  <c r="C129" i="3" l="1"/>
  <c r="E128" i="3"/>
  <c r="G128" i="3" s="1"/>
  <c r="C130" i="3" l="1"/>
  <c r="E129" i="3"/>
  <c r="G129" i="3" s="1"/>
  <c r="C131" i="3" l="1"/>
  <c r="E130" i="3"/>
  <c r="G130" i="3" s="1"/>
  <c r="C132" i="3" l="1"/>
  <c r="E131" i="3"/>
  <c r="G131" i="3" s="1"/>
  <c r="C133" i="3" l="1"/>
  <c r="E132" i="3"/>
  <c r="G132" i="3" s="1"/>
  <c r="C134" i="3" l="1"/>
  <c r="E133" i="3"/>
  <c r="G133" i="3" s="1"/>
  <c r="C135" i="3" l="1"/>
  <c r="E134" i="3"/>
  <c r="G134" i="3" s="1"/>
  <c r="C136" i="3" l="1"/>
  <c r="E135" i="3"/>
  <c r="G135" i="3" s="1"/>
  <c r="C137" i="3" l="1"/>
  <c r="C138" i="3" s="1"/>
  <c r="E136" i="3"/>
  <c r="G136" i="3" s="1"/>
  <c r="E138" i="3" l="1"/>
  <c r="C139" i="3"/>
  <c r="E137" i="3"/>
  <c r="G137" i="3" s="1"/>
  <c r="G138" i="3" s="1"/>
  <c r="C140" i="3" l="1"/>
  <c r="E139" i="3"/>
  <c r="G139" i="3" s="1"/>
  <c r="C141" i="3" l="1"/>
  <c r="E140" i="3"/>
  <c r="G140" i="3" s="1"/>
  <c r="C142" i="3" l="1"/>
  <c r="E141" i="3"/>
  <c r="G141" i="3" s="1"/>
  <c r="C143" i="3" l="1"/>
  <c r="E142" i="3"/>
  <c r="G142" i="3" s="1"/>
  <c r="C144" i="3" l="1"/>
  <c r="E143" i="3"/>
  <c r="G143" i="3" s="1"/>
  <c r="C145" i="3" l="1"/>
  <c r="E144" i="3"/>
  <c r="G144" i="3" s="1"/>
  <c r="C146" i="3" l="1"/>
  <c r="E145" i="3"/>
  <c r="G145" i="3" s="1"/>
  <c r="C147" i="3" l="1"/>
  <c r="E146" i="3"/>
  <c r="G146" i="3" s="1"/>
  <c r="C148" i="3" l="1"/>
  <c r="E147" i="3"/>
  <c r="G147" i="3" s="1"/>
  <c r="C149" i="3" l="1"/>
  <c r="E148" i="3"/>
  <c r="G148" i="3" s="1"/>
  <c r="C150" i="3" l="1"/>
  <c r="E149" i="3"/>
  <c r="G149" i="3" s="1"/>
  <c r="C151" i="3" l="1"/>
  <c r="E150" i="3"/>
  <c r="G150" i="3" s="1"/>
  <c r="C152" i="3" l="1"/>
  <c r="E151" i="3"/>
  <c r="G151" i="3" s="1"/>
  <c r="C153" i="3" l="1"/>
  <c r="E152" i="3"/>
  <c r="G152" i="3" s="1"/>
  <c r="C154" i="3" l="1"/>
  <c r="E153" i="3"/>
  <c r="G153" i="3" s="1"/>
  <c r="C155" i="3" l="1"/>
  <c r="E154" i="3"/>
  <c r="G154" i="3" s="1"/>
  <c r="C156" i="3" l="1"/>
  <c r="C157" i="3" s="1"/>
  <c r="E155" i="3"/>
  <c r="G155" i="3" s="1"/>
  <c r="C158" i="3" l="1"/>
  <c r="E157" i="3"/>
  <c r="E156" i="3"/>
  <c r="G156" i="3" s="1"/>
  <c r="G157" i="3" s="1"/>
  <c r="C159" i="3" l="1"/>
  <c r="E158" i="3"/>
  <c r="G158" i="3" s="1"/>
  <c r="C160" i="3" l="1"/>
  <c r="E159" i="3"/>
  <c r="G159" i="3" s="1"/>
  <c r="C161" i="3" l="1"/>
  <c r="E160" i="3"/>
  <c r="G160" i="3" s="1"/>
  <c r="C162" i="3" l="1"/>
  <c r="E161" i="3"/>
  <c r="G161" i="3" s="1"/>
  <c r="C163" i="3" l="1"/>
  <c r="E162" i="3"/>
  <c r="G162" i="3" s="1"/>
  <c r="C164" i="3" l="1"/>
  <c r="E163" i="3"/>
  <c r="G163" i="3" s="1"/>
  <c r="C165" i="3" l="1"/>
  <c r="E164" i="3"/>
  <c r="G164" i="3" s="1"/>
  <c r="C166" i="3" l="1"/>
  <c r="E165" i="3"/>
  <c r="G165" i="3" s="1"/>
  <c r="C167" i="3" l="1"/>
  <c r="E166" i="3"/>
  <c r="G166" i="3" s="1"/>
  <c r="C168" i="3" l="1"/>
  <c r="E167" i="3"/>
  <c r="G167" i="3" s="1"/>
  <c r="C169" i="3" l="1"/>
  <c r="E168" i="3"/>
  <c r="G168" i="3" s="1"/>
  <c r="C170" i="3" l="1"/>
  <c r="E169" i="3"/>
  <c r="G169" i="3" s="1"/>
  <c r="C171" i="3" l="1"/>
  <c r="E170" i="3"/>
  <c r="G170" i="3" s="1"/>
  <c r="C172" i="3" l="1"/>
  <c r="E171" i="3"/>
  <c r="G171" i="3" s="1"/>
  <c r="C173" i="3" l="1"/>
  <c r="E172" i="3"/>
  <c r="G172" i="3" s="1"/>
  <c r="C174" i="3" l="1"/>
  <c r="E173" i="3"/>
  <c r="G173" i="3" s="1"/>
  <c r="C175" i="3" l="1"/>
  <c r="E174" i="3"/>
  <c r="G174" i="3" s="1"/>
  <c r="C176" i="3" l="1"/>
  <c r="E175" i="3"/>
  <c r="G175" i="3" s="1"/>
  <c r="C177" i="3" l="1"/>
  <c r="E176" i="3"/>
  <c r="G176" i="3" s="1"/>
  <c r="C178" i="3" l="1"/>
  <c r="E177" i="3"/>
  <c r="G177" i="3" s="1"/>
  <c r="C179" i="3" l="1"/>
  <c r="E178" i="3"/>
  <c r="G178" i="3" s="1"/>
  <c r="C180" i="3" l="1"/>
  <c r="E179" i="3"/>
  <c r="G179" i="3" s="1"/>
  <c r="C181" i="3" l="1"/>
  <c r="E180" i="3"/>
  <c r="G180" i="3" s="1"/>
  <c r="C182" i="3" l="1"/>
  <c r="E181" i="3"/>
  <c r="G181" i="3" s="1"/>
  <c r="C183" i="3" l="1"/>
  <c r="E182" i="3"/>
  <c r="G182" i="3" s="1"/>
  <c r="C184" i="3" l="1"/>
  <c r="E183" i="3"/>
  <c r="G183" i="3" s="1"/>
  <c r="C185" i="3" l="1"/>
  <c r="E184" i="3"/>
  <c r="G184" i="3" s="1"/>
  <c r="C186" i="3" l="1"/>
  <c r="E185" i="3"/>
  <c r="G185" i="3" s="1"/>
  <c r="C187" i="3" l="1"/>
  <c r="E186" i="3"/>
  <c r="G186" i="3" s="1"/>
  <c r="C188" i="3" l="1"/>
  <c r="E187" i="3"/>
  <c r="G187" i="3" s="1"/>
  <c r="C189" i="3" l="1"/>
  <c r="E188" i="3"/>
  <c r="G188" i="3" s="1"/>
  <c r="C190" i="3" l="1"/>
  <c r="E189" i="3"/>
  <c r="G189" i="3" s="1"/>
  <c r="C191" i="3" l="1"/>
  <c r="E190" i="3"/>
  <c r="G190" i="3" s="1"/>
  <c r="E191" i="3" l="1"/>
  <c r="G191" i="3" s="1"/>
  <c r="E5" i="3" l="1"/>
  <c r="F5" i="3" l="1"/>
  <c r="F6" i="3"/>
  <c r="E9" i="3"/>
  <c r="F7" i="3" l="1"/>
  <c r="F9" i="3"/>
  <c r="F10" i="3"/>
  <c r="F11" i="3" l="1"/>
</calcChain>
</file>

<file path=xl/sharedStrings.xml><?xml version="1.0" encoding="utf-8"?>
<sst xmlns="http://schemas.openxmlformats.org/spreadsheetml/2006/main" count="45123" uniqueCount="8168">
  <si>
    <t>SP_Archer01_Static</t>
  </si>
  <si>
    <t>SP_Archer02_Static</t>
  </si>
  <si>
    <t>PF_Archer01_Static</t>
  </si>
  <si>
    <t>PF_Archer02_Static</t>
  </si>
  <si>
    <t>SP_BakerWoman</t>
  </si>
  <si>
    <t>PF_BakerWoman</t>
  </si>
  <si>
    <t>PF_Cow</t>
  </si>
  <si>
    <t>PF_Horse</t>
  </si>
  <si>
    <t>-</t>
  </si>
  <si>
    <t>SP_DrunkenMan</t>
  </si>
  <si>
    <t>SP_Archer01</t>
  </si>
  <si>
    <t>SP_Archer02</t>
  </si>
  <si>
    <t>PF_Archer01</t>
  </si>
  <si>
    <t>PF_Archer02</t>
  </si>
  <si>
    <t>SP_Cow</t>
  </si>
  <si>
    <t>SP_Horse</t>
  </si>
  <si>
    <t>PF_Horse_Static</t>
  </si>
  <si>
    <t>SP_Horse_Static</t>
  </si>
  <si>
    <t>PF_GoodJunkBottle</t>
  </si>
  <si>
    <t>PF_Bomber</t>
  </si>
  <si>
    <t>PF_Kamikaze</t>
  </si>
  <si>
    <t>SP_Bomber</t>
  </si>
  <si>
    <t>SP_Kamikaze</t>
  </si>
  <si>
    <t>PF_HangingCage</t>
  </si>
  <si>
    <t>PF_FlyingPig</t>
  </si>
  <si>
    <t>PF_Hawk</t>
  </si>
  <si>
    <t>PF_LionBird</t>
  </si>
  <si>
    <t>PF_MineBig</t>
  </si>
  <si>
    <t>PF_MineBig_Static</t>
  </si>
  <si>
    <t>PF_MineMedium</t>
  </si>
  <si>
    <t>PF_BatBig_Flock</t>
  </si>
  <si>
    <t>PF_BatSmall01_Flock</t>
  </si>
  <si>
    <t>PF_BatSmall02_Flock</t>
  </si>
  <si>
    <t>PF_Ghost01</t>
  </si>
  <si>
    <t>PF_Ghost02</t>
  </si>
  <si>
    <t>PF_Ghost03</t>
  </si>
  <si>
    <t>SP_BatBig_Flock</t>
  </si>
  <si>
    <t>SP_BatSmall01_Flock</t>
  </si>
  <si>
    <t>SP_BatSmall02_Flock</t>
  </si>
  <si>
    <t>SP_Ghost01</t>
  </si>
  <si>
    <t>SP_Ghost02</t>
  </si>
  <si>
    <t>SP_Ghost03</t>
  </si>
  <si>
    <t>SP_MineBig</t>
  </si>
  <si>
    <t>SP_MineBig_Static</t>
  </si>
  <si>
    <t>SP_MineMedium</t>
  </si>
  <si>
    <t>SP_Hawk</t>
  </si>
  <si>
    <t>SP_FlyingPig</t>
  </si>
  <si>
    <t>SP_EnemyTier0</t>
  </si>
  <si>
    <t>SP_EnemyTier1</t>
  </si>
  <si>
    <t>SP_EnemyTier2</t>
  </si>
  <si>
    <t>SP_EnemyTier3</t>
  </si>
  <si>
    <t>SP_EnemyTier4</t>
  </si>
  <si>
    <t>PF_BoatFisher</t>
  </si>
  <si>
    <t>PF_BoatRider</t>
  </si>
  <si>
    <t>SP_BoatFisher</t>
  </si>
  <si>
    <t>SP_BoatRider</t>
  </si>
  <si>
    <t>PF_Crocodile</t>
  </si>
  <si>
    <t>PF_Crocodile_Evade</t>
  </si>
  <si>
    <t>PF_Fish01_Generic</t>
  </si>
  <si>
    <t>PF_Fish02_Generic</t>
  </si>
  <si>
    <t>PF_Fish03_Generic</t>
  </si>
  <si>
    <t>SP_Crocodile</t>
  </si>
  <si>
    <t>SP_Crocodile_Evade</t>
  </si>
  <si>
    <t>SP_Fish01_Generic</t>
  </si>
  <si>
    <t>SP_Fish02_Generic</t>
  </si>
  <si>
    <t>SP_Fish03_Generic</t>
  </si>
  <si>
    <t>Archer01</t>
  </si>
  <si>
    <t>Archer02</t>
  </si>
  <si>
    <t>BakerWoman</t>
  </si>
  <si>
    <t>BoatFisher</t>
  </si>
  <si>
    <t>Cow</t>
  </si>
  <si>
    <t>Horse</t>
  </si>
  <si>
    <t>RichMan</t>
  </si>
  <si>
    <t>Sheep</t>
  </si>
  <si>
    <t>Soldier</t>
  </si>
  <si>
    <t>SpiderRed</t>
  </si>
  <si>
    <t>SpiderSmall</t>
  </si>
  <si>
    <t>Villager01</t>
  </si>
  <si>
    <t>Villager02</t>
  </si>
  <si>
    <t>GoodJunkBottle</t>
  </si>
  <si>
    <t>Bomber</t>
  </si>
  <si>
    <t>Kamikaze</t>
  </si>
  <si>
    <t>Spartakus</t>
  </si>
  <si>
    <t>Worker</t>
  </si>
  <si>
    <t>BatBig_Flock</t>
  </si>
  <si>
    <t>BatSmall_Flock</t>
  </si>
  <si>
    <t>PF_Canary01_Flock</t>
  </si>
  <si>
    <t>PF_Canary02_Flock</t>
  </si>
  <si>
    <t>PF_Canary03_Flock</t>
  </si>
  <si>
    <t>PF_Canary04_Flock</t>
  </si>
  <si>
    <t>SP_Canary01_Flock</t>
  </si>
  <si>
    <t>SP_Canary02_Flock</t>
  </si>
  <si>
    <t>SP_Canary03_Flock</t>
  </si>
  <si>
    <t>SP_Canary04_Flock</t>
  </si>
  <si>
    <t>PF_Crow_Flock</t>
  </si>
  <si>
    <t>SP_Crow_Flock</t>
  </si>
  <si>
    <t>Canary01_Flock</t>
  </si>
  <si>
    <t>Canary02_Flock</t>
  </si>
  <si>
    <t>Canary03_Flock</t>
  </si>
  <si>
    <t>Canary04_Flock</t>
  </si>
  <si>
    <t>Crow_Flock</t>
  </si>
  <si>
    <t>EnemyTier0</t>
  </si>
  <si>
    <t>EnemyTier1</t>
  </si>
  <si>
    <t>EnemyTier2</t>
  </si>
  <si>
    <t>EnemyTier3</t>
  </si>
  <si>
    <t>EnemyTier4</t>
  </si>
  <si>
    <t>FlyingPig</t>
  </si>
  <si>
    <t>Ghost01</t>
  </si>
  <si>
    <t>Ghost02</t>
  </si>
  <si>
    <t>Ghost03</t>
  </si>
  <si>
    <t>Hawk</t>
  </si>
  <si>
    <t>LionBird</t>
  </si>
  <si>
    <t>MineBig</t>
  </si>
  <si>
    <t>MineMedium</t>
  </si>
  <si>
    <t>OwlSmall</t>
  </si>
  <si>
    <t>OwlBig</t>
  </si>
  <si>
    <t>Starling_Flock</t>
  </si>
  <si>
    <t>Witch</t>
  </si>
  <si>
    <t>Crocodile</t>
  </si>
  <si>
    <t>Fish01_Generic</t>
  </si>
  <si>
    <t>Fish02_Generic</t>
  </si>
  <si>
    <t>Fish03_Generic</t>
  </si>
  <si>
    <t>SP_GoodJunkBottle</t>
  </si>
  <si>
    <t>SP_LionBird</t>
  </si>
  <si>
    <t>DAMAGE</t>
  </si>
  <si>
    <t>dragon_baby</t>
  </si>
  <si>
    <t>dragon_crocodile</t>
  </si>
  <si>
    <t>dragon_fat</t>
  </si>
  <si>
    <t>dragon_reptile</t>
  </si>
  <si>
    <t>dragon_chinese</t>
  </si>
  <si>
    <t>dragon_bug</t>
  </si>
  <si>
    <t>dragon_classic</t>
  </si>
  <si>
    <t>dragon_balrog</t>
  </si>
  <si>
    <t>dragon_devil</t>
  </si>
  <si>
    <t>dragon_titan</t>
  </si>
  <si>
    <t>HP MIN</t>
  </si>
  <si>
    <t>HP MAX</t>
  </si>
  <si>
    <t>SP_HangingCage</t>
  </si>
  <si>
    <t>HP</t>
  </si>
  <si>
    <t>healthDrain</t>
  </si>
  <si>
    <t>healthDrainAmpPerSecond</t>
  </si>
  <si>
    <t>healthDrain(t)</t>
  </si>
  <si>
    <t>healthDrainAmpPerSecond(t)</t>
  </si>
  <si>
    <t>healthDrain(t+1)</t>
  </si>
  <si>
    <t>healthDrain(t+2)</t>
  </si>
  <si>
    <t>TIME TO DIE:</t>
  </si>
  <si>
    <t>GAMEPLAY TIME:</t>
  </si>
  <si>
    <t>TIME TO START DYING</t>
  </si>
  <si>
    <t>sessionStartHealthDrainTime</t>
  </si>
  <si>
    <t>sessionStartHealthDrainModifier</t>
  </si>
  <si>
    <t>TIME(SEC)</t>
  </si>
  <si>
    <t>DIF</t>
  </si>
  <si>
    <t>DRAGONS HP</t>
  </si>
  <si>
    <t>MID</t>
  </si>
  <si>
    <t>DRAGONS DRAIN</t>
  </si>
  <si>
    <t>DRAGONS SPEED</t>
  </si>
  <si>
    <t>MASS</t>
  </si>
  <si>
    <t>INC / LV</t>
  </si>
  <si>
    <t>FRICTION</t>
  </si>
  <si>
    <t>DIF PREV DRAGON</t>
  </si>
  <si>
    <t>DRAGONS ENERGY</t>
  </si>
  <si>
    <t>BOOST MULT</t>
  </si>
  <si>
    <t>ENERGY DRAIN</t>
  </si>
  <si>
    <t>ENERGY REFILL RATE</t>
  </si>
  <si>
    <t>REFILL T.</t>
  </si>
  <si>
    <t>DRAGON_DEFINITIONS</t>
  </si>
  <si>
    <t>DRAGON_HEALTH_MODIFIERS_DEFINITIONS</t>
  </si>
  <si>
    <t>health_modifier_eatmore</t>
  </si>
  <si>
    <t>health_modifier_starving</t>
  </si>
  <si>
    <t>health_modifier_critical</t>
  </si>
  <si>
    <t>THRESHOLD</t>
  </si>
  <si>
    <t>MODIFIER</t>
  </si>
  <si>
    <t>threshold</t>
  </si>
  <si>
    <t>HP applied</t>
  </si>
  <si>
    <t>Damage</t>
  </si>
  <si>
    <t>modifier</t>
  </si>
  <si>
    <t>Final dmg</t>
  </si>
  <si>
    <t>DRAIN/REFILL</t>
  </si>
  <si>
    <t>HP DRAIN</t>
  </si>
  <si>
    <t>HP AMP SEC.</t>
  </si>
  <si>
    <t>START DRAIN</t>
  </si>
  <si>
    <t>NUM</t>
  </si>
  <si>
    <t>FPS</t>
  </si>
  <si>
    <t>GROUPS</t>
  </si>
  <si>
    <t>Horse Static</t>
  </si>
  <si>
    <t>BALANCE</t>
  </si>
  <si>
    <t>Very heavy</t>
  </si>
  <si>
    <t>Heavy</t>
  </si>
  <si>
    <t>Medium</t>
  </si>
  <si>
    <t>Light</t>
  </si>
  <si>
    <t>Very light</t>
  </si>
  <si>
    <t>QUANTITY</t>
  </si>
  <si>
    <t>ENTITY</t>
  </si>
  <si>
    <t>NORMALIZATION (to Very Light)</t>
  </si>
  <si>
    <t>PROFILER SPAWNER</t>
  </si>
  <si>
    <t>PROP</t>
  </si>
  <si>
    <t>(in build)</t>
  </si>
  <si>
    <t>(selected in cheats)</t>
  </si>
  <si>
    <t>BUDGET USED (in FPS)</t>
  </si>
  <si>
    <t>(1 archer = 3 canaries)</t>
  </si>
  <si>
    <t>(1 richman = 1,8 canaries)</t>
  </si>
  <si>
    <t>(1 horse = 1,5 canaries)</t>
  </si>
  <si>
    <t>(1 spiderRed = 1,286 canaries)</t>
  </si>
  <si>
    <t>FPS Objective</t>
  </si>
  <si>
    <t>FPS per spawn</t>
  </si>
  <si>
    <t>XP</t>
  </si>
  <si>
    <t>AREA:</t>
  </si>
  <si>
    <t>TOTAL XP IN AREA:</t>
  </si>
  <si>
    <t>spawner_sku</t>
  </si>
  <si>
    <t>entity_spawned (AVG)</t>
  </si>
  <si>
    <t>respawn_time</t>
  </si>
  <si>
    <t>activating_chance</t>
  </si>
  <si>
    <t>total xp</t>
  </si>
  <si>
    <t>Air/PF_BatBig_Flock</t>
  </si>
  <si>
    <t>Air/PF_BatSmall01_Flock</t>
  </si>
  <si>
    <t>Air/PF_Canary01_Flock</t>
  </si>
  <si>
    <t>Air/PF_Canary02_Flock</t>
  </si>
  <si>
    <t>Air/PF_Canary03_Flock</t>
  </si>
  <si>
    <t>Air/PF_FlyingPig</t>
  </si>
  <si>
    <t>Air/PF_Ghost01</t>
  </si>
  <si>
    <t>Air/PF_Ghost02</t>
  </si>
  <si>
    <t>Air/PF_Ghost03</t>
  </si>
  <si>
    <t>Air/PF_Hawk</t>
  </si>
  <si>
    <t>Air/PF_LionBird</t>
  </si>
  <si>
    <t>Air/PF_MineBig</t>
  </si>
  <si>
    <t>Air/PF_MineBig_Static</t>
  </si>
  <si>
    <t>Air/PF_MineMedium</t>
  </si>
  <si>
    <t>Air/PF_MineMedium_Static</t>
  </si>
  <si>
    <t>Air/PF_MineSmall</t>
  </si>
  <si>
    <t>Air/PF_MineSmall_Static</t>
  </si>
  <si>
    <t>Air/PF_OwlBig</t>
  </si>
  <si>
    <t>Air/PF_PufferBird</t>
  </si>
  <si>
    <t>Air/PF_Starling_Flock</t>
  </si>
  <si>
    <t>Junk/PF_GoodJunkBottle</t>
  </si>
  <si>
    <t>Monster/PF_Troll</t>
  </si>
  <si>
    <t>Surface/PF_Archer01</t>
  </si>
  <si>
    <t>Surface/PF_BakerWoman</t>
  </si>
  <si>
    <t>Surface/PF_Cow</t>
  </si>
  <si>
    <t>Surface/PF_Horse</t>
  </si>
  <si>
    <t>Surface/PF_Sheep</t>
  </si>
  <si>
    <t>Surface/PF_SpiderGreenTurret</t>
  </si>
  <si>
    <t>Surface/PF_SpiderRed</t>
  </si>
  <si>
    <t>Surface/PF_SpiderSmall</t>
  </si>
  <si>
    <t>Surface/PF_SpiderSmallTurret</t>
  </si>
  <si>
    <t>Surface/PF_Villager01</t>
  </si>
  <si>
    <t>Area</t>
  </si>
  <si>
    <t>Total xp available</t>
  </si>
  <si>
    <t>Progress xp base</t>
  </si>
  <si>
    <t>Unity scene</t>
  </si>
  <si>
    <t>SP_MEDIEVAL_FINAL_VILLAGE</t>
  </si>
  <si>
    <t>Goblin City</t>
  </si>
  <si>
    <t>Waterfall</t>
  </si>
  <si>
    <t>SCENE:</t>
  </si>
  <si>
    <t>SP_Canary_Mix_Flock</t>
  </si>
  <si>
    <t>SP_Canary_Random_Flock</t>
  </si>
  <si>
    <t>SP_Cow_Static</t>
  </si>
  <si>
    <t>SP_Ghost01_Static</t>
  </si>
  <si>
    <t>SP_Ghost02_Static</t>
  </si>
  <si>
    <t>SP_Ghost03_Static</t>
  </si>
  <si>
    <t>PF_Cow_Static</t>
  </si>
  <si>
    <t>PF_Ghost01_Static</t>
  </si>
  <si>
    <t>PF_Ghost02_Static</t>
  </si>
  <si>
    <t>PF_Ghost03_Static</t>
  </si>
  <si>
    <t>(execute 'spawnersData' script)</t>
  </si>
  <si>
    <t>SP_GoblinBoat</t>
  </si>
  <si>
    <t>Spawner Prefab</t>
  </si>
  <si>
    <t>Content Sku</t>
  </si>
  <si>
    <t>Entity Prefab</t>
  </si>
  <si>
    <t>Respawn Min</t>
  </si>
  <si>
    <t>Respawn Max</t>
  </si>
  <si>
    <t>HP Given</t>
  </si>
  <si>
    <t>XP Given</t>
  </si>
  <si>
    <t>PF_GoblinBoat</t>
  </si>
  <si>
    <t>SP_MineMedium_Static</t>
  </si>
  <si>
    <t>PF_MineMedium_Static</t>
  </si>
  <si>
    <t>MineSmall</t>
  </si>
  <si>
    <t>SP_MineSmall</t>
  </si>
  <si>
    <t>PF_MineSmall</t>
  </si>
  <si>
    <t>SP_MineSmall_Static</t>
  </si>
  <si>
    <t>PF_MineSmall_Static</t>
  </si>
  <si>
    <t>SP_OwlBig</t>
  </si>
  <si>
    <t>PF_OwlBig</t>
  </si>
  <si>
    <t>Piranha</t>
  </si>
  <si>
    <t>SP_Piranha</t>
  </si>
  <si>
    <t>PF_Piranha</t>
  </si>
  <si>
    <t>PufferBird</t>
  </si>
  <si>
    <t>SP_PufferBird</t>
  </si>
  <si>
    <t>PF_PufferBird</t>
  </si>
  <si>
    <t>Rat</t>
  </si>
  <si>
    <t>SP_Rat</t>
  </si>
  <si>
    <t>PF_Rat</t>
  </si>
  <si>
    <t>SP_Richman</t>
  </si>
  <si>
    <t>PF_Richman</t>
  </si>
  <si>
    <t>SP_RichMan_Static</t>
  </si>
  <si>
    <t>PF_RichMan_Static</t>
  </si>
  <si>
    <t>SP_Sheep</t>
  </si>
  <si>
    <t>PF_Sheep</t>
  </si>
  <si>
    <t>SP_Sheep_Static</t>
  </si>
  <si>
    <t>PF_Sheep_Static</t>
  </si>
  <si>
    <t>ShieldMan</t>
  </si>
  <si>
    <t>SP_Shieldman</t>
  </si>
  <si>
    <t>PF_Shieldman</t>
  </si>
  <si>
    <t>SP_Soldier01</t>
  </si>
  <si>
    <t>PF_Soldier01</t>
  </si>
  <si>
    <t>SP_Soldier01_Static</t>
  </si>
  <si>
    <t>PF_Soldier01_Static</t>
  </si>
  <si>
    <t>SP_Spartakus</t>
  </si>
  <si>
    <t>PF_Spartakus</t>
  </si>
  <si>
    <t>SpiderGreenTurret</t>
  </si>
  <si>
    <t>SP_SpiderGreenTurret</t>
  </si>
  <si>
    <t>PF_SpiderGreenTurret</t>
  </si>
  <si>
    <t>SP_SpiderRed</t>
  </si>
  <si>
    <t>PF_SpiderRed</t>
  </si>
  <si>
    <t>SP_SpiderSmall</t>
  </si>
  <si>
    <t>PF_SpiderSmall</t>
  </si>
  <si>
    <t>SP_SpiderSmallTurret</t>
  </si>
  <si>
    <t>PF_SpiderSmallTurret</t>
  </si>
  <si>
    <t>PF_Starling_Flock</t>
  </si>
  <si>
    <t>SP_Starling_Flock</t>
  </si>
  <si>
    <t>Surface/PF_Sheep_Static</t>
  </si>
  <si>
    <t>Air/PF_Ghost01_Static</t>
  </si>
  <si>
    <t>Air/PF_Ghost02_Static</t>
  </si>
  <si>
    <t>Surface/PF_Villager02</t>
  </si>
  <si>
    <t>Surface/PF_Cow_Static</t>
  </si>
  <si>
    <t>TOTAL SPAWNERS:</t>
  </si>
  <si>
    <t>TOTAL ENTITIES:</t>
  </si>
  <si>
    <t>Aggresive</t>
  </si>
  <si>
    <t>no</t>
  </si>
  <si>
    <t>yes</t>
  </si>
  <si>
    <t>ENEMY SPAWNERS:</t>
  </si>
  <si>
    <t>PREY SPAWNERS:</t>
  </si>
  <si>
    <t>Aggressive</t>
  </si>
  <si>
    <t>Surface/PF_SeatVillager</t>
  </si>
  <si>
    <t>SP_SeatVillager</t>
  </si>
  <si>
    <t>PF_SeatVillager</t>
  </si>
  <si>
    <t>Troll</t>
  </si>
  <si>
    <t>SP_Troll</t>
  </si>
  <si>
    <t>PF_Troll</t>
  </si>
  <si>
    <t>SP_Villager01</t>
  </si>
  <si>
    <t>PF_Villager01</t>
  </si>
  <si>
    <t>SP_Villager01_Static</t>
  </si>
  <si>
    <t>PF_Villager01_Static</t>
  </si>
  <si>
    <t>SP_Villager02</t>
  </si>
  <si>
    <t>PF_Villager02</t>
  </si>
  <si>
    <t>SP_Villager02_Static</t>
  </si>
  <si>
    <t>PF_Villager02_Static</t>
  </si>
  <si>
    <t>SP_witch</t>
  </si>
  <si>
    <t>SP_Worker01</t>
  </si>
  <si>
    <t>PF_Worker01</t>
  </si>
  <si>
    <t>SP_Worker02</t>
  </si>
  <si>
    <t>PF_Worker02</t>
  </si>
  <si>
    <t>SP_WorkerWife</t>
  </si>
  <si>
    <t>PF_WorkerWife</t>
  </si>
  <si>
    <t>Edible Tier</t>
  </si>
  <si>
    <t>GoblinBoat</t>
  </si>
  <si>
    <t>AMBIENT HAZARDS</t>
  </si>
  <si>
    <t>PF_PoisonFlower</t>
  </si>
  <si>
    <t>PF_Marmite</t>
  </si>
  <si>
    <t>OTHERS</t>
  </si>
  <si>
    <t>PF_Catapult</t>
  </si>
  <si>
    <t>PF_Scaffold</t>
  </si>
  <si>
    <t>SP_Cage</t>
  </si>
  <si>
    <t>PF_Cage</t>
  </si>
  <si>
    <t>STARTINGPOINT/HUMANVILLAGE</t>
  </si>
  <si>
    <t>Cage/PF_Cage</t>
  </si>
  <si>
    <t>Water/PF_Piranha</t>
  </si>
  <si>
    <t>Water/PF_Fish01_Generic</t>
  </si>
  <si>
    <t>Goblin/PF_Worker01</t>
  </si>
  <si>
    <t>Goblin/PF_Spartakus</t>
  </si>
  <si>
    <t>Goblin/PF_Bomber</t>
  </si>
  <si>
    <t>Cage/PF_HangingCage</t>
  </si>
  <si>
    <t>Goblin/PF_Kamikaze</t>
  </si>
  <si>
    <t>Air/PF_Canary04_Flock</t>
  </si>
  <si>
    <t>MAGIC AREA/GOBLIN CITY</t>
  </si>
  <si>
    <t>Surface/PF_Horse_Static</t>
  </si>
  <si>
    <t>Surface/PF_Villager01_Static</t>
  </si>
  <si>
    <t>Air/PF_Crow_Flock</t>
  </si>
  <si>
    <t>Surface/PF_Rat</t>
  </si>
  <si>
    <t>MAGIC AREA/WITCH FOREST</t>
  </si>
  <si>
    <t>Human Village</t>
  </si>
  <si>
    <t>Witch Forest</t>
  </si>
  <si>
    <t>Surface/PF_Archer01_Static</t>
  </si>
  <si>
    <t>Surface/PF_Archer02</t>
  </si>
  <si>
    <t>Air/PF_Ghost03_Static</t>
  </si>
  <si>
    <t>Spawner</t>
  </si>
  <si>
    <t>RANGOS DE XP MIN</t>
  </si>
  <si>
    <t>Min</t>
  </si>
  <si>
    <t>Max</t>
  </si>
  <si>
    <t>Quantity</t>
  </si>
  <si>
    <t>(execute script: spawnersProg.vbs)</t>
  </si>
  <si>
    <t>PF_DrunkenMonk</t>
  </si>
  <si>
    <t>SP_Fish_Random_Generic</t>
  </si>
  <si>
    <t>SP_Villager_Mix</t>
  </si>
  <si>
    <t>SP_Worker_Mix</t>
  </si>
  <si>
    <t>BurnableTier</t>
  </si>
  <si>
    <t>increment</t>
  </si>
  <si>
    <t>SP_BadJunk</t>
  </si>
  <si>
    <t>PF_BadJunkBone</t>
  </si>
  <si>
    <t>SP_FairyBig</t>
  </si>
  <si>
    <t>PF_FairyBig</t>
  </si>
  <si>
    <t>SP_FairySmall</t>
  </si>
  <si>
    <t>PF_FairySmall</t>
  </si>
  <si>
    <t>FlyingBunny</t>
  </si>
  <si>
    <t>SP_FlyingBunny</t>
  </si>
  <si>
    <t>PF_FlyingBunny</t>
  </si>
  <si>
    <t>BadFarmer</t>
  </si>
  <si>
    <t>SP_BadFarmer</t>
  </si>
  <si>
    <t>PF_BadFarmer</t>
  </si>
  <si>
    <t>SP_BadFarmer_Static</t>
  </si>
  <si>
    <t>PF_BadFarmer_Static</t>
  </si>
  <si>
    <t>BadJunk</t>
  </si>
  <si>
    <t>BadWitch</t>
  </si>
  <si>
    <t>SP_BadWitch</t>
  </si>
  <si>
    <t>FairyBig</t>
  </si>
  <si>
    <t>FairySmall</t>
  </si>
  <si>
    <t>GoodWitch</t>
  </si>
  <si>
    <t>SP_GoodWitch</t>
  </si>
  <si>
    <t>Razorback</t>
  </si>
  <si>
    <t>SP_Razorback</t>
  </si>
  <si>
    <t>PF_Razorback</t>
  </si>
  <si>
    <t>SP_Villager03</t>
  </si>
  <si>
    <t>PF_Villager03</t>
  </si>
  <si>
    <t>SP_Villager03_Static</t>
  </si>
  <si>
    <t>Junk/PF_BadJunkBone</t>
  </si>
  <si>
    <t>Surface/PF_BadFarmer</t>
  </si>
  <si>
    <t>Air/PF_BatSmall02_Flock</t>
  </si>
  <si>
    <t>Surface/PF_RatWall</t>
  </si>
  <si>
    <t>Surface/PF_Rat_Static</t>
  </si>
  <si>
    <t>Air/PF_Razorback</t>
  </si>
  <si>
    <t>Surface/PF_Archer02_Static</t>
  </si>
  <si>
    <t>Surface/PF_Villager02_Static</t>
  </si>
  <si>
    <t>Surface/PF_Villager03_Static</t>
  </si>
  <si>
    <t>Goblin/PF_WorkerWife</t>
  </si>
  <si>
    <t>Surface/PF_BadFarmer_Static</t>
  </si>
  <si>
    <t>CODE NAME:</t>
  </si>
  <si>
    <t>Cave</t>
  </si>
  <si>
    <t>Goblin city</t>
  </si>
  <si>
    <t>Witch forest</t>
  </si>
  <si>
    <t>Big caves</t>
  </si>
  <si>
    <t>Human forest</t>
  </si>
  <si>
    <t>Human Forest</t>
  </si>
  <si>
    <t>Big Caves</t>
  </si>
  <si>
    <t>PF_Villager03_Static</t>
  </si>
  <si>
    <t>SP_Driller</t>
  </si>
  <si>
    <t>PF_Driller</t>
  </si>
  <si>
    <t>Dragon/PF_EnemyTier0</t>
  </si>
  <si>
    <t>Dragon/PF_EnemyTier1</t>
  </si>
  <si>
    <t>Dragon/PF_EnemyTier2</t>
  </si>
  <si>
    <t>Dragon/PF_EnemyTier3</t>
  </si>
  <si>
    <t>Dragon/PF_EnemyTier4</t>
  </si>
  <si>
    <t>SP_Guardian</t>
  </si>
  <si>
    <t>PF_Guardian</t>
  </si>
  <si>
    <t>PF_EnemyTier0</t>
  </si>
  <si>
    <t>PF_EnemyTier1</t>
  </si>
  <si>
    <t>PF_EnemyTier2</t>
  </si>
  <si>
    <t>PF_EnemyTier3</t>
  </si>
  <si>
    <t>PF_EnemyTier4</t>
  </si>
  <si>
    <t>SP_Miner01_Mix</t>
  </si>
  <si>
    <t>PF_WorkerMiner</t>
  </si>
  <si>
    <t>SP_Miner02_Mix</t>
  </si>
  <si>
    <t>SP_Miner03_Mix</t>
  </si>
  <si>
    <t>SP_VillagerGirl</t>
  </si>
  <si>
    <t>PF_VillagerGirl</t>
  </si>
  <si>
    <t>SP_VillagerGirl_Static</t>
  </si>
  <si>
    <t>Magic/PF_FairyBig</t>
  </si>
  <si>
    <t>Magic/PF_FairySmall</t>
  </si>
  <si>
    <t>Magic/PF_FlyingBunny</t>
  </si>
  <si>
    <t>SIZE:</t>
  </si>
  <si>
    <t>meters</t>
  </si>
  <si>
    <t>XP DENSITY:</t>
  </si>
  <si>
    <t>xp per m2</t>
  </si>
  <si>
    <t>SPAWNERS DENSITY:</t>
  </si>
  <si>
    <t>sp per m2</t>
  </si>
  <si>
    <t>ENTITIES DENSITY:</t>
  </si>
  <si>
    <t>ent. per m2</t>
  </si>
  <si>
    <t>SP_GoblinWarMachine</t>
  </si>
  <si>
    <t>Driller</t>
  </si>
  <si>
    <t>GoblinWarMachine</t>
  </si>
  <si>
    <t>PF_GoblinWarMachine</t>
  </si>
  <si>
    <t>Guardian</t>
  </si>
  <si>
    <t>SP_StingrayLarge</t>
  </si>
  <si>
    <t>PF_StingrayLarge</t>
  </si>
  <si>
    <t>SP_StingraySmall</t>
  </si>
  <si>
    <t>PF_StingraySmall</t>
  </si>
  <si>
    <t>PF_VillagerGirl_Static</t>
  </si>
  <si>
    <t>Surface/PF_VillagerGirl_Static</t>
  </si>
  <si>
    <t>Vehicles/PF_GoblinWarMachine</t>
  </si>
  <si>
    <t>Surface/PF_VillagerGirl</t>
  </si>
  <si>
    <t>SP_MEDIEVAL_FINAL_CASTLE</t>
  </si>
  <si>
    <t>Market</t>
  </si>
  <si>
    <t>Air/PF_StingrayLarge</t>
  </si>
  <si>
    <t>Surface/PF_Shieldman</t>
  </si>
  <si>
    <t>Surface/PF_Soldier01_Static</t>
  </si>
  <si>
    <t>Air/PF_StingraySmall</t>
  </si>
  <si>
    <t>Goblin/PF_Guardian</t>
  </si>
  <si>
    <t>Surface/PF_Soldier01</t>
  </si>
  <si>
    <t>Surface/PF_RichMan_Static</t>
  </si>
  <si>
    <t>PROB_100:</t>
  </si>
  <si>
    <t>PROB_99_75:</t>
  </si>
  <si>
    <t>PROB_74_25:</t>
  </si>
  <si>
    <t>PROB_24_1:</t>
  </si>
  <si>
    <t>CAVES01</t>
  </si>
  <si>
    <t>Surface/PF_BoatFisher</t>
  </si>
  <si>
    <t>Water/PF_Crocodile</t>
  </si>
  <si>
    <t>Water/PF_Crocodile_Evade</t>
  </si>
  <si>
    <t>CAVES02</t>
  </si>
  <si>
    <t>Small caves</t>
  </si>
  <si>
    <t>Water/PF_Fish02_Generic</t>
  </si>
  <si>
    <t>Water/PF_Fish03_Generic</t>
  </si>
  <si>
    <t>Mines</t>
  </si>
  <si>
    <t>Goblin/PF_WorkerMiner</t>
  </si>
  <si>
    <t>Goblin/PF_Worker02</t>
  </si>
  <si>
    <t>Goblin/PF_Driller</t>
  </si>
  <si>
    <t>Percentage2</t>
  </si>
  <si>
    <t>PF_WitchBad</t>
  </si>
  <si>
    <t>PF_WitchGood</t>
  </si>
  <si>
    <t>SP_RatWall</t>
  </si>
  <si>
    <t>PF_RatWall</t>
  </si>
  <si>
    <t>StingrayLarge</t>
  </si>
  <si>
    <t>StingraySmall</t>
  </si>
  <si>
    <t>PF_WitchAir</t>
  </si>
  <si>
    <t>Percentage1</t>
  </si>
  <si>
    <t>Caves01</t>
  </si>
  <si>
    <t>Caves02</t>
  </si>
  <si>
    <t>SP_MEDIEVAL_FINAL_DARK</t>
  </si>
  <si>
    <t>All</t>
  </si>
  <si>
    <t>Total spawners</t>
  </si>
  <si>
    <t>Total preys</t>
  </si>
  <si>
    <t>Total enemies</t>
  </si>
  <si>
    <t>Total entities</t>
  </si>
  <si>
    <t>Village</t>
  </si>
  <si>
    <t>Castle</t>
  </si>
  <si>
    <t>PF_FlyingTicket</t>
  </si>
  <si>
    <t>GoodWitch02</t>
  </si>
  <si>
    <t>SP_GoodWitch02</t>
  </si>
  <si>
    <t>PF_WitchGood02</t>
  </si>
  <si>
    <t>Mushroom</t>
  </si>
  <si>
    <t>SP_Mushroom</t>
  </si>
  <si>
    <t>PF_Mushroom</t>
  </si>
  <si>
    <t>Slime</t>
  </si>
  <si>
    <t>SP_Slime</t>
  </si>
  <si>
    <t>PF_Slime</t>
  </si>
  <si>
    <t>SlimePoison</t>
  </si>
  <si>
    <t>SP_SlimePoison</t>
  </si>
  <si>
    <t>PF_SlimePoison</t>
  </si>
  <si>
    <t>SP_Vulture</t>
  </si>
  <si>
    <t>PF_Vulture</t>
  </si>
  <si>
    <t>GoodJunkScore</t>
  </si>
  <si>
    <t>SP_GoodJunkScore</t>
  </si>
  <si>
    <t>PF_GoodJunkScore</t>
  </si>
  <si>
    <t>SP_GoblinBoat_Static</t>
  </si>
  <si>
    <t>PF_GoblinBoat_Static</t>
  </si>
  <si>
    <t>Vulture</t>
  </si>
  <si>
    <t>SP_GoodWitch_Mix</t>
  </si>
  <si>
    <t>Monster/PF_WitchAir</t>
  </si>
  <si>
    <t>Monster/PF_WitchBad</t>
  </si>
  <si>
    <t>Monster/PF_WitchGood</t>
  </si>
  <si>
    <t>BIG CAVES</t>
  </si>
  <si>
    <t>HUMAN FOREST</t>
  </si>
  <si>
    <t>Total in the game</t>
  </si>
  <si>
    <t>Percentage3</t>
  </si>
  <si>
    <t>Tree</t>
  </si>
  <si>
    <t>Underground</t>
  </si>
  <si>
    <t>Dark01</t>
  </si>
  <si>
    <t>Dark02</t>
  </si>
  <si>
    <t>Total in "Dark" scene</t>
  </si>
  <si>
    <t>Total in "Castle" scene</t>
  </si>
  <si>
    <t>Total in "Village" scene</t>
  </si>
  <si>
    <t>Percentage4</t>
  </si>
  <si>
    <t>Dark</t>
  </si>
  <si>
    <t>Air/PF_Vulture</t>
  </si>
  <si>
    <t>Monster/PF_Slime</t>
  </si>
  <si>
    <t>Monster/PF_SlimePoison</t>
  </si>
  <si>
    <t>Monster/PF_Mushroom</t>
  </si>
  <si>
    <t>SP_Carnivorous_Plant</t>
  </si>
  <si>
    <t>PF_CarnivourusPlant</t>
  </si>
  <si>
    <t>SP_SnailUnka</t>
  </si>
  <si>
    <t>PF_SnailUnka</t>
  </si>
  <si>
    <t>SP_Unka</t>
  </si>
  <si>
    <t>PF_UnkasGarlicHead</t>
  </si>
  <si>
    <t>SP_Rat_Static</t>
  </si>
  <si>
    <t>v</t>
  </si>
  <si>
    <t>PF_Rat_Static</t>
  </si>
  <si>
    <t>Goblin/PF_UnkasGarlicHead</t>
  </si>
  <si>
    <t>Monster/PF_SnailUnka</t>
  </si>
  <si>
    <t>Monster/PF_CarnivourusPlant</t>
  </si>
  <si>
    <t>PF_Geiser</t>
  </si>
  <si>
    <t>Name</t>
  </si>
  <si>
    <t>(execute 'detectDuplicatedSpawners' script)</t>
  </si>
  <si>
    <t>Pos_x;Pos_y</t>
  </si>
  <si>
    <t>-859.43;101.31</t>
  </si>
  <si>
    <t>-742.2;68.2</t>
  </si>
  <si>
    <t>-908.12;76.49</t>
  </si>
  <si>
    <t>-815.57;3.36</t>
  </si>
  <si>
    <t>-741.63;58.77</t>
  </si>
  <si>
    <t>-732.7;0.3</t>
  </si>
  <si>
    <t>-779.9;121.4</t>
  </si>
  <si>
    <t>-819.5;50.4</t>
  </si>
  <si>
    <t>-808.27997;39.670006</t>
  </si>
  <si>
    <t>-709.98;76.39</t>
  </si>
  <si>
    <t>-1023.7;137.2</t>
  </si>
  <si>
    <t>-807.25;89.3</t>
  </si>
  <si>
    <t>-676.81;29</t>
  </si>
  <si>
    <t>-853.9;31.44</t>
  </si>
  <si>
    <t>-861.8;33.5</t>
  </si>
  <si>
    <t>-795.39;83.6</t>
  </si>
  <si>
    <t>-861.6;17.5</t>
  </si>
  <si>
    <t>-945.5;86.9</t>
  </si>
  <si>
    <t>-802.47;15.56</t>
  </si>
  <si>
    <t>-777.18;139.1</t>
  </si>
  <si>
    <t>-677.57;35</t>
  </si>
  <si>
    <t>-813.94;130.76</t>
  </si>
  <si>
    <t>-811.01;34.62</t>
  </si>
  <si>
    <t>-759.42;133.89</t>
  </si>
  <si>
    <t>-806.32;81.5</t>
  </si>
  <si>
    <t>-749;142.72</t>
  </si>
  <si>
    <t>-863.53;101.799995</t>
  </si>
  <si>
    <t>-711.8;65.1</t>
  </si>
  <si>
    <t>-721.56;126.88</t>
  </si>
  <si>
    <t>-765.48;13.85</t>
  </si>
  <si>
    <t>-831.7;33.2</t>
  </si>
  <si>
    <t>-816.33;137.52</t>
  </si>
  <si>
    <t>-794.44;142.12</t>
  </si>
  <si>
    <t>-750.45;147.42</t>
  </si>
  <si>
    <t>-816.06;100.3</t>
  </si>
  <si>
    <t>-790.7;14.3</t>
  </si>
  <si>
    <t>-980.6;111.22</t>
  </si>
  <si>
    <t>-710.8;97.1</t>
  </si>
  <si>
    <t>-717.83;76.6</t>
  </si>
  <si>
    <t>-945.39;144.6</t>
  </si>
  <si>
    <t>-714.7;17.43</t>
  </si>
  <si>
    <t>-755.1;134.1</t>
  </si>
  <si>
    <t>-844;136.19998</t>
  </si>
  <si>
    <t>-808.35;39.15</t>
  </si>
  <si>
    <t>-764.1;142.61</t>
  </si>
  <si>
    <t>-879.6;36</t>
  </si>
  <si>
    <t>-698.3;32</t>
  </si>
  <si>
    <t>-746.51;51.76</t>
  </si>
  <si>
    <t>-827;101.7</t>
  </si>
  <si>
    <t>-1027.08;144.84</t>
  </si>
  <si>
    <t>-714.4;90.8</t>
  </si>
  <si>
    <t>-883.39996;44.9</t>
  </si>
  <si>
    <t>-986.8;74.5</t>
  </si>
  <si>
    <t>-835.8;75.84</t>
  </si>
  <si>
    <t>-680.5;23</t>
  </si>
  <si>
    <t>-761.54;-6.32</t>
  </si>
  <si>
    <t>-720.88;17.23</t>
  </si>
  <si>
    <t>-799.53;33.87</t>
  </si>
  <si>
    <t>-902.7;138.7</t>
  </si>
  <si>
    <t>-761.4;7.91</t>
  </si>
  <si>
    <t>-871.3;34.2</t>
  </si>
  <si>
    <t>-868.71;83.97</t>
  </si>
  <si>
    <t>-750;22.6</t>
  </si>
  <si>
    <t>-946.45;28.27</t>
  </si>
  <si>
    <t>-832.7;38.3</t>
  </si>
  <si>
    <t>-805.73;141.36</t>
  </si>
  <si>
    <t>-710.36;139.7</t>
  </si>
  <si>
    <t>-730.19;77.17</t>
  </si>
  <si>
    <t>-809.55;43.75</t>
  </si>
  <si>
    <t>-822.97;128.94</t>
  </si>
  <si>
    <t>-750.5;92.8</t>
  </si>
  <si>
    <t>-808.94;84.98</t>
  </si>
  <si>
    <t>-808.13;133.2</t>
  </si>
  <si>
    <t>-782.9;9.6</t>
  </si>
  <si>
    <t>-816.3;32.2</t>
  </si>
  <si>
    <t>-907.9;126.5</t>
  </si>
  <si>
    <t>-708.4;126</t>
  </si>
  <si>
    <t>-803.6;92.87</t>
  </si>
  <si>
    <t>-949.77;31.69</t>
  </si>
  <si>
    <t>-974.93;108.06</t>
  </si>
  <si>
    <t>-1000.9;95.5</t>
  </si>
  <si>
    <t>-962.5;113.049995</t>
  </si>
  <si>
    <t>-974.78;79.57</t>
  </si>
  <si>
    <t>-767.74;141.47</t>
  </si>
  <si>
    <t>-706.7;76.44</t>
  </si>
  <si>
    <t>-794.2;76.99</t>
  </si>
  <si>
    <t>-852.64;113.14</t>
  </si>
  <si>
    <t>-989.2;74.4</t>
  </si>
  <si>
    <t>-854.1;120.64</t>
  </si>
  <si>
    <t>-938.4;97.8</t>
  </si>
  <si>
    <t>-757.13;87.75</t>
  </si>
  <si>
    <t>-753.9;97.50001</t>
  </si>
  <si>
    <t>-838.7;10</t>
  </si>
  <si>
    <t>-845.72;76.3</t>
  </si>
  <si>
    <t>-761.03;87.99</t>
  </si>
  <si>
    <t>-665.1;140.8</t>
  </si>
  <si>
    <t>-722.1;3.98</t>
  </si>
  <si>
    <t>-1013.2;131.3</t>
  </si>
  <si>
    <t>-1029;137.1</t>
  </si>
  <si>
    <t>-802.66;65.34</t>
  </si>
  <si>
    <t>-799.95;58.59</t>
  </si>
  <si>
    <t>-870.3;30.94</t>
  </si>
  <si>
    <t>-787.88;55.53</t>
  </si>
  <si>
    <t>-750.63;47.18</t>
  </si>
  <si>
    <t>-910.1;113.2</t>
  </si>
  <si>
    <t>-757.16;143.1</t>
  </si>
  <si>
    <t>-806.6;-2.5</t>
  </si>
  <si>
    <t>-806.03;130.81</t>
  </si>
  <si>
    <t>-739.62;24.99</t>
  </si>
  <si>
    <t>-856.28;101.88</t>
  </si>
  <si>
    <t>-896.42;128.97</t>
  </si>
  <si>
    <t>-834.7;138.4</t>
  </si>
  <si>
    <t>-800.43;142.53</t>
  </si>
  <si>
    <t>-822;153</t>
  </si>
  <si>
    <t>-769;-36.7</t>
  </si>
  <si>
    <t>-951.41;45.19</t>
  </si>
  <si>
    <t>-923.6;7.6</t>
  </si>
  <si>
    <t>-725.27;57.84</t>
  </si>
  <si>
    <t>-722.83;142.56</t>
  </si>
  <si>
    <t>-745.08;64.2</t>
  </si>
  <si>
    <t>-971.33;113.41</t>
  </si>
  <si>
    <t>-858.92;75.85</t>
  </si>
  <si>
    <t>-764.24;133.13</t>
  </si>
  <si>
    <t>-946.63995;28.62</t>
  </si>
  <si>
    <t>-893.15;42.54</t>
  </si>
  <si>
    <t>-794.39;73.51</t>
  </si>
  <si>
    <t>-887.74;81.66</t>
  </si>
  <si>
    <t>-807;26.8</t>
  </si>
  <si>
    <t>-991.8;124.7</t>
  </si>
  <si>
    <t>-860.1;114.5</t>
  </si>
  <si>
    <t>-872.8;-4.53</t>
  </si>
  <si>
    <t>-842.97;17.04</t>
  </si>
  <si>
    <t>-934.78;35.56</t>
  </si>
  <si>
    <t>-857.79;86.77</t>
  </si>
  <si>
    <t>-844.05;117.76</t>
  </si>
  <si>
    <t>-769.35;120.91</t>
  </si>
  <si>
    <t>-680.28;41</t>
  </si>
  <si>
    <t>-812.56;140.31</t>
  </si>
  <si>
    <t>-700.2;35.4</t>
  </si>
  <si>
    <t>-794.83;83.63</t>
  </si>
  <si>
    <t>-911.8;103.3</t>
  </si>
  <si>
    <t>-924.67;123.75</t>
  </si>
  <si>
    <t>-744.08;150.78</t>
  </si>
  <si>
    <t>-925.17;23.08</t>
  </si>
  <si>
    <t>-684.7;103.7</t>
  </si>
  <si>
    <t>-841.99;142.14</t>
  </si>
  <si>
    <t>-871.41;42.17</t>
  </si>
  <si>
    <t>-770.4;46.8</t>
  </si>
  <si>
    <t>-824.8;84.9</t>
  </si>
  <si>
    <t>-755.5;53.5</t>
  </si>
  <si>
    <t>-835.8;148.6</t>
  </si>
  <si>
    <t>-925.24005;103.88</t>
  </si>
  <si>
    <t>-729.59;25.38</t>
  </si>
  <si>
    <t>-786.4;39.5</t>
  </si>
  <si>
    <t>-692.5;0.7</t>
  </si>
  <si>
    <t>-715.7;97.5</t>
  </si>
  <si>
    <t>-685.6;132</t>
  </si>
  <si>
    <t>-811.05;34.79</t>
  </si>
  <si>
    <t>-773.73;23.03</t>
  </si>
  <si>
    <t>-822.7;55.2</t>
  </si>
  <si>
    <t>-966.5;69.7</t>
  </si>
  <si>
    <t>-723.32;76.88</t>
  </si>
  <si>
    <t>-747.78;135.05</t>
  </si>
  <si>
    <t>-680.5;139.5</t>
  </si>
  <si>
    <t>-723.42;63.01</t>
  </si>
  <si>
    <t>-666.27;76</t>
  </si>
  <si>
    <t>-1008.9;151.66</t>
  </si>
  <si>
    <t>-828.5;144.7</t>
  </si>
  <si>
    <t>-753.58;38.31</t>
  </si>
  <si>
    <t>-847.71;75.84</t>
  </si>
  <si>
    <t>-865.2;41.4</t>
  </si>
  <si>
    <t>-924.89;61.4</t>
  </si>
  <si>
    <t>-947.2;138.4</t>
  </si>
  <si>
    <t>-821.04;118.899994</t>
  </si>
  <si>
    <t>-895.7;53.8</t>
  </si>
  <si>
    <t>DARK</t>
  </si>
  <si>
    <t>VILLAGE</t>
  </si>
  <si>
    <t>-180.01996;-51.96</t>
  </si>
  <si>
    <t>-231.97998;45.77</t>
  </si>
  <si>
    <t>-359.29;-60.53</t>
  </si>
  <si>
    <t>-126.91;94.81</t>
  </si>
  <si>
    <t>-472.82;101.3</t>
  </si>
  <si>
    <t>-123.1;-18.5</t>
  </si>
  <si>
    <t>-20.580017;46.64</t>
  </si>
  <si>
    <t>-129.9;-7.92</t>
  </si>
  <si>
    <t>-9.919983;123.15</t>
  </si>
  <si>
    <t>3.02;49.96</t>
  </si>
  <si>
    <t>-164.64;58.32</t>
  </si>
  <si>
    <t>-410.9;106</t>
  </si>
  <si>
    <t>-241.39;81.72</t>
  </si>
  <si>
    <t>-103.6;-31.51</t>
  </si>
  <si>
    <t>-366.66;70.83</t>
  </si>
  <si>
    <t>-504.9;-67.6</t>
  </si>
  <si>
    <t>-317.34;-153.23</t>
  </si>
  <si>
    <t>-209.02997;-53.82</t>
  </si>
  <si>
    <t>-78.7;109</t>
  </si>
  <si>
    <t>-273;-63.2</t>
  </si>
  <si>
    <t>-446.17;-163.59</t>
  </si>
  <si>
    <t>-478.29;-9.08</t>
  </si>
  <si>
    <t>-236.74;30.5</t>
  </si>
  <si>
    <t>-375.7;-23.68</t>
  </si>
  <si>
    <t>-496.6;99.6</t>
  </si>
  <si>
    <t>-362.99;39.84</t>
  </si>
  <si>
    <t>-515.11;138.25</t>
  </si>
  <si>
    <t>-361;95.3</t>
  </si>
  <si>
    <t>-528.83;-58.93</t>
  </si>
  <si>
    <t>-108.31;29.2</t>
  </si>
  <si>
    <t>-375.54;143.86</t>
  </si>
  <si>
    <t>-530.35;-44.33</t>
  </si>
  <si>
    <t>-85.74;1.16</t>
  </si>
  <si>
    <t>-556.71;52.35</t>
  </si>
  <si>
    <t>-467.2;-43.1</t>
  </si>
  <si>
    <t>-334.65;28.9</t>
  </si>
  <si>
    <t>-289.8;-96.9</t>
  </si>
  <si>
    <t>-331.99;-104.3</t>
  </si>
  <si>
    <t>-535.16003;-15.91</t>
  </si>
  <si>
    <t>-106.3;13.82</t>
  </si>
  <si>
    <t>-153.7;141.7</t>
  </si>
  <si>
    <t>-207.2;66.5</t>
  </si>
  <si>
    <t>-511;128.8</t>
  </si>
  <si>
    <t>-537.8;38.8</t>
  </si>
  <si>
    <t>-524.44006;115.27</t>
  </si>
  <si>
    <t>-233.31;-56.22</t>
  </si>
  <si>
    <t>-26.99121;41.89839</t>
  </si>
  <si>
    <t>-18.549988;49.51</t>
  </si>
  <si>
    <t>-15.37;22.52</t>
  </si>
  <si>
    <t>-206.46;94.2</t>
  </si>
  <si>
    <t>-62.53;44.67</t>
  </si>
  <si>
    <t>-200.31;149.35</t>
  </si>
  <si>
    <t>-433.78;-72.36</t>
  </si>
  <si>
    <t>-206.44;-13.09</t>
  </si>
  <si>
    <t>-430.9;38.7</t>
  </si>
  <si>
    <t>-403.69;16.41</t>
  </si>
  <si>
    <t>-259.59;-110.76</t>
  </si>
  <si>
    <t>-142.19;86.3</t>
  </si>
  <si>
    <t>-350.2;-7.7</t>
  </si>
  <si>
    <t>-4.05;104.76</t>
  </si>
  <si>
    <t>-370.74;72.44</t>
  </si>
  <si>
    <t>-227.1;149.14</t>
  </si>
  <si>
    <t>-555.8;73.14</t>
  </si>
  <si>
    <t>-247.59998;109.38</t>
  </si>
  <si>
    <t>-389.3;136</t>
  </si>
  <si>
    <t>2.3300002;76.34</t>
  </si>
  <si>
    <t>-222.02002;-107.5</t>
  </si>
  <si>
    <t>-260.2;48.7</t>
  </si>
  <si>
    <t>-462.9;-194</t>
  </si>
  <si>
    <t>-251.07;-54.41</t>
  </si>
  <si>
    <t>-444.07;-180.4</t>
  </si>
  <si>
    <t>-235;78.5</t>
  </si>
  <si>
    <t>-105.45;-69.68</t>
  </si>
  <si>
    <t>-326.5;-10.06</t>
  </si>
  <si>
    <t>-515.4;-147.2</t>
  </si>
  <si>
    <t>-441.55;-252.88</t>
  </si>
  <si>
    <t>-578;41.62</t>
  </si>
  <si>
    <t>-393.7;114</t>
  </si>
  <si>
    <t>-600.83;4.09</t>
  </si>
  <si>
    <t>-496.74;118.94</t>
  </si>
  <si>
    <t>-91.7;22.5</t>
  </si>
  <si>
    <t>-410.46;94.24</t>
  </si>
  <si>
    <t>-196.72;27.4</t>
  </si>
  <si>
    <t>-131.12;-18.06</t>
  </si>
  <si>
    <t>-309.5;48</t>
  </si>
  <si>
    <t>-471.87;106.1</t>
  </si>
  <si>
    <t>-524.7;114.1</t>
  </si>
  <si>
    <t>-119;123.39</t>
  </si>
  <si>
    <t>-314.3;70.53</t>
  </si>
  <si>
    <t>-330.40002;23.84</t>
  </si>
  <si>
    <t>-432.1;74.8</t>
  </si>
  <si>
    <t>-426.7;8.8</t>
  </si>
  <si>
    <t>-365.6;-132.1</t>
  </si>
  <si>
    <t>-584.82996;17.19</t>
  </si>
  <si>
    <t>-263.36;42.81</t>
  </si>
  <si>
    <t>-509.27;40.15</t>
  </si>
  <si>
    <t>-224.3;-137.58</t>
  </si>
  <si>
    <t>-547.19;122.03</t>
  </si>
  <si>
    <t>-528.71;51.03</t>
  </si>
  <si>
    <t>-467.73;-268.4</t>
  </si>
  <si>
    <t>-277.2;-89.8</t>
  </si>
  <si>
    <t>-161.2;62.99</t>
  </si>
  <si>
    <t>-289.8;-55.1</t>
  </si>
  <si>
    <t>-391.73;94.34</t>
  </si>
  <si>
    <t>-55.83;39.43</t>
  </si>
  <si>
    <t>-583.34;105.22</t>
  </si>
  <si>
    <t>-281.4;-89.8</t>
  </si>
  <si>
    <t>-165.20001;99.6</t>
  </si>
  <si>
    <t>-291.6;112.2</t>
  </si>
  <si>
    <t>-181.19995;-86.7</t>
  </si>
  <si>
    <t>-433.2;91.26</t>
  </si>
  <si>
    <t>-359.13;105.59</t>
  </si>
  <si>
    <t>-493;89.1</t>
  </si>
  <si>
    <t>-329.9;156.4</t>
  </si>
  <si>
    <t>-402.29;-18.26</t>
  </si>
  <si>
    <t>-576.78;77.26</t>
  </si>
  <si>
    <t>-69.160034;106.15</t>
  </si>
  <si>
    <t>-467.6;18.1</t>
  </si>
  <si>
    <t>-173.58;27.32</t>
  </si>
  <si>
    <t>-262.5;109.3</t>
  </si>
  <si>
    <t>-301.8;118.4</t>
  </si>
  <si>
    <t>-146.71002;-17.21</t>
  </si>
  <si>
    <t>-449.51;-21.8</t>
  </si>
  <si>
    <t>-132.11;111.68</t>
  </si>
  <si>
    <t>-117.84;47.89</t>
  </si>
  <si>
    <t>-432.91;-32.75</t>
  </si>
  <si>
    <t>-302.19;-152.26</t>
  </si>
  <si>
    <t>-105.91;99.09</t>
  </si>
  <si>
    <t>-17.400024;59.3</t>
  </si>
  <si>
    <t>-286.67;94.8</t>
  </si>
  <si>
    <t>-154.8;12</t>
  </si>
  <si>
    <t>-581.83;11.7</t>
  </si>
  <si>
    <t>-203.19;-112.7</t>
  </si>
  <si>
    <t>-130.63;82.63</t>
  </si>
  <si>
    <t>-403.6;10.9</t>
  </si>
  <si>
    <t>-597.05;-69.24</t>
  </si>
  <si>
    <t>-192.91;-13.66</t>
  </si>
  <si>
    <t>-565.34;71.38</t>
  </si>
  <si>
    <t>-563.21;112.17</t>
  </si>
  <si>
    <t>-341.58;119.94</t>
  </si>
  <si>
    <t>-479.4;45.55</t>
  </si>
  <si>
    <t>-377;121.75</t>
  </si>
  <si>
    <t>-156.46;81.36</t>
  </si>
  <si>
    <t>-370.8;-64.6</t>
  </si>
  <si>
    <t>-112.58002;-133.3</t>
  </si>
  <si>
    <t>-546.4;-193.6</t>
  </si>
  <si>
    <t>-328.6;138.8</t>
  </si>
  <si>
    <t>-270.3;24.8</t>
  </si>
  <si>
    <t>-508.8;-54.47</t>
  </si>
  <si>
    <t>-86.82001;-49.26</t>
  </si>
  <si>
    <t>-144.3;95.9</t>
  </si>
  <si>
    <t>-383;137.3</t>
  </si>
  <si>
    <t>-127.39996;0.1</t>
  </si>
  <si>
    <t>-514.5;120.8</t>
  </si>
  <si>
    <t>-347;52.8</t>
  </si>
  <si>
    <t>-76.74;113.67</t>
  </si>
  <si>
    <t>-201.85;-146.75</t>
  </si>
  <si>
    <t>-244.21002;51.89</t>
  </si>
  <si>
    <t>-213.07996;-110.04</t>
  </si>
  <si>
    <t>-414.9;-28.4</t>
  </si>
  <si>
    <t>-379.8;-2.1</t>
  </si>
  <si>
    <t>-596.74;-121.62</t>
  </si>
  <si>
    <t>-176.04999;141.8</t>
  </si>
  <si>
    <t>-389.06;54.89</t>
  </si>
  <si>
    <t>-123.099976;-31.6</t>
  </si>
  <si>
    <t>-528.7;46.49</t>
  </si>
  <si>
    <t>-304.66;-153.33</t>
  </si>
  <si>
    <t>-488.13;3.53</t>
  </si>
  <si>
    <t>-133.49;102.76</t>
  </si>
  <si>
    <t>-117.43;-3.19</t>
  </si>
  <si>
    <t>-533.9601;105</t>
  </si>
  <si>
    <t>-358.90002;123.4</t>
  </si>
  <si>
    <t>-113.79999;117.52</t>
  </si>
  <si>
    <t>-388.28;-19.12</t>
  </si>
  <si>
    <t>-27.18;144</t>
  </si>
  <si>
    <t>-296.51;-152.26</t>
  </si>
  <si>
    <t>-163.89996;-43.8</t>
  </si>
  <si>
    <t>-174.79999;-62.2</t>
  </si>
  <si>
    <t>-447.3;-11.4</t>
  </si>
  <si>
    <t>-504.18;-285.08</t>
  </si>
  <si>
    <t>-247.98;77.05</t>
  </si>
  <si>
    <t>-527.1;104.7</t>
  </si>
  <si>
    <t>-257.16;-11.64</t>
  </si>
  <si>
    <t>-493.72;3.26</t>
  </si>
  <si>
    <t>-492.6;87.1</t>
  </si>
  <si>
    <t>-214.71;149.12</t>
  </si>
  <si>
    <t>-366;160.5</t>
  </si>
  <si>
    <t>-12.199951;58</t>
  </si>
  <si>
    <t>-187.8;24.4</t>
  </si>
  <si>
    <t>-453.66;-221.4</t>
  </si>
  <si>
    <t>-126.23;64.61</t>
  </si>
  <si>
    <t>-316.7;-10.55</t>
  </si>
  <si>
    <t>-170.86;81.82</t>
  </si>
  <si>
    <t>-509.33;67.85</t>
  </si>
  <si>
    <t>-535.19;65.19</t>
  </si>
  <si>
    <t>-205.81;47.93</t>
  </si>
  <si>
    <t>-388.33;-25.67</t>
  </si>
  <si>
    <t>-430.7;89.5</t>
  </si>
  <si>
    <t>-530;83.7</t>
  </si>
  <si>
    <t>-120.76;54.31</t>
  </si>
  <si>
    <t>-263.32;-114.33</t>
  </si>
  <si>
    <t>-331.5;87.4</t>
  </si>
  <si>
    <t>-357.08;99.68</t>
  </si>
  <si>
    <t>-391.42;-13.9</t>
  </si>
  <si>
    <t>-460.74;48.98</t>
  </si>
  <si>
    <t>-480.34;53.66</t>
  </si>
  <si>
    <t>-236.01;-162.44</t>
  </si>
  <si>
    <t>-518.55;-33.2</t>
  </si>
  <si>
    <t>-232.67;7.72</t>
  </si>
  <si>
    <t>-134.1;119.39</t>
  </si>
  <si>
    <t>-379.32;160.3</t>
  </si>
  <si>
    <t>-564.6;-59.8</t>
  </si>
  <si>
    <t>-507.83438;-177.83069</t>
  </si>
  <si>
    <t>-13.79;71.13</t>
  </si>
  <si>
    <t>-535.08;13</t>
  </si>
  <si>
    <t>-324.4;148.1</t>
  </si>
  <si>
    <t>-359.13;-29.09</t>
  </si>
  <si>
    <t>-167.3;70.96</t>
  </si>
  <si>
    <t>-457.75;-267.6</t>
  </si>
  <si>
    <t>-368.84;132.86</t>
  </si>
  <si>
    <t>-56.4;122.3</t>
  </si>
  <si>
    <t>-172.5;-179.2</t>
  </si>
  <si>
    <t>-232.83997;-45.51</t>
  </si>
  <si>
    <t>-406.82;-68.32</t>
  </si>
  <si>
    <t>-597.26;-7.16</t>
  </si>
  <si>
    <t>-264.75;101.36</t>
  </si>
  <si>
    <t>-545.27;-84.39</t>
  </si>
  <si>
    <t>-372.12;-38.32</t>
  </si>
  <si>
    <t>-150.6;15.57</t>
  </si>
  <si>
    <t>-152.49;70.21</t>
  </si>
  <si>
    <t>-188.53;27.01</t>
  </si>
  <si>
    <t>-57.97;111.6</t>
  </si>
  <si>
    <t>-248.1;124.94</t>
  </si>
  <si>
    <t>-397.46;-142.7</t>
  </si>
  <si>
    <t>-406.21;69.71</t>
  </si>
  <si>
    <t>-105.46;108.02</t>
  </si>
  <si>
    <t>-457.03;129.52</t>
  </si>
  <si>
    <t>-227.78;129.79</t>
  </si>
  <si>
    <t>-452.1;-31.9</t>
  </si>
  <si>
    <t>-209.19;54.46</t>
  </si>
  <si>
    <t>-164.09;73.86</t>
  </si>
  <si>
    <t>-144.54999;-21.85</t>
  </si>
  <si>
    <t>-308.3;88.22</t>
  </si>
  <si>
    <t>-369.45;-37.02</t>
  </si>
  <si>
    <t>-570.23;1.21</t>
  </si>
  <si>
    <t>-146.8;102.7</t>
  </si>
  <si>
    <t>-147.16003;56.68</t>
  </si>
  <si>
    <t>-451.12;-242.16</t>
  </si>
  <si>
    <t>-523;127.4</t>
  </si>
  <si>
    <t>-147.29999;-93.7</t>
  </si>
  <si>
    <t>-246.21;115.92</t>
  </si>
  <si>
    <t>-446.2;-50.8</t>
  </si>
  <si>
    <t>-391.3;-31.85</t>
  </si>
  <si>
    <t>-76.099976;103.65</t>
  </si>
  <si>
    <t>-435.93;-15.08</t>
  </si>
  <si>
    <t>-406.02;86.12</t>
  </si>
  <si>
    <t>-618.8;-72.4</t>
  </si>
  <si>
    <t>-553.72;101.78</t>
  </si>
  <si>
    <t>-158.13;-14.29</t>
  </si>
  <si>
    <t>-252.66003;34</t>
  </si>
  <si>
    <t>-421.16;100.43</t>
  </si>
  <si>
    <t>-529;64</t>
  </si>
  <si>
    <t>-302.57;-9.62</t>
  </si>
  <si>
    <t>-153;-91.32</t>
  </si>
  <si>
    <t>-161;-50.6</t>
  </si>
  <si>
    <t>-334.44;-49.1</t>
  </si>
  <si>
    <t>-39.599976;129.7</t>
  </si>
  <si>
    <t>-388.4;74.7</t>
  </si>
  <si>
    <t>-181.44;40.24</t>
  </si>
  <si>
    <t>-227.93;14.33</t>
  </si>
  <si>
    <t>-66.130005;98.84</t>
  </si>
  <si>
    <t>-271.4;39.89</t>
  </si>
  <si>
    <t>-159.03998;-63.03</t>
  </si>
  <si>
    <t>-484.2;-57.1</t>
  </si>
  <si>
    <t>0.44;34.67</t>
  </si>
  <si>
    <t>-468.9;-30.3</t>
  </si>
  <si>
    <t>-52.91;89.99</t>
  </si>
  <si>
    <t>-64.08;59.8</t>
  </si>
  <si>
    <t>-375.5;-38.6</t>
  </si>
  <si>
    <t>-506.8;-227</t>
  </si>
  <si>
    <t>-576.24;0.9</t>
  </si>
  <si>
    <t>-357.97;128.92</t>
  </si>
  <si>
    <t>-146.36;46.71</t>
  </si>
  <si>
    <t>-268.84;104.21</t>
  </si>
  <si>
    <t>-380.61;-10.39</t>
  </si>
  <si>
    <t>-146.88;63.96</t>
  </si>
  <si>
    <t>-514.79;-62.31</t>
  </si>
  <si>
    <t>-345.7;27</t>
  </si>
  <si>
    <t>-92.29;84.89</t>
  </si>
  <si>
    <t>-626.2;-209.5</t>
  </si>
  <si>
    <t>-446.28;64.43</t>
  </si>
  <si>
    <t>-184.8;62.3</t>
  </si>
  <si>
    <t>-113.900024;-62.1</t>
  </si>
  <si>
    <t>-348.82;108.38</t>
  </si>
  <si>
    <t>-169.17;66.04</t>
  </si>
  <si>
    <t>-159.65997;-89.62</t>
  </si>
  <si>
    <t>-172.40002;-84.7</t>
  </si>
  <si>
    <t>-186.67;75.3</t>
  </si>
  <si>
    <t>-476.9;116</t>
  </si>
  <si>
    <t>-474.95;-233.5</t>
  </si>
  <si>
    <t>-406.44;-35.86</t>
  </si>
  <si>
    <t>-291.7;125.3</t>
  </si>
  <si>
    <t>-25.31;3.38</t>
  </si>
  <si>
    <t>-459.52;-52.27</t>
  </si>
  <si>
    <t>-488.18005;145.41</t>
  </si>
  <si>
    <t>-176;-98.7</t>
  </si>
  <si>
    <t>-267.4;155.1</t>
  </si>
  <si>
    <t>-500.92;37.69</t>
  </si>
  <si>
    <t>-252.46;71.75</t>
  </si>
  <si>
    <t>-522.2999;90.8</t>
  </si>
  <si>
    <t>-519.93;-171.86</t>
  </si>
  <si>
    <t>-478.9;132.1</t>
  </si>
  <si>
    <t>-32.77;117.14</t>
  </si>
  <si>
    <t>2.19;101.87</t>
  </si>
  <si>
    <t>-300.03;-9.72</t>
  </si>
  <si>
    <t>-353.59998;126.9</t>
  </si>
  <si>
    <t>-1.82;85.5</t>
  </si>
  <si>
    <t>-39.099976;45.1</t>
  </si>
  <si>
    <t>-365.76;120.46</t>
  </si>
  <si>
    <t>-353.8;65.8</t>
  </si>
  <si>
    <t>-518.12;-202.26</t>
  </si>
  <si>
    <t>-289.06;9.09</t>
  </si>
  <si>
    <t>-168.58;56.9</t>
  </si>
  <si>
    <t>-274.03;90.53</t>
  </si>
  <si>
    <t>-339.5;13.9</t>
  </si>
  <si>
    <t>-293.09998;-67.5</t>
  </si>
  <si>
    <t>-591.25;-5.05</t>
  </si>
  <si>
    <t>-211.29999;60.5</t>
  </si>
  <si>
    <t>-253.22;94.16</t>
  </si>
  <si>
    <t>-200.52997;-48.09</t>
  </si>
  <si>
    <t>-487.2;89.3</t>
  </si>
  <si>
    <t>-103.79999;-15.67</t>
  </si>
  <si>
    <t>-371.17;78.09</t>
  </si>
  <si>
    <t>-334.21;49.84</t>
  </si>
  <si>
    <t>-380.3;-28.4</t>
  </si>
  <si>
    <t>-276.13;51.23</t>
  </si>
  <si>
    <t>-246.3;148.3</t>
  </si>
  <si>
    <t>-352.81;127.95</t>
  </si>
  <si>
    <t>-325;-52.2</t>
  </si>
  <si>
    <t>-501.7;55.5</t>
  </si>
  <si>
    <t>-156.93;64.86</t>
  </si>
  <si>
    <t>-246.5;18.6</t>
  </si>
  <si>
    <t>-588.1;29.96</t>
  </si>
  <si>
    <t>-145.98;-85.87</t>
  </si>
  <si>
    <t>-554.6;87.9</t>
  </si>
  <si>
    <t>-358.74;81.24</t>
  </si>
  <si>
    <t>-256.43;-75.7</t>
  </si>
  <si>
    <t>-496.16;28.8</t>
  </si>
  <si>
    <t>-592.5;-90</t>
  </si>
  <si>
    <t>-551.55994;102.56</t>
  </si>
  <si>
    <t>-125.1;108.08</t>
  </si>
  <si>
    <t>-519.91003;124.05</t>
  </si>
  <si>
    <t>-564.4;-185.14</t>
  </si>
  <si>
    <t>-526;97.5</t>
  </si>
  <si>
    <t>-87.66998;-36.05</t>
  </si>
  <si>
    <t>-25.299988;118.6</t>
  </si>
  <si>
    <t>-504.56;-244.94</t>
  </si>
  <si>
    <t>-475.76;-84.3</t>
  </si>
  <si>
    <t>-420.3;-56.2</t>
  </si>
  <si>
    <t>-205.72998;35.72</t>
  </si>
  <si>
    <t>-59.69513;2.431282</t>
  </si>
  <si>
    <t>-474.17;-205.53</t>
  </si>
  <si>
    <t>-188.5;126.13</t>
  </si>
  <si>
    <t>-102.82;5.63</t>
  </si>
  <si>
    <t>-423.1;-52</t>
  </si>
  <si>
    <t>-599.01;86.18</t>
  </si>
  <si>
    <t>-77.54999;98.94</t>
  </si>
  <si>
    <t>-59.43;29.15</t>
  </si>
  <si>
    <t>8.64;54.9</t>
  </si>
  <si>
    <t>-459.36;-184.86</t>
  </si>
  <si>
    <t>-561.37;57.33</t>
  </si>
  <si>
    <t>-358.42;-39.79</t>
  </si>
  <si>
    <t>-44.27;122.7</t>
  </si>
  <si>
    <t>-395.17;100.84</t>
  </si>
  <si>
    <t>-542.25;-49.14</t>
  </si>
  <si>
    <t>-264.5;-31.05</t>
  </si>
  <si>
    <t>-104.38;69.4</t>
  </si>
  <si>
    <t>-258.45;-114.33</t>
  </si>
  <si>
    <t>-437.21;122.61</t>
  </si>
  <si>
    <t>-109.400024;-26.3</t>
  </si>
  <si>
    <t>-520.39;26.07</t>
  </si>
  <si>
    <t>-102.55;20.7</t>
  </si>
  <si>
    <t>-59.419983;88.62</t>
  </si>
  <si>
    <t>-65.27;92.8</t>
  </si>
  <si>
    <t>-206.70001;125.84</t>
  </si>
  <si>
    <t>-44.33;91.34</t>
  </si>
  <si>
    <t>-453;-174.6</t>
  </si>
  <si>
    <t>-342.8;14.1</t>
  </si>
  <si>
    <t>-464.16;108.9</t>
  </si>
  <si>
    <t>-510.64;-84.32</t>
  </si>
  <si>
    <t>-583.4;-201.53</t>
  </si>
  <si>
    <t>-422.57;-6.96</t>
  </si>
  <si>
    <t>-525.41;-46.49</t>
  </si>
  <si>
    <t>-255.49;-120.19</t>
  </si>
  <si>
    <t>-2.19;90.46</t>
  </si>
  <si>
    <t>-506.6;84.9</t>
  </si>
  <si>
    <t>-346.1;74.7</t>
  </si>
  <si>
    <t>-231.40002;56.4</t>
  </si>
  <si>
    <t>-436.88;-72.43</t>
  </si>
  <si>
    <t>-265.96997;-9.07</t>
  </si>
  <si>
    <t>-301.7;94.14</t>
  </si>
  <si>
    <t>-562.32;80.02</t>
  </si>
  <si>
    <t>-209.29999;-111.4</t>
  </si>
  <si>
    <t>-264.61;-44.01</t>
  </si>
  <si>
    <t>-439.9;-37.3</t>
  </si>
  <si>
    <t>-43.9;67.64</t>
  </si>
  <si>
    <t>-385.21;4.84</t>
  </si>
  <si>
    <t>-480;-61.7</t>
  </si>
  <si>
    <t>-378.4;102.45</t>
  </si>
  <si>
    <t>-23.900024;98.16</t>
  </si>
  <si>
    <t>-412.6;129.4</t>
  </si>
  <si>
    <t>-392.4;87.35</t>
  </si>
  <si>
    <t>-435.66;108.43</t>
  </si>
  <si>
    <t>-116.69;-17.47</t>
  </si>
  <si>
    <t>-212.34;94.2</t>
  </si>
  <si>
    <t>-152.46997;-66.44</t>
  </si>
  <si>
    <t>-0.3;128.1</t>
  </si>
  <si>
    <t>-251.94;121.73</t>
  </si>
  <si>
    <t>-472.96;-263.31</t>
  </si>
  <si>
    <t>-524.24;123.9</t>
  </si>
  <si>
    <t>-260.83;-107.55</t>
  </si>
  <si>
    <t>-165.72998;125.96</t>
  </si>
  <si>
    <t>-266.4;124</t>
  </si>
  <si>
    <t>-393.8;-48.02</t>
  </si>
  <si>
    <t>-207.06;94.77</t>
  </si>
  <si>
    <t>-361.3;-9</t>
  </si>
  <si>
    <t>-28.39;89.96</t>
  </si>
  <si>
    <t>-151.70001;-30.3</t>
  </si>
  <si>
    <t>-459.1;113.2</t>
  </si>
  <si>
    <t>-358.98;86.7</t>
  </si>
  <si>
    <t>-40.18;86.46</t>
  </si>
  <si>
    <t>-123.61;91.77</t>
  </si>
  <si>
    <t>-551.03;119.93</t>
  </si>
  <si>
    <t>-339.09998;87.4</t>
  </si>
  <si>
    <t>-2.18;90.46</t>
  </si>
  <si>
    <t>-333.81;-10.06</t>
  </si>
  <si>
    <t>-498.95;-218.24</t>
  </si>
  <si>
    <t>-626.67;-75.55</t>
  </si>
  <si>
    <t>-409;43.7</t>
  </si>
  <si>
    <t>-322.1;40.4</t>
  </si>
  <si>
    <t>-226.20996;-53.02</t>
  </si>
  <si>
    <t>-438.39;-1.63</t>
  </si>
  <si>
    <t>-29.7;118.3</t>
  </si>
  <si>
    <t>-342.81;132.92</t>
  </si>
  <si>
    <t>-159.88995;-102.44</t>
  </si>
  <si>
    <t>-640.3;-207.6</t>
  </si>
  <si>
    <t>-472.6;-52.2</t>
  </si>
  <si>
    <t>-216.5;128.96</t>
  </si>
  <si>
    <t>-495.53;-245.58</t>
  </si>
  <si>
    <t>-295.22;51.94</t>
  </si>
  <si>
    <t>-227.94;65.8</t>
  </si>
  <si>
    <t>-484.3;-33.38</t>
  </si>
  <si>
    <t>6.8900003;77.31</t>
  </si>
  <si>
    <t>-266.9;-187.6</t>
  </si>
  <si>
    <t>-326.84;37.53</t>
  </si>
  <si>
    <t>-352.2;-182.1</t>
  </si>
  <si>
    <t>-184.77;130.96</t>
  </si>
  <si>
    <t>-408.7;57</t>
  </si>
  <si>
    <t>-510.5;101.7</t>
  </si>
  <si>
    <t>-502.2;108.9</t>
  </si>
  <si>
    <t>-70.400024;52.55</t>
  </si>
  <si>
    <t>-503.92;-258.04</t>
  </si>
  <si>
    <t>-222.51;51.91</t>
  </si>
  <si>
    <t>-74.05;108.57</t>
  </si>
  <si>
    <t>-504.52203;-174.68394</t>
  </si>
  <si>
    <t>-42.150024;35.05</t>
  </si>
  <si>
    <t>-263.6;21.5</t>
  </si>
  <si>
    <t>-489.6;119.32</t>
  </si>
  <si>
    <t>-169.33;32.18</t>
  </si>
  <si>
    <t>-406.7;129.7</t>
  </si>
  <si>
    <t>-470.13;-268.88</t>
  </si>
  <si>
    <t>-379.43;-20.77</t>
  </si>
  <si>
    <t>-397.24;80.77</t>
  </si>
  <si>
    <t>-191.83;50.94</t>
  </si>
  <si>
    <t>-280.01;92.12</t>
  </si>
  <si>
    <t>-421.8;-145.8</t>
  </si>
  <si>
    <t>-159.21997;109.24</t>
  </si>
  <si>
    <t>-153.40002;-61.1</t>
  </si>
  <si>
    <t>-1.23;90.26</t>
  </si>
  <si>
    <t>-492.89;-84.48</t>
  </si>
  <si>
    <t>-135.89001;80.05</t>
  </si>
  <si>
    <t>-465.3;-66.5</t>
  </si>
  <si>
    <t>-339.16;116.69</t>
  </si>
  <si>
    <t>-36.21997;92.28</t>
  </si>
  <si>
    <t>-356.2;30.8</t>
  </si>
  <si>
    <t>-491.65;47.76</t>
  </si>
  <si>
    <t>-434.89;-141.62</t>
  </si>
  <si>
    <t>-188.4;20.6</t>
  </si>
  <si>
    <t>-369.14;99.07</t>
  </si>
  <si>
    <t>-489.67;-68.23</t>
  </si>
  <si>
    <t>-2.84;133.66</t>
  </si>
  <si>
    <t>-261;-67.89</t>
  </si>
  <si>
    <t>-263.3;-127.76</t>
  </si>
  <si>
    <t>-94.599976;95.48</t>
  </si>
  <si>
    <t>-524.89;-179.38</t>
  </si>
  <si>
    <t>-450.67;87.58</t>
  </si>
  <si>
    <t>-318.11;101.82</t>
  </si>
  <si>
    <t>-83.82001;85.24</t>
  </si>
  <si>
    <t>-500.5;63.1</t>
  </si>
  <si>
    <t>-227.56995;-40.41</t>
  </si>
  <si>
    <t>-573.1;-162.2</t>
  </si>
  <si>
    <t>-114.88995;-21.48</t>
  </si>
  <si>
    <t>-561.1;5.26</t>
  </si>
  <si>
    <t>-459.6;-34.9</t>
  </si>
  <si>
    <t>-193.5;53.2</t>
  </si>
  <si>
    <t>-13.68;27.52</t>
  </si>
  <si>
    <t>-427;-136.7</t>
  </si>
  <si>
    <t>-204.91998;-80.74</t>
  </si>
  <si>
    <t>-161.9;151.7</t>
  </si>
  <si>
    <t>-539.88;-18.01</t>
  </si>
  <si>
    <t>-428.6;-1.39</t>
  </si>
  <si>
    <t>-499.54;139.68</t>
  </si>
  <si>
    <t>-475.74;99.56</t>
  </si>
  <si>
    <t>-322;138.1</t>
  </si>
  <si>
    <t>0.4;130.21</t>
  </si>
  <si>
    <t>-542.14;33.68</t>
  </si>
  <si>
    <t>-212.62;-116.23</t>
  </si>
  <si>
    <t>-408.49;36.26</t>
  </si>
  <si>
    <t>-366.93;103.65</t>
  </si>
  <si>
    <t>-483.81;-78.6</t>
  </si>
  <si>
    <t>-345.36;93.2</t>
  </si>
  <si>
    <t>-127.7;72.9</t>
  </si>
  <si>
    <t>-305.94;107.87</t>
  </si>
  <si>
    <t>-485.8;-40.4</t>
  </si>
  <si>
    <t>-486.4;93.3</t>
  </si>
  <si>
    <t>-142.09998;137.9</t>
  </si>
  <si>
    <t>-512.9;-29.1</t>
  </si>
  <si>
    <t>-457.2;87.25</t>
  </si>
  <si>
    <t>-519.48;58.72</t>
  </si>
  <si>
    <t>-521.73;74.45</t>
  </si>
  <si>
    <t>-194.96997;-13.29</t>
  </si>
  <si>
    <t>-159.5;43.13</t>
  </si>
  <si>
    <t>-149.78;46.27</t>
  </si>
  <si>
    <t>-503.6;149.7</t>
  </si>
  <si>
    <t>-82.25;110.16</t>
  </si>
  <si>
    <t>-44.400024;81.2</t>
  </si>
  <si>
    <t>-194.35;12.01</t>
  </si>
  <si>
    <t>-542.82;108.51</t>
  </si>
  <si>
    <t>-95.5;-46.27</t>
  </si>
  <si>
    <t>-190.51;23.92</t>
  </si>
  <si>
    <t>-47.87;36.08</t>
  </si>
  <si>
    <t>-68.53998;16.66</t>
  </si>
  <si>
    <t>-502.4;128.7</t>
  </si>
  <si>
    <t>-495.3;45.3</t>
  </si>
  <si>
    <t>-334.6;57.9</t>
  </si>
  <si>
    <t>-543.99;-42.02</t>
  </si>
  <si>
    <t>-479;75.63</t>
  </si>
  <si>
    <t>-565.7;98.55</t>
  </si>
  <si>
    <t>-573.1;43.62</t>
  </si>
  <si>
    <t>-284.72;-119.5</t>
  </si>
  <si>
    <t>-370.9;-129.22</t>
  </si>
  <si>
    <t>-7.15;81.73</t>
  </si>
  <si>
    <t>-344.59;100.99</t>
  </si>
  <si>
    <t>-248.36;37.3</t>
  </si>
  <si>
    <t>-514.83;-35.79</t>
  </si>
  <si>
    <t>-162.75;50.35</t>
  </si>
  <si>
    <t>-161.96;130.13</t>
  </si>
  <si>
    <t>-514.73;65.65</t>
  </si>
  <si>
    <t>-232.45;129.1</t>
  </si>
  <si>
    <t>-450.48;29.9</t>
  </si>
  <si>
    <t>-590.48;89.08</t>
  </si>
  <si>
    <t>-485.88;141.91</t>
  </si>
  <si>
    <t>-362.42;-24.75</t>
  </si>
  <si>
    <t>-204.42;94.36</t>
  </si>
  <si>
    <t>-232.14;63.8</t>
  </si>
  <si>
    <t>-264.87;-39.15</t>
  </si>
  <si>
    <t>-276.03;32.19</t>
  </si>
  <si>
    <t>-182.96997;-42.42</t>
  </si>
  <si>
    <t>-363.22;133.93</t>
  </si>
  <si>
    <t>-514.76;-170.22</t>
  </si>
  <si>
    <t>-157.83;84.55</t>
  </si>
  <si>
    <t>-171.87;-67.1</t>
  </si>
  <si>
    <t>-103.78998;-54.21</t>
  </si>
  <si>
    <t>-468.52;-213.68</t>
  </si>
  <si>
    <t>-476.25;48.8</t>
  </si>
  <si>
    <t>-247.37;-5.13</t>
  </si>
  <si>
    <t>-7.03;98.76</t>
  </si>
  <si>
    <t>-421.46;-42.77</t>
  </si>
  <si>
    <t>-365.41;46.87</t>
  </si>
  <si>
    <t>-48.59;94.41</t>
  </si>
  <si>
    <t>-469.6;133.15</t>
  </si>
  <si>
    <t>-501.39;-30.19</t>
  </si>
  <si>
    <t>-514.4;73.9</t>
  </si>
  <si>
    <t>-517.23;-77.19</t>
  </si>
  <si>
    <t>-459.6;30.9</t>
  </si>
  <si>
    <t>-568.74;-64.5</t>
  </si>
  <si>
    <t>-318.46;-9.87</t>
  </si>
  <si>
    <t>-285.9;-89.8</t>
  </si>
  <si>
    <t>-203.38;-117.77</t>
  </si>
  <si>
    <t>-436.5;-62.7</t>
  </si>
  <si>
    <t>-112.58002;-75.56</t>
  </si>
  <si>
    <t>-203.78;-143.1</t>
  </si>
  <si>
    <t>-279.3;42.2</t>
  </si>
  <si>
    <t>3.66;97.94</t>
  </si>
  <si>
    <t>-351.3;123.4</t>
  </si>
  <si>
    <t>-348.66;-24.67</t>
  </si>
  <si>
    <t>-473.3;118.5</t>
  </si>
  <si>
    <t>-156.9;105.4</t>
  </si>
  <si>
    <t>-525.74;127.54</t>
  </si>
  <si>
    <t>-221.79;130.54</t>
  </si>
  <si>
    <t>-428.1;22.7</t>
  </si>
  <si>
    <t>-594.63;11.7</t>
  </si>
  <si>
    <t>-461.3;0</t>
  </si>
  <si>
    <t>-403.1;115.53</t>
  </si>
  <si>
    <t>-306.79004;24.98</t>
  </si>
  <si>
    <t>-231.09;-149.39</t>
  </si>
  <si>
    <t>-381.1;117.32</t>
  </si>
  <si>
    <t>-343.13;113.7</t>
  </si>
  <si>
    <t>-85.21;78.9</t>
  </si>
  <si>
    <t>-473.2;-59.1</t>
  </si>
  <si>
    <t>-369.91;-43.48</t>
  </si>
  <si>
    <t>-281.96;58.07</t>
  </si>
  <si>
    <t>-515.78;110.1</t>
  </si>
  <si>
    <t>-226.4;11.96</t>
  </si>
  <si>
    <t>-451.61;-44.09</t>
  </si>
  <si>
    <t>-339.39;37.53</t>
  </si>
  <si>
    <t>-120.28;108.08</t>
  </si>
  <si>
    <t>-139.98;-18.06</t>
  </si>
  <si>
    <t>-105.609985;-44.79</t>
  </si>
  <si>
    <t>-178.32;79.1</t>
  </si>
  <si>
    <t>-2.6;26.4</t>
  </si>
  <si>
    <t>-177.9;115.7</t>
  </si>
  <si>
    <t>-20.659973;131.68</t>
  </si>
  <si>
    <t>-194.87;-149.39</t>
  </si>
  <si>
    <t>-573.24;101.2</t>
  </si>
  <si>
    <t>-468.49;31.2</t>
  </si>
  <si>
    <t>-82.58002;18.33</t>
  </si>
  <si>
    <t>-269.88;-26.32</t>
  </si>
  <si>
    <t>-441.15;-234.16</t>
  </si>
  <si>
    <t>-130.94;98.87</t>
  </si>
  <si>
    <t>-169.8;-0.6</t>
  </si>
  <si>
    <t>-29.8;50.4</t>
  </si>
  <si>
    <t>-125.27997;-22.27</t>
  </si>
  <si>
    <t>-116.29;-37.8</t>
  </si>
  <si>
    <t>-61.640015;77.31</t>
  </si>
  <si>
    <t>-243.27;90.98</t>
  </si>
  <si>
    <t>8.52;85.67</t>
  </si>
  <si>
    <t>-130.29999;146.52</t>
  </si>
  <si>
    <t>-314.5;40.4</t>
  </si>
  <si>
    <t>-291.95;-9.79</t>
  </si>
  <si>
    <t>-493.47998;141.91</t>
  </si>
  <si>
    <t>-542.84;50.03</t>
  </si>
  <si>
    <t>-1.9;58.7</t>
  </si>
  <si>
    <t>-440.56;-136.39</t>
  </si>
  <si>
    <t>-226.19;59.33</t>
  </si>
  <si>
    <t>-220.22998;-140.29</t>
  </si>
  <si>
    <t>-14.7699585;126.81</t>
  </si>
  <si>
    <t>-428.57;28.8</t>
  </si>
  <si>
    <t>-243.81;125.27</t>
  </si>
  <si>
    <t>-109.05;8.32</t>
  </si>
  <si>
    <t>-7.39;103.98</t>
  </si>
  <si>
    <t>-410.3;12.8</t>
  </si>
  <si>
    <t>-112.6;78.57</t>
  </si>
  <si>
    <t>-157.59998;-40.5</t>
  </si>
  <si>
    <t>-261.44;-36.81</t>
  </si>
  <si>
    <t>-288.7;-73.5</t>
  </si>
  <si>
    <t>-111.94;-17.47</t>
  </si>
  <si>
    <t>-463.3;40.6</t>
  </si>
  <si>
    <t>168.4;16.6</t>
  </si>
  <si>
    <t>-171.21997;-95.21</t>
  </si>
  <si>
    <t>-101.37;88.19</t>
  </si>
  <si>
    <t>-589.2;21.4</t>
  </si>
  <si>
    <t>-358.12;160.5</t>
  </si>
  <si>
    <t>-551.09;60</t>
  </si>
  <si>
    <t>-277.9;72.3</t>
  </si>
  <si>
    <t>-367.48;44.42</t>
  </si>
  <si>
    <t>-296.92004;-9.79</t>
  </si>
  <si>
    <t>-301.3;-23.4</t>
  </si>
  <si>
    <t>-520.2001;82</t>
  </si>
  <si>
    <t>-67.92;66.15</t>
  </si>
  <si>
    <t>-31.37;85.96</t>
  </si>
  <si>
    <t>-452.27;124.09</t>
  </si>
  <si>
    <t>-493.1;27</t>
  </si>
  <si>
    <t>-240.72;118.34</t>
  </si>
  <si>
    <t>-64.45;59.9</t>
  </si>
  <si>
    <t>-307.13;-9.91</t>
  </si>
  <si>
    <t>-519.99;-51.82</t>
  </si>
  <si>
    <t>-47.98;128.04</t>
  </si>
  <si>
    <t>-190.19995;-90.2</t>
  </si>
  <si>
    <t>-321.75146;20.822514</t>
  </si>
  <si>
    <t>-484;73.8</t>
  </si>
  <si>
    <t>-387.72;126.1</t>
  </si>
  <si>
    <t>-193.58997;-112.28</t>
  </si>
  <si>
    <t>-0.4;40.7</t>
  </si>
  <si>
    <t>-70.18;114.44</t>
  </si>
  <si>
    <t>-537.71;-35.01</t>
  </si>
  <si>
    <t>-331.83;-55.17</t>
  </si>
  <si>
    <t>-236.32;100.43</t>
  </si>
  <si>
    <t>-489.94;35.07</t>
  </si>
  <si>
    <t>-590.56;99.39</t>
  </si>
  <si>
    <t>-287.21;-66.29</t>
  </si>
  <si>
    <t>-236;71.4</t>
  </si>
  <si>
    <t>-272.4;85</t>
  </si>
  <si>
    <t>-409.1;-49.6</t>
  </si>
  <si>
    <t>-437.89;116.35</t>
  </si>
  <si>
    <t>-384.7;39.96</t>
  </si>
  <si>
    <t>-367.08;-41.09</t>
  </si>
  <si>
    <t>-145.6;126.5</t>
  </si>
  <si>
    <t>-130.73;5.56</t>
  </si>
  <si>
    <t>-337.54;115.53</t>
  </si>
  <si>
    <t>-74.3;4.5</t>
  </si>
  <si>
    <t>-257.84;119.04</t>
  </si>
  <si>
    <t>-267.2;-10.43</t>
  </si>
  <si>
    <t>-474;-45.62</t>
  </si>
  <si>
    <t>-38.71;136.68</t>
  </si>
  <si>
    <t>-96.25;-58.62</t>
  </si>
  <si>
    <t>-496;-195.5</t>
  </si>
  <si>
    <t>-321.51;62.14</t>
  </si>
  <si>
    <t>11.81;81.64</t>
  </si>
  <si>
    <t>-352.23;-34.27</t>
  </si>
  <si>
    <t>-265.3;19.8</t>
  </si>
  <si>
    <t>-465.2;-64.04</t>
  </si>
  <si>
    <t>-1.71;90.46</t>
  </si>
  <si>
    <t>-168.45001;-62.98</t>
  </si>
  <si>
    <t>-87.07001;84.99</t>
  </si>
  <si>
    <t>-504.42;46.89</t>
  </si>
  <si>
    <t>-499.11;77.22</t>
  </si>
  <si>
    <t>-486.03;-66.17</t>
  </si>
  <si>
    <t>-284.68;17.45</t>
  </si>
  <si>
    <t>-211.04;122.96</t>
  </si>
  <si>
    <t>-532.34;128.43</t>
  </si>
  <si>
    <t>-327.12;110.23</t>
  </si>
  <si>
    <t>-296.23;116.27</t>
  </si>
  <si>
    <t>-501.63;95.9</t>
  </si>
  <si>
    <t>-33.965134;106.411285</t>
  </si>
  <si>
    <t>-390.37;-61.13</t>
  </si>
  <si>
    <t>-103.71997;-58.36</t>
  </si>
  <si>
    <t>-435.9;-56.32</t>
  </si>
  <si>
    <t>-319.09998;47.53</t>
  </si>
  <si>
    <t>-275.9;37.6</t>
  </si>
  <si>
    <t>-525.35;142.95</t>
  </si>
  <si>
    <t>-448.9;-218.5</t>
  </si>
  <si>
    <t>-58.119995;100.76</t>
  </si>
  <si>
    <t>-447.7;36.4</t>
  </si>
  <si>
    <t>-266.1;68.1</t>
  </si>
  <si>
    <t>-302.61;43.5</t>
  </si>
  <si>
    <t>-403.65;-61.05</t>
  </si>
  <si>
    <t>-251.5;58.9</t>
  </si>
  <si>
    <t>-94.81995;-54.42</t>
  </si>
  <si>
    <t>-395.9;130.3</t>
  </si>
  <si>
    <t>-429.52;-72.27</t>
  </si>
  <si>
    <t>-556.67;117.42</t>
  </si>
  <si>
    <t>-548.3;111.06</t>
  </si>
  <si>
    <t>-345.37;-54.63</t>
  </si>
  <si>
    <t>-202.65;46.7</t>
  </si>
  <si>
    <t>-388.58;105.86</t>
  </si>
  <si>
    <t>-392.02;-35.86</t>
  </si>
  <si>
    <t>-540.8;56.8</t>
  </si>
  <si>
    <t>-28.97;55.42</t>
  </si>
  <si>
    <t>-459.61;-217.17</t>
  </si>
  <si>
    <t>-185.03;23.41</t>
  </si>
  <si>
    <t>-351.3;55.97</t>
  </si>
  <si>
    <t>-150;110.5</t>
  </si>
  <si>
    <t>-19.589966;129.3</t>
  </si>
  <si>
    <t>-502.1;124</t>
  </si>
  <si>
    <t>-132.68;64.48</t>
  </si>
  <si>
    <t>-361.6;132.77</t>
  </si>
  <si>
    <t>-527.25;-51.46</t>
  </si>
  <si>
    <t>-385.85;137.13</t>
  </si>
  <si>
    <t>-155.18;37.17</t>
  </si>
  <si>
    <t>-162.39996;-97.01</t>
  </si>
  <si>
    <t>-315.4;144.6</t>
  </si>
  <si>
    <t>-256.94;60.85</t>
  </si>
  <si>
    <t>-407.43;75.24</t>
  </si>
  <si>
    <t>-249.9;108.9</t>
  </si>
  <si>
    <t>-581.3;31.2</t>
  </si>
  <si>
    <t>-162.37;35.48</t>
  </si>
  <si>
    <t>-543.2;-165.3</t>
  </si>
  <si>
    <t>-520.71;-58.05</t>
  </si>
  <si>
    <t>-257;24</t>
  </si>
  <si>
    <t>-423.43;82.85</t>
  </si>
  <si>
    <t>-533.67;18.49</t>
  </si>
  <si>
    <t>-183.70001;147.71</t>
  </si>
  <si>
    <t>-540.36;123.74</t>
  </si>
  <si>
    <t>-389;117.9</t>
  </si>
  <si>
    <t>1.02;67.31</t>
  </si>
  <si>
    <t>-202.59998;57.7</t>
  </si>
  <si>
    <t>-527.1;-2</t>
  </si>
  <si>
    <t>-495.5;80.8</t>
  </si>
  <si>
    <t>-490.63;-228.45</t>
  </si>
  <si>
    <t>-247.03;52.63</t>
  </si>
  <si>
    <t>-337.56;-46.45</t>
  </si>
  <si>
    <t>-472.34;-268.88</t>
  </si>
  <si>
    <t>-505.8;-185.11</t>
  </si>
  <si>
    <t>-249.3;-66</t>
  </si>
  <si>
    <t>-7.54;45.19</t>
  </si>
  <si>
    <t>-491.6;-33.34</t>
  </si>
  <si>
    <t>-304.98;62.6</t>
  </si>
  <si>
    <t>-176.25;20.65</t>
  </si>
  <si>
    <t>-90.900024;-46.46</t>
  </si>
  <si>
    <t>-607.9;-78.7</t>
  </si>
  <si>
    <t>-387.14;112.8</t>
  </si>
  <si>
    <t>-98.1;75</t>
  </si>
  <si>
    <t>-538.5;-178.3</t>
  </si>
  <si>
    <t>-323.2;-42.18</t>
  </si>
  <si>
    <t>-620.2;-209.4</t>
  </si>
  <si>
    <t>-428.87;15.9</t>
  </si>
  <si>
    <t>-550.94;-84.3</t>
  </si>
  <si>
    <t>-185.41;-14</t>
  </si>
  <si>
    <t>-206.24;72.09</t>
  </si>
  <si>
    <t>-624.2;-209.4</t>
  </si>
  <si>
    <t>-308.46;92.4</t>
  </si>
  <si>
    <t>-30.140015;120.4</t>
  </si>
  <si>
    <t>-152.2;100.5</t>
  </si>
  <si>
    <t>-547.9;80.2</t>
  </si>
  <si>
    <t>-4.85;86.63</t>
  </si>
  <si>
    <t>-409.7;1.5</t>
  </si>
  <si>
    <t>-285.59998;85.7</t>
  </si>
  <si>
    <t>-318.43;-30.59</t>
  </si>
  <si>
    <t>-2.78;30.34</t>
  </si>
  <si>
    <t>-402.72;103.63</t>
  </si>
  <si>
    <t>-118.869995;71.56</t>
  </si>
  <si>
    <t>-357.71;-22.38</t>
  </si>
  <si>
    <t>-516.74;-65.17</t>
  </si>
  <si>
    <t>-553.9;-84.39</t>
  </si>
  <si>
    <t>-421;15.5</t>
  </si>
  <si>
    <t>-377.7;143.45</t>
  </si>
  <si>
    <t>-364.29;-134.26</t>
  </si>
  <si>
    <t>-55.2;17.45</t>
  </si>
  <si>
    <t>-387.1;-69.33</t>
  </si>
  <si>
    <t>-403.1;33.8</t>
  </si>
  <si>
    <t>-264.87;-34.8</t>
  </si>
  <si>
    <t>-539.11;98.05</t>
  </si>
  <si>
    <t>-326.9;133.96</t>
  </si>
  <si>
    <t>-348.8;59.83</t>
  </si>
  <si>
    <t>-301.53;87.81</t>
  </si>
  <si>
    <t>-425.6;64.2</t>
  </si>
  <si>
    <t>-12.76;102.51</t>
  </si>
  <si>
    <t>-472.46;-83.8</t>
  </si>
  <si>
    <t>-457.3;12.69</t>
  </si>
  <si>
    <t>-310.86;69.3</t>
  </si>
  <si>
    <t>-348.42;125.14</t>
  </si>
  <si>
    <t>-399.8;4.3</t>
  </si>
  <si>
    <t>-213.46;-13.59</t>
  </si>
  <si>
    <t>-103.35;94.14</t>
  </si>
  <si>
    <t>-482.5;43.8</t>
  </si>
  <si>
    <t>-319;145.6</t>
  </si>
  <si>
    <t>-110.77;103.96</t>
  </si>
  <si>
    <t>-247.8;42.3</t>
  </si>
  <si>
    <t>-138.60999;71.97</t>
  </si>
  <si>
    <t>-248.82;83.14</t>
  </si>
  <si>
    <t>-158.4;51.1</t>
  </si>
  <si>
    <t>-407.97;-64.2</t>
  </si>
  <si>
    <t>-440;78.39</t>
  </si>
  <si>
    <t>-196.71;70.13</t>
  </si>
  <si>
    <t>-237.26;89.17</t>
  </si>
  <si>
    <t>-214.40997;-81.48</t>
  </si>
  <si>
    <t>-370.87;66.48</t>
  </si>
  <si>
    <t>-217.64;76.98</t>
  </si>
  <si>
    <t>-109.76;-0.36</t>
  </si>
  <si>
    <t>-343;79.81</t>
  </si>
  <si>
    <t>-486.4;-62.5</t>
  </si>
  <si>
    <t>-588.43;-202</t>
  </si>
  <si>
    <t>-453.76;-56.03</t>
  </si>
  <si>
    <t>-503.41;-84.11</t>
  </si>
  <si>
    <t>-321;101.92</t>
  </si>
  <si>
    <t>-441.09;-177.19</t>
  </si>
  <si>
    <t>-535.3;26.77</t>
  </si>
  <si>
    <t>-473.08;-183.65</t>
  </si>
  <si>
    <t>-150.81995;-82.36</t>
  </si>
  <si>
    <t>-370.84;112.17</t>
  </si>
  <si>
    <t>-51.02;4.3</t>
  </si>
  <si>
    <t>-513;-188.01</t>
  </si>
  <si>
    <t>-328.73932;-68.4974</t>
  </si>
  <si>
    <t>-410.72;28.94</t>
  </si>
  <si>
    <t>-173.53003;-46.67</t>
  </si>
  <si>
    <t>-101.97;80.92</t>
  </si>
  <si>
    <t>-495.7;-31.67</t>
  </si>
  <si>
    <t>-335.7;102.5</t>
  </si>
  <si>
    <t>-434.18;-153.26</t>
  </si>
  <si>
    <t>-401.9;-41.09</t>
  </si>
  <si>
    <t>-487.5;110.3</t>
  </si>
  <si>
    <t>-305.07;-10.55</t>
  </si>
  <si>
    <t>-413.96;110.85</t>
  </si>
  <si>
    <t>-35.9;40.84</t>
  </si>
  <si>
    <t>-25.88;41.12</t>
  </si>
  <si>
    <t>CASTLE</t>
  </si>
  <si>
    <t>499.80002;-9.73</t>
  </si>
  <si>
    <t>585.08;8.36</t>
  </si>
  <si>
    <t>607.43005;72.03</t>
  </si>
  <si>
    <t>586.13;101.12</t>
  </si>
  <si>
    <t>29.11;-147.96</t>
  </si>
  <si>
    <t>561.29;109.72</t>
  </si>
  <si>
    <t>594.16003;75.98</t>
  </si>
  <si>
    <t>135.08002;-14.18</t>
  </si>
  <si>
    <t>68.380005;-36.15</t>
  </si>
  <si>
    <t>574.80005;0.36</t>
  </si>
  <si>
    <t>281.59;-296.59998</t>
  </si>
  <si>
    <t>178.10004;-67.7</t>
  </si>
  <si>
    <t>576.59;-240.53</t>
  </si>
  <si>
    <t>117.73;-182.22</t>
  </si>
  <si>
    <t>680.64;-229.12</t>
  </si>
  <si>
    <t>579.4;-275.7</t>
  </si>
  <si>
    <t>573.4;97</t>
  </si>
  <si>
    <t>444.4;41.29</t>
  </si>
  <si>
    <t>416.28;-327.95</t>
  </si>
  <si>
    <t>112.2;-298.8</t>
  </si>
  <si>
    <t>-69.43;-279.32</t>
  </si>
  <si>
    <t>267.40002;-71.7</t>
  </si>
  <si>
    <t>534.31;72.61</t>
  </si>
  <si>
    <t>426.6;-282.6</t>
  </si>
  <si>
    <t>303.74002;-39.31</t>
  </si>
  <si>
    <t>38.76;-119.33</t>
  </si>
  <si>
    <t>-28.93;-300.34</t>
  </si>
  <si>
    <t>485.32;127.9</t>
  </si>
  <si>
    <t>472.71002;-69.12</t>
  </si>
  <si>
    <t>736.67;-335.75</t>
  </si>
  <si>
    <t>689.7;-257.7</t>
  </si>
  <si>
    <t>339.37003;-48.29</t>
  </si>
  <si>
    <t>368.18002;-77.41</t>
  </si>
  <si>
    <t>189.98001;-29.22</t>
  </si>
  <si>
    <t>517.5;127.4</t>
  </si>
  <si>
    <t>181.2;-79.7</t>
  </si>
  <si>
    <t>-48.6;-239</t>
  </si>
  <si>
    <t>439.63;117.46</t>
  </si>
  <si>
    <t>638.95;20.08</t>
  </si>
  <si>
    <t>723.05;-311.51</t>
  </si>
  <si>
    <t>674;103.1</t>
  </si>
  <si>
    <t>556.67004;-76.24</t>
  </si>
  <si>
    <t>599.95;144.86</t>
  </si>
  <si>
    <t>539.30005;82.2</t>
  </si>
  <si>
    <t>429.50003;109.1</t>
  </si>
  <si>
    <t>226.3;-335.8</t>
  </si>
  <si>
    <t>571.1;-302.03</t>
  </si>
  <si>
    <t>415.1;-96.4</t>
  </si>
  <si>
    <t>301.60004;-50</t>
  </si>
  <si>
    <t>266.7;-316.29</t>
  </si>
  <si>
    <t>617.06;-10.7</t>
  </si>
  <si>
    <t>583.48;-159.64</t>
  </si>
  <si>
    <t>606.2;93.5</t>
  </si>
  <si>
    <t>269.1;-179.54</t>
  </si>
  <si>
    <t>656.5;63</t>
  </si>
  <si>
    <t>237.58;-143.24</t>
  </si>
  <si>
    <t>571.10004;146.34</t>
  </si>
  <si>
    <t>419.50003;-35.54</t>
  </si>
  <si>
    <t>410.17004;25.87</t>
  </si>
  <si>
    <t>585.83;-58.53</t>
  </si>
  <si>
    <t>502.91;-269.54</t>
  </si>
  <si>
    <t>552.96;-255.78998</t>
  </si>
  <si>
    <t>555.2;-314.43</t>
  </si>
  <si>
    <t>285.09998;-298.82996</t>
  </si>
  <si>
    <t>640.85;81.32</t>
  </si>
  <si>
    <t>335.56003;-47.72</t>
  </si>
  <si>
    <t>425.03003;-20.89</t>
  </si>
  <si>
    <t>367.15002;-49.23</t>
  </si>
  <si>
    <t>393.88;-47.55</t>
  </si>
  <si>
    <t>732.18;-331.08</t>
  </si>
  <si>
    <t>327.60004;-49.63</t>
  </si>
  <si>
    <t>51.899994;-287.9</t>
  </si>
  <si>
    <t>488.07;121.63</t>
  </si>
  <si>
    <t>497.16;103.7</t>
  </si>
  <si>
    <t>271.53003;-51.55</t>
  </si>
  <si>
    <t>632.67;94.78</t>
  </si>
  <si>
    <t>180.29999;-319.01</t>
  </si>
  <si>
    <t>490.10004;-10.7</t>
  </si>
  <si>
    <t>560;135.5</t>
  </si>
  <si>
    <t>57.149994;-131.99</t>
  </si>
  <si>
    <t>432.50003;116.9</t>
  </si>
  <si>
    <t>678.51;-224.98</t>
  </si>
  <si>
    <t>672.60004;113.1</t>
  </si>
  <si>
    <t>632.1;-139.92</t>
  </si>
  <si>
    <t>237.68002;-89.3</t>
  </si>
  <si>
    <t>545.33;-179.18</t>
  </si>
  <si>
    <t>459.63004;-27.23</t>
  </si>
  <si>
    <t>723.61;-269.76</t>
  </si>
  <si>
    <t>210.3;-330.2</t>
  </si>
  <si>
    <t>732.11;-294.29</t>
  </si>
  <si>
    <t>242.29999;-103.46</t>
  </si>
  <si>
    <t>10.66;-318.13</t>
  </si>
  <si>
    <t>545.1;-221.24</t>
  </si>
  <si>
    <t>684.51;-218.67</t>
  </si>
  <si>
    <t>335.99002;-13.55</t>
  </si>
  <si>
    <t>276.50003;-83.1</t>
  </si>
  <si>
    <t>358.59;-170.51</t>
  </si>
  <si>
    <t>753.1;-336.7</t>
  </si>
  <si>
    <t>530.53;-54.67</t>
  </si>
  <si>
    <t>556.37;-255.79</t>
  </si>
  <si>
    <t>616.1;-240.78</t>
  </si>
  <si>
    <t>666.2;68.66</t>
  </si>
  <si>
    <t>139.54004;-12.28</t>
  </si>
  <si>
    <t>702.05;-261.63</t>
  </si>
  <si>
    <t>149.18;-191.23</t>
  </si>
  <si>
    <t>575.53;-58.12</t>
  </si>
  <si>
    <t>292.2;-117.7</t>
  </si>
  <si>
    <t>23.57;-319.04</t>
  </si>
  <si>
    <t>537.30005;-61.4</t>
  </si>
  <si>
    <t>562.76;-271.16</t>
  </si>
  <si>
    <t>402.60004;-66.7</t>
  </si>
  <si>
    <t>468.16;20.76</t>
  </si>
  <si>
    <t>519.47;-57.59</t>
  </si>
  <si>
    <t>594.13995;-156.11998</t>
  </si>
  <si>
    <t>152.26;-25.49</t>
  </si>
  <si>
    <t>332.30002;-47.73</t>
  </si>
  <si>
    <t>304.1;-95.5</t>
  </si>
  <si>
    <t>63.9;-290.6</t>
  </si>
  <si>
    <t>588.6;-153.09999</t>
  </si>
  <si>
    <t>446.11;107.119995</t>
  </si>
  <si>
    <t>426.00003;90.9</t>
  </si>
  <si>
    <t>78.54001;-71.52</t>
  </si>
  <si>
    <t>228.39;-337.25</t>
  </si>
  <si>
    <t>290.30002;-92.2</t>
  </si>
  <si>
    <t>549.06;-296.81</t>
  </si>
  <si>
    <t>279.5;-157.77</t>
  </si>
  <si>
    <t>140.90002;-13.68</t>
  </si>
  <si>
    <t>220.8;-150.5</t>
  </si>
  <si>
    <t>230.20001;-44.87</t>
  </si>
  <si>
    <t>459.5;139.16</t>
  </si>
  <si>
    <t>154.04004;-34.19</t>
  </si>
  <si>
    <t>421.80002;-20.65</t>
  </si>
  <si>
    <t>672;-238.4</t>
  </si>
  <si>
    <t>751.41;-340.15</t>
  </si>
  <si>
    <t>591;89.81</t>
  </si>
  <si>
    <t>104.600006;-32.5</t>
  </si>
  <si>
    <t>61.130035;-24.77</t>
  </si>
  <si>
    <t>564.47;-335.18</t>
  </si>
  <si>
    <t>407.82;-35.98</t>
  </si>
  <si>
    <t>473.7;8.7</t>
  </si>
  <si>
    <t>555.57;-69.37</t>
  </si>
  <si>
    <t>550.52;-166.08</t>
  </si>
  <si>
    <t>155.9;-311.79</t>
  </si>
  <si>
    <t>38.809998;-76.94</t>
  </si>
  <si>
    <t>-67.1;-271.5</t>
  </si>
  <si>
    <t>715.64;-313.6</t>
  </si>
  <si>
    <t>86.8;-343.3</t>
  </si>
  <si>
    <t>100.17001;-64.32</t>
  </si>
  <si>
    <t>308.41003;-40.55</t>
  </si>
  <si>
    <t>420.94;3.52</t>
  </si>
  <si>
    <t>486.78;139.16</t>
  </si>
  <si>
    <t>265.50003;-77.6</t>
  </si>
  <si>
    <t>371.49002;-51.11</t>
  </si>
  <si>
    <t>148.11002;-91.39</t>
  </si>
  <si>
    <t>275.12;-292.43</t>
  </si>
  <si>
    <t>643.7;92.1</t>
  </si>
  <si>
    <t>142.15002;-22.15</t>
  </si>
  <si>
    <t>486.49002;63.43</t>
  </si>
  <si>
    <t>124.22003;-33.28</t>
  </si>
  <si>
    <t>194.53003;-75.28</t>
  </si>
  <si>
    <t>713.7;-260.4</t>
  </si>
  <si>
    <t>429.44;68.34</t>
  </si>
  <si>
    <t>445.51;-28.08</t>
  </si>
  <si>
    <t>578.68;-266.72</t>
  </si>
  <si>
    <t>640.51;-303.25</t>
  </si>
  <si>
    <t>169.2;-41.9</t>
  </si>
  <si>
    <t>254.03;-322.35</t>
  </si>
  <si>
    <t>389.06003;-48.9</t>
  </si>
  <si>
    <t>603.71;-270.51</t>
  </si>
  <si>
    <t>34.36;-148.25</t>
  </si>
  <si>
    <t>409.72003;115.6</t>
  </si>
  <si>
    <t>554.5;102.5</t>
  </si>
  <si>
    <t>79.69003;-34.63</t>
  </si>
  <si>
    <t>498.50003;126.13</t>
  </si>
  <si>
    <t>425.73004;-19.4</t>
  </si>
  <si>
    <t>232.69003;-82.93</t>
  </si>
  <si>
    <t>444.7;6.9</t>
  </si>
  <si>
    <t>460.60004;-42.9</t>
  </si>
  <si>
    <t>156.74;-41.38</t>
  </si>
  <si>
    <t>405.30002;14.87</t>
  </si>
  <si>
    <t>608.14;-156.06999</t>
  </si>
  <si>
    <t>527.9;13.7</t>
  </si>
  <si>
    <t>548.3;-241.6</t>
  </si>
  <si>
    <t>616.09;-150.4</t>
  </si>
  <si>
    <t>545.22003;-68.05</t>
  </si>
  <si>
    <t>528.39;107.44</t>
  </si>
  <si>
    <t>621.3;-319.26</t>
  </si>
  <si>
    <t>357.37003;-55.03</t>
  </si>
  <si>
    <t>565.56;-58.12</t>
  </si>
  <si>
    <t>690.31;-212.62</t>
  </si>
  <si>
    <t>254.40002;-72.5</t>
  </si>
  <si>
    <t>658.2;-260.1</t>
  </si>
  <si>
    <t>49.21;-117.42</t>
  </si>
  <si>
    <t>576.62;-264.02</t>
  </si>
  <si>
    <t>506.29;-272.7</t>
  </si>
  <si>
    <t>31.1;-335.6</t>
  </si>
  <si>
    <t>106.1;-285.3</t>
  </si>
  <si>
    <t>599.30005;-72.8</t>
  </si>
  <si>
    <t>606.72;-269.77</t>
  </si>
  <si>
    <t>151.32004;-32.5</t>
  </si>
  <si>
    <t>394.4;-103</t>
  </si>
  <si>
    <t>408.89;20.41</t>
  </si>
  <si>
    <t>70.570015;-70</t>
  </si>
  <si>
    <t>79.2;-286.8</t>
  </si>
  <si>
    <t>94.80002;-60.62</t>
  </si>
  <si>
    <t>110.7;-348.7</t>
  </si>
  <si>
    <t>458.76;-50.21</t>
  </si>
  <si>
    <t>-38.8;-300.5</t>
  </si>
  <si>
    <t>545.2;-231.2</t>
  </si>
  <si>
    <t>499.73;-278.43</t>
  </si>
  <si>
    <t>248.9;-302.9</t>
  </si>
  <si>
    <t>141.56003;-17.52</t>
  </si>
  <si>
    <t>153.09003;-28.21</t>
  </si>
  <si>
    <t>390.35;-35.72</t>
  </si>
  <si>
    <t>519.9;-196.1</t>
  </si>
  <si>
    <t>75.70001;-108.98</t>
  </si>
  <si>
    <t>368.78;-34.81</t>
  </si>
  <si>
    <t>63.91;-325.4</t>
  </si>
  <si>
    <t>260.99997;-288.81998</t>
  </si>
  <si>
    <t>354.52002;-54.97</t>
  </si>
  <si>
    <t>97.68002;-84.3</t>
  </si>
  <si>
    <t>-30.83;-300.03</t>
  </si>
  <si>
    <t>555.1;-269.7</t>
  </si>
  <si>
    <t>408.93002;108.8</t>
  </si>
  <si>
    <t>724.58;-286.08</t>
  </si>
  <si>
    <t>183.51;-321.1</t>
  </si>
  <si>
    <t>178.27;-53.39</t>
  </si>
  <si>
    <t>743.35;-339.58</t>
  </si>
  <si>
    <t>-63.34;-286.31</t>
  </si>
  <si>
    <t>598.21;120.44</t>
  </si>
  <si>
    <t>605.8;-314.8</t>
  </si>
  <si>
    <t>569.75;75.59</t>
  </si>
  <si>
    <t>30.28003;-89.38</t>
  </si>
  <si>
    <t>478.50003;39.6</t>
  </si>
  <si>
    <t>430.30002;51.5</t>
  </si>
  <si>
    <t>599.74;-20.13</t>
  </si>
  <si>
    <t>374.03003;-29.4</t>
  </si>
  <si>
    <t>411.92004;9.73</t>
  </si>
  <si>
    <t>529.76;118.42</t>
  </si>
  <si>
    <t>89.01001;-66.5</t>
  </si>
  <si>
    <t>390.2;-44.54</t>
  </si>
  <si>
    <t>420.40002;69.95</t>
  </si>
  <si>
    <t>428.80002;55.1</t>
  </si>
  <si>
    <t>551.30005;139.4</t>
  </si>
  <si>
    <t>596.72;-156.81999</t>
  </si>
  <si>
    <t>202.50003;-38.8</t>
  </si>
  <si>
    <t>578.2;75.49</t>
  </si>
  <si>
    <t>448.08002;-26.68</t>
  </si>
  <si>
    <t>90.660034;-32.96</t>
  </si>
  <si>
    <t>619.11005;-10.22</t>
  </si>
  <si>
    <t>147.56003;-14.77</t>
  </si>
  <si>
    <t>555.4;-296.35</t>
  </si>
  <si>
    <t>759.96;-339.82</t>
  </si>
  <si>
    <t>259.50998;-304.37997</t>
  </si>
  <si>
    <t>156.58002;-353.6</t>
  </si>
  <si>
    <t>393.81003;-25.44</t>
  </si>
  <si>
    <t>121.3;-301.4</t>
  </si>
  <si>
    <t>341.9;-87.2</t>
  </si>
  <si>
    <t>420.00003;108.5</t>
  </si>
  <si>
    <t>645.43005;141.71</t>
  </si>
  <si>
    <t>542.88;85.6</t>
  </si>
  <si>
    <t>682;-309.2</t>
  </si>
  <si>
    <t>309.57;-40.36</t>
  </si>
  <si>
    <t>523.6;-186.3</t>
  </si>
  <si>
    <t>133.99002;-15.49</t>
  </si>
  <si>
    <t>645.08;66.9</t>
  </si>
  <si>
    <t>681.19;-317.89</t>
  </si>
  <si>
    <t>766.72;-336.47</t>
  </si>
  <si>
    <t>756;-300.5</t>
  </si>
  <si>
    <t>78.750015;-24.28</t>
  </si>
  <si>
    <t>614.35;115.81</t>
  </si>
  <si>
    <t>422.80002;-58.37</t>
  </si>
  <si>
    <t>271.32004;-49.97</t>
  </si>
  <si>
    <t>387.00003;-98.5</t>
  </si>
  <si>
    <t>48.98;-336.23</t>
  </si>
  <si>
    <t>490.2;-198.6</t>
  </si>
  <si>
    <t>640.4;140</t>
  </si>
  <si>
    <t>518.7;55.5</t>
  </si>
  <si>
    <t>294.30002;-110.7</t>
  </si>
  <si>
    <t>175;-317.2</t>
  </si>
  <si>
    <t>84.26001;-104.53</t>
  </si>
  <si>
    <t>661.4;82.5</t>
  </si>
  <si>
    <t>226.3;-149</t>
  </si>
  <si>
    <t>458.32;-23.95</t>
  </si>
  <si>
    <t>220.79999;-170.4</t>
  </si>
  <si>
    <t>493.60004;19.4</t>
  </si>
  <si>
    <t>726.8;-311.63</t>
  </si>
  <si>
    <t>539.14;-61.4</t>
  </si>
  <si>
    <t>729.7;-319.84</t>
  </si>
  <si>
    <t>357.81;-101.95</t>
  </si>
  <si>
    <t>134.08002;-26.98</t>
  </si>
  <si>
    <t>471.48004;-27.96</t>
  </si>
  <si>
    <t>622.47003;70.4</t>
  </si>
  <si>
    <t>378.33;-36.59</t>
  </si>
  <si>
    <t>581.6;-328.6</t>
  </si>
  <si>
    <t>125.76001;-24.12</t>
  </si>
  <si>
    <t>316.45;-50.25</t>
  </si>
  <si>
    <t>140.00003;-21.83</t>
  </si>
  <si>
    <t>531.4;130.6</t>
  </si>
  <si>
    <t>570.7;-227.97</t>
  </si>
  <si>
    <t>751.77;-299.43</t>
  </si>
  <si>
    <t>668.79;-248.65</t>
  </si>
  <si>
    <t>541.03;-299.65</t>
  </si>
  <si>
    <t>288.04004;-87.23</t>
  </si>
  <si>
    <t>134.51001;-19.31</t>
  </si>
  <si>
    <t>540;-177.82</t>
  </si>
  <si>
    <t>583.6;-270.2</t>
  </si>
  <si>
    <t>287.90002;-70.5</t>
  </si>
  <si>
    <t>432.30002;77.2</t>
  </si>
  <si>
    <t>355.95;-168.53</t>
  </si>
  <si>
    <t>236.6;-85.6</t>
  </si>
  <si>
    <t>432.90002;-50.56</t>
  </si>
  <si>
    <t>132.33;-299.33</t>
  </si>
  <si>
    <t>-54.95;-259.03</t>
  </si>
  <si>
    <t>140.43002;-11.35</t>
  </si>
  <si>
    <t>517.03;-278.62</t>
  </si>
  <si>
    <t>192.20001;-48.4</t>
  </si>
  <si>
    <t>98.33002;-32.01</t>
  </si>
  <si>
    <t>144.31;-191.09</t>
  </si>
  <si>
    <t>448.39;-46.07</t>
  </si>
  <si>
    <t>20.61;-335</t>
  </si>
  <si>
    <t>538.96;85.42</t>
  </si>
  <si>
    <t>-36.94;-299.6</t>
  </si>
  <si>
    <t>599.42004;-25.13</t>
  </si>
  <si>
    <t>433.4;-335.1</t>
  </si>
  <si>
    <t>368.31003;-49.5</t>
  </si>
  <si>
    <t>596.4;-42.7</t>
  </si>
  <si>
    <t>151.5;-334.82</t>
  </si>
  <si>
    <t>420.77;-296.4</t>
  </si>
  <si>
    <t>337.2;-15.68</t>
  </si>
  <si>
    <t>583.63;-58.5</t>
  </si>
  <si>
    <t>666.2;68.5</t>
  </si>
  <si>
    <t>150.79004;-17.99</t>
  </si>
  <si>
    <t>276.38;-157.65</t>
  </si>
  <si>
    <t>332.28;-57.47</t>
  </si>
  <si>
    <t>510.50003;111.2</t>
  </si>
  <si>
    <t>65.74002;-36.07</t>
  </si>
  <si>
    <t>122.410034;-33.82</t>
  </si>
  <si>
    <t>611.8;-256.1</t>
  </si>
  <si>
    <t>446.5;100.77</t>
  </si>
  <si>
    <t>270.63004;-58.8</t>
  </si>
  <si>
    <t>17.4;-274.7</t>
  </si>
  <si>
    <t>477.24002;126.44</t>
  </si>
  <si>
    <t>65.74002;-69.5</t>
  </si>
  <si>
    <t>572.49005;-10</t>
  </si>
  <si>
    <t>749.28;-296.15</t>
  </si>
  <si>
    <t>133.51001;-28.06</t>
  </si>
  <si>
    <t>355.77002;-27.63</t>
  </si>
  <si>
    <t>534.03;-61.34</t>
  </si>
  <si>
    <t>138.65002;-11.49</t>
  </si>
  <si>
    <t>457.58002;-36.56</t>
  </si>
  <si>
    <t>301.06003;-38.99</t>
  </si>
  <si>
    <t>669.30005;57.6</t>
  </si>
  <si>
    <t>140.3;-219.2</t>
  </si>
  <si>
    <t>482.60004;-56.91</t>
  </si>
  <si>
    <t>500.03;-278.43</t>
  </si>
  <si>
    <t>469.88004;-10.64</t>
  </si>
  <si>
    <t>482.66003;-27.73</t>
  </si>
  <si>
    <t>104.9;-86.43</t>
  </si>
  <si>
    <t>439.29004;54.5</t>
  </si>
  <si>
    <t>101.95;-95.85</t>
  </si>
  <si>
    <t>260.90002;-80.4</t>
  </si>
  <si>
    <t>404;-357.2</t>
  </si>
  <si>
    <t>726.87;-324.09</t>
  </si>
  <si>
    <t>420.99002;84.74</t>
  </si>
  <si>
    <t>665.48;-272.66</t>
  </si>
  <si>
    <t>569.5;103.28</t>
  </si>
  <si>
    <t>252.80997;-303.41998</t>
  </si>
  <si>
    <t>271.40002;-54.99</t>
  </si>
  <si>
    <t>571.01;88.55</t>
  </si>
  <si>
    <t>535.16;-193.66</t>
  </si>
  <si>
    <t>59.350037;-96.25</t>
  </si>
  <si>
    <t>472.16003;62.56</t>
  </si>
  <si>
    <t>587.74;-148.75</t>
  </si>
  <si>
    <t>121.73001;-25.26</t>
  </si>
  <si>
    <t>647.58;78.7</t>
  </si>
  <si>
    <t>437.72003;61.63</t>
  </si>
  <si>
    <t>225.42;-339.26</t>
  </si>
  <si>
    <t>384.80002;-93.3</t>
  </si>
  <si>
    <t>610.64;-4.1</t>
  </si>
  <si>
    <t>-62.399994;-247.40001</t>
  </si>
  <si>
    <t>208.7;-328.4</t>
  </si>
  <si>
    <t>545.4;-318.9</t>
  </si>
  <si>
    <t>202.42001;-51.02</t>
  </si>
  <si>
    <t>402.17004;6.35</t>
  </si>
  <si>
    <t>239.36;-308.23</t>
  </si>
  <si>
    <t>53.399994;-145.8</t>
  </si>
  <si>
    <t>125.19003;-27.04</t>
  </si>
  <si>
    <t>543.80005;80.7</t>
  </si>
  <si>
    <t>558.7;-269.7</t>
  </si>
  <si>
    <t>523.65;29.02</t>
  </si>
  <si>
    <t>597.3;-150.6</t>
  </si>
  <si>
    <t>-49.2;-271.5</t>
  </si>
  <si>
    <t>163.29999;-343</t>
  </si>
  <si>
    <t>156.33002;-46.3</t>
  </si>
  <si>
    <t>330.07;-53.37</t>
  </si>
  <si>
    <t>617.2;-1.2</t>
  </si>
  <si>
    <t>42.8;-331.2</t>
  </si>
  <si>
    <t>458.63004;68.81</t>
  </si>
  <si>
    <t>499.80002;106.5</t>
  </si>
  <si>
    <t>528.96;-166.08</t>
  </si>
  <si>
    <t>257.90002;-77.6</t>
  </si>
  <si>
    <t>274.2;-75.4</t>
  </si>
  <si>
    <t>370.97;-35.3</t>
  </si>
  <si>
    <t>85.70001;-33.7</t>
  </si>
  <si>
    <t>717.2;-258.75</t>
  </si>
  <si>
    <t>43.799988;-85.89</t>
  </si>
  <si>
    <t>575.44;-302.78</t>
  </si>
  <si>
    <t>615.4;102.6</t>
  </si>
  <si>
    <t>266.03003;-82.9</t>
  </si>
  <si>
    <t>734.12;-332.9</t>
  </si>
  <si>
    <t>646.29;-292.64</t>
  </si>
  <si>
    <t>523.8;116.03</t>
  </si>
  <si>
    <t>645.64;-194.34</t>
  </si>
  <si>
    <t>413.82;-55.74</t>
  </si>
  <si>
    <t>425.01;-25.31</t>
  </si>
  <si>
    <t>144.1;-334.5</t>
  </si>
  <si>
    <t>452.38004;54.02</t>
  </si>
  <si>
    <t>567.1;-270.73</t>
  </si>
  <si>
    <t>513.53;-179.6</t>
  </si>
  <si>
    <t>268.19;-315.38</t>
  </si>
  <si>
    <t>410.48004;32.83</t>
  </si>
  <si>
    <t>418.60004;97.3</t>
  </si>
  <si>
    <t>660.42;-260.45</t>
  </si>
  <si>
    <t>647.8;-308.7</t>
  </si>
  <si>
    <t>406.6;-103.1</t>
  </si>
  <si>
    <t>276.4;-157.51</t>
  </si>
  <si>
    <t>519.53;-57.51</t>
  </si>
  <si>
    <t>473.29004;8.51</t>
  </si>
  <si>
    <t>360.50003;-49.9</t>
  </si>
  <si>
    <t>708.1;-257.1</t>
  </si>
  <si>
    <t>419.69;-48.46</t>
  </si>
  <si>
    <t>510.67;-278.43</t>
  </si>
  <si>
    <t>597.60004;7.02</t>
  </si>
  <si>
    <t>556.80005;141.5</t>
  </si>
  <si>
    <t>601.65;85.77</t>
  </si>
  <si>
    <t>23.590012;-37.53</t>
  </si>
  <si>
    <t>-1.91;-318.5</t>
  </si>
  <si>
    <t>573.44;-150.59</t>
  </si>
  <si>
    <t>46.3;-318.86</t>
  </si>
  <si>
    <t>560.8;-318.7</t>
  </si>
  <si>
    <t>600.03;73.53</t>
  </si>
  <si>
    <t>528.05;-194.75</t>
  </si>
  <si>
    <t>191.90002;-42.6</t>
  </si>
  <si>
    <t>623.56006;10.28</t>
  </si>
  <si>
    <t>570.04;-262</t>
  </si>
  <si>
    <t>492.07;128.57</t>
  </si>
  <si>
    <t>605.28;84.05</t>
  </si>
  <si>
    <t>516.6;-269.9</t>
  </si>
  <si>
    <t>560.29;-255.78998</t>
  </si>
  <si>
    <t>188.29999;-311.1</t>
  </si>
  <si>
    <t>-57.9;-270.9</t>
  </si>
  <si>
    <t>603.7;-69.7</t>
  </si>
  <si>
    <t>648.5;13</t>
  </si>
  <si>
    <t>187.70001;-52.37</t>
  </si>
  <si>
    <t>568;132.79</t>
  </si>
  <si>
    <t>578.46;-10.69</t>
  </si>
  <si>
    <t>196.60004;-29.97</t>
  </si>
  <si>
    <t>295.58;-301.60995</t>
  </si>
  <si>
    <t>137.19003;-26.32</t>
  </si>
  <si>
    <t>58.11;-317.66</t>
  </si>
  <si>
    <t>10.099976;-291.73</t>
  </si>
  <si>
    <t>264.74;-316.69</t>
  </si>
  <si>
    <t>523.69;-278.5</t>
  </si>
  <si>
    <t>570.01;-57.77</t>
  </si>
  <si>
    <t>500.56;100.68</t>
  </si>
  <si>
    <t>685.9;-246.48</t>
  </si>
  <si>
    <t>555.86;-332.62</t>
  </si>
  <si>
    <t>640.39;-329.41</t>
  </si>
  <si>
    <t>724.7;-327.7</t>
  </si>
  <si>
    <t>203.5;-318.2</t>
  </si>
  <si>
    <t>329.60004;-48.67</t>
  </si>
  <si>
    <t>204.38004;-82.83</t>
  </si>
  <si>
    <t>425.10004;80.7</t>
  </si>
  <si>
    <t>71.9;-182.2</t>
  </si>
  <si>
    <t>226.03;-339.07</t>
  </si>
  <si>
    <t>355.44;-57.1</t>
  </si>
  <si>
    <t>463.64;120.92</t>
  </si>
  <si>
    <t>80.360016;-71.52</t>
  </si>
  <si>
    <t>564.60004;4.05</t>
  </si>
  <si>
    <t>151.59003;-35.85</t>
  </si>
  <si>
    <t>302.73;-302.66</t>
  </si>
  <si>
    <t>508.69;-269.22</t>
  </si>
  <si>
    <t>33.01001;-44.3</t>
  </si>
  <si>
    <t>305.34003;-39.52</t>
  </si>
  <si>
    <t>550.25;-270.88</t>
  </si>
  <si>
    <t>538.56;-61</t>
  </si>
  <si>
    <t>564.53;-240.88</t>
  </si>
  <si>
    <t>713.3;145.5</t>
  </si>
  <si>
    <t>401.8;-163.1</t>
  </si>
  <si>
    <t>184.17;-42.17</t>
  </si>
  <si>
    <t>573.9;-329.5</t>
  </si>
  <si>
    <t>202.73;-352.78003</t>
  </si>
  <si>
    <t>409.50003;122.4</t>
  </si>
  <si>
    <t>659.8;-248.4</t>
  </si>
  <si>
    <t>466.86002;-37.86</t>
  </si>
  <si>
    <t>99.30002;-54.5</t>
  </si>
  <si>
    <t>668.1;-262.2</t>
  </si>
  <si>
    <t>640.42;132.29</t>
  </si>
  <si>
    <t>111.900024;-50.3</t>
  </si>
  <si>
    <t>21.21997;-149.39</t>
  </si>
  <si>
    <t>-53.02;-286.32</t>
  </si>
  <si>
    <t>584.58;-240.96</t>
  </si>
  <si>
    <t>580.67004;-58.63</t>
  </si>
  <si>
    <t>280.27;-157.85</t>
  </si>
  <si>
    <t>589.6;-325.4</t>
  </si>
  <si>
    <t>35.79001;-31.91</t>
  </si>
  <si>
    <t>423.50003;22.5</t>
  </si>
  <si>
    <t>336.93002;-21.04</t>
  </si>
  <si>
    <t>312.75003;-42.43</t>
  </si>
  <si>
    <t>350.69;-15.63</t>
  </si>
  <si>
    <t>-61.87;-260.38</t>
  </si>
  <si>
    <t>134.5;-307.32</t>
  </si>
  <si>
    <t>526.87;121.97</t>
  </si>
  <si>
    <t>776.86;-329.21</t>
  </si>
  <si>
    <t>63.340027;-98.68</t>
  </si>
  <si>
    <t>597.60004;6.89</t>
  </si>
  <si>
    <t>173.79999;-76.65</t>
  </si>
  <si>
    <t>777.39;-323.8</t>
  </si>
  <si>
    <t>107.46002;-20.16</t>
  </si>
  <si>
    <t>587.54004;77.31</t>
  </si>
  <si>
    <t>556.30005;136.9</t>
  </si>
  <si>
    <t>575.14;-261.38</t>
  </si>
  <si>
    <t>159.60004;-58.6</t>
  </si>
  <si>
    <t>168.2;-92</t>
  </si>
  <si>
    <t>516.9;7.2</t>
  </si>
  <si>
    <t>226.27002;-85</t>
  </si>
  <si>
    <t>409.08;-174.1</t>
  </si>
  <si>
    <t>679.80005;116.5</t>
  </si>
  <si>
    <t>536.7;101.5</t>
  </si>
  <si>
    <t>299.54004;-97.51</t>
  </si>
  <si>
    <t>362.48004;-47.99</t>
  </si>
  <si>
    <t>52.80002;-65.5</t>
  </si>
  <si>
    <t>593.86005;115.3</t>
  </si>
  <si>
    <t>613.7;-316.3</t>
  </si>
  <si>
    <t>315.25;-57.84</t>
  </si>
  <si>
    <t>453.99002;-42.17</t>
  </si>
  <si>
    <t>411.80002;101.1</t>
  </si>
  <si>
    <t>389.28003;-54.96</t>
  </si>
  <si>
    <t>175.10004;-32.91</t>
  </si>
  <si>
    <t>676.30005;80.7</t>
  </si>
  <si>
    <t>451.17;105.63</t>
  </si>
  <si>
    <t>588.9;123.8</t>
  </si>
  <si>
    <t>463.79004;-55.56</t>
  </si>
  <si>
    <t>39.570007;-93.48</t>
  </si>
  <si>
    <t>342.84;-163.3</t>
  </si>
  <si>
    <t>53.96;-115.01</t>
  </si>
  <si>
    <t>454.19003;-45.55</t>
  </si>
  <si>
    <t>618.52;81.05</t>
  </si>
  <si>
    <t>324.55;-355.96</t>
  </si>
  <si>
    <t>663.15;-340.8</t>
  </si>
  <si>
    <t>409.2;-72.5</t>
  </si>
  <si>
    <t>534.61;-317.91</t>
  </si>
  <si>
    <t>162.32004;-55.9</t>
  </si>
  <si>
    <t>422.07;-24.9</t>
  </si>
  <si>
    <t>444.90002;-31.9</t>
  </si>
  <si>
    <t>469.83;-49.43</t>
  </si>
  <si>
    <t>505.1;140.17</t>
  </si>
  <si>
    <t>163.9;-182.2</t>
  </si>
  <si>
    <t>132.34;-190.61</t>
  </si>
  <si>
    <t>467.99002;-52.45</t>
  </si>
  <si>
    <t>26.619995;-148.86</t>
  </si>
  <si>
    <t>656.8;-272.84</t>
  </si>
  <si>
    <t>645.17;130.08</t>
  </si>
  <si>
    <t>400.80002;10.38</t>
  </si>
  <si>
    <t>94.50003;-56.1</t>
  </si>
  <si>
    <t>450.78;87.69</t>
  </si>
  <si>
    <t>494.68;102.08</t>
  </si>
  <si>
    <t>416.40002;-89</t>
  </si>
  <si>
    <t>268.80002;-66.3</t>
  </si>
  <si>
    <t>615.41003;70.92</t>
  </si>
  <si>
    <t>293.34003;-38.34</t>
  </si>
  <si>
    <t>591.11005;121.15</t>
  </si>
  <si>
    <t>408;-357.52</t>
  </si>
  <si>
    <t>601.45;-28.07</t>
  </si>
  <si>
    <t>601.9;61.3</t>
  </si>
  <si>
    <t>280.00003;-42.7</t>
  </si>
  <si>
    <t>685.9;-261.63</t>
  </si>
  <si>
    <t>161.29999;-312.3</t>
  </si>
  <si>
    <t>476.91003;-56.74</t>
  </si>
  <si>
    <t>128.74002;-24.72</t>
  </si>
  <si>
    <t>601.4;-261.4</t>
  </si>
  <si>
    <t>305.42004;-39.6</t>
  </si>
  <si>
    <t>269.09;-289.77997</t>
  </si>
  <si>
    <t>654.60004;-0.4</t>
  </si>
  <si>
    <t>555.05;-223.9</t>
  </si>
  <si>
    <t>102.30002;-32.5</t>
  </si>
  <si>
    <t>625.5;87.8</t>
  </si>
  <si>
    <t>586.3;-230.1</t>
  </si>
  <si>
    <t>157.48001;-32.93</t>
  </si>
  <si>
    <t>443.15002;-38.9</t>
  </si>
  <si>
    <t>460.07;110.1</t>
  </si>
  <si>
    <t>730.4;-331.44</t>
  </si>
  <si>
    <t>242.21002;-53.96</t>
  </si>
  <si>
    <t>573.46;132.79</t>
  </si>
  <si>
    <t>306.10004;-51.9</t>
  </si>
  <si>
    <t>184.18002;-30.36</t>
  </si>
  <si>
    <t>194.85;-317.13</t>
  </si>
  <si>
    <t>374.05002;-55.49</t>
  </si>
  <si>
    <t>611.03;100.7</t>
  </si>
  <si>
    <t>361.90002;-27.63</t>
  </si>
  <si>
    <t>288.84;-300.99997</t>
  </si>
  <si>
    <t>203.70001;-101.1</t>
  </si>
  <si>
    <t>462.98004;10.68</t>
  </si>
  <si>
    <t>568;89.54</t>
  </si>
  <si>
    <t>703.39;-258.13</t>
  </si>
  <si>
    <t>43.39;-145.8</t>
  </si>
  <si>
    <t>558.2;-231.4</t>
  </si>
  <si>
    <t>551.8;-333.2</t>
  </si>
  <si>
    <t>673.2;95.77</t>
  </si>
  <si>
    <t>56.309998;-114.33</t>
  </si>
  <si>
    <t>179.6;-287</t>
  </si>
  <si>
    <t>732.4;-303.6</t>
  </si>
  <si>
    <t>575.9;-269.7</t>
  </si>
  <si>
    <t>39.75;-75.12</t>
  </si>
  <si>
    <t>208.9;-91.1</t>
  </si>
  <si>
    <t>462.98004;-40.92</t>
  </si>
  <si>
    <t>649.2;100.6</t>
  </si>
  <si>
    <t>577.98004;-57.98</t>
  </si>
  <si>
    <t>543.04004;-61.4</t>
  </si>
  <si>
    <t>491.90002;-10.7</t>
  </si>
  <si>
    <t>400.89;-357.52</t>
  </si>
  <si>
    <t>98.45001;-67.14</t>
  </si>
  <si>
    <t>38.76001;-79.17</t>
  </si>
  <si>
    <t>140.41;-220.2</t>
  </si>
  <si>
    <t>649.2;3.7</t>
  </si>
  <si>
    <t>272.5;-330</t>
  </si>
  <si>
    <t>265.86996;-289.77997</t>
  </si>
  <si>
    <t>59;-331.1</t>
  </si>
  <si>
    <t>84.900024;-63.8</t>
  </si>
  <si>
    <t>468.13004;-27</t>
  </si>
  <si>
    <t>327;-58.83</t>
  </si>
  <si>
    <t>297.34003;-39.39</t>
  </si>
  <si>
    <t>452.14;-17.86</t>
  </si>
  <si>
    <t>70.95001;-22.15</t>
  </si>
  <si>
    <t>128.34003;-23.71</t>
  </si>
  <si>
    <t>651.58;94.7</t>
  </si>
  <si>
    <t>235.15;-325.69</t>
  </si>
  <si>
    <t>213.58;-324.17</t>
  </si>
  <si>
    <t>-44.299988;-283.3</t>
  </si>
  <si>
    <t>515.56;-197.13</t>
  </si>
  <si>
    <t>479.79004;54.04</t>
  </si>
  <si>
    <t>213.38004;-87.39</t>
  </si>
  <si>
    <t>624.80005;98.62</t>
  </si>
  <si>
    <t>42.01;-314.32</t>
  </si>
  <si>
    <t>131.9;-335</t>
  </si>
  <si>
    <t>545.57;83.33</t>
  </si>
  <si>
    <t>456.51;-44.43</t>
  </si>
  <si>
    <t>585.08;9.56</t>
  </si>
  <si>
    <t>203.6;-321</t>
  </si>
  <si>
    <t>178.90002;-31.3</t>
  </si>
  <si>
    <t>539.67004;-61</t>
  </si>
  <si>
    <t>534.23;-299.97</t>
  </si>
  <si>
    <t>12.7;-287.3</t>
  </si>
  <si>
    <t>463.65002;-48.13</t>
  </si>
  <si>
    <t>452.35004;60.63</t>
  </si>
  <si>
    <t>422.80002;38.5</t>
  </si>
  <si>
    <t>579.06;-269.1</t>
  </si>
  <si>
    <t>676.26;-237.99</t>
  </si>
  <si>
    <t>286.3;-104</t>
  </si>
  <si>
    <t>145.70001;-13.37</t>
  </si>
  <si>
    <t>445.74002;1.73</t>
  </si>
  <si>
    <t>202.9;-182.2</t>
  </si>
  <si>
    <t>95.26001;-79.49</t>
  </si>
  <si>
    <t>570.34;-318.8</t>
  </si>
  <si>
    <t>594.14;-164.36</t>
  </si>
  <si>
    <t>48.400024;-57.9</t>
  </si>
  <si>
    <t>336.14;-53.53</t>
  </si>
  <si>
    <t>170.1;-304.4</t>
  </si>
  <si>
    <t>675.9;-314.8</t>
  </si>
  <si>
    <t>364.16003;-48.28</t>
  </si>
  <si>
    <t>82.09003;-72.2</t>
  </si>
  <si>
    <t>529.8;-278.74</t>
  </si>
  <si>
    <t>543.2;96.7</t>
  </si>
  <si>
    <t>552.73;-319.1</t>
  </si>
  <si>
    <t>257.09;-288.3</t>
  </si>
  <si>
    <t>377.05002;-31.14</t>
  </si>
  <si>
    <t>290.10004;-53.7</t>
  </si>
  <si>
    <t>624.5;81.2</t>
  </si>
  <si>
    <t>190.66003;-88.66</t>
  </si>
  <si>
    <t>579.97;-152.66</t>
  </si>
  <si>
    <t>648.08;137.16</t>
  </si>
  <si>
    <t>671.9;-291.29</t>
  </si>
  <si>
    <t>74.820015;-71.24</t>
  </si>
  <si>
    <t>52.100006;-131.4</t>
  </si>
  <si>
    <t>170.59;-294.4</t>
  </si>
  <si>
    <t>249.06003;-81.24</t>
  </si>
  <si>
    <t>469.24002;-60.62</t>
  </si>
  <si>
    <t>669.74;99.23</t>
  </si>
  <si>
    <t>143.23001;-19.01</t>
  </si>
  <si>
    <t>618.52;108.6</t>
  </si>
  <si>
    <t>277.83;-157.76</t>
  </si>
  <si>
    <t>475.09003;-35.24</t>
  </si>
  <si>
    <t>37.97;-148.04</t>
  </si>
  <si>
    <t>363.90002;-30.47</t>
  </si>
  <si>
    <t>226.1;-142.6</t>
  </si>
  <si>
    <t>271.32004;-56.21</t>
  </si>
  <si>
    <t>622.54;-178.37</t>
  </si>
  <si>
    <t>715.39;-254.92</t>
  </si>
  <si>
    <t>105.400024;-52.5</t>
  </si>
  <si>
    <t>563.42;132.79</t>
  </si>
  <si>
    <t>234.59003;-79.83</t>
  </si>
  <si>
    <t>397.84003;-19.53</t>
  </si>
  <si>
    <t>525.9;97.5</t>
  </si>
  <si>
    <t>513.2;110.5</t>
  </si>
  <si>
    <t>277.4;-163.2</t>
  </si>
  <si>
    <t>649.79004;-10.22</t>
  </si>
  <si>
    <t>440.3;44.49</t>
  </si>
  <si>
    <t>unknown</t>
  </si>
  <si>
    <t>470.49;20.76</t>
  </si>
  <si>
    <t>437.99002;-21.48</t>
  </si>
  <si>
    <t>588.46;-144.51999</t>
  </si>
  <si>
    <t>538.92;-278.2</t>
  </si>
  <si>
    <t>674.9;85.06</t>
  </si>
  <si>
    <t>673.2;83.39</t>
  </si>
  <si>
    <t>-893.23;133.29999</t>
  </si>
  <si>
    <t>-865;75.85</t>
  </si>
  <si>
    <t>-749.3;87.09</t>
  </si>
  <si>
    <t>-546.57;42.41</t>
  </si>
  <si>
    <t>-507.18;117.58</t>
  </si>
  <si>
    <t>-48;146</t>
  </si>
  <si>
    <t>-64.099976;49.36</t>
  </si>
  <si>
    <t>-496.3;22</t>
  </si>
  <si>
    <t>-606.55;-192.33</t>
  </si>
  <si>
    <t>-164.19995;-37.28</t>
  </si>
  <si>
    <t>-292.05;95.89</t>
  </si>
  <si>
    <t>-505.6;-7.93</t>
  </si>
  <si>
    <t>-391.9;-43.5</t>
  </si>
  <si>
    <t>-212.19;20.52</t>
  </si>
  <si>
    <t>6.66;77.31</t>
  </si>
  <si>
    <t>-384.47;-58.51</t>
  </si>
  <si>
    <t>-532.61;-48.16</t>
  </si>
  <si>
    <t>-172.3;7.8</t>
  </si>
  <si>
    <t>-461.9;94.7</t>
  </si>
  <si>
    <t>-67.38;112.36</t>
  </si>
  <si>
    <t>-166.31;128.05</t>
  </si>
  <si>
    <t>-443.61;-56.27</t>
  </si>
  <si>
    <t>Boost Mult.</t>
  </si>
  <si>
    <t>vvv</t>
  </si>
  <si>
    <t>vv</t>
  </si>
  <si>
    <t>Boost Mult:</t>
  </si>
  <si>
    <t>vvv = mult. &gt; 2</t>
  </si>
  <si>
    <t>vv   = mult. 1.5 to 2</t>
  </si>
  <si>
    <t>v     = mult. &lt; 1.5</t>
  </si>
  <si>
    <t>v     = sec. &lt; 2.5</t>
  </si>
  <si>
    <t>vv   = sec. 2.5 to 5</t>
  </si>
  <si>
    <t>vvv = sec. &gt; 5</t>
  </si>
  <si>
    <t>Refill time:</t>
  </si>
  <si>
    <t>Refill time</t>
  </si>
  <si>
    <t>v     = sec. &gt; 7</t>
  </si>
  <si>
    <t>vv   = sec. 3 to 7</t>
  </si>
  <si>
    <t>vvv = sec. &lt; 3</t>
  </si>
  <si>
    <t>[energyDrain]</t>
  </si>
  <si>
    <t>[energyRefill]</t>
  </si>
  <si>
    <t>[energyBase]</t>
  </si>
  <si>
    <t>[boostMult.]</t>
  </si>
  <si>
    <t>min_entities</t>
  </si>
  <si>
    <t>max_entities</t>
  </si>
  <si>
    <t>hasBonus</t>
  </si>
  <si>
    <t>SPAWNERS BONUS:</t>
  </si>
  <si>
    <t>carnivorousPlant</t>
  </si>
  <si>
    <t>SnailUnka</t>
  </si>
  <si>
    <t>Monster/PF_WitchGood02</t>
  </si>
  <si>
    <t>AGRESSIVITY (VILLAGE)</t>
  </si>
  <si>
    <t>AGRESSIVITY (CASTLE)</t>
  </si>
  <si>
    <t>AGRESSIVITY (DARK)</t>
  </si>
  <si>
    <t>MAX LEVEL</t>
  </si>
  <si>
    <t>[HP MIN]</t>
  </si>
  <si>
    <t>[HP MAX]</t>
  </si>
  <si>
    <t>(1)</t>
  </si>
  <si>
    <t>(last 3 columns have conditional formatting)</t>
  </si>
  <si>
    <t>DO NOT MODIFY THIS TABLE</t>
  </si>
  <si>
    <t>[MAX LV]</t>
  </si>
  <si>
    <t>Fill to calculate [energyDrain] and [energyRefill]</t>
  </si>
  <si>
    <t>(Copy from Dragons table in content)</t>
  </si>
  <si>
    <t>TOP 5 SPAWNERS</t>
  </si>
  <si>
    <t>Total in game</t>
  </si>
  <si>
    <t>Percentage</t>
  </si>
  <si>
    <t>Others</t>
  </si>
  <si>
    <t>(1) Bonus: Spawned entities higher than 5</t>
  </si>
  <si>
    <t>TOTALS IN LEVEL</t>
  </si>
  <si>
    <t>Spawners:</t>
  </si>
  <si>
    <t>XP:</t>
  </si>
  <si>
    <t>Enemies:</t>
  </si>
  <si>
    <t>Preys:</t>
  </si>
  <si>
    <t>Entities:</t>
  </si>
  <si>
    <t>Surface/PF_Richman</t>
  </si>
  <si>
    <t>dragon_jawfrey</t>
  </si>
  <si>
    <t>Baby</t>
  </si>
  <si>
    <t>Crocodrile</t>
  </si>
  <si>
    <t>Reptile</t>
  </si>
  <si>
    <t>Fat</t>
  </si>
  <si>
    <t>Bug</t>
  </si>
  <si>
    <t>Chinese</t>
  </si>
  <si>
    <t>Classic</t>
  </si>
  <si>
    <t>Devil</t>
  </si>
  <si>
    <t>Jawfrey</t>
  </si>
  <si>
    <t>Balrog</t>
  </si>
  <si>
    <t>Titan</t>
  </si>
  <si>
    <t>SP_RazorbackBaby</t>
  </si>
  <si>
    <t>RazorbackBaby</t>
  </si>
  <si>
    <t>PF_RazorbackBaby</t>
  </si>
  <si>
    <t>-83.9;-126.9</t>
  </si>
  <si>
    <t>-263.94;-45.78</t>
  </si>
  <si>
    <t>-309.1;-10.67</t>
  </si>
  <si>
    <t>-311.2;-185</t>
  </si>
  <si>
    <t>-134;-161.6</t>
  </si>
  <si>
    <t>-214.8;-13.8</t>
  </si>
  <si>
    <t>-264.7;-182.1</t>
  </si>
  <si>
    <t>-305.3;-167.7</t>
  </si>
  <si>
    <t>-330.1;-175.7</t>
  </si>
  <si>
    <t>-170.06;95.32</t>
  </si>
  <si>
    <t>-224.08;-15.32</t>
  </si>
  <si>
    <t>-216.39996;-173.5</t>
  </si>
  <si>
    <t>-265.13;113.1</t>
  </si>
  <si>
    <t>-182.7;-182.9</t>
  </si>
  <si>
    <t>-254.33998;-45.750004</t>
  </si>
  <si>
    <t>-295.41003;-171.01001</t>
  </si>
  <si>
    <t>-197.9;-179</t>
  </si>
  <si>
    <t>-336.3;-165.8</t>
  </si>
  <si>
    <t>-289.12;-27.2</t>
  </si>
  <si>
    <t>-306.6;-180.5</t>
  </si>
  <si>
    <t>-208.74;103.20999</t>
  </si>
  <si>
    <t>-277.07;-29.45</t>
  </si>
  <si>
    <t>-235.2;-191.6</t>
  </si>
  <si>
    <t>-205.6;-13.59</t>
  </si>
  <si>
    <t>-284.2;-184.8</t>
  </si>
  <si>
    <t>-502.3;-248.4</t>
  </si>
  <si>
    <t>-85.1;-134.2</t>
  </si>
  <si>
    <t>-253.11998;-47.58</t>
  </si>
  <si>
    <t>-595.9;-95.8</t>
  </si>
  <si>
    <t>-140;-164.2</t>
  </si>
  <si>
    <t>-202.3;-175</t>
  </si>
  <si>
    <t>-333.4;-162.4</t>
  </si>
  <si>
    <t>-342.8;-184.6</t>
  </si>
  <si>
    <t>-164.43;94.11</t>
  </si>
  <si>
    <t>-221.79001;100.95</t>
  </si>
  <si>
    <t>-254.5;-173.5</t>
  </si>
  <si>
    <t>-239.2;-194.8</t>
  </si>
  <si>
    <t>-173.5;94.86</t>
  </si>
  <si>
    <t>-210.83;102.99</t>
  </si>
  <si>
    <t>-607.43;-209.5</t>
  </si>
  <si>
    <t>-295.6;-27.09</t>
  </si>
  <si>
    <t>-319.4;-190.2</t>
  </si>
  <si>
    <t>-619;-169.1</t>
  </si>
  <si>
    <t>-208.81;-13.75</t>
  </si>
  <si>
    <t>-206.97;101.62</t>
  </si>
  <si>
    <t>-241.68;-13.32</t>
  </si>
  <si>
    <t>-363.8;-161.4</t>
  </si>
  <si>
    <t>-270.45;-9.75</t>
  </si>
  <si>
    <t>-202.09;-12.85</t>
  </si>
  <si>
    <t>-179.87;-13.66</t>
  </si>
  <si>
    <t>-376.9;-168</t>
  </si>
  <si>
    <t>-192.66;-162.3</t>
  </si>
  <si>
    <t>-209.76;113.11</t>
  </si>
  <si>
    <t>-150.43;-107.49</t>
  </si>
  <si>
    <t>-186;102.13</t>
  </si>
  <si>
    <t>-291;-30.69</t>
  </si>
  <si>
    <t>-149;-172</t>
  </si>
  <si>
    <t>-152.61;88.51</t>
  </si>
  <si>
    <t>-278.1;-175.8</t>
  </si>
  <si>
    <t>-247.43;-12.52</t>
  </si>
  <si>
    <t>-615.25;-209.5</t>
  </si>
  <si>
    <t>-486.49;139.71</t>
  </si>
  <si>
    <t>-194.35;95.55</t>
  </si>
  <si>
    <t>-498.53;91.3</t>
  </si>
  <si>
    <t>-161.32;-107.87</t>
  </si>
  <si>
    <t>-320.91;-10.4</t>
  </si>
  <si>
    <t>-289.6;-164.2</t>
  </si>
  <si>
    <t>-104.1;-145.7</t>
  </si>
  <si>
    <t>-375.1;-179.4</t>
  </si>
  <si>
    <t>-235.73;106.56</t>
  </si>
  <si>
    <t>-95.9;-131.64</t>
  </si>
  <si>
    <t>-583.28;75.66</t>
  </si>
  <si>
    <t>-323.19;-10.4</t>
  </si>
  <si>
    <t>-321.3;-171.2</t>
  </si>
  <si>
    <t>-180.34999;102.6</t>
  </si>
  <si>
    <t>-181.81;95</t>
  </si>
  <si>
    <t>-263.94;-31.74</t>
  </si>
  <si>
    <t>-218.91;-164.7</t>
  </si>
  <si>
    <t>-120.2;-168.6</t>
  </si>
  <si>
    <t>-144.5;-191.4</t>
  </si>
  <si>
    <t>-155;-174.4</t>
  </si>
  <si>
    <t>-230.03;-167.3</t>
  </si>
  <si>
    <t>-306.8;-189.5</t>
  </si>
  <si>
    <t>-126.7;-181.2</t>
  </si>
  <si>
    <t>-366.4;-187.6</t>
  </si>
  <si>
    <t>-302.3;-185.2</t>
  </si>
  <si>
    <t>-490.28;92</t>
  </si>
  <si>
    <t>-172.2;93.82</t>
  </si>
  <si>
    <t>-324.8;-178.5</t>
  </si>
  <si>
    <t>-251.96;-11.95</t>
  </si>
  <si>
    <t>-101.5;-126.9</t>
  </si>
  <si>
    <t>-247.9;-186.6</t>
  </si>
  <si>
    <t>-373.98;-68.93</t>
  </si>
  <si>
    <t>-190.59998;117.17</t>
  </si>
  <si>
    <t>-293.49;-31.5</t>
  </si>
  <si>
    <t>-204.53;98.072</t>
  </si>
  <si>
    <t>-399.53;73.04</t>
  </si>
  <si>
    <t>-183.67;121.09</t>
  </si>
  <si>
    <t>-249.36;-11.88</t>
  </si>
  <si>
    <t>-225.9;-171</t>
  </si>
  <si>
    <t>-65.7;-124.1</t>
  </si>
  <si>
    <t>-241.64996;-176</t>
  </si>
  <si>
    <t>-196.7;107.62</t>
  </si>
  <si>
    <t>-225.9;-181.9</t>
  </si>
  <si>
    <t>-166.6;-186.8</t>
  </si>
  <si>
    <t>-189.2;95.05</t>
  </si>
  <si>
    <t>-208.98;98.018</t>
  </si>
  <si>
    <t>282.27;-123.41</t>
  </si>
  <si>
    <t>451.49;-60.97</t>
  </si>
  <si>
    <t>410.06;-349.41</t>
  </si>
  <si>
    <t>436.85;-342.7</t>
  </si>
  <si>
    <t>189.65;-78.32</t>
  </si>
  <si>
    <t>249.82;-74.49</t>
  </si>
  <si>
    <t>295.52;-72.92</t>
  </si>
  <si>
    <t>330.92;-95.35</t>
  </si>
  <si>
    <t>435.49;8.21</t>
  </si>
  <si>
    <t>397.90002;-78.12</t>
  </si>
  <si>
    <t>661.4;109.3</t>
  </si>
  <si>
    <t>488.83;-302.3</t>
  </si>
  <si>
    <t>310.79;-90.62</t>
  </si>
  <si>
    <t>177.57;-92.6</t>
  </si>
  <si>
    <t>29.17;-274.8</t>
  </si>
  <si>
    <t>98.45001;-66.29</t>
  </si>
  <si>
    <t>581.11005;-70.53</t>
  </si>
  <si>
    <t>295.11;-356.1</t>
  </si>
  <si>
    <t>361.35;-99.28</t>
  </si>
  <si>
    <t>540.3;-312.52</t>
  </si>
  <si>
    <t>338.07;-69.58</t>
  </si>
  <si>
    <t>324.7;-88.48</t>
  </si>
  <si>
    <t>471.72003;-10.62</t>
  </si>
  <si>
    <t>337.85;-112.64</t>
  </si>
  <si>
    <t>485.92;-33.73</t>
  </si>
  <si>
    <t>224.62;-68.52</t>
  </si>
  <si>
    <t>431.27;8.21</t>
  </si>
  <si>
    <t>485.92;-38.74</t>
  </si>
  <si>
    <t>449.7;80.7</t>
  </si>
  <si>
    <t>317.46;-80.9</t>
  </si>
  <si>
    <t>521.09;-214.3</t>
  </si>
  <si>
    <t>229.7;-70.94</t>
  </si>
  <si>
    <t>535.78;-332.3</t>
  </si>
  <si>
    <t>155.72;-46.26</t>
  </si>
  <si>
    <t>393.52;-76.57</t>
  </si>
  <si>
    <t>241.81999;-317.91</t>
  </si>
  <si>
    <t>323.39;-71.95</t>
  </si>
  <si>
    <t>643.99;-11.65</t>
  </si>
  <si>
    <t>151.9;-88.5</t>
  </si>
  <si>
    <t>174.7;-94.12</t>
  </si>
  <si>
    <t>530.28;-135.25</t>
  </si>
  <si>
    <t>432.64;8.21</t>
  </si>
  <si>
    <t>533.25;-129.34</t>
  </si>
  <si>
    <t>138.22;-86.8</t>
  </si>
  <si>
    <t>421.5;121.3</t>
  </si>
  <si>
    <t>436.73;-349.34</t>
  </si>
  <si>
    <t>529.25;-123.95</t>
  </si>
  <si>
    <t>574.18;-58.63</t>
  </si>
  <si>
    <t>548.25;-72.12</t>
  </si>
  <si>
    <t>433.58;-346.93</t>
  </si>
  <si>
    <t>581.46;-162.76</t>
  </si>
  <si>
    <t>335.3;-75.5</t>
  </si>
  <si>
    <t>84.900024;-65.21</t>
  </si>
  <si>
    <t>291.96;-103.6</t>
  </si>
  <si>
    <t>275.80002;-70.29</t>
  </si>
  <si>
    <t>570.58;-154.21</t>
  </si>
  <si>
    <t>251.50003;-78.06</t>
  </si>
  <si>
    <t>404.90002;-96.58</t>
  </si>
  <si>
    <t>482.67;-35.9</t>
  </si>
  <si>
    <t>489.6;-42</t>
  </si>
  <si>
    <t>409.2;-90.75</t>
  </si>
  <si>
    <t>776.2;-328.4</t>
  </si>
  <si>
    <t>196.71;-352.68</t>
  </si>
  <si>
    <t>446.55;-59.55</t>
  </si>
  <si>
    <t>580.12;-158.16</t>
  </si>
  <si>
    <t>482.67;-32.04</t>
  </si>
  <si>
    <t>222.87;-100.27</t>
  </si>
  <si>
    <t>662.57;-267.8</t>
  </si>
  <si>
    <t>652.79;-11.38</t>
  </si>
  <si>
    <t>380.90002;-88.15</t>
  </si>
  <si>
    <t>568.32;-58.63</t>
  </si>
  <si>
    <t>567.08;-152.68</t>
  </si>
  <si>
    <t>401.60004;-91.74</t>
  </si>
  <si>
    <t>336.64;-85.6</t>
  </si>
  <si>
    <t>303.92;-108.78</t>
  </si>
  <si>
    <t>310;-54.5</t>
  </si>
  <si>
    <t>384.37;-85.73</t>
  </si>
  <si>
    <t>171.00003;-88.43</t>
  </si>
  <si>
    <t>Air/PF_RazorbackBaby</t>
  </si>
  <si>
    <t>Butterfly</t>
  </si>
  <si>
    <t>CarnivorousPlantDark</t>
  </si>
  <si>
    <t>CentipedeBlue</t>
  </si>
  <si>
    <t>CentipedeRed</t>
  </si>
  <si>
    <t>Firefly</t>
  </si>
  <si>
    <t>FishDark</t>
  </si>
  <si>
    <t>HermitCrabBlueBig</t>
  </si>
  <si>
    <t>HermitCrabBlueSmall</t>
  </si>
  <si>
    <t>HermitCrabBlueSmallTurret</t>
  </si>
  <si>
    <t>HermitCrabRedTurret</t>
  </si>
  <si>
    <t>JellyfishBlue</t>
  </si>
  <si>
    <t>JellyfishRed</t>
  </si>
  <si>
    <t>MushroomPrey</t>
  </si>
  <si>
    <t>PiranhaDark</t>
  </si>
  <si>
    <t>Scarab</t>
  </si>
  <si>
    <t>Shark</t>
  </si>
  <si>
    <t>PF_PiranhaDark</t>
  </si>
  <si>
    <t>PF_Scarab</t>
  </si>
  <si>
    <t>PF_Shark</t>
  </si>
  <si>
    <t>PF_MushroomPrey</t>
  </si>
  <si>
    <t>PF_JellyfishRed</t>
  </si>
  <si>
    <t>PF_JellyfishBlue</t>
  </si>
  <si>
    <t>PF_HermitCrabBlueSmallTurret</t>
  </si>
  <si>
    <t>PF_HermitCrabBlueSmall</t>
  </si>
  <si>
    <t>PF_HermitCrabBlueBig</t>
  </si>
  <si>
    <t>PF_Firefly</t>
  </si>
  <si>
    <t>PF_CentipedeRed</t>
  </si>
  <si>
    <t>PF_CentipedeBlue</t>
  </si>
  <si>
    <t>PF_Butterfly</t>
  </si>
  <si>
    <t>PF_CarnivourusPlantDark</t>
  </si>
  <si>
    <t>SP_FireFly</t>
  </si>
  <si>
    <t>SP_Scarab</t>
  </si>
  <si>
    <t>SP_HermitCrabBlueSmallTurret</t>
  </si>
  <si>
    <t>SP_JellyfishBlue_Static</t>
  </si>
  <si>
    <t>SP_PiranhaDark</t>
  </si>
  <si>
    <t>SP_HermitCrabBlueSmall</t>
  </si>
  <si>
    <t>SP_Butterfly</t>
  </si>
  <si>
    <t>SP_Shark</t>
  </si>
  <si>
    <t>SP_CentipedeBlue</t>
  </si>
  <si>
    <t>SP_CarnivorousPlantDark</t>
  </si>
  <si>
    <t>SP_JellyfishRed</t>
  </si>
  <si>
    <t>SP_JellyfishBlue</t>
  </si>
  <si>
    <t>SP_FishDark03_Generic</t>
  </si>
  <si>
    <t>SP_MushroomPrey</t>
  </si>
  <si>
    <t>SP_FishDark01_Generic</t>
  </si>
  <si>
    <t>SP_HermitCrabRedTurret</t>
  </si>
  <si>
    <t>SP_CentipedeRed</t>
  </si>
  <si>
    <t>SP_FishDark02_Generic</t>
  </si>
  <si>
    <t>SP_HermitCrabBlueBig</t>
  </si>
  <si>
    <t>PF_FishDark01_Generic</t>
  </si>
  <si>
    <t>PF_FishDark02_Generic</t>
  </si>
  <si>
    <t>PF_FishDark03_Generic</t>
  </si>
  <si>
    <t>PF_HermitCrabRedlTurret</t>
  </si>
  <si>
    <t>PF_JellyfishBlue_Static</t>
  </si>
  <si>
    <t>SP_JellyfishRed_Static</t>
  </si>
  <si>
    <t>PF_JellyfishRed_Static</t>
  </si>
  <si>
    <t>Upper Part</t>
  </si>
  <si>
    <t>Surface/PF_HermitCrabBlueBig</t>
  </si>
  <si>
    <t>Surface/PF_HermitCrabBlueSmallTurret</t>
  </si>
  <si>
    <t>Monster/PF_Scarab</t>
  </si>
  <si>
    <t>Monster/PF_JellyfishRed</t>
  </si>
  <si>
    <t>Monster/PF_JellyfishBlue</t>
  </si>
  <si>
    <t>Monster/PF_CentipedeBlue</t>
  </si>
  <si>
    <t>Monster/PF_Firefly</t>
  </si>
  <si>
    <t>Surface/PF_HermitCrabRedlTurret</t>
  </si>
  <si>
    <t>Surface/PF_HermitCrabBlueSmall</t>
  </si>
  <si>
    <t>Monster/PF_CentipedeRed</t>
  </si>
  <si>
    <t>Monster/PF_Butterfly</t>
  </si>
  <si>
    <t>Monster/PF_MushroomPrey</t>
  </si>
  <si>
    <t>Monster/PF_CarnivourusPlantDark</t>
  </si>
  <si>
    <t>Water/PF_PiranhaDark</t>
  </si>
  <si>
    <t>Water/PF_Shark</t>
  </si>
  <si>
    <t>Water/PF_FishDark03_Generic</t>
  </si>
  <si>
    <t>Monster/PF_JellyfishBlue_Static</t>
  </si>
  <si>
    <t>Water/PF_FishDark01_Generic</t>
  </si>
  <si>
    <t>Water/PF_FishDark02_Generic</t>
  </si>
  <si>
    <t>Monster/PF_JellyfishRed_Static</t>
  </si>
  <si>
    <t>(execute script: spawnersGoodJunk.vbs)</t>
  </si>
  <si>
    <t>COINS</t>
  </si>
  <si>
    <t>SPAWNER</t>
  </si>
  <si>
    <t>Total Coins:</t>
  </si>
  <si>
    <t>DRAGONS MAX.DEEP</t>
  </si>
  <si>
    <t>NO BOOST</t>
  </si>
  <si>
    <t>BOOST</t>
  </si>
  <si>
    <t>DRAGONS MAX.HIGH</t>
  </si>
  <si>
    <t>SP_GoblinDrone</t>
  </si>
  <si>
    <t>GoblinDrone</t>
  </si>
  <si>
    <t>PF_GoblinDrone</t>
  </si>
  <si>
    <t>SP_GoblinDroneFood</t>
  </si>
  <si>
    <t>GoblinDroneFood</t>
  </si>
  <si>
    <t>PF_GoblinDroneFood</t>
  </si>
  <si>
    <t>SP_GoodJunkBoost</t>
  </si>
  <si>
    <t>Boost</t>
  </si>
  <si>
    <t>PF_Boost</t>
  </si>
  <si>
    <t>SP_GoodJunkRandom</t>
  </si>
  <si>
    <t>GoodJunkRandomCoins</t>
  </si>
  <si>
    <t>PF_GoodJunkRandomCoins</t>
  </si>
  <si>
    <t>SP_GoodJunkRing1</t>
  </si>
  <si>
    <t>Ring</t>
  </si>
  <si>
    <t>PF_Ring1</t>
  </si>
  <si>
    <t>SP_GoodJunkRing1_Static</t>
  </si>
  <si>
    <t>PF_Ring1_Static</t>
  </si>
  <si>
    <t>SP_GoodJunkRing2</t>
  </si>
  <si>
    <t>PF_Ring2</t>
  </si>
  <si>
    <t>SP_GoodJunkRing2_Static</t>
  </si>
  <si>
    <t>PF_Ring2_Static</t>
  </si>
  <si>
    <t>SP_GoodJunkRoulette</t>
  </si>
  <si>
    <t>RouletteCoins</t>
  </si>
  <si>
    <t>PF_RouletteCoins</t>
  </si>
  <si>
    <t>SP_GoodJunkStar</t>
  </si>
  <si>
    <t>PF_Star</t>
  </si>
  <si>
    <t>SP_MushroomBig</t>
  </si>
  <si>
    <t>PF_MushroomBig</t>
  </si>
  <si>
    <t>SP_OwlWhite</t>
  </si>
  <si>
    <t>PF_OwlWhite</t>
  </si>
  <si>
    <t>SP_Villager04</t>
  </si>
  <si>
    <t>PF_Villager04</t>
  </si>
  <si>
    <t>SP_Villager04_Static</t>
  </si>
  <si>
    <t>PF_Villager04_Static</t>
  </si>
  <si>
    <t>PF_UnkasPumpkinHead</t>
  </si>
  <si>
    <t>PF_UnkasWoodHead</t>
  </si>
  <si>
    <t>PF_BadJunkEye</t>
  </si>
  <si>
    <t>PF_BadJunkFrog</t>
  </si>
  <si>
    <t>PF_BadJunkMagicBottle</t>
  </si>
  <si>
    <t>PF_ButterflyEgg_Cocoon</t>
  </si>
  <si>
    <t>PF_GoodJunkRandomGem</t>
  </si>
  <si>
    <t>PF_GoodJunkRandomHealth</t>
  </si>
  <si>
    <t>PF_GoodJunkRandomScore</t>
  </si>
  <si>
    <t>PF_RouletteFrog</t>
  </si>
  <si>
    <t>PF_RouletteGem</t>
  </si>
  <si>
    <t>PF_RouletteStar</t>
  </si>
  <si>
    <t>PF_Catapulter</t>
  </si>
  <si>
    <t>PF_SeatVillagerRotated</t>
  </si>
  <si>
    <t>PF_GoblinWarMachineSpace</t>
  </si>
  <si>
    <t>SP_GoblinWarMachineSpace</t>
  </si>
  <si>
    <t>SP_ButterflyEgg_Root</t>
  </si>
  <si>
    <t>SP_GoodJunkRing</t>
  </si>
  <si>
    <t>-425;295</t>
  </si>
  <si>
    <t>-301.1;340.3</t>
  </si>
  <si>
    <t>-531.24;-84.53</t>
  </si>
  <si>
    <t>-10;260</t>
  </si>
  <si>
    <t>-362;206.9</t>
  </si>
  <si>
    <t>-507.7;184</t>
  </si>
  <si>
    <t>-235;245</t>
  </si>
  <si>
    <t>-388.46;-1.48</t>
  </si>
  <si>
    <t>-172.2;205.8</t>
  </si>
  <si>
    <t>-409.8;195.3</t>
  </si>
  <si>
    <t>-309.69;-152.98</t>
  </si>
  <si>
    <t>-34.67;4.1</t>
  </si>
  <si>
    <t>-229.05;-135.71</t>
  </si>
  <si>
    <t>-287;246</t>
  </si>
  <si>
    <t>-189.57;-148.91</t>
  </si>
  <si>
    <t>50;370.9</t>
  </si>
  <si>
    <t>-337.08;-100.78</t>
  </si>
  <si>
    <t>-23.79;3.97</t>
  </si>
  <si>
    <t>-213.76;-44.2</t>
  </si>
  <si>
    <t>-274.38;-66.16</t>
  </si>
  <si>
    <t>-533.51;-24.74</t>
  </si>
  <si>
    <t>-586.9;102.95</t>
  </si>
  <si>
    <t>-368.4;184</t>
  </si>
  <si>
    <t>-304.27;-151.75</t>
  </si>
  <si>
    <t>-269.07;-107.62</t>
  </si>
  <si>
    <t>-433.4;190</t>
  </si>
  <si>
    <t>-184.85;-171.35</t>
  </si>
  <si>
    <t>-190.65;-80.56</t>
  </si>
  <si>
    <t>-528.45;-13.28</t>
  </si>
  <si>
    <t>-213.6;200.9</t>
  </si>
  <si>
    <t>-425;305</t>
  </si>
  <si>
    <t>-109.04;36.11</t>
  </si>
  <si>
    <t>-276.22;-103</t>
  </si>
  <si>
    <t>-252.8;207.9</t>
  </si>
  <si>
    <t>-200.78;-140.02</t>
  </si>
  <si>
    <t>-209.9;273.6</t>
  </si>
  <si>
    <t>-315;295</t>
  </si>
  <si>
    <t>92.3;257</t>
  </si>
  <si>
    <t>-156.62;-19.23</t>
  </si>
  <si>
    <t>-420;290</t>
  </si>
  <si>
    <t>-560.61;-61.89</t>
  </si>
  <si>
    <t>333.4;320</t>
  </si>
  <si>
    <t>-225.37;-48.31</t>
  </si>
  <si>
    <t>-571.21;71.15</t>
  </si>
  <si>
    <t>-333.36;-97.33</t>
  </si>
  <si>
    <t>-294.8;199.4</t>
  </si>
  <si>
    <t>-435;315</t>
  </si>
  <si>
    <t>357.4;242.9</t>
  </si>
  <si>
    <t>258.2;257</t>
  </si>
  <si>
    <t>333.4;340</t>
  </si>
  <si>
    <t>35;355.9</t>
  </si>
  <si>
    <t>-213.5;314.4</t>
  </si>
  <si>
    <t>-330;310</t>
  </si>
  <si>
    <t>-21.5;333</t>
  </si>
  <si>
    <t>-508.9;209.2</t>
  </si>
  <si>
    <t>301.5;279.7</t>
  </si>
  <si>
    <t>-396;177.7</t>
  </si>
  <si>
    <t>-42.64;4.1</t>
  </si>
  <si>
    <t>-178.59;-39.35</t>
  </si>
  <si>
    <t>-223.51;-63.13</t>
  </si>
  <si>
    <t>-451.3;184</t>
  </si>
  <si>
    <t>-541.99;-82.91</t>
  </si>
  <si>
    <t>-249.98;-60.15</t>
  </si>
  <si>
    <t>-373;246.9</t>
  </si>
  <si>
    <t>-455;305</t>
  </si>
  <si>
    <t>-134.6;-18.6</t>
  </si>
  <si>
    <t>-37.5;273.6</t>
  </si>
  <si>
    <t>-46.7;4.3</t>
  </si>
  <si>
    <t>-97.43;59.8</t>
  </si>
  <si>
    <t>-315.33;-43.98</t>
  </si>
  <si>
    <t>-382.4;316</t>
  </si>
  <si>
    <t>-187.69;-138.63</t>
  </si>
  <si>
    <t>-430;300</t>
  </si>
  <si>
    <t>-411.46;-72.85</t>
  </si>
  <si>
    <t>-544.97;-33.4</t>
  </si>
  <si>
    <t>-208.1;145.68</t>
  </si>
  <si>
    <t>-56.91;4.47</t>
  </si>
  <si>
    <t>-394.5;195.8</t>
  </si>
  <si>
    <t>236;191.6</t>
  </si>
  <si>
    <t>-511.97;20.7</t>
  </si>
  <si>
    <t>-272;195</t>
  </si>
  <si>
    <t>-553.69;-65.5</t>
  </si>
  <si>
    <t>-20;240</t>
  </si>
  <si>
    <t>-440;295</t>
  </si>
  <si>
    <t>-105;190</t>
  </si>
  <si>
    <t>-31.53;3.96</t>
  </si>
  <si>
    <t>-500;255</t>
  </si>
  <si>
    <t>-476.64;-83.29</t>
  </si>
  <si>
    <t>-182.66;-46.21</t>
  </si>
  <si>
    <t>-564.24;-67.42</t>
  </si>
  <si>
    <t>-220.59;-41.53</t>
  </si>
  <si>
    <t>283;302.6</t>
  </si>
  <si>
    <t>-420;310</t>
  </si>
  <si>
    <t>301.5;265</t>
  </si>
  <si>
    <t>-427.79;-73.42</t>
  </si>
  <si>
    <t>-201.17;-40.12</t>
  </si>
  <si>
    <t>-317.02;-49.04</t>
  </si>
  <si>
    <t>-321.22;-46.61</t>
  </si>
  <si>
    <t>-312.98;-9.94</t>
  </si>
  <si>
    <t>-560.71;103.79</t>
  </si>
  <si>
    <t>-10.62;197.64</t>
  </si>
  <si>
    <t>-195.42;-37.64</t>
  </si>
  <si>
    <t>49.4;319.4</t>
  </si>
  <si>
    <t>-532.68;-0.45</t>
  </si>
  <si>
    <t>-76.19;-152.8</t>
  </si>
  <si>
    <t>-114.03;25.17</t>
  </si>
  <si>
    <t>5;325.9</t>
  </si>
  <si>
    <t>-327.77;-93.51</t>
  </si>
  <si>
    <t>20;340.9</t>
  </si>
  <si>
    <t>-250.66;-164.97</t>
  </si>
  <si>
    <t>-199.59998;41.09</t>
  </si>
  <si>
    <t>-181;-79.19</t>
  </si>
  <si>
    <t>-507.04;-83.24</t>
  </si>
  <si>
    <t>-364.5;267.8</t>
  </si>
  <si>
    <t>-114.18;42.29</t>
  </si>
  <si>
    <t>-414.93;62.57</t>
  </si>
  <si>
    <t>-273.12;-146.42</t>
  </si>
  <si>
    <t>153.6;380.3</t>
  </si>
  <si>
    <t>-277;236</t>
  </si>
  <si>
    <t>-255;325</t>
  </si>
  <si>
    <t>301.5;244.98</t>
  </si>
  <si>
    <t>-191.87;-42.64</t>
  </si>
  <si>
    <t>-470.8;191.3</t>
  </si>
  <si>
    <t>-423.3;-72.7</t>
  </si>
  <si>
    <t>-404.94;-64.3</t>
  </si>
  <si>
    <t>-334.8;-69.39</t>
  </si>
  <si>
    <t>-18.77;3.41</t>
  </si>
  <si>
    <t>-250;245</t>
  </si>
  <si>
    <t>237.9;290.9</t>
  </si>
  <si>
    <t>-188.74;-129.17</t>
  </si>
  <si>
    <t>-235;230</t>
  </si>
  <si>
    <t>-235;260</t>
  </si>
  <si>
    <t>-558.64;-70.42</t>
  </si>
  <si>
    <t>-108.5;207.5</t>
  </si>
  <si>
    <t>-232.35;-143.89</t>
  </si>
  <si>
    <t>85;280.2</t>
  </si>
  <si>
    <t>260.6;184.4</t>
  </si>
  <si>
    <t>-30;230</t>
  </si>
  <si>
    <t>-450;300</t>
  </si>
  <si>
    <t>-442.17;-72.7</t>
  </si>
  <si>
    <t>300;363.7</t>
  </si>
  <si>
    <t>-532.96;-0.22</t>
  </si>
  <si>
    <t>-500;235</t>
  </si>
  <si>
    <t>-525.59;-29.25</t>
  </si>
  <si>
    <t>-341.21;-68.49</t>
  </si>
  <si>
    <t>-215.77;-62.36</t>
  </si>
  <si>
    <t>-40.04;4.5</t>
  </si>
  <si>
    <t>-393.3;346.1</t>
  </si>
  <si>
    <t>333.4;330</t>
  </si>
  <si>
    <t>-500;184</t>
  </si>
  <si>
    <t>-440;320</t>
  </si>
  <si>
    <t>-517.52;2.94</t>
  </si>
  <si>
    <t>-430;292</t>
  </si>
  <si>
    <t>-425;310</t>
  </si>
  <si>
    <t>143.1;297.1</t>
  </si>
  <si>
    <t>-566.94;8.22</t>
  </si>
  <si>
    <t>-203.97;-59.28</t>
  </si>
  <si>
    <t>-120.7;20.62</t>
  </si>
  <si>
    <t>-13.79;3.39</t>
  </si>
  <si>
    <t>-132.6;199.1</t>
  </si>
  <si>
    <t>-88.93;68.07</t>
  </si>
  <si>
    <t>106;307.2</t>
  </si>
  <si>
    <t>-210.81;-39.81</t>
  </si>
  <si>
    <t>-204.79;-90.2</t>
  </si>
  <si>
    <t>-184.7;251</t>
  </si>
  <si>
    <t>-494;332</t>
  </si>
  <si>
    <t>-132.48;-62.59</t>
  </si>
  <si>
    <t>-255;335</t>
  </si>
  <si>
    <t>344.2;268.5</t>
  </si>
  <si>
    <t>-450;310</t>
  </si>
  <si>
    <t>-455;295</t>
  </si>
  <si>
    <t>313.8;210.4</t>
  </si>
  <si>
    <t>-362.3;225.6</t>
  </si>
  <si>
    <t>-314.5;255</t>
  </si>
  <si>
    <t>-527.41;-84.51</t>
  </si>
  <si>
    <t>-139.07;52.78</t>
  </si>
  <si>
    <t>-433.8;199.4</t>
  </si>
  <si>
    <t>-435;247</t>
  </si>
  <si>
    <t>-516.72;-59.84</t>
  </si>
  <si>
    <t>-558.11;-63.63</t>
  </si>
  <si>
    <t>-450;292</t>
  </si>
  <si>
    <t>-228.82;-126.85</t>
  </si>
  <si>
    <t>-88.44;10.25</t>
  </si>
  <si>
    <t>68;335.5</t>
  </si>
  <si>
    <t>-10;250</t>
  </si>
  <si>
    <t>-429.5;225.6</t>
  </si>
  <si>
    <t>-230.7;-63.56</t>
  </si>
  <si>
    <t>-192.82;-53.73</t>
  </si>
  <si>
    <t>-62.57;4.03</t>
  </si>
  <si>
    <t>-493.4;291.2</t>
  </si>
  <si>
    <t>-267;226</t>
  </si>
  <si>
    <t>-508.5;-83.84</t>
  </si>
  <si>
    <t>67.6;197.7</t>
  </si>
  <si>
    <t>-314.5;244.9</t>
  </si>
  <si>
    <t>-112.75;-56.87</t>
  </si>
  <si>
    <t>-430;310</t>
  </si>
  <si>
    <t>-314.5;235</t>
  </si>
  <si>
    <t>-276.5;301.3</t>
  </si>
  <si>
    <t>-322.4;-95.2</t>
  </si>
  <si>
    <t>-167.41;17.02</t>
  </si>
  <si>
    <t>333.4;310</t>
  </si>
  <si>
    <t>-531.18;-63.61</t>
  </si>
  <si>
    <t>-221.03;-12.99</t>
  </si>
  <si>
    <t>-460;310</t>
  </si>
  <si>
    <t>-79.07;3.21</t>
  </si>
  <si>
    <t>-220;245</t>
  </si>
  <si>
    <t>-488.8;-85</t>
  </si>
  <si>
    <t>-173.43;131.96</t>
  </si>
  <si>
    <t>-68.72;4.81</t>
  </si>
  <si>
    <t>-477.7;-84.25</t>
  </si>
  <si>
    <t>-535.23;-84.3</t>
  </si>
  <si>
    <t>-455;310</t>
  </si>
  <si>
    <t>-302.9;-104.56</t>
  </si>
  <si>
    <t>-255;345</t>
  </si>
  <si>
    <t>-460;290</t>
  </si>
  <si>
    <t>180.7;242.9</t>
  </si>
  <si>
    <t>-29.88;4.5</t>
  </si>
  <si>
    <t>301.5;235</t>
  </si>
  <si>
    <t>-555.87;-70.33</t>
  </si>
  <si>
    <t>-289.76;-74.19</t>
  </si>
  <si>
    <t>-445;315</t>
  </si>
  <si>
    <t>153.6;268.8</t>
  </si>
  <si>
    <t>-275;180</t>
  </si>
  <si>
    <t>-45.6;314.3</t>
  </si>
  <si>
    <t>-195.23;-48.58</t>
  </si>
  <si>
    <t>197.16;332.7</t>
  </si>
  <si>
    <t>101.4;328.4</t>
  </si>
  <si>
    <t>197.16;336.7</t>
  </si>
  <si>
    <t>166.7;328.7</t>
  </si>
  <si>
    <t>109.4;336.4</t>
  </si>
  <si>
    <t>122.74;340.7</t>
  </si>
  <si>
    <t>187.16;328.7</t>
  </si>
  <si>
    <t>207.50003;255.2</t>
  </si>
  <si>
    <t>197.16;340.7</t>
  </si>
  <si>
    <t>183.81;328.7</t>
  </si>
  <si>
    <t>119.740005;340.7</t>
  </si>
  <si>
    <t>145.61;332.7</t>
  </si>
  <si>
    <t>142.96;340.7</t>
  </si>
  <si>
    <t>101.4;336.4</t>
  </si>
  <si>
    <t>187.16;332.7</t>
  </si>
  <si>
    <t>187.50003;281.2</t>
  </si>
  <si>
    <t>181.16;328.7</t>
  </si>
  <si>
    <t>124.71;332.26</t>
  </si>
  <si>
    <t>125.74;336.7</t>
  </si>
  <si>
    <t>206.16;336.7</t>
  </si>
  <si>
    <t>163.7;340.7</t>
  </si>
  <si>
    <t>206.16;340.7</t>
  </si>
  <si>
    <t>163.7;328.7</t>
  </si>
  <si>
    <t>206.16;332.7</t>
  </si>
  <si>
    <t>119.740005;328.7</t>
  </si>
  <si>
    <t>148.96;332.7</t>
  </si>
  <si>
    <t>211.50003;273.2</t>
  </si>
  <si>
    <t>187.50003;255.2</t>
  </si>
  <si>
    <t>107.4;340.4</t>
  </si>
  <si>
    <t>119.740005;332.7</t>
  </si>
  <si>
    <t>197.50003;288.2</t>
  </si>
  <si>
    <t>183.50003;273.2</t>
  </si>
  <si>
    <t>104.4;328.4</t>
  </si>
  <si>
    <t>127.560005;328.7</t>
  </si>
  <si>
    <t>109.4;332.4</t>
  </si>
  <si>
    <t>169.7;328.7</t>
  </si>
  <si>
    <t>148.96;328.7</t>
  </si>
  <si>
    <t>128.74;340.7</t>
  </si>
  <si>
    <t>169.7;332.7</t>
  </si>
  <si>
    <t>166.7;340.7</t>
  </si>
  <si>
    <t>178.16;340.7</t>
  </si>
  <si>
    <t>119.740005;336.7</t>
  </si>
  <si>
    <t>101.4;340.4</t>
  </si>
  <si>
    <t>187.16;336.7</t>
  </si>
  <si>
    <t>160.7;340.7</t>
  </si>
  <si>
    <t>183.50003;263.2</t>
  </si>
  <si>
    <t>139.96;332.7</t>
  </si>
  <si>
    <t>197.16;328.7</t>
  </si>
  <si>
    <t>207.50003;281.2</t>
  </si>
  <si>
    <t>160.7;332.7</t>
  </si>
  <si>
    <t>206.16;328.7</t>
  </si>
  <si>
    <t>197.50003;248.2</t>
  </si>
  <si>
    <t>202.81;331.61</t>
  </si>
  <si>
    <t>182.50003;268.2</t>
  </si>
  <si>
    <t>139.96;328.7</t>
  </si>
  <si>
    <t>183.81;340.7</t>
  </si>
  <si>
    <t>122.74;336.7</t>
  </si>
  <si>
    <t>178.16;336.7</t>
  </si>
  <si>
    <t>187.16;340.7</t>
  </si>
  <si>
    <t>181.16;340.7</t>
  </si>
  <si>
    <t>101.4;332.4</t>
  </si>
  <si>
    <t>145.61;340.7</t>
  </si>
  <si>
    <t>139.96;336.7</t>
  </si>
  <si>
    <t>142.96;332.7</t>
  </si>
  <si>
    <t>148.96;336.7</t>
  </si>
  <si>
    <t>128.74;336.7</t>
  </si>
  <si>
    <t>178.16;328.7</t>
  </si>
  <si>
    <t>107.4;328.4</t>
  </si>
  <si>
    <t>212.50003;268.2</t>
  </si>
  <si>
    <t>139.96;340.7</t>
  </si>
  <si>
    <t>160.7;328.7</t>
  </si>
  <si>
    <t>211.50003;263.2</t>
  </si>
  <si>
    <t>178.16;332.7</t>
  </si>
  <si>
    <t>160.7;336.7</t>
  </si>
  <si>
    <t>148.96;340.7</t>
  </si>
  <si>
    <t>200.16;337.96</t>
  </si>
  <si>
    <t>125.74;340.7</t>
  </si>
  <si>
    <t>104.4;340.4</t>
  </si>
  <si>
    <t>598.53;-314</t>
  </si>
  <si>
    <t>592.82;-69</t>
  </si>
  <si>
    <t>250.76;-36.62</t>
  </si>
  <si>
    <t>172.06;-47.34</t>
  </si>
  <si>
    <t>600.93;-29.61</t>
  </si>
  <si>
    <t>443.96002;-50.28</t>
  </si>
  <si>
    <t>518.91;-49.08</t>
  </si>
  <si>
    <t>43.8;-43.46</t>
  </si>
  <si>
    <t>129.36;-73.71</t>
  </si>
  <si>
    <t>680;305</t>
  </si>
  <si>
    <t>626.7;341.9</t>
  </si>
  <si>
    <t>238.37;-29.1</t>
  </si>
  <si>
    <t>206.87;-97.15</t>
  </si>
  <si>
    <t>355.11;-28.94</t>
  </si>
  <si>
    <t>491.81;-57.99</t>
  </si>
  <si>
    <t>655;200</t>
  </si>
  <si>
    <t>224.29;-75.09</t>
  </si>
  <si>
    <t>244.39;-34.54</t>
  </si>
  <si>
    <t>129.48;-28</t>
  </si>
  <si>
    <t>480.69003;-73.8</t>
  </si>
  <si>
    <t>145.51001;-92.59</t>
  </si>
  <si>
    <t>308.6;-100.85</t>
  </si>
  <si>
    <t>123.46;-32.56</t>
  </si>
  <si>
    <t>646.1;-290.3</t>
  </si>
  <si>
    <t>702.3;339.8</t>
  </si>
  <si>
    <t>370.48;-85.45</t>
  </si>
  <si>
    <t>567.31;-74.3</t>
  </si>
  <si>
    <t>600;215</t>
  </si>
  <si>
    <t>133.87;-84.74</t>
  </si>
  <si>
    <t>615;275</t>
  </si>
  <si>
    <t>630;290</t>
  </si>
  <si>
    <t>500;230</t>
  </si>
  <si>
    <t>119.72;-32.96</t>
  </si>
  <si>
    <t>226.38;-49.61</t>
  </si>
  <si>
    <t>518.37;-73.6</t>
  </si>
  <si>
    <t>343.71;-19.12</t>
  </si>
  <si>
    <t>682.1;198.2</t>
  </si>
  <si>
    <t>426.90002;-78.71</t>
  </si>
  <si>
    <t>569.9;-218.6</t>
  </si>
  <si>
    <t>500.7;-68.4</t>
  </si>
  <si>
    <t>421.44;-74.23</t>
  </si>
  <si>
    <t>570;290</t>
  </si>
  <si>
    <t>599.2;201.1</t>
  </si>
  <si>
    <t>311.02;-74.57</t>
  </si>
  <si>
    <t>160;-87.23</t>
  </si>
  <si>
    <t>145.91003;-84.9</t>
  </si>
  <si>
    <t>416.09;-79.94</t>
  </si>
  <si>
    <t>341.7;-50.53</t>
  </si>
  <si>
    <t>234.86;-43.14</t>
  </si>
  <si>
    <t>696.6;179.4</t>
  </si>
  <si>
    <t>233;-32.04</t>
  </si>
  <si>
    <t>390.53;-83.84</t>
  </si>
  <si>
    <t>600.81;-43.36</t>
  </si>
  <si>
    <t>570.28;-53.01</t>
  </si>
  <si>
    <t>46.1;-65.55</t>
  </si>
  <si>
    <t>660;320</t>
  </si>
  <si>
    <t>576.95;-73.5</t>
  </si>
  <si>
    <t>375.21;-68.55</t>
  </si>
  <si>
    <t>226.52;-50.36</t>
  </si>
  <si>
    <t>251.7;-29.6</t>
  </si>
  <si>
    <t>515.7;250.6</t>
  </si>
  <si>
    <t>739.72;-333.68</t>
  </si>
  <si>
    <t>356.02;-52.08</t>
  </si>
  <si>
    <t>515;225</t>
  </si>
  <si>
    <t>226.51;-49.83</t>
  </si>
  <si>
    <t>477.3;334.3</t>
  </si>
  <si>
    <t>553.3;257.8</t>
  </si>
  <si>
    <t>506.69;-57.59</t>
  </si>
  <si>
    <t>134.45;-71.5</t>
  </si>
  <si>
    <t>205.45;-58.12</t>
  </si>
  <si>
    <t>600;200</t>
  </si>
  <si>
    <t>512.6;208.4</t>
  </si>
  <si>
    <t>500.14;-56.9</t>
  </si>
  <si>
    <t>343.84;-20.33</t>
  </si>
  <si>
    <t>238.61;-74.79</t>
  </si>
  <si>
    <t>245.11;-84.24</t>
  </si>
  <si>
    <t>548.4;-316.72</t>
  </si>
  <si>
    <t>49.1;-78.71</t>
  </si>
  <si>
    <t>597.41;-20.62</t>
  </si>
  <si>
    <t>671.6;176.5</t>
  </si>
  <si>
    <t>347.81003;-46.79</t>
  </si>
  <si>
    <t>318.1;-108.9</t>
  </si>
  <si>
    <t>515.7;374.8</t>
  </si>
  <si>
    <t>195.31;-81.26</t>
  </si>
  <si>
    <t>37.7;-37.81</t>
  </si>
  <si>
    <t>509.63;-55.96</t>
  </si>
  <si>
    <t>345.46;-15.25</t>
  </si>
  <si>
    <t>75.77002;-35.73</t>
  </si>
  <si>
    <t>SP_GoodJunkScore_35000_0</t>
  </si>
  <si>
    <t>133.74;-80.08</t>
  </si>
  <si>
    <t>56.51;-29.08</t>
  </si>
  <si>
    <t>243.43;-96.67</t>
  </si>
  <si>
    <t>214.05;-95.17</t>
  </si>
  <si>
    <t>481.78;-45.77</t>
  </si>
  <si>
    <t>598.02;-72</t>
  </si>
  <si>
    <t>77.08;-100.23</t>
  </si>
  <si>
    <t>428.90002;-76.38</t>
  </si>
  <si>
    <t>129.08;-14.46</t>
  </si>
  <si>
    <t>248.76;-31.58</t>
  </si>
  <si>
    <t>267.57;-79.7</t>
  </si>
  <si>
    <t>413.96;-84.2</t>
  </si>
  <si>
    <t>600.62;-68.5</t>
  </si>
  <si>
    <t>566.3;351.1</t>
  </si>
  <si>
    <t>345.49;-17.78</t>
  </si>
  <si>
    <t>349.73;-59.81</t>
  </si>
  <si>
    <t>97.78003;-17.36</t>
  </si>
  <si>
    <t>215.52;-40.42</t>
  </si>
  <si>
    <t>139.65;-26.71</t>
  </si>
  <si>
    <t>243.1;-50.56</t>
  </si>
  <si>
    <t>668.3;276.1</t>
  </si>
  <si>
    <t>375.26;-91.84</t>
  </si>
  <si>
    <t>137.14;-90.4</t>
  </si>
  <si>
    <t>636;219.1</t>
  </si>
  <si>
    <t>221.79;-81.08</t>
  </si>
  <si>
    <t>240.17;-93.43</t>
  </si>
  <si>
    <t>675;220</t>
  </si>
  <si>
    <t>119.89;-29.1</t>
  </si>
  <si>
    <t>600.1;-56.98</t>
  </si>
  <si>
    <t>542.5;174.5</t>
  </si>
  <si>
    <t>645;305</t>
  </si>
  <si>
    <t>505.07;-72.8</t>
  </si>
  <si>
    <t>350.04;-21.29</t>
  </si>
  <si>
    <t>319.2;-104.5</t>
  </si>
  <si>
    <t>251.26;-33.99</t>
  </si>
  <si>
    <t>262.41;-84.03</t>
  </si>
  <si>
    <t>244.35;-42.86</t>
  </si>
  <si>
    <t>221.00003;-31.79</t>
  </si>
  <si>
    <t>249.04;-50.76</t>
  </si>
  <si>
    <t>234.7;-56.9</t>
  </si>
  <si>
    <t>520;305</t>
  </si>
  <si>
    <t>542.58;-53.1</t>
  </si>
  <si>
    <t>250.49;-31</t>
  </si>
  <si>
    <t>405.87;-76.3</t>
  </si>
  <si>
    <t>695;240</t>
  </si>
  <si>
    <t>204.9;-46.06</t>
  </si>
  <si>
    <t>600;185</t>
  </si>
  <si>
    <t>176.53;-74.3</t>
  </si>
  <si>
    <t>560.78;-72.8</t>
  </si>
  <si>
    <t>600;230</t>
  </si>
  <si>
    <t>168.2;-54.16</t>
  </si>
  <si>
    <t>649.8;240.5</t>
  </si>
  <si>
    <t>145.5;-30.55</t>
  </si>
  <si>
    <t>249.72;-37.28</t>
  </si>
  <si>
    <t>136.02;-9.38</t>
  </si>
  <si>
    <t>243.89;-76.78</t>
  </si>
  <si>
    <t>133.28;-77.76</t>
  </si>
  <si>
    <t>598.37;-53.76</t>
  </si>
  <si>
    <t>605.8;176.5</t>
  </si>
  <si>
    <t>544.29;-335.2</t>
  </si>
  <si>
    <t>573.4;-68.6</t>
  </si>
  <si>
    <t>537.7;-70.8</t>
  </si>
  <si>
    <t>529.07;-49.44</t>
  </si>
  <si>
    <t>524.64;-70.6</t>
  </si>
  <si>
    <t>545.49005;-76.1</t>
  </si>
  <si>
    <t>733.9;212.1</t>
  </si>
  <si>
    <t>364.23;-73.47</t>
  </si>
  <si>
    <t>429.22;-70.2</t>
  </si>
  <si>
    <t>599.47;-48.17</t>
  </si>
  <si>
    <t>99;-62.55</t>
  </si>
  <si>
    <t>165.84;-75.04</t>
  </si>
  <si>
    <t>495.02;-52.5</t>
  </si>
  <si>
    <t>600;312</t>
  </si>
  <si>
    <t>245.13;-31.13</t>
  </si>
  <si>
    <t>527.5;194.9</t>
  </si>
  <si>
    <t>600;260</t>
  </si>
  <si>
    <t>249.8;-71.06</t>
  </si>
  <si>
    <t>585;275</t>
  </si>
  <si>
    <t>246.15;-33.25</t>
  </si>
  <si>
    <t>287.92;-45.21</t>
  </si>
  <si>
    <t>384.41;-72.44</t>
  </si>
  <si>
    <t>345.81;-24.01</t>
  </si>
  <si>
    <t>357.41;-168.68</t>
  </si>
  <si>
    <t>474.9;194.9</t>
  </si>
  <si>
    <t>718.4;260</t>
  </si>
  <si>
    <t>555;305</t>
  </si>
  <si>
    <t>545;215</t>
  </si>
  <si>
    <t>595.25;-48.1</t>
  </si>
  <si>
    <t>540;320</t>
  </si>
  <si>
    <t>248.87;-34.72</t>
  </si>
  <si>
    <t>484.09;-43.81</t>
  </si>
  <si>
    <t>600;245</t>
  </si>
  <si>
    <t>239.31;-54.34</t>
  </si>
  <si>
    <t>234.78;-42.52</t>
  </si>
  <si>
    <t>154.94;-34.18</t>
  </si>
  <si>
    <t>125.12;-21</t>
  </si>
  <si>
    <t>222.16;-37.32</t>
  </si>
  <si>
    <t>197.36;-85.09</t>
  </si>
  <si>
    <t>375.5;-82.17</t>
  </si>
  <si>
    <t>530;220</t>
  </si>
  <si>
    <t>508.56;-51.18</t>
  </si>
  <si>
    <t>494.3;176.5</t>
  </si>
  <si>
    <t>162.96;-80.9</t>
  </si>
  <si>
    <t>273.4;-127.8</t>
  </si>
  <si>
    <t>182.03;-36.95</t>
  </si>
  <si>
    <t>173.47;-71.26</t>
  </si>
  <si>
    <t>-826.89;-127</t>
  </si>
  <si>
    <t>-1013.5;-221</t>
  </si>
  <si>
    <t>-695;305</t>
  </si>
  <si>
    <t>-731.46;-248.17</t>
  </si>
  <si>
    <t>-1057.89;-60.91</t>
  </si>
  <si>
    <t>-937.35;-234.49</t>
  </si>
  <si>
    <t>-852;318</t>
  </si>
  <si>
    <t>-1010.5;-336.9</t>
  </si>
  <si>
    <t>-794.58;20.9</t>
  </si>
  <si>
    <t>-904.44;-293.82</t>
  </si>
  <si>
    <t>-858;303</t>
  </si>
  <si>
    <t>-795.1;-317</t>
  </si>
  <si>
    <t>-829.05;-4.26</t>
  </si>
  <si>
    <t>-779;-113.7</t>
  </si>
  <si>
    <t>-784;-208.6</t>
  </si>
  <si>
    <t>-906.55;-131.27</t>
  </si>
  <si>
    <t>-899.88;-207.42</t>
  </si>
  <si>
    <t>-868.93;-54.8</t>
  </si>
  <si>
    <t>-715.714;-182.99</t>
  </si>
  <si>
    <t>-725;285</t>
  </si>
  <si>
    <t>-1070.29;-337.1</t>
  </si>
  <si>
    <t>-835.29;-28.01</t>
  </si>
  <si>
    <t>-977.4;-199.08</t>
  </si>
  <si>
    <t>-976;-212.3</t>
  </si>
  <si>
    <t>-671.24;-365.04</t>
  </si>
  <si>
    <t>-752.8;-101.4</t>
  </si>
  <si>
    <t>-695;285</t>
  </si>
  <si>
    <t>-1067.27;-78.12</t>
  </si>
  <si>
    <t>-872.84;138.63</t>
  </si>
  <si>
    <t>-878.38;17.1</t>
  </si>
  <si>
    <t>-1080.9;-70.6</t>
  </si>
  <si>
    <t>-875.07;-38.74</t>
  </si>
  <si>
    <t>-922.6;-119.64</t>
  </si>
  <si>
    <t>-895.03;-36.09</t>
  </si>
  <si>
    <t>-1046.26;-76.15</t>
  </si>
  <si>
    <t>-973.13;-119.58</t>
  </si>
  <si>
    <t>-861;309</t>
  </si>
  <si>
    <t>-1048;-30</t>
  </si>
  <si>
    <t>-873;312</t>
  </si>
  <si>
    <t>-992.1;-181.9</t>
  </si>
  <si>
    <t>-786.54;-49.71</t>
  </si>
  <si>
    <t>-760.71;-232.79</t>
  </si>
  <si>
    <t>-755;-159.43</t>
  </si>
  <si>
    <t>-931.61;-69.39</t>
  </si>
  <si>
    <t>-1037.4;-348.11</t>
  </si>
  <si>
    <t>-897.7;-421.94</t>
  </si>
  <si>
    <t>-879;315</t>
  </si>
  <si>
    <t>-853.37;-231.87</t>
  </si>
  <si>
    <t>-854.9;-112.52</t>
  </si>
  <si>
    <t>-1000;245</t>
  </si>
  <si>
    <t>-879;327</t>
  </si>
  <si>
    <t>-903.15;-6.08</t>
  </si>
  <si>
    <t>-876;315</t>
  </si>
  <si>
    <t>-1000;260</t>
  </si>
  <si>
    <t>-871.8;5.7</t>
  </si>
  <si>
    <t>-886;-231.6</t>
  </si>
  <si>
    <t>-855.3;-135.7</t>
  </si>
  <si>
    <t>-674.4;-195.95</t>
  </si>
  <si>
    <t>-861;303</t>
  </si>
  <si>
    <t>-753.2;-214.4</t>
  </si>
  <si>
    <t>-925.47;-113.69</t>
  </si>
  <si>
    <t>-758.65;-247.4</t>
  </si>
  <si>
    <t>-749;-97.8</t>
  </si>
  <si>
    <t>-875.83;-209.6</t>
  </si>
  <si>
    <t>-888.3;-216.3</t>
  </si>
  <si>
    <t>-695;205</t>
  </si>
  <si>
    <t>-764.2;-105.5</t>
  </si>
  <si>
    <t>-808.54;-6.04</t>
  </si>
  <si>
    <t>-708.4;-258.4</t>
  </si>
  <si>
    <t>-938.94;-159.57</t>
  </si>
  <si>
    <t>-949.1;367.6</t>
  </si>
  <si>
    <t>-879;324</t>
  </si>
  <si>
    <t>-859.4;-41.52</t>
  </si>
  <si>
    <t>-972.8;-308.3</t>
  </si>
  <si>
    <t>-858;300</t>
  </si>
  <si>
    <t>-1067.2;-224.8</t>
  </si>
  <si>
    <t>-879;330</t>
  </si>
  <si>
    <t>-888.12;-37.25</t>
  </si>
  <si>
    <t>-874.3;-264.68</t>
  </si>
  <si>
    <t>-852;297</t>
  </si>
  <si>
    <t>-1034.32;-20</t>
  </si>
  <si>
    <t>-948.78;38.56</t>
  </si>
  <si>
    <t>-680.95;-177.14</t>
  </si>
  <si>
    <t>-867;309</t>
  </si>
  <si>
    <t>-860.59;-241.71</t>
  </si>
  <si>
    <t>-754.37;-41.7</t>
  </si>
  <si>
    <t>-839.44;-6.32</t>
  </si>
  <si>
    <t>-945;225</t>
  </si>
  <si>
    <t>-888.2;-291.77</t>
  </si>
  <si>
    <t>-849;318</t>
  </si>
  <si>
    <t>-876;303</t>
  </si>
  <si>
    <t>-993.49;-95.79</t>
  </si>
  <si>
    <t>-794.08;-43.76</t>
  </si>
  <si>
    <t>-1140.1;-97.4</t>
  </si>
  <si>
    <t>-855;300</t>
  </si>
  <si>
    <t>-671.54;-223.26</t>
  </si>
  <si>
    <t>-876;321</t>
  </si>
  <si>
    <t>-761.66;-266.73</t>
  </si>
  <si>
    <t>-703.51;-234.24</t>
  </si>
  <si>
    <t>-852;312</t>
  </si>
  <si>
    <t>-840.82;-6.23</t>
  </si>
  <si>
    <t>-645.1;-240.7</t>
  </si>
  <si>
    <t>-695.233;-235.651</t>
  </si>
  <si>
    <t>-982.5;-282.6</t>
  </si>
  <si>
    <t>-938.35;-98.71</t>
  </si>
  <si>
    <t>-983.1;-158.5</t>
  </si>
  <si>
    <t>-864;309</t>
  </si>
  <si>
    <t>-1028.39;-318.9</t>
  </si>
  <si>
    <t>-1080.5;-61.3</t>
  </si>
  <si>
    <t>-702.21;-2.5</t>
  </si>
  <si>
    <t>-687.18304;-239.25813</t>
  </si>
  <si>
    <t>-1075.7;10.5</t>
  </si>
  <si>
    <t>-823.4;-440.1</t>
  </si>
  <si>
    <t>-855;297</t>
  </si>
  <si>
    <t>-1064.07;-86.34</t>
  </si>
  <si>
    <t>-873;300</t>
  </si>
  <si>
    <t>-1074.1;-321.1</t>
  </si>
  <si>
    <t>-1084.8;46.4</t>
  </si>
  <si>
    <t>-792;-282.66</t>
  </si>
  <si>
    <t>-981.78;-72.27</t>
  </si>
  <si>
    <t>-1079.2;-315.6</t>
  </si>
  <si>
    <t>-756.1;-281.5</t>
  </si>
  <si>
    <t>-867;300</t>
  </si>
  <si>
    <t>-1049;-330.2</t>
  </si>
  <si>
    <t>-1020.81;-208.98</t>
  </si>
  <si>
    <t>-716.6;-285.66</t>
  </si>
  <si>
    <t>-695;255</t>
  </si>
  <si>
    <t>-820;205</t>
  </si>
  <si>
    <t>-1072.3;-86.1</t>
  </si>
  <si>
    <t>-892.4;368.9</t>
  </si>
  <si>
    <t>-761.36;-166.32</t>
  </si>
  <si>
    <t>-913.8;-127.46</t>
  </si>
  <si>
    <t>-873;294</t>
  </si>
  <si>
    <t>-870;205</t>
  </si>
  <si>
    <t>-975.02;-163.9</t>
  </si>
  <si>
    <t>-1031.2999;-82.85</t>
  </si>
  <si>
    <t>-1048.02;-130.22</t>
  </si>
  <si>
    <t>-914.5;-91.6</t>
  </si>
  <si>
    <t>-828.67;-54.06</t>
  </si>
  <si>
    <t>-718.36;97.3</t>
  </si>
  <si>
    <t>-655.3;-249.1</t>
  </si>
  <si>
    <t>-1082.55;-279.81</t>
  </si>
  <si>
    <t>-995.4;-105.32</t>
  </si>
  <si>
    <t>-816.1;-243.76</t>
  </si>
  <si>
    <t>-768.3;-355.2</t>
  </si>
  <si>
    <t>-861;300</t>
  </si>
  <si>
    <t>-780.75;-6.1</t>
  </si>
  <si>
    <t>-1096.96;24.35</t>
  </si>
  <si>
    <t>-782.9;-189.1</t>
  </si>
  <si>
    <t>-757.4;-96.3</t>
  </si>
  <si>
    <t>-898.4;-321.7</t>
  </si>
  <si>
    <t>-876;309</t>
  </si>
  <si>
    <t>-1087.2;-331.9</t>
  </si>
  <si>
    <t>-852;303</t>
  </si>
  <si>
    <t>-947.6;-228</t>
  </si>
  <si>
    <t>-716;-192.1</t>
  </si>
  <si>
    <t>-777.1;-126.9</t>
  </si>
  <si>
    <t>-1015.4;-107.9</t>
  </si>
  <si>
    <t>-844.89;-200.06</t>
  </si>
  <si>
    <t>-793;-109.2</t>
  </si>
  <si>
    <t>-853.35;-121.63</t>
  </si>
  <si>
    <t>-871.4;-130.1</t>
  </si>
  <si>
    <t>-725;265</t>
  </si>
  <si>
    <t>-917.9;-120.34</t>
  </si>
  <si>
    <t>-849;306</t>
  </si>
  <si>
    <t>-980.4;-123.8</t>
  </si>
  <si>
    <t>-1084.12;-31.81</t>
  </si>
  <si>
    <t>-991.2;-80.5</t>
  </si>
  <si>
    <t>-993;-350.4</t>
  </si>
  <si>
    <t>-777.6;-74.53</t>
  </si>
  <si>
    <t>-855;294</t>
  </si>
  <si>
    <t>-858;312</t>
  </si>
  <si>
    <t>-710;335</t>
  </si>
  <si>
    <t>-693.26;-241.93</t>
  </si>
  <si>
    <t>-669.82;66.61</t>
  </si>
  <si>
    <t>-922.3;-271.3</t>
  </si>
  <si>
    <t>-1070.1;-84.8</t>
  </si>
  <si>
    <t>-859.43;-282.29</t>
  </si>
  <si>
    <t>-900.9;-349.22</t>
  </si>
  <si>
    <t>-845;225</t>
  </si>
  <si>
    <t>-785.54;-28.58</t>
  </si>
  <si>
    <t>-745.1;-115.4</t>
  </si>
  <si>
    <t>-987.76;-171.42</t>
  </si>
  <si>
    <t>-856.62;-231.68</t>
  </si>
  <si>
    <t>-739.88;-6.42</t>
  </si>
  <si>
    <t>-684.2316;-253.96829</t>
  </si>
  <si>
    <t>-922.6;-158.92</t>
  </si>
  <si>
    <t>-913.3;-121.49</t>
  </si>
  <si>
    <t>-996.5;-345.2</t>
  </si>
  <si>
    <t>-847.84;-45.91</t>
  </si>
  <si>
    <t>-760.7;-317</t>
  </si>
  <si>
    <t>-754.8;-104.88</t>
  </si>
  <si>
    <t>-700.75;-247.09</t>
  </si>
  <si>
    <t>-815.39;-196.5</t>
  </si>
  <si>
    <t>-1049.9;-97.1</t>
  </si>
  <si>
    <t>-870;312</t>
  </si>
  <si>
    <t>-930.29;-287.11</t>
  </si>
  <si>
    <t>-849;330</t>
  </si>
  <si>
    <t>-860.96;-221.49</t>
  </si>
  <si>
    <t>-922.2;-331.5</t>
  </si>
  <si>
    <t>-1081.3;-4.1</t>
  </si>
  <si>
    <t>-746.2;209.2</t>
  </si>
  <si>
    <t>-1022.6;-372.7</t>
  </si>
  <si>
    <t>-879;312</t>
  </si>
  <si>
    <t>-931.33;-104.34</t>
  </si>
  <si>
    <t>-861.4408;-232.32422</t>
  </si>
  <si>
    <t>-715.15;-273.45</t>
  </si>
  <si>
    <t>-768.81;-98.6</t>
  </si>
  <si>
    <t>-1054.7;-266.15</t>
  </si>
  <si>
    <t>-1033.37;-85.25</t>
  </si>
  <si>
    <t>-684.51;-243.73</t>
  </si>
  <si>
    <t>-864;294</t>
  </si>
  <si>
    <t>-725;245</t>
  </si>
  <si>
    <t>-1016.48;-109.62</t>
  </si>
  <si>
    <t>-1056.6;-280.6</t>
  </si>
  <si>
    <t>-800.4;191.6</t>
  </si>
  <si>
    <t>-849;303</t>
  </si>
  <si>
    <t>-897.69;-354.22</t>
  </si>
  <si>
    <t>-745.7;-209.5</t>
  </si>
  <si>
    <t>-879;321</t>
  </si>
  <si>
    <t>-706.7;-380.1</t>
  </si>
  <si>
    <t>-1011.7;-111.1</t>
  </si>
  <si>
    <t>-849;327</t>
  </si>
  <si>
    <t>-794.2;-5.9</t>
  </si>
  <si>
    <t>-725;195</t>
  </si>
  <si>
    <t>-858;315</t>
  </si>
  <si>
    <t>-1015.75;-129.72</t>
  </si>
  <si>
    <t>-917.87;-362.23</t>
  </si>
  <si>
    <t>-878.3;-290.62</t>
  </si>
  <si>
    <t>-1148.7;-102.4</t>
  </si>
  <si>
    <t>-1000.89;-239.62</t>
  </si>
  <si>
    <t>-991.6;209.2</t>
  </si>
  <si>
    <t>-870.52;-28.41</t>
  </si>
  <si>
    <t>-855.6;76.17</t>
  </si>
  <si>
    <t>-1026.7;-82.9</t>
  </si>
  <si>
    <t>-1039.6;-112.1</t>
  </si>
  <si>
    <t>-818.7;-188.3</t>
  </si>
  <si>
    <t>-712.592;-183.865</t>
  </si>
  <si>
    <t>-688.5;-215.38</t>
  </si>
  <si>
    <t>-996.8;-212.4</t>
  </si>
  <si>
    <t>-695;235</t>
  </si>
  <si>
    <t>-905.9;-270</t>
  </si>
  <si>
    <t>-1001.25;-80.53</t>
  </si>
  <si>
    <t>-942.64;-148.39</t>
  </si>
  <si>
    <t>-788.15;-102.009995</t>
  </si>
  <si>
    <t>-753.873;-232.956</t>
  </si>
  <si>
    <t>-1051.4;-282.5</t>
  </si>
  <si>
    <t>-911.79;-259.91</t>
  </si>
  <si>
    <t>-694.35;-352.94</t>
  </si>
  <si>
    <t>-837.16;-54.8</t>
  </si>
  <si>
    <t>-1063.98;-348.73</t>
  </si>
  <si>
    <t>-849;324</t>
  </si>
  <si>
    <t>-922.7;-142.2</t>
  </si>
  <si>
    <t>-962.2;-277.7</t>
  </si>
  <si>
    <t>-852;315</t>
  </si>
  <si>
    <t>-795.8;-412.2</t>
  </si>
  <si>
    <t>-655.2;-338.8</t>
  </si>
  <si>
    <t>-796.08;-119.99</t>
  </si>
  <si>
    <t>-936.8;-129.7</t>
  </si>
  <si>
    <t>-1036.6;-61.5</t>
  </si>
  <si>
    <t>-852;300</t>
  </si>
  <si>
    <t>-662.2;-247.5</t>
  </si>
  <si>
    <t>-943.27;-108.22</t>
  </si>
  <si>
    <t>-753.2;-311</t>
  </si>
  <si>
    <t>-722.5;105.3</t>
  </si>
  <si>
    <t>-1025.2;-323.1</t>
  </si>
  <si>
    <t>-799.9;-95.3</t>
  </si>
  <si>
    <t>-823.59;-43.04</t>
  </si>
  <si>
    <t>-769.77;-97.67</t>
  </si>
  <si>
    <t>-982.67;-87.83</t>
  </si>
  <si>
    <t>-770.93;-5.52</t>
  </si>
  <si>
    <t>-1021.9;-306.8</t>
  </si>
  <si>
    <t>-990.61;-203.53</t>
  </si>
  <si>
    <t>-1095.39;-42.9</t>
  </si>
  <si>
    <t>-668.81;-269.89</t>
  </si>
  <si>
    <t>-671.3;-311.9</t>
  </si>
  <si>
    <t>-691.47;-235.89</t>
  </si>
  <si>
    <t>-852;309</t>
  </si>
  <si>
    <t>-1058.74;-246.92</t>
  </si>
  <si>
    <t>-1046.1301;-281.1</t>
  </si>
  <si>
    <t>-867;306</t>
  </si>
  <si>
    <t>-725;215</t>
  </si>
  <si>
    <t>-744.9;-278.3</t>
  </si>
  <si>
    <t>-740.8;-272.9</t>
  </si>
  <si>
    <t>-731.011;-184.743</t>
  </si>
  <si>
    <t>-697.03;-3.45</t>
  </si>
  <si>
    <t>-849;321</t>
  </si>
  <si>
    <t>-701.05;-173.98</t>
  </si>
  <si>
    <t>-725;295</t>
  </si>
  <si>
    <t>-751.31;-269.58</t>
  </si>
  <si>
    <t>-946.3298;-137.1873</t>
  </si>
  <si>
    <t>-768.13;-163.25</t>
  </si>
  <si>
    <t>-776.8;-278.4</t>
  </si>
  <si>
    <t>-788.82;-101.09</t>
  </si>
  <si>
    <t>-819.2;-254.5</t>
  </si>
  <si>
    <t>-1046.6;-31</t>
  </si>
  <si>
    <t>-1054.71;-241.54</t>
  </si>
  <si>
    <t>-858;297</t>
  </si>
  <si>
    <t>-1063.12;-60.38</t>
  </si>
  <si>
    <t>-970.1;325.7</t>
  </si>
  <si>
    <t>-664.5;-282.5</t>
  </si>
  <si>
    <t>-768.96;-31.45</t>
  </si>
  <si>
    <t>-985;230</t>
  </si>
  <si>
    <t>-1001.09;-174.5</t>
  </si>
  <si>
    <t>-862.1;22.7</t>
  </si>
  <si>
    <t>-689.5;375.1</t>
  </si>
  <si>
    <t>-1015.7;-183.5</t>
  </si>
  <si>
    <t>-870;294</t>
  </si>
  <si>
    <t>-857.7;-241.99</t>
  </si>
  <si>
    <t>-1032.5;-38.9</t>
  </si>
  <si>
    <t>-896;-375.7</t>
  </si>
  <si>
    <t>-766.8;-117.4</t>
  </si>
  <si>
    <t>-895;225</t>
  </si>
  <si>
    <t>-800.5;-337</t>
  </si>
  <si>
    <t>-642.19;-260.87</t>
  </si>
  <si>
    <t>-941;-273.9</t>
  </si>
  <si>
    <t>-1093.27;5.35</t>
  </si>
  <si>
    <t>-959.24;-67.21</t>
  </si>
  <si>
    <t>-695;225</t>
  </si>
  <si>
    <t>-1080.1;-339.9</t>
  </si>
  <si>
    <t>-699.6;-313.7</t>
  </si>
  <si>
    <t>-864;315</t>
  </si>
  <si>
    <t>-876.51;-41.42</t>
  </si>
  <si>
    <t>-692.01;-213.76</t>
  </si>
  <si>
    <t>-852;-323.2</t>
  </si>
  <si>
    <t>-912.86;-6.81</t>
  </si>
  <si>
    <t>-800.63;-125.42</t>
  </si>
  <si>
    <t>-879;318</t>
  </si>
  <si>
    <t>-912.3;-411.5</t>
  </si>
  <si>
    <t>-946.25;-160.55</t>
  </si>
  <si>
    <t>-747.7;-96.5</t>
  </si>
  <si>
    <t>-855;303</t>
  </si>
  <si>
    <t>-1068.53;38.66</t>
  </si>
  <si>
    <t>-867;315</t>
  </si>
  <si>
    <t>-906.7;-313</t>
  </si>
  <si>
    <t>-867;312</t>
  </si>
  <si>
    <t>-858;294</t>
  </si>
  <si>
    <t>-867;291</t>
  </si>
  <si>
    <t>-763.33;-131.78</t>
  </si>
  <si>
    <t>-849;309</t>
  </si>
  <si>
    <t>-864;312</t>
  </si>
  <si>
    <t>-861;306</t>
  </si>
  <si>
    <t>-809.6;-325.3</t>
  </si>
  <si>
    <t>-975.96;-239.74</t>
  </si>
  <si>
    <t>-978.92;-232.36</t>
  </si>
  <si>
    <t>-735.728;-233.03</t>
  </si>
  <si>
    <t>-921.5;191.6</t>
  </si>
  <si>
    <t>-842.5;-338.1</t>
  </si>
  <si>
    <t>-920;205</t>
  </si>
  <si>
    <t>-711.3;-252.9</t>
  </si>
  <si>
    <t>-873;318</t>
  </si>
  <si>
    <t>-991.2;-267.2</t>
  </si>
  <si>
    <t>-691.54;-189.19</t>
  </si>
  <si>
    <t>-766.98;55.6</t>
  </si>
  <si>
    <t>-1062.67;-99.47</t>
  </si>
  <si>
    <t>-740.2919;-232.83209</t>
  </si>
  <si>
    <t>-958.35;-365.33</t>
  </si>
  <si>
    <t>-1091.82;-44.88</t>
  </si>
  <si>
    <t>-778.22;-18.1</t>
  </si>
  <si>
    <t>-864.25;-4.18</t>
  </si>
  <si>
    <t>-855;312</t>
  </si>
  <si>
    <t>-743.91;-155.08</t>
  </si>
  <si>
    <t>-731.5;-263.9</t>
  </si>
  <si>
    <t>-849.7;136.02</t>
  </si>
  <si>
    <t>-1048;-21.8</t>
  </si>
  <si>
    <t>-870;291</t>
  </si>
  <si>
    <t>-829.66;-255.18</t>
  </si>
  <si>
    <t>-799.7;-71.6</t>
  </si>
  <si>
    <t>-721;-327.5</t>
  </si>
  <si>
    <t>-1082.5;-57.8</t>
  </si>
  <si>
    <t>-690.94;-175.68</t>
  </si>
  <si>
    <t>-805;-104.5</t>
  </si>
  <si>
    <t>-923.86;-108.7</t>
  </si>
  <si>
    <t>-830.9;229</t>
  </si>
  <si>
    <t>-749.4;-90</t>
  </si>
  <si>
    <t>-913.6;-287.1</t>
  </si>
  <si>
    <t>-876;300</t>
  </si>
  <si>
    <t>-1028.88;-60.4</t>
  </si>
  <si>
    <t>-723.09;-211.93</t>
  </si>
  <si>
    <t>-852;321</t>
  </si>
  <si>
    <t>-879;303</t>
  </si>
  <si>
    <t>-807.91;-138.11</t>
  </si>
  <si>
    <t>-709.33;-193.61</t>
  </si>
  <si>
    <t>-870;303</t>
  </si>
  <si>
    <t>-861;291</t>
  </si>
  <si>
    <t>-870;300</t>
  </si>
  <si>
    <t>-861;315</t>
  </si>
  <si>
    <t>-824.45;75.939995</t>
  </si>
  <si>
    <t>-861;294</t>
  </si>
  <si>
    <t>-834.06;-47.53</t>
  </si>
  <si>
    <t>-1136.94;-109.86</t>
  </si>
  <si>
    <t>-836.3;-206.7</t>
  </si>
  <si>
    <t>-885.08;-22.46</t>
  </si>
  <si>
    <t>-829.3;-290.6</t>
  </si>
  <si>
    <t>-750.41;-33.23</t>
  </si>
  <si>
    <t>-842.15;-194.22</t>
  </si>
  <si>
    <t>-876;312</t>
  </si>
  <si>
    <t>-764;-192</t>
  </si>
  <si>
    <t>-858;136.6</t>
  </si>
  <si>
    <t>-684.193;-247.62315</t>
  </si>
  <si>
    <t>-777.9;-101.51</t>
  </si>
  <si>
    <t>-737.45;-26.52</t>
  </si>
  <si>
    <t>-747.4;-204.18</t>
  </si>
  <si>
    <t>-879;306</t>
  </si>
  <si>
    <t>-652.7;-281.1</t>
  </si>
  <si>
    <t>-1008.1;-209</t>
  </si>
  <si>
    <t>-784.99;-42.9</t>
  </si>
  <si>
    <t>-838.1;136.26</t>
  </si>
  <si>
    <t>-1092.59;-33.75</t>
  </si>
  <si>
    <t>-1066.64;-208.48</t>
  </si>
  <si>
    <t>-665.1;-220.8</t>
  </si>
  <si>
    <t>-964.25;-119.68</t>
  </si>
  <si>
    <t>-781;-89.2</t>
  </si>
  <si>
    <t>-730.4;-118.2</t>
  </si>
  <si>
    <t>-989.9;-221.2</t>
  </si>
  <si>
    <t>-916.1;268.9</t>
  </si>
  <si>
    <t>-1013.2;345.4</t>
  </si>
  <si>
    <t>-867;294</t>
  </si>
  <si>
    <t>-946.0373;-130.9464</t>
  </si>
  <si>
    <t>-873;297</t>
  </si>
  <si>
    <t>-948.74;-283.54</t>
  </si>
  <si>
    <t>-695;275</t>
  </si>
  <si>
    <t>-783.4;-342.7</t>
  </si>
  <si>
    <t>-975.8;279</t>
  </si>
  <si>
    <t>-861;312</t>
  </si>
  <si>
    <t>-983.9;-341.6</t>
  </si>
  <si>
    <t>-683.6;-325.6</t>
  </si>
  <si>
    <t>-803.7;-56.1</t>
  </si>
  <si>
    <t>-842.2;-310.8</t>
  </si>
  <si>
    <t>-909.668;-124.226</t>
  </si>
  <si>
    <t>-849;300</t>
  </si>
  <si>
    <t>-873;303</t>
  </si>
  <si>
    <t>-839.43;75.939995</t>
  </si>
  <si>
    <t>-846.25;-55.43</t>
  </si>
  <si>
    <t>-881.03;-53.04</t>
  </si>
  <si>
    <t>-864;291</t>
  </si>
  <si>
    <t>-829.83;76.05</t>
  </si>
  <si>
    <t>-641.78;-313</t>
  </si>
  <si>
    <t>-727.521;-183.288</t>
  </si>
  <si>
    <t>-748;375.6</t>
  </si>
  <si>
    <t>-907.93;-368.8</t>
  </si>
  <si>
    <t>-876;318</t>
  </si>
  <si>
    <t>-841.095;-188.967</t>
  </si>
  <si>
    <t>-757.2;256.9</t>
  </si>
  <si>
    <t>-968.9;190.3</t>
  </si>
  <si>
    <t>-759.59;-7.78</t>
  </si>
  <si>
    <t>-760.64;-139.33</t>
  </si>
  <si>
    <t>-691.11;-252.85</t>
  </si>
  <si>
    <t>-858;291</t>
  </si>
  <si>
    <t>-851.27;-239.36</t>
  </si>
  <si>
    <t>-859.47;-128.1</t>
  </si>
  <si>
    <t>-655.2;-273.1</t>
  </si>
  <si>
    <t>-1032;-129.1</t>
  </si>
  <si>
    <t>-725;315</t>
  </si>
  <si>
    <t>-852;306</t>
  </si>
  <si>
    <t>-846.8;268.9</t>
  </si>
  <si>
    <t>-808.6;-346.6</t>
  </si>
  <si>
    <t>-741.059;-211.47646</t>
  </si>
  <si>
    <t>-706.2;-289.7</t>
  </si>
  <si>
    <t>-864;306</t>
  </si>
  <si>
    <t>-849;312</t>
  </si>
  <si>
    <t>-1086.04;-44.84</t>
  </si>
  <si>
    <t>-716.61;-210.74</t>
  </si>
  <si>
    <t>-752.89;-20.74</t>
  </si>
  <si>
    <t>-771.3;298.5</t>
  </si>
  <si>
    <t>-709.9;183.7</t>
  </si>
  <si>
    <t>-799.1;-274.6</t>
  </si>
  <si>
    <t>-862.1;-264.59</t>
  </si>
  <si>
    <t>-1087.92;59.94</t>
  </si>
  <si>
    <t>-757.23;-233.4</t>
  </si>
  <si>
    <t>-873;315</t>
  </si>
  <si>
    <t>-893.03;-5.54</t>
  </si>
  <si>
    <t>-746.41;-356.69</t>
  </si>
  <si>
    <t>-855;315</t>
  </si>
  <si>
    <t>-739.19;-138.35</t>
  </si>
  <si>
    <t>-1013.1;-170.91</t>
  </si>
  <si>
    <t>-966.8;-261.06</t>
  </si>
  <si>
    <t>-689.5;-335.4</t>
  </si>
  <si>
    <t>-867;303</t>
  </si>
  <si>
    <t>-745.05;-343.13</t>
  </si>
  <si>
    <t>-818.52;-133.07</t>
  </si>
  <si>
    <t>-762.24;-160.1</t>
  </si>
  <si>
    <t>-853.18;-241.7</t>
  </si>
  <si>
    <t>-852.9757;-203.12483</t>
  </si>
  <si>
    <t>-1062.88;-67.38</t>
  </si>
  <si>
    <t>-731.17;-91.78</t>
  </si>
  <si>
    <t>-876;297</t>
  </si>
  <si>
    <t>-725;225</t>
  </si>
  <si>
    <t>-673.5;-289.86002</t>
  </si>
  <si>
    <t>-966.72;-146.08</t>
  </si>
  <si>
    <t>-864;303</t>
  </si>
  <si>
    <t>-710.87;-188.47</t>
  </si>
  <si>
    <t>-983.3;-326.4</t>
  </si>
  <si>
    <t>-1037.68;-212.32</t>
  </si>
  <si>
    <t>-769.2;334.3</t>
  </si>
  <si>
    <t>-735.71;-210.84</t>
  </si>
  <si>
    <t>-699.11;-235.03</t>
  </si>
  <si>
    <t>-732.4;-240.8</t>
  </si>
  <si>
    <t>-1037.36;-274.93</t>
  </si>
  <si>
    <t>-870;315</t>
  </si>
  <si>
    <t>-766.74;-47.46</t>
  </si>
  <si>
    <t>-898.86;-47.79</t>
  </si>
  <si>
    <t>-1069.32;-76.42</t>
  </si>
  <si>
    <t>-854.88;-5.1</t>
  </si>
  <si>
    <t>-1141.3;-114.2</t>
  </si>
  <si>
    <t>-773.1;-147.19</t>
  </si>
  <si>
    <t>-849;315</t>
  </si>
  <si>
    <t>-870;-242.06</t>
  </si>
  <si>
    <t>-1021.12;-229.71</t>
  </si>
  <si>
    <t>-946.78;-82.7</t>
  </si>
  <si>
    <t>-858.93;-30.49</t>
  </si>
  <si>
    <t>-771.69;-282.01</t>
  </si>
  <si>
    <t>-870;297</t>
  </si>
  <si>
    <t>-710.34314;-233.94049</t>
  </si>
  <si>
    <t>-876;306</t>
  </si>
  <si>
    <t>-694.9;-438.5</t>
  </si>
  <si>
    <t>-1034.4;-88.2</t>
  </si>
  <si>
    <t>-897;-217.3</t>
  </si>
  <si>
    <t>-959.3;-275.9</t>
  </si>
  <si>
    <t>-939.05;-261.44</t>
  </si>
  <si>
    <t>-748.8;-336.1</t>
  </si>
  <si>
    <t>-950.33;-373.8</t>
  </si>
  <si>
    <t>-766.75;22.071</t>
  </si>
  <si>
    <t>-879;300</t>
  </si>
  <si>
    <t>-734.1;-156.99</t>
  </si>
  <si>
    <t>-925.2;-85.9</t>
  </si>
  <si>
    <t>-855;318</t>
  </si>
  <si>
    <t>-746.65;-200.71</t>
  </si>
  <si>
    <t>-879;309</t>
  </si>
  <si>
    <t>-1089.73;-39.99</t>
  </si>
  <si>
    <t>-856.93;-55.35</t>
  </si>
  <si>
    <t>-1003.04;-195.39</t>
  </si>
  <si>
    <t>-1074.32;-282.33</t>
  </si>
  <si>
    <t>-795.9;-288.4</t>
  </si>
  <si>
    <t>-860.61;-202.83</t>
  </si>
  <si>
    <t>-1093.13;-72.78</t>
  </si>
  <si>
    <t>-851.9;14.3</t>
  </si>
  <si>
    <t>-728.18;-4.07</t>
  </si>
  <si>
    <t>-970;215</t>
  </si>
  <si>
    <t>-725.54;-275.3</t>
  </si>
  <si>
    <t>-1065.29;-292.06</t>
  </si>
  <si>
    <t>-821.77;-5.87</t>
  </si>
  <si>
    <t>-858.2;183.7</t>
  </si>
  <si>
    <t>PF_FallingRock</t>
  </si>
  <si>
    <t>Surface/PF_Villager04_Static</t>
  </si>
  <si>
    <t>Surface/PF_Villager04</t>
  </si>
  <si>
    <t>SKY VILLAGE</t>
  </si>
  <si>
    <t>Sky Village</t>
  </si>
  <si>
    <t>Sky village</t>
  </si>
  <si>
    <t>Junk/PF_Star</t>
  </si>
  <si>
    <t>Vehicles/PF_GoblinWarMachineSpace</t>
  </si>
  <si>
    <t>Junk/PF_Ring2_Static</t>
  </si>
  <si>
    <t>Junk/PF_Boost</t>
  </si>
  <si>
    <t>Junk/PF_GoodJunkRandomCoins</t>
  </si>
  <si>
    <t>Junk/PF_Ring1_Static</t>
  </si>
  <si>
    <t>Junk/PF_Ring1</t>
  </si>
  <si>
    <t>Junk/PF_Ring2</t>
  </si>
  <si>
    <t>Vehicles/PF_GoblinDrone</t>
  </si>
  <si>
    <t>Vehicles/PF_GoblinDroneFood</t>
  </si>
  <si>
    <t>SKY CASTLE</t>
  </si>
  <si>
    <t>Sky castle</t>
  </si>
  <si>
    <t>Sky Castle</t>
  </si>
  <si>
    <t>Sky dark</t>
  </si>
  <si>
    <t>SKY DARK</t>
  </si>
  <si>
    <t>Sky Dark</t>
  </si>
  <si>
    <t>Air/PF_OwlWhite</t>
  </si>
  <si>
    <t>Monster/PF_MushroomBig</t>
  </si>
  <si>
    <t>Lower Part</t>
  </si>
  <si>
    <t>Total FlyingPigs:</t>
  </si>
  <si>
    <t>(execute script: spawnersFlyingPig.vbs)</t>
  </si>
  <si>
    <t>Pivot Column</t>
  </si>
  <si>
    <t>Use this column to group spawners for the 'pivot table'</t>
  </si>
  <si>
    <t>Canary</t>
  </si>
  <si>
    <t>Fish</t>
  </si>
  <si>
    <t>Unka</t>
  </si>
  <si>
    <t>Villager</t>
  </si>
  <si>
    <t>Row Labels</t>
  </si>
  <si>
    <t>Grand Total</t>
  </si>
  <si>
    <t>Sum of Total in "Village" scene</t>
  </si>
  <si>
    <t>Sum of Total in "Castle" scene</t>
  </si>
  <si>
    <t>Sum of Total in "Dark" scene</t>
  </si>
  <si>
    <t>Sum of Total in the game</t>
  </si>
  <si>
    <t>Scene</t>
  </si>
  <si>
    <t>Density</t>
  </si>
  <si>
    <t>SPAWNERS DENSITY</t>
  </si>
  <si>
    <t>OwlWhite</t>
  </si>
  <si>
    <t>StarSky</t>
  </si>
  <si>
    <t>SP_Seasonal</t>
  </si>
  <si>
    <t>COINS PER UNIT</t>
  </si>
  <si>
    <t>FORCE MIN</t>
  </si>
  <si>
    <t>FORCE MAX</t>
  </si>
  <si>
    <t>SPEED MIN</t>
  </si>
  <si>
    <t>SPEED MAX</t>
  </si>
  <si>
    <t>DURATION</t>
  </si>
  <si>
    <t>SPEED Lv.1</t>
  </si>
  <si>
    <t>SPEED Lv. MAX</t>
  </si>
  <si>
    <t>Duration</t>
  </si>
  <si>
    <t>Duration:</t>
  </si>
  <si>
    <t>MAX</t>
  </si>
  <si>
    <t>-441.6;-240.2</t>
  </si>
  <si>
    <t>-97.299995;300.4</t>
  </si>
  <si>
    <t>372.0789;45.05</t>
  </si>
  <si>
    <t>-258.34;90.98</t>
  </si>
  <si>
    <t>-597.65;-109.78</t>
  </si>
  <si>
    <t>-80.4;260.3</t>
  </si>
  <si>
    <t>-336.01;142.3</t>
  </si>
  <si>
    <t>20;269.33</t>
  </si>
  <si>
    <t>-182.1;292.4</t>
  </si>
  <si>
    <t>120.8736;77.48</t>
  </si>
  <si>
    <t>-292.35;55.01</t>
  </si>
  <si>
    <t>-94.299995;300.4</t>
  </si>
  <si>
    <t>-116.7;304.4</t>
  </si>
  <si>
    <t>SP_BG_Canary</t>
  </si>
  <si>
    <t>-162.4;300.4</t>
  </si>
  <si>
    <t>-183.09;-16.04</t>
  </si>
  <si>
    <t>241.1;43</t>
  </si>
  <si>
    <t>-81.2;292.4</t>
  </si>
  <si>
    <t>PF_Trapdoor_Obstacle</t>
  </si>
  <si>
    <t>334.6;39.9</t>
  </si>
  <si>
    <t>-295.58;-154.07996</t>
  </si>
  <si>
    <t>-142.44;300.4</t>
  </si>
  <si>
    <t>PF_Boat_Barrel_Human</t>
  </si>
  <si>
    <t>-328.1;-156.7</t>
  </si>
  <si>
    <t>-283.24;-34.82</t>
  </si>
  <si>
    <t>-506;-28.14</t>
  </si>
  <si>
    <t>-622.87;-123.45</t>
  </si>
  <si>
    <t>-156.4;292.4</t>
  </si>
  <si>
    <t>-95.479996;292.4</t>
  </si>
  <si>
    <t>124.09619;77.44832</t>
  </si>
  <si>
    <t>-213.96;-50.12</t>
  </si>
  <si>
    <t>-57.4;240.3</t>
  </si>
  <si>
    <t>-5.74;53.6</t>
  </si>
  <si>
    <t>-377.8;131.7</t>
  </si>
  <si>
    <t>SP_BG_Hawk</t>
  </si>
  <si>
    <t>-131.6;90.3</t>
  </si>
  <si>
    <t>SP_BG_Dragon</t>
  </si>
  <si>
    <t>-371.1;-199</t>
  </si>
  <si>
    <t>-162.4;296.4</t>
  </si>
  <si>
    <t>-287.34;89.3</t>
  </si>
  <si>
    <t>-449.32;-46.77</t>
  </si>
  <si>
    <t>-505.9;196.4</t>
  </si>
  <si>
    <t>PF_BarrelGroup</t>
  </si>
  <si>
    <t>-305.19;-154.07996</t>
  </si>
  <si>
    <t>-50;376.8</t>
  </si>
  <si>
    <t>-103.299995;292.4</t>
  </si>
  <si>
    <t>-589;-68.1</t>
  </si>
  <si>
    <t>-292.57;30.4</t>
  </si>
  <si>
    <t>-176.2;42.72</t>
  </si>
  <si>
    <t>-523.6;-52</t>
  </si>
  <si>
    <t>PF_Barrel_01</t>
  </si>
  <si>
    <t>99.44;40.01</t>
  </si>
  <si>
    <t>48.660034;39.34</t>
  </si>
  <si>
    <t>-191.77;-46.59</t>
  </si>
  <si>
    <t>-94.299995;304.4</t>
  </si>
  <si>
    <t>-628;-163.5</t>
  </si>
  <si>
    <t>25;269.33</t>
  </si>
  <si>
    <t>-609.46;-70.73</t>
  </si>
  <si>
    <t>-21.2;8.6</t>
  </si>
  <si>
    <t>-195;376.8</t>
  </si>
  <si>
    <t>-327.8;-160.5</t>
  </si>
  <si>
    <t>-222.87;35.56</t>
  </si>
  <si>
    <t>-233.28;28.18</t>
  </si>
  <si>
    <t>177.91;18.03</t>
  </si>
  <si>
    <t>231.1;210.9</t>
  </si>
  <si>
    <t>100.350006;40.44</t>
  </si>
  <si>
    <t>-270.23;69.89</t>
  </si>
  <si>
    <t>-147.61;112.63</t>
  </si>
  <si>
    <t>-97.299995;304.4</t>
  </si>
  <si>
    <t>-228.81;-58.02</t>
  </si>
  <si>
    <t>-238.1;47.5</t>
  </si>
  <si>
    <t>spiderWeb</t>
  </si>
  <si>
    <t>222.19363;88.368484</t>
  </si>
  <si>
    <t>-195.05;122.09</t>
  </si>
  <si>
    <t>-122.7;300.4</t>
  </si>
  <si>
    <t>-450.65;-41</t>
  </si>
  <si>
    <t>-198.45;-45.62</t>
  </si>
  <si>
    <t>-380.51;-71.23</t>
  </si>
  <si>
    <t>-23.599976;60.29</t>
  </si>
  <si>
    <t>-81.2;296.4</t>
  </si>
  <si>
    <t>-133.44;304.4</t>
  </si>
  <si>
    <t>-221.41;26.25</t>
  </si>
  <si>
    <t>-133.44;296.4</t>
  </si>
  <si>
    <t>-119.7;304.4</t>
  </si>
  <si>
    <t>-463.53;-29.09</t>
  </si>
  <si>
    <t>-448.1;114.4</t>
  </si>
  <si>
    <t>-278.9;-193.5</t>
  </si>
  <si>
    <t>-292.1;92.03</t>
  </si>
  <si>
    <t>-209.2;-47.7</t>
  </si>
  <si>
    <t>-207.19897;-156.65</t>
  </si>
  <si>
    <t>-103.299995;304.4</t>
  </si>
  <si>
    <t>-182.1;296.4</t>
  </si>
  <si>
    <t>-54.3;83.9</t>
  </si>
  <si>
    <t>-186.18;15.28</t>
  </si>
  <si>
    <t>-228.05289;-51.020004</t>
  </si>
  <si>
    <t>30;269.33</t>
  </si>
  <si>
    <t>-162.4;292.4</t>
  </si>
  <si>
    <t>-385.78;-63.08</t>
  </si>
  <si>
    <t>-430.29147;-18.874773</t>
  </si>
  <si>
    <t>-157.4;240.3</t>
  </si>
  <si>
    <t>136.4;159.8</t>
  </si>
  <si>
    <t>-539.1;112.4</t>
  </si>
  <si>
    <t>165.3;111.2</t>
  </si>
  <si>
    <t>-90.8;98.3</t>
  </si>
  <si>
    <t>-84.2;300.4</t>
  </si>
  <si>
    <t>-314.5;275</t>
  </si>
  <si>
    <t>-142.44;292.4</t>
  </si>
  <si>
    <t>166.9;145.4</t>
  </si>
  <si>
    <t>-281.8;-219.3</t>
  </si>
  <si>
    <t>-178.19998;-198.4</t>
  </si>
  <si>
    <t>-113.7;296.4</t>
  </si>
  <si>
    <t>299.9;125.4</t>
  </si>
  <si>
    <t>-215.79288;-45.91</t>
  </si>
  <si>
    <t>-209.35;17.23</t>
  </si>
  <si>
    <t>126.98828;76.83</t>
  </si>
  <si>
    <t>-374.6;-206.3</t>
  </si>
  <si>
    <t>-100.299995;300.4</t>
  </si>
  <si>
    <t>-606.1;-72.2</t>
  </si>
  <si>
    <t>-500;264</t>
  </si>
  <si>
    <t>-284.78;-22.01</t>
  </si>
  <si>
    <t>-433.76;-75.03</t>
  </si>
  <si>
    <t>-230.12;26.4</t>
  </si>
  <si>
    <t>-182.1;304.4</t>
  </si>
  <si>
    <t>-142.44;304.4</t>
  </si>
  <si>
    <t>-378.4;-223.7</t>
  </si>
  <si>
    <t>-625.44;-121.09</t>
  </si>
  <si>
    <t>PF_Poison_Active</t>
  </si>
  <si>
    <t>-7.95;61.11</t>
  </si>
  <si>
    <t>-122.7;304.4</t>
  </si>
  <si>
    <t>-199.8;7.91</t>
  </si>
  <si>
    <t>46.049988;40.04</t>
  </si>
  <si>
    <t>-485.8;-150.8</t>
  </si>
  <si>
    <t>-481.5;-65.3</t>
  </si>
  <si>
    <t>203.1;29.3</t>
  </si>
  <si>
    <t>-153.4;292.4</t>
  </si>
  <si>
    <t>-176;69.2</t>
  </si>
  <si>
    <t>-601.3;-93.19</t>
  </si>
  <si>
    <t>-264.82;47.25</t>
  </si>
  <si>
    <t>-302.37;140.92</t>
  </si>
  <si>
    <t>-400;247</t>
  </si>
  <si>
    <t>44.400024;39.31</t>
  </si>
  <si>
    <t>-173.1;292.4</t>
  </si>
  <si>
    <t>-194.6;16.4</t>
  </si>
  <si>
    <t>-136.79001;295.30997</t>
  </si>
  <si>
    <t>-122.7;292.4</t>
  </si>
  <si>
    <t>-100;333.6</t>
  </si>
  <si>
    <t>-603.24;-94.73</t>
  </si>
  <si>
    <t>-470;247</t>
  </si>
  <si>
    <t>48.54001;39.834</t>
  </si>
  <si>
    <t>-516.3;88.2</t>
  </si>
  <si>
    <t>-460.1;-77.5</t>
  </si>
  <si>
    <t>-115.67;67.14</t>
  </si>
  <si>
    <t>-262.38;71.58</t>
  </si>
  <si>
    <t>-139.44;301.65997</t>
  </si>
  <si>
    <t>-479.13763;-30.69</t>
  </si>
  <si>
    <t>-145;333.6</t>
  </si>
  <si>
    <t>-409.23505;-17.475811</t>
  </si>
  <si>
    <t>-12.9;47.7</t>
  </si>
  <si>
    <t>-182.1;300.4</t>
  </si>
  <si>
    <t>-250;-2.6</t>
  </si>
  <si>
    <t>-158.5;-80.8</t>
  </si>
  <si>
    <t>248;337.6</t>
  </si>
  <si>
    <t>-173.1;304.4</t>
  </si>
  <si>
    <t>-218.48;-58.45</t>
  </si>
  <si>
    <t>-471.6;0.9</t>
  </si>
  <si>
    <t>-223.42;-51.42</t>
  </si>
  <si>
    <t>106.936646;39.891994</t>
  </si>
  <si>
    <t>-171.05;130.25</t>
  </si>
  <si>
    <t>-341.7;50.2</t>
  </si>
  <si>
    <t>311.80002;27.08</t>
  </si>
  <si>
    <t>-291.1;-137.7</t>
  </si>
  <si>
    <t>-119.7;292.4</t>
  </si>
  <si>
    <t>213;357.8</t>
  </si>
  <si>
    <t>-231.14;26.85</t>
  </si>
  <si>
    <t>-133.4;260.3</t>
  </si>
  <si>
    <t>-94.6;28.3</t>
  </si>
  <si>
    <t>6.0751404e-13;-0.0000006141228</t>
  </si>
  <si>
    <t>-236.57;30.22</t>
  </si>
  <si>
    <t>-273.72;-31.47</t>
  </si>
  <si>
    <t>115.7;54.5</t>
  </si>
  <si>
    <t>-173.1;300.4</t>
  </si>
  <si>
    <t>-276.93;-35.775</t>
  </si>
  <si>
    <t>-176.1;298.4</t>
  </si>
  <si>
    <t>-76.2;304.4</t>
  </si>
  <si>
    <t>-608.46;-69.07</t>
  </si>
  <si>
    <t>209.1;74.1</t>
  </si>
  <si>
    <t>-500;224</t>
  </si>
  <si>
    <t>-208.7;-178.4</t>
  </si>
  <si>
    <t>-123;323.6</t>
  </si>
  <si>
    <t>-108.2;242.5</t>
  </si>
  <si>
    <t>-153.4;300.4</t>
  </si>
  <si>
    <t>-113.7;292.4</t>
  </si>
  <si>
    <t>-308.4;-224.9</t>
  </si>
  <si>
    <t>-138.1;-173</t>
  </si>
  <si>
    <t>-503;31.7</t>
  </si>
  <si>
    <t>-226.1;-213.3</t>
  </si>
  <si>
    <t>-116.7;292.4</t>
  </si>
  <si>
    <t>-415.7;-146.6</t>
  </si>
  <si>
    <t>-263.79;72.73</t>
  </si>
  <si>
    <t>301.5;205</t>
  </si>
  <si>
    <t>-26.1;130.4</t>
  </si>
  <si>
    <t>45.890015;39.542</t>
  </si>
  <si>
    <t>72.3;131.2</t>
  </si>
  <si>
    <t>-473.8;209.2</t>
  </si>
  <si>
    <t>-651.7;-191.8</t>
  </si>
  <si>
    <t>-462.3;-83.1</t>
  </si>
  <si>
    <t>-98.33;295.96</t>
  </si>
  <si>
    <t>-216.47;-54.89</t>
  </si>
  <si>
    <t>-327.4;4.2</t>
  </si>
  <si>
    <t>-219.46;-48.69</t>
  </si>
  <si>
    <t>102.84;40.7</t>
  </si>
  <si>
    <t>-419.57;-10.12</t>
  </si>
  <si>
    <t>181.95;22.49</t>
  </si>
  <si>
    <t>-169.2;129.84</t>
  </si>
  <si>
    <t>-65;351.8</t>
  </si>
  <si>
    <t>-276.89;-156.65</t>
  </si>
  <si>
    <t>-129.7;115.1</t>
  </si>
  <si>
    <t>-107.4;278.3</t>
  </si>
  <si>
    <t>-365;345</t>
  </si>
  <si>
    <t>211.32722;84.332184</t>
  </si>
  <si>
    <t>-228.05289;-46.670002</t>
  </si>
  <si>
    <t>-284.23;-32.43</t>
  </si>
  <si>
    <t>137.86365;-53.321514</t>
  </si>
  <si>
    <t>-300.9;-154.07996</t>
  </si>
  <si>
    <t>-170.9;-204</t>
  </si>
  <si>
    <t>80.9;57</t>
  </si>
  <si>
    <t>-428.9713;-23.50378</t>
  </si>
  <si>
    <t>-109.47638;-117.44151</t>
  </si>
  <si>
    <t>-582.96;-107.93</t>
  </si>
  <si>
    <t>-133.44;300.4</t>
  </si>
  <si>
    <t>-153.4;296.4</t>
  </si>
  <si>
    <t>-267.9;-94.1</t>
  </si>
  <si>
    <t>-133.44;292.4</t>
  </si>
  <si>
    <t>140.7;83</t>
  </si>
  <si>
    <t>40;269.33</t>
  </si>
  <si>
    <t>247;146</t>
  </si>
  <si>
    <t>-153.4;304.4</t>
  </si>
  <si>
    <t>-78.2;300.4</t>
  </si>
  <si>
    <t>-188;132.8</t>
  </si>
  <si>
    <t>186.39996;40.1</t>
  </si>
  <si>
    <t>-591.1;11.2</t>
  </si>
  <si>
    <t>-632.5;-98.9</t>
  </si>
  <si>
    <t>-100.299995;304.4</t>
  </si>
  <si>
    <t>288.4;59.2</t>
  </si>
  <si>
    <t>-293.6;32.48</t>
  </si>
  <si>
    <t>-179.1;298.4</t>
  </si>
  <si>
    <t>-173.1;296.4</t>
  </si>
  <si>
    <t>-269.21;78.4</t>
  </si>
  <si>
    <t>-103.299995;300.4</t>
  </si>
  <si>
    <t>-307.82;-154.07996</t>
  </si>
  <si>
    <t>-122.7;296.4</t>
  </si>
  <si>
    <t>-233.4;-207.7</t>
  </si>
  <si>
    <t>350.8;129</t>
  </si>
  <si>
    <t>35;269.33</t>
  </si>
  <si>
    <t>-314.50003;-209.90001</t>
  </si>
  <si>
    <t>-414.58;-13.5</t>
  </si>
  <si>
    <t>-180;351.8</t>
  </si>
  <si>
    <t>-296.3;131.5</t>
  </si>
  <si>
    <t>-314.5;215</t>
  </si>
  <si>
    <t>-583.46;-111.37</t>
  </si>
  <si>
    <t>-327.90002;-203.6</t>
  </si>
  <si>
    <t>-121.8;353.7</t>
  </si>
  <si>
    <t>-185.6;-92.1</t>
  </si>
  <si>
    <t>-162.4;304.4</t>
  </si>
  <si>
    <t>-86.2;304.4</t>
  </si>
  <si>
    <t>109.8;108.9</t>
  </si>
  <si>
    <t>-142.44;296.4</t>
  </si>
  <si>
    <t>-103.299995;296.4</t>
  </si>
  <si>
    <t>102.23001;39.8</t>
  </si>
  <si>
    <t>339.9;75.9</t>
  </si>
  <si>
    <t>-159.4;292.4</t>
  </si>
  <si>
    <t>-396.8;89.6</t>
  </si>
  <si>
    <t>328.34;-63.7</t>
  </si>
  <si>
    <t>97.6;-79.5</t>
  </si>
  <si>
    <t>41.44;-94.98</t>
  </si>
  <si>
    <t>60.00003;-339.52</t>
  </si>
  <si>
    <t>469.1;119.4</t>
  </si>
  <si>
    <t>621.3;-185.1</t>
  </si>
  <si>
    <t>PF_Boat</t>
  </si>
  <si>
    <t>571.57;-63.7</t>
  </si>
  <si>
    <t>PF_SpiderWeb</t>
  </si>
  <si>
    <t>566.29;-289.18</t>
  </si>
  <si>
    <t>473;149.5</t>
  </si>
  <si>
    <t>618.8;-242.9</t>
  </si>
  <si>
    <t>364.65002;-63.7</t>
  </si>
  <si>
    <t>739.17;-275.59</t>
  </si>
  <si>
    <t>170.9;-57.3</t>
  </si>
  <si>
    <t>729.127;-339.246</t>
  </si>
  <si>
    <t>295.1;-47.1</t>
  </si>
  <si>
    <t>413.6;-164</t>
  </si>
  <si>
    <t>416;-22.8</t>
  </si>
  <si>
    <t>'PF_PoisonFlower'</t>
  </si>
  <si>
    <t>73.5;-344.7</t>
  </si>
  <si>
    <t>680.3;96.5</t>
  </si>
  <si>
    <t>SP_BG_Canary01_Flock</t>
  </si>
  <si>
    <t>630;36.6</t>
  </si>
  <si>
    <t>-34.3;-291</t>
  </si>
  <si>
    <t>139.26;-335.2</t>
  </si>
  <si>
    <t>599.2;-8.6</t>
  </si>
  <si>
    <t>-233.70148;17.528545</t>
  </si>
  <si>
    <t>762.73;-328.6</t>
  </si>
  <si>
    <t>25.633492;-74.09957</t>
  </si>
  <si>
    <t>22.9;-87.32</t>
  </si>
  <si>
    <t>148.1;-21.7</t>
  </si>
  <si>
    <t>509.9;-131.4</t>
  </si>
  <si>
    <t>495;62.7</t>
  </si>
  <si>
    <t>532.6;-267.8</t>
  </si>
  <si>
    <t>558.6;148.8</t>
  </si>
  <si>
    <t>729.855;-234.373</t>
  </si>
  <si>
    <t>PF_BarrelGroup_2</t>
  </si>
  <si>
    <t>44.057922;-288.99496</t>
  </si>
  <si>
    <t>429.1;82.6</t>
  </si>
  <si>
    <t>511.14;19.67</t>
  </si>
  <si>
    <t>15.3;-323</t>
  </si>
  <si>
    <t>681.28436;-262.22687</t>
  </si>
  <si>
    <t>586.36005;9.27</t>
  </si>
  <si>
    <t>115.80002;-351.91</t>
  </si>
  <si>
    <t>99.71;-106.27</t>
  </si>
  <si>
    <t>26.440002;-339.52</t>
  </si>
  <si>
    <t>31.09;-51.21</t>
  </si>
  <si>
    <t>70.130035;-339.69</t>
  </si>
  <si>
    <t>401;-71.6</t>
  </si>
  <si>
    <t>PF_Cart</t>
  </si>
  <si>
    <t>-134.34;-12.79</t>
  </si>
  <si>
    <t>'PF_Barrel_01'</t>
  </si>
  <si>
    <t>37.75;-95.07001</t>
  </si>
  <si>
    <t>190;-284.9</t>
  </si>
  <si>
    <t>470.2;-12.2</t>
  </si>
  <si>
    <t>542.86005;12.68</t>
  </si>
  <si>
    <t>527.99005;-63.7</t>
  </si>
  <si>
    <t>219.6;-84</t>
  </si>
  <si>
    <t>239.3;-52.1</t>
  </si>
  <si>
    <t>529.21;-62.93</t>
  </si>
  <si>
    <t>236.52417;165.07268</t>
  </si>
  <si>
    <t>85.03349;-107.65958</t>
  </si>
  <si>
    <t>739.6;-227.7</t>
  </si>
  <si>
    <t>148.5;-213.3</t>
  </si>
  <si>
    <t>139.70001;-343.1</t>
  </si>
  <si>
    <t>573.30005;-1.47</t>
  </si>
  <si>
    <t>416.3;118.4</t>
  </si>
  <si>
    <t>495;290</t>
  </si>
  <si>
    <t>24.930298;86.86718</t>
  </si>
  <si>
    <t>344.686;-33.257996</t>
  </si>
  <si>
    <t>705;295</t>
  </si>
  <si>
    <t>670.01;-304.09</t>
  </si>
  <si>
    <t>50.56;-78.87</t>
  </si>
  <si>
    <t>71.880005;-36.130005</t>
  </si>
  <si>
    <t>-221.42847;23.9435</t>
  </si>
  <si>
    <t>611.82;17.6</t>
  </si>
  <si>
    <t>655.5;383.8</t>
  </si>
  <si>
    <t>748.48;-307.53</t>
  </si>
  <si>
    <t>35.3;-144.5</t>
  </si>
  <si>
    <t>624.11005;3.94</t>
  </si>
  <si>
    <t>215.2;-145.9</t>
  </si>
  <si>
    <t>643.66;-288.38</t>
  </si>
  <si>
    <t>-44.74597;73.36548</t>
  </si>
  <si>
    <t>666.07;-314.49</t>
  </si>
  <si>
    <t>451.30002;16.3</t>
  </si>
  <si>
    <t>239.1;-316.45</t>
  </si>
  <si>
    <t>70;-37.48001</t>
  </si>
  <si>
    <t>192.57928;129.56854</t>
  </si>
  <si>
    <t>448.10004;-350.47</t>
  </si>
  <si>
    <t>128.1;-61.7</t>
  </si>
  <si>
    <t>92.1;-291.7</t>
  </si>
  <si>
    <t>712.9397;-269.82104</t>
  </si>
  <si>
    <t>-220.89247;29.323502</t>
  </si>
  <si>
    <t>29.23349;-79.22957</t>
  </si>
  <si>
    <t>-138;-12</t>
  </si>
  <si>
    <t>692.33997;-221.14001</t>
  </si>
  <si>
    <t>522.10004;2.36</t>
  </si>
  <si>
    <t>551.7;21.3</t>
  </si>
  <si>
    <t>-98.17639;-303.11026</t>
  </si>
  <si>
    <t>115.90848;-302.41107</t>
  </si>
  <si>
    <t>530.39;-62.93</t>
  </si>
  <si>
    <t>773.9454;-297.0273</t>
  </si>
  <si>
    <t>635.8;-234.8</t>
  </si>
  <si>
    <t>PF_Box</t>
  </si>
  <si>
    <t>565.41;-285.90997</t>
  </si>
  <si>
    <t>57.30002;-339.47</t>
  </si>
  <si>
    <t>185.1593;132.11623</t>
  </si>
  <si>
    <t>616.1;21.5</t>
  </si>
  <si>
    <t>140.1;-184.3</t>
  </si>
  <si>
    <t>547.4;-329.1</t>
  </si>
  <si>
    <t>184.92432;125.006226</t>
  </si>
  <si>
    <t>34.33;-93.92</t>
  </si>
  <si>
    <t>35.073975;-95.41354</t>
  </si>
  <si>
    <t>771.4;-331</t>
  </si>
  <si>
    <t>731.3;-284.7</t>
  </si>
  <si>
    <t>343.63;-32.28</t>
  </si>
  <si>
    <t>439.7;-339.2</t>
  </si>
  <si>
    <t>271.49;-340.51</t>
  </si>
  <si>
    <t>430.4;26.2</t>
  </si>
  <si>
    <t>552.9;-154</t>
  </si>
  <si>
    <t>346.43;-33.440002</t>
  </si>
  <si>
    <t>345;-20</t>
  </si>
  <si>
    <t>38.13349;-67.35957</t>
  </si>
  <si>
    <t>-226.17847;18.2635</t>
  </si>
  <si>
    <t>349.28;-33.380005</t>
  </si>
  <si>
    <t>261.7;-82.4</t>
  </si>
  <si>
    <t>-214.55847;27.3835</t>
  </si>
  <si>
    <t>529.76;-62.42</t>
  </si>
  <si>
    <t>477.22;-30.41</t>
  </si>
  <si>
    <t>-109.47226;-299.6979</t>
  </si>
  <si>
    <t>688.2;-246.2</t>
  </si>
  <si>
    <t>557;-57.7</t>
  </si>
  <si>
    <t>32.54;-35.82</t>
  </si>
  <si>
    <t>599.29004;-63.7</t>
  </si>
  <si>
    <t>503.2;-63.7</t>
  </si>
  <si>
    <t>635.5;59.8</t>
  </si>
  <si>
    <t>-108.07144;14.331623</t>
  </si>
  <si>
    <t>21.54;-76.77</t>
  </si>
  <si>
    <t>-209.60846;20.333502</t>
  </si>
  <si>
    <t>-139.95804;-12.41</t>
  </si>
  <si>
    <t>694.8;-219.35</t>
  </si>
  <si>
    <t>303.9;-102.1</t>
  </si>
  <si>
    <t>709.36;-247.19</t>
  </si>
  <si>
    <t>467.30002;-350.3</t>
  </si>
  <si>
    <t>529.4;-62.93</t>
  </si>
  <si>
    <t>25.44349;-84.79957</t>
  </si>
  <si>
    <t>31.600037;-288.2</t>
  </si>
  <si>
    <t>766.44;-324.33</t>
  </si>
  <si>
    <t>628.8;-326.4</t>
  </si>
  <si>
    <t>43.4;-32.3</t>
  </si>
  <si>
    <t>529.6;-196.6</t>
  </si>
  <si>
    <t>648.9;93.5</t>
  </si>
  <si>
    <t>511.40002;108.1</t>
  </si>
  <si>
    <t>434.34;-63.7</t>
  </si>
  <si>
    <t>499;11.8</t>
  </si>
  <si>
    <t>37.5;-84</t>
  </si>
  <si>
    <t>583.5;49</t>
  </si>
  <si>
    <t>738.088;-315.052</t>
  </si>
  <si>
    <t>29.13;-71.84</t>
  </si>
  <si>
    <t>579.7;92.6</t>
  </si>
  <si>
    <t>79.07;-108.41</t>
  </si>
  <si>
    <t>67.890015;-36.53</t>
  </si>
  <si>
    <t>542.47003;-63.7</t>
  </si>
  <si>
    <t>588.5;-148.9</t>
  </si>
  <si>
    <t>766.05;-346.31</t>
  </si>
  <si>
    <t>749.789;-330.376</t>
  </si>
  <si>
    <t>38.100037;-339.64</t>
  </si>
  <si>
    <t>423.4;10.6</t>
  </si>
  <si>
    <t>34.210022;-95.55</t>
  </si>
  <si>
    <t>727.56;-252.1</t>
  </si>
  <si>
    <t>-862.39996;98.62</t>
  </si>
  <si>
    <t>PF_AlienEggBroken</t>
  </si>
  <si>
    <t>-739.28;-130.27</t>
  </si>
  <si>
    <t>PF_AlienEgg_25000_0</t>
  </si>
  <si>
    <t>-961.07;-87.61</t>
  </si>
  <si>
    <t>PF_AlienEgg</t>
  </si>
  <si>
    <t>-719.93;-183.27</t>
  </si>
  <si>
    <t>-811.2;-423.7</t>
  </si>
  <si>
    <t>-976;85.4</t>
  </si>
  <si>
    <t>-867.9;110.2</t>
  </si>
  <si>
    <t>-871;-214.9</t>
  </si>
  <si>
    <t>-717.62;73.4</t>
  </si>
  <si>
    <t>-994.5;-186</t>
  </si>
  <si>
    <t>-964.4;111.7</t>
  </si>
  <si>
    <t>-790.04;-139.83</t>
  </si>
  <si>
    <t>-886.2;42.2</t>
  </si>
  <si>
    <t>-749.9;-275.3</t>
  </si>
  <si>
    <t>-717.7;-316.9</t>
  </si>
  <si>
    <t>-752.3;10.4</t>
  </si>
  <si>
    <t>PF_AlienEgg_30000_0</t>
  </si>
  <si>
    <t>-814.93;-217.449</t>
  </si>
  <si>
    <t>-1093.9;-45.3</t>
  </si>
  <si>
    <t>-1017.1;68.6</t>
  </si>
  <si>
    <t>-728.51;-10.44</t>
  </si>
  <si>
    <t>-775.95;52.39</t>
  </si>
  <si>
    <t>SP_BG_Vulture</t>
  </si>
  <si>
    <t>-920.83;124.24</t>
  </si>
  <si>
    <t>-822.77;-252.54</t>
  </si>
  <si>
    <t>-835.92;91.15</t>
  </si>
  <si>
    <t>-679.5;114</t>
  </si>
  <si>
    <t>-993.51;-240.51</t>
  </si>
  <si>
    <t>-1031.1;-123.2</t>
  </si>
  <si>
    <t>-757.3;-154.75</t>
  </si>
  <si>
    <t>-652.6;-286</t>
  </si>
  <si>
    <t>-925.2;-280.3</t>
  </si>
  <si>
    <t>-928.71;134.42</t>
  </si>
  <si>
    <t>-879.13;73.31</t>
  </si>
  <si>
    <t>-763.36;-47.43</t>
  </si>
  <si>
    <t>-809.14;-217.583</t>
  </si>
  <si>
    <t>-827.8;73.060005</t>
  </si>
  <si>
    <t>-898.9;109.3</t>
  </si>
  <si>
    <t>-1041.18;-208.77</t>
  </si>
  <si>
    <t>-1057.42;-237.09</t>
  </si>
  <si>
    <t>-735.4;113.3</t>
  </si>
  <si>
    <t>-842.69;91.84</t>
  </si>
  <si>
    <t>-820.1;-217.44</t>
  </si>
  <si>
    <t>-733.2;-378.6</t>
  </si>
  <si>
    <t>-866.12;57.27</t>
  </si>
  <si>
    <t>-841.1;-25.2</t>
  </si>
  <si>
    <t>-769.89;36.69</t>
  </si>
  <si>
    <t>-921.48;135.52</t>
  </si>
  <si>
    <t>-730.8;-136.09</t>
  </si>
  <si>
    <t>-776.05;35.2</t>
  </si>
  <si>
    <t>-750.14;-20.08</t>
  </si>
  <si>
    <t>-901.5;117.3</t>
  </si>
  <si>
    <t>-873.32;127.27</t>
  </si>
  <si>
    <t>-726.4;-148.2</t>
  </si>
  <si>
    <t>-1003.54;-240.075</t>
  </si>
  <si>
    <t>-971.34;-89.73</t>
  </si>
  <si>
    <t>-1068;-81.7</t>
  </si>
  <si>
    <t>-774.46;-49.28</t>
  </si>
  <si>
    <t>-784.1;-217.4</t>
  </si>
  <si>
    <t>-988.19;-240.72</t>
  </si>
  <si>
    <t>-749.44995;-167.96</t>
  </si>
  <si>
    <t>-958.42;-86.1</t>
  </si>
  <si>
    <t>-696.8;160.4</t>
  </si>
  <si>
    <t>-1092.3;-40.12</t>
  </si>
  <si>
    <t>-738.19;-125.71</t>
  </si>
  <si>
    <t>-874.04;72.92</t>
  </si>
  <si>
    <t>-783.94;-138.67</t>
  </si>
  <si>
    <t>-1058.7;-330</t>
  </si>
  <si>
    <t>-871.8;-37.5</t>
  </si>
  <si>
    <t>-708.5;-244.3</t>
  </si>
  <si>
    <t>-735.03;-167.36</t>
  </si>
  <si>
    <t>-728.1;63.3</t>
  </si>
  <si>
    <t>-774.37;-159.39</t>
  </si>
  <si>
    <t>-683.9;-199.1</t>
  </si>
  <si>
    <t>-831.37;44.43</t>
  </si>
  <si>
    <t>-761.7;147.1</t>
  </si>
  <si>
    <t>-942.66;107.18</t>
  </si>
  <si>
    <t>-676.3;118.7</t>
  </si>
  <si>
    <t>-0.55;-0.03</t>
  </si>
  <si>
    <t>-931.5;-74.9</t>
  </si>
  <si>
    <t>-778.9;-114.4</t>
  </si>
  <si>
    <t>-719.76;-167.44</t>
  </si>
  <si>
    <t>-779.7;-138.74</t>
  </si>
  <si>
    <t>-910.7;-311.5</t>
  </si>
  <si>
    <t>-702.03467;93.19284</t>
  </si>
  <si>
    <t>-798.2;-64.9</t>
  </si>
  <si>
    <t>-773.68;-154.53</t>
  </si>
  <si>
    <t>-729.95;-199.29</t>
  </si>
  <si>
    <t>-702.55;98.5</t>
  </si>
  <si>
    <t>-1065;-260.8</t>
  </si>
  <si>
    <t>-735.08;-184.92</t>
  </si>
  <si>
    <t>-725.24;98.97</t>
  </si>
  <si>
    <t>-753.32;-143.84</t>
  </si>
  <si>
    <t>-753.48;-167.96</t>
  </si>
  <si>
    <t>PF_AlienEggBroken_0_20000</t>
  </si>
  <si>
    <t>-796.87;-142.25</t>
  </si>
  <si>
    <t>-686.61;37.6</t>
  </si>
  <si>
    <t>-736.4;94.2</t>
  </si>
  <si>
    <t>-1104.3;-120.3</t>
  </si>
  <si>
    <t>-966.619;-89.24</t>
  </si>
  <si>
    <t>-714.82;-167.44</t>
  </si>
  <si>
    <t>-804.67;-17.02</t>
  </si>
  <si>
    <t>-731.43;98.47</t>
  </si>
  <si>
    <t>-751.5;-27.6</t>
  </si>
  <si>
    <t>-1021.9;147.4</t>
  </si>
  <si>
    <t>-715.26;-199.14</t>
  </si>
  <si>
    <t>-796.91;-142.47</t>
  </si>
  <si>
    <t>-841.48;125.75</t>
  </si>
  <si>
    <t>-950.2;38.3</t>
  </si>
  <si>
    <t>-881.56;120.02</t>
  </si>
  <si>
    <t>-761.9;-287.6</t>
  </si>
  <si>
    <t>-904.39;97</t>
  </si>
  <si>
    <t>-866.6;141.2</t>
  </si>
  <si>
    <t>-1057.3;-59.5</t>
  </si>
  <si>
    <t>-741.01;-199.08</t>
  </si>
  <si>
    <t>-854.8;83.1</t>
  </si>
  <si>
    <t>SP_RatGrey</t>
  </si>
  <si>
    <t>PF_RatGrey</t>
  </si>
  <si>
    <t>SP_MexicanPepper</t>
  </si>
  <si>
    <t>TIME</t>
  </si>
  <si>
    <t>Type</t>
  </si>
  <si>
    <t>RANGOS DE TIME MIN</t>
  </si>
  <si>
    <t>SPAWNERS PROGRESSION BY XP AND TIME (Medieval_Final_Village)</t>
  </si>
  <si>
    <t>SPAWNERS PROGRESSION BY XP AND TIME (Medieval_Final_Castle)</t>
  </si>
  <si>
    <t>SPAWNERS PROGRESSION BY XP AND TIME (Medieval_Final_Dark)</t>
  </si>
  <si>
    <t>UNITY</t>
  </si>
  <si>
    <t>Rename spawners names in curren SP_ scene. Apply to:</t>
  </si>
  <si>
    <t>XP and TIME progression</t>
  </si>
  <si>
    <t>Inactive spawners, adds '-IN' at the end</t>
  </si>
  <si>
    <t>Extract info for each active spawner in current scene</t>
  </si>
  <si>
    <t>So at the end, this script should be applied for each sub area, to fill in all tables in that tab</t>
  </si>
  <si>
    <t>VB SCRIPTS</t>
  </si>
  <si>
    <t>File: AssetFinder.cs</t>
  </si>
  <si>
    <t>File: SpawnersCounterToolExtended.cs</t>
  </si>
  <si>
    <t>spawnersProg.vbs</t>
  </si>
  <si>
    <t>Used to fill main tables in DATA_SCENES_UNITY_2</t>
  </si>
  <si>
    <t>This script filters: BG spawners, Seasonal, FlyingTickets and inactive spawners</t>
  </si>
  <si>
    <t>spawnersGoodJunk.vbs</t>
  </si>
  <si>
    <t>spawnersFlyingPigs.vbs</t>
  </si>
  <si>
    <t>Used to count FlyingPigs in all scenes in tab DATA_SCENES_UNITY_2</t>
  </si>
  <si>
    <t>spawnersData.vbs</t>
  </si>
  <si>
    <t>Used to fill 'coins' counter tables in tab DATA_SCENES_UNITY_2</t>
  </si>
  <si>
    <t>detectDuplicatedSpawners.vbs</t>
  </si>
  <si>
    <t>(check these values in content)</t>
  </si>
  <si>
    <t>ENERGY BASE MIN</t>
  </si>
  <si>
    <t>MexicanPepper</t>
  </si>
  <si>
    <t>PF_MexicanPepper</t>
  </si>
  <si>
    <t>RatGrey</t>
  </si>
  <si>
    <t>Execute to fill in Entities tab main table</t>
  </si>
  <si>
    <t>Hungry Dragon-&gt;Balancing-&gt;Spawners All Info</t>
  </si>
  <si>
    <t>As SP_   are organized in sub areas folders, to get data for DATA_SCENES_UNITY_1 sub areas, just keep in the scene as actived, the area you want to get the data.</t>
  </si>
  <si>
    <t>To fill in table in CheckSpawnersDuplicity tab</t>
  </si>
  <si>
    <t>Make sure execute the script to rename spawners in Unity, first: (Unity: HungryDragons-&gt;Balancing-&gt;rename Spawners)</t>
  </si>
  <si>
    <t>(Unity: HungryDragons-&gt;Balancing-&gt;SpawnersAllInfo)</t>
  </si>
  <si>
    <t>Firefly-30</t>
  </si>
  <si>
    <t>None-0</t>
  </si>
  <si>
    <t>KILL</t>
  </si>
  <si>
    <t>HermitCrabBlueBig-6</t>
  </si>
  <si>
    <t>Scarab-6</t>
  </si>
  <si>
    <t>CentipedeBlue-15</t>
  </si>
  <si>
    <t>CentipedeBlue-35</t>
  </si>
  <si>
    <t>HermitCrabBlueBig-8</t>
  </si>
  <si>
    <t>HermitCrabBlueBig-24</t>
  </si>
  <si>
    <t>HermitCrabBlueBig-5</t>
  </si>
  <si>
    <t>StingraySmall-20</t>
  </si>
  <si>
    <t>BadJunk-15</t>
  </si>
  <si>
    <t>Control</t>
  </si>
  <si>
    <t>Firefly-42</t>
  </si>
  <si>
    <t>Review for 'KILL', just the 'activation'</t>
  </si>
  <si>
    <t>1. Make sure all scenes have these folders:</t>
  </si>
  <si>
    <t>NOT_SPAWNERS: Prefabs that are not spawners and we are not sure if they should be in spawners, art or collision scenes</t>
  </si>
  <si>
    <t>SP_SpawnPoints: Spawn points for both, level editor and loading</t>
  </si>
  <si>
    <t>2. In unity, make sure in all scenes, spawners are in the folder in the area the spawner is located (easy to check activating/deactivating subfolders)</t>
  </si>
  <si>
    <t>Check inactive spawners: Search for '-IN' to find all inactive spawners. For each one, check what to do: delete, activate (if so, you have to use rename scripts again) or move to a temporary scene</t>
  </si>
  <si>
    <t>Areas: This folder has subfolders to divide the map in areas. Each subfolder contains ALL (and nothing else) spawners in the area. All the information in this document comes from this folder</t>
  </si>
  <si>
    <t>Update ENTITES MAIN INFO AND DISTRIBUTION table</t>
  </si>
  <si>
    <t>In table ENTITES MAIN INFO AND DISTRIBUTION, check column 'Pivot Column'</t>
  </si>
  <si>
    <t>ENTITIES AGRESSIVITY</t>
  </si>
  <si>
    <t>Check values in table ENTITIES AGRESSIVITY</t>
  </si>
  <si>
    <t>SCRIPTS</t>
  </si>
  <si>
    <t>5. In Entities sheet:</t>
  </si>
  <si>
    <t>4. In DATA_SCENES_UNITY_2 sheet:</t>
  </si>
  <si>
    <t>Update SPAWNERS PROGRESSION BY XP AND TIME tables</t>
  </si>
  <si>
    <t>6. In PROG. SPAWNERS sheet:</t>
  </si>
  <si>
    <t>Excel 'Data' section -&gt; Refresh all</t>
  </si>
  <si>
    <t>7. In DATA_SCENES_UNITY_1 sheet:</t>
  </si>
  <si>
    <t>Update all subareas data tables using in unity, Hungry Dragon -&gt; Balancing -&gt; Spawners All Info</t>
  </si>
  <si>
    <t>(before, keep as active just the area you want to get data)</t>
  </si>
  <si>
    <t>8. In DATA_DRAGONS_CONTENT sheet:</t>
  </si>
  <si>
    <t>Update dragons table with values in content</t>
  </si>
  <si>
    <t>9. Dragons, Prog. , Prog. "Village" , Prog. "Castle" and Prog. "Dark" sheets should have the info updated now</t>
  </si>
  <si>
    <t>-864.45;63.85</t>
  </si>
  <si>
    <t>SP_BadWitch_XP_25000_0</t>
  </si>
  <si>
    <t>SP_Ghost03_Static_XP_45000_0</t>
  </si>
  <si>
    <t>-1000.11;84.52</t>
  </si>
  <si>
    <t>-1044.65;-215.77</t>
  </si>
  <si>
    <t>SP_Crow_Flock_XP_0_27000</t>
  </si>
  <si>
    <t>PF_Crystal_Obstacle</t>
  </si>
  <si>
    <t>-1077.3;71.2</t>
  </si>
  <si>
    <t>SP_BadJunk_XP_34000_0</t>
  </si>
  <si>
    <t>-788.48;-39.82</t>
  </si>
  <si>
    <t>-783.97;-21.64</t>
  </si>
  <si>
    <t>-815.4;-416.2</t>
  </si>
  <si>
    <t>-920.88;76.45</t>
  </si>
  <si>
    <t>SP_Crow_Flock_XP_32000_0</t>
  </si>
  <si>
    <t>SP_Crow_Flock_XP_0_34000</t>
  </si>
  <si>
    <t>-830.4;-408.93</t>
  </si>
  <si>
    <t>-926.9;97.2</t>
  </si>
  <si>
    <t>SP_Ghost02_XP_0_28000</t>
  </si>
  <si>
    <t>-1018.87;-96.35</t>
  </si>
  <si>
    <t>-922.92;59.02</t>
  </si>
  <si>
    <t>-1142.04;-106.13</t>
  </si>
  <si>
    <t>-672.22;-200.65</t>
  </si>
  <si>
    <t>SP_EnemyTier3_TIME_240_0</t>
  </si>
  <si>
    <t>SP_FireFly_KILL_Firefly-30_None-0</t>
  </si>
  <si>
    <t>-789.41;104.43</t>
  </si>
  <si>
    <t>-712.73;151.97</t>
  </si>
  <si>
    <t>SP_Unka_XP_35000_0</t>
  </si>
  <si>
    <t>-753.96;-240.1</t>
  </si>
  <si>
    <t>SP_Shark_XP_30000_0</t>
  </si>
  <si>
    <t>-868.74;52.61</t>
  </si>
  <si>
    <t>-1073.5;1.7</t>
  </si>
  <si>
    <t>SP_Ghost03_XP_38000_0</t>
  </si>
  <si>
    <t>-694.12;109.24</t>
  </si>
  <si>
    <t>-796.46;-23.33</t>
  </si>
  <si>
    <t>SP_JellyfishRed_XP_50000_0</t>
  </si>
  <si>
    <t>-815.84;14.69</t>
  </si>
  <si>
    <t>-1051.57;64.84</t>
  </si>
  <si>
    <t>SP_HermitCrabBlueSmallTurret_XP_0_30000</t>
  </si>
  <si>
    <t>SP_Crow_Flock_XP_15000_0</t>
  </si>
  <si>
    <t>SP_SpiderRed_XP_0_27000</t>
  </si>
  <si>
    <t>SP_EnemyTier4_XP_42000_0</t>
  </si>
  <si>
    <t>SP_Ghost02_XP_40000_0</t>
  </si>
  <si>
    <t>-874.6;90.3</t>
  </si>
  <si>
    <t>-761.39;-22.85</t>
  </si>
  <si>
    <t>SP_Ghost01_XP_0_30000</t>
  </si>
  <si>
    <t>SP_EnemyTier3_XP_33000_0</t>
  </si>
  <si>
    <t>SP_EnemyTier4_XP_38000_0</t>
  </si>
  <si>
    <t>-1124.26;-99.72</t>
  </si>
  <si>
    <t>-887.05;98.25</t>
  </si>
  <si>
    <t>-820.4;38.1</t>
  </si>
  <si>
    <t>-839.78;-21.63</t>
  </si>
  <si>
    <t>-891.49;90.52</t>
  </si>
  <si>
    <t>-936.27;58.45</t>
  </si>
  <si>
    <t>-740.39;-344.54</t>
  </si>
  <si>
    <t>-763.4;-100.9</t>
  </si>
  <si>
    <t>-1088.8;28.5</t>
  </si>
  <si>
    <t>SP_Crow_Flock_XP_39000_49000</t>
  </si>
  <si>
    <t>-747.97;91.89</t>
  </si>
  <si>
    <t>SP_BatSmall01_Flock_XP_20000_0</t>
  </si>
  <si>
    <t>SP_Ghost02_XP_0_30000</t>
  </si>
  <si>
    <t>-692.49;33.15</t>
  </si>
  <si>
    <t>SP_BatSmall01_Flock_XP_0_40000</t>
  </si>
  <si>
    <t>-797.52;74.75</t>
  </si>
  <si>
    <t>SP_Butterfly_KILL_Firefly-30_None-0</t>
  </si>
  <si>
    <t>SP_Ghost03_XP_30000_0</t>
  </si>
  <si>
    <t>-1048.46;-82.86</t>
  </si>
  <si>
    <t>-666.55585;-210.35838</t>
  </si>
  <si>
    <t>-859;25.5</t>
  </si>
  <si>
    <t>SP_Ghost02_XP_0_35000</t>
  </si>
  <si>
    <t>-710.7;113.58</t>
  </si>
  <si>
    <t>-858.67;-15.32</t>
  </si>
  <si>
    <t>-694.3891;-192.3463</t>
  </si>
  <si>
    <t>-956.92;124.18</t>
  </si>
  <si>
    <t>-794.27;-412.54</t>
  </si>
  <si>
    <t>-836.14;25.14</t>
  </si>
  <si>
    <t>SP_Ghost01_Static_XP_35000_0</t>
  </si>
  <si>
    <t>-774.2;104.07</t>
  </si>
  <si>
    <t>-726.75;104.23</t>
  </si>
  <si>
    <t>-765.1;-333.2</t>
  </si>
  <si>
    <t>SP_GoodWitch_XP_0_36000</t>
  </si>
  <si>
    <t>SP_BatBig_Flock_XP_15000_0</t>
  </si>
  <si>
    <t>SP_Troll_XP_40000_0</t>
  </si>
  <si>
    <t>SP_BadWitch_XP_35000_0</t>
  </si>
  <si>
    <t>SP_BadJunk_XP_45000_0</t>
  </si>
  <si>
    <t>-820.4;132.88</t>
  </si>
  <si>
    <t>SP_CarnivorousPlantDark_XP_20000_0</t>
  </si>
  <si>
    <t>-892.55;26.99</t>
  </si>
  <si>
    <t>-906.3;147.1</t>
  </si>
  <si>
    <t>SP_BatBig_Flock_XP_32000_0</t>
  </si>
  <si>
    <t>-729.42;-221</t>
  </si>
  <si>
    <t>SP_JellyfishBlue_XP_40000_0</t>
  </si>
  <si>
    <t>-761.45;105.64</t>
  </si>
  <si>
    <t>SP_SpiderRed_XP_28000_0</t>
  </si>
  <si>
    <t>-877.78;137.59</t>
  </si>
  <si>
    <t>SP_FlyingTicket_KILL_None-0_FlyingTicket-1-IN</t>
  </si>
  <si>
    <t>SP_Crow_Flock_XP_0_19000</t>
  </si>
  <si>
    <t>-904;104.67</t>
  </si>
  <si>
    <t>-979.55;-188.44516</t>
  </si>
  <si>
    <t>SP_BatBig_Flock_XP_36000_0</t>
  </si>
  <si>
    <t>-1003.16;88.27</t>
  </si>
  <si>
    <t>-726.69;33.14</t>
  </si>
  <si>
    <t>SP_Mushroom_XP_0_35000</t>
  </si>
  <si>
    <t>-981.85;115.11</t>
  </si>
  <si>
    <t>SP_Ghost03_Static_XP_34000_0</t>
  </si>
  <si>
    <t>-948.73;136.74</t>
  </si>
  <si>
    <t>SP_Ghost03_XP_29000_0</t>
  </si>
  <si>
    <t>-965.8;109.81</t>
  </si>
  <si>
    <t>SP_Scarab_KILL_Scarab-6_None-0</t>
  </si>
  <si>
    <t>SP_SpiderSmall_XP_28000_0</t>
  </si>
  <si>
    <t>-883.19;113.43</t>
  </si>
  <si>
    <t>SP_FireFly_KILL_CentipedeBlue-15_None-0</t>
  </si>
  <si>
    <t>-779.15;50.23</t>
  </si>
  <si>
    <t>SP_HermitCrabRedTurret_XP_20000_0</t>
  </si>
  <si>
    <t>-704.4566;-390.92</t>
  </si>
  <si>
    <t>SP_FireFly_XP_30000_0</t>
  </si>
  <si>
    <t>SP_SlimePoison_XP_24000_0</t>
  </si>
  <si>
    <t>-860.2;-420.5</t>
  </si>
  <si>
    <t>-1096.6545;48.445187</t>
  </si>
  <si>
    <t>SP_CentipedeRed_XP_32000_0</t>
  </si>
  <si>
    <t>-957.37;-162.53</t>
  </si>
  <si>
    <t>SP_witch_XP_20000_0</t>
  </si>
  <si>
    <t>-714.61;137.37</t>
  </si>
  <si>
    <t>-851.79;-219.88</t>
  </si>
  <si>
    <t>-741.6;14.7</t>
  </si>
  <si>
    <t>SP_HermitCrabBlueSmallTurret_XP_0_20000</t>
  </si>
  <si>
    <t>-832.13;-30.22</t>
  </si>
  <si>
    <t>-806.92;20.31</t>
  </si>
  <si>
    <t>-983.6;162.6</t>
  </si>
  <si>
    <t>-1059.82;-236.48</t>
  </si>
  <si>
    <t>-725.54;21.35</t>
  </si>
  <si>
    <t>-779.2;-334.4</t>
  </si>
  <si>
    <t>-1015;200.9</t>
  </si>
  <si>
    <t>SP_FairySmall_XP_0_38000</t>
  </si>
  <si>
    <t>SP_EnemyTier2_XP_0_30000</t>
  </si>
  <si>
    <t>-997.75;109.03</t>
  </si>
  <si>
    <t>-714.94;-381.57</t>
  </si>
  <si>
    <t>-710.25;36.53</t>
  </si>
  <si>
    <t>-833.49;-184.05</t>
  </si>
  <si>
    <t>-692.82996;110.36</t>
  </si>
  <si>
    <t>-827.1;-207.5</t>
  </si>
  <si>
    <t>-703.93;111.4</t>
  </si>
  <si>
    <t>SP_FireFly_XP_27000_0</t>
  </si>
  <si>
    <t>-747.13;-290.53</t>
  </si>
  <si>
    <t>SP_Ghost02_Static_XP_40000_0</t>
  </si>
  <si>
    <t>-1000.65;84.46</t>
  </si>
  <si>
    <t>-818.99;124.83</t>
  </si>
  <si>
    <t>-805.47;-113.68</t>
  </si>
  <si>
    <t>SP_Troll_XP_45000_0</t>
  </si>
  <si>
    <t>-817.7;156.8</t>
  </si>
  <si>
    <t>SP_EnemyTier3_XP_43000_0</t>
  </si>
  <si>
    <t>-704.35;140.28</t>
  </si>
  <si>
    <t>SP_Crow_Flock_XP_0_36000</t>
  </si>
  <si>
    <t>-867.78;127.79</t>
  </si>
  <si>
    <t>SP_witch_XP_25000_0</t>
  </si>
  <si>
    <t>SP_BatSmall01_Flock_XP_0_33000</t>
  </si>
  <si>
    <t>-839.6;61.36</t>
  </si>
  <si>
    <t>SP_Ghost03_XP_32000_0</t>
  </si>
  <si>
    <t>-690.41;33.1</t>
  </si>
  <si>
    <t>SP_Ghost03_Static_XP_42000_0</t>
  </si>
  <si>
    <t>SP_BatBig_Flock_XP_28000_0</t>
  </si>
  <si>
    <t>-840.2;117.07</t>
  </si>
  <si>
    <t>SP_Ghost03_Static_XP_43000_0</t>
  </si>
  <si>
    <t>-1004.03;73.92</t>
  </si>
  <si>
    <t>SP_BadWitch_XP_31000_0</t>
  </si>
  <si>
    <t>SP_BatBig_Flock_XP_40000_0</t>
  </si>
  <si>
    <t>-987.57;89.53</t>
  </si>
  <si>
    <t>-889.97;122.86</t>
  </si>
  <si>
    <t>-839.25;-186.95</t>
  </si>
  <si>
    <t>-711.25;34.05</t>
  </si>
  <si>
    <t>-1015.4;-382.38</t>
  </si>
  <si>
    <t>-683.24;136.05</t>
  </si>
  <si>
    <t>-1002.83;104.04</t>
  </si>
  <si>
    <t>-1016.892;-190.24</t>
  </si>
  <si>
    <t>-744.44;5.37</t>
  </si>
  <si>
    <t>SP_Ghost02_XP_31000_0</t>
  </si>
  <si>
    <t>-937.62;129.1</t>
  </si>
  <si>
    <t>-852.25;-51.72</t>
  </si>
  <si>
    <t>SP_Unka_XP_0_25000</t>
  </si>
  <si>
    <t>-1072.3135;-18.31</t>
  </si>
  <si>
    <t>-710.4;-334.41</t>
  </si>
  <si>
    <t>SP_BatBig_Flock_XP_25000_0</t>
  </si>
  <si>
    <t>-680.1;32.9</t>
  </si>
  <si>
    <t>-970.1;151.66</t>
  </si>
  <si>
    <t>-983.86;-184.78</t>
  </si>
  <si>
    <t>-867.7;144.7</t>
  </si>
  <si>
    <t>-711.16;-388.07</t>
  </si>
  <si>
    <t>-929.41;134.22</t>
  </si>
  <si>
    <t>-954.99;137.14</t>
  </si>
  <si>
    <t>-921.48;-229.71</t>
  </si>
  <si>
    <t>-694.67;16.8</t>
  </si>
  <si>
    <t>-706.9;-161.97</t>
  </si>
  <si>
    <t>-1072.2;19.2</t>
  </si>
  <si>
    <t>-999.92;161.51</t>
  </si>
  <si>
    <t>SP_Ghost02_XP_0_41000</t>
  </si>
  <si>
    <t>-888.33;108.4</t>
  </si>
  <si>
    <t>-878.48;104.68</t>
  </si>
  <si>
    <t>SP_SpiderRed_XP_0_34000</t>
  </si>
  <si>
    <t>-772.94;95.15</t>
  </si>
  <si>
    <t>-811.4;8.7</t>
  </si>
  <si>
    <t>-771.53;-21.71</t>
  </si>
  <si>
    <t>-914.52;100.6</t>
  </si>
  <si>
    <t>-932.72;113.52</t>
  </si>
  <si>
    <t>SP_BatSmall01_Flock_XP_26000_0</t>
  </si>
  <si>
    <t>-857.49;121.02</t>
  </si>
  <si>
    <t>-845.77;-19.67</t>
  </si>
  <si>
    <t>SP_StingraySmall_XP_38000_0</t>
  </si>
  <si>
    <t>-694.53107;-347.87756</t>
  </si>
  <si>
    <t>-846.93;126.77</t>
  </si>
  <si>
    <t>SP_MushroomPrey_XP_0_30000</t>
  </si>
  <si>
    <t>-967;140</t>
  </si>
  <si>
    <t>SP_GoodWitch_XP_0_26000</t>
  </si>
  <si>
    <t>-792.6;-330.7</t>
  </si>
  <si>
    <t>-696.52;-337.71</t>
  </si>
  <si>
    <t>-1120.44;-95.26</t>
  </si>
  <si>
    <t>SP_JellyfishBlue_XP_50000_0</t>
  </si>
  <si>
    <t>-787.2;-431.9</t>
  </si>
  <si>
    <t>-1016.67;-196.81168</t>
  </si>
  <si>
    <t>SP_CentipedeBlue_XP_0_30000</t>
  </si>
  <si>
    <t>-674.16;-204.62</t>
  </si>
  <si>
    <t>SP_Ghost03_XP_40000_0</t>
  </si>
  <si>
    <t>-875.58;91.13</t>
  </si>
  <si>
    <t>SP_FireFly_XP_33000_0</t>
  </si>
  <si>
    <t>-1040.53;-67.5</t>
  </si>
  <si>
    <t>-974.5;68.12</t>
  </si>
  <si>
    <t>SP_HermitCrabBlueBig_XP_0_20000</t>
  </si>
  <si>
    <t>-867;144.4</t>
  </si>
  <si>
    <t>-964.13;-162.89</t>
  </si>
  <si>
    <t>SP_witch_XP_36000_0</t>
  </si>
  <si>
    <t>-700.6;-326.2</t>
  </si>
  <si>
    <t>SP_GoodWitch_XP_0_28000</t>
  </si>
  <si>
    <t>SP_EnemyTier3_XP_30000_0</t>
  </si>
  <si>
    <t>SP_StingrayLarge_XP_40000_0</t>
  </si>
  <si>
    <t>-955.52;73.96</t>
  </si>
  <si>
    <t>-709.2;9.72</t>
  </si>
  <si>
    <t>SP_BatBig_Flock_XP_26000_0</t>
  </si>
  <si>
    <t>-922.81;128.01</t>
  </si>
  <si>
    <t>-879.85;120.54</t>
  </si>
  <si>
    <t>SP_StingrayLarge_XP_35000_0</t>
  </si>
  <si>
    <t>SP_Unka_XP_30000_0</t>
  </si>
  <si>
    <t>SP_GoodWitch_XP_0_32000</t>
  </si>
  <si>
    <t>SP_Butterfly_XP_0_40000</t>
  </si>
  <si>
    <t>SP_StingrayLarge_XP_25000_0</t>
  </si>
  <si>
    <t>-767.87;155.12</t>
  </si>
  <si>
    <t>-857.32;-48.1</t>
  </si>
  <si>
    <t>SP_BatSmall01_Flock_XP_27000_0</t>
  </si>
  <si>
    <t>-943.6;121.34</t>
  </si>
  <si>
    <t>SP_GoodJunkBottle_XP_40000_0</t>
  </si>
  <si>
    <t>-803.96;53.49</t>
  </si>
  <si>
    <t>SP_FairySmall_XP_0_35000</t>
  </si>
  <si>
    <t>-709.87;112.99</t>
  </si>
  <si>
    <t>-698.27;46.83</t>
  </si>
  <si>
    <t>-707.5;-337.23</t>
  </si>
  <si>
    <t>-1098;39.79</t>
  </si>
  <si>
    <t>-1001.66;99.45</t>
  </si>
  <si>
    <t>-974.63;103.6</t>
  </si>
  <si>
    <t>-905.86;102.72</t>
  </si>
  <si>
    <t>-737.79;-363.24</t>
  </si>
  <si>
    <t>-733.25;-27.57</t>
  </si>
  <si>
    <t>-958.76;81.1</t>
  </si>
  <si>
    <t>-1019.56;123.75</t>
  </si>
  <si>
    <t>-1128.23;-92.63</t>
  </si>
  <si>
    <t>-692;58.12</t>
  </si>
  <si>
    <t>SP_Ghost03_Static_XP_38000_0</t>
  </si>
  <si>
    <t>-940.49;119.04</t>
  </si>
  <si>
    <t>SP_Scarab_XP_0_30000</t>
  </si>
  <si>
    <t>SP_EnemyTier3_XP_35000_0</t>
  </si>
  <si>
    <t>-681.96;139.46</t>
  </si>
  <si>
    <t>-738.88;-17.83</t>
  </si>
  <si>
    <t>SP_SlimePoison_XP_20000_0</t>
  </si>
  <si>
    <t>-961.4;119.4</t>
  </si>
  <si>
    <t>-879.86;104.28</t>
  </si>
  <si>
    <t>-859.08;60.99</t>
  </si>
  <si>
    <t>SP_BatBig_Flock_XP_35000_0</t>
  </si>
  <si>
    <t>-1011.7;133.9</t>
  </si>
  <si>
    <t>-946.95;128.47</t>
  </si>
  <si>
    <t>-823.99;33.15</t>
  </si>
  <si>
    <t>-688.84;-353.32</t>
  </si>
  <si>
    <t>SP_JellyfishRed_XP_45000_0</t>
  </si>
  <si>
    <t>SP_HermitCrabRedTurret_XP_40000_0</t>
  </si>
  <si>
    <t>-1045.35;-108.48</t>
  </si>
  <si>
    <t>SP_Scarab_KILL_Firefly-30_None-0</t>
  </si>
  <si>
    <t>SP_SpiderGreenTurret_XP_30000_0</t>
  </si>
  <si>
    <t>-863.72;56.47</t>
  </si>
  <si>
    <t>SP_SlimePoison_XP_42000_0</t>
  </si>
  <si>
    <t>-977.49;-146.18</t>
  </si>
  <si>
    <t>SP_Crow_Flock_XP_35000_0</t>
  </si>
  <si>
    <t>SP_SlimePoison_XP_28000_0</t>
  </si>
  <si>
    <t>-861.87;90.01</t>
  </si>
  <si>
    <t>-902.6;197.1</t>
  </si>
  <si>
    <t>-990.25;76.75</t>
  </si>
  <si>
    <t>-784.8;221.1</t>
  </si>
  <si>
    <t>SP_FlyingPig_XP_40000_0</t>
  </si>
  <si>
    <t>SP_StingrayLarge_KILL_Firefly-42_None-0</t>
  </si>
  <si>
    <t>SP_StingraySmall_XP_36000_0</t>
  </si>
  <si>
    <t>-880.51;158.9</t>
  </si>
  <si>
    <t>-821;149.8</t>
  </si>
  <si>
    <t>-799.05;93.43</t>
  </si>
  <si>
    <t>-791.7;-35.420002</t>
  </si>
  <si>
    <t>-1036.66;68.39</t>
  </si>
  <si>
    <t>-698.92;-378.63</t>
  </si>
  <si>
    <t>SP_BatSmall01_Flock_TIME_180_0</t>
  </si>
  <si>
    <t>-835.59;104.87</t>
  </si>
  <si>
    <t>-685.0589;-351.85934</t>
  </si>
  <si>
    <t>SP_Ghost01_XP_0_33000</t>
  </si>
  <si>
    <t>-996.64;121.18</t>
  </si>
  <si>
    <t>-776.8;-237.45</t>
  </si>
  <si>
    <t>-697.58;61.97</t>
  </si>
  <si>
    <t>SP_BatSmall01_Flock_XP_0_25000</t>
  </si>
  <si>
    <t>-1048.35;-209.35</t>
  </si>
  <si>
    <t>SP_BadJunk_XP_40000_0</t>
  </si>
  <si>
    <t>-776.27;152.73</t>
  </si>
  <si>
    <t>SP_StingraySmall_XP_37000_0</t>
  </si>
  <si>
    <t>-990.37;66.3</t>
  </si>
  <si>
    <t>SP_Ghost01_XP_24000_0</t>
  </si>
  <si>
    <t>-875.19995;90.92</t>
  </si>
  <si>
    <t>-964.6;161.51</t>
  </si>
  <si>
    <t>-856.94;46.2</t>
  </si>
  <si>
    <t>-845.8;203.2</t>
  </si>
  <si>
    <t>-748.32;162.39</t>
  </si>
  <si>
    <t>-953.93;-142.81</t>
  </si>
  <si>
    <t>SP_Ghost03_XP_42000_0</t>
  </si>
  <si>
    <t>-887.63;108.43</t>
  </si>
  <si>
    <t>-936.47;91.53</t>
  </si>
  <si>
    <t>-695.8637;-186.9</t>
  </si>
  <si>
    <t>-930.06;-244.21</t>
  </si>
  <si>
    <t>SP_BatBig_Flock_XP_20000_0</t>
  </si>
  <si>
    <t>-774.94;119.41</t>
  </si>
  <si>
    <t>-670.49;-209.46</t>
  </si>
  <si>
    <t>SP_Ghost03_XP_36000_0</t>
  </si>
  <si>
    <t>-693.17;108.85</t>
  </si>
  <si>
    <t>SP_Ghost03_XP_44000_0</t>
  </si>
  <si>
    <t>-886.59;97.36</t>
  </si>
  <si>
    <t>-1056.83;-228.73</t>
  </si>
  <si>
    <t>SP_SpiderRed_XP_26000_0</t>
  </si>
  <si>
    <t>-853.04;127.25</t>
  </si>
  <si>
    <t>SP_GoodWitch_XP_0_30000</t>
  </si>
  <si>
    <t>SP_BatSmall01_Flock_XP_29000_0</t>
  </si>
  <si>
    <t>-997.7;130.5</t>
  </si>
  <si>
    <t>-925.08;-241.28</t>
  </si>
  <si>
    <t>SP_BatSmall01_Flock_XP_0_27000</t>
  </si>
  <si>
    <t>-680.95;25.37</t>
  </si>
  <si>
    <t>-689.62;-161.39</t>
  </si>
  <si>
    <t>-733.43;-283.55</t>
  </si>
  <si>
    <t>SP_Ghost02_Static_XP_0_40000</t>
  </si>
  <si>
    <t>-665.4;-237.6</t>
  </si>
  <si>
    <t>-823.89;-22.4</t>
  </si>
  <si>
    <t>-957.43;135.5</t>
  </si>
  <si>
    <t>SP_SpiderSmall_XP_0_20000</t>
  </si>
  <si>
    <t>-860.7;127.34</t>
  </si>
  <si>
    <t>-1142.24;-106.83</t>
  </si>
  <si>
    <t>SP_BatSmall01_Flock_XP_0_29000</t>
  </si>
  <si>
    <t>-785.35;46.24</t>
  </si>
  <si>
    <t>SP_FireFly_KILL_HermitCrabBlueBig-5_None-0</t>
  </si>
  <si>
    <t>SP_witch_XP_33000_0</t>
  </si>
  <si>
    <t>SP_BatBig_Flock_XP_30000_0</t>
  </si>
  <si>
    <t>SP_Crow_Flock_XP_0_23000</t>
  </si>
  <si>
    <t>-872.71;85.11</t>
  </si>
  <si>
    <t>-787.91;-23.26</t>
  </si>
  <si>
    <t>SP_FlyingPig_XP_30000_0</t>
  </si>
  <si>
    <t>-853.04;-204.54</t>
  </si>
  <si>
    <t>-1000.53;-156.21</t>
  </si>
  <si>
    <t>-816.2;126.5</t>
  </si>
  <si>
    <t>SP_SpiderRed_XP_35000_0</t>
  </si>
  <si>
    <t>-774.69;95.21</t>
  </si>
  <si>
    <t>-728.8;-354.7</t>
  </si>
  <si>
    <t>-705.12164;-374.23068</t>
  </si>
  <si>
    <t>-722.49;42.34</t>
  </si>
  <si>
    <t>SP_FireFly_XP_0_25000</t>
  </si>
  <si>
    <t>-697.53;119.78</t>
  </si>
  <si>
    <t>-821.81;56.99</t>
  </si>
  <si>
    <t>SP_witch_XP_31000_0</t>
  </si>
  <si>
    <t>-946.5;68.12</t>
  </si>
  <si>
    <t>-721.99;52.9</t>
  </si>
  <si>
    <t>SP_Ghost03_Static_XP_46000_0</t>
  </si>
  <si>
    <t>-982.66;83.08</t>
  </si>
  <si>
    <t>SP_witch_XP_27000_0</t>
  </si>
  <si>
    <t>SP_BadWitch_XP_33000_0</t>
  </si>
  <si>
    <t>-1075.6;-17.7</t>
  </si>
  <si>
    <t>-667.18;-234.46</t>
  </si>
  <si>
    <t>SP_StingrayLarge_KILL_StingraySmall-20_None-0</t>
  </si>
  <si>
    <t>-958.17;135.77</t>
  </si>
  <si>
    <t>SP_EnemyTier3_TIME_270_0</t>
  </si>
  <si>
    <t>-737.63;11.87</t>
  </si>
  <si>
    <t>-850.44;-34.5</t>
  </si>
  <si>
    <t>-1039.75;-205.91</t>
  </si>
  <si>
    <t>-889.33;141.9</t>
  </si>
  <si>
    <t>-1020.76;145.2</t>
  </si>
  <si>
    <t>-1044.4683;-115.12004</t>
  </si>
  <si>
    <t>-947.46;128.2</t>
  </si>
  <si>
    <t>SP_GoodJunkBottle_XP_35000_0</t>
  </si>
  <si>
    <t>-885.33;10.95</t>
  </si>
  <si>
    <t>SP_BatSmall01_Flock_XP_28000_0</t>
  </si>
  <si>
    <t>-930.31;141.71</t>
  </si>
  <si>
    <t>-982.97;-147.31</t>
  </si>
  <si>
    <t>-802.89;-291.3</t>
  </si>
  <si>
    <t>SP_CarnivorousPlantDark_TIME_240_0</t>
  </si>
  <si>
    <t>SP_Ghost02_XP_32000_0</t>
  </si>
  <si>
    <t>-692.1;32.38</t>
  </si>
  <si>
    <t>-988.16;-178.73</t>
  </si>
  <si>
    <t>-745.1;-319.65</t>
  </si>
  <si>
    <t>SP_Ghost02_XP_0_39000</t>
  </si>
  <si>
    <t>-870.74;111.72</t>
  </si>
  <si>
    <t>-868.93;59.53</t>
  </si>
  <si>
    <t>-729.6;162.6</t>
  </si>
  <si>
    <t>SP_BadWitch_XP_27000_0</t>
  </si>
  <si>
    <t>-729.01;-18.72</t>
  </si>
  <si>
    <t>-883.04;144.32</t>
  </si>
  <si>
    <t>SP_GoodWitch_XP_0_34000</t>
  </si>
  <si>
    <t>SP_Vulture_XP_34000_0</t>
  </si>
  <si>
    <t>-916.65;144.63</t>
  </si>
  <si>
    <t>-1004.6;-162.46</t>
  </si>
  <si>
    <t>-682.52;-346.3989</t>
  </si>
  <si>
    <t>SP_Crow_Flock_XP_0_31000</t>
  </si>
  <si>
    <t>-727.26;-212.15</t>
  </si>
  <si>
    <t>-793.51;-18.12</t>
  </si>
  <si>
    <t>-781.27;-228.85</t>
  </si>
  <si>
    <t>-1112.1;-101.38</t>
  </si>
  <si>
    <t>-1026.33;-101.68</t>
  </si>
  <si>
    <t>SP_Unka_XP_0_44500</t>
  </si>
  <si>
    <t>-821.74;25.58</t>
  </si>
  <si>
    <t>SP_FireFly_KILL_None-0_BadJunk-15</t>
  </si>
  <si>
    <t>-676.98;124.32</t>
  </si>
  <si>
    <t>-949.94;-141.79</t>
  </si>
  <si>
    <t>-831.14;96.7</t>
  </si>
  <si>
    <t>SP_BadJunk_XP_42000_0</t>
  </si>
  <si>
    <t>-811.92;103.17</t>
  </si>
  <si>
    <t>SP_SpiderSmall_XP_0_25000</t>
  </si>
  <si>
    <t>-889.13;118.32</t>
  </si>
  <si>
    <t>-1050.46;-83.25</t>
  </si>
  <si>
    <t>-1044.87;-119.45</t>
  </si>
  <si>
    <t>SP_CarnivorousPlantDark_XP_35000_0</t>
  </si>
  <si>
    <t>SP_Ghost02_XP_0_33000</t>
  </si>
  <si>
    <t>-948.38;137.85</t>
  </si>
  <si>
    <t>-692.18;-158.68</t>
  </si>
  <si>
    <t>-785.52;95.13</t>
  </si>
  <si>
    <t>-683.24;155.03</t>
  </si>
  <si>
    <t>-910.47;108.28</t>
  </si>
  <si>
    <t>-859.73;6.69</t>
  </si>
  <si>
    <t>SP_FlyingPig_XP_35000_0</t>
  </si>
  <si>
    <t>SP_Ghost02_Static_XP_0_42000</t>
  </si>
  <si>
    <t>-1003.67;74.79</t>
  </si>
  <si>
    <t>-1072.6;11.6</t>
  </si>
  <si>
    <t>SP_Ghost03_Static_XP_41000_0</t>
  </si>
  <si>
    <t>SP_BadWitch_XP_29000_0</t>
  </si>
  <si>
    <t>-985.64;-173.06</t>
  </si>
  <si>
    <t>SP_BatBig_Flock_XP_12000_0</t>
  </si>
  <si>
    <t>-916.04;71.26</t>
  </si>
  <si>
    <t>-1066.72;-219.89</t>
  </si>
  <si>
    <t>SP_BatSmall01_Flock_XP_0_20000</t>
  </si>
  <si>
    <t>-863.89;94.14</t>
  </si>
  <si>
    <t>SP_HermitCrabRedTurret_XP_35000_0</t>
  </si>
  <si>
    <t>-997.28;121.38</t>
  </si>
  <si>
    <t>-982.47;85.48</t>
  </si>
  <si>
    <t>SP_BatSmall01_Flock_XP_0_21000</t>
  </si>
  <si>
    <t>-1028.3;139.6</t>
  </si>
  <si>
    <t>-880.84;55.46</t>
  </si>
  <si>
    <t>-895.68;68.95</t>
  </si>
  <si>
    <t>SP_Ghost01_XP_0_37000</t>
  </si>
  <si>
    <t>-941.39;120.08</t>
  </si>
  <si>
    <t>-692.42;109.46</t>
  </si>
  <si>
    <t>-691.41003;69.33</t>
  </si>
  <si>
    <t>-875.04;90.29</t>
  </si>
  <si>
    <t>-885.28;133.52</t>
  </si>
  <si>
    <t>-1013.8;-346.2</t>
  </si>
  <si>
    <t>-743.47314;-349.08</t>
  </si>
  <si>
    <t>SP_StingrayLarge_XP_30000_0</t>
  </si>
  <si>
    <t>-737.2;-108.7</t>
  </si>
  <si>
    <t>-833.28;115.32</t>
  </si>
  <si>
    <t>-734.41;-344.66</t>
  </si>
  <si>
    <t>-1002.8;99.82</t>
  </si>
  <si>
    <t>-995.42;95.22</t>
  </si>
  <si>
    <t>-834.6;-21.79</t>
  </si>
  <si>
    <t>-854.57;92.68</t>
  </si>
  <si>
    <t>-698.71;8.69</t>
  </si>
  <si>
    <t>SP_BadJunk_XP_48000_0</t>
  </si>
  <si>
    <t>-712.7;121.99</t>
  </si>
  <si>
    <t>-697.53;-386.3418</t>
  </si>
  <si>
    <t>-706.2;121</t>
  </si>
  <si>
    <t>-806.01;-41.19</t>
  </si>
  <si>
    <t>-997.53;110.03</t>
  </si>
  <si>
    <t>-694.93;67.49</t>
  </si>
  <si>
    <t>-850.25;56.13</t>
  </si>
  <si>
    <t>-667.86;66.86</t>
  </si>
  <si>
    <t>-936.78;111.92</t>
  </si>
  <si>
    <t>-827.29;-26.67</t>
  </si>
  <si>
    <t>SP_Ghost01_XP_0_39000</t>
  </si>
  <si>
    <t>-874.61993;90.97</t>
  </si>
  <si>
    <t>SP_Unka_XP_0_30000</t>
  </si>
  <si>
    <t>SP_SpiderSmallTurret_XP_25000_0</t>
  </si>
  <si>
    <t>-883.37;120.21</t>
  </si>
  <si>
    <t>-1003.96;76.68</t>
  </si>
  <si>
    <t>-701.98;99.36</t>
  </si>
  <si>
    <t>SP_Mushroom_XP_40000_0</t>
  </si>
  <si>
    <t>-820.06;-436.27</t>
  </si>
  <si>
    <t>-671.54736;-191.77919</t>
  </si>
  <si>
    <t>-741.4;-428.2</t>
  </si>
  <si>
    <t>SP_Ghost02_Static_XP_0_45000</t>
  </si>
  <si>
    <t>-982.55;84.35</t>
  </si>
  <si>
    <t>Miner</t>
  </si>
  <si>
    <t>Surface/PF_RatGrey</t>
  </si>
  <si>
    <t>Junk/PF_MexicanPepper</t>
  </si>
  <si>
    <t>HermitCrabBlueBig-4</t>
  </si>
  <si>
    <t>HermitCrabBlueSmall-15</t>
  </si>
  <si>
    <t>Scarab-7</t>
  </si>
  <si>
    <t>HermitCrabBlueBig-10</t>
  </si>
  <si>
    <t>CentipedeBlue-10</t>
  </si>
  <si>
    <t>CentipedeBlue-17</t>
  </si>
  <si>
    <t>BadJunk-10</t>
  </si>
  <si>
    <t>FishDark-20</t>
  </si>
  <si>
    <t>Scarab-5</t>
  </si>
  <si>
    <t>CentipedeBlue-13</t>
  </si>
  <si>
    <t>Firefly-25</t>
  </si>
  <si>
    <t>-732.28;125.9</t>
  </si>
  <si>
    <t>-725.01;91.24</t>
  </si>
  <si>
    <t>SP_Ghost03_Static_XP_52000_0</t>
  </si>
  <si>
    <t>-779.66;99.55</t>
  </si>
  <si>
    <t>SP_JellyfishBlue_Static_XP_0_94000</t>
  </si>
  <si>
    <t>SP_PiranhaDark_XP_0_40000</t>
  </si>
  <si>
    <t>SP_JellyfishBlue_XP_0_78000</t>
  </si>
  <si>
    <t>-797.59;70.7</t>
  </si>
  <si>
    <t>-852.3;152.12</t>
  </si>
  <si>
    <t>SP_Ghost03_Static_XP_56000_0</t>
  </si>
  <si>
    <t>-954.85;64.2</t>
  </si>
  <si>
    <t>SP_HermitCrabBlueSmallTurret_XP_0_27000</t>
  </si>
  <si>
    <t>-890.52;123.67</t>
  </si>
  <si>
    <t>-854.7;164.27</t>
  </si>
  <si>
    <t>SP_JellyfishBlue_KILL_HermitCrabBlueBig-4_None-0</t>
  </si>
  <si>
    <t>-972.5;50.9</t>
  </si>
  <si>
    <t>SP_JellyfishBlue_XP_30000_0</t>
  </si>
  <si>
    <t>SP_MexicanPepper_XP_36500_0</t>
  </si>
  <si>
    <t>-960.51;63.53</t>
  </si>
  <si>
    <t>-873.22;-50.49</t>
  </si>
  <si>
    <t>-960.67;53.88</t>
  </si>
  <si>
    <t>SP_JellyfishRed_XP_100000_0</t>
  </si>
  <si>
    <t>-744.8;127.95</t>
  </si>
  <si>
    <t>SP_JellyfishBlue_KILL_HermitCrabBlueSmall-15_None-0</t>
  </si>
  <si>
    <t>-786.13;100.22</t>
  </si>
  <si>
    <t>-722.01;51.64</t>
  </si>
  <si>
    <t>-837.57;45.14</t>
  </si>
  <si>
    <t>-936.39;20.58</t>
  </si>
  <si>
    <t>SP_JellyfishBlue_Static_XP_0_92000</t>
  </si>
  <si>
    <t>-868.08;-42.54</t>
  </si>
  <si>
    <t>SP_JellyfishRed_XP_98000_0</t>
  </si>
  <si>
    <t>-689.71;93.7</t>
  </si>
  <si>
    <t>-875.87;-22.1</t>
  </si>
  <si>
    <t>-697.82;46.86</t>
  </si>
  <si>
    <t>-698.3;81.93</t>
  </si>
  <si>
    <t>-706.9;-402.3</t>
  </si>
  <si>
    <t>SP_Ghost03_XP_68000_0</t>
  </si>
  <si>
    <t>SP_Ghost03_XP_58000_0</t>
  </si>
  <si>
    <t>SP_JellyfishBlue_XP_38000_0</t>
  </si>
  <si>
    <t>SP_SpiderRed_XP_25500_0</t>
  </si>
  <si>
    <t>-802.23;86.45</t>
  </si>
  <si>
    <t>SP_JellyfishRed_Static_XP_90000_0</t>
  </si>
  <si>
    <t>SP_JellyfishRed_XP_76000_0</t>
  </si>
  <si>
    <t>-966.72;40.42</t>
  </si>
  <si>
    <t>SP_JellyfishRed_XP_84000_0</t>
  </si>
  <si>
    <t>-853.4;141.65</t>
  </si>
  <si>
    <t>SP_Ghost01_Static_XP_0_54000</t>
  </si>
  <si>
    <t>-813.33;-50.2</t>
  </si>
  <si>
    <t>SP_Scarab_KILL_Scarab-7_None-0</t>
  </si>
  <si>
    <t>-677.05;100.23</t>
  </si>
  <si>
    <t>SP_FishDark01_Generic_XP_45000_0</t>
  </si>
  <si>
    <t>-843.96;56.06</t>
  </si>
  <si>
    <t>SP_JellyfishBlue_XP_0_98000</t>
  </si>
  <si>
    <t>SP_FishDark01_Generic_XP_0_75000</t>
  </si>
  <si>
    <t>-1079;40.64</t>
  </si>
  <si>
    <t>-943.96;38.79</t>
  </si>
  <si>
    <t>SP_JellyfishRed_XP_78000_0</t>
  </si>
  <si>
    <t>-1076.45;-118.34</t>
  </si>
  <si>
    <t>-869.26;-122.9</t>
  </si>
  <si>
    <t>-1076.96;-8</t>
  </si>
  <si>
    <t>SP_JellyfishRed_KILL_HermitCrabBlueBig-10_None-0</t>
  </si>
  <si>
    <t>SP_JellyfishRed_XP_82000_0</t>
  </si>
  <si>
    <t>SP_Ghost01_Static_XP_0_32000</t>
  </si>
  <si>
    <t>-729.43;116.39</t>
  </si>
  <si>
    <t>-746.9;-381.4</t>
  </si>
  <si>
    <t>SP_JellyfishBlue_KILL_CentipedeBlue-10_None-0</t>
  </si>
  <si>
    <t>-721.19;111.66</t>
  </si>
  <si>
    <t>-831.17;-50.89</t>
  </si>
  <si>
    <t>-692.23;129.09</t>
  </si>
  <si>
    <t>-799.99;81.49</t>
  </si>
  <si>
    <t>-924.81;17.72</t>
  </si>
  <si>
    <t>-896.65;-142.66</t>
  </si>
  <si>
    <t>-1091.26;-117.56</t>
  </si>
  <si>
    <t>-963.5;79.42</t>
  </si>
  <si>
    <t>-861.92;-9.12</t>
  </si>
  <si>
    <t>-1114.07;-119.94</t>
  </si>
  <si>
    <t>SP_Ghost02_XP_0_68000</t>
  </si>
  <si>
    <t>-838.6;-44.79</t>
  </si>
  <si>
    <t>SP_Ghost02_XP_0_66000</t>
  </si>
  <si>
    <t>SP_FishDark01_Generic_XP_0_80000</t>
  </si>
  <si>
    <t>SP_HermitCrabBlueSmallTurret_XP_31000_0</t>
  </si>
  <si>
    <t>-673.43;86.91</t>
  </si>
  <si>
    <t>SP_FishDark02_Generic_XP_0_40000</t>
  </si>
  <si>
    <t>-818.89;107.56</t>
  </si>
  <si>
    <t>SP_JellyfishBlue_KILL_CentipedeBlue-15_CentipedeBlue-35</t>
  </si>
  <si>
    <t>-1079.73;-370.5</t>
  </si>
  <si>
    <t>SP_Ghost02_XP_27500_0</t>
  </si>
  <si>
    <t>SP_Ghost01_XP_0_64000</t>
  </si>
  <si>
    <t>SP_JellyfishBlue_Static_XP_0_88000</t>
  </si>
  <si>
    <t>SP_Ghost01_XP_0_60000</t>
  </si>
  <si>
    <t>SP_JellyfishRed_KILL_CentipedeBlue-10_None-0</t>
  </si>
  <si>
    <t>SP_JellyfishBlue_KILL_HermitCrabBlueBig-6_HermitCrabBlueBig-24</t>
  </si>
  <si>
    <t>SP_FireFly_XP_38500_0</t>
  </si>
  <si>
    <t>-929.33;-140.4</t>
  </si>
  <si>
    <t>-686.91;106.23</t>
  </si>
  <si>
    <t>SP_JellyfishBlue_Static_XP_0_86000</t>
  </si>
  <si>
    <t>SP_JellyfishBlue_XP_0_76000</t>
  </si>
  <si>
    <t>SP_JellyfishRed_Static_XP_88000_0</t>
  </si>
  <si>
    <t>SP_FishDark01_Generic_XP_0_90000</t>
  </si>
  <si>
    <t>SP_JellyfishRed_XP_43000_0</t>
  </si>
  <si>
    <t>-891.96;10.21</t>
  </si>
  <si>
    <t>SP_JellyfishRed_XP_86000_0</t>
  </si>
  <si>
    <t>-837.88;80.13</t>
  </si>
  <si>
    <t>-889.24;-136.94</t>
  </si>
  <si>
    <t>-823.67;103.28</t>
  </si>
  <si>
    <t>SP_Butterfly_KILL_CentipedeBlue-17_None-0</t>
  </si>
  <si>
    <t>SP_JellyfishBlue_XP_0_82000</t>
  </si>
  <si>
    <t>-742;98.81</t>
  </si>
  <si>
    <t>-888.96;6.77</t>
  </si>
  <si>
    <t>SP_PiranhaDark_XP_40000_0</t>
  </si>
  <si>
    <t>SP_Ghost02_Static_XP_0_50000</t>
  </si>
  <si>
    <t>SP_HermitCrabBlueSmallTurret_XP_43000_0</t>
  </si>
  <si>
    <t>-893.64;3.96</t>
  </si>
  <si>
    <t>SP_JellyfishBlue_XP_32000_0</t>
  </si>
  <si>
    <t>-1059.13;-10.23</t>
  </si>
  <si>
    <t>-908.91;5.01</t>
  </si>
  <si>
    <t>SP_EnemyTier2_XP_42000_0</t>
  </si>
  <si>
    <t>-735.09;109.32</t>
  </si>
  <si>
    <t>-865.92;-31.61</t>
  </si>
  <si>
    <t>-918.86;-1.93</t>
  </si>
  <si>
    <t>-687.23;144.73</t>
  </si>
  <si>
    <t>SP_JellyfishRed_Static_XP_94000_0</t>
  </si>
  <si>
    <t>SP_JellyfishRed_XP_80000_0</t>
  </si>
  <si>
    <t>SP_Ghost03_XP_62000_0</t>
  </si>
  <si>
    <t>SP_JellyfishBlue_KILL_HermitCrabBlueBig-8_None-0</t>
  </si>
  <si>
    <t>-879.31;144.14</t>
  </si>
  <si>
    <t>-830.09;50.48</t>
  </si>
  <si>
    <t>SP_FireFly_KILL_Firefly-30_BadJunk-10</t>
  </si>
  <si>
    <t>-1049.24;-365.12</t>
  </si>
  <si>
    <t>SP_Ghost03_XP_64000_0</t>
  </si>
  <si>
    <t>SP_Ghost01_Static_XP_0_52000</t>
  </si>
  <si>
    <t>-756.8;122.2</t>
  </si>
  <si>
    <t>SP_Shark_KILL_FishDark-20_None-0</t>
  </si>
  <si>
    <t>SP_Ghost03_XP_60000_0</t>
  </si>
  <si>
    <t>SP_Ghost03_Static_XP_74000_0</t>
  </si>
  <si>
    <t>SP_JellyfishBlue_XP_0_80000</t>
  </si>
  <si>
    <t>SP_MushroomBig_XP_33000_0</t>
  </si>
  <si>
    <t>SP_JellyfishBlue_XP_0_84000</t>
  </si>
  <si>
    <t>-962.35;58.63</t>
  </si>
  <si>
    <t>-822.05;78.94</t>
  </si>
  <si>
    <t>-840.54;52.92</t>
  </si>
  <si>
    <t>-711.65;-3.45</t>
  </si>
  <si>
    <t>-908.5;-382.5</t>
  </si>
  <si>
    <t>SP_Ghost03_XP_72000_0</t>
  </si>
  <si>
    <t>-973.18;61.7</t>
  </si>
  <si>
    <t>SP_Ghost01_XP_0_28000</t>
  </si>
  <si>
    <t>SP_BatBig_Flock_XP_26500_0</t>
  </si>
  <si>
    <t>SP_Ghost03_Static_XP_355000_0</t>
  </si>
  <si>
    <t>-969.56;55.7</t>
  </si>
  <si>
    <t>-735.07;139.89</t>
  </si>
  <si>
    <t>-695.99;51.79</t>
  </si>
  <si>
    <t>-890.79;-46.86</t>
  </si>
  <si>
    <t>-848.81;85.32</t>
  </si>
  <si>
    <t>-836.9;-126.1</t>
  </si>
  <si>
    <t>SP_Ghost01_XP_0_62000</t>
  </si>
  <si>
    <t>SP_Ghost02_Static_XP_0_72000</t>
  </si>
  <si>
    <t>-1038.8;-47.73</t>
  </si>
  <si>
    <t>-900.58;7.5</t>
  </si>
  <si>
    <t>-678.2;-386.2</t>
  </si>
  <si>
    <t>SP_Ghost01_XP_0_56000</t>
  </si>
  <si>
    <t>SP_Scarab_KILL_Scarab-5_None-0</t>
  </si>
  <si>
    <t>SP_Ghost02_XP_0_70000</t>
  </si>
  <si>
    <t>SP_Ghost03_Static_XP_54000_0</t>
  </si>
  <si>
    <t>SP_HermitCrabRedTurret_XP_24000_0</t>
  </si>
  <si>
    <t>-919.81;9.33</t>
  </si>
  <si>
    <t>-896.41;-34.12</t>
  </si>
  <si>
    <t>-694.77;73.13</t>
  </si>
  <si>
    <t>SP_JellyfishRed_Static_XP_92000_0</t>
  </si>
  <si>
    <t>-813.93;116.14</t>
  </si>
  <si>
    <t>SP_JellyfishBlue_XP_0_96000</t>
  </si>
  <si>
    <t>-727.12;149.52</t>
  </si>
  <si>
    <t>SP_FishDark03_Generic_XP_0_50000</t>
  </si>
  <si>
    <t>-932.13;32.1</t>
  </si>
  <si>
    <t>-929.84;10.85</t>
  </si>
  <si>
    <t>-710.6;86.84</t>
  </si>
  <si>
    <t>SP_JellyfishBlue_XP_0_74000</t>
  </si>
  <si>
    <t>SP_Ghost03_XP_66000_0</t>
  </si>
  <si>
    <t>SP_Butterfly_KILL_CentipedeBlue-13_None-0</t>
  </si>
  <si>
    <t>SP_MushroomBig_XP_31000_0</t>
  </si>
  <si>
    <t>SP_Ghost01_XP_0_58000</t>
  </si>
  <si>
    <t>-672.68;134.43</t>
  </si>
  <si>
    <t>SP_CentipedeRed_XP_33000_0</t>
  </si>
  <si>
    <t>SP_Scarab_KILL_Firefly-25_None-0</t>
  </si>
  <si>
    <t>-843.5;40.37</t>
  </si>
  <si>
    <t>SP_FishDark01_Generic_XP_50000_0</t>
  </si>
  <si>
    <t>-657.8;-406.4</t>
  </si>
  <si>
    <t>SP_EnemyTier3_XP_0_33000</t>
  </si>
  <si>
    <t>-692.45;98.89</t>
  </si>
  <si>
    <t>SP_JellyfishBlue_Static_XP_0_90000</t>
  </si>
  <si>
    <t>-958.84;33.8</t>
  </si>
  <si>
    <t>-953.36;51.89</t>
  </si>
  <si>
    <t>SP_JellyfishRed_Static_XP_96000_0</t>
  </si>
  <si>
    <t>-846.07;79.68</t>
  </si>
  <si>
    <t>-676.46;110.22</t>
  </si>
  <si>
    <t>SP_Ghost03_XP_70000_0</t>
  </si>
  <si>
    <t>-718.56;141.1</t>
  </si>
  <si>
    <t>-795.13;98.48</t>
  </si>
  <si>
    <t>-847.99;-27.93</t>
  </si>
  <si>
    <t>-583.5;-167.26</t>
  </si>
  <si>
    <t>SP_Canary_Random_Flock_XP_0_13000</t>
  </si>
  <si>
    <t>39.669983;49.33</t>
  </si>
  <si>
    <t>-292.7;160.08</t>
  </si>
  <si>
    <t>SP_Ghost03_Static_XP_30000_0</t>
  </si>
  <si>
    <t>360.38;55.06</t>
  </si>
  <si>
    <t>SP_EnemyTier0_XP_3000_0</t>
  </si>
  <si>
    <t>354.04;53.55</t>
  </si>
  <si>
    <t>SP_Ghost02_Static_XP_19000_0</t>
  </si>
  <si>
    <t>-606.05;-151.9</t>
  </si>
  <si>
    <t>SP_Ghost01_XP_5000_0</t>
  </si>
  <si>
    <t>-235.06;84.93</t>
  </si>
  <si>
    <t>295.10004;42.06</t>
  </si>
  <si>
    <t>SP_MineMedium_Static_XP_9100_0</t>
  </si>
  <si>
    <t>-96.2;29.6</t>
  </si>
  <si>
    <t>SP_BadJunk_XP_25000_0</t>
  </si>
  <si>
    <t>-313.57;44.99</t>
  </si>
  <si>
    <t>-295.8;54.5</t>
  </si>
  <si>
    <t>-562.6;-178.1</t>
  </si>
  <si>
    <t>-641.02;-171.38</t>
  </si>
  <si>
    <t>89.04004;42.07</t>
  </si>
  <si>
    <t>SP_BatBig_Flock_XP_6650_0</t>
  </si>
  <si>
    <t>-305.99;-140.7</t>
  </si>
  <si>
    <t>SP_LionBird_KILL_Sheep-5_None-0</t>
  </si>
  <si>
    <t>-88.68;156.1</t>
  </si>
  <si>
    <t>SP_Crow_Flock_XP_34000_0</t>
  </si>
  <si>
    <t>-508.8;-39.2</t>
  </si>
  <si>
    <t>SP_BatBig_Flock_XP_6500_0</t>
  </si>
  <si>
    <t>SP_Canary_Random_Flock_XP_3700_0</t>
  </si>
  <si>
    <t>-466.5;131.4</t>
  </si>
  <si>
    <t>-553.91;74.68</t>
  </si>
  <si>
    <t>SP_Sheep_XP_3000_0</t>
  </si>
  <si>
    <t>-234.27;-13.82</t>
  </si>
  <si>
    <t>SP_Ghost01_XP_0_4000</t>
  </si>
  <si>
    <t>-198.6;183.9</t>
  </si>
  <si>
    <t>-239.89;24.12</t>
  </si>
  <si>
    <t>365.56003;29.03</t>
  </si>
  <si>
    <t>SP_Ghost01_XP_10000_0</t>
  </si>
  <si>
    <t>SP_Canary_Random_Flock_XP_8000_0</t>
  </si>
  <si>
    <t>259.64;125.27</t>
  </si>
  <si>
    <t>-347.4;195.7</t>
  </si>
  <si>
    <t>SP_Canary02_Flock_XP_0_48000</t>
  </si>
  <si>
    <t>-39.9;193.3</t>
  </si>
  <si>
    <t>-411.76;-154.53</t>
  </si>
  <si>
    <t>-378.22;39.93</t>
  </si>
  <si>
    <t>SP_Kamikaze_XP_4500_0</t>
  </si>
  <si>
    <t>-613;-171.4</t>
  </si>
  <si>
    <t>SP_EnemyTier0_XP_11000_0</t>
  </si>
  <si>
    <t>236.70001;105.3</t>
  </si>
  <si>
    <t>347.81003;103.98</t>
  </si>
  <si>
    <t>344.80002;156.4</t>
  </si>
  <si>
    <t>SP_Starling_Flock_XP_8000_0</t>
  </si>
  <si>
    <t>248.54004;52.85</t>
  </si>
  <si>
    <t>SP_MineMedium_XP_8000_0</t>
  </si>
  <si>
    <t>SP_Ghost01_Static_XP_1000_0</t>
  </si>
  <si>
    <t>-269.65;83.54</t>
  </si>
  <si>
    <t>-349.5;85.4</t>
  </si>
  <si>
    <t>-142.6;78.3</t>
  </si>
  <si>
    <t>-646.69;-160.73</t>
  </si>
  <si>
    <t>SP_Canary_Mix_Flock_XP_0_16000</t>
  </si>
  <si>
    <t>SP_EnemyTier1_XP_6000_0</t>
  </si>
  <si>
    <t>SP_Ghost03_Static_XP_25000_0</t>
  </si>
  <si>
    <t>333.55002;45.7</t>
  </si>
  <si>
    <t>SP_Villager01_XP_16000_0</t>
  </si>
  <si>
    <t>94.03003;42.11</t>
  </si>
  <si>
    <t>-26.03;136.23</t>
  </si>
  <si>
    <t>SP_LionBird_XP_12000_0</t>
  </si>
  <si>
    <t>350.40002;53.79</t>
  </si>
  <si>
    <t>-255;184.8</t>
  </si>
  <si>
    <t>-274.9;-3.37</t>
  </si>
  <si>
    <t>SP_Sheep_XP_0_14000</t>
  </si>
  <si>
    <t>SP_MineSmall_Static_XP_5000_0</t>
  </si>
  <si>
    <t>SP_Bomber_XP_66000_0</t>
  </si>
  <si>
    <t>SP_Ghost03_Static_XP_29000_0</t>
  </si>
  <si>
    <t>SP_Rat_XP_0_24000</t>
  </si>
  <si>
    <t>SP_Villager_Mix_XP_0_8000</t>
  </si>
  <si>
    <t>183.45001;42.72</t>
  </si>
  <si>
    <t>SP_Canary_Random_Flock_XP_0_17000</t>
  </si>
  <si>
    <t>-462.75;-54.31</t>
  </si>
  <si>
    <t>-488.2;-187</t>
  </si>
  <si>
    <t>SP_SpiderSmall_XP_5000_0</t>
  </si>
  <si>
    <t>136.6;139</t>
  </si>
  <si>
    <t>SP_Villager01_Static_XP_0_17000</t>
  </si>
  <si>
    <t>SP_BadJunk_XP_15500_0</t>
  </si>
  <si>
    <t>81.380035;63.9</t>
  </si>
  <si>
    <t>-348.4;200.7</t>
  </si>
  <si>
    <t>SP_Canary01_Flock_XP_0_25000</t>
  </si>
  <si>
    <t>-202.45001;18.7</t>
  </si>
  <si>
    <t>SP_Canary_Random_Flock_XP_6000_0</t>
  </si>
  <si>
    <t>SP_BadJunk_XP_18000_0</t>
  </si>
  <si>
    <t>47.799988;80.19</t>
  </si>
  <si>
    <t>-340.76;-1.55</t>
  </si>
  <si>
    <t>SP_Villager01_XP_3100_0</t>
  </si>
  <si>
    <t>183.75363;10.818485</t>
  </si>
  <si>
    <t>SP_Troll_XP_8000_0</t>
  </si>
  <si>
    <t>SP_MineBig_XP_17000_0</t>
  </si>
  <si>
    <t>80.160034;127.86</t>
  </si>
  <si>
    <t>241.86002;164.1</t>
  </si>
  <si>
    <t>SP_BadFarmer_XP_14000_0</t>
  </si>
  <si>
    <t>97.80002;42.07</t>
  </si>
  <si>
    <t>-617.3;-197.7</t>
  </si>
  <si>
    <t>SP_SpiderRed_XP_8000_0</t>
  </si>
  <si>
    <t>323.30002;102.2</t>
  </si>
  <si>
    <t>SP_SpiderSmall_XP_0_27000</t>
  </si>
  <si>
    <t>299.2;94.3</t>
  </si>
  <si>
    <t>SP_Villager01_XP_0_30000</t>
  </si>
  <si>
    <t>162.37003;84.34</t>
  </si>
  <si>
    <t>78.70001;91.69</t>
  </si>
  <si>
    <t>SP_Cow_XP_20000_30000</t>
  </si>
  <si>
    <t>136.28003;42.76</t>
  </si>
  <si>
    <t>SP_EnemyTier1_XP_6500_0</t>
  </si>
  <si>
    <t>247.01001;131.03</t>
  </si>
  <si>
    <t>262.30002;89.6</t>
  </si>
  <si>
    <t>124.70001;61.39</t>
  </si>
  <si>
    <t>SP_SpiderRed_XP_4500_0</t>
  </si>
  <si>
    <t>-186.91;120.9</t>
  </si>
  <si>
    <t>SP_Crow_Flock_XP_0_26000</t>
  </si>
  <si>
    <t>308.50003;57</t>
  </si>
  <si>
    <t>SP_Canary01_Flock_XP_0_16000</t>
  </si>
  <si>
    <t>-440.3;103.5</t>
  </si>
  <si>
    <t>205.10004;40.4</t>
  </si>
  <si>
    <t>SP_Ghost03_Static_XP_55000_0</t>
  </si>
  <si>
    <t>261.59003;43.02</t>
  </si>
  <si>
    <t>SP_Villager01_Static_XP_0_1600</t>
  </si>
  <si>
    <t>-5;125.37</t>
  </si>
  <si>
    <t>283.28003;109.04</t>
  </si>
  <si>
    <t>SP_Canary_Random_Flock_XP_1400_0</t>
  </si>
  <si>
    <t>121.899994;135.1</t>
  </si>
  <si>
    <t>SP_MineBig_XP_18500_0</t>
  </si>
  <si>
    <t>SP_Worker01_XP_0_7000</t>
  </si>
  <si>
    <t>67.72003;119.62</t>
  </si>
  <si>
    <t>-65.98;-100.54</t>
  </si>
  <si>
    <t>SP_Canary01_Flock_XP_0_20000</t>
  </si>
  <si>
    <t>-260.9;87</t>
  </si>
  <si>
    <t>-159.77;-57.16</t>
  </si>
  <si>
    <t>254.20001;55.6</t>
  </si>
  <si>
    <t>SP_BadJunk_XP_5500_0</t>
  </si>
  <si>
    <t>SP_BadJunk_XP_30000_0</t>
  </si>
  <si>
    <t>-474.4;8.94</t>
  </si>
  <si>
    <t>-646.65;-165.44</t>
  </si>
  <si>
    <t>-446.34;-42.31</t>
  </si>
  <si>
    <t>199.21002;80.99</t>
  </si>
  <si>
    <t>SP_Sheep_XP_0_16000</t>
  </si>
  <si>
    <t>160.02002;42.6</t>
  </si>
  <si>
    <t>-570.44;104.25</t>
  </si>
  <si>
    <t>190.83002;63.8</t>
  </si>
  <si>
    <t>SP_LionBird_XP_5000_0</t>
  </si>
  <si>
    <t>-225.83;-149.36</t>
  </si>
  <si>
    <t>-661.76;-108.6</t>
  </si>
  <si>
    <t>SP_Starling_Flock_XP_4000_0</t>
  </si>
  <si>
    <t>89.51001;125.4</t>
  </si>
  <si>
    <t>SP_Archer01_Static_XP_5500_0</t>
  </si>
  <si>
    <t>SP_MineMedium_Static_XP_8000_0</t>
  </si>
  <si>
    <t>-590.7;-106</t>
  </si>
  <si>
    <t>SP_Bomber_XP_74000_0</t>
  </si>
  <si>
    <t>-400.05;-135.3</t>
  </si>
  <si>
    <t>SP_BadJunk_XP_20000_0</t>
  </si>
  <si>
    <t>-119.05;7.46</t>
  </si>
  <si>
    <t>SP_Canary_Mix_Flock_XP_0_24000</t>
  </si>
  <si>
    <t>-419.77;-72.78</t>
  </si>
  <si>
    <t>330.90002;118.8</t>
  </si>
  <si>
    <t>SP_Piranha_XP_7000_0</t>
  </si>
  <si>
    <t>SP_Canary02_Flock_XP_0_9000</t>
  </si>
  <si>
    <t>-147.1;-41.7</t>
  </si>
  <si>
    <t>-526.58;153</t>
  </si>
  <si>
    <t>SP_Canary_Random_Flock_XP_0_5000</t>
  </si>
  <si>
    <t>SP_Piranha_XP_3200_0</t>
  </si>
  <si>
    <t>352.90002;70.9</t>
  </si>
  <si>
    <t>SP_Canary_Mix_Flock_XP_0_11000</t>
  </si>
  <si>
    <t>SP_Crow_Flock_XP_0_7000</t>
  </si>
  <si>
    <t>181.50003;108.29</t>
  </si>
  <si>
    <t>SP_Horse_XP_3500_0</t>
  </si>
  <si>
    <t>SP_SpiderSmall_XP_0_21000</t>
  </si>
  <si>
    <t>SP_BatBig_Flock_XP_5650_0</t>
  </si>
  <si>
    <t>SP_Sheep_XP_0_12000</t>
  </si>
  <si>
    <t>138.75003;41.86</t>
  </si>
  <si>
    <t>288.80002;27.41</t>
  </si>
  <si>
    <t>SP_Kamikaze_XP_24000_0</t>
  </si>
  <si>
    <t>375.85004;29.76</t>
  </si>
  <si>
    <t>SP_BG_Crow</t>
  </si>
  <si>
    <t>351.85;125.49</t>
  </si>
  <si>
    <t>-456.98;89.511</t>
  </si>
  <si>
    <t>SP_BatBig_Flock_XP_4750_0</t>
  </si>
  <si>
    <t>-122.64;-64.93</t>
  </si>
  <si>
    <t>SP_Kamikaze_XP_12000_0</t>
  </si>
  <si>
    <t>209.22003;28.68</t>
  </si>
  <si>
    <t>281.08002;90.8</t>
  </si>
  <si>
    <t>-89.43;53.06</t>
  </si>
  <si>
    <t>SP_Troll_XP_9500_0</t>
  </si>
  <si>
    <t>-52.1;201.3</t>
  </si>
  <si>
    <t>SP_Ghost03_XP_10000_0</t>
  </si>
  <si>
    <t>-662;-185.4</t>
  </si>
  <si>
    <t>-346.4;3.07</t>
  </si>
  <si>
    <t>301.67004;27.94</t>
  </si>
  <si>
    <t>186.05002;47.4</t>
  </si>
  <si>
    <t>349.10004;156.7</t>
  </si>
  <si>
    <t>-657.2;-188.4</t>
  </si>
  <si>
    <t>SP_Kamikaze_XP_18000_0</t>
  </si>
  <si>
    <t>SP_Sheep_XP_16000_0</t>
  </si>
  <si>
    <t>127.26001;42.6</t>
  </si>
  <si>
    <t>283.5;89.6</t>
  </si>
  <si>
    <t>-482.95;-148.97</t>
  </si>
  <si>
    <t>76.93002;102.41</t>
  </si>
  <si>
    <t>-150;203.5</t>
  </si>
  <si>
    <t>-289.04;-79.46</t>
  </si>
  <si>
    <t>SP_MineBig_XP_30500_0</t>
  </si>
  <si>
    <t>SP_Cage_KILL_Villager01-10_None-0</t>
  </si>
  <si>
    <t>-468.72;156.5</t>
  </si>
  <si>
    <t>-287.5;69.1</t>
  </si>
  <si>
    <t>-459.45;65.58</t>
  </si>
  <si>
    <t>SP_Ghost03_Static_XP_27000_0</t>
  </si>
  <si>
    <t>311.79004;49.59</t>
  </si>
  <si>
    <t>-46.6;182.4</t>
  </si>
  <si>
    <t>SP_Sheep_XP_0_35000</t>
  </si>
  <si>
    <t>81.56003;41.13</t>
  </si>
  <si>
    <t>-542.94;-141.69</t>
  </si>
  <si>
    <t>SP_MineMedium_XP_15000_0</t>
  </si>
  <si>
    <t>208.8;89.5</t>
  </si>
  <si>
    <t>-531.2;93.46</t>
  </si>
  <si>
    <t>SP_SpiderSmall_XP_4200_0</t>
  </si>
  <si>
    <t>SP_PufferBird_TIME_120_0</t>
  </si>
  <si>
    <t>-409.1;-141</t>
  </si>
  <si>
    <t>SP_Ghost03_XP_8400_0</t>
  </si>
  <si>
    <t>-84.83;24.86</t>
  </si>
  <si>
    <t>SP_Villager01_XP_0_5000</t>
  </si>
  <si>
    <t>-519.14;104.25</t>
  </si>
  <si>
    <t>SP_Villager01_Static_XP_0_8000</t>
  </si>
  <si>
    <t>162.24002;9.12</t>
  </si>
  <si>
    <t>SP_Ghost02_Static_XP_18000_0</t>
  </si>
  <si>
    <t>173.39001;67.32</t>
  </si>
  <si>
    <t>SP_Troll_XP_15000_0</t>
  </si>
  <si>
    <t>91.78003;59.63</t>
  </si>
  <si>
    <t>SP_Archer02_XP_16000_0</t>
  </si>
  <si>
    <t>178.90002;13.74</t>
  </si>
  <si>
    <t>SP_Canary_Random_Flock_XP_0_27000</t>
  </si>
  <si>
    <t>131.4;109.7</t>
  </si>
  <si>
    <t>201.89001;131</t>
  </si>
  <si>
    <t>-530.28;20.46</t>
  </si>
  <si>
    <t>SP_BatBig_Flock_XP_24000_0</t>
  </si>
  <si>
    <t>-418.73;-21.74</t>
  </si>
  <si>
    <t>SP_Ghost01_Static_XP_6000_0</t>
  </si>
  <si>
    <t>-126.68;-71.27</t>
  </si>
  <si>
    <t>-545.7;-179.6</t>
  </si>
  <si>
    <t>-174.35;138.4</t>
  </si>
  <si>
    <t>SP_Rat_XP_0_20000</t>
  </si>
  <si>
    <t>-264.32;-135.24</t>
  </si>
  <si>
    <t>SP_Rat_XP_0_21000</t>
  </si>
  <si>
    <t>180.62003;75.03</t>
  </si>
  <si>
    <t>SP_PufferBird_XP_0_27000</t>
  </si>
  <si>
    <t>-408.26;-162.25</t>
  </si>
  <si>
    <t>SP_Canary_Random_Flock_XP_1700_0</t>
  </si>
  <si>
    <t>-225.7;0.46</t>
  </si>
  <si>
    <t>SP_BadJunk_XP_17000_0</t>
  </si>
  <si>
    <t>-115.69;10.83</t>
  </si>
  <si>
    <t>SP_SpiderRed_TIME_200_0</t>
  </si>
  <si>
    <t>129.98001;79.1</t>
  </si>
  <si>
    <t>SP_Canary_Mix_Flock_XP_0_10000</t>
  </si>
  <si>
    <t>2.78;76.36</t>
  </si>
  <si>
    <t>-215;191.2</t>
  </si>
  <si>
    <t>-104.4;28.5</t>
  </si>
  <si>
    <t>-545.85;-149.37</t>
  </si>
  <si>
    <t>SP_SpiderSmall_XP_0_13000</t>
  </si>
  <si>
    <t>-564.04;83.32</t>
  </si>
  <si>
    <t>SP_Ghost01_Static_XP_10500_0</t>
  </si>
  <si>
    <t>131.52002;85.53</t>
  </si>
  <si>
    <t>SP_MineBig_XP_35000_0</t>
  </si>
  <si>
    <t>182.01;106.61</t>
  </si>
  <si>
    <t>-590.1;-163.2</t>
  </si>
  <si>
    <t>SP_MineSmall_TIME_95_0</t>
  </si>
  <si>
    <t>-108.73;47.23</t>
  </si>
  <si>
    <t>-490.8;-278.2</t>
  </si>
  <si>
    <t>-297.97;46</t>
  </si>
  <si>
    <t>SP_Canary02_Flock_XP_0_25000</t>
  </si>
  <si>
    <t>140.41003;53.63</t>
  </si>
  <si>
    <t>SP_Ghost01_XP_0_5000</t>
  </si>
  <si>
    <t>-440.1;-219</t>
  </si>
  <si>
    <t>-77.74;47.15</t>
  </si>
  <si>
    <t>-549.5;-182.67</t>
  </si>
  <si>
    <t>-42.47;21.14</t>
  </si>
  <si>
    <t>SP_Archer01_KILL_Villager01-3_None-0</t>
  </si>
  <si>
    <t>169.58363;1.2484856</t>
  </si>
  <si>
    <t>SP_EnemyTier2_XP_14000_20000</t>
  </si>
  <si>
    <t>52.50003;62.43</t>
  </si>
  <si>
    <t>-461.9;-149.24</t>
  </si>
  <si>
    <t>327.63;29</t>
  </si>
  <si>
    <t>-539.93;62.55</t>
  </si>
  <si>
    <t>-104.29;43.81</t>
  </si>
  <si>
    <t>341.90002;62.5</t>
  </si>
  <si>
    <t>SP_BadJunk_XP_6500_0</t>
  </si>
  <si>
    <t>SP_Ghost01_XP_2200_0</t>
  </si>
  <si>
    <t>-469.3;-188.8</t>
  </si>
  <si>
    <t>-199.4;-127.78</t>
  </si>
  <si>
    <t>SP_Villager01_XP_4000_8000</t>
  </si>
  <si>
    <t>84.31003;42.11</t>
  </si>
  <si>
    <t>SP_Canary_Random_Flock_XP_0_20000</t>
  </si>
  <si>
    <t>-322.8;25.6</t>
  </si>
  <si>
    <t>357.02;114.62</t>
  </si>
  <si>
    <t>SP_SpiderSmall_XP_0_15000</t>
  </si>
  <si>
    <t>SP_LionBird_TIME_120_0</t>
  </si>
  <si>
    <t>SP_VillagerGirl_Static_XP_0_4000</t>
  </si>
  <si>
    <t>69.53;69.94</t>
  </si>
  <si>
    <t>SP_Sheep_XP_0_4000</t>
  </si>
  <si>
    <t>229.45001;24.49</t>
  </si>
  <si>
    <t>SP_EnemyTier1_XP_10000_16000</t>
  </si>
  <si>
    <t>56.900024;58.6</t>
  </si>
  <si>
    <t>73.79999;164.8</t>
  </si>
  <si>
    <t>110.899994;162.7</t>
  </si>
  <si>
    <t>254.6;138</t>
  </si>
  <si>
    <t>SP_EnemyTier0_XP_3500_0</t>
  </si>
  <si>
    <t>SP_Bomber_XP_50000_0</t>
  </si>
  <si>
    <t>SP_Spartakus_XP_7000_0</t>
  </si>
  <si>
    <t>69.60004;119.12</t>
  </si>
  <si>
    <t>SP_Ghost02_XP_17000_0</t>
  </si>
  <si>
    <t>206.37003;55.02</t>
  </si>
  <si>
    <t>-159.38;-47.33</t>
  </si>
  <si>
    <t>210.17001;58.33</t>
  </si>
  <si>
    <t>-321.531;-139.706</t>
  </si>
  <si>
    <t>192.11002;130.27</t>
  </si>
  <si>
    <t>259.15;132.07</t>
  </si>
  <si>
    <t>SP_MexicanPepper_XP_8000_0</t>
  </si>
  <si>
    <t>-314.7;26.8</t>
  </si>
  <si>
    <t>SP_Villager01_Static_XP_0_3000</t>
  </si>
  <si>
    <t>379.64;29.76</t>
  </si>
  <si>
    <t>-78.14;99</t>
  </si>
  <si>
    <t>SP_Canary_Random_Flock_XP_0_3500</t>
  </si>
  <si>
    <t>SP_LionBird_XP_0_10500</t>
  </si>
  <si>
    <t>355.57;102.73</t>
  </si>
  <si>
    <t>-365.35;-131.17</t>
  </si>
  <si>
    <t>-359.1;-48.8</t>
  </si>
  <si>
    <t>SP_Canary01_Flock_XP_2500_0</t>
  </si>
  <si>
    <t>-175.95;71.1</t>
  </si>
  <si>
    <t>SP_Canary_Random_Flock_XP_0_9500</t>
  </si>
  <si>
    <t>SP_SpiderSmall_XP_0_16000</t>
  </si>
  <si>
    <t>SP_Ghost01_Static_XP_0_5800</t>
  </si>
  <si>
    <t>-53.74;42.73</t>
  </si>
  <si>
    <t>-404.8;66.6</t>
  </si>
  <si>
    <t>-405.63;-163.96</t>
  </si>
  <si>
    <t>329.4;186.4</t>
  </si>
  <si>
    <t>SP_EnemyTier4_TIME_345_0</t>
  </si>
  <si>
    <t>307.30002;54.64</t>
  </si>
  <si>
    <t>SP_Bomber_XP_40000_0</t>
  </si>
  <si>
    <t>SP_Crow_Flock_XP_12000_0</t>
  </si>
  <si>
    <t>227.19003;99.07</t>
  </si>
  <si>
    <t>SP_BadFarmer_XP_4000_0</t>
  </si>
  <si>
    <t>91.35004;60.05</t>
  </si>
  <si>
    <t>SP_Canary_Random_Flock_XP_0_21000</t>
  </si>
  <si>
    <t>SP_PufferBird_XP_6000_0</t>
  </si>
  <si>
    <t>SP_Rat_XP_0_22000</t>
  </si>
  <si>
    <t>278.47003;166.79</t>
  </si>
  <si>
    <t>SP_MineMedium_Static_XP_13000_0</t>
  </si>
  <si>
    <t>298.90002;42.6</t>
  </si>
  <si>
    <t>-206.79;-93</t>
  </si>
  <si>
    <t>SP_VillagerGirl_Static_XP_0_3500</t>
  </si>
  <si>
    <t>SP_MineSmall_Static_XP_5500_0</t>
  </si>
  <si>
    <t>SP_Canary_Mix_Flock_XP_0_22000</t>
  </si>
  <si>
    <t>-606;-118.8</t>
  </si>
  <si>
    <t>-300.6;195.3</t>
  </si>
  <si>
    <t>-609.25;-148.6</t>
  </si>
  <si>
    <t>SP_Cow_XP_2200_0</t>
  </si>
  <si>
    <t>-32.87;91.6</t>
  </si>
  <si>
    <t>110.84003;42.6</t>
  </si>
  <si>
    <t>SP_Villager02_XP_0_7000</t>
  </si>
  <si>
    <t>126.18002;94.14</t>
  </si>
  <si>
    <t>SP_BadJunk_XP_15000_0</t>
  </si>
  <si>
    <t>-491;-286.4</t>
  </si>
  <si>
    <t>237.22003;24.49</t>
  </si>
  <si>
    <t>244.72003;164.1</t>
  </si>
  <si>
    <t>SP_EnemyTier3_XP_26000_0</t>
  </si>
  <si>
    <t>174.50003;20.9</t>
  </si>
  <si>
    <t>SP_EnemyTier3_XP_20000_0</t>
  </si>
  <si>
    <t>189.87003;42.07</t>
  </si>
  <si>
    <t>-465.29175;-151.31534</t>
  </si>
  <si>
    <t>-100.23;31.92</t>
  </si>
  <si>
    <t>SP_SpiderSmall_XP_2800_0</t>
  </si>
  <si>
    <t>SP_Canary_Random_Flock_XP_4000_10000</t>
  </si>
  <si>
    <t>261.5;137.84</t>
  </si>
  <si>
    <t>-151.4;165.6</t>
  </si>
  <si>
    <t>SP_MineSmall_Static_TIME_80_0</t>
  </si>
  <si>
    <t>-77.12;41.84</t>
  </si>
  <si>
    <t>SP_Sheep_XP_2400_0</t>
  </si>
  <si>
    <t>-233.65;-51.91</t>
  </si>
  <si>
    <t>SP_Ghost03_Static_XP_26000_0</t>
  </si>
  <si>
    <t>SP_Ghost03_Static_XP_50000_0</t>
  </si>
  <si>
    <t>262.10004;76.02</t>
  </si>
  <si>
    <t>-113.57;49.91</t>
  </si>
  <si>
    <t>-280.44;-134.49</t>
  </si>
  <si>
    <t>SP_Ghost02_XP_11000_0</t>
  </si>
  <si>
    <t>-489.88;129.4</t>
  </si>
  <si>
    <t>SP_Ghost01_XP_8000_0</t>
  </si>
  <si>
    <t>SP_Cow_XP_1800_0</t>
  </si>
  <si>
    <t>-395.43;-29.4</t>
  </si>
  <si>
    <t>SP_Canary_Random_Flock_XP_7000_0</t>
  </si>
  <si>
    <t>-438.1;140.9</t>
  </si>
  <si>
    <t>-424.96;-56.48</t>
  </si>
  <si>
    <t>144.50003;115.6</t>
  </si>
  <si>
    <t>-504.57;-222.82</t>
  </si>
  <si>
    <t>SP_EnemyTier0_XP_8000_14000</t>
  </si>
  <si>
    <t>251.58002;113.68</t>
  </si>
  <si>
    <t>67.900024;124.4</t>
  </si>
  <si>
    <t>SP_Horse_Static_XP_0_16000</t>
  </si>
  <si>
    <t>313.87003;29</t>
  </si>
  <si>
    <t>SP_Hawk_XP_6500_0</t>
  </si>
  <si>
    <t>278.80002;69.8</t>
  </si>
  <si>
    <t>SP_SpiderGreenTurret_XP_5000_0</t>
  </si>
  <si>
    <t>SP_Canary_Random_Flock_XP_0_30000</t>
  </si>
  <si>
    <t>126.149994;63.81</t>
  </si>
  <si>
    <t>SP_Canary_Random_Flock_XP_2000_0</t>
  </si>
  <si>
    <t>-212.16;-101</t>
  </si>
  <si>
    <t>SP_MineSmall_Static_XP_17000_0</t>
  </si>
  <si>
    <t>SP_Piranha_XP_9200_0</t>
  </si>
  <si>
    <t>-117.13;85.2</t>
  </si>
  <si>
    <t>-464.7;4.68</t>
  </si>
  <si>
    <t>SP_MineMedium_XP_0_20000</t>
  </si>
  <si>
    <t>-532.96;1.25</t>
  </si>
  <si>
    <t>SP_Ghost02_XP_0_10000</t>
  </si>
  <si>
    <t>SP_Ghost03_XP_35000_0</t>
  </si>
  <si>
    <t>SP_MineMedium_XP_7500_0</t>
  </si>
  <si>
    <t>-125.2;185</t>
  </si>
  <si>
    <t>SP_Canary_Mix_Flock_XP_4000_0</t>
  </si>
  <si>
    <t>-354.87;45.07</t>
  </si>
  <si>
    <t>SP_BatBig_Flock_XP_6000_0</t>
  </si>
  <si>
    <t>SP_EnemyTier2_XP_14000_0</t>
  </si>
  <si>
    <t>226.70001;74.6</t>
  </si>
  <si>
    <t>-302.72;165.49</t>
  </si>
  <si>
    <t>SP_SpiderSmall_XP_0_22000</t>
  </si>
  <si>
    <t>369.51;57.13</t>
  </si>
  <si>
    <t>306.53;58.67</t>
  </si>
  <si>
    <t>SP_Kamikaze_XP_4000_0</t>
  </si>
  <si>
    <t>SP_EnemyTier2_XP_11500_0</t>
  </si>
  <si>
    <t>SP_SpiderSmall_XP_0_10000</t>
  </si>
  <si>
    <t>SP_BadJunk_XP_5000_0</t>
  </si>
  <si>
    <t>119.04;120.21</t>
  </si>
  <si>
    <t>-385.27;-130.86</t>
  </si>
  <si>
    <t>SP_Troll_XP_18000_0</t>
  </si>
  <si>
    <t>270.33002;24.91</t>
  </si>
  <si>
    <t>-283;61.63</t>
  </si>
  <si>
    <t>153.36002;85.69</t>
  </si>
  <si>
    <t>-518.58;-148.22</t>
  </si>
  <si>
    <t>-398.41;-135.91</t>
  </si>
  <si>
    <t>SP_Ghost01_XP_15000_0</t>
  </si>
  <si>
    <t>SP_BG_Bat</t>
  </si>
  <si>
    <t>-353.1;123.2</t>
  </si>
  <si>
    <t>-247.1;158</t>
  </si>
  <si>
    <t>-493.3;164</t>
  </si>
  <si>
    <t>-512.56;2.3</t>
  </si>
  <si>
    <t>SP_MineSmall_Static_XP_4500_0</t>
  </si>
  <si>
    <t>SP_SpiderSmall_XP_12000_0</t>
  </si>
  <si>
    <t>67.93002;90.81</t>
  </si>
  <si>
    <t>SP_SpiderSmall_XP_0_18000</t>
  </si>
  <si>
    <t>284.23;93.24</t>
  </si>
  <si>
    <t>103.70001;42.38</t>
  </si>
  <si>
    <t>SP_MineBig_Static_XP_17000_0</t>
  </si>
  <si>
    <t>-567.67;70.99</t>
  </si>
  <si>
    <t>-239.7;163.8</t>
  </si>
  <si>
    <t>SP_SpiderSmall_XP_0_24000</t>
  </si>
  <si>
    <t>-444.8;135.3</t>
  </si>
  <si>
    <t>-427.52;-12.18</t>
  </si>
  <si>
    <t>SP_Canary_Random_Flock_XP_0_18000</t>
  </si>
  <si>
    <t>-435.59998;132.8</t>
  </si>
  <si>
    <t>-195;-3.58</t>
  </si>
  <si>
    <t>113.18002;99.3</t>
  </si>
  <si>
    <t>-507.21;-287.94</t>
  </si>
  <si>
    <t>SP_MineMedium_Static_XP_10000_0</t>
  </si>
  <si>
    <t>-379.33;49.4</t>
  </si>
  <si>
    <t>323.60004;44.4</t>
  </si>
  <si>
    <t>-355.6;68.9</t>
  </si>
  <si>
    <t>-534.2;133.2</t>
  </si>
  <si>
    <t>SP_BatSmall01_Flock_XP_0_18000</t>
  </si>
  <si>
    <t>-401.6;-31.400002</t>
  </si>
  <si>
    <t>-132.6;-51</t>
  </si>
  <si>
    <t>196.40002;51.1</t>
  </si>
  <si>
    <t>SP_Ghost01_XP_12000_0</t>
  </si>
  <si>
    <t>273.4;84.1</t>
  </si>
  <si>
    <t>331.7;155.5</t>
  </si>
  <si>
    <t>148.29001;94.41</t>
  </si>
  <si>
    <t>244.43;54.2</t>
  </si>
  <si>
    <t>-71.5;166.6</t>
  </si>
  <si>
    <t>SP_Bomber_XP_58000_0</t>
  </si>
  <si>
    <t>SP_Ghost02_Static_XP_16000_0</t>
  </si>
  <si>
    <t>-219.6;-125.41</t>
  </si>
  <si>
    <t>313.15;94.62</t>
  </si>
  <si>
    <t>-329.62;-109.5</t>
  </si>
  <si>
    <t>171.39001;41.96</t>
  </si>
  <si>
    <t>-511.63;-155.15</t>
  </si>
  <si>
    <t>-78.4;115.8</t>
  </si>
  <si>
    <t>SP_BatBig_Flock_XP_18500_0</t>
  </si>
  <si>
    <t>-474.4;-37</t>
  </si>
  <si>
    <t>SP_VillagerGirl_Static_XP_0_2600</t>
  </si>
  <si>
    <t>-425.85;142.5</t>
  </si>
  <si>
    <t>SP_Canary02_Flock_XP_0_20000</t>
  </si>
  <si>
    <t>-473.06;-139.33</t>
  </si>
  <si>
    <t>SP_GoblinBoat_Static_XP_20000_0</t>
  </si>
  <si>
    <t>SP_Canary_Random_Flock_XP_0_6000</t>
  </si>
  <si>
    <t>SP_Canary01_Flock_XP_0_22250</t>
  </si>
  <si>
    <t>-218.1;-5.35</t>
  </si>
  <si>
    <t>SP_Kamikaze_XP_38000_0</t>
  </si>
  <si>
    <t>-597.38;-177.8</t>
  </si>
  <si>
    <t>289.83002;95.64</t>
  </si>
  <si>
    <t>SP_Cow_XP_3800_0</t>
  </si>
  <si>
    <t>-501.1;-192.1</t>
  </si>
  <si>
    <t>163.95001;42.6</t>
  </si>
  <si>
    <t>SP_SpiderRed_XP_10000_0</t>
  </si>
  <si>
    <t>8.51;125.85</t>
  </si>
  <si>
    <t>SP_MineMedium_Static_XP_9000_0</t>
  </si>
  <si>
    <t>SP_witch_XP_17000_0</t>
  </si>
  <si>
    <t>215.86002;74.42</t>
  </si>
  <si>
    <t>SP_EnemyTier3_XP_16000_0</t>
  </si>
  <si>
    <t>250.76001;110.49</t>
  </si>
  <si>
    <t>SP_SpiderSmall_XP_16000_0</t>
  </si>
  <si>
    <t>57.090027;85.34</t>
  </si>
  <si>
    <t>-622.35;-173.92</t>
  </si>
  <si>
    <t>-101.81;-33.43</t>
  </si>
  <si>
    <t>61.22;72.07</t>
  </si>
  <si>
    <t>96.900024;105.1</t>
  </si>
  <si>
    <t>318.86005;29</t>
  </si>
  <si>
    <t>SP_FairyBig_XP_8000_0</t>
  </si>
  <si>
    <t>331.7;53.670002</t>
  </si>
  <si>
    <t>SP_MineSmall_Static_TIME_210_0</t>
  </si>
  <si>
    <t>SP_MineSmall_Static_XP_2000_6000</t>
  </si>
  <si>
    <t>SP_Villager01_XP_0_6000</t>
  </si>
  <si>
    <t>SP_SpiderSmallTurret_XP_0_18000</t>
  </si>
  <si>
    <t>192.7;191</t>
  </si>
  <si>
    <t>SP_Ghost01_XP_12500_0</t>
  </si>
  <si>
    <t>106.31003;59.64</t>
  </si>
  <si>
    <t>-462.49;-136.16</t>
  </si>
  <si>
    <t>175.33002;48.09</t>
  </si>
  <si>
    <t>SP_PufferBird_XP_8000_0</t>
  </si>
  <si>
    <t>SP_MineSmall_Static_TIME_90_0</t>
  </si>
  <si>
    <t>-88.2;56.58</t>
  </si>
  <si>
    <t>SP_Ghost01_XP_0_3600</t>
  </si>
  <si>
    <t>SP_Crow_Flock_XP_36000_0</t>
  </si>
  <si>
    <t>-531.12476;-154.17332</t>
  </si>
  <si>
    <t>SP_SpiderRed_XP_4200_0</t>
  </si>
  <si>
    <t>-144.9;-4.3</t>
  </si>
  <si>
    <t>-408.88;-150.8</t>
  </si>
  <si>
    <t>SP_Ghost03_Static_XP_40000_0</t>
  </si>
  <si>
    <t>264.01;32.09</t>
  </si>
  <si>
    <t>-454.9;-213.8</t>
  </si>
  <si>
    <t>-255.3;132.87</t>
  </si>
  <si>
    <t>-123.33;-64.93</t>
  </si>
  <si>
    <t>SP_Ghost01_XP_21000_0</t>
  </si>
  <si>
    <t>192.78003;85.83</t>
  </si>
  <si>
    <t>SP_SpiderSmallTurret_XP_0_16000</t>
  </si>
  <si>
    <t>-367.8;-230.53</t>
  </si>
  <si>
    <t>-494.3;103.5</t>
  </si>
  <si>
    <t>-517.83;32.5</t>
  </si>
  <si>
    <t>-483.97;-224.5</t>
  </si>
  <si>
    <t>126.5;106.6</t>
  </si>
  <si>
    <t>-333.4;192.7</t>
  </si>
  <si>
    <t>-37.4;214.2</t>
  </si>
  <si>
    <t>-536.84;68.5</t>
  </si>
  <si>
    <t>SP_EnemyTier4_XP_35000_0</t>
  </si>
  <si>
    <t>-450.81;101</t>
  </si>
  <si>
    <t>-72.7;163.6</t>
  </si>
  <si>
    <t>-506.59;19.09</t>
  </si>
  <si>
    <t>-492.93;-143.87</t>
  </si>
  <si>
    <t>SP_Canary01_Flock_XP_0_11000</t>
  </si>
  <si>
    <t>SP_EnemyTier0_XP_3600_0</t>
  </si>
  <si>
    <t>SP_EnemyTier4_TIME_300_0</t>
  </si>
  <si>
    <t>246.10004;82</t>
  </si>
  <si>
    <t>SP_MineSmall_Static_TIME_100_0</t>
  </si>
  <si>
    <t>-105.38;61.46</t>
  </si>
  <si>
    <t>SP_Ghost02_Static_XP_20000_0</t>
  </si>
  <si>
    <t>-219.03;-125.4</t>
  </si>
  <si>
    <t>SP_SpiderSmall_XP_0_6000</t>
  </si>
  <si>
    <t>-653.24;-121.55</t>
  </si>
  <si>
    <t>SP_Canary01_Flock_XP_0_15000</t>
  </si>
  <si>
    <t>-405;49.6</t>
  </si>
  <si>
    <t>SP_SpiderRed_XP_4700_0</t>
  </si>
  <si>
    <t>SP_LionBird_XP_4000_0</t>
  </si>
  <si>
    <t>342.10004;49.44</t>
  </si>
  <si>
    <t>-512.5;-242.6</t>
  </si>
  <si>
    <t>SP_Ghost03_XP_9000_0</t>
  </si>
  <si>
    <t>-48.5;46.32</t>
  </si>
  <si>
    <t>SP_Ghost01_XP_20000_0</t>
  </si>
  <si>
    <t>190.45001;91.01</t>
  </si>
  <si>
    <t>379.41003;28.767826</t>
  </si>
  <si>
    <t>SP_Ghost01_XP_11000_0</t>
  </si>
  <si>
    <t>106.28003;52.8</t>
  </si>
  <si>
    <t>-171.8;-192.5</t>
  </si>
  <si>
    <t>SP_LionBird_XP_0_7000</t>
  </si>
  <si>
    <t>255.08002;110.7</t>
  </si>
  <si>
    <t>33.419983;60.17</t>
  </si>
  <si>
    <t>SP_Archer01_XP_2000_0</t>
  </si>
  <si>
    <t>SP_Ghost03_XP_15000_0</t>
  </si>
  <si>
    <t>-313.302;-137.324</t>
  </si>
  <si>
    <t>-338.4;190.7</t>
  </si>
  <si>
    <t>SP_witch_XP_20200_0</t>
  </si>
  <si>
    <t>168.85004;21.15</t>
  </si>
  <si>
    <t>-659.23;-98.84</t>
  </si>
  <si>
    <t>-393.3;-8.71</t>
  </si>
  <si>
    <t>-606.79;-193.76</t>
  </si>
  <si>
    <t>351.37;69.15</t>
  </si>
  <si>
    <t>SP_MexicanPepper_TIME_180_0</t>
  </si>
  <si>
    <t>241.6;91.6</t>
  </si>
  <si>
    <t>-235;184.6</t>
  </si>
  <si>
    <t>SP_Canary02_Flock_XP_7000_0</t>
  </si>
  <si>
    <t>-151;7.9</t>
  </si>
  <si>
    <t>SP_Canary_Random_Flock_XP_0_22000</t>
  </si>
  <si>
    <t>SP_Hawk_XP_10000_0</t>
  </si>
  <si>
    <t>332.79004;91.15</t>
  </si>
  <si>
    <t>139.85004;92.33</t>
  </si>
  <si>
    <t>SP_Sheep_XP_4500_0</t>
  </si>
  <si>
    <t>SP_Canary_Random_Flock_XP_1800_0</t>
  </si>
  <si>
    <t>-252.5;15.9</t>
  </si>
  <si>
    <t>SP_MineBig_XP_25000_0</t>
  </si>
  <si>
    <t>SP_EnemyTier1_XP_5000_0</t>
  </si>
  <si>
    <t>165.51001;72.36</t>
  </si>
  <si>
    <t>268.35004;36.88</t>
  </si>
  <si>
    <t>-120.7;164.8</t>
  </si>
  <si>
    <t>SP_SpiderSmall_XP_0_8000</t>
  </si>
  <si>
    <t>SP_Archer01_XP_7000_0</t>
  </si>
  <si>
    <t>SP_Ghost02_Static_XP_24000_0</t>
  </si>
  <si>
    <t>319.76;40.65</t>
  </si>
  <si>
    <t>177.70001;27.29</t>
  </si>
  <si>
    <t>-596.93;-173.78</t>
  </si>
  <si>
    <t>SP_Canary03_Flock_XP_0_4000</t>
  </si>
  <si>
    <t>SP_Ghost02_XP_5400_0</t>
  </si>
  <si>
    <t>SP_Canary01_Flock_XP_0_19000</t>
  </si>
  <si>
    <t>-446.6;-222.5</t>
  </si>
  <si>
    <t>-64.53;118.14</t>
  </si>
  <si>
    <t>SP_SpiderSmall_XP_6000_0</t>
  </si>
  <si>
    <t>-82.91;118.55</t>
  </si>
  <si>
    <t>SP_EnemyTier2_XP_12500_0</t>
  </si>
  <si>
    <t>357.10004;124.1</t>
  </si>
  <si>
    <t>211.46002;67.08</t>
  </si>
  <si>
    <t>SP_EnemyTier3_XP_9500_0</t>
  </si>
  <si>
    <t>-603.6;-149.32</t>
  </si>
  <si>
    <t>-61;159.4</t>
  </si>
  <si>
    <t>174.3;108.7</t>
  </si>
  <si>
    <t>SP_BatBig_Flock_XP_4650_0</t>
  </si>
  <si>
    <t>SP_BadFarmer_XP_8000_0</t>
  </si>
  <si>
    <t>125.68002;42.07</t>
  </si>
  <si>
    <t>SP_Sheep_XP_5500_0</t>
  </si>
  <si>
    <t>-634.33;-97.2</t>
  </si>
  <si>
    <t>SP_Cow_XP_25000_0</t>
  </si>
  <si>
    <t>128.39001;42.57</t>
  </si>
  <si>
    <t>SP_Canary_Random_Flock_XP_5000_0</t>
  </si>
  <si>
    <t>-279.89;81.31</t>
  </si>
  <si>
    <t>135.57004;75.94</t>
  </si>
  <si>
    <t>SP_SpiderRed_XP_12000_0</t>
  </si>
  <si>
    <t>379.29004;42.11</t>
  </si>
  <si>
    <t>60.80002;122.8</t>
  </si>
  <si>
    <t>-634.82;-144.53</t>
  </si>
  <si>
    <t>SP_Canary01_Flock_XP_0_13000</t>
  </si>
  <si>
    <t>235.10004;59.74</t>
  </si>
  <si>
    <t>SP_Villager01_XP_8000_0</t>
  </si>
  <si>
    <t>169.30002;42.77</t>
  </si>
  <si>
    <t>-424.93;37.5</t>
  </si>
  <si>
    <t>-302.4;-111</t>
  </si>
  <si>
    <t>SP_Ghost01_XP_8500_0</t>
  </si>
  <si>
    <t>SP_Villager_Mix_XP_0_16000</t>
  </si>
  <si>
    <t>290.33002;27.16</t>
  </si>
  <si>
    <t>275.90002;29.7</t>
  </si>
  <si>
    <t>SP_Canary01_Flock_XP_0_18000</t>
  </si>
  <si>
    <t>-413.59998;19.95</t>
  </si>
  <si>
    <t>-208.47;-124.56</t>
  </si>
  <si>
    <t>207.41003;24.33</t>
  </si>
  <si>
    <t>SP_witch_XP_19000_0</t>
  </si>
  <si>
    <t>355.68002;44.36</t>
  </si>
  <si>
    <t>-74.8;-111.2</t>
  </si>
  <si>
    <t>152.96002;71.84</t>
  </si>
  <si>
    <t>SP_VillagerGirl_XP_0_30000</t>
  </si>
  <si>
    <t>106.09003;81.89</t>
  </si>
  <si>
    <t>349.7;156.4</t>
  </si>
  <si>
    <t>-32;27.41</t>
  </si>
  <si>
    <t>180.90364;0.6484833</t>
  </si>
  <si>
    <t>337.1;163.6</t>
  </si>
  <si>
    <t>SP_EnemyTier1_XP_7250_0</t>
  </si>
  <si>
    <t>SP_Ghost03_Static_XP_28000_0</t>
  </si>
  <si>
    <t>323.97003;46.29</t>
  </si>
  <si>
    <t>-86.79;-104.81</t>
  </si>
  <si>
    <t>-528.22;-202.4</t>
  </si>
  <si>
    <t>SP_DrunkenMan_XP_0_5000</t>
  </si>
  <si>
    <t>-618.2;-188.54</t>
  </si>
  <si>
    <t>-307.73;64.74</t>
  </si>
  <si>
    <t>SP_SpiderSmall_XP_0_19000</t>
  </si>
  <si>
    <t>-474.15;-238.26</t>
  </si>
  <si>
    <t>SP_Villager01_XP_2000_0</t>
  </si>
  <si>
    <t>-344.3;96.3</t>
  </si>
  <si>
    <t>-475.96;-150.72</t>
  </si>
  <si>
    <t>SP_EnemyTier0_TIME_45_0</t>
  </si>
  <si>
    <t>SP_Bomber_XP_35000_0</t>
  </si>
  <si>
    <t>SP_Rat_XP_0_28000</t>
  </si>
  <si>
    <t>76.84003;119.12</t>
  </si>
  <si>
    <t>SP_BatSmall01_Flock_XP_0_32000</t>
  </si>
  <si>
    <t>-96.7;181.8</t>
  </si>
  <si>
    <t>-466.25;-15</t>
  </si>
  <si>
    <t>SP_Troll_XP_20000_0</t>
  </si>
  <si>
    <t>-618.2;-156.34999</t>
  </si>
  <si>
    <t>-532.3;72.57</t>
  </si>
  <si>
    <t>SP_Starling_Flock_XP_16000_0</t>
  </si>
  <si>
    <t>101.900024;113.7</t>
  </si>
  <si>
    <t>283.98;32.21</t>
  </si>
  <si>
    <t>-289.81;24.14</t>
  </si>
  <si>
    <t>SP_Canary_Mix_Flock_XP_2000_0</t>
  </si>
  <si>
    <t>SP_BatSmall01_Flock_XP_0_24000</t>
  </si>
  <si>
    <t>SP_SpiderRed_XP_5000_0</t>
  </si>
  <si>
    <t>SP_EnemyTier0_XP_6000_12000</t>
  </si>
  <si>
    <t>50.100037;55.7</t>
  </si>
  <si>
    <t>-120.79999;-66.55</t>
  </si>
  <si>
    <t>SP_Villager02_Static_XP_8000_0</t>
  </si>
  <si>
    <t>145.03003;72.36</t>
  </si>
  <si>
    <t>-333.4;208.7</t>
  </si>
  <si>
    <t>-55.15;129.01</t>
  </si>
  <si>
    <t>SP_EnemyTier1_XP_7000_0</t>
  </si>
  <si>
    <t>-641.26996;-160.22</t>
  </si>
  <si>
    <t>-375.85;-134.54</t>
  </si>
  <si>
    <t>SP_Sheep_XP_0_8000</t>
  </si>
  <si>
    <t>231.60004;24.49</t>
  </si>
  <si>
    <t>-531.69;12.5</t>
  </si>
  <si>
    <t>121.600006;159.2</t>
  </si>
  <si>
    <t>SP_witch_XP_40000_0</t>
  </si>
  <si>
    <t>257.80002;49</t>
  </si>
  <si>
    <t>SP_Canary_Random_Flock_XP_10000_0</t>
  </si>
  <si>
    <t>65.42999;51.65</t>
  </si>
  <si>
    <t>SP_Ghost03_Static_XP_24000_0</t>
  </si>
  <si>
    <t>319.13;40.65</t>
  </si>
  <si>
    <t>156.64001;42.6</t>
  </si>
  <si>
    <t>-263.94;1.3</t>
  </si>
  <si>
    <t>SP_Canary01_Flock_XP_0_22000</t>
  </si>
  <si>
    <t>-502.09;26.6</t>
  </si>
  <si>
    <t>-185.3;228.2</t>
  </si>
  <si>
    <t>-285.65;-125.41</t>
  </si>
  <si>
    <t>SP_BadJunk_XP_14000_0</t>
  </si>
  <si>
    <t>46.23001;76.55</t>
  </si>
  <si>
    <t>SP_witch_XP_12000_0</t>
  </si>
  <si>
    <t>SP_Canary02_Flock_XP_0_27000</t>
  </si>
  <si>
    <t>251;43.2</t>
  </si>
  <si>
    <t>325.2;93.9</t>
  </si>
  <si>
    <t>SP_Canary02_Flock_XP_35000_0</t>
  </si>
  <si>
    <t>228.44003;57.23</t>
  </si>
  <si>
    <t>-288.3;-59.300003</t>
  </si>
  <si>
    <t>186.60004;106.5</t>
  </si>
  <si>
    <t>-337.41;0.27999997</t>
  </si>
  <si>
    <t>SP_Canary_Random_Flock_XP_1600_0</t>
  </si>
  <si>
    <t>-487.24;-195.81</t>
  </si>
  <si>
    <t>SP_Canary_Random_Flock_XP_0_24000</t>
  </si>
  <si>
    <t>-411.9;-27</t>
  </si>
  <si>
    <t>-617.3;-150.8</t>
  </si>
  <si>
    <t>-191.6;145.8</t>
  </si>
  <si>
    <t>162.8;204.9</t>
  </si>
  <si>
    <t>SP_SpiderSmall_XP_0_14000</t>
  </si>
  <si>
    <t>253.9;122.9</t>
  </si>
  <si>
    <t>SP_GoblinWarMachine_XP_5000_0</t>
  </si>
  <si>
    <t>SP_Vulture_XP_28000_0</t>
  </si>
  <si>
    <t>-63.42;-90.73</t>
  </si>
  <si>
    <t>-579.82;66.19</t>
  </si>
  <si>
    <t>-525.29;-141.52</t>
  </si>
  <si>
    <t>-521.84;-139.02</t>
  </si>
  <si>
    <t>SP_Canary03_Flock_XP_0_5000</t>
  </si>
  <si>
    <t>336.2;71</t>
  </si>
  <si>
    <t>-494.22;-155.44</t>
  </si>
  <si>
    <t>-630.08;-147.51</t>
  </si>
  <si>
    <t>SP_Canary02_Flock_XP_0_6000</t>
  </si>
  <si>
    <t>SP_Canary03_Flock_XP_0_27000</t>
  </si>
  <si>
    <t>238.97003;33.5</t>
  </si>
  <si>
    <t>156.44003;13.21</t>
  </si>
  <si>
    <t>-534.4;55.93</t>
  </si>
  <si>
    <t>SP_Ghost02_Static_XP_25000_0</t>
  </si>
  <si>
    <t>334.23;45.75</t>
  </si>
  <si>
    <t>SP_SpiderGreenTurret_TIME_180_0</t>
  </si>
  <si>
    <t>SP_Ghost03_XP_12000_0</t>
  </si>
  <si>
    <t>-301.03;21.08</t>
  </si>
  <si>
    <t>-654.21;-174.96</t>
  </si>
  <si>
    <t>-99.77;-87</t>
  </si>
  <si>
    <t>SP_EnemyTier4_XP_28000_0</t>
  </si>
  <si>
    <t>SP_Piranha_XP_5000_0</t>
  </si>
  <si>
    <t>330.30002;56.2</t>
  </si>
  <si>
    <t>SP_Canary_Mix_Flock_XP_0_20000</t>
  </si>
  <si>
    <t>-382.3;140.4</t>
  </si>
  <si>
    <t>SP_BadJunk_XP_26000_0</t>
  </si>
  <si>
    <t>SP_GoodWitch_XP_0_6000</t>
  </si>
  <si>
    <t>-548.49;-148.05</t>
  </si>
  <si>
    <t>155.61002;63.76</t>
  </si>
  <si>
    <t>-83.3;207.9</t>
  </si>
  <si>
    <t>SP_BatSmall01_Flock_XP_0_28000</t>
  </si>
  <si>
    <t>-496.2;-253.7</t>
  </si>
  <si>
    <t>-76.1;201.3</t>
  </si>
  <si>
    <t>SP_MineSmall_Static_XP_4000_0</t>
  </si>
  <si>
    <t>SP_MineSmall_XP_0_10000</t>
  </si>
  <si>
    <t>SP_Archer01_Static_XP_0_5400</t>
  </si>
  <si>
    <t>SP_EnemyTier1_XP_0_14000</t>
  </si>
  <si>
    <t>360.40002;117.8</t>
  </si>
  <si>
    <t>-451.16;-132</t>
  </si>
  <si>
    <t>SP_Canary_Random_Flock_XP_0_12000</t>
  </si>
  <si>
    <t>-582.7;-173.7</t>
  </si>
  <si>
    <t>372.61005;117.93</t>
  </si>
  <si>
    <t>-347.6;105.63</t>
  </si>
  <si>
    <t>SP_Ghost03_Static_XP_65000_0</t>
  </si>
  <si>
    <t>285.32004;81.04</t>
  </si>
  <si>
    <t>-629.735;-174.02</t>
  </si>
  <si>
    <t>124.400024;111.3</t>
  </si>
  <si>
    <t>280.1;77.18</t>
  </si>
  <si>
    <t>-303.78;66.81</t>
  </si>
  <si>
    <t>SP_BadFarmer_XP_4800_0</t>
  </si>
  <si>
    <t>SP_MineSmall_Static_XP_0_5000</t>
  </si>
  <si>
    <t>-81.54;45.97</t>
  </si>
  <si>
    <t>266.92;87.26</t>
  </si>
  <si>
    <t>-592.2;-173</t>
  </si>
  <si>
    <t>SP_Ghost02_XP_10000_0</t>
  </si>
  <si>
    <t>SP_SpiderSmall_XP_8000_0</t>
  </si>
  <si>
    <t>56.680023;132.48</t>
  </si>
  <si>
    <t>SP_VillagerGirl_Static_XP_0_2500</t>
  </si>
  <si>
    <t>341.39;111.81</t>
  </si>
  <si>
    <t>SP_Canary_Random_Flock_XP_0_26000</t>
  </si>
  <si>
    <t>38.299988;70.3</t>
  </si>
  <si>
    <t>264.2;137.8</t>
  </si>
  <si>
    <t>-130.7;-44.9</t>
  </si>
  <si>
    <t>-138;190.2</t>
  </si>
  <si>
    <t>-329.4;195.7</t>
  </si>
  <si>
    <t>-436.83;-240.31</t>
  </si>
  <si>
    <t>SP_Canary_Random_Flock_XP_0_28000</t>
  </si>
  <si>
    <t>-410.6;159.33</t>
  </si>
  <si>
    <t>-335.1;33.4</t>
  </si>
  <si>
    <t>282.84003;166.79</t>
  </si>
  <si>
    <t>-70.8;219.5</t>
  </si>
  <si>
    <t>-583.595;-173.2</t>
  </si>
  <si>
    <t>206.50003;23.94</t>
  </si>
  <si>
    <t>SP_Troll_XP_13000_0</t>
  </si>
  <si>
    <t>177.98001;89.2</t>
  </si>
  <si>
    <t>SP_Ghost01_Static_XP_21000_0</t>
  </si>
  <si>
    <t>263.29004;76.03</t>
  </si>
  <si>
    <t>SP_DrunkenMan_XP_0_15000</t>
  </si>
  <si>
    <t>379.47003;39.57</t>
  </si>
  <si>
    <t>151.42001;102.2</t>
  </si>
  <si>
    <t>SP_Canary_Random_Flock_XP_0_7500</t>
  </si>
  <si>
    <t>-608.7;-147.9</t>
  </si>
  <si>
    <t>-213.3;160.9</t>
  </si>
  <si>
    <t>-598.38;-148.26</t>
  </si>
  <si>
    <t>-51.8;76.82</t>
  </si>
  <si>
    <t>168.95;154.91</t>
  </si>
  <si>
    <t>SP_MineMedium_Static_XP_7500_0</t>
  </si>
  <si>
    <t>SP_Troll_XP_17000_0</t>
  </si>
  <si>
    <t>SP_Villager01_XP_0_17000</t>
  </si>
  <si>
    <t>-650;-193.2</t>
  </si>
  <si>
    <t>SP_Hawk_XP_8000_0</t>
  </si>
  <si>
    <t>172.90002;112.4</t>
  </si>
  <si>
    <t>172.59363;8.398483</t>
  </si>
  <si>
    <t>334.78003;30.12</t>
  </si>
  <si>
    <t>159.53003;42.77</t>
  </si>
  <si>
    <t>-15.4;203.5</t>
  </si>
  <si>
    <t>-65.95;-82.97</t>
  </si>
  <si>
    <t>SP_SpiderSmall_XP_0_7500</t>
  </si>
  <si>
    <t>-630.4;-102.4</t>
  </si>
  <si>
    <t>SP_SpiderSmall_XP_0_11000</t>
  </si>
  <si>
    <t>-636.13;-125.26</t>
  </si>
  <si>
    <t>SP_Canary_Mix_Flock_XP_0_25000</t>
  </si>
  <si>
    <t>SP_Canary03_Flock_XP_28000_0</t>
  </si>
  <si>
    <t>253.05002;40.88</t>
  </si>
  <si>
    <t>174.00003;18.02</t>
  </si>
  <si>
    <t>-641.26996;-184.26</t>
  </si>
  <si>
    <t>346.90002;156.4</t>
  </si>
  <si>
    <t>39.49005;82.76</t>
  </si>
  <si>
    <t>-524.91;40.21</t>
  </si>
  <si>
    <t>-462.7;94.38</t>
  </si>
  <si>
    <t>SP_BatBig_Flock_XP_3650_0</t>
  </si>
  <si>
    <t>339.65;60.48</t>
  </si>
  <si>
    <t>SP_LionBird_KILL_Starling_Flock-10_None-0</t>
  </si>
  <si>
    <t>-48.69;-125.53</t>
  </si>
  <si>
    <t>SP_Canary01_Flock_XP_9000_0</t>
  </si>
  <si>
    <t>-273.01;118.54</t>
  </si>
  <si>
    <t>SP_MineBig_XP_30000_0</t>
  </si>
  <si>
    <t>-606.66;-174.02</t>
  </si>
  <si>
    <t>-175.12;-50.43</t>
  </si>
  <si>
    <t>SP_BadFarmer_Static_XP_4000_12000</t>
  </si>
  <si>
    <t>114.59003;66.61</t>
  </si>
  <si>
    <t>SP_BadFarmer_Static_XP_12000_0</t>
  </si>
  <si>
    <t>179.03003;88.8</t>
  </si>
  <si>
    <t>167.87003;26.97</t>
  </si>
  <si>
    <t>SP_Canary01_Flock_XP_2150_0</t>
  </si>
  <si>
    <t>-169.6;73.7</t>
  </si>
  <si>
    <t>-2.78;116.91</t>
  </si>
  <si>
    <t>169.23001;103.01</t>
  </si>
  <si>
    <t>-50.5;30.7</t>
  </si>
  <si>
    <t>379.18002;28.767826</t>
  </si>
  <si>
    <t>-586.7;79.96</t>
  </si>
  <si>
    <t>-281.16;-144.92</t>
  </si>
  <si>
    <t>-341.4;-198.7</t>
  </si>
  <si>
    <t>SP_Ghost01_Static_XP_0_5700</t>
  </si>
  <si>
    <t>-79.46;-106.87</t>
  </si>
  <si>
    <t>SP_Ghost01_XP_5700_0</t>
  </si>
  <si>
    <t>-147.22;-78.43</t>
  </si>
  <si>
    <t>SP_LionBird_XP_8000_0</t>
  </si>
  <si>
    <t>353.10004;62</t>
  </si>
  <si>
    <t>-595.13;-184.9</t>
  </si>
  <si>
    <t>SP_Canary02_Flock_XP_900_0</t>
  </si>
  <si>
    <t>-342.8;62.83</t>
  </si>
  <si>
    <t>SP_LionBird_XP_0_7500</t>
  </si>
  <si>
    <t>351.60004;114.9</t>
  </si>
  <si>
    <t>-347.4;205.7</t>
  </si>
  <si>
    <t>SP_Villager01_XP_0_20000</t>
  </si>
  <si>
    <t>SP_MineBig_XP_16500_0</t>
  </si>
  <si>
    <t>SP_Canary_Random_Flock_XP_4000_0</t>
  </si>
  <si>
    <t>SP_GoodWitch_XP_0_20000</t>
  </si>
  <si>
    <t>120.1;138.1</t>
  </si>
  <si>
    <t>-252.47;-58.76</t>
  </si>
  <si>
    <t>-483.46;-200.3</t>
  </si>
  <si>
    <t>SP_MineBig_Static_XP_16800_0</t>
  </si>
  <si>
    <t>-641.01;-193.3</t>
  </si>
  <si>
    <t>SP_witch_XP_10000_25000</t>
  </si>
  <si>
    <t>272.40002;48.6</t>
  </si>
  <si>
    <t>-85.67;25.84</t>
  </si>
  <si>
    <t>-74;-82.1</t>
  </si>
  <si>
    <t>SP_Ghost01_XP_9000_0</t>
  </si>
  <si>
    <t>SP_Kamikaze_XP_45000_0</t>
  </si>
  <si>
    <t>-471.25;-6.79</t>
  </si>
  <si>
    <t>346.61;119.12</t>
  </si>
  <si>
    <t>SP_Starling_Flock_XP_0_6000</t>
  </si>
  <si>
    <t>190.70001;56.08</t>
  </si>
  <si>
    <t>SP_Archer01_KILL_Villager02-3_None-0</t>
  </si>
  <si>
    <t>-33.71;129.5</t>
  </si>
  <si>
    <t>SP_Ghost01_Static_XP_0_2500</t>
  </si>
  <si>
    <t>-475.94;-143.73</t>
  </si>
  <si>
    <t>168.6;114.6</t>
  </si>
  <si>
    <t>342.15;63.85</t>
  </si>
  <si>
    <t>-447.8;-231.72</t>
  </si>
  <si>
    <t>-197.2;-142.71</t>
  </si>
  <si>
    <t>SP_PufferBird_XP_9500_0</t>
  </si>
  <si>
    <t>264.55002;71.24</t>
  </si>
  <si>
    <t>-497.9;-274.1</t>
  </si>
  <si>
    <t>SP_Piranha_XP_6000_0</t>
  </si>
  <si>
    <t>SP_EnemyTier1_XP_0_30000</t>
  </si>
  <si>
    <t>130.68002;127.32</t>
  </si>
  <si>
    <t>176.82004;133.5</t>
  </si>
  <si>
    <t>108.46002;41.79</t>
  </si>
  <si>
    <t>-519.49;-144.53</t>
  </si>
  <si>
    <t>SP_Bomber_XP_30000_0</t>
  </si>
  <si>
    <t>SP_BadJunk_XP_7000_0</t>
  </si>
  <si>
    <t>-289.59;48.02</t>
  </si>
  <si>
    <t>SP_BadJunk_XP_29000_0</t>
  </si>
  <si>
    <t>52.390015;79.01</t>
  </si>
  <si>
    <t>SP_SpiderSmallTurret_XP_0_20000</t>
  </si>
  <si>
    <t>-602.4;98.56</t>
  </si>
  <si>
    <t>284.30002;109.04</t>
  </si>
  <si>
    <t>252.13004;24.92</t>
  </si>
  <si>
    <t>62.870026;119.12</t>
  </si>
  <si>
    <t>SP_GoodJunkBottle_XP_18000_0</t>
  </si>
  <si>
    <t>-516.2;-175.05</t>
  </si>
  <si>
    <t>-468.27;-144.87</t>
  </si>
  <si>
    <t>SP_LionBird_XP_0_6500</t>
  </si>
  <si>
    <t>355.25003;112.25</t>
  </si>
  <si>
    <t>SP_SpiderSmall_XP_7000_0</t>
  </si>
  <si>
    <t>SP_Canary02_Flock_XP_3600_0</t>
  </si>
  <si>
    <t>-347.3;70.9</t>
  </si>
  <si>
    <t>-65.95;-83.060005</t>
  </si>
  <si>
    <t>286.19003;37.81</t>
  </si>
  <si>
    <t>-457.96;50.81</t>
  </si>
  <si>
    <t>SP_Ghost02_XP_21000_0</t>
  </si>
  <si>
    <t>192.76001;85.33</t>
  </si>
  <si>
    <t>SP_Ghost02_Static_XP_28000_0</t>
  </si>
  <si>
    <t>262.63;75.97</t>
  </si>
  <si>
    <t>SP_Archer02_Static_XP_35000_0</t>
  </si>
  <si>
    <t>124.34003;52.01</t>
  </si>
  <si>
    <t>SP_PufferBird_XP_12000_0</t>
  </si>
  <si>
    <t>-151.1;-36.4</t>
  </si>
  <si>
    <t>-529.5;35.12</t>
  </si>
  <si>
    <t>-283.1;203.7</t>
  </si>
  <si>
    <t>-256.9;8.3</t>
  </si>
  <si>
    <t>SP_Starling_Flock_XP_0_24000</t>
  </si>
  <si>
    <t>86.41;129.8</t>
  </si>
  <si>
    <t>-287.6;163.9</t>
  </si>
  <si>
    <t>SP_Canary02_Flock_XP_0_16000</t>
  </si>
  <si>
    <t>-546.23;49.4</t>
  </si>
  <si>
    <t>SP_Crow_Flock_XP_28000_0</t>
  </si>
  <si>
    <t>SP_MineSmall_Static_XP_0_7000</t>
  </si>
  <si>
    <t>-450.3;68</t>
  </si>
  <si>
    <t>SP_MineBig_XP_25500_0</t>
  </si>
  <si>
    <t>308.90002;96.18</t>
  </si>
  <si>
    <t>SP_EnemyTier3_XP_37000_0</t>
  </si>
  <si>
    <t>266.10004;55.52</t>
  </si>
  <si>
    <t>-455.77;12.56</t>
  </si>
  <si>
    <t>SP_MineSmall_XP_0_5000</t>
  </si>
  <si>
    <t>48.900024;60.8</t>
  </si>
  <si>
    <t>-5.85;146.5</t>
  </si>
  <si>
    <t>81.58;77.93</t>
  </si>
  <si>
    <t>SP_MineBig_Static_XP_16000_0</t>
  </si>
  <si>
    <t>-98.17;51.37</t>
  </si>
  <si>
    <t>68.80002;57.3</t>
  </si>
  <si>
    <t>SP_SpiderSmall_XP_0_12000</t>
  </si>
  <si>
    <t>-485.1;-279.2</t>
  </si>
  <si>
    <t>-611.3;-182.7</t>
  </si>
  <si>
    <t>SP_Canary02_Flock_XP_8000_0</t>
  </si>
  <si>
    <t>147.80002;113</t>
  </si>
  <si>
    <t>SP_Canary02_Flock_XP_29000_39000</t>
  </si>
  <si>
    <t>277.04;52.46</t>
  </si>
  <si>
    <t>SP_SpiderSmall_XP_0_17000</t>
  </si>
  <si>
    <t>-233.2;202.6</t>
  </si>
  <si>
    <t>-443.19;93.4</t>
  </si>
  <si>
    <t>-135.68;-86.95</t>
  </si>
  <si>
    <t>-243.06;-6.3</t>
  </si>
  <si>
    <t>-497.3;56.85</t>
  </si>
  <si>
    <t>-581.3;37.8</t>
  </si>
  <si>
    <t>SP_witch_XP_0_15000</t>
  </si>
  <si>
    <t>-454.57;163.29</t>
  </si>
  <si>
    <t>SP_EnemyTier0_XP_4000_0</t>
  </si>
  <si>
    <t>-552.31;-158.17</t>
  </si>
  <si>
    <t>-423.1;92.9</t>
  </si>
  <si>
    <t>-648.5;-129.4</t>
  </si>
  <si>
    <t>334.90002;85.9</t>
  </si>
  <si>
    <t>-147.8;182</t>
  </si>
  <si>
    <t>131.20001;166.2</t>
  </si>
  <si>
    <t>-199.96;50.79</t>
  </si>
  <si>
    <t>355.16003;29.39</t>
  </si>
  <si>
    <t>SP_LionBird_XP_4000_12000</t>
  </si>
  <si>
    <t>250.06003;123.58</t>
  </si>
  <si>
    <t>-91.35;-80.57</t>
  </si>
  <si>
    <t>-185.3;188.2</t>
  </si>
  <si>
    <t>SP_Ghost01_Static_XP_17000_0</t>
  </si>
  <si>
    <t>258.5;35.1</t>
  </si>
  <si>
    <t>-89.09;47.74</t>
  </si>
  <si>
    <t>132.75003;68.73</t>
  </si>
  <si>
    <t>-54.94;49.57</t>
  </si>
  <si>
    <t>280.69;89.71</t>
  </si>
  <si>
    <t>-10.3;143.71</t>
  </si>
  <si>
    <t>SP_Sheep_XP_0_10000</t>
  </si>
  <si>
    <t>-199.09;-14</t>
  </si>
  <si>
    <t>359.49002;64.98</t>
  </si>
  <si>
    <t>-13.72;138.91</t>
  </si>
  <si>
    <t>70.66;51.29</t>
  </si>
  <si>
    <t>185.80002;148.9</t>
  </si>
  <si>
    <t>-340.8;90.3</t>
  </si>
  <si>
    <t>354.10004;156.4</t>
  </si>
  <si>
    <t>SP_MineBig_Static_XP_25000_0</t>
  </si>
  <si>
    <t>SP_Ghost03_Static_XP_35000_0</t>
  </si>
  <si>
    <t>257.81003;35.04</t>
  </si>
  <si>
    <t>SP_Ghost03_XP_8000_0</t>
  </si>
  <si>
    <t>217.94003;23.32</t>
  </si>
  <si>
    <t>SP_Canary01_Flock_XP_0_27000</t>
  </si>
  <si>
    <t>SP_Canary_Random_Flock_XP_0_19000</t>
  </si>
  <si>
    <t>-401.8;146.8</t>
  </si>
  <si>
    <t>-433.73;15.9</t>
  </si>
  <si>
    <t>88;166.2</t>
  </si>
  <si>
    <t>SP_Ghost03_XP_45000_0</t>
  </si>
  <si>
    <t>-315.31;105</t>
  </si>
  <si>
    <t>60.870026;42.95</t>
  </si>
  <si>
    <t>-528.1;159.7</t>
  </si>
  <si>
    <t>SP_Ghost02_Static_XP_10000_0</t>
  </si>
  <si>
    <t>-338.4;210.7</t>
  </si>
  <si>
    <t>224.54004;95.64</t>
  </si>
  <si>
    <t>SP_BatSmall01_Flock_XP_0_16000</t>
  </si>
  <si>
    <t>-360.94;-141.62</t>
  </si>
  <si>
    <t>135.44003;120.22</t>
  </si>
  <si>
    <t>126.20001;133.9</t>
  </si>
  <si>
    <t>-258.4;107.21</t>
  </si>
  <si>
    <t>-628.93994;-97.32</t>
  </si>
  <si>
    <t>SP_Ghost01_XP_0_3800</t>
  </si>
  <si>
    <t>205.25003;24.2</t>
  </si>
  <si>
    <t>SP_Ghost01_XP_4000_0</t>
  </si>
  <si>
    <t>-583.75;-191.17</t>
  </si>
  <si>
    <t>SP_SpiderSmall_XP_0_5000</t>
  </si>
  <si>
    <t>-12.65;30.33</t>
  </si>
  <si>
    <t>-488.12;-141.79</t>
  </si>
  <si>
    <t>203.29004;90.83</t>
  </si>
  <si>
    <t>-142.4;159.6</t>
  </si>
  <si>
    <t>213.05002;51.72</t>
  </si>
  <si>
    <t>SP_Sheep_XP_4200_0</t>
  </si>
  <si>
    <t>SP_Canary02_Flock_XP_4000_0</t>
  </si>
  <si>
    <t>-541.91;93.1</t>
  </si>
  <si>
    <t>SP_Archer02_Static_XP_15000_0</t>
  </si>
  <si>
    <t>92.99002;85.39</t>
  </si>
  <si>
    <t>SP_Hawk_KILL_Sheep-20_None-0</t>
  </si>
  <si>
    <t>-214.98;69.86</t>
  </si>
  <si>
    <t>SP_Ghost01_Static_XP_25000_0</t>
  </si>
  <si>
    <t>282.57;89.27</t>
  </si>
  <si>
    <t>SP_MineSmall_Static_XP_3000_7000</t>
  </si>
  <si>
    <t>SP_EnemyTier0_XP_7000_0</t>
  </si>
  <si>
    <t>-70.32;124.03</t>
  </si>
  <si>
    <t>-342.6;42</t>
  </si>
  <si>
    <t>195.4;102.46</t>
  </si>
  <si>
    <t>-23.69;110.29</t>
  </si>
  <si>
    <t>SP_BadFarmer_XP_6100_0</t>
  </si>
  <si>
    <t>SP_Ghost02_XP_6500_0</t>
  </si>
  <si>
    <t>151.04004;51.170002</t>
  </si>
  <si>
    <t>378.42004;54.9</t>
  </si>
  <si>
    <t>-507.59;-54.61</t>
  </si>
  <si>
    <t>-497.04;-156.97</t>
  </si>
  <si>
    <t>SP_Archer01_Static_XP_14000_0</t>
  </si>
  <si>
    <t>71.120026;69.76</t>
  </si>
  <si>
    <t>-118.100006;12.789999</t>
  </si>
  <si>
    <t>131.78;129.38</t>
  </si>
  <si>
    <t>72.75003;119.62</t>
  </si>
  <si>
    <t>-166.81;127.4</t>
  </si>
  <si>
    <t>-649.24;-194.36</t>
  </si>
  <si>
    <t>-453.3;-177.2</t>
  </si>
  <si>
    <t>-383.3;-139.14</t>
  </si>
  <si>
    <t>-451.65;-179.32</t>
  </si>
  <si>
    <t>-404.79;-46.68</t>
  </si>
  <si>
    <t>117.20001;105.9</t>
  </si>
  <si>
    <t>-280.17;50.25</t>
  </si>
  <si>
    <t>6.57;143.89</t>
  </si>
  <si>
    <t>-584.72;-151.76</t>
  </si>
  <si>
    <t>SP_Canary_Random_Flock_XP_2400_0</t>
  </si>
  <si>
    <t>-110.34;57.96</t>
  </si>
  <si>
    <t>378.82;28.767826</t>
  </si>
  <si>
    <t>-144.5;114.2</t>
  </si>
  <si>
    <t>SP_BatBig_Flock_XP_22000_0</t>
  </si>
  <si>
    <t>-204.44;-186.16</t>
  </si>
  <si>
    <t>SP_Archer02_XP_2250_0</t>
  </si>
  <si>
    <t>-638.1;-170.9</t>
  </si>
  <si>
    <t>SP_Ghost02_Static_XP_14000_0</t>
  </si>
  <si>
    <t>-195.32;-131.81</t>
  </si>
  <si>
    <t>SP_Kamikaze_XP_28000_0</t>
  </si>
  <si>
    <t>-47;81.1</t>
  </si>
  <si>
    <t>130.80002;119.87</t>
  </si>
  <si>
    <t>SP_EnemyTier3_XP_24000_0</t>
  </si>
  <si>
    <t>-439.76;162.25</t>
  </si>
  <si>
    <t>SP_Canary03_Flock_XP_0_7000</t>
  </si>
  <si>
    <t>SP_Canary_Mix_Flock_XP_0_30000</t>
  </si>
  <si>
    <t>84.90997;51.33</t>
  </si>
  <si>
    <t>-532.12;-139.91</t>
  </si>
  <si>
    <t>201.76364;13.148483</t>
  </si>
  <si>
    <t>275.61002;166.79</t>
  </si>
  <si>
    <t>207.21002;72.7</t>
  </si>
  <si>
    <t>-142.13;-73.25</t>
  </si>
  <si>
    <t>-632.04;-151.38</t>
  </si>
  <si>
    <t>-318;76.5</t>
  </si>
  <si>
    <t>SP_MexicanPepper_TIME_90_0</t>
  </si>
  <si>
    <t>-173.8;122.7</t>
  </si>
  <si>
    <t>92.70001;98.18</t>
  </si>
  <si>
    <t>SP_Ghost02_Static_XP_7400_0</t>
  </si>
  <si>
    <t>-251.48;82.65</t>
  </si>
  <si>
    <t>SP_Troll_XP_12000_0</t>
  </si>
  <si>
    <t>228.00003;24.7</t>
  </si>
  <si>
    <t>303.90002;67.9</t>
  </si>
  <si>
    <t>SP_BG_Starling</t>
  </si>
  <si>
    <t>-192.8;67.4</t>
  </si>
  <si>
    <t>SP_SpiderSmall_XP_0_4500</t>
  </si>
  <si>
    <t>SP_Ghost02_XP_8000_0</t>
  </si>
  <si>
    <t>-329.4;205.7</t>
  </si>
  <si>
    <t>103.03003;92.51</t>
  </si>
  <si>
    <t>-639.4;-95</t>
  </si>
  <si>
    <t>223.20001;40.3</t>
  </si>
  <si>
    <t>-83.36;43.18</t>
  </si>
  <si>
    <t>99.99002;100.87</t>
  </si>
  <si>
    <t>SP_Villager_Mix_XP_0_4000</t>
  </si>
  <si>
    <t>253.81003;24.92</t>
  </si>
  <si>
    <t>-256.96;-75.7</t>
  </si>
  <si>
    <t>48.640015;50.53</t>
  </si>
  <si>
    <t>261.58002;51.2</t>
  </si>
  <si>
    <t>SP_EnemyTier0_XP_4500_0</t>
  </si>
  <si>
    <t>292.41003;53.59</t>
  </si>
  <si>
    <t>101.9;145.04001</t>
  </si>
  <si>
    <t>-653.8;-167</t>
  </si>
  <si>
    <t>SP_Cow_XP_0_18000</t>
  </si>
  <si>
    <t>-498.66;11.17</t>
  </si>
  <si>
    <t>-230.11;-43.75</t>
  </si>
  <si>
    <t>349.58;130.4</t>
  </si>
  <si>
    <t>SP_PufferBird_XP_0_22000</t>
  </si>
  <si>
    <t>-412.93;-162.63</t>
  </si>
  <si>
    <t>122.20001;101.6</t>
  </si>
  <si>
    <t>198.00003;23.1</t>
  </si>
  <si>
    <t>91.81003;85.34</t>
  </si>
  <si>
    <t>-655.73;-154.49</t>
  </si>
  <si>
    <t>SP_Ghost03_Static_XP_32500_0</t>
  </si>
  <si>
    <t>273.15002;95.17</t>
  </si>
  <si>
    <t>336.60004;97.11</t>
  </si>
  <si>
    <t>SP_Ghost02_Static_XP_6000_0</t>
  </si>
  <si>
    <t>5.99;77.43</t>
  </si>
  <si>
    <t>SP_Archer01_Static_XP_9500_0</t>
  </si>
  <si>
    <t>SP_LionBird_XP_900_0</t>
  </si>
  <si>
    <t>SP_Canary_Random_Flock_XP_4500_0</t>
  </si>
  <si>
    <t>-36.8;50</t>
  </si>
  <si>
    <t>SP_Cage_TIME_200_0</t>
  </si>
  <si>
    <t>332.40002;105.3</t>
  </si>
  <si>
    <t>-92.9;-90.25</t>
  </si>
  <si>
    <t>SP_SpiderRed_XP_12100_0</t>
  </si>
  <si>
    <t>-329.88;-142.3</t>
  </si>
  <si>
    <t>231.37003;24.92</t>
  </si>
  <si>
    <t>SP_EnemyTier3_XP_13000_0</t>
  </si>
  <si>
    <t>-427.044;-161.842</t>
  </si>
  <si>
    <t>-598;-174.6</t>
  </si>
  <si>
    <t>48.28003;40.8</t>
  </si>
  <si>
    <t>-0.7;209.7</t>
  </si>
  <si>
    <t>SP_Canary_Random_Flock_XP_3000_0</t>
  </si>
  <si>
    <t>-657.68;-172.08</t>
  </si>
  <si>
    <t>247.55002;24.49</t>
  </si>
  <si>
    <t>-439.77;47.14</t>
  </si>
  <si>
    <t>SP_SpiderRed_XP_16000_0</t>
  </si>
  <si>
    <t>379.26;35.87</t>
  </si>
  <si>
    <t>SP_MineMedium_XP_9000_20000</t>
  </si>
  <si>
    <t>226.69003;83.14</t>
  </si>
  <si>
    <t>123.400024;79.1</t>
  </si>
  <si>
    <t>SP_EnemyTier2_XP_10000_0</t>
  </si>
  <si>
    <t>SP_Ghost01_XP_6000_17000</t>
  </si>
  <si>
    <t>SP_MineMedium_Static_XP_12000_0</t>
  </si>
  <si>
    <t>-261.2;76.1</t>
  </si>
  <si>
    <t>-523.91;6</t>
  </si>
  <si>
    <t>-606.6;-162.4</t>
  </si>
  <si>
    <t>-606.665;-174.02</t>
  </si>
  <si>
    <t>-142.6;-73.14</t>
  </si>
  <si>
    <t>-266.4;162.6</t>
  </si>
  <si>
    <t>SP_BadJunk_XP_20500_0</t>
  </si>
  <si>
    <t>74.23001;53.66</t>
  </si>
  <si>
    <t>SP_Canary_Mix_Flock_XP_0_35000</t>
  </si>
  <si>
    <t>SP_EnemyTier1_XP_0_18000</t>
  </si>
  <si>
    <t>359.40002;111.2</t>
  </si>
  <si>
    <t>SP_BadJunk_XP_25500_0</t>
  </si>
  <si>
    <t>82.640015;61.66</t>
  </si>
  <si>
    <t>-595.13;-160.44998</t>
  </si>
  <si>
    <t>SP_Horse_XP_6300_0</t>
  </si>
  <si>
    <t>SP_Ghost02_Static_TIME_90_0</t>
  </si>
  <si>
    <t>-532.3;-199.15001</t>
  </si>
  <si>
    <t>-622.8;-177.1</t>
  </si>
  <si>
    <t>-93.82;102.63</t>
  </si>
  <si>
    <t>SP_Ghost02_XP_20000_0</t>
  </si>
  <si>
    <t>190.48001;91.56</t>
  </si>
  <si>
    <t>SP_Ghost02_Static_XP_17000_0</t>
  </si>
  <si>
    <t>181.22003;53.12</t>
  </si>
  <si>
    <t>-502.18;-142.41</t>
  </si>
  <si>
    <t>SP_Ghost03_Static_XP_60000_0</t>
  </si>
  <si>
    <t>255.83002;62.29</t>
  </si>
  <si>
    <t>SP_Starling_Flock_XP_29000_0</t>
  </si>
  <si>
    <t>255.31003;47.38</t>
  </si>
  <si>
    <t>SP_Villager01_XP_0_22000</t>
  </si>
  <si>
    <t>SP_Canary_Mix_Flock_XP_0_23000</t>
  </si>
  <si>
    <t>SP_Ghost02_Static_XP_30000_0</t>
  </si>
  <si>
    <t>264.50003;32.2</t>
  </si>
  <si>
    <t>SP_Ghost03_Static_XP_32000_0</t>
  </si>
  <si>
    <t>-627.66003;-119.69</t>
  </si>
  <si>
    <t>SP_Canary_Random_Flock_XP_0_16000</t>
  </si>
  <si>
    <t>-527.12;-8.83</t>
  </si>
  <si>
    <t>SP_EnemyTier4_XP_30000_0</t>
  </si>
  <si>
    <t>SP_Ghost02_XP_4200_0</t>
  </si>
  <si>
    <t>SP_Piranha_XP_8000_0</t>
  </si>
  <si>
    <t>SP_EnemyTier0_XP_2200_7900</t>
  </si>
  <si>
    <t>109.7;189.9</t>
  </si>
  <si>
    <t>176.97003;56.79</t>
  </si>
  <si>
    <t>-71;-73.7</t>
  </si>
  <si>
    <t>-96.26;56.38</t>
  </si>
  <si>
    <t>SP_SpiderSmall_XP_0_26000</t>
  </si>
  <si>
    <t>-372.48;57.03</t>
  </si>
  <si>
    <t>126.44;115.34</t>
  </si>
  <si>
    <t>126.28003;50.98</t>
  </si>
  <si>
    <t>SP_Piranha_XP_10000_0</t>
  </si>
  <si>
    <t>SP_Villager01_XP_0_27000</t>
  </si>
  <si>
    <t>130.62003;42.19</t>
  </si>
  <si>
    <t>SP_MineMedium_Static_XP_17000_0</t>
  </si>
  <si>
    <t>-475.2;126.2</t>
  </si>
  <si>
    <t>SP_SpiderGreenTurret_XP_7000_0</t>
  </si>
  <si>
    <t>-85;194.6</t>
  </si>
  <si>
    <t>SP_LionBird_XP_0_8500</t>
  </si>
  <si>
    <t>352.90002;109.8</t>
  </si>
  <si>
    <t>-298.9;2.04</t>
  </si>
  <si>
    <t>SP_MineBig_XP_20500_0</t>
  </si>
  <si>
    <t>283.79004;27.16</t>
  </si>
  <si>
    <t>320.87003;29.39</t>
  </si>
  <si>
    <t>192.50003;43.2</t>
  </si>
  <si>
    <t>-376.61;81.77</t>
  </si>
  <si>
    <t>-30.12;117.64</t>
  </si>
  <si>
    <t>SP_Worker_Mix_XP_7000_0</t>
  </si>
  <si>
    <t>175.9;98.7</t>
  </si>
  <si>
    <t>212.75003;87.14</t>
  </si>
  <si>
    <t>-52.3;57.34</t>
  </si>
  <si>
    <t>-591.23;95.35</t>
  </si>
  <si>
    <t>-634.1;-153.4</t>
  </si>
  <si>
    <t>-461.5;-260.6</t>
  </si>
  <si>
    <t>-27.3;164.1</t>
  </si>
  <si>
    <t>351.67;132.5</t>
  </si>
  <si>
    <t>-433.45;148.1</t>
  </si>
  <si>
    <t>SP_Ghost01_XP_9500_0</t>
  </si>
  <si>
    <t>114.19003;85.73</t>
  </si>
  <si>
    <t>-622.31995;-108.82</t>
  </si>
  <si>
    <t>SP_MineBig_Static_XP_40000_0</t>
  </si>
  <si>
    <t>-230.1;156.8</t>
  </si>
  <si>
    <t>SP_Crow_Flock_XP_0_29000</t>
  </si>
  <si>
    <t>291.42;64.6</t>
  </si>
  <si>
    <t>-408.27;-165.34</t>
  </si>
  <si>
    <t>SP_Ghost03_XP_5000_0</t>
  </si>
  <si>
    <t>-75.79;31.39</t>
  </si>
  <si>
    <t>-59.67;106.49</t>
  </si>
  <si>
    <t>SP_DrunkenMan_XP_0_8000</t>
  </si>
  <si>
    <t>256.42;24.99</t>
  </si>
  <si>
    <t>SP_Ghost02_XP_4000_0</t>
  </si>
  <si>
    <t>224.60004;64.4</t>
  </si>
  <si>
    <t>315.60004;96.87</t>
  </si>
  <si>
    <t>SP_Hawk_TIME_240_0</t>
  </si>
  <si>
    <t>SP_EnemyTier3_XP_18000_0</t>
  </si>
  <si>
    <t>-487.2;-237.5</t>
  </si>
  <si>
    <t>-178;74.92</t>
  </si>
  <si>
    <t>SP_witch_XP_35000_0</t>
  </si>
  <si>
    <t>260.30002;56.5</t>
  </si>
  <si>
    <t>-59.01;148.03</t>
  </si>
  <si>
    <t>-103.94;-95.1</t>
  </si>
  <si>
    <t>-136;221.4</t>
  </si>
  <si>
    <t>SP_SpiderRed_XP_2800_0</t>
  </si>
  <si>
    <t>SP_Archer01_Static_XP_17000_0</t>
  </si>
  <si>
    <t>347.7;29.79</t>
  </si>
  <si>
    <t>SP_BatBig_Flock_XP_7500_0</t>
  </si>
  <si>
    <t>SP_Hawk_KILL_Sheep-15_None-0</t>
  </si>
  <si>
    <t>SP_Ghost01_Static_XP_3500_0</t>
  </si>
  <si>
    <t>-92.51;61.48</t>
  </si>
  <si>
    <t>180.7;113.9</t>
  </si>
  <si>
    <t>SP_Canary_Mix_Flock_XP_25500_0</t>
  </si>
  <si>
    <t>-345.99;-14.23</t>
  </si>
  <si>
    <t>-281.7;63.9</t>
  </si>
  <si>
    <t>SP_Ghost02_Static_XP_9000_0</t>
  </si>
  <si>
    <t>-288.78;-107.38</t>
  </si>
  <si>
    <t>SP_Canary_Random_Flock_XP_0_23000</t>
  </si>
  <si>
    <t>-582.5;92.37</t>
  </si>
  <si>
    <t>-4.71;18.7</t>
  </si>
  <si>
    <t>-414.7;6.73</t>
  </si>
  <si>
    <t>-233.63;-48.6</t>
  </si>
  <si>
    <t>-387.40002;44.6</t>
  </si>
  <si>
    <t>93.400024;135.2</t>
  </si>
  <si>
    <t>SP_Archer02_XP_2600_0</t>
  </si>
  <si>
    <t>-309.09;182.06</t>
  </si>
  <si>
    <t>100.900024;144.2</t>
  </si>
  <si>
    <t>-44.4;70.8</t>
  </si>
  <si>
    <t>-444;-240.9</t>
  </si>
  <si>
    <t>SP_Sheep_XP_2800_0</t>
  </si>
  <si>
    <t>-201.4;165.1</t>
  </si>
  <si>
    <t>SP_Ghost01_XP_14000_0</t>
  </si>
  <si>
    <t>-489.43;10.94</t>
  </si>
  <si>
    <t>141.43002;74.292</t>
  </si>
  <si>
    <t>154.65002;59.6</t>
  </si>
  <si>
    <t>-40.02;-129.38</t>
  </si>
  <si>
    <t>-72.39996;-124.83</t>
  </si>
  <si>
    <t>124.25003;70.82</t>
  </si>
  <si>
    <t>-123.4;-9.800003</t>
  </si>
  <si>
    <t>171.95004;61.87</t>
  </si>
  <si>
    <t>-519.9;164.3</t>
  </si>
  <si>
    <t>-108.8;164.1</t>
  </si>
  <si>
    <t>172.00003;162.8</t>
  </si>
  <si>
    <t>SP_Canary03_Flock_XP_0_15000</t>
  </si>
  <si>
    <t>-296.02;18.92</t>
  </si>
  <si>
    <t>SP_Ghost02_Static_XP_3800_0</t>
  </si>
  <si>
    <t>-366.73;-25.9</t>
  </si>
  <si>
    <t>259.40002;30.3</t>
  </si>
  <si>
    <t>-523;104.5</t>
  </si>
  <si>
    <t>380.72003;29.76</t>
  </si>
  <si>
    <t>-575.5;-188.2</t>
  </si>
  <si>
    <t>-149.7;52.2</t>
  </si>
  <si>
    <t>SP_Canary_Random_Flock_XP_0_15000</t>
  </si>
  <si>
    <t>SP_SpiderSmallTurret_XP_6000_0</t>
  </si>
  <si>
    <t>165.92001;8.9</t>
  </si>
  <si>
    <t>SP_EnemyTier2_XP_10500_0</t>
  </si>
  <si>
    <t>117.3;118.09</t>
  </si>
  <si>
    <t>391.04004;34.91</t>
  </si>
  <si>
    <t>309.09003;29.32</t>
  </si>
  <si>
    <t>SP_SpiderSmall_XP_4000_0</t>
  </si>
  <si>
    <t>-626.6;-127.6</t>
  </si>
  <si>
    <t>262.30002;49.4</t>
  </si>
  <si>
    <t>-343.4;208.7</t>
  </si>
  <si>
    <t>140.34003;62.05</t>
  </si>
  <si>
    <t>SP_Cage_KILL_Archer01-6_None-0</t>
  </si>
  <si>
    <t>-362.90002;129.6</t>
  </si>
  <si>
    <t>-304.1;7.2</t>
  </si>
  <si>
    <t>SP_MineBig_Static_XP_45000_0</t>
  </si>
  <si>
    <t>-390.7;136.3</t>
  </si>
  <si>
    <t>-74.26;54.23</t>
  </si>
  <si>
    <t>-178.22;-102.52</t>
  </si>
  <si>
    <t>SP_Canary04_Flock_XP_0_27000</t>
  </si>
  <si>
    <t>273.6;40.9</t>
  </si>
  <si>
    <t>-185.3;208.2</t>
  </si>
  <si>
    <t>162.73001;24.54</t>
  </si>
  <si>
    <t>-518.8;140.6</t>
  </si>
  <si>
    <t>SP_BatBig_Flock_XP_18000_0</t>
  </si>
  <si>
    <t>-553.58;-50.8</t>
  </si>
  <si>
    <t>-22.6;13.26</t>
  </si>
  <si>
    <t>SP_DrunkenMan_XP_9000_0</t>
  </si>
  <si>
    <t>-509.1;-288.2</t>
  </si>
  <si>
    <t>-328.4;200.7</t>
  </si>
  <si>
    <t>SP_Ghost01_Static_XP_18000_0</t>
  </si>
  <si>
    <t>312.34;49.6</t>
  </si>
  <si>
    <t>-173.53;165.3</t>
  </si>
  <si>
    <t>184.91;156.37</t>
  </si>
  <si>
    <t>-544.73;-62</t>
  </si>
  <si>
    <t>-651.9;-187.2</t>
  </si>
  <si>
    <t>SP_VillagerGirl_Static_XP_0_3000</t>
  </si>
  <si>
    <t>323.56003;60.21</t>
  </si>
  <si>
    <t>-216.9;-194.42</t>
  </si>
  <si>
    <t>133.90002;42.38</t>
  </si>
  <si>
    <t>-609;-103.9</t>
  </si>
  <si>
    <t>-27.6;88.6</t>
  </si>
  <si>
    <t>227.2;35.4</t>
  </si>
  <si>
    <t>-16.78;112.77</t>
  </si>
  <si>
    <t>SP_Canary_Mix_Flock_XP_0_14000</t>
  </si>
  <si>
    <t>-365.1;-44.39</t>
  </si>
  <si>
    <t>79.16998;48.16</t>
  </si>
  <si>
    <t>-577.92;83.64</t>
  </si>
  <si>
    <t>-487.63;-7.46</t>
  </si>
  <si>
    <t>65.30002;119.62</t>
  </si>
  <si>
    <t>302.55002;131.98</t>
  </si>
  <si>
    <t>-469.2;-242.9</t>
  </si>
  <si>
    <t>385.01;49.81</t>
  </si>
  <si>
    <t>246.79004;97.4</t>
  </si>
  <si>
    <t>SP_MineBig_Static_XP_18000_0</t>
  </si>
  <si>
    <t>-488;160</t>
  </si>
  <si>
    <t>SP_EnemyTier4_XP_43000_0</t>
  </si>
  <si>
    <t>303.60004;75.3</t>
  </si>
  <si>
    <t>-92.62;34.9</t>
  </si>
  <si>
    <t>SP_BadJunk_XP_6000_0</t>
  </si>
  <si>
    <t>-626.37;-113.34</t>
  </si>
  <si>
    <t>-161.3;-33.93</t>
  </si>
  <si>
    <t>249.86002;24.49</t>
  </si>
  <si>
    <t>389.60004;41.78</t>
  </si>
  <si>
    <t>-402.79;-162.26</t>
  </si>
  <si>
    <t>SP_Ghost01_XP_0_7000</t>
  </si>
  <si>
    <t>-4.47;93.72</t>
  </si>
  <si>
    <t>-95.1;189.3</t>
  </si>
  <si>
    <t>-616.36;-109.12</t>
  </si>
  <si>
    <t>SP_EnemyTier0_XP_0_6900</t>
  </si>
  <si>
    <t>-68;39.6</t>
  </si>
  <si>
    <t>SP_Sheep_XP_0_25000</t>
  </si>
  <si>
    <t>133.15002;41.96</t>
  </si>
  <si>
    <t>387.08002;29.9</t>
  </si>
  <si>
    <t>SP_Crow_Flock_XP_0_20000</t>
  </si>
  <si>
    <t>268.7;82.38</t>
  </si>
  <si>
    <t>82.76001;111.2</t>
  </si>
  <si>
    <t>213.64001;51.83</t>
  </si>
  <si>
    <t>-365.52;36.72</t>
  </si>
  <si>
    <t>SP_SpiderSmallTurret_XP_0_14000</t>
  </si>
  <si>
    <t>-28.099998;189.3</t>
  </si>
  <si>
    <t>SP_GoodJunkBottle_XP_14000_0</t>
  </si>
  <si>
    <t>-492.6;-190.5</t>
  </si>
  <si>
    <t>-523.58;-153.15</t>
  </si>
  <si>
    <t>-254.9;39.09</t>
  </si>
  <si>
    <t>SP_Archer02_XP_17000_0</t>
  </si>
  <si>
    <t>264.15002;25.6</t>
  </si>
  <si>
    <t>-133.35;-53.96</t>
  </si>
  <si>
    <t>372.10004;111.7</t>
  </si>
  <si>
    <t>SP_MexicanPepper_XP_9000_0</t>
  </si>
  <si>
    <t>-498.56;-42</t>
  </si>
  <si>
    <t>-234.85;143.28</t>
  </si>
  <si>
    <t>SP_Starling_Flock_XP_0_15000</t>
  </si>
  <si>
    <t>SP_Canary_Mix_Flock_XP_8000_0</t>
  </si>
  <si>
    <t>151.98999;103.91</t>
  </si>
  <si>
    <t>SP_BadJunk_XP_24000_0</t>
  </si>
  <si>
    <t>-494.99;-7.93</t>
  </si>
  <si>
    <t>-21.6;182.2</t>
  </si>
  <si>
    <t>SP_GoodWitch_XP_0_15000</t>
  </si>
  <si>
    <t>SP_Troll_XP_22000_0</t>
  </si>
  <si>
    <t>SP_Archer01_XP_15000_0</t>
  </si>
  <si>
    <t>101.07004;42.07</t>
  </si>
  <si>
    <t>SP_Starling_Flock_TIME_240_0</t>
  </si>
  <si>
    <t>247.85004;69.1</t>
  </si>
  <si>
    <t>SP_Ghost02_XP_22000_0</t>
  </si>
  <si>
    <t>195.51001;73.61</t>
  </si>
  <si>
    <t>SP_SpiderGreenTurret_XP_9500_0</t>
  </si>
  <si>
    <t>SP_Ghost01_XP_13000_0</t>
  </si>
  <si>
    <t>102.890015;55.54</t>
  </si>
  <si>
    <t>-655.47;-117.11</t>
  </si>
  <si>
    <t>-662.86;-114.33</t>
  </si>
  <si>
    <t>SP_EnemyTier0_XP_2900_0</t>
  </si>
  <si>
    <t>-9.03;96.75</t>
  </si>
  <si>
    <t>SP_SpiderSmall_XP_0_23000</t>
  </si>
  <si>
    <t>SP_Ghost02_Static_XP_33000_0</t>
  </si>
  <si>
    <t>269.00003;36.8</t>
  </si>
  <si>
    <t>SP_Villager01_KILL_None-0_BadFarmer-1</t>
  </si>
  <si>
    <t>-533.62;84.61</t>
  </si>
  <si>
    <t>346.80002;62.5</t>
  </si>
  <si>
    <t>SP_Villager01_Static_XP_0_4000</t>
  </si>
  <si>
    <t>169.32004;55.82</t>
  </si>
  <si>
    <t>SP_Ghost01_XP_3500_0</t>
  </si>
  <si>
    <t>-321.43;-106.83</t>
  </si>
  <si>
    <t>-499.36;-282.49</t>
  </si>
  <si>
    <t>-623.19995;-104.3</t>
  </si>
  <si>
    <t>189.44;98.47</t>
  </si>
  <si>
    <t>-238.5;6.4</t>
  </si>
  <si>
    <t>SP_EnemyTier3_XP_23000_0</t>
  </si>
  <si>
    <t>293.60004;80.6</t>
  </si>
  <si>
    <t>233.8;78.73</t>
  </si>
  <si>
    <t>SP_BatBig_Flock_XP_6750_0</t>
  </si>
  <si>
    <t>SP_Ghost01_XP_11500_0</t>
  </si>
  <si>
    <t>111.50003;56.57</t>
  </si>
  <si>
    <t>179.19003;64.28</t>
  </si>
  <si>
    <t>260.7;86.36</t>
  </si>
  <si>
    <t>259.79004;24.92</t>
  </si>
  <si>
    <t>SP_Canary02_Flock_XP_0_15000</t>
  </si>
  <si>
    <t>SP_FairyBig_XP_1200_0</t>
  </si>
  <si>
    <t>-154;114.4</t>
  </si>
  <si>
    <t>SP_Worker_Mix_XP_6000_0</t>
  </si>
  <si>
    <t>SP_SpiderGreenTurret_XP_7500_0</t>
  </si>
  <si>
    <t>85.140015;64.88</t>
  </si>
  <si>
    <t>327.60004;111.3</t>
  </si>
  <si>
    <t>-218.17;-136.42</t>
  </si>
  <si>
    <t>-203.7;194.5</t>
  </si>
  <si>
    <t>-501.33;-283.38</t>
  </si>
  <si>
    <t>SP_Canary01_Flock_XP_0_17000</t>
  </si>
  <si>
    <t>-454.85;-0.54</t>
  </si>
  <si>
    <t>-217.18;-128.78</t>
  </si>
  <si>
    <t>SP_Sheep_XP_0_20000</t>
  </si>
  <si>
    <t>282.02002;58.12</t>
  </si>
  <si>
    <t>-628.9;-90.1</t>
  </si>
  <si>
    <t>-508.27;68.7</t>
  </si>
  <si>
    <t>SP_MineMedium_Static_XP_11100_0</t>
  </si>
  <si>
    <t>-101.97;52.51</t>
  </si>
  <si>
    <t>SP_BadJunk_XP_22000_0</t>
  </si>
  <si>
    <t>52.899994;58.65</t>
  </si>
  <si>
    <t>SP_Ghost02_XP_5000_0</t>
  </si>
  <si>
    <t>-141.71;92.01</t>
  </si>
  <si>
    <t>SP_MexicanPepper_TIME_150_0</t>
  </si>
  <si>
    <t>-490.7;43.7</t>
  </si>
  <si>
    <t>SP_Ghost01_Static_XP_24000_0</t>
  </si>
  <si>
    <t>320.27;40.66</t>
  </si>
  <si>
    <t>94.59003;95.6</t>
  </si>
  <si>
    <t>64.60004;128.8</t>
  </si>
  <si>
    <t>-528.9;-188.3</t>
  </si>
  <si>
    <t>SP_MineSmall_Static_XP_2000_0</t>
  </si>
  <si>
    <t>SP_Canary01_Flock_XP_4000_0</t>
  </si>
  <si>
    <t>-73.85;35.09</t>
  </si>
  <si>
    <t>SP_SeatVillager_XP_2000_0</t>
  </si>
  <si>
    <t>-136.17;-85.479996</t>
  </si>
  <si>
    <t>SP_Ghost01_Static_XP_16000_0</t>
  </si>
  <si>
    <t>179.20001;54.79</t>
  </si>
  <si>
    <t>-313.45;97.89</t>
  </si>
  <si>
    <t>60.060028;55.7</t>
  </si>
  <si>
    <t>SP_Crow_Flock_XP_9000_0</t>
  </si>
  <si>
    <t>237.30002;97.01</t>
  </si>
  <si>
    <t>-434.44;-45.24</t>
  </si>
  <si>
    <t>-107.54;65.76</t>
  </si>
  <si>
    <t>-172.14;131.5</t>
  </si>
  <si>
    <t>-312.7;-2.57</t>
  </si>
  <si>
    <t>-658.5;-196.6</t>
  </si>
  <si>
    <t>-28.5;146.51</t>
  </si>
  <si>
    <t>-132.8;153.9</t>
  </si>
  <si>
    <t>-343.84;-42.91</t>
  </si>
  <si>
    <t>-511.38;-140.78</t>
  </si>
  <si>
    <t>-100;164.8</t>
  </si>
  <si>
    <t>SP_SpiderSmall_XP_3100_0</t>
  </si>
  <si>
    <t>153.73001;106.21</t>
  </si>
  <si>
    <t>SP_Crow_Flock_XP_0_21000</t>
  </si>
  <si>
    <t>312.80002;46.02</t>
  </si>
  <si>
    <t>-269.12;97.89</t>
  </si>
  <si>
    <t>-638.39;-98.2</t>
  </si>
  <si>
    <t>SP_Villager01_XP_0_12000</t>
  </si>
  <si>
    <t>SP_Worker_Mix_XP_5000_0</t>
  </si>
  <si>
    <t>SP_LionBird_XP_0_9500</t>
  </si>
  <si>
    <t>356.84003;104.88</t>
  </si>
  <si>
    <t>332.97;45.65</t>
  </si>
  <si>
    <t>-450;149.4</t>
  </si>
  <si>
    <t>SP_EnemyTier2_XP_0_20000</t>
  </si>
  <si>
    <t>291.32004;79.3</t>
  </si>
  <si>
    <t>-481.72;-141.1</t>
  </si>
  <si>
    <t>158.70001;108.2</t>
  </si>
  <si>
    <t>SP_EnemyTier0_TIME_90_0</t>
  </si>
  <si>
    <t>SP_LionBird_XP_16000_0</t>
  </si>
  <si>
    <t>346.04004;41.4</t>
  </si>
  <si>
    <t>325.45;29.72</t>
  </si>
  <si>
    <t>-289.45;-122.8</t>
  </si>
  <si>
    <t>-483.33;-155.38</t>
  </si>
  <si>
    <t>SP_Canary_Random_Flock_XP_1100_0</t>
  </si>
  <si>
    <t>-649.25995;-161.97</t>
  </si>
  <si>
    <t>-415.18;-150.53</t>
  </si>
  <si>
    <t>-170;38.3</t>
  </si>
  <si>
    <t>SP_EnemyTier2_XP_12000_0</t>
  </si>
  <si>
    <t>SP_BatBig_Flock_XP_4000_0</t>
  </si>
  <si>
    <t>-223.84;-100.17</t>
  </si>
  <si>
    <t>-493.5;-42.68</t>
  </si>
  <si>
    <t>SP_Archer02_XP_2500_0</t>
  </si>
  <si>
    <t>-441.4;-170.9</t>
  </si>
  <si>
    <t>-164.9;192.7</t>
  </si>
  <si>
    <t>356.30002;77</t>
  </si>
  <si>
    <t>-538.73;-69.9</t>
  </si>
  <si>
    <t>SP_MineSmall_Static_XP_3000_0</t>
  </si>
  <si>
    <t>299.06003;120.37</t>
  </si>
  <si>
    <t>SP_BadWitch_XP_10000_15000</t>
  </si>
  <si>
    <t>SP_Villager02_XP_16000_0</t>
  </si>
  <si>
    <t>111.410034;80.85</t>
  </si>
  <si>
    <t>316.40002;75.8</t>
  </si>
  <si>
    <t>138.25003;117.2</t>
  </si>
  <si>
    <t>181.04;149.44</t>
  </si>
  <si>
    <t>-444.1;-230.5</t>
  </si>
  <si>
    <t>-420.18;14.08</t>
  </si>
  <si>
    <t>-177;48.9</t>
  </si>
  <si>
    <t>SP_Cow_XP_2800_0</t>
  </si>
  <si>
    <t>-453.67;-16.95</t>
  </si>
  <si>
    <t>-426.35;-32.13</t>
  </si>
  <si>
    <t>320.00003;88.7</t>
  </si>
  <si>
    <t>SP_Canary01_Flock_XP_0_21000</t>
  </si>
  <si>
    <t>221.13004;24.49</t>
  </si>
  <si>
    <t>-575.3;-178.3</t>
  </si>
  <si>
    <t>SP_EnemyTier4_XP_40000_0</t>
  </si>
  <si>
    <t>SP_Crow_Flock_XP_0_32000</t>
  </si>
  <si>
    <t>205.40002;78.93</t>
  </si>
  <si>
    <t>SP_Starling_Flock_XP_28000_38000</t>
  </si>
  <si>
    <t>267.03003;55.68</t>
  </si>
  <si>
    <t>-122.4;111.49</t>
  </si>
  <si>
    <t>-343.4;192.7</t>
  </si>
  <si>
    <t>-452.81;70.15</t>
  </si>
  <si>
    <t>-485.9;-217.4</t>
  </si>
  <si>
    <t>SP_MineMedium_Static_XP_16100_0</t>
  </si>
  <si>
    <t>-101.73;-62.9</t>
  </si>
  <si>
    <t>SP_Ghost02_XP_23000_0</t>
  </si>
  <si>
    <t>183.85004;81.72</t>
  </si>
  <si>
    <t>-563.39;-168.03</t>
  </si>
  <si>
    <t>258.61002;65.43</t>
  </si>
  <si>
    <t>SP_MineBig_Static_TIME_330_0</t>
  </si>
  <si>
    <t>-69.66;51.1</t>
  </si>
  <si>
    <t>-482.6;-199.98</t>
  </si>
  <si>
    <t>-491.14;-56.53</t>
  </si>
  <si>
    <t>SP_Sheep_XP_0_17000</t>
  </si>
  <si>
    <t>211.26001;24.49</t>
  </si>
  <si>
    <t>186.09003;131.34</t>
  </si>
  <si>
    <t>SP_Piranha_XP_4000_0</t>
  </si>
  <si>
    <t>-429.62;-157.19</t>
  </si>
  <si>
    <t>80.600006;158.5</t>
  </si>
  <si>
    <t>-107.44;69.67</t>
  </si>
  <si>
    <t>SP_witch_XP_28000_0</t>
  </si>
  <si>
    <t>SP_Villager02_Static_XP_0_8000</t>
  </si>
  <si>
    <t>167.88004;9.12</t>
  </si>
  <si>
    <t>-629.48;-185.6</t>
  </si>
  <si>
    <t>235.73;107.35</t>
  </si>
  <si>
    <t>-192.28;157.12</t>
  </si>
  <si>
    <t>-72.87;44.58</t>
  </si>
  <si>
    <t>-504.95;73.99</t>
  </si>
  <si>
    <t>SP_Archer01_Static_XP_5000_0</t>
  </si>
  <si>
    <t>129.79004;98.3</t>
  </si>
  <si>
    <t>-467.1;-255.81</t>
  </si>
  <si>
    <t>-101.4;156.1</t>
  </si>
  <si>
    <t>-64.3;203</t>
  </si>
  <si>
    <t>-44.72;-144.24</t>
  </si>
  <si>
    <t>SP_Ghost03_XP_18000_0</t>
  </si>
  <si>
    <t>-40.7;157.7</t>
  </si>
  <si>
    <t>SP_Archer02_TIME_480_0</t>
  </si>
  <si>
    <t>178.79004;42.38</t>
  </si>
  <si>
    <t>-519.3;158</t>
  </si>
  <si>
    <t>329.56;35.93</t>
  </si>
  <si>
    <t>124.410034;42.77</t>
  </si>
  <si>
    <t>-248.69;119.79</t>
  </si>
  <si>
    <t>SP_Canary01_Flock_XP_0_14000</t>
  </si>
  <si>
    <t>-484.79993;15.71</t>
  </si>
  <si>
    <t>-238.8;51.8</t>
  </si>
  <si>
    <t>94.869995;106.67</t>
  </si>
  <si>
    <t>-315.5;-56.77</t>
  </si>
  <si>
    <t>-320.3;8.5</t>
  </si>
  <si>
    <t>SP_EnemyTier0_XP_5000_0</t>
  </si>
  <si>
    <t>SP_witch_XP_15000_0</t>
  </si>
  <si>
    <t>267.80002;54.1</t>
  </si>
  <si>
    <t>-627.4;-192</t>
  </si>
  <si>
    <t>-468.64;-233.51</t>
  </si>
  <si>
    <t>-324.6;84.2</t>
  </si>
  <si>
    <t>SP_Ghost01_XP_8250_0</t>
  </si>
  <si>
    <t>-73.12;21.18</t>
  </si>
  <si>
    <t>SP_Canary_Random_Flock_XP_0_25000</t>
  </si>
  <si>
    <t>SP_Archer02_Static_XP_16000_0</t>
  </si>
  <si>
    <t>114.23001;66.2</t>
  </si>
  <si>
    <t>-10.1;153.4</t>
  </si>
  <si>
    <t>78.900024;61.5</t>
  </si>
  <si>
    <t>SP_Canary01_Flock_XP_0_23000</t>
  </si>
  <si>
    <t>SP_Sheep_XP_1400_0</t>
  </si>
  <si>
    <t>-608.14;-126.5</t>
  </si>
  <si>
    <t>203.25003;51.42</t>
  </si>
  <si>
    <t>350.6;163.6</t>
  </si>
  <si>
    <t>13.15;71.28</t>
  </si>
  <si>
    <t>SP_Kamikaze_XP_6000_0</t>
  </si>
  <si>
    <t>SP_Archer02_XP_18000_0</t>
  </si>
  <si>
    <t>430.86;-220.99</t>
  </si>
  <si>
    <t>403.18;-145.99</t>
  </si>
  <si>
    <t>115.29;-212.06</t>
  </si>
  <si>
    <t>532.1;39.2</t>
  </si>
  <si>
    <t>SP_MineBig_XP_60000_0</t>
  </si>
  <si>
    <t>3.213;92.209</t>
  </si>
  <si>
    <t>SP_Villager_Mix_XP_0_17000</t>
  </si>
  <si>
    <t>510.67;-10.69</t>
  </si>
  <si>
    <t>SP_SpiderSmallTurret_XP_0_37000</t>
  </si>
  <si>
    <t>239.09;-352.36</t>
  </si>
  <si>
    <t>SP_SpiderGreenTurret_XP_29000_0</t>
  </si>
  <si>
    <t>255.68;-345.89</t>
  </si>
  <si>
    <t>674.22;-287.4</t>
  </si>
  <si>
    <t>SP_Worker_Mix_XP_0_46000</t>
  </si>
  <si>
    <t>SP_Miner01_Mix_XP_0_28000</t>
  </si>
  <si>
    <t>443.24;-195.78</t>
  </si>
  <si>
    <t>SP_Ghost01_XP_15000_30000</t>
  </si>
  <si>
    <t>594.7073;-266.1867</t>
  </si>
  <si>
    <t>SP_MexicanPepper_XP_40000_0</t>
  </si>
  <si>
    <t>218.09;-327.7</t>
  </si>
  <si>
    <t>517.1;38.3</t>
  </si>
  <si>
    <t>747.08;-264.73</t>
  </si>
  <si>
    <t>SP_Miner01_Mix_XP_0_35000</t>
  </si>
  <si>
    <t>488.4;42</t>
  </si>
  <si>
    <t>33.78;-164.36</t>
  </si>
  <si>
    <t>0;0</t>
  </si>
  <si>
    <t>378.9;-259.2</t>
  </si>
  <si>
    <t>662;148.3</t>
  </si>
  <si>
    <t>SP_Bomber_XP_0_46000</t>
  </si>
  <si>
    <t>427.92;-28.39</t>
  </si>
  <si>
    <t>590.01;-231.73</t>
  </si>
  <si>
    <t>725.78;-262.88</t>
  </si>
  <si>
    <t>729.11;-273.72</t>
  </si>
  <si>
    <t>189.5;-352.1</t>
  </si>
  <si>
    <t>SP_Piranha_XP_46000_0</t>
  </si>
  <si>
    <t>551.95;-146.55</t>
  </si>
  <si>
    <t>SP_SpiderSmall_XP_25000_0</t>
  </si>
  <si>
    <t>642;36.589996</t>
  </si>
  <si>
    <t>4.5526733;83.10926</t>
  </si>
  <si>
    <t>309.39;-224.23</t>
  </si>
  <si>
    <t>442.87;-165.13</t>
  </si>
  <si>
    <t>244.49;1.527</t>
  </si>
  <si>
    <t>SP_GoodJunkBottle_XP_34000_0</t>
  </si>
  <si>
    <t>SP_Miner01_Mix_XP_0_33000</t>
  </si>
  <si>
    <t>444.64;-330.32</t>
  </si>
  <si>
    <t>SP_MineSmall_Static_XP_0_55000</t>
  </si>
  <si>
    <t>475.78;26.26</t>
  </si>
  <si>
    <t>630.98;-140.38</t>
  </si>
  <si>
    <t>SP_Kamikaze_TIME_360_0</t>
  </si>
  <si>
    <t>602.3;14</t>
  </si>
  <si>
    <t>509.98;-233.61</t>
  </si>
  <si>
    <t>SP_Villager_Mix_XP_0_25000</t>
  </si>
  <si>
    <t>511.6;-10.71</t>
  </si>
  <si>
    <t>604.08;-189.9</t>
  </si>
  <si>
    <t>741.8;-260.3</t>
  </si>
  <si>
    <t>112.85;-349.7</t>
  </si>
  <si>
    <t>SP_MineSmall_Static_XP_22000_0</t>
  </si>
  <si>
    <t>SP_Fish_Random_Generic_XP_24000_0</t>
  </si>
  <si>
    <t>SP_FairySmall_XP_25000_0</t>
  </si>
  <si>
    <t>SP_Canary_Random_Flock_XP_18100_0</t>
  </si>
  <si>
    <t>597.42;-291.7</t>
  </si>
  <si>
    <t>564.5;11.8</t>
  </si>
  <si>
    <t>420.19;-54.24</t>
  </si>
  <si>
    <t>580.52;-251.29</t>
  </si>
  <si>
    <t>230.1;-183.8</t>
  </si>
  <si>
    <t>511.2;27</t>
  </si>
  <si>
    <t>SP_Villager01_Static_XP_0_16000</t>
  </si>
  <si>
    <t>481.54;8.14</t>
  </si>
  <si>
    <t>SP_BatBig_Flock_XP_42000_0</t>
  </si>
  <si>
    <t>404.53;-52.23</t>
  </si>
  <si>
    <t>138.91;-171.09</t>
  </si>
  <si>
    <t>456.5;100.4</t>
  </si>
  <si>
    <t>515.02;-164.34</t>
  </si>
  <si>
    <t>SP_MineMedium_TIME_180_0</t>
  </si>
  <si>
    <t>SP_MineSmall_TIME_300_0</t>
  </si>
  <si>
    <t>657.8;47.6</t>
  </si>
  <si>
    <t>SP_GoodJunkBottle_XP_30000_0</t>
  </si>
  <si>
    <t>644.4;50</t>
  </si>
  <si>
    <t>SP_Miner01_Mix_XP_0_24000</t>
  </si>
  <si>
    <t>97.25;-187.3</t>
  </si>
  <si>
    <t>242.03;-324.18</t>
  </si>
  <si>
    <t>262.2;-182.1</t>
  </si>
  <si>
    <t>SP_SpiderRed_XP_21000_0</t>
  </si>
  <si>
    <t>SP_BatBig_Flock_XP_23000_0</t>
  </si>
  <si>
    <t>SP_Fish_Random_Generic_XP_26000_0</t>
  </si>
  <si>
    <t>SP_Crocodile_XP_15000_0</t>
  </si>
  <si>
    <t>482.61;-281.65</t>
  </si>
  <si>
    <t>549.4;-10.71</t>
  </si>
  <si>
    <t>476.15;-20.86</t>
  </si>
  <si>
    <t>SP_SpiderSmallTurret_XP_43000_0</t>
  </si>
  <si>
    <t>423.3;-212.11</t>
  </si>
  <si>
    <t>SP_MineBig_Static_XP_55000_0</t>
  </si>
  <si>
    <t>458.27002;-32.01</t>
  </si>
  <si>
    <t>489.91;-22.23</t>
  </si>
  <si>
    <t>SP_Rat_XP_15000_0</t>
  </si>
  <si>
    <t>332.46;-200.13892</t>
  </si>
  <si>
    <t>315.53;-157.11</t>
  </si>
  <si>
    <t>395.24;-175.17</t>
  </si>
  <si>
    <t>694.1;143.5</t>
  </si>
  <si>
    <t>292.88;-231.92</t>
  </si>
  <si>
    <t>290.31;-357.04</t>
  </si>
  <si>
    <t>702.61;-215.79</t>
  </si>
  <si>
    <t>464.17;-180.46</t>
  </si>
  <si>
    <t>288.1;-234.77</t>
  </si>
  <si>
    <t>-5.95;-314.27</t>
  </si>
  <si>
    <t>SP_GoblinDrone_XP_28000_0</t>
  </si>
  <si>
    <t>735.7;-260.62</t>
  </si>
  <si>
    <t>57.57;-185.83</t>
  </si>
  <si>
    <t>488.72;-10.69</t>
  </si>
  <si>
    <t>403.19;-225.80104</t>
  </si>
  <si>
    <t>766.24;-299.3</t>
  </si>
  <si>
    <t>572.7;-10.71</t>
  </si>
  <si>
    <t>416.22;-51.15</t>
  </si>
  <si>
    <t>SP_GoblinDrone_XP_35000_0</t>
  </si>
  <si>
    <t>686.42;-302.93</t>
  </si>
  <si>
    <t>SP_SpiderSmall_XP_33000_0</t>
  </si>
  <si>
    <t>SP_SpiderSmall_XP_36000_0</t>
  </si>
  <si>
    <t>SP_SpiderSmall_XP_31000_0</t>
  </si>
  <si>
    <t>-1.62;-292.4</t>
  </si>
  <si>
    <t>404.66;-10.14</t>
  </si>
  <si>
    <t>145.63;-221.63</t>
  </si>
  <si>
    <t>183.2;-281.27</t>
  </si>
  <si>
    <t>SP_DrunkenMan_XP_0_21000</t>
  </si>
  <si>
    <t>349.29;-32.37</t>
  </si>
  <si>
    <t>-58;-293.48</t>
  </si>
  <si>
    <t>418.63;-258.41003</t>
  </si>
  <si>
    <t>SP_SpiderSmallTurret_XP_0_43000</t>
  </si>
  <si>
    <t>261.94;-346.49</t>
  </si>
  <si>
    <t>535.5;-10.69</t>
  </si>
  <si>
    <t>507.45;74</t>
  </si>
  <si>
    <t>246.41;-325.63</t>
  </si>
  <si>
    <t>292.37;-340.5</t>
  </si>
  <si>
    <t>SP_Villager_Mix_XP_0_23000</t>
  </si>
  <si>
    <t>566.81;-10.71</t>
  </si>
  <si>
    <t>141.01;-190.81</t>
  </si>
  <si>
    <t>619.88;-243.76</t>
  </si>
  <si>
    <t>188.23;-292.02</t>
  </si>
  <si>
    <t>558.9;8.699999</t>
  </si>
  <si>
    <t>SP_Kamikaze_XP_30000_0</t>
  </si>
  <si>
    <t>385.63;-315.56</t>
  </si>
  <si>
    <t>181.6;-176.26</t>
  </si>
  <si>
    <t>SP_Piranha_XP_30000_0</t>
  </si>
  <si>
    <t>494.6;30.15</t>
  </si>
  <si>
    <t>776.93;-316.81</t>
  </si>
  <si>
    <t>755.26;-292.95</t>
  </si>
  <si>
    <t>SP_BadJunk_TIME_300_0</t>
  </si>
  <si>
    <t>697.2;-251.63</t>
  </si>
  <si>
    <t>SP_SpiderRed_XP_24000_0</t>
  </si>
  <si>
    <t>324.52;-217.96</t>
  </si>
  <si>
    <t>SP_Driller_XP_38000_0</t>
  </si>
  <si>
    <t>251.33;-261.3</t>
  </si>
  <si>
    <t>442.11;-213.08107</t>
  </si>
  <si>
    <t>38.73;-130.09</t>
  </si>
  <si>
    <t>SP_MineMedium_Static_XP_60000_80000</t>
  </si>
  <si>
    <t>537.6;34.5</t>
  </si>
  <si>
    <t>354.24;-191.27</t>
  </si>
  <si>
    <t>SP_Hawk_XP_16000_0</t>
  </si>
  <si>
    <t>216;-169</t>
  </si>
  <si>
    <t>446.01;-172.61</t>
  </si>
  <si>
    <t>SP_Canary_Random_Flock_XP_16100_0</t>
  </si>
  <si>
    <t>466.94;-198.62</t>
  </si>
  <si>
    <t>728.54;-265.07</t>
  </si>
  <si>
    <t>772.55;-341.04</t>
  </si>
  <si>
    <t>SP_GoblinDrone_XP_40000_0</t>
  </si>
  <si>
    <t>436.05;-292.30002</t>
  </si>
  <si>
    <t>SP_Fish_Random_Generic_XP_17000_0</t>
  </si>
  <si>
    <t>-13.653;69.128</t>
  </si>
  <si>
    <t>557.55;74.7</t>
  </si>
  <si>
    <t>287.51;-347.74</t>
  </si>
  <si>
    <t>474.7;-177.58</t>
  </si>
  <si>
    <t>598.9;41.9</t>
  </si>
  <si>
    <t>SP_Canary_Random_Flock_XP_0_14000</t>
  </si>
  <si>
    <t>SP_GoblinDroneFood_XP_30000_0</t>
  </si>
  <si>
    <t>646.23;-223.45</t>
  </si>
  <si>
    <t>SP_SpiderSmallTurret_XP_29000_0</t>
  </si>
  <si>
    <t>406.74;-19.4</t>
  </si>
  <si>
    <t>20.513977;86.41147</t>
  </si>
  <si>
    <t>-39.97;89.83</t>
  </si>
  <si>
    <t>132.26;-341.83</t>
  </si>
  <si>
    <t>679.61;-327.83</t>
  </si>
  <si>
    <t>SP_MexicanPepper_XP_20000_0</t>
  </si>
  <si>
    <t>45.3;-127.5</t>
  </si>
  <si>
    <t>133.09;-209.39</t>
  </si>
  <si>
    <t>323.99;-142.61</t>
  </si>
  <si>
    <t>250.7;-175.6</t>
  </si>
  <si>
    <t>SP_Spartakus_XP_30000_0</t>
  </si>
  <si>
    <t>677.3;144.8</t>
  </si>
  <si>
    <t>557.9;155.4</t>
  </si>
  <si>
    <t>SP_Ghost03_Static_XP_38500_0</t>
  </si>
  <si>
    <t>SP_SpiderRed_XP_29000_0</t>
  </si>
  <si>
    <t>SP_GoodJunkBottle_XP_25000_0</t>
  </si>
  <si>
    <t>SP_Crocodile_XP_18000_0</t>
  </si>
  <si>
    <t>SP_Fish_Random_Generic_XP_18000_0</t>
  </si>
  <si>
    <t>603;66.1</t>
  </si>
  <si>
    <t>494.64;-33.68</t>
  </si>
  <si>
    <t>SP_BatBig_Flock_XP_44000_0</t>
  </si>
  <si>
    <t>312.69;-155.1</t>
  </si>
  <si>
    <t>SP_EnemyTier3_XP_40000_0</t>
  </si>
  <si>
    <t>645.5;18.9</t>
  </si>
  <si>
    <t>529.82;-253.90001</t>
  </si>
  <si>
    <t>SP_GoblinDroneFood_XP_0_40000</t>
  </si>
  <si>
    <t>752.89;-337.16</t>
  </si>
  <si>
    <t>SP_SpiderSmall_XP_22000_0</t>
  </si>
  <si>
    <t>361.13;-233.44</t>
  </si>
  <si>
    <t>468.63;160.55998</t>
  </si>
  <si>
    <t>SP_GoblinDrone_XP_33000_0</t>
  </si>
  <si>
    <t>634.55;-331.84</t>
  </si>
  <si>
    <t>SP_Crow_Flock_XP_24000_0</t>
  </si>
  <si>
    <t>SP_Crocodile_XP_29000_0</t>
  </si>
  <si>
    <t>119.72;-221.63</t>
  </si>
  <si>
    <t>558.8;-257.3</t>
  </si>
  <si>
    <t>531.19;-206.98</t>
  </si>
  <si>
    <t>471.87;-344.2</t>
  </si>
  <si>
    <t>660.93;-286.99</t>
  </si>
  <si>
    <t>562.3;20.4</t>
  </si>
  <si>
    <t>SP_GoodJunkBottle_XP_38000_0</t>
  </si>
  <si>
    <t>52.06;-325.27</t>
  </si>
  <si>
    <t>655.01;-11.31</t>
  </si>
  <si>
    <t>SP_Worker_Mix_XP_23000_0</t>
  </si>
  <si>
    <t>546.15;-253.68</t>
  </si>
  <si>
    <t>SP_Kamikaze_XP_21000_0</t>
  </si>
  <si>
    <t>249.14;-319.16</t>
  </si>
  <si>
    <t>SP_Rat_XP_17000_0</t>
  </si>
  <si>
    <t>340.41;-210.75</t>
  </si>
  <si>
    <t>30.54;-163.4</t>
  </si>
  <si>
    <t>513.42004;-128.76001</t>
  </si>
  <si>
    <t>517;-10.71</t>
  </si>
  <si>
    <t>459.5;35.7</t>
  </si>
  <si>
    <t>PF_vagon</t>
  </si>
  <si>
    <t>249.3;-323.99</t>
  </si>
  <si>
    <t>491.88;97.35</t>
  </si>
  <si>
    <t>405.05;-334.83</t>
  </si>
  <si>
    <t>SP_SpiderSmallTurret_XP_0_31000</t>
  </si>
  <si>
    <t>SP_OwlBig_XP_35000_0</t>
  </si>
  <si>
    <t>3.07;-313.53</t>
  </si>
  <si>
    <t>767.89;-307.97</t>
  </si>
  <si>
    <t>442.32;-289.3</t>
  </si>
  <si>
    <t>316.4;-143.32</t>
  </si>
  <si>
    <t>459.98;-159.03</t>
  </si>
  <si>
    <t>SP_SpiderSmallTurret_XP_0_39000</t>
  </si>
  <si>
    <t>254.94;-353.08</t>
  </si>
  <si>
    <t>698.2;152.5</t>
  </si>
  <si>
    <t>SP_GoblinDroneFood_XP_0_36000</t>
  </si>
  <si>
    <t>647.41;-220.47</t>
  </si>
  <si>
    <t>186.3;-352.1</t>
  </si>
  <si>
    <t>SP_Vulture_XP_17000_0</t>
  </si>
  <si>
    <t>430.39;-303.86</t>
  </si>
  <si>
    <t>449.51;-150.53</t>
  </si>
  <si>
    <t>140.24;-176.09</t>
  </si>
  <si>
    <t>SP_SpiderGreenTurret_XP_35000_0</t>
  </si>
  <si>
    <t>731.5;-229.7</t>
  </si>
  <si>
    <t>245.32;-322.99</t>
  </si>
  <si>
    <t>SP_Fish_Random_Generic_XP_22000_0</t>
  </si>
  <si>
    <t>SP_Vulture_XP_15000_0</t>
  </si>
  <si>
    <t>SP_SpiderSmallTurret_XP_38000_0</t>
  </si>
  <si>
    <t>365.62;-259.2</t>
  </si>
  <si>
    <t>SP_Richman_XP_0_20000</t>
  </si>
  <si>
    <t>581.95;-11.45</t>
  </si>
  <si>
    <t>298.5;-160.59999</t>
  </si>
  <si>
    <t>596.3;63.2</t>
  </si>
  <si>
    <t>223.5;-194.66415</t>
  </si>
  <si>
    <t>554.03;-261.75</t>
  </si>
  <si>
    <t>560.01996;-11.31</t>
  </si>
  <si>
    <t>61.5;-181.2</t>
  </si>
  <si>
    <t>SP_MineMedium_Static_XP_24000_0</t>
  </si>
  <si>
    <t>438.23;-35.38</t>
  </si>
  <si>
    <t>SP_Ghost02_XP_29000_0</t>
  </si>
  <si>
    <t>536.02;-154.52</t>
  </si>
  <si>
    <t>SP_Richman_XP_0_29000</t>
  </si>
  <si>
    <t>399.66995;-144.57</t>
  </si>
  <si>
    <t>351;-204.31894</t>
  </si>
  <si>
    <t>SP_BatSmall01_Flock_XP_30000_0</t>
  </si>
  <si>
    <t>616.13;-142.86</t>
  </si>
  <si>
    <t>SP_Miner01_Mix_XP_0_30000</t>
  </si>
  <si>
    <t>180.91;-353.09</t>
  </si>
  <si>
    <t>SP_Ghost03_Static_XP_36000_0</t>
  </si>
  <si>
    <t>432.8;-298.41</t>
  </si>
  <si>
    <t>393.11;-226.81105</t>
  </si>
  <si>
    <t>364.71;-193.9</t>
  </si>
  <si>
    <t>416.22;-59.92</t>
  </si>
  <si>
    <t>SP_SpiderSmall_XP_29000_0</t>
  </si>
  <si>
    <t>144.63;-176.09</t>
  </si>
  <si>
    <t>456.4;21.8</t>
  </si>
  <si>
    <t>551.2;159.15</t>
  </si>
  <si>
    <t>347.97;-233.35</t>
  </si>
  <si>
    <t>561.2;1.2</t>
  </si>
  <si>
    <t>740.76;-293.47</t>
  </si>
  <si>
    <t>545.4;26.800001</t>
  </si>
  <si>
    <t>SP_EnemyTier2_XP_45000_0</t>
  </si>
  <si>
    <t>608.6;34.4</t>
  </si>
  <si>
    <t>729.85;-297.36</t>
  </si>
  <si>
    <t>SP_Spartakus_XP_28000_0</t>
  </si>
  <si>
    <t>361.1;-258.06</t>
  </si>
  <si>
    <t>207.16;-291.69</t>
  </si>
  <si>
    <t>506.05;-11.08</t>
  </si>
  <si>
    <t>487.55;-305.26</t>
  </si>
  <si>
    <t>430.68;-43.47</t>
  </si>
  <si>
    <t>385.86;-142.51</t>
  </si>
  <si>
    <t>580.5;26.9</t>
  </si>
  <si>
    <t>497.4;140.9</t>
  </si>
  <si>
    <t>SP_MineBig_Static_XP_37000_0</t>
  </si>
  <si>
    <t>417.97;-53.8</t>
  </si>
  <si>
    <t>530.1;107.4</t>
  </si>
  <si>
    <t>527.9;-159.84</t>
  </si>
  <si>
    <t>-22.6;91.12</t>
  </si>
  <si>
    <t>604.3;49.6</t>
  </si>
  <si>
    <t>523.75;-253.44</t>
  </si>
  <si>
    <t>SP_LionBird_XP_0_30000</t>
  </si>
  <si>
    <t>310.2;-159.7</t>
  </si>
  <si>
    <t>218.5;-276.1</t>
  </si>
  <si>
    <t>-1.37;112.98</t>
  </si>
  <si>
    <t>421.03;-146.4</t>
  </si>
  <si>
    <t>SP_Guardian_TIME_420_0</t>
  </si>
  <si>
    <t>497.40002;3.6</t>
  </si>
  <si>
    <t>SP_Driller_XP_32000_0</t>
  </si>
  <si>
    <t>389.04;-217.19</t>
  </si>
  <si>
    <t>258.84;-319.4</t>
  </si>
  <si>
    <t>SP_RichMan_Static_XP_0_18000</t>
  </si>
  <si>
    <t>433.29;8.2</t>
  </si>
  <si>
    <t>SP_SpiderSmallTurret_XP_0_45000</t>
  </si>
  <si>
    <t>274.77;-348.96</t>
  </si>
  <si>
    <t>278.05;-325.95</t>
  </si>
  <si>
    <t>SP_SpiderSmall_XP_23000_0</t>
  </si>
  <si>
    <t>457.88;-257.24</t>
  </si>
  <si>
    <t>SP_SpiderSmallTurret_XP_0_35000</t>
  </si>
  <si>
    <t>241.41;-347.15</t>
  </si>
  <si>
    <t>-19.21;-302.34</t>
  </si>
  <si>
    <t>SP_MineBig_Static_XP_34000_0</t>
  </si>
  <si>
    <t>658.1;105.4</t>
  </si>
  <si>
    <t>317.21;-163.42</t>
  </si>
  <si>
    <t>SP_Kamikaze_XP_19000_0</t>
  </si>
  <si>
    <t>324.38;-346.82</t>
  </si>
  <si>
    <t>173.18;-352.8</t>
  </si>
  <si>
    <t>278.34;-344.79</t>
  </si>
  <si>
    <t>SP_Spartakus_XP_24000_0</t>
  </si>
  <si>
    <t>728.24;-332.67</t>
  </si>
  <si>
    <t>SP_GoblinDroneFood_XP_0_32000</t>
  </si>
  <si>
    <t>38;-313.3</t>
  </si>
  <si>
    <t>SP_LionBird_XP_0_32000</t>
  </si>
  <si>
    <t>116.69;-211.69</t>
  </si>
  <si>
    <t>421.03;-179.34477</t>
  </si>
  <si>
    <t>328.1;-225.52998</t>
  </si>
  <si>
    <t>563;65.9</t>
  </si>
  <si>
    <t>464;46.5</t>
  </si>
  <si>
    <t>523.92;-13.5</t>
  </si>
  <si>
    <t>SP_GoblinDrone_XP_50000_0</t>
  </si>
  <si>
    <t>236.47;-149.29</t>
  </si>
  <si>
    <t>SP_BatBig_Flock_XP_17000_0</t>
  </si>
  <si>
    <t>489.58;-53.21</t>
  </si>
  <si>
    <t>93.83;-187.61</t>
  </si>
  <si>
    <t>130.64;-170.31</t>
  </si>
  <si>
    <t>SP_Ghost01_XP_0_34000</t>
  </si>
  <si>
    <t>456.94;-344.21</t>
  </si>
  <si>
    <t>SP_Canary_Random_Flock_XP_0_40000</t>
  </si>
  <si>
    <t>467.8;161.9</t>
  </si>
  <si>
    <t>499;74.1</t>
  </si>
  <si>
    <t>583.25;-10.22</t>
  </si>
  <si>
    <t>290.8;-174.08</t>
  </si>
  <si>
    <t>SP_Hawk_XP_14000_0</t>
  </si>
  <si>
    <t>572.43;-10.71</t>
  </si>
  <si>
    <t>581.94;32.85</t>
  </si>
  <si>
    <t>467.90997;161.9</t>
  </si>
  <si>
    <t>SP_EnemyTier2_XP_18000_0</t>
  </si>
  <si>
    <t>453.44;-163.37</t>
  </si>
  <si>
    <t>708.1;145.12</t>
  </si>
  <si>
    <t>395.76;-257.82</t>
  </si>
  <si>
    <t>SP_MineMedium_XP_20000_0</t>
  </si>
  <si>
    <t>SP_Razorback_XP_80000_0</t>
  </si>
  <si>
    <t>503;58.5</t>
  </si>
  <si>
    <t>481.2;-317.12</t>
  </si>
  <si>
    <t>591.8;18.7</t>
  </si>
  <si>
    <t>437.13;-147.54</t>
  </si>
  <si>
    <t>438.22998;-193.88</t>
  </si>
  <si>
    <t>SP_GoodJunkBottle_XP_36000_0</t>
  </si>
  <si>
    <t>SP_Fish_Random_Generic_XP_0_45000</t>
  </si>
  <si>
    <t>112.52;-209.57</t>
  </si>
  <si>
    <t>34.93;-129.45</t>
  </si>
  <si>
    <t>720.73;-277.4</t>
  </si>
  <si>
    <t>SP_EnemyTier2_XP_35000_0</t>
  </si>
  <si>
    <t>283.06;-337.39</t>
  </si>
  <si>
    <t>324.41998;-197.91891</t>
  </si>
  <si>
    <t>346.67;-139.92</t>
  </si>
  <si>
    <t>694.11;-230.86</t>
  </si>
  <si>
    <t>123.52878;23.119751</t>
  </si>
  <si>
    <t>533;-337.22</t>
  </si>
  <si>
    <t>508.79;-153.54</t>
  </si>
  <si>
    <t>SP_BatSmall01_Flock_XP_14000_0</t>
  </si>
  <si>
    <t>443.28;-335.1</t>
  </si>
  <si>
    <t>SP_Fish_Random_Generic_XP_20000_0</t>
  </si>
  <si>
    <t>449.69;-348.7</t>
  </si>
  <si>
    <t>SP_EnemyTier4_XP_45000_0</t>
  </si>
  <si>
    <t>561.1;33.3</t>
  </si>
  <si>
    <t>715.84;-222.96</t>
  </si>
  <si>
    <t>422.62;-241.35999</t>
  </si>
  <si>
    <t>389.9;-227.12997</t>
  </si>
  <si>
    <t>583.16;-145.09</t>
  </si>
  <si>
    <t>SP_Archer02_Static_XP_19000_30000</t>
  </si>
  <si>
    <t>437.99;-290.82</t>
  </si>
  <si>
    <t>512.7001;58.399998</t>
  </si>
  <si>
    <t>427.48;-33.69</t>
  </si>
  <si>
    <t>509.21005;-127.780014</t>
  </si>
  <si>
    <t>749.04;-249.59</t>
  </si>
  <si>
    <t>557.1;26</t>
  </si>
  <si>
    <t>512.79;50.5</t>
  </si>
  <si>
    <t>533.25;-259.16</t>
  </si>
  <si>
    <t>34.3;-175.76</t>
  </si>
  <si>
    <t>520.72;-152.24</t>
  </si>
  <si>
    <t>204.51;-284.97</t>
  </si>
  <si>
    <t>465.29;74.1</t>
  </si>
  <si>
    <t>434.36;-27.8</t>
  </si>
  <si>
    <t>88.7;-178.42</t>
  </si>
  <si>
    <t>419.2;31.7</t>
  </si>
  <si>
    <t>319.1;-159.99998</t>
  </si>
  <si>
    <t>565.89996;51.300003</t>
  </si>
  <si>
    <t>625.9;38</t>
  </si>
  <si>
    <t>SP_Canary_Random_Flock_XP_12100_30000</t>
  </si>
  <si>
    <t>216.4;-351.76</t>
  </si>
  <si>
    <t>643;30.2</t>
  </si>
  <si>
    <t>595.39;145.56</t>
  </si>
  <si>
    <t>466.14;-196.02</t>
  </si>
  <si>
    <t>359.7;-237.32999</t>
  </si>
  <si>
    <t>SP_BadJunk_XP_50000_0</t>
  </si>
  <si>
    <t>726.99;-330.06003</t>
  </si>
  <si>
    <t>443.27;-258.7</t>
  </si>
  <si>
    <t>SP_SpiderSmall_XP_19000_0</t>
  </si>
  <si>
    <t>492.3;44.2</t>
  </si>
  <si>
    <t>SP_GoblinDrone_XP_36000_0</t>
  </si>
  <si>
    <t>488.54;-343.97</t>
  </si>
  <si>
    <t>SP_Spartakus_XP_22000_0</t>
  </si>
  <si>
    <t>249.7;-255.66415</t>
  </si>
  <si>
    <t>SP_Guardian_TIME_360_0</t>
  </si>
  <si>
    <t>316.21;-185.29</t>
  </si>
  <si>
    <t>SP_MineSmall_Static_XP_14000_0</t>
  </si>
  <si>
    <t>427.23;-44.19</t>
  </si>
  <si>
    <t>SP_Fish_Random_Generic_XP_32000_0</t>
  </si>
  <si>
    <t>SP_GoblinDrone_TIME_200_0</t>
  </si>
  <si>
    <t>545.8;107.4</t>
  </si>
  <si>
    <t>104.75;-174.8</t>
  </si>
  <si>
    <t>SP_EnemyTier3_XP_22000_0</t>
  </si>
  <si>
    <t>562.63;-1.88</t>
  </si>
  <si>
    <t>SP_BatSmall01_Flock_XP_0_45000</t>
  </si>
  <si>
    <t>445;30.2</t>
  </si>
  <si>
    <t>352.42;-147.79</t>
  </si>
  <si>
    <t>SP_Guardian_XP_30000_0</t>
  </si>
  <si>
    <t>550.31;-10.9</t>
  </si>
  <si>
    <t>SP_GoodJunkBottle_XP_37000_0</t>
  </si>
  <si>
    <t>602.78;-137.23</t>
  </si>
  <si>
    <t>SP_Miner01_Mix_XP_0_31000</t>
  </si>
  <si>
    <t>116.79;-340.76</t>
  </si>
  <si>
    <t>270.47;-337.16</t>
  </si>
  <si>
    <t>415.33;-192.34001</t>
  </si>
  <si>
    <t>SP_Miner02_Mix_XP_0_30000</t>
  </si>
  <si>
    <t>182;-193.6</t>
  </si>
  <si>
    <t>276.6;-319.2</t>
  </si>
  <si>
    <t>SP_SpiderGreenTurret_XP_31000_0</t>
  </si>
  <si>
    <t>263.15;-350.3</t>
  </si>
  <si>
    <t>416.17;-40.93</t>
  </si>
  <si>
    <t>558.4;46.800003</t>
  </si>
  <si>
    <t>SP_MineMedium_Static_XP_45000_0</t>
  </si>
  <si>
    <t>597.7;-301.46</t>
  </si>
  <si>
    <t>SP_FairySmall_XP_14000_0</t>
  </si>
  <si>
    <t>523.5;13.5</t>
  </si>
  <si>
    <t>SP_Fish_Random_Generic_XP_19000_0</t>
  </si>
  <si>
    <t>396.57;-30.51</t>
  </si>
  <si>
    <t>407.17;-9.6</t>
  </si>
  <si>
    <t>408.57;-25.39</t>
  </si>
  <si>
    <t>433.89;-174.95</t>
  </si>
  <si>
    <t>541.5;63.4</t>
  </si>
  <si>
    <t>480.65;-21.68</t>
  </si>
  <si>
    <t>SP_Fish_Random_Generic_XP_15000_0</t>
  </si>
  <si>
    <t>SP_GoodJunkBottle_XP_20000_0</t>
  </si>
  <si>
    <t>502.10004;17</t>
  </si>
  <si>
    <t>SP_Rat_XP_14000_0</t>
  </si>
  <si>
    <t>435.1;34.3</t>
  </si>
  <si>
    <t>533.7;25.3</t>
  </si>
  <si>
    <t>SP_OwlBig_XP_0_45000</t>
  </si>
  <si>
    <t>341.89;-198.38</t>
  </si>
  <si>
    <t>SP_MineSmall_XP_0_42000</t>
  </si>
  <si>
    <t>607.59;-285.21</t>
  </si>
  <si>
    <t>356.23;-241.91</t>
  </si>
  <si>
    <t>SP_Spartakus_KILL_Guardian-1_None-0</t>
  </si>
  <si>
    <t>651.9;20.2</t>
  </si>
  <si>
    <t>-43.92;89.77</t>
  </si>
  <si>
    <t>255.49;-193.3</t>
  </si>
  <si>
    <t>321.28;-230.49</t>
  </si>
  <si>
    <t>412.97;-33.6</t>
  </si>
  <si>
    <t>SP_Crocodile_XP_35000_0</t>
  </si>
  <si>
    <t>387.15;-321.38</t>
  </si>
  <si>
    <t>439.71;-322.55</t>
  </si>
  <si>
    <t>SP_DrunkenMan_TIME_0_220</t>
  </si>
  <si>
    <t>639.25;-11.31</t>
  </si>
  <si>
    <t>581.5;55.6</t>
  </si>
  <si>
    <t>469.6;-42.8</t>
  </si>
  <si>
    <t>SP_Hawk_XP_24000_0</t>
  </si>
  <si>
    <t>481.55;-311.75</t>
  </si>
  <si>
    <t>675.9;142.82</t>
  </si>
  <si>
    <t>278.23;-177.57</t>
  </si>
  <si>
    <t>SP_EnemyTier3_XP_38000_0</t>
  </si>
  <si>
    <t>420.64;35.85</t>
  </si>
  <si>
    <t>560.97;-148.74</t>
  </si>
  <si>
    <t>430.77;-239.24998</t>
  </si>
  <si>
    <t>386.58;-159.81</t>
  </si>
  <si>
    <t>642.7;16.8</t>
  </si>
  <si>
    <t>SP_Piranha_XP_28000_0</t>
  </si>
  <si>
    <t>SP_Crocodile_XP_20000_0</t>
  </si>
  <si>
    <t>86.55;-186.96</t>
  </si>
  <si>
    <t>SP_Bomber_TIME_240_0</t>
  </si>
  <si>
    <t>SP_SpiderSmallTurret_XP_37000_0</t>
  </si>
  <si>
    <t>SP_SpiderSmall_XP_20000_0</t>
  </si>
  <si>
    <t>434.31;-258.34</t>
  </si>
  <si>
    <t>528;47.5</t>
  </si>
  <si>
    <t>334.87;-254.5</t>
  </si>
  <si>
    <t>450.32;-334.96</t>
  </si>
  <si>
    <t>SP_Archer02_Static_XP_21000_0</t>
  </si>
  <si>
    <t>SP_Miner01_Mix_XP_0_26000</t>
  </si>
  <si>
    <t>347.25;-254.87</t>
  </si>
  <si>
    <t>436.21002;-24.480001</t>
  </si>
  <si>
    <t>515.93;-257.1</t>
  </si>
  <si>
    <t>143.93;-341.25</t>
  </si>
  <si>
    <t>SP_Villager01_XP_22000_0</t>
  </si>
  <si>
    <t>SP_Miner01_Mix_XP_0_45000</t>
  </si>
  <si>
    <t>403.98;-258.40002</t>
  </si>
  <si>
    <t>697.3;135.5</t>
  </si>
  <si>
    <t>461.9;27.1</t>
  </si>
  <si>
    <t>SP_MineSmall_Static_XP_20000_0</t>
  </si>
  <si>
    <t>SP_SpiderGreenTurret_XP_45000_0</t>
  </si>
  <si>
    <t>SP_BatBig_Flock_XP_41000_0</t>
  </si>
  <si>
    <t>475.56;18.6</t>
  </si>
  <si>
    <t>SP_MineSmall_Static_XP_25000_0</t>
  </si>
  <si>
    <t>SP_Kamikaze_XP_42000_0</t>
  </si>
  <si>
    <t>SP_Driller_TIME_240_0</t>
  </si>
  <si>
    <t>480.8;140.97</t>
  </si>
  <si>
    <t>427.45;-248.59</t>
  </si>
  <si>
    <t>523.92;-7.14</t>
  </si>
  <si>
    <t>SP_Miner03_Mix_XP_0_30000</t>
  </si>
  <si>
    <t>48.36;-176</t>
  </si>
  <si>
    <t>SP_GoblinDrone_XP_37000_0</t>
  </si>
  <si>
    <t>653.23;-198.02</t>
  </si>
  <si>
    <t>SP_Archer02_Static_XP_25000_0</t>
  </si>
  <si>
    <t>388.34;-168.83</t>
  </si>
  <si>
    <t>SP_Crow_Flock_XP_20000_0</t>
  </si>
  <si>
    <t>SP_Worker_Mix_XP_0_45000</t>
  </si>
  <si>
    <t>SP_Worker_Mix_XP_0_38000</t>
  </si>
  <si>
    <t>362.2;-142.09</t>
  </si>
  <si>
    <t>SP_Villager_Mix_XP_0_27000</t>
  </si>
  <si>
    <t>-9.16;-303.2</t>
  </si>
  <si>
    <t>588.3;48.4</t>
  </si>
  <si>
    <t>593.33;-297.24</t>
  </si>
  <si>
    <t>SP_Canary_Random_Flock_XP_14100_0</t>
  </si>
  <si>
    <t>SP_GoblinDrone_XP_39000_0</t>
  </si>
  <si>
    <t>676.27;-308.44</t>
  </si>
  <si>
    <t>609.1;59.5</t>
  </si>
  <si>
    <t>613.2999;17.199997</t>
  </si>
  <si>
    <t>713.37006;-218.63</t>
  </si>
  <si>
    <t>SP_Shieldman_TIME_0_220</t>
  </si>
  <si>
    <t>634.88;-10.83</t>
  </si>
  <si>
    <t>SP_BadJunk_XP_35000_0</t>
  </si>
  <si>
    <t>271.97;-355.01</t>
  </si>
  <si>
    <t>100.5;-347.35</t>
  </si>
  <si>
    <t>SP_Archer02_Static_XP_30000_0</t>
  </si>
  <si>
    <t>247.25;-252.58</t>
  </si>
  <si>
    <t>588.78;-250.83</t>
  </si>
  <si>
    <t>-46.564087;131.80556</t>
  </si>
  <si>
    <t>529.79;-334.5</t>
  </si>
  <si>
    <t>SP_Fish_Random_Generic_XP_14000_0</t>
  </si>
  <si>
    <t>254.69;-322.45</t>
  </si>
  <si>
    <t>SP_BatSmall01_Flock_XP_12000_0</t>
  </si>
  <si>
    <t>SP_Kamikaze_XP_35000_0</t>
  </si>
  <si>
    <t>427.04;-332.13</t>
  </si>
  <si>
    <t>487.76;-325.69</t>
  </si>
  <si>
    <t>93.79;-61.1</t>
  </si>
  <si>
    <t>434.77;-9.32</t>
  </si>
  <si>
    <t>304.23;-156.64</t>
  </si>
  <si>
    <t>691.1;-304.54</t>
  </si>
  <si>
    <t>SP_Worker_Mix_XP_20000_46000</t>
  </si>
  <si>
    <t>SP_SpiderSmallTurret_XP_32000_0</t>
  </si>
  <si>
    <t>330.22;-142.4</t>
  </si>
  <si>
    <t>SP_SpiderRed_XP_18000_0</t>
  </si>
  <si>
    <t>SP_Spartakus_XP_18000_0</t>
  </si>
  <si>
    <t>156.83;-221.44</t>
  </si>
  <si>
    <t>332.5;-169.3</t>
  </si>
  <si>
    <t>430.73;-49.94</t>
  </si>
  <si>
    <t>SP_Villager01_XP_19000_0</t>
  </si>
  <si>
    <t>SP_BadJunk_TIME_360_0</t>
  </si>
  <si>
    <t>359.01;-192.33</t>
  </si>
  <si>
    <t>SP_LionBird_XP_0_28000</t>
  </si>
  <si>
    <t>143.97;-212.54</t>
  </si>
  <si>
    <t>518.5;63.9</t>
  </si>
  <si>
    <t>721.2;-274.1</t>
  </si>
  <si>
    <t>676.02;-300.61</t>
  </si>
  <si>
    <t>356.41;-357.52</t>
  </si>
  <si>
    <t>653.44;-217.8</t>
  </si>
  <si>
    <t>490.99;-26.88</t>
  </si>
  <si>
    <t>SP_SpiderRed_XP_20000_0</t>
  </si>
  <si>
    <t>SP_SpiderRed_XP_17000_0</t>
  </si>
  <si>
    <t>333.07;-252.99</t>
  </si>
  <si>
    <t>513.35;-185.83</t>
  </si>
  <si>
    <t>SP_Archer02_XP_35000_0</t>
  </si>
  <si>
    <t>SP_Guardian_XP_45000_0</t>
  </si>
  <si>
    <t>426.04;-284.12</t>
  </si>
  <si>
    <t>626.26;14.68</t>
  </si>
  <si>
    <t>348.35;-189.21</t>
  </si>
  <si>
    <t>721.64;-302.26</t>
  </si>
  <si>
    <t>SP_Ghost03_TIME_300_0</t>
  </si>
  <si>
    <t>297.96;-356.33</t>
  </si>
  <si>
    <t>431.07;-35.52</t>
  </si>
  <si>
    <t>SP_Archer02_KILL_Soldier-3_None-0</t>
  </si>
  <si>
    <t>402.06;-322.27</t>
  </si>
  <si>
    <t>566.27;-255.02</t>
  </si>
  <si>
    <t>SP_MexicanPepper_KILL_MexicanPepper-5_None-0</t>
  </si>
  <si>
    <t>623.5;55.2</t>
  </si>
  <si>
    <t>SP_Fish_Random_Generic_XP_30000_0</t>
  </si>
  <si>
    <t>-64.3;73.13</t>
  </si>
  <si>
    <t>667.83;-284.95</t>
  </si>
  <si>
    <t>3.57;-287.68</t>
  </si>
  <si>
    <t>596.83;-37.49</t>
  </si>
  <si>
    <t>135.14;-190.64</t>
  </si>
  <si>
    <t>SP_EnemyTier3_XP_60000_0</t>
  </si>
  <si>
    <t>501.3;21.9</t>
  </si>
  <si>
    <t>474.71;118.93</t>
  </si>
  <si>
    <t>397.03;-169.19</t>
  </si>
  <si>
    <t>620.2;28</t>
  </si>
  <si>
    <t>SP_SpiderSmallTurret_XP_26000_0</t>
  </si>
  <si>
    <t>647.9;-191.08</t>
  </si>
  <si>
    <t>SP_Soldier01_Static_XP_30000_0</t>
  </si>
  <si>
    <t>-216.21;35.51</t>
  </si>
  <si>
    <t>229.97;-273.23</t>
  </si>
  <si>
    <t>533.17;-328.92</t>
  </si>
  <si>
    <t>329.83;-223.88</t>
  </si>
  <si>
    <t>534.45;-11.45</t>
  </si>
  <si>
    <t>316.8;-202.71893</t>
  </si>
  <si>
    <t>SP_Miner01_Mix_XP_0_32000</t>
  </si>
  <si>
    <t>406.38998;-222.12105</t>
  </si>
  <si>
    <t>357.24;-33.19</t>
  </si>
  <si>
    <t>611.58;-140.14</t>
  </si>
  <si>
    <t>SP_Miner02_Mix_XP_0_35000</t>
  </si>
  <si>
    <t>179.2;-192.4</t>
  </si>
  <si>
    <t>SP_Miner02_Mix_XP_0_24000</t>
  </si>
  <si>
    <t>100.42;-187.56</t>
  </si>
  <si>
    <t>SP_MineMedium_Static_XP_50000_0</t>
  </si>
  <si>
    <t>479.34;52.84</t>
  </si>
  <si>
    <t>SP_SpiderGreenTurret_XP_42000_0</t>
  </si>
  <si>
    <t>258.98;-351.45</t>
  </si>
  <si>
    <t>SP_Fish_Random_Generic_XP_28000_0</t>
  </si>
  <si>
    <t>163.2;-211.9</t>
  </si>
  <si>
    <t>581.4;63.7</t>
  </si>
  <si>
    <t>SP_SpiderSmallTurret_XP_0_40000</t>
  </si>
  <si>
    <t>SP_Driller_TIME_380_0</t>
  </si>
  <si>
    <t>387.6;-258.1</t>
  </si>
  <si>
    <t>SP_Horse_Static_XP_0_13000</t>
  </si>
  <si>
    <t>570.22;-12.05</t>
  </si>
  <si>
    <t>543.1;-289.2</t>
  </si>
  <si>
    <t>SP_Soldier01_XP_23000_0</t>
  </si>
  <si>
    <t>411.77;-10.14</t>
  </si>
  <si>
    <t>568.78;-294.44</t>
  </si>
  <si>
    <t>SP_Hawk_XP_12000_0</t>
  </si>
  <si>
    <t>SP_SpiderSmallTurret_XP_41000_0</t>
  </si>
  <si>
    <t>431.7;-148.1</t>
  </si>
  <si>
    <t>728.43;-257.16</t>
  </si>
  <si>
    <t>SP_GoblinWarMachine_XP_38000_0</t>
  </si>
  <si>
    <t>285.28;-356.5</t>
  </si>
  <si>
    <t>756.98;-250.53</t>
  </si>
  <si>
    <t>SP_Worker_Mix_XP_22000_0</t>
  </si>
  <si>
    <t>SP_Archer02_Static_XP_23000_0</t>
  </si>
  <si>
    <t>426.04;-284.21</t>
  </si>
  <si>
    <t>SP_GoblinWarMachine_TIME_330_0</t>
  </si>
  <si>
    <t>SP_Driller_TIME_0_300</t>
  </si>
  <si>
    <t>629.8;-10.71</t>
  </si>
  <si>
    <t>117.17;-201.57</t>
  </si>
  <si>
    <t>195.7;-292.44</t>
  </si>
  <si>
    <t>54.52;-289</t>
  </si>
  <si>
    <t>729.4;-226</t>
  </si>
  <si>
    <t>206.8;-280.4</t>
  </si>
  <si>
    <t>392.06003;-211.05</t>
  </si>
  <si>
    <t>SP_Soldier01_XP_25000_0</t>
  </si>
  <si>
    <t>541.96;-11.13</t>
  </si>
  <si>
    <t>SP_Villager_Mix_XP_0_20000</t>
  </si>
  <si>
    <t>526.1;-10.69</t>
  </si>
  <si>
    <t>392.94;-184.12001</t>
  </si>
  <si>
    <t>SP_Canary_Random_Flock_XP_13000_0</t>
  </si>
  <si>
    <t>11;-313.5</t>
  </si>
  <si>
    <t>399.28;-197.58</t>
  </si>
  <si>
    <t>323.18;-180.15</t>
  </si>
  <si>
    <t>603.36;133.57</t>
  </si>
  <si>
    <t>SP_Canary_Random_Flock_XP_15000_0</t>
  </si>
  <si>
    <t>514.81;-10.69</t>
  </si>
  <si>
    <t>535.03;12.91</t>
  </si>
  <si>
    <t>412.15;-241.43</t>
  </si>
  <si>
    <t>341.41;-222.61</t>
  </si>
  <si>
    <t>SP_Horse_Static_XP_0_19000</t>
  </si>
  <si>
    <t>564.27;-12.06</t>
  </si>
  <si>
    <t>552.9;62.9</t>
  </si>
  <si>
    <t>433.81;-194.23</t>
  </si>
  <si>
    <t>SP_BatBig_Flock_XP_14000_0</t>
  </si>
  <si>
    <t>593.91;-138.25</t>
  </si>
  <si>
    <t>SP_MineSmall_Static_XP_0_45000</t>
  </si>
  <si>
    <t>25.85;-284.9</t>
  </si>
  <si>
    <t>292.87;-338.2</t>
  </si>
  <si>
    <t>179.6;-287.44</t>
  </si>
  <si>
    <t>339.39;-340.43</t>
  </si>
  <si>
    <t>731.99;-257.28</t>
  </si>
  <si>
    <t>531.1;69.9</t>
  </si>
  <si>
    <t>490;68</t>
  </si>
  <si>
    <t>548;-171</t>
  </si>
  <si>
    <t>556.16;-184.4</t>
  </si>
  <si>
    <t>251.78;-324.08</t>
  </si>
  <si>
    <t>513.08;-215.54</t>
  </si>
  <si>
    <t>625.39;-10.21</t>
  </si>
  <si>
    <t>491.10004;-2.7</t>
  </si>
  <si>
    <t>442.92;-149.19</t>
  </si>
  <si>
    <t>523.92;-12.04</t>
  </si>
  <si>
    <t>SP_MineMedium_XP_46000_0</t>
  </si>
  <si>
    <t>657.3;61.6</t>
  </si>
  <si>
    <t>693.62;-230.95</t>
  </si>
  <si>
    <t>442.55;-239.87999</t>
  </si>
  <si>
    <t>331.85;-144.18999</t>
  </si>
  <si>
    <t>411.02;-19.44</t>
  </si>
  <si>
    <t>548.43;-4.72</t>
  </si>
  <si>
    <t>488.29996;24.199999</t>
  </si>
  <si>
    <t>SP_MineSmall_Static_XP_0_35000</t>
  </si>
  <si>
    <t>158.63;-339.37</t>
  </si>
  <si>
    <t>SP_GoblinWarMachine_XP_42000_0</t>
  </si>
  <si>
    <t>285.45;-174.36</t>
  </si>
  <si>
    <t>78.46;-336.64</t>
  </si>
  <si>
    <t>628.3;33.190002</t>
  </si>
  <si>
    <t>427.45;-149.2</t>
  </si>
  <si>
    <t>617.6;48</t>
  </si>
  <si>
    <t>542.1;10.1</t>
  </si>
  <si>
    <t>140.61;-175.9</t>
  </si>
  <si>
    <t>SP_SpiderSmallTurret_XP_0_41000</t>
  </si>
  <si>
    <t>239.43;-354.98</t>
  </si>
  <si>
    <t>594.3;70</t>
  </si>
  <si>
    <t>SP_MineSmall_XP_0_60000</t>
  </si>
  <si>
    <t>SP_Crow_Flock_XP_0_35000</t>
  </si>
  <si>
    <t>SP_SpiderRed_XP_27000_0</t>
  </si>
  <si>
    <t>434.07;-38.95</t>
  </si>
  <si>
    <t>SP_Bomber_XP_27000_0</t>
  </si>
  <si>
    <t>SP_Crocodile_XP_22000_0</t>
  </si>
  <si>
    <t>339.69;-253.57</t>
  </si>
  <si>
    <t>532.7;-10.69</t>
  </si>
  <si>
    <t>448.84;-322.82</t>
  </si>
  <si>
    <t>634.9;15.8</t>
  </si>
  <si>
    <t>190.62;-297.2</t>
  </si>
  <si>
    <t>447.11;-335.74</t>
  </si>
  <si>
    <t>-59.77;-293.02</t>
  </si>
  <si>
    <t>570.35;-329.4</t>
  </si>
  <si>
    <t>SP_SpiderSmallTurret_XP_33000_0</t>
  </si>
  <si>
    <t>SP_SpiderSmall_XP_32000_0</t>
  </si>
  <si>
    <t>428.5;-253.16998</t>
  </si>
  <si>
    <t>SP_Fish_Random_Generic_XP_13000_35000</t>
  </si>
  <si>
    <t>549.78;-159.23</t>
  </si>
  <si>
    <t>SP_BatBig_Flock_XP_46000_0</t>
  </si>
  <si>
    <t>133.19;-176.43</t>
  </si>
  <si>
    <t>SP_Villager_Mix_TIME_0_220</t>
  </si>
  <si>
    <t>629.38;-10</t>
  </si>
  <si>
    <t>513.7;-10.69</t>
  </si>
  <si>
    <t>421.65;-248.93999</t>
  </si>
  <si>
    <t>SP_Fish_Random_Generic_XP_16000_0</t>
  </si>
  <si>
    <t>99;-356.22</t>
  </si>
  <si>
    <t>SP_Ghost01_XP_25000_0</t>
  </si>
  <si>
    <t>412.97;-46.03</t>
  </si>
  <si>
    <t>672.4199;-230.89001</t>
  </si>
  <si>
    <t>493;152.28</t>
  </si>
  <si>
    <t>-17.609436;71.51429</t>
  </si>
  <si>
    <t>SP_Ghost02_XP_30000_0</t>
  </si>
  <si>
    <t>650.31;-314.93</t>
  </si>
  <si>
    <t>514.35;-240.3</t>
  </si>
  <si>
    <t>541.6;17.9</t>
  </si>
  <si>
    <t>553.09;-12.06</t>
  </si>
  <si>
    <t>302.18;-345.95</t>
  </si>
  <si>
    <t>SP_GoblinDrone_XP_30000_0</t>
  </si>
  <si>
    <t>480.91;-322.02</t>
  </si>
  <si>
    <t>753.91;-292.42</t>
  </si>
  <si>
    <t>240.42;-194.29</t>
  </si>
  <si>
    <t>407.6;-197.29001</t>
  </si>
  <si>
    <t>501.69;-10.9</t>
  </si>
  <si>
    <t>583.7;41.3</t>
  </si>
  <si>
    <t>298.47;-182.24</t>
  </si>
  <si>
    <t>756.85;-305.67</t>
  </si>
  <si>
    <t>514.80994;36.579998</t>
  </si>
  <si>
    <t>541.95;-155.44</t>
  </si>
  <si>
    <t>510.5;48.78</t>
  </si>
  <si>
    <t>541.8;44</t>
  </si>
  <si>
    <t>471.83;-184.44</t>
  </si>
  <si>
    <t>494.03;-20.94</t>
  </si>
  <si>
    <t>436.1;20.9</t>
  </si>
  <si>
    <t>425.29;-195.11</t>
  </si>
  <si>
    <t>188.66;-178.6</t>
  </si>
  <si>
    <t>79.99;-343.26</t>
  </si>
  <si>
    <t>232.77;-346.52</t>
  </si>
  <si>
    <t>SP_Ghost01_XP_27000_0</t>
  </si>
  <si>
    <t>424.81;-258.41003</t>
  </si>
  <si>
    <t>597.93;-231.73</t>
  </si>
  <si>
    <t>235.53;-346.18</t>
  </si>
  <si>
    <t>SP_SpiderSmall_XP_26000_0</t>
  </si>
  <si>
    <t>507;-160.93</t>
  </si>
  <si>
    <t>410.86;-260.02002</t>
  </si>
  <si>
    <t>521.9;24</t>
  </si>
  <si>
    <t>528.54;-174.59</t>
  </si>
  <si>
    <t>451.88;-143.68001</t>
  </si>
  <si>
    <t>SP_SpiderSmall_XP_18000_0</t>
  </si>
  <si>
    <t>SP_EnemyTier2_XP_25000_0</t>
  </si>
  <si>
    <t>387.55;-242.21</t>
  </si>
  <si>
    <t>369.5;-349.53</t>
  </si>
  <si>
    <t>226.4;-172.59</t>
  </si>
  <si>
    <t>SP_Bomber_XP_24000_0</t>
  </si>
  <si>
    <t>589.3;-75.29</t>
  </si>
  <si>
    <t>SP_GoodJunkBottle_XP_31000_0</t>
  </si>
  <si>
    <t>774.74;-335.04</t>
  </si>
  <si>
    <t>563.4;160.74998</t>
  </si>
  <si>
    <t>444.42;-247.00998</t>
  </si>
  <si>
    <t>SP_Kamikaze_XP_46000_0</t>
  </si>
  <si>
    <t>SP_GoblinDroneFood_XP_0_30000</t>
  </si>
  <si>
    <t>338.5;-146.15</t>
  </si>
  <si>
    <t>273.62;-338.02</t>
  </si>
  <si>
    <t>592.1;26.8</t>
  </si>
  <si>
    <t>58.8;-145.2</t>
  </si>
  <si>
    <t>755.11;-246.87</t>
  </si>
  <si>
    <t>SP_MineSmall_Static_XP_26000_0</t>
  </si>
  <si>
    <t>606.08;-138.48</t>
  </si>
  <si>
    <t>718.03;-306.19</t>
  </si>
  <si>
    <t>447.11;-259.32</t>
  </si>
  <si>
    <t>556.39;162.49</t>
  </si>
  <si>
    <t>729.55;-329.2</t>
  </si>
  <si>
    <t>393.14;-333.82</t>
  </si>
  <si>
    <t>SP_Archer02_Static_XP_22000_0</t>
  </si>
  <si>
    <t>415.6;-189.91</t>
  </si>
  <si>
    <t>182.1;-191.9</t>
  </si>
  <si>
    <t>SP_GoodJunkBottle_XP_29000_0</t>
  </si>
  <si>
    <t>SP_SpiderRed_XP_22000_0</t>
  </si>
  <si>
    <t>SP_MineBig_Static_XP_35000_0</t>
  </si>
  <si>
    <t>238.73;-315.63</t>
  </si>
  <si>
    <t>503.25;-136.39</t>
  </si>
  <si>
    <t>SP_SpiderSmall_XP_21000_0</t>
  </si>
  <si>
    <t>SP_MineSmall_Static_XP_30000_0</t>
  </si>
  <si>
    <t>SP_Fish_Random_Generic_XP_21000_0</t>
  </si>
  <si>
    <t>373;-257.85004</t>
  </si>
  <si>
    <t>526.1;44.1</t>
  </si>
  <si>
    <t>254.52;-244.89</t>
  </si>
  <si>
    <t>485.34;-347.32</t>
  </si>
  <si>
    <t>634.2;50.800003</t>
  </si>
  <si>
    <t>89.73;-186.34</t>
  </si>
  <si>
    <t>42.85;-118.51</t>
  </si>
  <si>
    <t>568.8;36.8</t>
  </si>
  <si>
    <t>619.89;34.910004</t>
  </si>
  <si>
    <t>600.37;-10.71</t>
  </si>
  <si>
    <t>SP_Canary_Random_Flock_XP_0_45000</t>
  </si>
  <si>
    <t>SP_SpiderSmall_XP_34000_0</t>
  </si>
  <si>
    <t>234.5;-258.96417</t>
  </si>
  <si>
    <t>434.32;-289.03</t>
  </si>
  <si>
    <t>380.24;-340.92</t>
  </si>
  <si>
    <t>SP_Villager01_Static_XP_0_19000</t>
  </si>
  <si>
    <t>473.42;8.14</t>
  </si>
  <si>
    <t>181.46;-186.99</t>
  </si>
  <si>
    <t>492;9.54</t>
  </si>
  <si>
    <t>SP_Piranha_XP_24000_0</t>
  </si>
  <si>
    <t>370.15;-35.5</t>
  </si>
  <si>
    <t>130.93;-221.43</t>
  </si>
  <si>
    <t>251.64;-356.52</t>
  </si>
  <si>
    <t>666.18;-325.64</t>
  </si>
  <si>
    <t>440.41;-21.37</t>
  </si>
  <si>
    <t>435.7;-303.94998</t>
  </si>
  <si>
    <t>721.93;-279.33</t>
  </si>
  <si>
    <t>638.39996;7.999998</t>
  </si>
  <si>
    <t>420.14;-40.15</t>
  </si>
  <si>
    <t>SP_Soldier01_Static_TIME_0_220</t>
  </si>
  <si>
    <t>626.24;-11.86</t>
  </si>
  <si>
    <t>SP_SpiderSmall_XP_24000_0</t>
  </si>
  <si>
    <t>780.55;-326.4</t>
  </si>
  <si>
    <t>71.47;-337.62</t>
  </si>
  <si>
    <t>SP_Spartakus_TIME_330_0</t>
  </si>
  <si>
    <t>437.7;-144.89</t>
  </si>
  <si>
    <t>SP_Shieldman_XP_20000_0</t>
  </si>
  <si>
    <t>536.98004;-10.83</t>
  </si>
  <si>
    <t>496.1;55.6</t>
  </si>
  <si>
    <t>650.7;33.3</t>
  </si>
  <si>
    <t>SP_Driller_TIME_300_0</t>
  </si>
  <si>
    <t>259.79;-328.69</t>
  </si>
  <si>
    <t>599.1;-303.22</t>
  </si>
  <si>
    <t>213.33;-274.42</t>
  </si>
  <si>
    <t>286.87;-180.28</t>
  </si>
  <si>
    <t>250.51;-354.68</t>
  </si>
  <si>
    <t>434.81;-46.9</t>
  </si>
  <si>
    <t>467.75;162.09999</t>
  </si>
  <si>
    <t>SP_PufferBird_XP_18000_40000</t>
  </si>
  <si>
    <t>SP_Archer02_Static_XP_26000_0</t>
  </si>
  <si>
    <t>582.78;70.11</t>
  </si>
  <si>
    <t>642.46;-11.45</t>
  </si>
  <si>
    <t>359.75;-225.84</t>
  </si>
  <si>
    <t>26;-163.49</t>
  </si>
  <si>
    <t>SP_MineMedium_Static_XP_40000_50000</t>
  </si>
  <si>
    <t>458.42;-32.35</t>
  </si>
  <si>
    <t>SP_Villager_Mix_XP_0_21000</t>
  </si>
  <si>
    <t>520.7;-10.69</t>
  </si>
  <si>
    <t>478.11;-25.97</t>
  </si>
  <si>
    <t>SP_SpiderSmallTurret_XP_30000_0</t>
  </si>
  <si>
    <t>160.1;-201.76</t>
  </si>
  <si>
    <t>355.55;-256.5</t>
  </si>
  <si>
    <t>SP_EnemyTier3_XP_50000_0</t>
  </si>
  <si>
    <t>531.8;56</t>
  </si>
  <si>
    <t>SP_Worker_Mix_XP_21000_0</t>
  </si>
  <si>
    <t>477.4;-191.86</t>
  </si>
  <si>
    <t>638.43;-295.67</t>
  </si>
  <si>
    <t>95.89;-343.89</t>
  </si>
  <si>
    <t>568.4;25.599998</t>
  </si>
  <si>
    <t>646.7001;24.5</t>
  </si>
  <si>
    <t>269.86;-250.7</t>
  </si>
  <si>
    <t>625.53;-139.71</t>
  </si>
  <si>
    <t>393.16;-314.87</t>
  </si>
  <si>
    <t>SP_GoodJunkBottle_XP_32000_0</t>
  </si>
  <si>
    <t>SP_Guardian_KILL_Worker-17_None-0</t>
  </si>
  <si>
    <t>128.95;-356.55</t>
  </si>
  <si>
    <t>500.52;-189.98</t>
  </si>
  <si>
    <t>SP_LionBird_XP_0_36000</t>
  </si>
  <si>
    <t>125.95;-209.98</t>
  </si>
  <si>
    <t>530.24;29.95</t>
  </si>
  <si>
    <t>312.17;-195.39</t>
  </si>
  <si>
    <t>283;-226.62997</t>
  </si>
  <si>
    <t>547.9;57.4</t>
  </si>
  <si>
    <t>361.54;-215.58</t>
  </si>
  <si>
    <t>668.5;56.7</t>
  </si>
  <si>
    <t>SP_GoblinDrone_TIME_220_0</t>
  </si>
  <si>
    <t>622.09;-10.9</t>
  </si>
  <si>
    <t>SP_SpiderSmallTurret_XP_35000_0</t>
  </si>
  <si>
    <t>760.43;-339.61</t>
  </si>
  <si>
    <t>SP_Villager_Mix_XP_0_19000</t>
  </si>
  <si>
    <t>511;-10.71</t>
  </si>
  <si>
    <t>774.8;-341.14</t>
  </si>
  <si>
    <t>SP_GoodJunkBottle_XP_33000_0</t>
  </si>
  <si>
    <t>511.22;-242.31</t>
  </si>
  <si>
    <t>630;28</t>
  </si>
  <si>
    <t>SP_Kamikaze_XP_32000_0</t>
  </si>
  <si>
    <t>396.6;-227.20105</t>
  </si>
  <si>
    <t>363.9;-245.95</t>
  </si>
  <si>
    <t>SP_Archer02_Static_XP_17000_0</t>
  </si>
  <si>
    <t>481.42;8.51</t>
  </si>
  <si>
    <t>771.21;-322.02</t>
  </si>
  <si>
    <t>443.95282;-159.34999</t>
  </si>
  <si>
    <t>441.36;-283.3</t>
  </si>
  <si>
    <t>437.73;-239.62999</t>
  </si>
  <si>
    <t>531.5;-10.9</t>
  </si>
  <si>
    <t>740.51;-295.48</t>
  </si>
  <si>
    <t>342.1;-225.58</t>
  </si>
  <si>
    <t>SP_BatSmall01_Flock_XP_0_35000</t>
  </si>
  <si>
    <t>SP_Miner01_Mix_XP_0_40000</t>
  </si>
  <si>
    <t>189.5;-193.4</t>
  </si>
  <si>
    <t>SP_Kamikaze_XP_40000_0</t>
  </si>
  <si>
    <t>197.46;-343.02</t>
  </si>
  <si>
    <t>SP_DrunkenMan_XP_0_36000</t>
  </si>
  <si>
    <t>581.45;-11.31</t>
  </si>
  <si>
    <t>506.96;-173.6</t>
  </si>
  <si>
    <t>282.66;-240.11</t>
  </si>
  <si>
    <t>525.56;71.78</t>
  </si>
  <si>
    <t>SP_MineSmall_Static_XP_24000_0</t>
  </si>
  <si>
    <t>610.7;-289.2</t>
  </si>
  <si>
    <t>698.25;-212.42</t>
  </si>
  <si>
    <t>SP_MineMedium_Static_XP_35000_0</t>
  </si>
  <si>
    <t>608.88;-284.38</t>
  </si>
  <si>
    <t>398.99;-9.85</t>
  </si>
  <si>
    <t>SP_MineBig_XP_46000_0</t>
  </si>
  <si>
    <t>-14.65;-302.99</t>
  </si>
  <si>
    <t>657.16;-326.42</t>
  </si>
  <si>
    <t>SP_DrunkenMan_XP_16000_0</t>
  </si>
  <si>
    <t>524.2;-10.8</t>
  </si>
  <si>
    <t>720.4;-263.4</t>
  </si>
  <si>
    <t>62.41;-187.42</t>
  </si>
  <si>
    <t>478.46;-335.82</t>
  </si>
  <si>
    <t>330.26;-239.14</t>
  </si>
  <si>
    <t>174.26;-179.86</t>
  </si>
  <si>
    <t>238.2;-69.7</t>
  </si>
  <si>
    <t>565.7;30.5</t>
  </si>
  <si>
    <t>197.17;-282.93</t>
  </si>
  <si>
    <t>SP_SpiderGreenTurret_XP_36000_0</t>
  </si>
  <si>
    <t>246.52;-344.49</t>
  </si>
  <si>
    <t>226.4;-325.2</t>
  </si>
  <si>
    <t>-40.07617;73.75395</t>
  </si>
  <si>
    <t>-5.387451;115.48692</t>
  </si>
  <si>
    <t>391.67;-194.76</t>
  </si>
  <si>
    <t>SP_FairySmall_XP_18000_0</t>
  </si>
  <si>
    <t>654.3;50.2</t>
  </si>
  <si>
    <t>SP_Hawk_XP_18000_0</t>
  </si>
  <si>
    <t>737.15;-289.58002</t>
  </si>
  <si>
    <t>548.87;-10.69</t>
  </si>
  <si>
    <t>SP_Kamikaze_XP_47000_0</t>
  </si>
  <si>
    <t>275.17;-353.81</t>
  </si>
  <si>
    <t>SP_Crocodile_XP_36000_0</t>
  </si>
  <si>
    <t>671.6;-229.1</t>
  </si>
  <si>
    <t>388.74;-328.36</t>
  </si>
  <si>
    <t>632.2;60.72</t>
  </si>
  <si>
    <t>197.98;-304.74</t>
  </si>
  <si>
    <t>503.1;65.4</t>
  </si>
  <si>
    <t>SP_GoblinDrone_XP_45000_0</t>
  </si>
  <si>
    <t>649.6;-323.02</t>
  </si>
  <si>
    <t>78.3;-346</t>
  </si>
  <si>
    <t>674.2;-319.86</t>
  </si>
  <si>
    <t>391.06;-171.65</t>
  </si>
  <si>
    <t>751.68;-253.36</t>
  </si>
  <si>
    <t>SP_Crocodile_XP_25000_0</t>
  </si>
  <si>
    <t>600.07;136.88</t>
  </si>
  <si>
    <t>363.23;-357.52</t>
  </si>
  <si>
    <t>SP_Bomber_XP_22000_0</t>
  </si>
  <si>
    <t>SP_Driller_XP_40000_0</t>
  </si>
  <si>
    <t>334.94;-253.68</t>
  </si>
  <si>
    <t>7.72;81.96</t>
  </si>
  <si>
    <t>284.12;-162.15</t>
  </si>
  <si>
    <t>453.10004;42.4</t>
  </si>
  <si>
    <t>550.9;67.9</t>
  </si>
  <si>
    <t>502.5;72.2</t>
  </si>
  <si>
    <t>595.17;140.5</t>
  </si>
  <si>
    <t>SP_Razorback_XP_70000_0</t>
  </si>
  <si>
    <t>617.6;21.1</t>
  </si>
  <si>
    <t>419.49;-142.46</t>
  </si>
  <si>
    <t>737.93;-233.58</t>
  </si>
  <si>
    <t>511.38;-131.63</t>
  </si>
  <si>
    <t>572.6;59.5</t>
  </si>
  <si>
    <t>397.58;-218.92</t>
  </si>
  <si>
    <t>412.71;-23.57</t>
  </si>
  <si>
    <t>405.8;-22.79</t>
  </si>
  <si>
    <t>526.82;-128.06</t>
  </si>
  <si>
    <t>SP_GoblinDrone_XP_41000_0</t>
  </si>
  <si>
    <t>672.45;-329.09</t>
  </si>
  <si>
    <t>699.2;-252.82</t>
  </si>
  <si>
    <t>411.87;-249.09999</t>
  </si>
  <si>
    <t>569.9;16.099998</t>
  </si>
  <si>
    <t>127.12;-341.45</t>
  </si>
  <si>
    <t>510.87;-191.41</t>
  </si>
  <si>
    <t>115.7;-356.8</t>
  </si>
  <si>
    <t>505.62;93.74</t>
  </si>
  <si>
    <t>535.72;-253.04</t>
  </si>
  <si>
    <t>SP_SpiderRed_XP_25000_0</t>
  </si>
  <si>
    <t>SP_GoodJunkBottle_XP_27000_0</t>
  </si>
  <si>
    <t>203.3;-207.83</t>
  </si>
  <si>
    <t>249.1;-169.9</t>
  </si>
  <si>
    <t>453.58;-349.26</t>
  </si>
  <si>
    <t>SP_MineMedium_Static_XP_60000_0</t>
  </si>
  <si>
    <t>476.33;27.23</t>
  </si>
  <si>
    <t>SP_MineMedium_XP_25000_0</t>
  </si>
  <si>
    <t>560.57;-328.56</t>
  </si>
  <si>
    <t>686.27;-313.65</t>
  </si>
  <si>
    <t>694.99;-233.67</t>
  </si>
  <si>
    <t>406.1;-184.21</t>
  </si>
  <si>
    <t>602.8;-23.34</t>
  </si>
  <si>
    <t>147.65;-170.86</t>
  </si>
  <si>
    <t>SP_DrunkenMan_XP_25000_0</t>
  </si>
  <si>
    <t>496;-10.97</t>
  </si>
  <si>
    <t>410.89;-144.18</t>
  </si>
  <si>
    <t>SP_BatSmall01_Flock_XP_18000_0</t>
  </si>
  <si>
    <t>635.3;68.2</t>
  </si>
  <si>
    <t>550.47;-5.57</t>
  </si>
  <si>
    <t>SP_Piranha_XP_22000_0</t>
  </si>
  <si>
    <t>SP_SpiderSmall_XP_35000_0</t>
  </si>
  <si>
    <t>SP_Worker_Mix_XP_24000_0</t>
  </si>
  <si>
    <t>691.8;-238.4</t>
  </si>
  <si>
    <t>SP_Crocodile_XP_27000_0</t>
  </si>
  <si>
    <t>SP_Miner01_Mix_XP_0_37000</t>
  </si>
  <si>
    <t>139.69;-341.91</t>
  </si>
  <si>
    <t>388.13;-226.32104</t>
  </si>
  <si>
    <t>SP_SpiderGreenTurret_XP_28000_0</t>
  </si>
  <si>
    <t>243.47;-355.29</t>
  </si>
  <si>
    <t>658.99;-239.56</t>
  </si>
  <si>
    <t>528.75;9.2</t>
  </si>
  <si>
    <t>SP_EnemyTier3_TIME_200_0</t>
  </si>
  <si>
    <t>743;-238.4</t>
  </si>
  <si>
    <t>350.41;-344.22</t>
  </si>
  <si>
    <t>518.1;-225.46</t>
  </si>
  <si>
    <t>536;55.6</t>
  </si>
  <si>
    <t>134.80347;23.389751</t>
  </si>
  <si>
    <t>240.4;-259.2</t>
  </si>
  <si>
    <t>455.2;20</t>
  </si>
  <si>
    <t>SP_MineSmall_Static_XP_0_25000</t>
  </si>
  <si>
    <t>478.7;39.5</t>
  </si>
  <si>
    <t>SP_Cage_TIME_240_0</t>
  </si>
  <si>
    <t>634.61;-13.307</t>
  </si>
  <si>
    <t>592.75;135.86</t>
  </si>
  <si>
    <t>473.53003;-174.67</t>
  </si>
  <si>
    <t>600.35;-288.31</t>
  </si>
  <si>
    <t>438.55;-156.49</t>
  </si>
  <si>
    <t>43.48;-130.96</t>
  </si>
  <si>
    <t>SP_SpiderGreenTurret_XP_44000_0</t>
  </si>
  <si>
    <t>761.84;-336.1</t>
  </si>
  <si>
    <t>586.66;-261.84</t>
  </si>
  <si>
    <t>746.8;-257.6</t>
  </si>
  <si>
    <t>570.33;68.96</t>
  </si>
  <si>
    <t>213.24;-169.35</t>
  </si>
  <si>
    <t>SP_BatBig_Flock_TIME_300_0</t>
  </si>
  <si>
    <t>SP_FairySmall_XP_10000_0</t>
  </si>
  <si>
    <t>653.5;39.8</t>
  </si>
  <si>
    <t>115.5;-221.65</t>
  </si>
  <si>
    <t>SP_SpiderSmall_XP_30000_0</t>
  </si>
  <si>
    <t>234.14;-193.86</t>
  </si>
  <si>
    <t>600.7;29.7</t>
  </si>
  <si>
    <t>502.30002;38.4</t>
  </si>
  <si>
    <t>SP_Fish_Random_Generic_XP_12000_0</t>
  </si>
  <si>
    <t>SP_Piranha_XP_26000_0</t>
  </si>
  <si>
    <t>397.63;-343.32</t>
  </si>
  <si>
    <t>433.02;-246.01997</t>
  </si>
  <si>
    <t>SP_Villager_Mix_XP_0_31000</t>
  </si>
  <si>
    <t>489.88;-36.56</t>
  </si>
  <si>
    <t>461.23;80.02</t>
  </si>
  <si>
    <t>Size</t>
  </si>
  <si>
    <t>xp/size</t>
  </si>
  <si>
    <t>xp in 1m2</t>
  </si>
  <si>
    <t>size/xp</t>
  </si>
  <si>
    <t>1xp in 'x'm2</t>
  </si>
  <si>
    <t>-143.8;-136.5</t>
  </si>
  <si>
    <t>-61.5;-124</t>
  </si>
  <si>
    <t>-287;256.5</t>
  </si>
  <si>
    <t>-125.6;-136.4</t>
  </si>
  <si>
    <t>SP_Sheep_KILL_BadJunk-2_None-0</t>
  </si>
  <si>
    <t>344.59;26.97</t>
  </si>
  <si>
    <t>-367.8;-230</t>
  </si>
  <si>
    <t>-171.8;-192</t>
  </si>
  <si>
    <t>-25.75;68.1</t>
  </si>
  <si>
    <t>-588.1;29.55</t>
  </si>
  <si>
    <t>-28.74;74.24</t>
  </si>
  <si>
    <t>SP_PufferBird_XP_0_40000</t>
  </si>
  <si>
    <t>-296.23;116.58</t>
  </si>
  <si>
    <t>SP_BadJunk_XP_0_0</t>
  </si>
  <si>
    <t>SP_PufferBird_XP_4000_40000</t>
  </si>
  <si>
    <t>-120.6;-148.4</t>
  </si>
  <si>
    <t>-321.58;-89.87</t>
  </si>
  <si>
    <t>-75.8;-140.6</t>
  </si>
  <si>
    <t>-335.85;-96.07</t>
  </si>
  <si>
    <t>-115;-140.22</t>
  </si>
  <si>
    <t>-145.4;-146.3</t>
  </si>
  <si>
    <t>-38.7;82.2</t>
  </si>
  <si>
    <t>-92.21;-140.23</t>
  </si>
  <si>
    <t>Column 'Type' has conditional formatting: XP_0_0</t>
  </si>
  <si>
    <t>dragon_goldheist</t>
  </si>
  <si>
    <t>Goldheist</t>
  </si>
  <si>
    <t>SP_TubeMan</t>
  </si>
  <si>
    <t>PF_TubeMan</t>
  </si>
  <si>
    <t>PF_Tubeman</t>
  </si>
  <si>
    <t>MARKET and CASTLE INTERIOR</t>
  </si>
  <si>
    <t>spawner</t>
  </si>
  <si>
    <t xml:space="preserve">   </t>
  </si>
  <si>
    <t>(Unity: HungryDragons-&gt;Balancing-&gt;SpawnersPrefabCheck)</t>
  </si>
  <si>
    <t>PF_Ring4_Static</t>
  </si>
  <si>
    <t>PF_Ring3_Static</t>
  </si>
  <si>
    <t>PF_Ring3</t>
  </si>
  <si>
    <t>PF_Ring4</t>
  </si>
  <si>
    <t>prefab1</t>
  </si>
  <si>
    <t>prefab2</t>
  </si>
  <si>
    <t>prefab3</t>
  </si>
  <si>
    <t>prefab4</t>
  </si>
  <si>
    <t>txt file in: 'D:\Projects\dragon\client\Docs\Progression\Prefabs.txt'</t>
  </si>
  <si>
    <t>use it for all spawners in a scene, no need to split into areas</t>
  </si>
  <si>
    <t>SP_MEDIEVAL_FINAL_CASTLE_MARKET</t>
  </si>
  <si>
    <t>SP_MEDIEVAL_FINAL_CASTLE_MINES</t>
  </si>
  <si>
    <t>Water/PF_TubeMan</t>
  </si>
  <si>
    <t>Water/PF_MagicShark</t>
  </si>
  <si>
    <t>SP_Villager01_TIME_0_180</t>
  </si>
  <si>
    <t>SP_VillagerGirl_Static_TIME_0_180</t>
  </si>
  <si>
    <t>SP_Archer01_Static_TIME_300_0</t>
  </si>
  <si>
    <t>SP_Kamikaze_TIME_0_345</t>
  </si>
  <si>
    <t>SP_LionBird_XP_0_50000</t>
  </si>
  <si>
    <t>SP_GoblinDrone_XP_51000_0</t>
  </si>
  <si>
    <t>SP_GoblinDroneFood_TIME_0_320</t>
  </si>
  <si>
    <t>SP_Miner01_Mix_XP_0_62000</t>
  </si>
  <si>
    <t>SP_EnemyTier1_XP_45000_0</t>
  </si>
  <si>
    <t>SP_Miner01_Mix_XP_0_50000</t>
  </si>
  <si>
    <t>SP_GoblinDrone_XP_82000_0</t>
  </si>
  <si>
    <t>SP_GoblinDrone_TIME_320_0</t>
  </si>
  <si>
    <t>SP_GoblinDrone_TIME_225_0</t>
  </si>
  <si>
    <t>SP_Bomber_TIME_340_0</t>
  </si>
  <si>
    <t>SP_BadJunk_XP_60000_0</t>
  </si>
  <si>
    <t>SP_GoblinDrone_TIME_365_0</t>
  </si>
  <si>
    <t>SP_GoblinDroneFood_TIME_0_250</t>
  </si>
  <si>
    <t>SP_GoblinDroneFood_XP_0_43000</t>
  </si>
  <si>
    <t>SP_Bomber_XP_80000_0</t>
  </si>
  <si>
    <t>SP_GoblinDroneFood_XP_15000_0</t>
  </si>
  <si>
    <t>SP_GoblinDroneFood_XP_0_50000</t>
  </si>
  <si>
    <t>SP_GoblinDroneFood_XP_57000_0</t>
  </si>
  <si>
    <t>SP_GoblinDrone_XP_57000_0</t>
  </si>
  <si>
    <t>SP_GoblinDroneFood_TIME_0_240</t>
  </si>
  <si>
    <t>SP_GoblinDrone_XP_77000_0</t>
  </si>
  <si>
    <t>SP_GoblinDroneFood_TIME_280_0</t>
  </si>
  <si>
    <t>SP_Kamikaze_XP_50000_0</t>
  </si>
  <si>
    <t>SP_GoblinDrone_XP_55000_0</t>
  </si>
  <si>
    <t>SP_BadJunk_XP_80000_0</t>
  </si>
  <si>
    <t>SP_GoblinDroneFood_XP_0_47000</t>
  </si>
  <si>
    <t>SP_LionBird_XP_0_40000</t>
  </si>
  <si>
    <t>SP_GoblinDroneFood_XP_71000_0</t>
  </si>
  <si>
    <t>SP_GoblinDroneFood_TIME_0_290</t>
  </si>
  <si>
    <t>SP_GoblinDroneFood_XP_39000_0</t>
  </si>
  <si>
    <t>SP_GoblinDroneFood_XP_0_56000</t>
  </si>
  <si>
    <t>SP_Bomber_XP_65000_0</t>
  </si>
  <si>
    <t>SP_LionBird_XP_0_35000</t>
  </si>
  <si>
    <t>SP_GoblinDroneFood_TIME_0_345</t>
  </si>
  <si>
    <t>SP_GoblinDrone_TIME_340_0</t>
  </si>
  <si>
    <t>SP_GoblinDroneFood_XP_0_80000</t>
  </si>
  <si>
    <t>SP_Miner01_Mix_XP_0_20000</t>
  </si>
  <si>
    <t>SP_GoblinDroneFood_XP_0_67000</t>
  </si>
  <si>
    <t>SP_GoblinDrone_XP_68000_0</t>
  </si>
  <si>
    <t>SP_GoblinDroneFood_XP_0_54000</t>
  </si>
  <si>
    <t>SP_EnemyTier4_XP_80000_0</t>
  </si>
  <si>
    <t>SP_EnemyTier4_TIME_42000_0</t>
  </si>
  <si>
    <t>SP_GoblinDrone_XP_48000_0</t>
  </si>
  <si>
    <t>SP_GoblinDroneFood_XP_0_15000</t>
  </si>
  <si>
    <t>SP_MineMedium_Static_XP_35000_80000</t>
  </si>
  <si>
    <t>SP_Villager_Mix_XP_20000_0</t>
  </si>
  <si>
    <t>SP_Archer02_Static_XP_10000_0</t>
  </si>
  <si>
    <t>SP_MineSmall_XP_0_40000</t>
  </si>
  <si>
    <t>SP_Archer02_Static_XP_20000_0</t>
  </si>
  <si>
    <t>SP_MineBig_Static_XP_50000_0</t>
  </si>
  <si>
    <t>SP_RichMan_Static_XP_30000_0</t>
  </si>
  <si>
    <t>SP_Villager_Mix_TIME_300_0</t>
  </si>
  <si>
    <t>SP_EnemyTier4_TIME_200_0</t>
  </si>
  <si>
    <t>SP_Villager_Mix_XP_30000_0</t>
  </si>
  <si>
    <t>SP_MineMedium_Static_XP_26000_80000</t>
  </si>
  <si>
    <t>SP_Archer02_Static_TIME_200_0</t>
  </si>
  <si>
    <t>SP_Shieldman_TIME_0_200</t>
  </si>
  <si>
    <t>SP_MineSmall_Static_XP_0_49000</t>
  </si>
  <si>
    <t>SP_Villager_Mix_TIME_0_200</t>
  </si>
  <si>
    <t>SP_EnemyTier2_TIME_210_0</t>
  </si>
  <si>
    <t>SP_BatSmall01_Flock_KILL_RichMan-10_None-0</t>
  </si>
  <si>
    <t>SP_MineMedium_Static_XP_30000_0</t>
  </si>
  <si>
    <t>SP_MineSmall_XP_0_30000</t>
  </si>
  <si>
    <t>SP_Ghost02_TIME_220_0</t>
  </si>
  <si>
    <t>SP_MineMedium_XP_35000_0</t>
  </si>
  <si>
    <t>SP_Ghost01_TIME_0_200</t>
  </si>
  <si>
    <t>SP_Ghost01_XP_18000_0</t>
  </si>
  <si>
    <t>SP_Villager_Mix_TIME_150_0</t>
  </si>
  <si>
    <t>SP_Archer02_Static_XP_40000_0</t>
  </si>
  <si>
    <t>SP_Ghost03_Static_TIME_220_0</t>
  </si>
  <si>
    <t>SP_Villager_Mix_XP_15000_0</t>
  </si>
  <si>
    <t>SP_Villager_Mix_XP_0_15000</t>
  </si>
  <si>
    <t>SP_Ghost03_Static_TIME_180_0</t>
  </si>
  <si>
    <t>SP_Ghost02_TIME_150_0</t>
  </si>
  <si>
    <t>SP_MineSmall_Static_XP_0_29000</t>
  </si>
  <si>
    <t>SP_Archer02_Static_TIME_180_0</t>
  </si>
  <si>
    <t>SP_Archer02_Static_TIME_0_120</t>
  </si>
  <si>
    <t>SP_EnemyTier0_XP_0_25000</t>
  </si>
  <si>
    <t>SP_Ghost01_XP_15000_28000</t>
  </si>
  <si>
    <t>SP_MineMedium_XP_45000_0</t>
  </si>
  <si>
    <t>PF_MagicShark</t>
  </si>
  <si>
    <t xml:space="preserve"> </t>
  </si>
  <si>
    <t>prefab5</t>
  </si>
  <si>
    <t>ENTITIES MAIN INFO AND DISTRIBUTION</t>
  </si>
  <si>
    <t>SP_GoodJunkStar_H</t>
  </si>
  <si>
    <t>Fairy</t>
  </si>
  <si>
    <t>dragon_dark</t>
  </si>
  <si>
    <t>SP_EnemyTier5</t>
  </si>
  <si>
    <t>SP_GoodJunkStar_N</t>
  </si>
  <si>
    <t>SP_GoodJunkStar_R</t>
  </si>
  <si>
    <t>SP_GoodJunkStar_G</t>
  </si>
  <si>
    <t>SP_GoodJunkStar_Y</t>
  </si>
  <si>
    <t>SP_GoodJunkStar_U</t>
  </si>
  <si>
    <t>EnemyTier5</t>
  </si>
  <si>
    <t>PF_EnemyTier5</t>
  </si>
  <si>
    <t>Archer</t>
  </si>
  <si>
    <t>Dragon/PF_EnemyTier5</t>
  </si>
  <si>
    <t>Update GoodJunk and FlyingPigs counters</t>
  </si>
  <si>
    <t>HOW TO UPDATE THIS DOCUMENT WITH VBS</t>
  </si>
  <si>
    <t>HOW TO UPDATE THIS DOCUMENT WITH MACROS</t>
  </si>
  <si>
    <t>Sheep-5</t>
  </si>
  <si>
    <t>Villager01-10</t>
  </si>
  <si>
    <t>Villager01-3</t>
  </si>
  <si>
    <t>BadJunk-2</t>
  </si>
  <si>
    <t>Starling_Flock-10</t>
  </si>
  <si>
    <t>Villager02-3</t>
  </si>
  <si>
    <t>Sheep-20</t>
  </si>
  <si>
    <t>Sheep-15</t>
  </si>
  <si>
    <t>Archer01-6</t>
  </si>
  <si>
    <t>RichMan-10</t>
  </si>
  <si>
    <t>Soldier-3</t>
  </si>
  <si>
    <t>MexicanPepper-5</t>
  </si>
  <si>
    <t>Guardian-1</t>
  </si>
  <si>
    <t>Worker-17</t>
  </si>
  <si>
    <t>SP_MEDIEVAL_FINAL_VILLAGE_FOREST</t>
  </si>
  <si>
    <t>dragon_alien</t>
  </si>
  <si>
    <t>Alien</t>
  </si>
  <si>
    <t>SP_WorkerSpace</t>
  </si>
  <si>
    <t>SP_WorkerSpaceWalking</t>
  </si>
  <si>
    <t>WorkerSpace</t>
  </si>
  <si>
    <t>PF_WorkerSpace</t>
  </si>
  <si>
    <t>PF_WorkerSpaceWalking</t>
  </si>
  <si>
    <t>CarnivorousPlant</t>
  </si>
  <si>
    <t>HermitCrab</t>
  </si>
  <si>
    <t>Owl</t>
  </si>
  <si>
    <t>Stingray</t>
  </si>
  <si>
    <t>Goblin/PF_WorkerSpace</t>
  </si>
  <si>
    <t>Goblin/PF_WorkerSpaceWalking</t>
  </si>
  <si>
    <t>Execute this script always before extract info from SP_ scenes</t>
  </si>
  <si>
    <t>STARTINGPOINT/WATERFALL and WATER</t>
  </si>
  <si>
    <t>CAVES</t>
  </si>
  <si>
    <t>SP_MEDIEVAL_FINAL_VILLAGE_FOREST and SP_MEDIEVAL_FINAL_VILLAGE</t>
  </si>
  <si>
    <t>SP_WorkerSpace(7)</t>
  </si>
  <si>
    <t>SP_WorkerSpace(6)</t>
  </si>
  <si>
    <t>SP_WorkerSpace(9)</t>
  </si>
  <si>
    <t>SP_WorkerSpace(3)</t>
  </si>
  <si>
    <t>SP_WorkerSpace(10)</t>
  </si>
  <si>
    <t>SP_WorkerSpace(4)</t>
  </si>
  <si>
    <t>SP_WorkerSpace(2)</t>
  </si>
  <si>
    <t>SP_WorkerSpace(1)</t>
  </si>
  <si>
    <t>SP_WorkerSpace(8)</t>
  </si>
  <si>
    <t>SP_WorkerSpace(5)</t>
  </si>
  <si>
    <t>WITCHESTREE/TREE</t>
  </si>
  <si>
    <t>WITCHESTREE/UNDERGROUND</t>
  </si>
  <si>
    <t>DARKAREA/UPPERPART</t>
  </si>
  <si>
    <t>DARKAREA/LOWERPART</t>
  </si>
  <si>
    <t>GOBLINMINES</t>
  </si>
  <si>
    <t>Hungry Dragon-&gt;Balancing-&gt;Spawners Rename</t>
  </si>
  <si>
    <t>3. In unity, execute script: Hungry Dragon -&gt; Balancing -&gt; Spawners Rename</t>
  </si>
  <si>
    <t>dragon_skeleton</t>
  </si>
  <si>
    <t>dragon_light</t>
  </si>
  <si>
    <t>Skeleton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</si>
</sst>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b/>
      <sz val="11"/>
      <color theme="1"/>
      <name val="Calibri"/>
      <family val="2"/>
      <scheme val="minor"/>
    </font>
    <font>
      <b/>
      <sz val="14"/>
      <color theme="1"/>
      <name val="Calibri"/>
      <family val="2"/>
      <scheme val="minor"/>
    </font>
    <font>
      <b/>
      <sz val="18"/>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1"/>
      <color theme="1"/>
      <name val="Calibri"/>
      <family val="2"/>
      <scheme val="minor"/>
    </font>
    <font>
      <b/>
      <sz val="11"/>
      <color theme="0"/>
      <name val="Calibri"/>
      <family val="2"/>
      <scheme val="minor"/>
    </font>
    <font>
      <sz val="11"/>
      <color theme="1"/>
      <name val="Calibri"/>
      <family val="2"/>
      <scheme val="minor"/>
    </font>
    <font>
      <b/>
      <sz val="11"/>
      <color theme="0"/>
      <name val="Calibri"/>
      <family val="2"/>
      <scheme val="minor"/>
    </font>
    <font>
      <sz val="9"/>
      <color theme="1"/>
      <name val="Calibri"/>
      <family val="2"/>
      <scheme val="minor"/>
    </font>
    <font>
      <b/>
      <sz val="11"/>
      <color theme="1"/>
      <name val="Calibri"/>
      <family val="2"/>
      <scheme val="minor"/>
    </font>
    <font>
      <b/>
      <sz val="11"/>
      <color theme="0"/>
      <name val="Calibri"/>
      <family val="2"/>
      <scheme val="minor"/>
    </font>
    <font>
      <sz val="11"/>
      <color theme="1"/>
      <name val="Calibri"/>
      <family val="2"/>
      <scheme val="minor"/>
    </font>
  </fonts>
  <fills count="30">
    <fill>
      <patternFill patternType="none"/>
    </fill>
    <fill>
      <patternFill patternType="gray125"/>
    </fill>
    <fill>
      <patternFill patternType="solid">
        <fgColor theme="4" tint="0.79998168889431442"/>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0" tint="-0.34998626667073579"/>
        <bgColor indexed="64"/>
      </patternFill>
    </fill>
    <fill>
      <patternFill patternType="solid">
        <fgColor theme="6" tint="-0.49998474074526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6" tint="-0.249977111117893"/>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2" tint="-0.749992370372631"/>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1"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theme="4" tint="0.3999755851924192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ck">
        <color auto="1"/>
      </left>
      <right style="thick">
        <color auto="1"/>
      </right>
      <top style="thick">
        <color auto="1"/>
      </top>
      <bottom style="thick">
        <color auto="1"/>
      </bottom>
      <diagonal/>
    </border>
    <border>
      <left style="thin">
        <color indexed="64"/>
      </left>
      <right style="thin">
        <color indexed="64"/>
      </right>
      <top/>
      <bottom/>
      <diagonal/>
    </border>
    <border>
      <left style="thin">
        <color auto="1"/>
      </left>
      <right/>
      <top style="thin">
        <color theme="4" tint="0.39997558519241921"/>
      </top>
      <bottom style="thin">
        <color auto="1"/>
      </bottom>
      <diagonal/>
    </border>
    <border>
      <left style="thin">
        <color auto="1"/>
      </left>
      <right style="thin">
        <color indexed="64"/>
      </right>
      <top style="thin">
        <color theme="4" tint="0.39997558519241921"/>
      </top>
      <bottom style="thin">
        <color auto="1"/>
      </bottom>
      <diagonal/>
    </border>
    <border>
      <left style="thin">
        <color indexed="64"/>
      </left>
      <right/>
      <top/>
      <bottom/>
      <diagonal/>
    </border>
    <border>
      <left/>
      <right style="thin">
        <color indexed="64"/>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top style="thin">
        <color indexed="64"/>
      </top>
      <bottom style="thin">
        <color indexed="64"/>
      </bottom>
      <diagonal/>
    </border>
    <border>
      <left style="thick">
        <color auto="1"/>
      </left>
      <right/>
      <top style="thin">
        <color theme="4" tint="0.39997558519241921"/>
      </top>
      <bottom style="thin">
        <color theme="4" tint="0.39997558519241921"/>
      </bottom>
      <diagonal/>
    </border>
    <border>
      <left style="thick">
        <color indexed="64"/>
      </left>
      <right/>
      <top/>
      <bottom style="thin">
        <color theme="4" tint="0.39997558519241921"/>
      </bottom>
      <diagonal/>
    </border>
    <border>
      <left style="thick">
        <color indexed="64"/>
      </left>
      <right/>
      <top style="thin">
        <color theme="4" tint="0.39997558519241921"/>
      </top>
      <bottom/>
      <diagonal/>
    </border>
    <border>
      <left style="thin">
        <color theme="1"/>
      </left>
      <right style="thin">
        <color theme="1"/>
      </right>
      <top/>
      <bottom/>
      <diagonal/>
    </border>
  </borders>
  <cellStyleXfs count="1">
    <xf numFmtId="0" fontId="0" fillId="0" borderId="0"/>
  </cellStyleXfs>
  <cellXfs count="195">
    <xf numFmtId="0" fontId="0" fillId="0" borderId="0" xfId="0"/>
    <xf numFmtId="0" fontId="1" fillId="0" borderId="0" xfId="0" applyFont="1"/>
    <xf numFmtId="0" fontId="1" fillId="0" borderId="1" xfId="0" applyFont="1" applyBorder="1"/>
    <xf numFmtId="0" fontId="0" fillId="2" borderId="1" xfId="0" applyFont="1" applyFill="1" applyBorder="1"/>
    <xf numFmtId="0" fontId="0" fillId="3" borderId="1" xfId="0" applyFont="1" applyFill="1" applyBorder="1"/>
    <xf numFmtId="0" fontId="0" fillId="4" borderId="2" xfId="0" applyFont="1" applyFill="1" applyBorder="1"/>
    <xf numFmtId="0" fontId="0" fillId="4" borderId="1" xfId="0" applyFont="1" applyFill="1" applyBorder="1"/>
    <xf numFmtId="0" fontId="0" fillId="5" borderId="1" xfId="0" applyFont="1" applyFill="1" applyBorder="1"/>
    <xf numFmtId="0" fontId="0" fillId="5" borderId="2" xfId="0" applyFont="1" applyFill="1" applyBorder="1"/>
    <xf numFmtId="0" fontId="0" fillId="6" borderId="2" xfId="0" applyFont="1" applyFill="1" applyBorder="1"/>
    <xf numFmtId="0" fontId="0" fillId="2" borderId="1" xfId="0" applyFont="1" applyFill="1" applyBorder="1" applyAlignment="1">
      <alignment horizontal="left"/>
    </xf>
    <xf numFmtId="0" fontId="0" fillId="4" borderId="2" xfId="0" applyFont="1" applyFill="1" applyBorder="1" applyAlignment="1">
      <alignment horizontal="left"/>
    </xf>
    <xf numFmtId="0" fontId="0" fillId="4" borderId="1" xfId="0" applyFont="1" applyFill="1" applyBorder="1" applyAlignment="1">
      <alignment horizontal="left"/>
    </xf>
    <xf numFmtId="0" fontId="0" fillId="5" borderId="1" xfId="0" applyFont="1" applyFill="1" applyBorder="1" applyAlignment="1">
      <alignment horizontal="left"/>
    </xf>
    <xf numFmtId="0" fontId="0" fillId="5" borderId="2" xfId="0" applyFont="1" applyFill="1" applyBorder="1" applyAlignment="1">
      <alignment horizontal="left"/>
    </xf>
    <xf numFmtId="0" fontId="0" fillId="6" borderId="2" xfId="0" applyFont="1" applyFill="1" applyBorder="1" applyAlignment="1">
      <alignment horizontal="left"/>
    </xf>
    <xf numFmtId="0" fontId="0" fillId="3" borderId="1" xfId="0" applyFont="1" applyFill="1" applyBorder="1" applyAlignment="1">
      <alignment horizontal="left"/>
    </xf>
    <xf numFmtId="0" fontId="1" fillId="0" borderId="0" xfId="0" applyFont="1" applyFill="1" applyBorder="1"/>
    <xf numFmtId="0" fontId="1" fillId="0" borderId="0" xfId="0" applyFont="1" applyBorder="1"/>
    <xf numFmtId="0" fontId="1" fillId="0" borderId="0" xfId="0" applyFont="1" applyAlignment="1">
      <alignment horizontal="center"/>
    </xf>
    <xf numFmtId="0" fontId="3" fillId="0" borderId="1" xfId="0" applyFont="1" applyBorder="1" applyAlignment="1">
      <alignment horizontal="right"/>
    </xf>
    <xf numFmtId="0" fontId="3" fillId="0" borderId="0" xfId="0" applyFont="1" applyBorder="1" applyAlignment="1">
      <alignment horizontal="right"/>
    </xf>
    <xf numFmtId="0" fontId="0" fillId="0" borderId="0" xfId="0" applyBorder="1"/>
    <xf numFmtId="0" fontId="2" fillId="0" borderId="0" xfId="0" applyFont="1"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1" fillId="4" borderId="21" xfId="0" applyFont="1" applyFill="1" applyBorder="1"/>
    <xf numFmtId="0" fontId="1" fillId="0" borderId="7" xfId="0" applyFont="1" applyBorder="1"/>
    <xf numFmtId="0" fontId="1" fillId="0" borderId="22" xfId="0" applyFont="1" applyBorder="1"/>
    <xf numFmtId="0" fontId="0" fillId="8" borderId="1" xfId="0" applyFont="1" applyFill="1" applyBorder="1"/>
    <xf numFmtId="0" fontId="0" fillId="9" borderId="23" xfId="0" applyNumberFormat="1" applyFont="1" applyFill="1" applyBorder="1"/>
    <xf numFmtId="0" fontId="0" fillId="9" borderId="20" xfId="0" applyNumberFormat="1" applyFont="1" applyFill="1" applyBorder="1"/>
    <xf numFmtId="0" fontId="0" fillId="9" borderId="1" xfId="0" applyNumberFormat="1" applyFont="1" applyFill="1" applyBorder="1"/>
    <xf numFmtId="0" fontId="0" fillId="9" borderId="24" xfId="0" applyNumberFormat="1" applyFont="1" applyFill="1" applyBorder="1"/>
    <xf numFmtId="0" fontId="1" fillId="0" borderId="20" xfId="0" applyFont="1" applyBorder="1"/>
    <xf numFmtId="0" fontId="0" fillId="7" borderId="7" xfId="0" applyFill="1" applyBorder="1"/>
    <xf numFmtId="0" fontId="0" fillId="7" borderId="5" xfId="0" applyFill="1" applyBorder="1"/>
    <xf numFmtId="0" fontId="0" fillId="7" borderId="22" xfId="0" applyFill="1" applyBorder="1"/>
    <xf numFmtId="0" fontId="0" fillId="10" borderId="25" xfId="0" applyFill="1" applyBorder="1"/>
    <xf numFmtId="0" fontId="0" fillId="10" borderId="0" xfId="0" applyFill="1" applyBorder="1"/>
    <xf numFmtId="0" fontId="0" fillId="10" borderId="26" xfId="0" applyFill="1" applyBorder="1"/>
    <xf numFmtId="0" fontId="0" fillId="11" borderId="25" xfId="0" applyFill="1" applyBorder="1"/>
    <xf numFmtId="0" fontId="0" fillId="11" borderId="0" xfId="0" applyFill="1" applyBorder="1"/>
    <xf numFmtId="0" fontId="0" fillId="11" borderId="26" xfId="0" applyFill="1" applyBorder="1"/>
    <xf numFmtId="0" fontId="0" fillId="7" borderId="25" xfId="0" applyFill="1" applyBorder="1"/>
    <xf numFmtId="0" fontId="0" fillId="7" borderId="0" xfId="0" applyFill="1" applyBorder="1"/>
    <xf numFmtId="0" fontId="0" fillId="7" borderId="26" xfId="0" applyFill="1" applyBorder="1"/>
    <xf numFmtId="0" fontId="0" fillId="13" borderId="25" xfId="0" applyFill="1" applyBorder="1"/>
    <xf numFmtId="0" fontId="0" fillId="13" borderId="0" xfId="0" applyFill="1" applyBorder="1"/>
    <xf numFmtId="0" fontId="0" fillId="13" borderId="26" xfId="0" applyFill="1" applyBorder="1"/>
    <xf numFmtId="0" fontId="0" fillId="12" borderId="19" xfId="0" applyFill="1" applyBorder="1"/>
    <xf numFmtId="0" fontId="0" fillId="12" borderId="9" xfId="0" applyFill="1" applyBorder="1"/>
    <xf numFmtId="0" fontId="0" fillId="12" borderId="4" xfId="0" applyFill="1" applyBorder="1"/>
    <xf numFmtId="0" fontId="0" fillId="0" borderId="22" xfId="0" applyBorder="1"/>
    <xf numFmtId="0" fontId="0" fillId="0" borderId="5" xfId="0" applyBorder="1"/>
    <xf numFmtId="0" fontId="0" fillId="12" borderId="25" xfId="0" applyFill="1" applyBorder="1"/>
    <xf numFmtId="0" fontId="0" fillId="12" borderId="0" xfId="0" applyFill="1" applyBorder="1"/>
    <xf numFmtId="0" fontId="0" fillId="12" borderId="26" xfId="0" applyFill="1" applyBorder="1"/>
    <xf numFmtId="0" fontId="1" fillId="0" borderId="18" xfId="0" applyFont="1" applyBorder="1"/>
    <xf numFmtId="0" fontId="1" fillId="0" borderId="8" xfId="0" applyFont="1" applyBorder="1"/>
    <xf numFmtId="0" fontId="1" fillId="0" borderId="6" xfId="0" applyFont="1" applyBorder="1"/>
    <xf numFmtId="0" fontId="1" fillId="7" borderId="3" xfId="0" applyFont="1" applyFill="1" applyBorder="1"/>
    <xf numFmtId="0" fontId="1" fillId="14" borderId="3" xfId="0" applyFont="1" applyFill="1" applyBorder="1"/>
    <xf numFmtId="0" fontId="4" fillId="0" borderId="0" xfId="0" applyFont="1"/>
    <xf numFmtId="0" fontId="1" fillId="0" borderId="0" xfId="0" applyFont="1" applyAlignment="1">
      <alignment horizontal="left"/>
    </xf>
    <xf numFmtId="0" fontId="0" fillId="0" borderId="0" xfId="0" applyAlignment="1">
      <alignment horizontal="right"/>
    </xf>
    <xf numFmtId="49" fontId="0" fillId="0" borderId="0" xfId="0" applyNumberFormat="1"/>
    <xf numFmtId="0" fontId="1" fillId="0" borderId="0" xfId="0" applyFont="1" applyAlignment="1">
      <alignment horizontal="left" vertical="center"/>
    </xf>
    <xf numFmtId="0" fontId="0" fillId="0" borderId="0" xfId="0" applyNumberFormat="1"/>
    <xf numFmtId="0" fontId="5" fillId="0" borderId="0" xfId="0" applyFont="1"/>
    <xf numFmtId="0" fontId="5" fillId="0" borderId="0" xfId="0" applyFont="1" applyAlignment="1">
      <alignment horizontal="center"/>
    </xf>
    <xf numFmtId="0" fontId="0" fillId="0" borderId="0" xfId="0" applyAlignment="1">
      <alignment vertical="top"/>
    </xf>
    <xf numFmtId="0" fontId="0" fillId="7" borderId="0" xfId="0" applyFill="1"/>
    <xf numFmtId="0" fontId="1" fillId="0" borderId="0" xfId="0" applyFont="1" applyAlignment="1">
      <alignment horizontal="right"/>
    </xf>
    <xf numFmtId="0" fontId="0" fillId="3" borderId="0" xfId="0" applyFill="1"/>
    <xf numFmtId="0" fontId="6" fillId="0" borderId="0" xfId="0" applyFont="1"/>
    <xf numFmtId="0" fontId="0" fillId="15" borderId="0" xfId="0" applyFill="1"/>
    <xf numFmtId="0" fontId="0" fillId="0" borderId="8" xfId="0" applyBorder="1"/>
    <xf numFmtId="0" fontId="0" fillId="0" borderId="6" xfId="0" applyBorder="1"/>
    <xf numFmtId="0" fontId="0" fillId="0" borderId="25" xfId="0" applyBorder="1"/>
    <xf numFmtId="0" fontId="0" fillId="0" borderId="26" xfId="0" applyBorder="1"/>
    <xf numFmtId="0" fontId="0" fillId="0" borderId="19" xfId="0" applyBorder="1"/>
    <xf numFmtId="0" fontId="0" fillId="0" borderId="9" xfId="0" applyBorder="1"/>
    <xf numFmtId="0" fontId="0" fillId="0" borderId="4" xfId="0" applyBorder="1"/>
    <xf numFmtId="0" fontId="8" fillId="16" borderId="28" xfId="0" applyFont="1" applyFill="1" applyBorder="1"/>
    <xf numFmtId="0" fontId="0" fillId="0" borderId="0" xfId="0" applyFont="1"/>
    <xf numFmtId="0" fontId="0" fillId="18" borderId="0" xfId="0" applyFill="1" applyAlignment="1">
      <alignment horizontal="right" vertical="top"/>
    </xf>
    <xf numFmtId="0" fontId="1" fillId="19" borderId="0" xfId="0" applyFont="1" applyFill="1"/>
    <xf numFmtId="0" fontId="1" fillId="21" borderId="0" xfId="0" applyFont="1" applyFill="1"/>
    <xf numFmtId="0" fontId="0" fillId="6" borderId="0" xfId="0" applyNumberFormat="1" applyFill="1" applyAlignment="1">
      <alignment horizontal="right" vertical="top"/>
    </xf>
    <xf numFmtId="0" fontId="0" fillId="22" borderId="0" xfId="0" applyNumberFormat="1" applyFill="1" applyAlignment="1">
      <alignment horizontal="right" vertical="top"/>
    </xf>
    <xf numFmtId="0" fontId="1" fillId="23" borderId="0" xfId="0" applyFont="1" applyFill="1"/>
    <xf numFmtId="0" fontId="0" fillId="20" borderId="0" xfId="0" applyNumberFormat="1" applyFill="1" applyAlignment="1">
      <alignment horizontal="right" vertical="top"/>
    </xf>
    <xf numFmtId="0" fontId="0" fillId="3" borderId="0" xfId="0" applyNumberFormat="1" applyFill="1" applyAlignment="1">
      <alignment horizontal="right" vertical="top"/>
    </xf>
    <xf numFmtId="0" fontId="1" fillId="24" borderId="0" xfId="0" applyFont="1" applyFill="1"/>
    <xf numFmtId="0" fontId="7" fillId="24" borderId="0" xfId="0" applyFont="1" applyFill="1"/>
    <xf numFmtId="0" fontId="0" fillId="25" borderId="0" xfId="0" applyFill="1" applyAlignment="1">
      <alignment horizontal="right" vertical="top"/>
    </xf>
    <xf numFmtId="0" fontId="0" fillId="6" borderId="13" xfId="0" applyNumberFormat="1" applyFill="1" applyBorder="1" applyAlignment="1">
      <alignment horizontal="right" vertical="top"/>
    </xf>
    <xf numFmtId="0" fontId="0" fillId="22" borderId="13" xfId="0" applyNumberFormat="1" applyFill="1" applyBorder="1" applyAlignment="1">
      <alignment horizontal="right" vertical="top"/>
    </xf>
    <xf numFmtId="0" fontId="1" fillId="23" borderId="13" xfId="0" applyFont="1" applyFill="1" applyBorder="1"/>
    <xf numFmtId="0" fontId="1" fillId="21" borderId="13" xfId="0" applyFont="1" applyFill="1" applyBorder="1"/>
    <xf numFmtId="0" fontId="0" fillId="18" borderId="13" xfId="0" applyFill="1" applyBorder="1" applyAlignment="1">
      <alignment horizontal="right" vertical="top"/>
    </xf>
    <xf numFmtId="0" fontId="1" fillId="24" borderId="13" xfId="0" applyFont="1" applyFill="1" applyBorder="1"/>
    <xf numFmtId="0" fontId="0" fillId="3" borderId="13" xfId="0" applyNumberFormat="1" applyFill="1" applyBorder="1" applyAlignment="1">
      <alignment horizontal="right" vertical="top"/>
    </xf>
    <xf numFmtId="0" fontId="0" fillId="20" borderId="13" xfId="0" applyNumberFormat="1" applyFill="1" applyBorder="1" applyAlignment="1">
      <alignment horizontal="right" vertical="top"/>
    </xf>
    <xf numFmtId="0" fontId="0" fillId="0" borderId="0" xfId="0" applyFill="1" applyBorder="1"/>
    <xf numFmtId="0" fontId="1" fillId="0" borderId="25" xfId="0" applyFont="1" applyBorder="1"/>
    <xf numFmtId="0" fontId="0" fillId="0" borderId="0" xfId="0" applyAlignment="1"/>
    <xf numFmtId="0" fontId="0" fillId="17" borderId="27" xfId="0" applyFont="1" applyFill="1" applyBorder="1" applyAlignment="1">
      <alignment vertical="top"/>
    </xf>
    <xf numFmtId="0" fontId="0" fillId="17" borderId="29" xfId="0" applyFont="1" applyFill="1" applyBorder="1" applyAlignment="1">
      <alignment vertical="top"/>
    </xf>
    <xf numFmtId="0" fontId="8" fillId="16" borderId="28" xfId="0" applyNumberFormat="1" applyFont="1" applyFill="1" applyBorder="1"/>
    <xf numFmtId="0" fontId="8" fillId="16" borderId="28" xfId="0" applyFont="1" applyFill="1" applyBorder="1" applyAlignment="1"/>
    <xf numFmtId="0" fontId="9" fillId="17" borderId="27" xfId="0" applyFont="1" applyFill="1" applyBorder="1" applyAlignment="1">
      <alignment vertical="top"/>
    </xf>
    <xf numFmtId="0" fontId="9" fillId="17" borderId="29" xfId="0" applyFont="1" applyFill="1" applyBorder="1" applyAlignment="1">
      <alignment vertical="top"/>
    </xf>
    <xf numFmtId="0" fontId="10" fillId="16" borderId="28" xfId="0" applyFont="1" applyFill="1" applyBorder="1"/>
    <xf numFmtId="0" fontId="1" fillId="0" borderId="1" xfId="0" applyFont="1" applyBorder="1" applyAlignment="1">
      <alignment horizontal="right"/>
    </xf>
    <xf numFmtId="0" fontId="0" fillId="2" borderId="1" xfId="0" applyFont="1" applyFill="1" applyBorder="1" applyAlignment="1">
      <alignment horizontal="right"/>
    </xf>
    <xf numFmtId="0" fontId="0" fillId="4" borderId="2" xfId="0" applyFont="1" applyFill="1" applyBorder="1" applyAlignment="1">
      <alignment horizontal="right"/>
    </xf>
    <xf numFmtId="0" fontId="0" fillId="4" borderId="1" xfId="0" applyFont="1" applyFill="1" applyBorder="1" applyAlignment="1">
      <alignment horizontal="right"/>
    </xf>
    <xf numFmtId="0" fontId="0" fillId="5" borderId="1" xfId="0" applyFont="1" applyFill="1" applyBorder="1" applyAlignment="1">
      <alignment horizontal="right"/>
    </xf>
    <xf numFmtId="0" fontId="0" fillId="6" borderId="2" xfId="0" applyFont="1" applyFill="1" applyBorder="1" applyAlignment="1">
      <alignment horizontal="right"/>
    </xf>
    <xf numFmtId="0" fontId="0" fillId="3" borderId="1" xfId="0" applyFont="1" applyFill="1" applyBorder="1" applyAlignment="1">
      <alignment horizontal="right"/>
    </xf>
    <xf numFmtId="0" fontId="11" fillId="0" borderId="0" xfId="0" quotePrefix="1" applyFont="1"/>
    <xf numFmtId="0" fontId="0" fillId="7" borderId="1" xfId="0" applyFont="1" applyFill="1" applyBorder="1" applyAlignment="1">
      <alignment horizontal="left"/>
    </xf>
    <xf numFmtId="0" fontId="0" fillId="7" borderId="2" xfId="0" applyFont="1" applyFill="1" applyBorder="1" applyAlignment="1">
      <alignment horizontal="left"/>
    </xf>
    <xf numFmtId="0" fontId="1" fillId="26" borderId="25" xfId="0" applyFont="1" applyFill="1" applyBorder="1"/>
    <xf numFmtId="0" fontId="1" fillId="26" borderId="0" xfId="0" applyFont="1" applyFill="1" applyBorder="1"/>
    <xf numFmtId="0" fontId="0" fillId="26" borderId="26" xfId="0" applyFill="1" applyBorder="1"/>
    <xf numFmtId="0" fontId="1" fillId="26" borderId="26" xfId="0" applyFont="1" applyFill="1" applyBorder="1" applyAlignment="1">
      <alignment horizontal="right"/>
    </xf>
    <xf numFmtId="0" fontId="0" fillId="26" borderId="25" xfId="0" applyFill="1" applyBorder="1"/>
    <xf numFmtId="0" fontId="0" fillId="26" borderId="0" xfId="0" applyFill="1" applyBorder="1"/>
    <xf numFmtId="0" fontId="1" fillId="26" borderId="0" xfId="0" applyFont="1" applyFill="1" applyBorder="1" applyAlignment="1">
      <alignment horizontal="right"/>
    </xf>
    <xf numFmtId="0" fontId="1" fillId="26" borderId="19" xfId="0" applyFont="1" applyFill="1" applyBorder="1"/>
    <xf numFmtId="0" fontId="1" fillId="26" borderId="9" xfId="0" applyFont="1" applyFill="1" applyBorder="1" applyAlignment="1">
      <alignment horizontal="right"/>
    </xf>
    <xf numFmtId="0" fontId="0" fillId="26" borderId="4" xfId="0" applyFill="1" applyBorder="1"/>
    <xf numFmtId="0" fontId="1" fillId="26" borderId="20" xfId="0" applyFont="1" applyFill="1" applyBorder="1"/>
    <xf numFmtId="0" fontId="0" fillId="26" borderId="30" xfId="0" applyFill="1" applyBorder="1"/>
    <xf numFmtId="0" fontId="0" fillId="26" borderId="3" xfId="0" applyFill="1" applyBorder="1"/>
    <xf numFmtId="0" fontId="0" fillId="0" borderId="0" xfId="0" applyNumberFormat="1" applyAlignment="1">
      <alignment horizontal="right"/>
    </xf>
    <xf numFmtId="0" fontId="0" fillId="2" borderId="27" xfId="0" applyFont="1" applyFill="1" applyBorder="1" applyAlignment="1">
      <alignment vertical="top"/>
    </xf>
    <xf numFmtId="0" fontId="9" fillId="2" borderId="27" xfId="0" applyFont="1" applyFill="1" applyBorder="1" applyAlignment="1">
      <alignment vertical="top"/>
    </xf>
    <xf numFmtId="0" fontId="0" fillId="0" borderId="0" xfId="0" applyAlignment="1">
      <alignment horizontal="left"/>
    </xf>
    <xf numFmtId="0" fontId="0" fillId="0" borderId="0" xfId="0" applyFont="1" applyFill="1" applyBorder="1"/>
    <xf numFmtId="0" fontId="0" fillId="0" borderId="0" xfId="0" applyNumberFormat="1" applyFont="1" applyFill="1" applyBorder="1"/>
    <xf numFmtId="0" fontId="0" fillId="0" borderId="0" xfId="0" applyFont="1" applyFill="1" applyBorder="1" applyAlignment="1"/>
    <xf numFmtId="0" fontId="12" fillId="0" borderId="0" xfId="0" applyFont="1"/>
    <xf numFmtId="0" fontId="0" fillId="0" borderId="0" xfId="0" pivotButton="1"/>
    <xf numFmtId="0" fontId="0" fillId="7" borderId="0" xfId="0" applyNumberFormat="1" applyFill="1" applyAlignment="1">
      <alignment vertical="top"/>
    </xf>
    <xf numFmtId="0" fontId="0" fillId="27" borderId="0" xfId="0" applyFill="1"/>
    <xf numFmtId="0" fontId="1" fillId="28" borderId="0" xfId="0" applyFont="1" applyFill="1"/>
    <xf numFmtId="0" fontId="8" fillId="16" borderId="32" xfId="0" applyFont="1" applyFill="1" applyBorder="1"/>
    <xf numFmtId="0" fontId="0" fillId="17" borderId="31" xfId="0" applyFont="1" applyFill="1" applyBorder="1" applyAlignment="1">
      <alignment vertical="top"/>
    </xf>
    <xf numFmtId="0" fontId="0" fillId="2" borderId="31" xfId="0" applyFont="1" applyFill="1" applyBorder="1" applyAlignment="1">
      <alignment vertical="top"/>
    </xf>
    <xf numFmtId="0" fontId="9" fillId="2" borderId="31" xfId="0" applyFont="1" applyFill="1" applyBorder="1" applyAlignment="1">
      <alignment vertical="top"/>
    </xf>
    <xf numFmtId="0" fontId="9" fillId="17" borderId="31" xfId="0" applyFont="1" applyFill="1" applyBorder="1" applyAlignment="1">
      <alignment vertical="top"/>
    </xf>
    <xf numFmtId="0" fontId="0" fillId="17" borderId="33" xfId="0" applyFont="1" applyFill="1" applyBorder="1" applyAlignment="1">
      <alignment vertical="top"/>
    </xf>
    <xf numFmtId="0" fontId="9" fillId="17" borderId="33" xfId="0" applyFont="1" applyFill="1" applyBorder="1" applyAlignment="1">
      <alignment vertical="top"/>
    </xf>
    <xf numFmtId="0" fontId="6" fillId="0" borderId="0" xfId="0" quotePrefix="1" applyFont="1"/>
    <xf numFmtId="0" fontId="0" fillId="19" borderId="0" xfId="0" applyFill="1" applyBorder="1"/>
    <xf numFmtId="0" fontId="0" fillId="19" borderId="8" xfId="0" applyFill="1" applyBorder="1"/>
    <xf numFmtId="0" fontId="0" fillId="19" borderId="6" xfId="0" applyFill="1" applyBorder="1"/>
    <xf numFmtId="0" fontId="0" fillId="19" borderId="25" xfId="0" applyFill="1" applyBorder="1"/>
    <xf numFmtId="0" fontId="0" fillId="19" borderId="26" xfId="0" applyFill="1" applyBorder="1"/>
    <xf numFmtId="0" fontId="0" fillId="19" borderId="19" xfId="0" applyFill="1" applyBorder="1"/>
    <xf numFmtId="0" fontId="0" fillId="19" borderId="9" xfId="0" applyFill="1" applyBorder="1"/>
    <xf numFmtId="0" fontId="0" fillId="19" borderId="4" xfId="0" applyFill="1" applyBorder="1"/>
    <xf numFmtId="0" fontId="0" fillId="17" borderId="13" xfId="0" applyFont="1" applyFill="1" applyBorder="1" applyAlignment="1">
      <alignment vertical="top"/>
    </xf>
    <xf numFmtId="0" fontId="2" fillId="19" borderId="18" xfId="0" applyFont="1" applyFill="1" applyBorder="1"/>
    <xf numFmtId="0" fontId="2" fillId="19" borderId="25" xfId="0" applyFont="1" applyFill="1" applyBorder="1"/>
    <xf numFmtId="0" fontId="13" fillId="16" borderId="28" xfId="0" applyFont="1" applyFill="1" applyBorder="1"/>
    <xf numFmtId="0" fontId="1" fillId="0" borderId="13" xfId="0" applyFont="1" applyBorder="1"/>
    <xf numFmtId="0" fontId="1" fillId="0" borderId="0" xfId="0" applyNumberFormat="1" applyFont="1"/>
    <xf numFmtId="0" fontId="14" fillId="0" borderId="13" xfId="0" applyFont="1" applyBorder="1" applyAlignment="1">
      <alignment vertical="top"/>
    </xf>
    <xf numFmtId="0" fontId="14" fillId="0" borderId="29" xfId="0" applyFont="1" applyBorder="1" applyAlignment="1">
      <alignment vertical="top"/>
    </xf>
    <xf numFmtId="0" fontId="0" fillId="10" borderId="0" xfId="0" applyFill="1"/>
    <xf numFmtId="0" fontId="0" fillId="3" borderId="7" xfId="0" applyFont="1" applyFill="1" applyBorder="1"/>
    <xf numFmtId="0" fontId="0" fillId="3" borderId="7" xfId="0" applyFont="1" applyFill="1" applyBorder="1" applyAlignment="1">
      <alignment horizontal="left"/>
    </xf>
    <xf numFmtId="0" fontId="0" fillId="29" borderId="1" xfId="0" applyFont="1" applyFill="1" applyBorder="1" applyAlignment="1">
      <alignment horizontal="left"/>
    </xf>
    <xf numFmtId="0" fontId="1" fillId="0" borderId="5" xfId="0" applyFont="1" applyBorder="1"/>
    <xf numFmtId="0" fontId="1" fillId="0" borderId="5" xfId="0" applyFont="1" applyFill="1" applyBorder="1"/>
    <xf numFmtId="0" fontId="14" fillId="2" borderId="13" xfId="0" applyFont="1" applyFill="1" applyBorder="1" applyAlignment="1">
      <alignment vertical="top"/>
    </xf>
    <xf numFmtId="0" fontId="14" fillId="2" borderId="27" xfId="0" applyFont="1" applyFill="1" applyBorder="1" applyAlignment="1">
      <alignment vertical="top"/>
    </xf>
    <xf numFmtId="0" fontId="0" fillId="0" borderId="0" xfId="0" applyAlignment="1">
      <alignment wrapText="1"/>
    </xf>
    <xf numFmtId="0" fontId="1" fillId="0" borderId="34" xfId="0" applyFont="1" applyBorder="1"/>
    <xf numFmtId="0" fontId="14" fillId="17" borderId="13" xfId="0" applyFont="1" applyFill="1" applyBorder="1" applyAlignment="1">
      <alignment vertical="top"/>
    </xf>
    <xf numFmtId="0" fontId="14" fillId="17" borderId="27" xfId="0" applyFont="1" applyFill="1" applyBorder="1" applyAlignment="1">
      <alignment vertical="top"/>
    </xf>
    <xf numFmtId="0" fontId="5" fillId="29" borderId="1" xfId="0" applyFont="1" applyFill="1" applyBorder="1" applyAlignment="1">
      <alignment horizontal="left"/>
    </xf>
    <xf numFmtId="0" fontId="0" fillId="29" borderId="1" xfId="0" applyFont="1" applyFill="1" applyBorder="1" applyAlignment="1">
      <alignment horizontal="right"/>
    </xf>
    <xf numFmtId="0" fontId="0" fillId="29" borderId="22" xfId="0" applyFont="1" applyFill="1" applyBorder="1" applyAlignment="1">
      <alignment horizontal="left"/>
    </xf>
  </cellXfs>
  <cellStyles count="1">
    <cellStyle name="Normal" xfId="0" builtinId="0"/>
  </cellStyles>
  <dxfs count="161">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numFmt numFmtId="0" formatCode="General"/>
    </dxf>
    <dxf>
      <fill>
        <patternFill patternType="solid">
          <fgColor indexed="64"/>
          <bgColor theme="3" tint="0.59999389629810485"/>
        </patternFill>
      </fill>
    </dxf>
    <dxf>
      <fill>
        <patternFill patternType="solid">
          <fgColor indexed="64"/>
          <bgColor theme="3" tint="0.59999389629810485"/>
        </patternFill>
      </fill>
    </dxf>
    <dxf>
      <fill>
        <patternFill patternType="solid">
          <fgColor indexed="64"/>
          <bgColor theme="3"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3" tint="0.39997558519241921"/>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alignment horizontal="lef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numFmt numFmtId="30" formatCode="@"/>
    </dxf>
    <dxf>
      <font>
        <b/>
        <i val="0"/>
        <strike val="0"/>
        <condense val="0"/>
        <extend val="0"/>
        <outline val="0"/>
        <shadow val="0"/>
        <u val="none"/>
        <vertAlign val="baseline"/>
        <sz val="11"/>
        <color theme="1"/>
        <name val="Calibri"/>
        <scheme val="minor"/>
      </font>
    </dxf>
    <dxf>
      <alignment horizontal="left" vertical="bottom" textRotation="0" wrapText="0" indent="0" justifyLastLine="0" shrinkToFit="0" readingOrder="0"/>
    </dxf>
    <dxf>
      <font>
        <b/>
      </font>
      <numFmt numFmtId="0" formatCode="General"/>
    </dxf>
    <dxf>
      <font>
        <b/>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FFFF00"/>
        </patternFill>
      </fill>
      <alignment vertical="top" textRotation="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59999389629810485"/>
        </patternFill>
      </fill>
      <alignment horizontal="right" vertical="top" textRotation="0" wrapText="0" indent="0" justifyLastLine="0" shrinkToFit="0" readingOrder="0"/>
    </dxf>
    <dxf>
      <numFmt numFmtId="0" formatCode="General"/>
      <fill>
        <patternFill patternType="solid">
          <fgColor indexed="64"/>
          <bgColor theme="9" tint="0.59999389629810485"/>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2" tint="-0.499984740745262"/>
        </patternFill>
      </fill>
      <alignment horizontal="right" vertical="top" textRotation="0" wrapText="0" indent="0" justifyLastLine="0" shrinkToFit="0" readingOrder="0"/>
    </dxf>
    <dxf>
      <numFmt numFmtId="0" formatCode="General"/>
      <fill>
        <patternFill patternType="solid">
          <fgColor indexed="64"/>
          <bgColor theme="2" tint="-0.499984740745262"/>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39997558519241921"/>
        </patternFill>
      </fill>
      <alignment horizontal="right" vertical="top" textRotation="0" wrapText="0" indent="0" justifyLastLine="0" shrinkToFit="0" readingOrder="0"/>
    </dxf>
    <dxf>
      <numFmt numFmtId="0" formatCode="General"/>
      <fill>
        <patternFill patternType="solid">
          <fgColor indexed="64"/>
          <bgColor theme="9" tint="0.39997558519241921"/>
        </patternFill>
      </fill>
      <alignment horizontal="right" vertical="top" textRotation="0" wrapText="0" indent="0" justifyLastLine="0" shrinkToFit="0" readingOrder="0"/>
      <border diagonalUp="0" diagonalDown="0">
        <left style="thick">
          <color auto="1"/>
        </left>
        <right/>
        <top/>
        <bottom/>
        <vertical/>
        <horizontal/>
      </border>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border diagonalUp="0" diagonalDown="0">
        <left style="thick">
          <color indexed="64"/>
        </left>
        <right/>
        <top/>
        <bottom/>
        <vertical/>
        <horizontal/>
      </border>
    </dxf>
    <dxf>
      <fill>
        <patternFill patternType="solid">
          <fgColor indexed="64"/>
          <bgColor theme="6" tint="0.59999389629810485"/>
        </patternFill>
      </fill>
      <alignment horizontal="right" vertical="top" textRotation="0" wrapText="0" indent="0" justifyLastLine="0" shrinkToFit="0" readingOrder="0"/>
    </dxf>
    <dxf>
      <fill>
        <patternFill patternType="solid">
          <fgColor indexed="64"/>
          <bgColor theme="6" tint="0.59999389629810485"/>
        </patternFill>
      </fill>
      <alignment horizontal="right"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style="thick">
          <color indexed="64"/>
        </left>
        <right/>
        <top/>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Dragons!$T$30:$T$45</c:f>
              <c:strCache>
                <c:ptCount val="16"/>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Skeleton</c:v>
                </c:pt>
                <c:pt idx="15">
                  <c:v>Light</c:v>
                </c:pt>
              </c:strCache>
            </c:strRef>
          </c:cat>
          <c:val>
            <c:numRef>
              <c:f>Dragons!$K$30:$K$45</c:f>
              <c:numCache>
                <c:formatCode>General</c:formatCode>
                <c:ptCount val="16"/>
                <c:pt idx="0">
                  <c:v>75</c:v>
                </c:pt>
                <c:pt idx="1">
                  <c:v>95</c:v>
                </c:pt>
                <c:pt idx="2">
                  <c:v>140</c:v>
                </c:pt>
                <c:pt idx="3">
                  <c:v>190</c:v>
                </c:pt>
                <c:pt idx="4">
                  <c:v>210</c:v>
                </c:pt>
                <c:pt idx="5">
                  <c:v>250</c:v>
                </c:pt>
                <c:pt idx="6">
                  <c:v>290</c:v>
                </c:pt>
                <c:pt idx="7">
                  <c:v>330</c:v>
                </c:pt>
                <c:pt idx="8">
                  <c:v>360</c:v>
                </c:pt>
                <c:pt idx="9">
                  <c:v>375</c:v>
                </c:pt>
                <c:pt idx="10">
                  <c:v>425</c:v>
                </c:pt>
                <c:pt idx="11">
                  <c:v>1000</c:v>
                </c:pt>
                <c:pt idx="12">
                  <c:v>500</c:v>
                </c:pt>
                <c:pt idx="13">
                  <c:v>550</c:v>
                </c:pt>
                <c:pt idx="14">
                  <c:v>550</c:v>
                </c:pt>
                <c:pt idx="15">
                  <c:v>550</c:v>
                </c:pt>
              </c:numCache>
            </c:numRef>
          </c:val>
          <c:extLst>
            <c:ext xmlns:c16="http://schemas.microsoft.com/office/drawing/2014/chart" uri="{C3380CC4-5D6E-409C-BE32-E72D297353CC}">
              <c16:uniqueId val="{00000000-DCEE-4A26-9589-4EBF4F0CC0BC}"/>
            </c:ext>
          </c:extLst>
        </c:ser>
        <c:ser>
          <c:idx val="1"/>
          <c:order val="1"/>
          <c:tx>
            <c:v>HP</c:v>
          </c:tx>
          <c:invertIfNegative val="0"/>
          <c:cat>
            <c:strRef>
              <c:f>Dragons!$T$30:$T$45</c:f>
              <c:strCache>
                <c:ptCount val="16"/>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Skeleton</c:v>
                </c:pt>
                <c:pt idx="15">
                  <c:v>Light</c:v>
                </c:pt>
              </c:strCache>
            </c:strRef>
          </c:cat>
          <c:val>
            <c:numRef>
              <c:f>Dragons!$M$30:$M$45</c:f>
              <c:numCache>
                <c:formatCode>General</c:formatCode>
                <c:ptCount val="16"/>
                <c:pt idx="0">
                  <c:v>30</c:v>
                </c:pt>
                <c:pt idx="1">
                  <c:v>50</c:v>
                </c:pt>
                <c:pt idx="2">
                  <c:v>60</c:v>
                </c:pt>
                <c:pt idx="3">
                  <c:v>50</c:v>
                </c:pt>
                <c:pt idx="4">
                  <c:v>60</c:v>
                </c:pt>
                <c:pt idx="5">
                  <c:v>60</c:v>
                </c:pt>
                <c:pt idx="6">
                  <c:v>60</c:v>
                </c:pt>
                <c:pt idx="7">
                  <c:v>70</c:v>
                </c:pt>
                <c:pt idx="8">
                  <c:v>70</c:v>
                </c:pt>
                <c:pt idx="9">
                  <c:v>70</c:v>
                </c:pt>
                <c:pt idx="10">
                  <c:v>75</c:v>
                </c:pt>
                <c:pt idx="11">
                  <c:v>500</c:v>
                </c:pt>
                <c:pt idx="12">
                  <c:v>100</c:v>
                </c:pt>
                <c:pt idx="13">
                  <c:v>100</c:v>
                </c:pt>
                <c:pt idx="14">
                  <c:v>100</c:v>
                </c:pt>
                <c:pt idx="15">
                  <c:v>100</c:v>
                </c:pt>
              </c:numCache>
            </c:numRef>
          </c:val>
          <c:extLst>
            <c:ext xmlns:c16="http://schemas.microsoft.com/office/drawing/2014/chart" uri="{C3380CC4-5D6E-409C-BE32-E72D297353CC}">
              <c16:uniqueId val="{00000001-DCEE-4A26-9589-4EBF4F0CC0BC}"/>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DEEP</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Dragons!$T$30:$T$45</c:f>
              <c:strCache>
                <c:ptCount val="16"/>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Skeleton</c:v>
                </c:pt>
                <c:pt idx="15">
                  <c:v>Light</c:v>
                </c:pt>
              </c:strCache>
            </c:strRef>
          </c:cat>
          <c:val>
            <c:numRef>
              <c:f>Dragons!$K$177:$K$192</c:f>
              <c:numCache>
                <c:formatCode>General</c:formatCode>
                <c:ptCount val="16"/>
                <c:pt idx="0">
                  <c:v>8.9</c:v>
                </c:pt>
                <c:pt idx="1">
                  <c:v>10.1</c:v>
                </c:pt>
                <c:pt idx="2">
                  <c:v>12.4</c:v>
                </c:pt>
                <c:pt idx="3">
                  <c:v>21.7</c:v>
                </c:pt>
                <c:pt idx="4">
                  <c:v>19.8</c:v>
                </c:pt>
                <c:pt idx="5">
                  <c:v>19.899999999999999</c:v>
                </c:pt>
                <c:pt idx="6">
                  <c:v>30.6</c:v>
                </c:pt>
                <c:pt idx="7">
                  <c:v>30.2</c:v>
                </c:pt>
                <c:pt idx="8">
                  <c:v>29.4</c:v>
                </c:pt>
                <c:pt idx="9">
                  <c:v>39.200000000000003</c:v>
                </c:pt>
                <c:pt idx="10">
                  <c:v>38.700000000000003</c:v>
                </c:pt>
                <c:pt idx="11">
                  <c:v>38.700000000000003</c:v>
                </c:pt>
                <c:pt idx="12">
                  <c:v>40</c:v>
                </c:pt>
                <c:pt idx="13">
                  <c:v>40</c:v>
                </c:pt>
                <c:pt idx="14">
                  <c:v>40</c:v>
                </c:pt>
                <c:pt idx="15">
                  <c:v>40</c:v>
                </c:pt>
              </c:numCache>
            </c:numRef>
          </c:val>
          <c:smooth val="0"/>
          <c:extLst>
            <c:ext xmlns:c16="http://schemas.microsoft.com/office/drawing/2014/chart" uri="{C3380CC4-5D6E-409C-BE32-E72D297353CC}">
              <c16:uniqueId val="{00000001-0DB8-4BC8-8392-1C5C712B9ADC}"/>
            </c:ext>
          </c:extLst>
        </c:ser>
        <c:ser>
          <c:idx val="1"/>
          <c:order val="1"/>
          <c:tx>
            <c:v>BOOST</c:v>
          </c:tx>
          <c:spPr>
            <a:ln w="28575" cap="rnd">
              <a:solidFill>
                <a:schemeClr val="accent2"/>
              </a:solidFill>
              <a:round/>
            </a:ln>
            <a:effectLst/>
          </c:spPr>
          <c:marker>
            <c:symbol val="none"/>
          </c:marker>
          <c:cat>
            <c:strRef>
              <c:f>Dragons!$T$30:$T$45</c:f>
              <c:strCache>
                <c:ptCount val="16"/>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Skeleton</c:v>
                </c:pt>
                <c:pt idx="15">
                  <c:v>Light</c:v>
                </c:pt>
              </c:strCache>
            </c:strRef>
          </c:cat>
          <c:val>
            <c:numRef>
              <c:f>Dragons!$L$177:$L$192</c:f>
              <c:numCache>
                <c:formatCode>General</c:formatCode>
                <c:ptCount val="16"/>
                <c:pt idx="0">
                  <c:v>16.100000000000001</c:v>
                </c:pt>
                <c:pt idx="1">
                  <c:v>19.8</c:v>
                </c:pt>
                <c:pt idx="2">
                  <c:v>19.600000000000001</c:v>
                </c:pt>
                <c:pt idx="3">
                  <c:v>27.9</c:v>
                </c:pt>
                <c:pt idx="4">
                  <c:v>27.1</c:v>
                </c:pt>
                <c:pt idx="5">
                  <c:v>27.6</c:v>
                </c:pt>
                <c:pt idx="6">
                  <c:v>38.6</c:v>
                </c:pt>
                <c:pt idx="7">
                  <c:v>36.700000000000003</c:v>
                </c:pt>
                <c:pt idx="8">
                  <c:v>38.299999999999997</c:v>
                </c:pt>
                <c:pt idx="9">
                  <c:v>47.2</c:v>
                </c:pt>
                <c:pt idx="10">
                  <c:v>51.2</c:v>
                </c:pt>
                <c:pt idx="11">
                  <c:v>51.2</c:v>
                </c:pt>
                <c:pt idx="12">
                  <c:v>50</c:v>
                </c:pt>
                <c:pt idx="13">
                  <c:v>50</c:v>
                </c:pt>
                <c:pt idx="14">
                  <c:v>50</c:v>
                </c:pt>
                <c:pt idx="15">
                  <c:v>50</c:v>
                </c:pt>
              </c:numCache>
            </c:numRef>
          </c:val>
          <c:smooth val="0"/>
          <c:extLst>
            <c:ext xmlns:c16="http://schemas.microsoft.com/office/drawing/2014/chart" uri="{C3380CC4-5D6E-409C-BE32-E72D297353CC}">
              <c16:uniqueId val="{00000002-0DB8-4BC8-8392-1C5C712B9ADC}"/>
            </c:ext>
          </c:extLst>
        </c:ser>
        <c:dLbls>
          <c:showLegendKey val="0"/>
          <c:showVal val="0"/>
          <c:showCatName val="0"/>
          <c:showSerName val="0"/>
          <c:showPercent val="0"/>
          <c:showBubbleSize val="0"/>
        </c:dLbls>
        <c:smooth val="0"/>
        <c:axId val="178282448"/>
        <c:axId val="178280368"/>
      </c:lineChart>
      <c:catAx>
        <c:axId val="17828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8280368"/>
        <c:crosses val="autoZero"/>
        <c:auto val="1"/>
        <c:lblAlgn val="ctr"/>
        <c:lblOffset val="100"/>
        <c:noMultiLvlLbl val="0"/>
      </c:catAx>
      <c:valAx>
        <c:axId val="178280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828244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HIGH</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Dragons!$T$30:$T$45</c:f>
              <c:strCache>
                <c:ptCount val="16"/>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Skeleton</c:v>
                </c:pt>
                <c:pt idx="15">
                  <c:v>Light</c:v>
                </c:pt>
              </c:strCache>
            </c:strRef>
          </c:cat>
          <c:val>
            <c:numRef>
              <c:f>Dragons!$K$212:$K$227</c:f>
              <c:numCache>
                <c:formatCode>General</c:formatCode>
                <c:ptCount val="16"/>
                <c:pt idx="0">
                  <c:v>18.3</c:v>
                </c:pt>
                <c:pt idx="1">
                  <c:v>20.7</c:v>
                </c:pt>
                <c:pt idx="2">
                  <c:v>28.1</c:v>
                </c:pt>
                <c:pt idx="3">
                  <c:v>22.2</c:v>
                </c:pt>
                <c:pt idx="4">
                  <c:v>32.6</c:v>
                </c:pt>
                <c:pt idx="5">
                  <c:v>33.6</c:v>
                </c:pt>
                <c:pt idx="6">
                  <c:v>29.8</c:v>
                </c:pt>
                <c:pt idx="7">
                  <c:v>36.9</c:v>
                </c:pt>
                <c:pt idx="8">
                  <c:v>40.299999999999997</c:v>
                </c:pt>
                <c:pt idx="9">
                  <c:v>38</c:v>
                </c:pt>
                <c:pt idx="10">
                  <c:v>38.4</c:v>
                </c:pt>
                <c:pt idx="11">
                  <c:v>38.4</c:v>
                </c:pt>
                <c:pt idx="12">
                  <c:v>40</c:v>
                </c:pt>
                <c:pt idx="13">
                  <c:v>40</c:v>
                </c:pt>
                <c:pt idx="14">
                  <c:v>40</c:v>
                </c:pt>
                <c:pt idx="15">
                  <c:v>40</c:v>
                </c:pt>
              </c:numCache>
            </c:numRef>
          </c:val>
          <c:smooth val="0"/>
          <c:extLst>
            <c:ext xmlns:c16="http://schemas.microsoft.com/office/drawing/2014/chart" uri="{C3380CC4-5D6E-409C-BE32-E72D297353CC}">
              <c16:uniqueId val="{00000000-7455-43BF-B0EA-FC5188C927DC}"/>
            </c:ext>
          </c:extLst>
        </c:ser>
        <c:ser>
          <c:idx val="1"/>
          <c:order val="1"/>
          <c:tx>
            <c:v>BOOST</c:v>
          </c:tx>
          <c:spPr>
            <a:ln w="28575" cap="rnd">
              <a:solidFill>
                <a:schemeClr val="accent2"/>
              </a:solidFill>
              <a:round/>
            </a:ln>
            <a:effectLst/>
          </c:spPr>
          <c:marker>
            <c:symbol val="none"/>
          </c:marker>
          <c:cat>
            <c:strRef>
              <c:f>Dragons!$T$30:$T$45</c:f>
              <c:strCache>
                <c:ptCount val="16"/>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Skeleton</c:v>
                </c:pt>
                <c:pt idx="15">
                  <c:v>Light</c:v>
                </c:pt>
              </c:strCache>
            </c:strRef>
          </c:cat>
          <c:val>
            <c:numRef>
              <c:f>Dragons!$L$212:$L$227</c:f>
              <c:numCache>
                <c:formatCode>General</c:formatCode>
                <c:ptCount val="16"/>
                <c:pt idx="0">
                  <c:v>31.8</c:v>
                </c:pt>
                <c:pt idx="1">
                  <c:v>61.5</c:v>
                </c:pt>
                <c:pt idx="2">
                  <c:v>101.1</c:v>
                </c:pt>
                <c:pt idx="3">
                  <c:v>52.1</c:v>
                </c:pt>
                <c:pt idx="4">
                  <c:v>83.6</c:v>
                </c:pt>
                <c:pt idx="5">
                  <c:v>135.1</c:v>
                </c:pt>
                <c:pt idx="6">
                  <c:v>133.80000000000001</c:v>
                </c:pt>
                <c:pt idx="7">
                  <c:v>183.6</c:v>
                </c:pt>
                <c:pt idx="8">
                  <c:v>177.5</c:v>
                </c:pt>
                <c:pt idx="9">
                  <c:v>163.30000000000001</c:v>
                </c:pt>
                <c:pt idx="10">
                  <c:v>204.3</c:v>
                </c:pt>
                <c:pt idx="11">
                  <c:v>204.3</c:v>
                </c:pt>
                <c:pt idx="12">
                  <c:v>250</c:v>
                </c:pt>
                <c:pt idx="13">
                  <c:v>250</c:v>
                </c:pt>
                <c:pt idx="14">
                  <c:v>250</c:v>
                </c:pt>
                <c:pt idx="15">
                  <c:v>250</c:v>
                </c:pt>
              </c:numCache>
            </c:numRef>
          </c:val>
          <c:smooth val="0"/>
          <c:extLst>
            <c:ext xmlns:c16="http://schemas.microsoft.com/office/drawing/2014/chart" uri="{C3380CC4-5D6E-409C-BE32-E72D297353CC}">
              <c16:uniqueId val="{00000001-7455-43BF-B0EA-FC5188C927DC}"/>
            </c:ext>
          </c:extLst>
        </c:ser>
        <c:dLbls>
          <c:showLegendKey val="0"/>
          <c:showVal val="0"/>
          <c:showCatName val="0"/>
          <c:showSerName val="0"/>
          <c:showPercent val="0"/>
          <c:showBubbleSize val="0"/>
        </c:dLbls>
        <c:smooth val="0"/>
        <c:axId val="248146576"/>
        <c:axId val="248146160"/>
      </c:lineChart>
      <c:catAx>
        <c:axId val="248146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8146160"/>
        <c:crosses val="autoZero"/>
        <c:auto val="1"/>
        <c:lblAlgn val="ctr"/>
        <c:lblOffset val="100"/>
        <c:noMultiLvlLbl val="0"/>
      </c:catAx>
      <c:valAx>
        <c:axId val="248146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814657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Dragons!$T$30:$T$45</c:f>
              <c:strCache>
                <c:ptCount val="16"/>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Skeleton</c:v>
                </c:pt>
                <c:pt idx="15">
                  <c:v>Light</c:v>
                </c:pt>
              </c:strCache>
            </c:strRef>
          </c:cat>
          <c:val>
            <c:numRef>
              <c:f>Dragons!$K$76:$K$91</c:f>
              <c:numCache>
                <c:formatCode>General</c:formatCode>
                <c:ptCount val="16"/>
                <c:pt idx="0">
                  <c:v>9.1999999999999993</c:v>
                </c:pt>
                <c:pt idx="1">
                  <c:v>10.5</c:v>
                </c:pt>
                <c:pt idx="2">
                  <c:v>11.5</c:v>
                </c:pt>
                <c:pt idx="3">
                  <c:v>13.3</c:v>
                </c:pt>
                <c:pt idx="4">
                  <c:v>13.6</c:v>
                </c:pt>
                <c:pt idx="5">
                  <c:v>13.6</c:v>
                </c:pt>
                <c:pt idx="6">
                  <c:v>13.9</c:v>
                </c:pt>
                <c:pt idx="7">
                  <c:v>14.3</c:v>
                </c:pt>
                <c:pt idx="8">
                  <c:v>13.9</c:v>
                </c:pt>
                <c:pt idx="9">
                  <c:v>14.6</c:v>
                </c:pt>
                <c:pt idx="10">
                  <c:v>15.2</c:v>
                </c:pt>
                <c:pt idx="11">
                  <c:v>15.2</c:v>
                </c:pt>
                <c:pt idx="12">
                  <c:v>15</c:v>
                </c:pt>
                <c:pt idx="13">
                  <c:v>15</c:v>
                </c:pt>
                <c:pt idx="14">
                  <c:v>15</c:v>
                </c:pt>
                <c:pt idx="15">
                  <c:v>15</c:v>
                </c:pt>
              </c:numCache>
            </c:numRef>
          </c:val>
          <c:extLst>
            <c:ext xmlns:c16="http://schemas.microsoft.com/office/drawing/2014/chart" uri="{C3380CC4-5D6E-409C-BE32-E72D297353CC}">
              <c16:uniqueId val="{00000000-A902-47A6-86B6-E839755A79E7}"/>
            </c:ext>
          </c:extLst>
        </c:ser>
        <c:ser>
          <c:idx val="1"/>
          <c:order val="1"/>
          <c:tx>
            <c:v>SPEED</c:v>
          </c:tx>
          <c:invertIfNegative val="0"/>
          <c:cat>
            <c:strRef>
              <c:f>Dragons!$T$30:$T$45</c:f>
              <c:strCache>
                <c:ptCount val="16"/>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Skeleton</c:v>
                </c:pt>
                <c:pt idx="15">
                  <c:v>Light</c:v>
                </c:pt>
              </c:strCache>
            </c:strRef>
          </c:cat>
          <c:val>
            <c:numRef>
              <c:f>Dragons!$M$76:$M$91</c:f>
              <c:numCache>
                <c:formatCode>General</c:formatCode>
                <c:ptCount val="16"/>
                <c:pt idx="0">
                  <c:v>1.3000000000000007</c:v>
                </c:pt>
                <c:pt idx="1">
                  <c:v>1.3000000000000007</c:v>
                </c:pt>
                <c:pt idx="2">
                  <c:v>1.9000000000000004</c:v>
                </c:pt>
                <c:pt idx="3">
                  <c:v>0.89999999999999858</c:v>
                </c:pt>
                <c:pt idx="4">
                  <c:v>1.0999999999999996</c:v>
                </c:pt>
                <c:pt idx="5">
                  <c:v>1</c:v>
                </c:pt>
                <c:pt idx="6">
                  <c:v>1.1999999999999993</c:v>
                </c:pt>
                <c:pt idx="7">
                  <c:v>1</c:v>
                </c:pt>
                <c:pt idx="8">
                  <c:v>1.6999999999999993</c:v>
                </c:pt>
                <c:pt idx="9">
                  <c:v>1.3000000000000007</c:v>
                </c:pt>
                <c:pt idx="10">
                  <c:v>1.1000000000000014</c:v>
                </c:pt>
                <c:pt idx="11">
                  <c:v>1.1000000000000014</c:v>
                </c:pt>
                <c:pt idx="12">
                  <c:v>1.1000000000000014</c:v>
                </c:pt>
                <c:pt idx="13">
                  <c:v>1.1000000000000014</c:v>
                </c:pt>
                <c:pt idx="14">
                  <c:v>1.1000000000000014</c:v>
                </c:pt>
                <c:pt idx="15">
                  <c:v>1.1000000000000014</c:v>
                </c:pt>
              </c:numCache>
            </c:numRef>
          </c:val>
          <c:extLst>
            <c:ext xmlns:c16="http://schemas.microsoft.com/office/drawing/2014/chart" uri="{C3380CC4-5D6E-409C-BE32-E72D297353CC}">
              <c16:uniqueId val="{00000001-A902-47A6-86B6-E839755A79E7}"/>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0"/>
        <c:axPos val="l"/>
        <c:majorGridlines/>
        <c:numFmt formatCode="General" sourceLinked="1"/>
        <c:majorTickMark val="out"/>
        <c:minorTickMark val="none"/>
        <c:tickLblPos val="nextTo"/>
        <c:crossAx val="82729984"/>
        <c:crosses val="autoZero"/>
        <c:crossBetween val="between"/>
        <c:majorUnit val="2"/>
      </c:valAx>
    </c:plotArea>
    <c:legend>
      <c:legendPos val="r"/>
      <c:layout/>
      <c:overlay val="0"/>
    </c:legend>
    <c:plotVisOnly val="0"/>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Dragons!$T$30:$T$45</c:f>
              <c:strCache>
                <c:ptCount val="16"/>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Skeleton</c:v>
                </c:pt>
                <c:pt idx="15">
                  <c:v>Light</c:v>
                </c:pt>
              </c:strCache>
            </c:strRef>
          </c:cat>
          <c:val>
            <c:numRef>
              <c:f>Dragons!$L$123:$L$138</c:f>
              <c:numCache>
                <c:formatCode>General</c:formatCode>
                <c:ptCount val="16"/>
                <c:pt idx="0">
                  <c:v>19.3</c:v>
                </c:pt>
                <c:pt idx="1">
                  <c:v>18.399999999999999</c:v>
                </c:pt>
                <c:pt idx="2">
                  <c:v>23.1</c:v>
                </c:pt>
                <c:pt idx="3">
                  <c:v>17.3</c:v>
                </c:pt>
                <c:pt idx="4">
                  <c:v>19</c:v>
                </c:pt>
                <c:pt idx="5">
                  <c:v>27.3</c:v>
                </c:pt>
                <c:pt idx="6">
                  <c:v>20.8</c:v>
                </c:pt>
                <c:pt idx="7">
                  <c:v>20</c:v>
                </c:pt>
                <c:pt idx="8">
                  <c:v>25.1</c:v>
                </c:pt>
                <c:pt idx="9">
                  <c:v>23.3</c:v>
                </c:pt>
                <c:pt idx="10">
                  <c:v>28.9</c:v>
                </c:pt>
                <c:pt idx="11">
                  <c:v>28.9</c:v>
                </c:pt>
                <c:pt idx="12">
                  <c:v>30.2</c:v>
                </c:pt>
                <c:pt idx="13">
                  <c:v>30.1</c:v>
                </c:pt>
                <c:pt idx="14">
                  <c:v>30.1</c:v>
                </c:pt>
                <c:pt idx="15">
                  <c:v>30.1</c:v>
                </c:pt>
              </c:numCache>
            </c:numRef>
          </c:val>
          <c:extLst>
            <c:ext xmlns:c16="http://schemas.microsoft.com/office/drawing/2014/chart" uri="{C3380CC4-5D6E-409C-BE32-E72D297353CC}">
              <c16:uniqueId val="{00000000-0C8E-49EE-9BAF-97B5A5E30AC6}"/>
            </c:ext>
          </c:extLst>
        </c:ser>
        <c:ser>
          <c:idx val="1"/>
          <c:order val="1"/>
          <c:tx>
            <c:v>BOOST</c:v>
          </c:tx>
          <c:spPr>
            <a:solidFill>
              <a:schemeClr val="accent5">
                <a:lumMod val="75000"/>
              </a:schemeClr>
            </a:solidFill>
          </c:spPr>
          <c:invertIfNegative val="0"/>
          <c:cat>
            <c:strRef>
              <c:f>Dragons!$T$30:$T$45</c:f>
              <c:strCache>
                <c:ptCount val="16"/>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Skeleton</c:v>
                </c:pt>
                <c:pt idx="15">
                  <c:v>Light</c:v>
                </c:pt>
              </c:strCache>
            </c:strRef>
          </c:cat>
          <c:val>
            <c:numRef>
              <c:f>Dragons!$U$123:$U$138</c:f>
              <c:numCache>
                <c:formatCode>General</c:formatCode>
                <c:ptCount val="16"/>
                <c:pt idx="0">
                  <c:v>2.8000000000000007</c:v>
                </c:pt>
                <c:pt idx="1">
                  <c:v>2.2000000000000028</c:v>
                </c:pt>
                <c:pt idx="2">
                  <c:v>3.7999999999999972</c:v>
                </c:pt>
                <c:pt idx="3">
                  <c:v>1.0999999999999979</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pt idx="13">
                  <c:v>2.1000000000000014</c:v>
                </c:pt>
                <c:pt idx="14">
                  <c:v>2.1000000000000014</c:v>
                </c:pt>
                <c:pt idx="15">
                  <c:v>2.1000000000000014</c:v>
                </c:pt>
              </c:numCache>
            </c:numRef>
          </c:val>
          <c:extLst>
            <c:ext xmlns:c16="http://schemas.microsoft.com/office/drawing/2014/chart" uri="{C3380CC4-5D6E-409C-BE32-E72D297353CC}">
              <c16:uniqueId val="{00000001-0C8E-49EE-9BAF-97B5A5E30AC6}"/>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1"/>
        <c:axPos val="l"/>
        <c:numFmt formatCode="General" sourceLinked="1"/>
        <c:majorTickMark val="out"/>
        <c:minorTickMark val="none"/>
        <c:tickLblPos val="nextTo"/>
        <c:crossAx val="82729984"/>
        <c:crosses val="autoZero"/>
        <c:crossBetween val="between"/>
        <c:majorUnit val="2"/>
      </c:valAx>
      <c:spPr>
        <a:noFill/>
      </c:spPr>
    </c:plotArea>
    <c:legend>
      <c:legendPos val="r"/>
      <c:layout>
        <c:manualLayout>
          <c:xMode val="edge"/>
          <c:yMode val="edge"/>
          <c:x val="0.92819451174252332"/>
          <c:y val="0.42182007069819011"/>
          <c:w val="6.7277159352229249E-2"/>
          <c:h val="9.7219943861666269E-2"/>
        </c:manualLayout>
      </c:layout>
      <c:overlay val="0"/>
    </c:legend>
    <c:plotVisOnly val="0"/>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Dragons!$T$30:$T$45</c:f>
              <c:strCache>
                <c:ptCount val="16"/>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Skeleton</c:v>
                </c:pt>
                <c:pt idx="15">
                  <c:v>Light</c:v>
                </c:pt>
              </c:strCache>
            </c:strRef>
          </c:cat>
          <c:val>
            <c:numRef>
              <c:f>Dragons!$L$123:$L$138</c:f>
              <c:numCache>
                <c:formatCode>General</c:formatCode>
                <c:ptCount val="16"/>
                <c:pt idx="0">
                  <c:v>19.3</c:v>
                </c:pt>
                <c:pt idx="1">
                  <c:v>18.399999999999999</c:v>
                </c:pt>
                <c:pt idx="2">
                  <c:v>23.1</c:v>
                </c:pt>
                <c:pt idx="3">
                  <c:v>17.3</c:v>
                </c:pt>
                <c:pt idx="4">
                  <c:v>19</c:v>
                </c:pt>
                <c:pt idx="5">
                  <c:v>27.3</c:v>
                </c:pt>
                <c:pt idx="6">
                  <c:v>20.8</c:v>
                </c:pt>
                <c:pt idx="7">
                  <c:v>20</c:v>
                </c:pt>
                <c:pt idx="8">
                  <c:v>25.1</c:v>
                </c:pt>
                <c:pt idx="9">
                  <c:v>23.3</c:v>
                </c:pt>
                <c:pt idx="10">
                  <c:v>28.9</c:v>
                </c:pt>
                <c:pt idx="11">
                  <c:v>28.9</c:v>
                </c:pt>
                <c:pt idx="12">
                  <c:v>30.2</c:v>
                </c:pt>
                <c:pt idx="13">
                  <c:v>30.1</c:v>
                </c:pt>
                <c:pt idx="14">
                  <c:v>30.1</c:v>
                </c:pt>
                <c:pt idx="15">
                  <c:v>30.1</c:v>
                </c:pt>
              </c:numCache>
            </c:numRef>
          </c:val>
          <c:extLst>
            <c:ext xmlns:c16="http://schemas.microsoft.com/office/drawing/2014/chart" uri="{C3380CC4-5D6E-409C-BE32-E72D297353CC}">
              <c16:uniqueId val="{00000000-6AFE-4ADA-B7C7-9FD1539C2244}"/>
            </c:ext>
          </c:extLst>
        </c:ser>
        <c:ser>
          <c:idx val="1"/>
          <c:order val="1"/>
          <c:tx>
            <c:v>BOOST</c:v>
          </c:tx>
          <c:spPr>
            <a:solidFill>
              <a:schemeClr val="accent5">
                <a:lumMod val="75000"/>
              </a:schemeClr>
            </a:solidFill>
          </c:spPr>
          <c:invertIfNegative val="0"/>
          <c:cat>
            <c:strRef>
              <c:f>Dragons!$T$30:$T$45</c:f>
              <c:strCache>
                <c:ptCount val="16"/>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Skeleton</c:v>
                </c:pt>
                <c:pt idx="15">
                  <c:v>Light</c:v>
                </c:pt>
              </c:strCache>
            </c:strRef>
          </c:cat>
          <c:val>
            <c:numRef>
              <c:f>Dragons!$U$123:$U$138</c:f>
              <c:numCache>
                <c:formatCode>General</c:formatCode>
                <c:ptCount val="16"/>
                <c:pt idx="0">
                  <c:v>2.8000000000000007</c:v>
                </c:pt>
                <c:pt idx="1">
                  <c:v>2.2000000000000028</c:v>
                </c:pt>
                <c:pt idx="2">
                  <c:v>3.7999999999999972</c:v>
                </c:pt>
                <c:pt idx="3">
                  <c:v>1.0999999999999979</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pt idx="13">
                  <c:v>2.1000000000000014</c:v>
                </c:pt>
                <c:pt idx="14">
                  <c:v>2.1000000000000014</c:v>
                </c:pt>
                <c:pt idx="15">
                  <c:v>2.1000000000000014</c:v>
                </c:pt>
              </c:numCache>
            </c:numRef>
          </c:val>
          <c:extLst>
            <c:ext xmlns:c16="http://schemas.microsoft.com/office/drawing/2014/chart" uri="{C3380CC4-5D6E-409C-BE32-E72D297353CC}">
              <c16:uniqueId val="{00000001-6AFE-4ADA-B7C7-9FD1539C2244}"/>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layout>
        <c:manualLayout>
          <c:xMode val="edge"/>
          <c:yMode val="edge"/>
          <c:x val="0.82128334578380591"/>
          <c:y val="0.54547592382611043"/>
          <c:w val="6.3446936469826701E-2"/>
          <c:h val="9.7219943861666269E-2"/>
        </c:manualLayout>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27356834862"/>
          <c:y val="0"/>
          <c:w val="0.88471760879227779"/>
          <c:h val="0.94086022757170695"/>
        </c:manualLayout>
      </c:layout>
      <c:lineChart>
        <c:grouping val="standard"/>
        <c:varyColors val="0"/>
        <c:ser>
          <c:idx val="1"/>
          <c:order val="0"/>
          <c:tx>
            <c:v>DURATION</c:v>
          </c:tx>
          <c:cat>
            <c:strRef>
              <c:f>Dragons!$T$30:$T$45</c:f>
              <c:strCache>
                <c:ptCount val="16"/>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Skeleton</c:v>
                </c:pt>
                <c:pt idx="15">
                  <c:v>Light</c:v>
                </c:pt>
              </c:strCache>
            </c:strRef>
          </c:cat>
          <c:val>
            <c:numRef>
              <c:f>Dragons!$N$123:$N$138</c:f>
              <c:numCache>
                <c:formatCode>General</c:formatCode>
                <c:ptCount val="16"/>
                <c:pt idx="0">
                  <c:v>4</c:v>
                </c:pt>
                <c:pt idx="1">
                  <c:v>5</c:v>
                </c:pt>
                <c:pt idx="2">
                  <c:v>2.5</c:v>
                </c:pt>
                <c:pt idx="3">
                  <c:v>5.6</c:v>
                </c:pt>
                <c:pt idx="4">
                  <c:v>3.2</c:v>
                </c:pt>
                <c:pt idx="5">
                  <c:v>2</c:v>
                </c:pt>
                <c:pt idx="6">
                  <c:v>3.4</c:v>
                </c:pt>
                <c:pt idx="7">
                  <c:v>5</c:v>
                </c:pt>
                <c:pt idx="8">
                  <c:v>2.5</c:v>
                </c:pt>
                <c:pt idx="9">
                  <c:v>2</c:v>
                </c:pt>
                <c:pt idx="10">
                  <c:v>5.2</c:v>
                </c:pt>
                <c:pt idx="11">
                  <c:v>5.2</c:v>
                </c:pt>
                <c:pt idx="12">
                  <c:v>5.0999999999999996</c:v>
                </c:pt>
                <c:pt idx="13">
                  <c:v>5.0999999999999996</c:v>
                </c:pt>
                <c:pt idx="14">
                  <c:v>5.0999999999999996</c:v>
                </c:pt>
                <c:pt idx="15">
                  <c:v>5.0999999999999996</c:v>
                </c:pt>
              </c:numCache>
            </c:numRef>
          </c:val>
          <c:smooth val="0"/>
          <c:extLst>
            <c:ext xmlns:c16="http://schemas.microsoft.com/office/drawing/2014/chart" uri="{C3380CC4-5D6E-409C-BE32-E72D297353CC}">
              <c16:uniqueId val="{00000001-E3E7-4499-A337-79E70999A782}"/>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c:spPr>
    </c:plotArea>
    <c:legend>
      <c:legendPos val="r"/>
      <c:layout>
        <c:manualLayout>
          <c:xMode val="edge"/>
          <c:yMode val="edge"/>
          <c:x val="0.88085501041954584"/>
          <c:y val="0.22569506695134472"/>
          <c:w val="0.10437554506560047"/>
          <c:h val="4.8609971930833135E-2"/>
        </c:manualLayout>
      </c:layout>
      <c:overlay val="0"/>
    </c:legend>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5.6560498887330626E-2"/>
          <c:w val="0.88471760879227779"/>
          <c:h val="0.94086022757170695"/>
        </c:manualLayout>
      </c:layout>
      <c:lineChart>
        <c:grouping val="standard"/>
        <c:varyColors val="0"/>
        <c:ser>
          <c:idx val="1"/>
          <c:order val="0"/>
          <c:tx>
            <c:v>REFILL TIME</c:v>
          </c:tx>
          <c:spPr>
            <a:ln w="28575" cap="rnd" cmpd="sng" algn="ctr">
              <a:solidFill>
                <a:schemeClr val="accent3">
                  <a:shade val="95000"/>
                  <a:satMod val="105000"/>
                </a:schemeClr>
              </a:solidFill>
              <a:prstDash val="solid"/>
              <a:round/>
            </a:ln>
            <a:effectLst/>
          </c:spPr>
          <c:marker>
            <c:spPr>
              <a:solidFill>
                <a:schemeClr val="accent3"/>
              </a:solidFill>
              <a:ln w="9525" cap="flat" cmpd="sng" algn="ctr">
                <a:solidFill>
                  <a:schemeClr val="accent3">
                    <a:shade val="95000"/>
                    <a:satMod val="105000"/>
                  </a:schemeClr>
                </a:solidFill>
                <a:prstDash val="solid"/>
                <a:round/>
              </a:ln>
              <a:effectLst/>
            </c:spPr>
          </c:marker>
          <c:cat>
            <c:strRef>
              <c:f>Dragons!$T$30:$T$45</c:f>
              <c:strCache>
                <c:ptCount val="16"/>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pt idx="13">
                  <c:v>Alien</c:v>
                </c:pt>
                <c:pt idx="14">
                  <c:v>Skeleton</c:v>
                </c:pt>
                <c:pt idx="15">
                  <c:v>Light</c:v>
                </c:pt>
              </c:strCache>
            </c:strRef>
          </c:cat>
          <c:val>
            <c:numRef>
              <c:f>Dragons!$O$123:$O$138</c:f>
              <c:numCache>
                <c:formatCode>General</c:formatCode>
                <c:ptCount val="16"/>
                <c:pt idx="0">
                  <c:v>3.6</c:v>
                </c:pt>
                <c:pt idx="1">
                  <c:v>10</c:v>
                </c:pt>
                <c:pt idx="2">
                  <c:v>7.1</c:v>
                </c:pt>
                <c:pt idx="3">
                  <c:v>4.5</c:v>
                </c:pt>
                <c:pt idx="4">
                  <c:v>2.9</c:v>
                </c:pt>
                <c:pt idx="5">
                  <c:v>7.1</c:v>
                </c:pt>
                <c:pt idx="6">
                  <c:v>5.9</c:v>
                </c:pt>
                <c:pt idx="7">
                  <c:v>5.6</c:v>
                </c:pt>
                <c:pt idx="8">
                  <c:v>7.1</c:v>
                </c:pt>
                <c:pt idx="9">
                  <c:v>2.9</c:v>
                </c:pt>
                <c:pt idx="10">
                  <c:v>8.5</c:v>
                </c:pt>
                <c:pt idx="11">
                  <c:v>5.2</c:v>
                </c:pt>
                <c:pt idx="12">
                  <c:v>7</c:v>
                </c:pt>
                <c:pt idx="13">
                  <c:v>7</c:v>
                </c:pt>
                <c:pt idx="14">
                  <c:v>7</c:v>
                </c:pt>
                <c:pt idx="15">
                  <c:v>7</c:v>
                </c:pt>
              </c:numCache>
            </c:numRef>
          </c:val>
          <c:smooth val="0"/>
          <c:extLst>
            <c:ext xmlns:c16="http://schemas.microsoft.com/office/drawing/2014/chart" uri="{C3380CC4-5D6E-409C-BE32-E72D297353CC}">
              <c16:uniqueId val="{00000000-A160-434F-AACE-40B144E1C1D1}"/>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a:ln>
          <a:noFill/>
        </a:ln>
        <a:effectLst/>
      </c:spPr>
    </c:plotArea>
    <c:legend>
      <c:legendPos val="r"/>
      <c:layout>
        <c:manualLayout>
          <c:xMode val="edge"/>
          <c:yMode val="edge"/>
          <c:x val="0.88156672953334347"/>
          <c:y val="0.63701793978812637"/>
          <c:w val="0.11095446403399958"/>
          <c:h val="4.860997193083313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s-ES"/>
        </a:p>
      </c:txPr>
    </c:legend>
    <c:plotVisOnly val="1"/>
    <c:dispBlanksAs val="gap"/>
    <c:showDLblsOverMax val="0"/>
  </c:chart>
  <c:spPr>
    <a:noFill/>
    <a:ln w="9525" cap="flat" cmpd="sng" algn="ctr">
      <a:noFill/>
      <a:prstDash val="solid"/>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Drain</c:v>
          </c:tx>
          <c:spPr>
            <a:ln w="28575" cap="rnd">
              <a:solidFill>
                <a:schemeClr val="accent1"/>
              </a:solidFill>
              <a:round/>
            </a:ln>
            <a:effectLst/>
          </c:spPr>
          <c:marker>
            <c:symbol val="none"/>
          </c:marker>
          <c:val>
            <c:numRef>
              <c:f>Dragons!$E$72:$E$441</c:f>
              <c:numCache>
                <c:formatCode>General</c:formatCode>
                <c:ptCount val="370"/>
                <c:pt idx="0">
                  <c:v>0.53249999999999997</c:v>
                </c:pt>
                <c:pt idx="1">
                  <c:v>0.54</c:v>
                </c:pt>
                <c:pt idx="2">
                  <c:v>0.54749999999999999</c:v>
                </c:pt>
                <c:pt idx="3">
                  <c:v>0.55500000000000005</c:v>
                </c:pt>
                <c:pt idx="4">
                  <c:v>0.5625</c:v>
                </c:pt>
                <c:pt idx="5">
                  <c:v>0.57000000000000006</c:v>
                </c:pt>
                <c:pt idx="6">
                  <c:v>0.57750000000000001</c:v>
                </c:pt>
                <c:pt idx="7">
                  <c:v>0.58499999999999996</c:v>
                </c:pt>
                <c:pt idx="8">
                  <c:v>0.59250000000000003</c:v>
                </c:pt>
                <c:pt idx="9">
                  <c:v>0.6</c:v>
                </c:pt>
                <c:pt idx="10">
                  <c:v>0.60750000000000004</c:v>
                </c:pt>
                <c:pt idx="11">
                  <c:v>0.61499999999999999</c:v>
                </c:pt>
                <c:pt idx="12">
                  <c:v>0.62250000000000005</c:v>
                </c:pt>
                <c:pt idx="13">
                  <c:v>0.63</c:v>
                </c:pt>
                <c:pt idx="14">
                  <c:v>0.63749999999999996</c:v>
                </c:pt>
                <c:pt idx="15">
                  <c:v>0.64500000000000002</c:v>
                </c:pt>
                <c:pt idx="16">
                  <c:v>0.65250000000000008</c:v>
                </c:pt>
                <c:pt idx="17">
                  <c:v>0.66</c:v>
                </c:pt>
                <c:pt idx="18">
                  <c:v>0.66749999999999998</c:v>
                </c:pt>
                <c:pt idx="19">
                  <c:v>0.67500000000000004</c:v>
                </c:pt>
                <c:pt idx="20">
                  <c:v>0.6825</c:v>
                </c:pt>
                <c:pt idx="21">
                  <c:v>0.69</c:v>
                </c:pt>
                <c:pt idx="22">
                  <c:v>0.69750000000000001</c:v>
                </c:pt>
                <c:pt idx="23">
                  <c:v>0.70500000000000007</c:v>
                </c:pt>
                <c:pt idx="24">
                  <c:v>0.71250000000000002</c:v>
                </c:pt>
                <c:pt idx="25">
                  <c:v>0.72</c:v>
                </c:pt>
                <c:pt idx="26">
                  <c:v>0.72750000000000004</c:v>
                </c:pt>
                <c:pt idx="27">
                  <c:v>0.73499999999999999</c:v>
                </c:pt>
                <c:pt idx="28">
                  <c:v>0.74250000000000005</c:v>
                </c:pt>
                <c:pt idx="29">
                  <c:v>0.75</c:v>
                </c:pt>
                <c:pt idx="30">
                  <c:v>1.2825</c:v>
                </c:pt>
                <c:pt idx="31">
                  <c:v>1.29</c:v>
                </c:pt>
                <c:pt idx="32">
                  <c:v>1.2975000000000001</c:v>
                </c:pt>
                <c:pt idx="33">
                  <c:v>1.3050000000000002</c:v>
                </c:pt>
                <c:pt idx="34">
                  <c:v>1.3125</c:v>
                </c:pt>
                <c:pt idx="35">
                  <c:v>1.32</c:v>
                </c:pt>
                <c:pt idx="36">
                  <c:v>1.3275000000000001</c:v>
                </c:pt>
                <c:pt idx="37">
                  <c:v>1.335</c:v>
                </c:pt>
                <c:pt idx="38">
                  <c:v>1.3425</c:v>
                </c:pt>
                <c:pt idx="39">
                  <c:v>1.35</c:v>
                </c:pt>
                <c:pt idx="40">
                  <c:v>1.3574999999999999</c:v>
                </c:pt>
                <c:pt idx="41">
                  <c:v>1.365</c:v>
                </c:pt>
                <c:pt idx="42">
                  <c:v>1.3725000000000001</c:v>
                </c:pt>
                <c:pt idx="43">
                  <c:v>1.38</c:v>
                </c:pt>
                <c:pt idx="44">
                  <c:v>1.3875</c:v>
                </c:pt>
                <c:pt idx="45">
                  <c:v>1.395</c:v>
                </c:pt>
                <c:pt idx="46">
                  <c:v>1.4025000000000001</c:v>
                </c:pt>
                <c:pt idx="47">
                  <c:v>1.4100000000000001</c:v>
                </c:pt>
                <c:pt idx="48">
                  <c:v>1.4175</c:v>
                </c:pt>
                <c:pt idx="49">
                  <c:v>1.425</c:v>
                </c:pt>
                <c:pt idx="50">
                  <c:v>1.4325000000000001</c:v>
                </c:pt>
                <c:pt idx="51">
                  <c:v>1.44</c:v>
                </c:pt>
                <c:pt idx="52">
                  <c:v>1.4475</c:v>
                </c:pt>
                <c:pt idx="53">
                  <c:v>1.4550000000000001</c:v>
                </c:pt>
                <c:pt idx="54">
                  <c:v>1.4624999999999999</c:v>
                </c:pt>
                <c:pt idx="55">
                  <c:v>1.47</c:v>
                </c:pt>
                <c:pt idx="56">
                  <c:v>1.4775</c:v>
                </c:pt>
                <c:pt idx="57">
                  <c:v>1.4850000000000001</c:v>
                </c:pt>
                <c:pt idx="58">
                  <c:v>1.4925000000000002</c:v>
                </c:pt>
                <c:pt idx="59">
                  <c:v>1.5</c:v>
                </c:pt>
                <c:pt idx="60">
                  <c:v>1.5075000000000001</c:v>
                </c:pt>
                <c:pt idx="61">
                  <c:v>1.5150000000000001</c:v>
                </c:pt>
                <c:pt idx="62">
                  <c:v>1.5225</c:v>
                </c:pt>
                <c:pt idx="63">
                  <c:v>1.53</c:v>
                </c:pt>
                <c:pt idx="64">
                  <c:v>1.5375000000000001</c:v>
                </c:pt>
                <c:pt idx="65">
                  <c:v>1.5449999999999999</c:v>
                </c:pt>
                <c:pt idx="66">
                  <c:v>1.5525</c:v>
                </c:pt>
                <c:pt idx="67">
                  <c:v>1.56</c:v>
                </c:pt>
                <c:pt idx="68">
                  <c:v>1.5674999999999999</c:v>
                </c:pt>
                <c:pt idx="69">
                  <c:v>1.5750000000000002</c:v>
                </c:pt>
                <c:pt idx="70">
                  <c:v>1.5825</c:v>
                </c:pt>
                <c:pt idx="71">
                  <c:v>1.59</c:v>
                </c:pt>
                <c:pt idx="72">
                  <c:v>1.5975000000000001</c:v>
                </c:pt>
                <c:pt idx="73">
                  <c:v>1.605</c:v>
                </c:pt>
                <c:pt idx="74">
                  <c:v>1.6125</c:v>
                </c:pt>
                <c:pt idx="75">
                  <c:v>1.62</c:v>
                </c:pt>
                <c:pt idx="76">
                  <c:v>1.6274999999999999</c:v>
                </c:pt>
                <c:pt idx="77">
                  <c:v>1.635</c:v>
                </c:pt>
                <c:pt idx="78">
                  <c:v>1.6425000000000001</c:v>
                </c:pt>
                <c:pt idx="79">
                  <c:v>1.65</c:v>
                </c:pt>
                <c:pt idx="80">
                  <c:v>1.6575</c:v>
                </c:pt>
                <c:pt idx="81">
                  <c:v>1.665</c:v>
                </c:pt>
                <c:pt idx="82">
                  <c:v>1.6724999999999999</c:v>
                </c:pt>
                <c:pt idx="83">
                  <c:v>1.6800000000000002</c:v>
                </c:pt>
                <c:pt idx="84">
                  <c:v>1.6875</c:v>
                </c:pt>
                <c:pt idx="85">
                  <c:v>1.6950000000000001</c:v>
                </c:pt>
                <c:pt idx="86">
                  <c:v>1.7025000000000001</c:v>
                </c:pt>
                <c:pt idx="87">
                  <c:v>1.71</c:v>
                </c:pt>
                <c:pt idx="88">
                  <c:v>1.7175</c:v>
                </c:pt>
                <c:pt idx="89">
                  <c:v>1.7250000000000001</c:v>
                </c:pt>
                <c:pt idx="90">
                  <c:v>1.7324999999999999</c:v>
                </c:pt>
                <c:pt idx="91">
                  <c:v>1.74</c:v>
                </c:pt>
                <c:pt idx="92">
                  <c:v>1.7475000000000001</c:v>
                </c:pt>
                <c:pt idx="93">
                  <c:v>1.7549999999999999</c:v>
                </c:pt>
                <c:pt idx="94">
                  <c:v>1.7625000000000002</c:v>
                </c:pt>
                <c:pt idx="95">
                  <c:v>1.77</c:v>
                </c:pt>
                <c:pt idx="96">
                  <c:v>1.7774999999999999</c:v>
                </c:pt>
                <c:pt idx="97">
                  <c:v>1.7850000000000001</c:v>
                </c:pt>
                <c:pt idx="98">
                  <c:v>1.7925</c:v>
                </c:pt>
                <c:pt idx="99">
                  <c:v>1.8</c:v>
                </c:pt>
                <c:pt idx="100">
                  <c:v>1.8075000000000001</c:v>
                </c:pt>
                <c:pt idx="101">
                  <c:v>1.8149999999999999</c:v>
                </c:pt>
                <c:pt idx="102">
                  <c:v>1.8225</c:v>
                </c:pt>
                <c:pt idx="103">
                  <c:v>1.83</c:v>
                </c:pt>
                <c:pt idx="104">
                  <c:v>1.8374999999999999</c:v>
                </c:pt>
                <c:pt idx="105">
                  <c:v>1.845</c:v>
                </c:pt>
                <c:pt idx="106">
                  <c:v>1.8525</c:v>
                </c:pt>
                <c:pt idx="107">
                  <c:v>1.8599999999999999</c:v>
                </c:pt>
                <c:pt idx="108">
                  <c:v>1.8675000000000002</c:v>
                </c:pt>
                <c:pt idx="109">
                  <c:v>1.875</c:v>
                </c:pt>
                <c:pt idx="110">
                  <c:v>1.8825000000000001</c:v>
                </c:pt>
                <c:pt idx="111">
                  <c:v>1.8900000000000001</c:v>
                </c:pt>
                <c:pt idx="112">
                  <c:v>1.8975</c:v>
                </c:pt>
                <c:pt idx="113">
                  <c:v>1.905</c:v>
                </c:pt>
                <c:pt idx="114">
                  <c:v>1.9125000000000001</c:v>
                </c:pt>
                <c:pt idx="115">
                  <c:v>1.92</c:v>
                </c:pt>
                <c:pt idx="116">
                  <c:v>1.9275</c:v>
                </c:pt>
                <c:pt idx="117">
                  <c:v>1.9350000000000001</c:v>
                </c:pt>
                <c:pt idx="118">
                  <c:v>1.9424999999999999</c:v>
                </c:pt>
                <c:pt idx="119">
                  <c:v>1.95</c:v>
                </c:pt>
                <c:pt idx="120">
                  <c:v>1.9575</c:v>
                </c:pt>
                <c:pt idx="121">
                  <c:v>1.9649999999999999</c:v>
                </c:pt>
                <c:pt idx="122">
                  <c:v>1.9725000000000001</c:v>
                </c:pt>
                <c:pt idx="123">
                  <c:v>1.98</c:v>
                </c:pt>
                <c:pt idx="124">
                  <c:v>1.9875</c:v>
                </c:pt>
                <c:pt idx="125">
                  <c:v>1.9950000000000001</c:v>
                </c:pt>
                <c:pt idx="126">
                  <c:v>2.0024999999999999</c:v>
                </c:pt>
                <c:pt idx="127">
                  <c:v>2.0099999999999998</c:v>
                </c:pt>
                <c:pt idx="128">
                  <c:v>2.0175000000000001</c:v>
                </c:pt>
                <c:pt idx="129">
                  <c:v>2.0249999999999999</c:v>
                </c:pt>
                <c:pt idx="130">
                  <c:v>2.0324999999999998</c:v>
                </c:pt>
                <c:pt idx="131">
                  <c:v>2.04</c:v>
                </c:pt>
                <c:pt idx="132">
                  <c:v>2.0474999999999999</c:v>
                </c:pt>
                <c:pt idx="133">
                  <c:v>2.0549999999999997</c:v>
                </c:pt>
                <c:pt idx="134">
                  <c:v>2.0625</c:v>
                </c:pt>
                <c:pt idx="135">
                  <c:v>2.0700000000000003</c:v>
                </c:pt>
                <c:pt idx="136">
                  <c:v>2.0774999999999997</c:v>
                </c:pt>
                <c:pt idx="137">
                  <c:v>2.085</c:v>
                </c:pt>
                <c:pt idx="138">
                  <c:v>2.0925000000000002</c:v>
                </c:pt>
                <c:pt idx="139">
                  <c:v>2.1</c:v>
                </c:pt>
                <c:pt idx="140">
                  <c:v>2.1074999999999999</c:v>
                </c:pt>
                <c:pt idx="141">
                  <c:v>2.1150000000000002</c:v>
                </c:pt>
                <c:pt idx="142">
                  <c:v>2.1225000000000001</c:v>
                </c:pt>
                <c:pt idx="143">
                  <c:v>2.13</c:v>
                </c:pt>
                <c:pt idx="144">
                  <c:v>2.1375000000000002</c:v>
                </c:pt>
                <c:pt idx="145">
                  <c:v>2.145</c:v>
                </c:pt>
                <c:pt idx="146">
                  <c:v>2.1524999999999999</c:v>
                </c:pt>
                <c:pt idx="147">
                  <c:v>2.16</c:v>
                </c:pt>
                <c:pt idx="148">
                  <c:v>2.1675</c:v>
                </c:pt>
                <c:pt idx="149">
                  <c:v>2.1749999999999998</c:v>
                </c:pt>
                <c:pt idx="150">
                  <c:v>2.1825000000000001</c:v>
                </c:pt>
                <c:pt idx="151">
                  <c:v>2.19</c:v>
                </c:pt>
                <c:pt idx="152">
                  <c:v>2.1974999999999998</c:v>
                </c:pt>
                <c:pt idx="153">
                  <c:v>2.2050000000000001</c:v>
                </c:pt>
                <c:pt idx="154">
                  <c:v>2.2124999999999999</c:v>
                </c:pt>
                <c:pt idx="155">
                  <c:v>2.2199999999999998</c:v>
                </c:pt>
                <c:pt idx="156">
                  <c:v>2.2275</c:v>
                </c:pt>
                <c:pt idx="157">
                  <c:v>2.2350000000000003</c:v>
                </c:pt>
                <c:pt idx="158">
                  <c:v>2.2424999999999997</c:v>
                </c:pt>
                <c:pt idx="159">
                  <c:v>2.25</c:v>
                </c:pt>
                <c:pt idx="160">
                  <c:v>2.2575000000000003</c:v>
                </c:pt>
                <c:pt idx="161">
                  <c:v>2.2649999999999997</c:v>
                </c:pt>
                <c:pt idx="162">
                  <c:v>2.2725</c:v>
                </c:pt>
                <c:pt idx="163">
                  <c:v>2.2800000000000002</c:v>
                </c:pt>
                <c:pt idx="164">
                  <c:v>2.2875000000000001</c:v>
                </c:pt>
                <c:pt idx="165">
                  <c:v>2.2949999999999999</c:v>
                </c:pt>
                <c:pt idx="166">
                  <c:v>2.3025000000000002</c:v>
                </c:pt>
                <c:pt idx="167">
                  <c:v>2.31</c:v>
                </c:pt>
                <c:pt idx="168">
                  <c:v>2.3174999999999999</c:v>
                </c:pt>
                <c:pt idx="169">
                  <c:v>2.3250000000000002</c:v>
                </c:pt>
                <c:pt idx="170">
                  <c:v>2.3325</c:v>
                </c:pt>
                <c:pt idx="171">
                  <c:v>2.34</c:v>
                </c:pt>
                <c:pt idx="172">
                  <c:v>2.3475000000000001</c:v>
                </c:pt>
                <c:pt idx="173">
                  <c:v>2.355</c:v>
                </c:pt>
                <c:pt idx="174">
                  <c:v>2.3624999999999998</c:v>
                </c:pt>
                <c:pt idx="175">
                  <c:v>2.37</c:v>
                </c:pt>
                <c:pt idx="176">
                  <c:v>2.3774999999999999</c:v>
                </c:pt>
                <c:pt idx="177">
                  <c:v>2.3849999999999998</c:v>
                </c:pt>
                <c:pt idx="178">
                  <c:v>2.3925000000000001</c:v>
                </c:pt>
                <c:pt idx="179">
                  <c:v>2.4</c:v>
                </c:pt>
                <c:pt idx="180">
                  <c:v>2.4074999999999998</c:v>
                </c:pt>
                <c:pt idx="181">
                  <c:v>2.415</c:v>
                </c:pt>
                <c:pt idx="182">
                  <c:v>2.4225000000000003</c:v>
                </c:pt>
                <c:pt idx="183">
                  <c:v>2.4299999999999997</c:v>
                </c:pt>
                <c:pt idx="184">
                  <c:v>2.4375</c:v>
                </c:pt>
                <c:pt idx="185">
                  <c:v>2.4450000000000003</c:v>
                </c:pt>
                <c:pt idx="186">
                  <c:v>2.4524999999999997</c:v>
                </c:pt>
                <c:pt idx="187">
                  <c:v>2.46</c:v>
                </c:pt>
                <c:pt idx="188">
                  <c:v>2.4675000000000002</c:v>
                </c:pt>
                <c:pt idx="189">
                  <c:v>2.4750000000000001</c:v>
                </c:pt>
                <c:pt idx="190">
                  <c:v>2.4824999999999999</c:v>
                </c:pt>
                <c:pt idx="191">
                  <c:v>2.4900000000000002</c:v>
                </c:pt>
                <c:pt idx="192">
                  <c:v>2.4975000000000001</c:v>
                </c:pt>
                <c:pt idx="193">
                  <c:v>2.5049999999999999</c:v>
                </c:pt>
                <c:pt idx="194">
                  <c:v>2.5125000000000002</c:v>
                </c:pt>
                <c:pt idx="195">
                  <c:v>2.52</c:v>
                </c:pt>
                <c:pt idx="196">
                  <c:v>2.5274999999999999</c:v>
                </c:pt>
                <c:pt idx="197">
                  <c:v>2.5350000000000001</c:v>
                </c:pt>
                <c:pt idx="198">
                  <c:v>2.5425</c:v>
                </c:pt>
                <c:pt idx="199">
                  <c:v>2.5499999999999998</c:v>
                </c:pt>
                <c:pt idx="200">
                  <c:v>2.5575000000000001</c:v>
                </c:pt>
                <c:pt idx="201">
                  <c:v>2.5649999999999999</c:v>
                </c:pt>
                <c:pt idx="202">
                  <c:v>2.5724999999999998</c:v>
                </c:pt>
                <c:pt idx="203">
                  <c:v>2.58</c:v>
                </c:pt>
                <c:pt idx="204">
                  <c:v>2.5874999999999999</c:v>
                </c:pt>
                <c:pt idx="205">
                  <c:v>2.5949999999999998</c:v>
                </c:pt>
                <c:pt idx="206">
                  <c:v>2.6025</c:v>
                </c:pt>
                <c:pt idx="207">
                  <c:v>2.6100000000000003</c:v>
                </c:pt>
                <c:pt idx="208">
                  <c:v>2.6174999999999997</c:v>
                </c:pt>
                <c:pt idx="209">
                  <c:v>2.625</c:v>
                </c:pt>
                <c:pt idx="210">
                  <c:v>2.6325000000000003</c:v>
                </c:pt>
                <c:pt idx="211">
                  <c:v>2.6399999999999997</c:v>
                </c:pt>
                <c:pt idx="212">
                  <c:v>2.6475</c:v>
                </c:pt>
                <c:pt idx="213">
                  <c:v>2.6550000000000002</c:v>
                </c:pt>
                <c:pt idx="214">
                  <c:v>2.6625000000000001</c:v>
                </c:pt>
                <c:pt idx="215">
                  <c:v>2.67</c:v>
                </c:pt>
                <c:pt idx="216">
                  <c:v>2.6775000000000002</c:v>
                </c:pt>
                <c:pt idx="217">
                  <c:v>2.6850000000000001</c:v>
                </c:pt>
                <c:pt idx="218">
                  <c:v>2.6924999999999999</c:v>
                </c:pt>
                <c:pt idx="219">
                  <c:v>2.7</c:v>
                </c:pt>
                <c:pt idx="220">
                  <c:v>2.7075</c:v>
                </c:pt>
                <c:pt idx="221">
                  <c:v>2.7149999999999999</c:v>
                </c:pt>
                <c:pt idx="222">
                  <c:v>2.7225000000000001</c:v>
                </c:pt>
                <c:pt idx="223">
                  <c:v>2.73</c:v>
                </c:pt>
                <c:pt idx="224">
                  <c:v>2.7374999999999998</c:v>
                </c:pt>
                <c:pt idx="225">
                  <c:v>2.7450000000000001</c:v>
                </c:pt>
                <c:pt idx="226">
                  <c:v>2.7524999999999999</c:v>
                </c:pt>
                <c:pt idx="227">
                  <c:v>2.76</c:v>
                </c:pt>
                <c:pt idx="228">
                  <c:v>2.7675000000000001</c:v>
                </c:pt>
                <c:pt idx="229">
                  <c:v>2.7749999999999999</c:v>
                </c:pt>
                <c:pt idx="230">
                  <c:v>2.7824999999999998</c:v>
                </c:pt>
                <c:pt idx="231">
                  <c:v>2.79</c:v>
                </c:pt>
                <c:pt idx="232">
                  <c:v>2.7974999999999999</c:v>
                </c:pt>
                <c:pt idx="233">
                  <c:v>2.8049999999999997</c:v>
                </c:pt>
                <c:pt idx="234">
                  <c:v>2.8125</c:v>
                </c:pt>
                <c:pt idx="235">
                  <c:v>2.8200000000000003</c:v>
                </c:pt>
                <c:pt idx="236">
                  <c:v>2.8274999999999997</c:v>
                </c:pt>
                <c:pt idx="237">
                  <c:v>2.835</c:v>
                </c:pt>
                <c:pt idx="238">
                  <c:v>2.8425000000000002</c:v>
                </c:pt>
                <c:pt idx="239">
                  <c:v>2.8499999999999996</c:v>
                </c:pt>
                <c:pt idx="240">
                  <c:v>2.8574999999999999</c:v>
                </c:pt>
                <c:pt idx="241">
                  <c:v>2.8650000000000002</c:v>
                </c:pt>
                <c:pt idx="242">
                  <c:v>2.8725000000000001</c:v>
                </c:pt>
                <c:pt idx="243">
                  <c:v>2.88</c:v>
                </c:pt>
                <c:pt idx="244">
                  <c:v>2.8875000000000002</c:v>
                </c:pt>
                <c:pt idx="245">
                  <c:v>2.895</c:v>
                </c:pt>
                <c:pt idx="246">
                  <c:v>2.9024999999999999</c:v>
                </c:pt>
                <c:pt idx="247">
                  <c:v>2.91</c:v>
                </c:pt>
                <c:pt idx="248">
                  <c:v>2.9175</c:v>
                </c:pt>
                <c:pt idx="249">
                  <c:v>2.9249999999999998</c:v>
                </c:pt>
                <c:pt idx="250">
                  <c:v>2.9325000000000001</c:v>
                </c:pt>
                <c:pt idx="251">
                  <c:v>2.94</c:v>
                </c:pt>
                <c:pt idx="252">
                  <c:v>2.9474999999999998</c:v>
                </c:pt>
                <c:pt idx="253">
                  <c:v>2.9550000000000001</c:v>
                </c:pt>
                <c:pt idx="254">
                  <c:v>2.9624999999999999</c:v>
                </c:pt>
                <c:pt idx="255">
                  <c:v>2.9699999999999998</c:v>
                </c:pt>
                <c:pt idx="256">
                  <c:v>2.9775</c:v>
                </c:pt>
                <c:pt idx="257">
                  <c:v>2.9849999999999999</c:v>
                </c:pt>
                <c:pt idx="258">
                  <c:v>2.9924999999999997</c:v>
                </c:pt>
                <c:pt idx="259">
                  <c:v>3</c:v>
                </c:pt>
                <c:pt idx="260">
                  <c:v>3.0075000000000003</c:v>
                </c:pt>
                <c:pt idx="261">
                  <c:v>3.0149999999999997</c:v>
                </c:pt>
                <c:pt idx="262">
                  <c:v>3.0225</c:v>
                </c:pt>
                <c:pt idx="263">
                  <c:v>3.0300000000000002</c:v>
                </c:pt>
                <c:pt idx="264">
                  <c:v>3.0374999999999996</c:v>
                </c:pt>
                <c:pt idx="265">
                  <c:v>3.0449999999999999</c:v>
                </c:pt>
                <c:pt idx="266">
                  <c:v>3.0525000000000002</c:v>
                </c:pt>
                <c:pt idx="267">
                  <c:v>3.0599999999999996</c:v>
                </c:pt>
                <c:pt idx="268">
                  <c:v>3.0674999999999999</c:v>
                </c:pt>
                <c:pt idx="269">
                  <c:v>3.0750000000000002</c:v>
                </c:pt>
                <c:pt idx="270">
                  <c:v>3.0824999999999996</c:v>
                </c:pt>
                <c:pt idx="271">
                  <c:v>3.09</c:v>
                </c:pt>
                <c:pt idx="272">
                  <c:v>3.0975000000000001</c:v>
                </c:pt>
                <c:pt idx="273">
                  <c:v>3.1049999999999995</c:v>
                </c:pt>
                <c:pt idx="274">
                  <c:v>3.1124999999999998</c:v>
                </c:pt>
                <c:pt idx="275">
                  <c:v>3.12</c:v>
                </c:pt>
                <c:pt idx="276">
                  <c:v>3.1275000000000004</c:v>
                </c:pt>
                <c:pt idx="277">
                  <c:v>3.1349999999999998</c:v>
                </c:pt>
                <c:pt idx="278">
                  <c:v>3.1425000000000001</c:v>
                </c:pt>
                <c:pt idx="279">
                  <c:v>3.1500000000000004</c:v>
                </c:pt>
                <c:pt idx="280">
                  <c:v>3.1574999999999998</c:v>
                </c:pt>
                <c:pt idx="281">
                  <c:v>3.165</c:v>
                </c:pt>
                <c:pt idx="282">
                  <c:v>3.1725000000000003</c:v>
                </c:pt>
                <c:pt idx="283">
                  <c:v>3.1799999999999997</c:v>
                </c:pt>
                <c:pt idx="284">
                  <c:v>3.1875</c:v>
                </c:pt>
                <c:pt idx="285">
                  <c:v>3.1950000000000003</c:v>
                </c:pt>
                <c:pt idx="286">
                  <c:v>3.2024999999999997</c:v>
                </c:pt>
                <c:pt idx="287">
                  <c:v>3.21</c:v>
                </c:pt>
                <c:pt idx="288">
                  <c:v>3.2175000000000002</c:v>
                </c:pt>
                <c:pt idx="289">
                  <c:v>3.2249999999999996</c:v>
                </c:pt>
                <c:pt idx="290">
                  <c:v>3.2324999999999999</c:v>
                </c:pt>
                <c:pt idx="291">
                  <c:v>3.24</c:v>
                </c:pt>
                <c:pt idx="292">
                  <c:v>3.2474999999999996</c:v>
                </c:pt>
                <c:pt idx="293">
                  <c:v>3.2549999999999999</c:v>
                </c:pt>
                <c:pt idx="294">
                  <c:v>3.2625000000000002</c:v>
                </c:pt>
                <c:pt idx="295">
                  <c:v>3.2699999999999996</c:v>
                </c:pt>
                <c:pt idx="296">
                  <c:v>3.2774999999999999</c:v>
                </c:pt>
                <c:pt idx="297">
                  <c:v>3.2850000000000001</c:v>
                </c:pt>
                <c:pt idx="298">
                  <c:v>3.2924999999999995</c:v>
                </c:pt>
                <c:pt idx="299">
                  <c:v>3.3</c:v>
                </c:pt>
                <c:pt idx="300">
                  <c:v>3.3075000000000001</c:v>
                </c:pt>
                <c:pt idx="301">
                  <c:v>3.3150000000000004</c:v>
                </c:pt>
                <c:pt idx="302">
                  <c:v>3.3224999999999998</c:v>
                </c:pt>
                <c:pt idx="303">
                  <c:v>3.33</c:v>
                </c:pt>
                <c:pt idx="304">
                  <c:v>3.3375000000000004</c:v>
                </c:pt>
                <c:pt idx="305">
                  <c:v>3.3449999999999998</c:v>
                </c:pt>
                <c:pt idx="306">
                  <c:v>3.3525</c:v>
                </c:pt>
                <c:pt idx="307">
                  <c:v>3.3600000000000003</c:v>
                </c:pt>
                <c:pt idx="308">
                  <c:v>3.3674999999999997</c:v>
                </c:pt>
                <c:pt idx="309">
                  <c:v>3.375</c:v>
                </c:pt>
                <c:pt idx="310">
                  <c:v>3.3825000000000003</c:v>
                </c:pt>
                <c:pt idx="311">
                  <c:v>3.3899999999999997</c:v>
                </c:pt>
                <c:pt idx="312">
                  <c:v>3.3975</c:v>
                </c:pt>
                <c:pt idx="313">
                  <c:v>3.4050000000000002</c:v>
                </c:pt>
                <c:pt idx="314">
                  <c:v>3.4124999999999996</c:v>
                </c:pt>
                <c:pt idx="315">
                  <c:v>3.42</c:v>
                </c:pt>
                <c:pt idx="316">
                  <c:v>3.4275000000000002</c:v>
                </c:pt>
                <c:pt idx="317">
                  <c:v>3.4349999999999996</c:v>
                </c:pt>
                <c:pt idx="318">
                  <c:v>3.4424999999999999</c:v>
                </c:pt>
                <c:pt idx="319">
                  <c:v>3.45</c:v>
                </c:pt>
                <c:pt idx="320">
                  <c:v>3.4574999999999996</c:v>
                </c:pt>
                <c:pt idx="321">
                  <c:v>3.4649999999999999</c:v>
                </c:pt>
                <c:pt idx="322">
                  <c:v>3.4725000000000001</c:v>
                </c:pt>
                <c:pt idx="323">
                  <c:v>3.4799999999999995</c:v>
                </c:pt>
                <c:pt idx="324">
                  <c:v>3.4874999999999998</c:v>
                </c:pt>
                <c:pt idx="325">
                  <c:v>3.4950000000000001</c:v>
                </c:pt>
                <c:pt idx="326">
                  <c:v>3.5025000000000004</c:v>
                </c:pt>
                <c:pt idx="327">
                  <c:v>3.51</c:v>
                </c:pt>
                <c:pt idx="328">
                  <c:v>3.5175000000000001</c:v>
                </c:pt>
                <c:pt idx="329">
                  <c:v>3.5250000000000004</c:v>
                </c:pt>
                <c:pt idx="330">
                  <c:v>3.5324999999999998</c:v>
                </c:pt>
                <c:pt idx="331">
                  <c:v>3.54</c:v>
                </c:pt>
                <c:pt idx="332">
                  <c:v>3.5475000000000003</c:v>
                </c:pt>
                <c:pt idx="333">
                  <c:v>3.5549999999999997</c:v>
                </c:pt>
                <c:pt idx="334">
                  <c:v>3.5625</c:v>
                </c:pt>
                <c:pt idx="335">
                  <c:v>3.5700000000000003</c:v>
                </c:pt>
                <c:pt idx="336">
                  <c:v>3.5774999999999997</c:v>
                </c:pt>
                <c:pt idx="337">
                  <c:v>3.585</c:v>
                </c:pt>
                <c:pt idx="338">
                  <c:v>3.5925000000000002</c:v>
                </c:pt>
                <c:pt idx="339">
                  <c:v>3.5999999999999996</c:v>
                </c:pt>
                <c:pt idx="340">
                  <c:v>3.6074999999999999</c:v>
                </c:pt>
                <c:pt idx="341">
                  <c:v>3.6150000000000002</c:v>
                </c:pt>
                <c:pt idx="342">
                  <c:v>3.6224999999999996</c:v>
                </c:pt>
                <c:pt idx="343">
                  <c:v>3.63</c:v>
                </c:pt>
                <c:pt idx="344">
                  <c:v>3.6375000000000002</c:v>
                </c:pt>
                <c:pt idx="345">
                  <c:v>3.6449999999999996</c:v>
                </c:pt>
                <c:pt idx="346">
                  <c:v>3.6524999999999999</c:v>
                </c:pt>
                <c:pt idx="347">
                  <c:v>3.66</c:v>
                </c:pt>
                <c:pt idx="348">
                  <c:v>3.6674999999999995</c:v>
                </c:pt>
                <c:pt idx="349">
                  <c:v>3.6749999999999998</c:v>
                </c:pt>
                <c:pt idx="350">
                  <c:v>3.6825000000000001</c:v>
                </c:pt>
                <c:pt idx="351">
                  <c:v>3.6899999999999995</c:v>
                </c:pt>
                <c:pt idx="352">
                  <c:v>3.6974999999999998</c:v>
                </c:pt>
                <c:pt idx="353">
                  <c:v>3.7050000000000001</c:v>
                </c:pt>
                <c:pt idx="354">
                  <c:v>3.7125000000000004</c:v>
                </c:pt>
                <c:pt idx="355">
                  <c:v>3.7199999999999998</c:v>
                </c:pt>
                <c:pt idx="356">
                  <c:v>3.7275</c:v>
                </c:pt>
                <c:pt idx="357">
                  <c:v>3.7350000000000003</c:v>
                </c:pt>
                <c:pt idx="358">
                  <c:v>3.7424999999999997</c:v>
                </c:pt>
                <c:pt idx="359">
                  <c:v>3.75</c:v>
                </c:pt>
                <c:pt idx="360">
                  <c:v>3.7575000000000003</c:v>
                </c:pt>
                <c:pt idx="361">
                  <c:v>3.7649999999999997</c:v>
                </c:pt>
                <c:pt idx="362">
                  <c:v>3.7725</c:v>
                </c:pt>
                <c:pt idx="363">
                  <c:v>3.7800000000000002</c:v>
                </c:pt>
                <c:pt idx="364">
                  <c:v>3.7874999999999996</c:v>
                </c:pt>
                <c:pt idx="365">
                  <c:v>3.7949999999999999</c:v>
                </c:pt>
                <c:pt idx="366">
                  <c:v>3.8025000000000002</c:v>
                </c:pt>
                <c:pt idx="367">
                  <c:v>3.8099999999999996</c:v>
                </c:pt>
                <c:pt idx="368">
                  <c:v>3.8174999999999999</c:v>
                </c:pt>
                <c:pt idx="369">
                  <c:v>3.8250000000000002</c:v>
                </c:pt>
              </c:numCache>
            </c:numRef>
          </c:val>
          <c:smooth val="0"/>
          <c:extLst>
            <c:ext xmlns:c16="http://schemas.microsoft.com/office/drawing/2014/chart" uri="{C3380CC4-5D6E-409C-BE32-E72D297353CC}">
              <c16:uniqueId val="{00000000-E2E3-4BE3-97A4-72A6C14B48CF}"/>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HP</c:v>
          </c:tx>
          <c:spPr>
            <a:ln w="28575" cap="rnd">
              <a:solidFill>
                <a:schemeClr val="accent1"/>
              </a:solidFill>
              <a:round/>
            </a:ln>
            <a:effectLst/>
          </c:spPr>
          <c:marker>
            <c:symbol val="none"/>
          </c:marker>
          <c:val>
            <c:numRef>
              <c:f>Dragons!$G$72:$G$441</c:f>
              <c:numCache>
                <c:formatCode>General</c:formatCode>
                <c:ptCount val="370"/>
                <c:pt idx="0">
                  <c:v>94.467500000000001</c:v>
                </c:pt>
                <c:pt idx="1">
                  <c:v>93.927499999999995</c:v>
                </c:pt>
                <c:pt idx="2">
                  <c:v>93.38</c:v>
                </c:pt>
                <c:pt idx="3">
                  <c:v>92.824999999999989</c:v>
                </c:pt>
                <c:pt idx="4">
                  <c:v>92.262499999999989</c:v>
                </c:pt>
                <c:pt idx="5">
                  <c:v>91.692499999999995</c:v>
                </c:pt>
                <c:pt idx="6">
                  <c:v>91.114999999999995</c:v>
                </c:pt>
                <c:pt idx="7">
                  <c:v>90.53</c:v>
                </c:pt>
                <c:pt idx="8">
                  <c:v>89.9375</c:v>
                </c:pt>
                <c:pt idx="9">
                  <c:v>89.337500000000006</c:v>
                </c:pt>
                <c:pt idx="10">
                  <c:v>88.73</c:v>
                </c:pt>
                <c:pt idx="11">
                  <c:v>88.115000000000009</c:v>
                </c:pt>
                <c:pt idx="12">
                  <c:v>87.492500000000007</c:v>
                </c:pt>
                <c:pt idx="13">
                  <c:v>86.862500000000011</c:v>
                </c:pt>
                <c:pt idx="14">
                  <c:v>86.225000000000009</c:v>
                </c:pt>
                <c:pt idx="15">
                  <c:v>85.580000000000013</c:v>
                </c:pt>
                <c:pt idx="16">
                  <c:v>84.927500000000009</c:v>
                </c:pt>
                <c:pt idx="17">
                  <c:v>84.267500000000013</c:v>
                </c:pt>
                <c:pt idx="18">
                  <c:v>83.600000000000009</c:v>
                </c:pt>
                <c:pt idx="19">
                  <c:v>82.925000000000011</c:v>
                </c:pt>
                <c:pt idx="20">
                  <c:v>82.242500000000007</c:v>
                </c:pt>
                <c:pt idx="21">
                  <c:v>81.552500000000009</c:v>
                </c:pt>
                <c:pt idx="22">
                  <c:v>80.855000000000004</c:v>
                </c:pt>
                <c:pt idx="23">
                  <c:v>80.150000000000006</c:v>
                </c:pt>
                <c:pt idx="24">
                  <c:v>79.4375</c:v>
                </c:pt>
                <c:pt idx="25">
                  <c:v>78.717500000000001</c:v>
                </c:pt>
                <c:pt idx="26">
                  <c:v>77.989999999999995</c:v>
                </c:pt>
                <c:pt idx="27">
                  <c:v>77.254999999999995</c:v>
                </c:pt>
                <c:pt idx="28">
                  <c:v>76.512499999999989</c:v>
                </c:pt>
                <c:pt idx="29">
                  <c:v>75.762499999999989</c:v>
                </c:pt>
                <c:pt idx="30">
                  <c:v>74.47999999999999</c:v>
                </c:pt>
                <c:pt idx="31">
                  <c:v>73.189999999999984</c:v>
                </c:pt>
                <c:pt idx="32">
                  <c:v>71.892499999999984</c:v>
                </c:pt>
                <c:pt idx="33">
                  <c:v>70.587499999999977</c:v>
                </c:pt>
                <c:pt idx="34">
                  <c:v>69.274999999999977</c:v>
                </c:pt>
                <c:pt idx="35">
                  <c:v>67.954999999999984</c:v>
                </c:pt>
                <c:pt idx="36">
                  <c:v>66.627499999999984</c:v>
                </c:pt>
                <c:pt idx="37">
                  <c:v>65.29249999999999</c:v>
                </c:pt>
                <c:pt idx="38">
                  <c:v>63.949999999999989</c:v>
                </c:pt>
                <c:pt idx="39">
                  <c:v>62.599999999999987</c:v>
                </c:pt>
                <c:pt idx="40">
                  <c:v>61.242499999999986</c:v>
                </c:pt>
                <c:pt idx="41">
                  <c:v>59.877499999999984</c:v>
                </c:pt>
                <c:pt idx="42">
                  <c:v>58.504999999999981</c:v>
                </c:pt>
                <c:pt idx="43">
                  <c:v>57.124999999999979</c:v>
                </c:pt>
                <c:pt idx="44">
                  <c:v>55.737499999999976</c:v>
                </c:pt>
                <c:pt idx="45">
                  <c:v>54.342499999999973</c:v>
                </c:pt>
                <c:pt idx="46">
                  <c:v>52.939999999999969</c:v>
                </c:pt>
                <c:pt idx="47">
                  <c:v>51.529999999999973</c:v>
                </c:pt>
                <c:pt idx="48">
                  <c:v>50.112499999999976</c:v>
                </c:pt>
                <c:pt idx="49">
                  <c:v>48.687499999999979</c:v>
                </c:pt>
                <c:pt idx="50">
                  <c:v>47.254999999999981</c:v>
                </c:pt>
                <c:pt idx="51">
                  <c:v>45.814999999999984</c:v>
                </c:pt>
                <c:pt idx="52">
                  <c:v>44.367499999999986</c:v>
                </c:pt>
                <c:pt idx="53">
                  <c:v>42.912499999999987</c:v>
                </c:pt>
                <c:pt idx="54">
                  <c:v>41.449999999999989</c:v>
                </c:pt>
                <c:pt idx="55">
                  <c:v>39.97999999999999</c:v>
                </c:pt>
                <c:pt idx="56">
                  <c:v>38.502499999999991</c:v>
                </c:pt>
                <c:pt idx="57">
                  <c:v>37.017499999999991</c:v>
                </c:pt>
                <c:pt idx="58">
                  <c:v>35.524999999999991</c:v>
                </c:pt>
                <c:pt idx="59">
                  <c:v>34.024999999999991</c:v>
                </c:pt>
                <c:pt idx="60">
                  <c:v>32.517499999999991</c:v>
                </c:pt>
                <c:pt idx="61">
                  <c:v>31.002499999999991</c:v>
                </c:pt>
                <c:pt idx="62">
                  <c:v>29.47999999999999</c:v>
                </c:pt>
                <c:pt idx="63">
                  <c:v>27.949999999999989</c:v>
                </c:pt>
                <c:pt idx="64">
                  <c:v>26.412499999999987</c:v>
                </c:pt>
                <c:pt idx="65">
                  <c:v>24.867499999999986</c:v>
                </c:pt>
                <c:pt idx="66">
                  <c:v>23.314999999999987</c:v>
                </c:pt>
                <c:pt idx="67">
                  <c:v>21.754999999999988</c:v>
                </c:pt>
                <c:pt idx="68">
                  <c:v>20.187499999999989</c:v>
                </c:pt>
                <c:pt idx="69">
                  <c:v>18.61249999999999</c:v>
                </c:pt>
                <c:pt idx="70">
                  <c:v>17.02999999999999</c:v>
                </c:pt>
                <c:pt idx="71">
                  <c:v>15.439999999999991</c:v>
                </c:pt>
                <c:pt idx="72">
                  <c:v>13.84249999999999</c:v>
                </c:pt>
                <c:pt idx="73">
                  <c:v>12.23749999999999</c:v>
                </c:pt>
                <c:pt idx="74">
                  <c:v>10.624999999999989</c:v>
                </c:pt>
                <c:pt idx="75">
                  <c:v>9.0049999999999883</c:v>
                </c:pt>
                <c:pt idx="76">
                  <c:v>7.3774999999999888</c:v>
                </c:pt>
                <c:pt idx="77">
                  <c:v>5.7424999999999891</c:v>
                </c:pt>
                <c:pt idx="78">
                  <c:v>4.099999999999989</c:v>
                </c:pt>
                <c:pt idx="79">
                  <c:v>2.4499999999999891</c:v>
                </c:pt>
                <c:pt idx="80">
                  <c:v>0.7924999999999891</c:v>
                </c:pt>
                <c:pt idx="81">
                  <c:v>-0.87250000000001093</c:v>
                </c:pt>
                <c:pt idx="82">
                  <c:v>-2.5450000000000106</c:v>
                </c:pt>
                <c:pt idx="83">
                  <c:v>-4.2250000000000103</c:v>
                </c:pt>
                <c:pt idx="84">
                  <c:v>-5.9125000000000103</c:v>
                </c:pt>
                <c:pt idx="85">
                  <c:v>-7.6075000000000106</c:v>
                </c:pt>
                <c:pt idx="86">
                  <c:v>-9.3100000000000112</c:v>
                </c:pt>
                <c:pt idx="87">
                  <c:v>-11.02000000000001</c:v>
                </c:pt>
                <c:pt idx="88">
                  <c:v>-12.73750000000001</c:v>
                </c:pt>
                <c:pt idx="89">
                  <c:v>-14.462500000000009</c:v>
                </c:pt>
                <c:pt idx="90">
                  <c:v>-16.195000000000007</c:v>
                </c:pt>
                <c:pt idx="91">
                  <c:v>-17.935000000000006</c:v>
                </c:pt>
                <c:pt idx="92">
                  <c:v>-19.682500000000005</c:v>
                </c:pt>
                <c:pt idx="93">
                  <c:v>-21.437500000000004</c:v>
                </c:pt>
                <c:pt idx="94">
                  <c:v>-23.200000000000003</c:v>
                </c:pt>
                <c:pt idx="95">
                  <c:v>-24.970000000000002</c:v>
                </c:pt>
                <c:pt idx="96">
                  <c:v>-26.747500000000002</c:v>
                </c:pt>
                <c:pt idx="97">
                  <c:v>-28.532500000000002</c:v>
                </c:pt>
                <c:pt idx="98">
                  <c:v>-30.325000000000003</c:v>
                </c:pt>
                <c:pt idx="99">
                  <c:v>-32.125</c:v>
                </c:pt>
                <c:pt idx="100">
                  <c:v>-33.932499999999997</c:v>
                </c:pt>
                <c:pt idx="101">
                  <c:v>-35.747499999999995</c:v>
                </c:pt>
                <c:pt idx="102">
                  <c:v>-37.569999999999993</c:v>
                </c:pt>
                <c:pt idx="103">
                  <c:v>-39.399999999999991</c:v>
                </c:pt>
                <c:pt idx="104">
                  <c:v>-41.23749999999999</c:v>
                </c:pt>
                <c:pt idx="105">
                  <c:v>-43.082499999999989</c:v>
                </c:pt>
                <c:pt idx="106">
                  <c:v>-44.934999999999988</c:v>
                </c:pt>
                <c:pt idx="107">
                  <c:v>-46.794999999999987</c:v>
                </c:pt>
                <c:pt idx="108">
                  <c:v>-48.662499999999987</c:v>
                </c:pt>
                <c:pt idx="109">
                  <c:v>-50.537499999999987</c:v>
                </c:pt>
                <c:pt idx="110">
                  <c:v>-52.419999999999987</c:v>
                </c:pt>
                <c:pt idx="111">
                  <c:v>-54.309999999999988</c:v>
                </c:pt>
                <c:pt idx="112">
                  <c:v>-56.207499999999989</c:v>
                </c:pt>
                <c:pt idx="113">
                  <c:v>-58.11249999999999</c:v>
                </c:pt>
                <c:pt idx="114">
                  <c:v>-60.024999999999991</c:v>
                </c:pt>
                <c:pt idx="115">
                  <c:v>-61.944999999999993</c:v>
                </c:pt>
                <c:pt idx="116">
                  <c:v>-63.872499999999995</c:v>
                </c:pt>
                <c:pt idx="117">
                  <c:v>-65.80749999999999</c:v>
                </c:pt>
                <c:pt idx="118">
                  <c:v>-67.749999999999986</c:v>
                </c:pt>
                <c:pt idx="119">
                  <c:v>-69.699999999999989</c:v>
                </c:pt>
                <c:pt idx="120">
                  <c:v>-71.657499999999985</c:v>
                </c:pt>
                <c:pt idx="121">
                  <c:v>-73.622499999999988</c:v>
                </c:pt>
                <c:pt idx="122">
                  <c:v>-75.594999999999985</c:v>
                </c:pt>
                <c:pt idx="123">
                  <c:v>-77.574999999999989</c:v>
                </c:pt>
                <c:pt idx="124">
                  <c:v>-79.562499999999986</c:v>
                </c:pt>
                <c:pt idx="125">
                  <c:v>-81.55749999999999</c:v>
                </c:pt>
                <c:pt idx="126">
                  <c:v>-83.559999999999988</c:v>
                </c:pt>
                <c:pt idx="127">
                  <c:v>-85.57</c:v>
                </c:pt>
                <c:pt idx="128">
                  <c:v>-87.587499999999991</c:v>
                </c:pt>
                <c:pt idx="129">
                  <c:v>-89.612499999999997</c:v>
                </c:pt>
                <c:pt idx="130">
                  <c:v>-91.644999999999996</c:v>
                </c:pt>
                <c:pt idx="131">
                  <c:v>-93.685000000000002</c:v>
                </c:pt>
                <c:pt idx="132">
                  <c:v>-95.732500000000002</c:v>
                </c:pt>
                <c:pt idx="133">
                  <c:v>-97.787499999999994</c:v>
                </c:pt>
                <c:pt idx="134">
                  <c:v>-99.85</c:v>
                </c:pt>
                <c:pt idx="135">
                  <c:v>-101.91999999999999</c:v>
                </c:pt>
                <c:pt idx="136">
                  <c:v>-103.99749999999999</c:v>
                </c:pt>
                <c:pt idx="137">
                  <c:v>-106.08249999999998</c:v>
                </c:pt>
                <c:pt idx="138">
                  <c:v>-108.17499999999998</c:v>
                </c:pt>
                <c:pt idx="139">
                  <c:v>-110.27499999999998</c:v>
                </c:pt>
                <c:pt idx="140">
                  <c:v>-112.38249999999998</c:v>
                </c:pt>
                <c:pt idx="141">
                  <c:v>-114.49749999999997</c:v>
                </c:pt>
                <c:pt idx="142">
                  <c:v>-116.61999999999998</c:v>
                </c:pt>
                <c:pt idx="143">
                  <c:v>-118.74999999999997</c:v>
                </c:pt>
                <c:pt idx="144">
                  <c:v>-120.88749999999997</c:v>
                </c:pt>
                <c:pt idx="145">
                  <c:v>-123.03249999999997</c:v>
                </c:pt>
                <c:pt idx="146">
                  <c:v>-125.18499999999997</c:v>
                </c:pt>
                <c:pt idx="147">
                  <c:v>-127.34499999999997</c:v>
                </c:pt>
                <c:pt idx="148">
                  <c:v>-129.51249999999996</c:v>
                </c:pt>
                <c:pt idx="149">
                  <c:v>-131.68749999999997</c:v>
                </c:pt>
                <c:pt idx="150">
                  <c:v>-133.86999999999998</c:v>
                </c:pt>
                <c:pt idx="151">
                  <c:v>-136.05999999999997</c:v>
                </c:pt>
                <c:pt idx="152">
                  <c:v>-138.25749999999996</c:v>
                </c:pt>
                <c:pt idx="153">
                  <c:v>-140.46249999999998</c:v>
                </c:pt>
                <c:pt idx="154">
                  <c:v>-142.67499999999998</c:v>
                </c:pt>
                <c:pt idx="155">
                  <c:v>-144.89499999999998</c:v>
                </c:pt>
                <c:pt idx="156">
                  <c:v>-147.12249999999997</c:v>
                </c:pt>
                <c:pt idx="157">
                  <c:v>-149.35749999999999</c:v>
                </c:pt>
                <c:pt idx="158">
                  <c:v>-151.6</c:v>
                </c:pt>
                <c:pt idx="159">
                  <c:v>-153.85</c:v>
                </c:pt>
                <c:pt idx="160">
                  <c:v>-156.10749999999999</c:v>
                </c:pt>
                <c:pt idx="161">
                  <c:v>-158.37249999999997</c:v>
                </c:pt>
                <c:pt idx="162">
                  <c:v>-160.64499999999998</c:v>
                </c:pt>
                <c:pt idx="163">
                  <c:v>-162.92499999999998</c:v>
                </c:pt>
                <c:pt idx="164">
                  <c:v>-165.21249999999998</c:v>
                </c:pt>
                <c:pt idx="165">
                  <c:v>-167.50749999999996</c:v>
                </c:pt>
                <c:pt idx="166">
                  <c:v>-169.80999999999997</c:v>
                </c:pt>
                <c:pt idx="167">
                  <c:v>-172.11999999999998</c:v>
                </c:pt>
                <c:pt idx="168">
                  <c:v>-174.43749999999997</c:v>
                </c:pt>
                <c:pt idx="169">
                  <c:v>-176.76249999999996</c:v>
                </c:pt>
                <c:pt idx="170">
                  <c:v>-179.09499999999997</c:v>
                </c:pt>
                <c:pt idx="171">
                  <c:v>-181.43499999999997</c:v>
                </c:pt>
                <c:pt idx="172">
                  <c:v>-183.78249999999997</c:v>
                </c:pt>
                <c:pt idx="173">
                  <c:v>-186.13749999999996</c:v>
                </c:pt>
                <c:pt idx="174">
                  <c:v>-188.49999999999997</c:v>
                </c:pt>
                <c:pt idx="175">
                  <c:v>-190.86999999999998</c:v>
                </c:pt>
                <c:pt idx="176">
                  <c:v>-193.24749999999997</c:v>
                </c:pt>
                <c:pt idx="177">
                  <c:v>-195.63249999999996</c:v>
                </c:pt>
                <c:pt idx="178">
                  <c:v>-198.02499999999998</c:v>
                </c:pt>
                <c:pt idx="179">
                  <c:v>-200.42499999999998</c:v>
                </c:pt>
                <c:pt idx="180">
                  <c:v>-202.83249999999998</c:v>
                </c:pt>
                <c:pt idx="181">
                  <c:v>-205.24749999999997</c:v>
                </c:pt>
                <c:pt idx="182">
                  <c:v>-207.67</c:v>
                </c:pt>
                <c:pt idx="183">
                  <c:v>-210.1</c:v>
                </c:pt>
                <c:pt idx="184">
                  <c:v>-212.53749999999999</c:v>
                </c:pt>
                <c:pt idx="185">
                  <c:v>-214.98249999999999</c:v>
                </c:pt>
                <c:pt idx="186">
                  <c:v>-217.43499999999997</c:v>
                </c:pt>
                <c:pt idx="187">
                  <c:v>-219.89499999999998</c:v>
                </c:pt>
                <c:pt idx="188">
                  <c:v>-222.36249999999998</c:v>
                </c:pt>
                <c:pt idx="189">
                  <c:v>-224.83749999999998</c:v>
                </c:pt>
                <c:pt idx="190">
                  <c:v>-227.31999999999996</c:v>
                </c:pt>
                <c:pt idx="191">
                  <c:v>-229.80999999999997</c:v>
                </c:pt>
                <c:pt idx="192">
                  <c:v>-232.30749999999998</c:v>
                </c:pt>
                <c:pt idx="193">
                  <c:v>-234.81249999999997</c:v>
                </c:pt>
                <c:pt idx="194">
                  <c:v>-237.32499999999996</c:v>
                </c:pt>
                <c:pt idx="195">
                  <c:v>-239.84499999999997</c:v>
                </c:pt>
                <c:pt idx="196">
                  <c:v>-242.37249999999997</c:v>
                </c:pt>
                <c:pt idx="197">
                  <c:v>-244.90749999999997</c:v>
                </c:pt>
                <c:pt idx="198">
                  <c:v>-247.44999999999996</c:v>
                </c:pt>
                <c:pt idx="199">
                  <c:v>-249.99999999999997</c:v>
                </c:pt>
                <c:pt idx="200">
                  <c:v>-252.55749999999998</c:v>
                </c:pt>
                <c:pt idx="201">
                  <c:v>-255.12249999999997</c:v>
                </c:pt>
                <c:pt idx="202">
                  <c:v>-257.69499999999999</c:v>
                </c:pt>
                <c:pt idx="203">
                  <c:v>-260.27499999999998</c:v>
                </c:pt>
                <c:pt idx="204">
                  <c:v>-262.86249999999995</c:v>
                </c:pt>
                <c:pt idx="205">
                  <c:v>-265.45749999999998</c:v>
                </c:pt>
                <c:pt idx="206">
                  <c:v>-268.06</c:v>
                </c:pt>
                <c:pt idx="207">
                  <c:v>-270.67</c:v>
                </c:pt>
                <c:pt idx="208">
                  <c:v>-273.28750000000002</c:v>
                </c:pt>
                <c:pt idx="209">
                  <c:v>-275.91250000000002</c:v>
                </c:pt>
                <c:pt idx="210">
                  <c:v>-278.54500000000002</c:v>
                </c:pt>
                <c:pt idx="211">
                  <c:v>-281.185</c:v>
                </c:pt>
                <c:pt idx="212">
                  <c:v>-283.83249999999998</c:v>
                </c:pt>
                <c:pt idx="213">
                  <c:v>-286.48749999999995</c:v>
                </c:pt>
                <c:pt idx="214">
                  <c:v>-289.14999999999998</c:v>
                </c:pt>
                <c:pt idx="215">
                  <c:v>-291.82</c:v>
                </c:pt>
                <c:pt idx="216">
                  <c:v>-294.4975</c:v>
                </c:pt>
                <c:pt idx="217">
                  <c:v>-297.1825</c:v>
                </c:pt>
                <c:pt idx="218">
                  <c:v>-299.875</c:v>
                </c:pt>
                <c:pt idx="219">
                  <c:v>-302.57499999999999</c:v>
                </c:pt>
                <c:pt idx="220">
                  <c:v>-305.28249999999997</c:v>
                </c:pt>
                <c:pt idx="221">
                  <c:v>-307.99749999999995</c:v>
                </c:pt>
                <c:pt idx="222">
                  <c:v>-310.71999999999997</c:v>
                </c:pt>
                <c:pt idx="223">
                  <c:v>-313.45</c:v>
                </c:pt>
                <c:pt idx="224">
                  <c:v>-316.1875</c:v>
                </c:pt>
                <c:pt idx="225">
                  <c:v>-318.9325</c:v>
                </c:pt>
                <c:pt idx="226">
                  <c:v>-321.685</c:v>
                </c:pt>
                <c:pt idx="227">
                  <c:v>-324.44499999999999</c:v>
                </c:pt>
                <c:pt idx="228">
                  <c:v>-327.21249999999998</c:v>
                </c:pt>
                <c:pt idx="229">
                  <c:v>-329.98749999999995</c:v>
                </c:pt>
                <c:pt idx="230">
                  <c:v>-332.77</c:v>
                </c:pt>
                <c:pt idx="231">
                  <c:v>-335.56</c:v>
                </c:pt>
                <c:pt idx="232">
                  <c:v>-338.35750000000002</c:v>
                </c:pt>
                <c:pt idx="233">
                  <c:v>-341.16250000000002</c:v>
                </c:pt>
                <c:pt idx="234">
                  <c:v>-343.97500000000002</c:v>
                </c:pt>
                <c:pt idx="235">
                  <c:v>-346.79500000000002</c:v>
                </c:pt>
                <c:pt idx="236">
                  <c:v>-349.6225</c:v>
                </c:pt>
                <c:pt idx="237">
                  <c:v>-352.45749999999998</c:v>
                </c:pt>
                <c:pt idx="238">
                  <c:v>-355.29999999999995</c:v>
                </c:pt>
                <c:pt idx="239">
                  <c:v>-358.15</c:v>
                </c:pt>
                <c:pt idx="240">
                  <c:v>-361.00749999999999</c:v>
                </c:pt>
                <c:pt idx="241">
                  <c:v>-363.8725</c:v>
                </c:pt>
                <c:pt idx="242">
                  <c:v>-366.745</c:v>
                </c:pt>
                <c:pt idx="243">
                  <c:v>-369.625</c:v>
                </c:pt>
                <c:pt idx="244">
                  <c:v>-372.51249999999999</c:v>
                </c:pt>
                <c:pt idx="245">
                  <c:v>-375.40749999999997</c:v>
                </c:pt>
                <c:pt idx="246">
                  <c:v>-378.30999999999995</c:v>
                </c:pt>
                <c:pt idx="247">
                  <c:v>-381.21999999999997</c:v>
                </c:pt>
                <c:pt idx="248">
                  <c:v>-384.13749999999999</c:v>
                </c:pt>
                <c:pt idx="249">
                  <c:v>-387.0625</c:v>
                </c:pt>
                <c:pt idx="250">
                  <c:v>-389.995</c:v>
                </c:pt>
                <c:pt idx="251">
                  <c:v>-392.935</c:v>
                </c:pt>
                <c:pt idx="252">
                  <c:v>-395.88249999999999</c:v>
                </c:pt>
                <c:pt idx="253">
                  <c:v>-398.83749999999998</c:v>
                </c:pt>
                <c:pt idx="254">
                  <c:v>-401.79999999999995</c:v>
                </c:pt>
                <c:pt idx="255">
                  <c:v>-404.77</c:v>
                </c:pt>
                <c:pt idx="256">
                  <c:v>-407.7475</c:v>
                </c:pt>
                <c:pt idx="257">
                  <c:v>-410.73250000000002</c:v>
                </c:pt>
                <c:pt idx="258">
                  <c:v>-413.72500000000002</c:v>
                </c:pt>
                <c:pt idx="259">
                  <c:v>-416.72500000000002</c:v>
                </c:pt>
                <c:pt idx="260">
                  <c:v>-419.73250000000002</c:v>
                </c:pt>
                <c:pt idx="261">
                  <c:v>-422.7475</c:v>
                </c:pt>
                <c:pt idx="262">
                  <c:v>-425.77</c:v>
                </c:pt>
                <c:pt idx="263">
                  <c:v>-428.79999999999995</c:v>
                </c:pt>
                <c:pt idx="264">
                  <c:v>-431.83749999999998</c:v>
                </c:pt>
                <c:pt idx="265">
                  <c:v>-434.88249999999999</c:v>
                </c:pt>
                <c:pt idx="266">
                  <c:v>-437.935</c:v>
                </c:pt>
                <c:pt idx="267">
                  <c:v>-440.995</c:v>
                </c:pt>
                <c:pt idx="268">
                  <c:v>-444.0625</c:v>
                </c:pt>
                <c:pt idx="269">
                  <c:v>-447.13749999999999</c:v>
                </c:pt>
                <c:pt idx="270">
                  <c:v>-450.21999999999997</c:v>
                </c:pt>
                <c:pt idx="271">
                  <c:v>-453.30999999999995</c:v>
                </c:pt>
                <c:pt idx="272">
                  <c:v>-456.40749999999997</c:v>
                </c:pt>
                <c:pt idx="273">
                  <c:v>-459.51249999999999</c:v>
                </c:pt>
                <c:pt idx="274">
                  <c:v>-462.625</c:v>
                </c:pt>
                <c:pt idx="275">
                  <c:v>-465.745</c:v>
                </c:pt>
                <c:pt idx="276">
                  <c:v>-468.8725</c:v>
                </c:pt>
                <c:pt idx="277">
                  <c:v>-472.00749999999999</c:v>
                </c:pt>
                <c:pt idx="278">
                  <c:v>-475.15</c:v>
                </c:pt>
                <c:pt idx="279">
                  <c:v>-478.29999999999995</c:v>
                </c:pt>
                <c:pt idx="280">
                  <c:v>-481.45749999999998</c:v>
                </c:pt>
                <c:pt idx="281">
                  <c:v>-484.6225</c:v>
                </c:pt>
                <c:pt idx="282">
                  <c:v>-487.79500000000002</c:v>
                </c:pt>
                <c:pt idx="283">
                  <c:v>-490.97500000000002</c:v>
                </c:pt>
                <c:pt idx="284">
                  <c:v>-494.16250000000002</c:v>
                </c:pt>
                <c:pt idx="285">
                  <c:v>-497.35750000000002</c:v>
                </c:pt>
                <c:pt idx="286">
                  <c:v>-500.56</c:v>
                </c:pt>
                <c:pt idx="287">
                  <c:v>-503.77</c:v>
                </c:pt>
                <c:pt idx="288">
                  <c:v>-506.98749999999995</c:v>
                </c:pt>
                <c:pt idx="289">
                  <c:v>-510.21249999999998</c:v>
                </c:pt>
                <c:pt idx="290">
                  <c:v>-513.44499999999994</c:v>
                </c:pt>
                <c:pt idx="291">
                  <c:v>-516.68499999999995</c:v>
                </c:pt>
                <c:pt idx="292">
                  <c:v>-519.93249999999989</c:v>
                </c:pt>
                <c:pt idx="293">
                  <c:v>-523.18749999999989</c:v>
                </c:pt>
                <c:pt idx="294">
                  <c:v>-526.44999999999993</c:v>
                </c:pt>
                <c:pt idx="295">
                  <c:v>-529.71999999999991</c:v>
                </c:pt>
                <c:pt idx="296">
                  <c:v>-532.99749999999995</c:v>
                </c:pt>
                <c:pt idx="297">
                  <c:v>-536.28249999999991</c:v>
                </c:pt>
                <c:pt idx="298">
                  <c:v>-539.57499999999993</c:v>
                </c:pt>
                <c:pt idx="299">
                  <c:v>-542.87499999999989</c:v>
                </c:pt>
                <c:pt idx="300">
                  <c:v>-546.18249999999989</c:v>
                </c:pt>
                <c:pt idx="301">
                  <c:v>-549.49749999999995</c:v>
                </c:pt>
                <c:pt idx="302">
                  <c:v>-552.81999999999994</c:v>
                </c:pt>
                <c:pt idx="303">
                  <c:v>-556.15</c:v>
                </c:pt>
                <c:pt idx="304">
                  <c:v>-559.48749999999995</c:v>
                </c:pt>
                <c:pt idx="305">
                  <c:v>-562.83249999999998</c:v>
                </c:pt>
                <c:pt idx="306">
                  <c:v>-566.18499999999995</c:v>
                </c:pt>
                <c:pt idx="307">
                  <c:v>-569.54499999999996</c:v>
                </c:pt>
                <c:pt idx="308">
                  <c:v>-572.91249999999991</c:v>
                </c:pt>
                <c:pt idx="309">
                  <c:v>-576.28749999999991</c:v>
                </c:pt>
                <c:pt idx="310">
                  <c:v>-579.66999999999996</c:v>
                </c:pt>
                <c:pt idx="311">
                  <c:v>-583.05999999999995</c:v>
                </c:pt>
                <c:pt idx="312">
                  <c:v>-586.45749999999998</c:v>
                </c:pt>
                <c:pt idx="313">
                  <c:v>-589.86249999999995</c:v>
                </c:pt>
                <c:pt idx="314">
                  <c:v>-593.27499999999998</c:v>
                </c:pt>
                <c:pt idx="315">
                  <c:v>-596.69499999999994</c:v>
                </c:pt>
                <c:pt idx="316">
                  <c:v>-600.12249999999995</c:v>
                </c:pt>
                <c:pt idx="317">
                  <c:v>-603.55749999999989</c:v>
                </c:pt>
                <c:pt idx="318">
                  <c:v>-606.99999999999989</c:v>
                </c:pt>
                <c:pt idx="319">
                  <c:v>-610.44999999999993</c:v>
                </c:pt>
                <c:pt idx="320">
                  <c:v>-613.90749999999991</c:v>
                </c:pt>
                <c:pt idx="321">
                  <c:v>-617.37249999999995</c:v>
                </c:pt>
                <c:pt idx="322">
                  <c:v>-620.84499999999991</c:v>
                </c:pt>
                <c:pt idx="323">
                  <c:v>-624.32499999999993</c:v>
                </c:pt>
                <c:pt idx="324">
                  <c:v>-627.81249999999989</c:v>
                </c:pt>
                <c:pt idx="325">
                  <c:v>-631.30749999999989</c:v>
                </c:pt>
                <c:pt idx="326">
                  <c:v>-634.80999999999995</c:v>
                </c:pt>
                <c:pt idx="327">
                  <c:v>-638.31999999999994</c:v>
                </c:pt>
                <c:pt idx="328">
                  <c:v>-641.83749999999998</c:v>
                </c:pt>
                <c:pt idx="329">
                  <c:v>-645.36249999999995</c:v>
                </c:pt>
                <c:pt idx="330">
                  <c:v>-648.89499999999998</c:v>
                </c:pt>
                <c:pt idx="331">
                  <c:v>-652.43499999999995</c:v>
                </c:pt>
                <c:pt idx="332">
                  <c:v>-655.98249999999996</c:v>
                </c:pt>
                <c:pt idx="333">
                  <c:v>-659.53749999999991</c:v>
                </c:pt>
                <c:pt idx="334">
                  <c:v>-663.09999999999991</c:v>
                </c:pt>
                <c:pt idx="335">
                  <c:v>-666.67</c:v>
                </c:pt>
                <c:pt idx="336">
                  <c:v>-670.24749999999995</c:v>
                </c:pt>
                <c:pt idx="337">
                  <c:v>-673.83249999999998</c:v>
                </c:pt>
                <c:pt idx="338">
                  <c:v>-677.42499999999995</c:v>
                </c:pt>
                <c:pt idx="339">
                  <c:v>-681.02499999999998</c:v>
                </c:pt>
                <c:pt idx="340">
                  <c:v>-684.63249999999994</c:v>
                </c:pt>
                <c:pt idx="341">
                  <c:v>-688.24749999999995</c:v>
                </c:pt>
                <c:pt idx="342">
                  <c:v>-691.86999999999989</c:v>
                </c:pt>
                <c:pt idx="343">
                  <c:v>-695.49999999999989</c:v>
                </c:pt>
                <c:pt idx="344">
                  <c:v>-699.13749999999993</c:v>
                </c:pt>
                <c:pt idx="345">
                  <c:v>-702.78249999999991</c:v>
                </c:pt>
                <c:pt idx="346">
                  <c:v>-706.43499999999995</c:v>
                </c:pt>
                <c:pt idx="347">
                  <c:v>-710.09499999999991</c:v>
                </c:pt>
                <c:pt idx="348">
                  <c:v>-713.76249999999993</c:v>
                </c:pt>
                <c:pt idx="349">
                  <c:v>-717.43749999999989</c:v>
                </c:pt>
                <c:pt idx="350">
                  <c:v>-721.11999999999989</c:v>
                </c:pt>
                <c:pt idx="351">
                  <c:v>-724.81</c:v>
                </c:pt>
                <c:pt idx="352">
                  <c:v>-728.50749999999994</c:v>
                </c:pt>
                <c:pt idx="353">
                  <c:v>-732.21249999999998</c:v>
                </c:pt>
                <c:pt idx="354">
                  <c:v>-735.92499999999995</c:v>
                </c:pt>
                <c:pt idx="355">
                  <c:v>-739.64499999999998</c:v>
                </c:pt>
                <c:pt idx="356">
                  <c:v>-743.37249999999995</c:v>
                </c:pt>
                <c:pt idx="357">
                  <c:v>-747.10749999999996</c:v>
                </c:pt>
                <c:pt idx="358">
                  <c:v>-750.84999999999991</c:v>
                </c:pt>
                <c:pt idx="359">
                  <c:v>-754.59999999999991</c:v>
                </c:pt>
                <c:pt idx="360">
                  <c:v>-758.35749999999996</c:v>
                </c:pt>
                <c:pt idx="361">
                  <c:v>-762.12249999999995</c:v>
                </c:pt>
                <c:pt idx="362">
                  <c:v>-765.89499999999998</c:v>
                </c:pt>
                <c:pt idx="363">
                  <c:v>-769.67499999999995</c:v>
                </c:pt>
                <c:pt idx="364">
                  <c:v>-773.46249999999998</c:v>
                </c:pt>
                <c:pt idx="365">
                  <c:v>-777.25749999999994</c:v>
                </c:pt>
                <c:pt idx="366">
                  <c:v>-781.06</c:v>
                </c:pt>
                <c:pt idx="367">
                  <c:v>-784.86999999999989</c:v>
                </c:pt>
                <c:pt idx="368">
                  <c:v>-788.68749999999989</c:v>
                </c:pt>
                <c:pt idx="369">
                  <c:v>-792.51249999999993</c:v>
                </c:pt>
              </c:numCache>
            </c:numRef>
          </c:val>
          <c:smooth val="0"/>
          <c:extLst>
            <c:ext xmlns:c16="http://schemas.microsoft.com/office/drawing/2014/chart" uri="{C3380CC4-5D6E-409C-BE32-E72D297353CC}">
              <c16:uniqueId val="{00000000-590E-4609-A740-4CECF9DAD005}"/>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Prog.!$B$8</c:f>
              <c:strCache>
                <c:ptCount val="1"/>
                <c:pt idx="0">
                  <c:v>Village</c:v>
                </c:pt>
              </c:strCache>
            </c:strRef>
          </c:tx>
          <c:cat>
            <c:strRef>
              <c:f>DATA_SCENES_UNITY_1!$M$8:$M$9</c:f>
              <c:strCache>
                <c:ptCount val="2"/>
                <c:pt idx="0">
                  <c:v>ENEMY SPAWNERS:</c:v>
                </c:pt>
                <c:pt idx="1">
                  <c:v>PREY SPAWNERS:</c:v>
                </c:pt>
              </c:strCache>
            </c:strRef>
          </c:cat>
          <c:val>
            <c:numRef>
              <c:f>Prog.!$G$8:$H$8</c:f>
              <c:numCache>
                <c:formatCode>General</c:formatCode>
                <c:ptCount val="2"/>
                <c:pt idx="0">
                  <c:v>809</c:v>
                </c:pt>
                <c:pt idx="1">
                  <c:v>1681</c:v>
                </c:pt>
              </c:numCache>
            </c:numRef>
          </c:val>
          <c:extLst>
            <c:ext xmlns:c16="http://schemas.microsoft.com/office/drawing/2014/chart" uri="{C3380CC4-5D6E-409C-BE32-E72D297353CC}">
              <c16:uniqueId val="{00000000-7BB1-41FF-AC6B-BC3037D1AF91}"/>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Prog.!$B$9</c:f>
              <c:strCache>
                <c:ptCount val="1"/>
                <c:pt idx="0">
                  <c:v>Castle</c:v>
                </c:pt>
              </c:strCache>
            </c:strRef>
          </c:tx>
          <c:cat>
            <c:strRef>
              <c:f>DATA_SCENES_UNITY_1!$M$8:$M$9</c:f>
              <c:strCache>
                <c:ptCount val="2"/>
                <c:pt idx="0">
                  <c:v>ENEMY SPAWNERS:</c:v>
                </c:pt>
                <c:pt idx="1">
                  <c:v>PREY SPAWNERS:</c:v>
                </c:pt>
              </c:strCache>
            </c:strRef>
          </c:cat>
          <c:val>
            <c:numRef>
              <c:f>Prog.!$G$9:$H$9</c:f>
              <c:numCache>
                <c:formatCode>General</c:formatCode>
                <c:ptCount val="2"/>
                <c:pt idx="0">
                  <c:v>524</c:v>
                </c:pt>
                <c:pt idx="1">
                  <c:v>1502</c:v>
                </c:pt>
              </c:numCache>
            </c:numRef>
          </c:val>
          <c:extLst>
            <c:ext xmlns:c16="http://schemas.microsoft.com/office/drawing/2014/chart" uri="{C3380CC4-5D6E-409C-BE32-E72D297353CC}">
              <c16:uniqueId val="{00000000-BB6A-44EA-BCA6-415742BFB948}"/>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Prog.!$B$8:$B$10</c:f>
              <c:strCache>
                <c:ptCount val="3"/>
                <c:pt idx="0">
                  <c:v>Village</c:v>
                </c:pt>
                <c:pt idx="1">
                  <c:v>Castle</c:v>
                </c:pt>
                <c:pt idx="2">
                  <c:v>Dark</c:v>
                </c:pt>
              </c:strCache>
            </c:strRef>
          </c:cat>
          <c:val>
            <c:numRef>
              <c:f>Prog.!$E$8:$E$10</c:f>
              <c:numCache>
                <c:formatCode>General</c:formatCode>
                <c:ptCount val="3"/>
                <c:pt idx="0">
                  <c:v>198993</c:v>
                </c:pt>
                <c:pt idx="1">
                  <c:v>146915</c:v>
                </c:pt>
                <c:pt idx="2">
                  <c:v>133602</c:v>
                </c:pt>
              </c:numCache>
            </c:numRef>
          </c:val>
          <c:extLst>
            <c:ext xmlns:c16="http://schemas.microsoft.com/office/drawing/2014/chart" uri="{C3380CC4-5D6E-409C-BE32-E72D297353CC}">
              <c16:uniqueId val="{00000000-AA50-45A8-B0CA-467350EE102D}"/>
            </c:ext>
          </c:extLst>
        </c:ser>
        <c:dLbls>
          <c:showLegendKey val="0"/>
          <c:showVal val="0"/>
          <c:showCatName val="0"/>
          <c:showSerName val="0"/>
          <c:showPercent val="0"/>
          <c:showBubbleSize val="0"/>
        </c:dLbls>
        <c:gapWidth val="150"/>
        <c:axId val="84693376"/>
        <c:axId val="84694912"/>
      </c:barChart>
      <c:catAx>
        <c:axId val="84693376"/>
        <c:scaling>
          <c:orientation val="minMax"/>
        </c:scaling>
        <c:delete val="0"/>
        <c:axPos val="b"/>
        <c:numFmt formatCode="General" sourceLinked="1"/>
        <c:majorTickMark val="out"/>
        <c:minorTickMark val="none"/>
        <c:tickLblPos val="nextTo"/>
        <c:crossAx val="84694912"/>
        <c:crosses val="autoZero"/>
        <c:auto val="1"/>
        <c:lblAlgn val="ctr"/>
        <c:lblOffset val="100"/>
        <c:noMultiLvlLbl val="0"/>
      </c:catAx>
      <c:valAx>
        <c:axId val="84694912"/>
        <c:scaling>
          <c:orientation val="minMax"/>
        </c:scaling>
        <c:delete val="0"/>
        <c:axPos val="l"/>
        <c:majorGridlines/>
        <c:numFmt formatCode="General" sourceLinked="1"/>
        <c:majorTickMark val="out"/>
        <c:minorTickMark val="none"/>
        <c:tickLblPos val="nextTo"/>
        <c:crossAx val="846933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Prog.!$B$8</c:f>
              <c:strCache>
                <c:ptCount val="1"/>
                <c:pt idx="0">
                  <c:v>Village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97</c:v>
                </c:pt>
                <c:pt idx="2">
                  <c:v>61</c:v>
                </c:pt>
                <c:pt idx="3">
                  <c:v>72</c:v>
                </c:pt>
                <c:pt idx="4">
                  <c:v>29</c:v>
                </c:pt>
                <c:pt idx="5">
                  <c:v>24</c:v>
                </c:pt>
                <c:pt idx="6">
                  <c:v>35</c:v>
                </c:pt>
                <c:pt idx="7">
                  <c:v>36</c:v>
                </c:pt>
                <c:pt idx="8">
                  <c:v>11</c:v>
                </c:pt>
                <c:pt idx="9">
                  <c:v>28</c:v>
                </c:pt>
                <c:pt idx="10">
                  <c:v>9</c:v>
                </c:pt>
                <c:pt idx="11">
                  <c:v>20</c:v>
                </c:pt>
                <c:pt idx="12">
                  <c:v>3</c:v>
                </c:pt>
                <c:pt idx="13">
                  <c:v>15</c:v>
                </c:pt>
                <c:pt idx="14">
                  <c:v>6</c:v>
                </c:pt>
                <c:pt idx="15">
                  <c:v>9</c:v>
                </c:pt>
                <c:pt idx="16">
                  <c:v>1</c:v>
                </c:pt>
                <c:pt idx="17">
                  <c:v>6</c:v>
                </c:pt>
                <c:pt idx="18">
                  <c:v>0</c:v>
                </c:pt>
                <c:pt idx="19">
                  <c:v>12</c:v>
                </c:pt>
                <c:pt idx="20">
                  <c:v>0</c:v>
                </c:pt>
                <c:pt idx="21">
                  <c:v>3</c:v>
                </c:pt>
                <c:pt idx="22">
                  <c:v>0</c:v>
                </c:pt>
              </c:numCache>
            </c:numRef>
          </c:val>
          <c:extLst>
            <c:ext xmlns:c16="http://schemas.microsoft.com/office/drawing/2014/chart" uri="{C3380CC4-5D6E-409C-BE32-E72D297353CC}">
              <c16:uniqueId val="{00000000-3BC7-48D9-97B1-EC887E04B9BD}"/>
            </c:ext>
          </c:extLst>
        </c:ser>
        <c:ser>
          <c:idx val="1"/>
          <c:order val="1"/>
          <c:tx>
            <c:strRef>
              <c:f>Prog.!$B$9</c:f>
              <c:strCache>
                <c:ptCount val="1"/>
                <c:pt idx="0">
                  <c:v>Castle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9</c:v>
                </c:pt>
                <c:pt idx="17">
                  <c:v>19</c:v>
                </c:pt>
                <c:pt idx="18">
                  <c:v>7</c:v>
                </c:pt>
                <c:pt idx="19">
                  <c:v>12</c:v>
                </c:pt>
                <c:pt idx="20">
                  <c:v>1</c:v>
                </c:pt>
                <c:pt idx="21">
                  <c:v>3</c:v>
                </c:pt>
                <c:pt idx="22">
                  <c:v>2</c:v>
                </c:pt>
              </c:numCache>
            </c:numRef>
          </c:val>
          <c:extLst>
            <c:ext xmlns:c16="http://schemas.microsoft.com/office/drawing/2014/chart" uri="{C3380CC4-5D6E-409C-BE32-E72D297353CC}">
              <c16:uniqueId val="{00000001-3BC7-48D9-97B1-EC887E04B9BD}"/>
            </c:ext>
          </c:extLst>
        </c:ser>
        <c:ser>
          <c:idx val="2"/>
          <c:order val="2"/>
          <c:tx>
            <c:strRef>
              <c:f>Prog.!$B$10</c:f>
              <c:strCache>
                <c:ptCount val="1"/>
                <c:pt idx="0">
                  <c:v>Dark</c:v>
                </c:pt>
              </c:strCache>
            </c:strRef>
          </c:tx>
          <c:invertIfNegative val="0"/>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21</c:v>
                </c:pt>
                <c:pt idx="12">
                  <c:v>13</c:v>
                </c:pt>
                <c:pt idx="13">
                  <c:v>28</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2-3BC7-48D9-97B1-EC887E04B9BD}"/>
            </c:ext>
          </c:extLst>
        </c:ser>
        <c:dLbls>
          <c:showLegendKey val="0"/>
          <c:showVal val="0"/>
          <c:showCatName val="0"/>
          <c:showSerName val="0"/>
          <c:showPercent val="0"/>
          <c:showBubbleSize val="0"/>
        </c:dLbls>
        <c:gapWidth val="150"/>
        <c:axId val="84727296"/>
        <c:axId val="84728832"/>
      </c:barChart>
      <c:catAx>
        <c:axId val="84727296"/>
        <c:scaling>
          <c:orientation val="minMax"/>
        </c:scaling>
        <c:delete val="0"/>
        <c:axPos val="b"/>
        <c:numFmt formatCode="General" sourceLinked="1"/>
        <c:majorTickMark val="out"/>
        <c:minorTickMark val="none"/>
        <c:tickLblPos val="nextTo"/>
        <c:crossAx val="84728832"/>
        <c:crosses val="autoZero"/>
        <c:auto val="1"/>
        <c:lblAlgn val="ctr"/>
        <c:lblOffset val="100"/>
        <c:noMultiLvlLbl val="0"/>
      </c:catAx>
      <c:valAx>
        <c:axId val="84728832"/>
        <c:scaling>
          <c:orientation val="minMax"/>
        </c:scaling>
        <c:delete val="0"/>
        <c:axPos val="l"/>
        <c:majorGridlines/>
        <c:numFmt formatCode="General" sourceLinked="1"/>
        <c:majorTickMark val="out"/>
        <c:minorTickMark val="none"/>
        <c:tickLblPos val="nextTo"/>
        <c:crossAx val="84727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Prog.!$B$10</c:f>
              <c:strCache>
                <c:ptCount val="1"/>
                <c:pt idx="0">
                  <c:v>Dark</c:v>
                </c:pt>
              </c:strCache>
            </c:strRef>
          </c:tx>
          <c:cat>
            <c:strRef>
              <c:f>DATA_SCENES_UNITY_1!$M$8:$M$9</c:f>
              <c:strCache>
                <c:ptCount val="2"/>
                <c:pt idx="0">
                  <c:v>ENEMY SPAWNERS:</c:v>
                </c:pt>
                <c:pt idx="1">
                  <c:v>PREY SPAWNERS:</c:v>
                </c:pt>
              </c:strCache>
            </c:strRef>
          </c:cat>
          <c:val>
            <c:numRef>
              <c:f>Prog.!$G$10:$H$10</c:f>
              <c:numCache>
                <c:formatCode>General</c:formatCode>
                <c:ptCount val="2"/>
                <c:pt idx="0">
                  <c:v>356</c:v>
                </c:pt>
                <c:pt idx="1">
                  <c:v>736</c:v>
                </c:pt>
              </c:numCache>
            </c:numRef>
          </c:val>
          <c:extLst>
            <c:ext xmlns:c16="http://schemas.microsoft.com/office/drawing/2014/chart" uri="{C3380CC4-5D6E-409C-BE32-E72D297353CC}">
              <c16:uniqueId val="{00000000-6C8E-4F94-9569-0F52A8CAB26D}"/>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Prog.!$D$108</c:f>
              <c:strCache>
                <c:ptCount val="1"/>
                <c:pt idx="0">
                  <c:v>TOP 5 SPAWNERS</c:v>
                </c:pt>
              </c:strCache>
            </c:strRef>
          </c:tx>
          <c:cat>
            <c:strRef>
              <c:f>Prog.!$D$111:$D$116</c:f>
              <c:strCache>
                <c:ptCount val="6"/>
                <c:pt idx="0">
                  <c:v>SpiderSmall</c:v>
                </c:pt>
                <c:pt idx="1">
                  <c:v>Canary</c:v>
                </c:pt>
                <c:pt idx="2">
                  <c:v>BatSmall_Flock</c:v>
                </c:pt>
                <c:pt idx="3">
                  <c:v>StarSky</c:v>
                </c:pt>
                <c:pt idx="4">
                  <c:v>Miner</c:v>
                </c:pt>
                <c:pt idx="5">
                  <c:v>Others</c:v>
                </c:pt>
              </c:strCache>
            </c:strRef>
          </c:cat>
          <c:val>
            <c:numRef>
              <c:f>Prog.!$F$111:$F$116</c:f>
              <c:numCache>
                <c:formatCode>General</c:formatCode>
                <c:ptCount val="6"/>
                <c:pt idx="0">
                  <c:v>10.220000000000001</c:v>
                </c:pt>
                <c:pt idx="1">
                  <c:v>5.0999999999999996</c:v>
                </c:pt>
                <c:pt idx="2">
                  <c:v>4.9000000000000004</c:v>
                </c:pt>
                <c:pt idx="3">
                  <c:v>4.5999999999999996</c:v>
                </c:pt>
                <c:pt idx="4">
                  <c:v>2.7</c:v>
                </c:pt>
                <c:pt idx="5">
                  <c:v>72.48</c:v>
                </c:pt>
              </c:numCache>
            </c:numRef>
          </c:val>
          <c:extLst>
            <c:ext xmlns:c16="http://schemas.microsoft.com/office/drawing/2014/chart" uri="{C3380CC4-5D6E-409C-BE32-E72D297353CC}">
              <c16:uniqueId val="{00000000-ABDA-4937-9824-F93B11D16597}"/>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Coins: Bottles and Coins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(DATA_SCENES_UNITY_2!$O$41,DATA_SCENES_UNITY_2!$AE$41,DATA_SCENES_UNITY_2!$AU$41)</c:f>
              <c:numCache>
                <c:formatCode>General</c:formatCode>
                <c:ptCount val="3"/>
                <c:pt idx="0">
                  <c:v>319</c:v>
                </c:pt>
                <c:pt idx="1">
                  <c:v>281</c:v>
                </c:pt>
                <c:pt idx="2">
                  <c:v>422</c:v>
                </c:pt>
              </c:numCache>
            </c:numRef>
          </c:val>
          <c:extLst>
            <c:ext xmlns:c16="http://schemas.microsoft.com/office/drawing/2014/chart" uri="{C3380CC4-5D6E-409C-BE32-E72D297353CC}">
              <c16:uniqueId val="{00000000-8CF2-4123-A6DF-F1040A48A514}"/>
            </c:ext>
          </c:extLst>
        </c:ser>
        <c:dLbls>
          <c:showLegendKey val="0"/>
          <c:showVal val="0"/>
          <c:showCatName val="0"/>
          <c:showSerName val="0"/>
          <c:showPercent val="0"/>
          <c:showBubbleSize val="0"/>
        </c:dLbls>
        <c:gapWidth val="219"/>
        <c:overlap val="-27"/>
        <c:axId val="336874992"/>
        <c:axId val="336663712"/>
      </c:barChart>
      <c:catAx>
        <c:axId val="33687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36663712"/>
        <c:crosses val="autoZero"/>
        <c:auto val="1"/>
        <c:lblAlgn val="ctr"/>
        <c:lblOffset val="100"/>
        <c:noMultiLvlLbl val="0"/>
      </c:catAx>
      <c:valAx>
        <c:axId val="336663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36874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Flying</a:t>
            </a:r>
            <a:r>
              <a:rPr lang="en-US" b="1" baseline="0"/>
              <a:t> pigs (Gems</a:t>
            </a:r>
            <a:r>
              <a:rPr lang="en-US" baseline="0"/>
              <a: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(DATA_SCENES_UNITY_2!$O$44,DATA_SCENES_UNITY_2!$AE$44,DATA_SCENES_UNITY_2!$AU$44)</c:f>
              <c:numCache>
                <c:formatCode>General</c:formatCode>
                <c:ptCount val="3"/>
                <c:pt idx="0">
                  <c:v>42</c:v>
                </c:pt>
                <c:pt idx="1">
                  <c:v>20</c:v>
                </c:pt>
                <c:pt idx="2">
                  <c:v>27</c:v>
                </c:pt>
              </c:numCache>
            </c:numRef>
          </c:val>
          <c:extLst>
            <c:ext xmlns:c16="http://schemas.microsoft.com/office/drawing/2014/chart" uri="{C3380CC4-5D6E-409C-BE32-E72D297353CC}">
              <c16:uniqueId val="{00000000-B7C5-48C6-8F09-CEA8139D4860}"/>
            </c:ext>
          </c:extLst>
        </c:ser>
        <c:dLbls>
          <c:showLegendKey val="0"/>
          <c:showVal val="0"/>
          <c:showCatName val="0"/>
          <c:showSerName val="0"/>
          <c:showPercent val="0"/>
          <c:showBubbleSize val="0"/>
        </c:dLbls>
        <c:gapWidth val="219"/>
        <c:overlap val="-27"/>
        <c:axId val="782639376"/>
        <c:axId val="782638960"/>
      </c:barChart>
      <c:catAx>
        <c:axId val="78263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82638960"/>
        <c:crosses val="autoZero"/>
        <c:auto val="1"/>
        <c:lblAlgn val="ctr"/>
        <c:lblOffset val="100"/>
        <c:noMultiLvlLbl val="0"/>
      </c:catAx>
      <c:valAx>
        <c:axId val="782638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82639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DATA_SCENES_UNITY_1!$N$5</c:f>
              <c:strCache>
                <c:ptCount val="1"/>
                <c:pt idx="0">
                  <c:v>STARTINGPOINT/WATERFALL and WATER</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171</c:v>
                </c:pt>
              </c:numCache>
            </c:numRef>
          </c:val>
          <c:extLst>
            <c:ext xmlns:c16="http://schemas.microsoft.com/office/drawing/2014/chart" uri="{C3380CC4-5D6E-409C-BE32-E72D297353CC}">
              <c16:uniqueId val="{00000000-B94D-4B87-A7DE-A79659D76E00}"/>
            </c:ext>
          </c:extLst>
        </c:ser>
        <c:ser>
          <c:idx val="0"/>
          <c:order val="0"/>
          <c:tx>
            <c:strRef>
              <c:f>DATA_SCENES_UNITY_1!$N$5</c:f>
              <c:strCache>
                <c:ptCount val="1"/>
                <c:pt idx="0">
                  <c:v>STARTINGPOINT/WATERFALL and WATER</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171</c:v>
                </c:pt>
              </c:numCache>
            </c:numRef>
          </c:val>
          <c:extLst>
            <c:ext xmlns:c16="http://schemas.microsoft.com/office/drawing/2014/chart" uri="{C3380CC4-5D6E-409C-BE32-E72D297353CC}">
              <c16:uniqueId val="{00000001-B94D-4B87-A7DE-A79659D76E00}"/>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DATA_SCENES_UNITY_1!$C$5</c:f>
              <c:strCache>
                <c:ptCount val="1"/>
                <c:pt idx="0">
                  <c:v>STARTINGPOINT/HUMANVILLAGE</c:v>
                </c:pt>
              </c:strCache>
            </c:strRef>
          </c:tx>
          <c:cat>
            <c:strRef>
              <c:f>DATA_SCENES_UNITY_1!$M$8:$M$9</c:f>
              <c:strCache>
                <c:ptCount val="2"/>
                <c:pt idx="0">
                  <c:v>ENEMY SPAWNERS:</c:v>
                </c:pt>
                <c:pt idx="1">
                  <c:v>PREY SPAWNERS:</c:v>
                </c:pt>
              </c:strCache>
            </c:strRef>
          </c:cat>
          <c:val>
            <c:numRef>
              <c:f>DATA_SCENES_UNITY_1!$C$8:$C$9</c:f>
              <c:numCache>
                <c:formatCode>General</c:formatCode>
                <c:ptCount val="2"/>
                <c:pt idx="0">
                  <c:v>228</c:v>
                </c:pt>
                <c:pt idx="1">
                  <c:v>399</c:v>
                </c:pt>
              </c:numCache>
            </c:numRef>
          </c:val>
          <c:extLst>
            <c:ext xmlns:c16="http://schemas.microsoft.com/office/drawing/2014/chart" uri="{C3380CC4-5D6E-409C-BE32-E72D297353CC}">
              <c16:uniqueId val="{00000000-0041-4520-B0E1-FE239C0B17E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DATA_SCENES_UNITY_1!$Y$5</c:f>
              <c:strCache>
                <c:ptCount val="1"/>
                <c:pt idx="0">
                  <c:v>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0-18CF-43AB-9141-9896CD34DB39}"/>
            </c:ext>
          </c:extLst>
        </c:ser>
        <c:ser>
          <c:idx val="0"/>
          <c:order val="0"/>
          <c:tx>
            <c:strRef>
              <c:f>DATA_SCENES_UNITY_1!$Y$5</c:f>
              <c:strCache>
                <c:ptCount val="1"/>
                <c:pt idx="0">
                  <c:v>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1-18CF-43AB-9141-9896CD34D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DATA_SCENES_UNITY_1!$BQ$5</c:f>
              <c:strCache>
                <c:ptCount val="1"/>
                <c:pt idx="0">
                  <c:v>HUMAN FOREST</c:v>
                </c:pt>
              </c:strCache>
            </c:strRef>
          </c:tx>
          <c:cat>
            <c:strRef>
              <c:f>DATA_SCENES_UNITY_1!$M$8:$M$9</c:f>
              <c:strCache>
                <c:ptCount val="2"/>
                <c:pt idx="0">
                  <c:v>ENEMY SPAWNERS:</c:v>
                </c:pt>
                <c:pt idx="1">
                  <c:v>PREY SPAWNERS:</c:v>
                </c:pt>
              </c:strCache>
            </c:strRef>
          </c:cat>
          <c:val>
            <c:numRef>
              <c:f>DATA_SCENES_UNITY_1!$BQ$8:$BQ$9</c:f>
              <c:numCache>
                <c:formatCode>General</c:formatCode>
                <c:ptCount val="2"/>
                <c:pt idx="0">
                  <c:v>179</c:v>
                </c:pt>
                <c:pt idx="1">
                  <c:v>252</c:v>
                </c:pt>
              </c:numCache>
            </c:numRef>
          </c:val>
          <c:extLst>
            <c:ext xmlns:c16="http://schemas.microsoft.com/office/drawing/2014/chart" uri="{C3380CC4-5D6E-409C-BE32-E72D297353CC}">
              <c16:uniqueId val="{00000000-DF9E-4659-A098-2714AC99358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DATA_SCENES_UNITY_1!$BF$5</c:f>
              <c:strCache>
                <c:ptCount val="1"/>
                <c:pt idx="0">
                  <c:v>BIG CAVES</c:v>
                </c:pt>
              </c:strCache>
            </c:strRef>
          </c:tx>
          <c:cat>
            <c:strRef>
              <c:f>DATA_SCENES_UNITY_1!$M$8:$M$9</c:f>
              <c:strCache>
                <c:ptCount val="2"/>
                <c:pt idx="0">
                  <c:v>ENEMY SPAWNERS:</c:v>
                </c:pt>
                <c:pt idx="1">
                  <c:v>PREY SPAWNERS:</c:v>
                </c:pt>
              </c:strCache>
            </c:strRef>
          </c:cat>
          <c:val>
            <c:numRef>
              <c:f>DATA_SCENES_UNITY_1!$BF$8:$BF$9</c:f>
              <c:numCache>
                <c:formatCode>General</c:formatCode>
                <c:ptCount val="2"/>
                <c:pt idx="0">
                  <c:v>109</c:v>
                </c:pt>
                <c:pt idx="1">
                  <c:v>117</c:v>
                </c:pt>
              </c:numCache>
            </c:numRef>
          </c:val>
          <c:extLst>
            <c:ext xmlns:c16="http://schemas.microsoft.com/office/drawing/2014/chart" uri="{C3380CC4-5D6E-409C-BE32-E72D297353CC}">
              <c16:uniqueId val="{00000000-CC91-428F-9002-95FA670AEA6F}"/>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97</c:v>
                </c:pt>
                <c:pt idx="2">
                  <c:v>61</c:v>
                </c:pt>
                <c:pt idx="3">
                  <c:v>72</c:v>
                </c:pt>
                <c:pt idx="4">
                  <c:v>29</c:v>
                </c:pt>
                <c:pt idx="5">
                  <c:v>24</c:v>
                </c:pt>
                <c:pt idx="6">
                  <c:v>35</c:v>
                </c:pt>
                <c:pt idx="7">
                  <c:v>36</c:v>
                </c:pt>
                <c:pt idx="8">
                  <c:v>11</c:v>
                </c:pt>
                <c:pt idx="9">
                  <c:v>28</c:v>
                </c:pt>
                <c:pt idx="10">
                  <c:v>9</c:v>
                </c:pt>
                <c:pt idx="11">
                  <c:v>20</c:v>
                </c:pt>
                <c:pt idx="12">
                  <c:v>3</c:v>
                </c:pt>
                <c:pt idx="13">
                  <c:v>15</c:v>
                </c:pt>
                <c:pt idx="14">
                  <c:v>6</c:v>
                </c:pt>
                <c:pt idx="15">
                  <c:v>9</c:v>
                </c:pt>
                <c:pt idx="16">
                  <c:v>1</c:v>
                </c:pt>
                <c:pt idx="17">
                  <c:v>6</c:v>
                </c:pt>
                <c:pt idx="18">
                  <c:v>0</c:v>
                </c:pt>
                <c:pt idx="19">
                  <c:v>12</c:v>
                </c:pt>
                <c:pt idx="20">
                  <c:v>0</c:v>
                </c:pt>
                <c:pt idx="21">
                  <c:v>3</c:v>
                </c:pt>
                <c:pt idx="22">
                  <c:v>0</c:v>
                </c:pt>
              </c:numCache>
            </c:numRef>
          </c:val>
          <c:extLst>
            <c:ext xmlns:c16="http://schemas.microsoft.com/office/drawing/2014/chart" uri="{C3380CC4-5D6E-409C-BE32-E72D297353CC}">
              <c16:uniqueId val="{00000000-4F7C-4D5B-A5AD-2073A9EB8303}"/>
            </c:ext>
          </c:extLst>
        </c:ser>
        <c:dLbls>
          <c:showLegendKey val="0"/>
          <c:showVal val="0"/>
          <c:showCatName val="0"/>
          <c:showSerName val="0"/>
          <c:showPercent val="0"/>
          <c:showBubbleSize val="0"/>
        </c:dLbls>
        <c:gapWidth val="150"/>
        <c:axId val="85381888"/>
        <c:axId val="85383424"/>
      </c:barChart>
      <c:catAx>
        <c:axId val="85381888"/>
        <c:scaling>
          <c:orientation val="minMax"/>
        </c:scaling>
        <c:delete val="0"/>
        <c:axPos val="b"/>
        <c:numFmt formatCode="General" sourceLinked="1"/>
        <c:majorTickMark val="out"/>
        <c:minorTickMark val="none"/>
        <c:tickLblPos val="nextTo"/>
        <c:crossAx val="85383424"/>
        <c:crosses val="autoZero"/>
        <c:auto val="1"/>
        <c:lblAlgn val="ctr"/>
        <c:lblOffset val="100"/>
        <c:noMultiLvlLbl val="0"/>
      </c:catAx>
      <c:valAx>
        <c:axId val="85383424"/>
        <c:scaling>
          <c:orientation val="minMax"/>
        </c:scaling>
        <c:delete val="0"/>
        <c:axPos val="l"/>
        <c:majorGridlines/>
        <c:numFmt formatCode="General" sourceLinked="1"/>
        <c:majorTickMark val="out"/>
        <c:minorTickMark val="none"/>
        <c:tickLblPos val="nextTo"/>
        <c:crossAx val="853818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(DATA_SCENES_UNITY_1!$C$18,DATA_SCENES_UNITY_1!$N$18,DATA_SCENES_UNITY_1!$Y$18,DATA_SCENES_UNITY_1!$AJ$18,DATA_SCENES_UNITY_1!$AU$18,DATA_SCENES_UNITY_1!$BF$18,DATA_SCENES_UNITY_1!$BQ$18,DATA_SCENES_UNITY_1!$CB$18)</c:f>
              <c:strCache>
                <c:ptCount val="8"/>
                <c:pt idx="0">
                  <c:v>Human Village</c:v>
                </c:pt>
                <c:pt idx="1">
                  <c:v>Waterfall</c:v>
                </c:pt>
                <c:pt idx="2">
                  <c:v>Cave</c:v>
                </c:pt>
                <c:pt idx="3">
                  <c:v>Goblin city</c:v>
                </c:pt>
                <c:pt idx="4">
                  <c:v>Witch forest</c:v>
                </c:pt>
                <c:pt idx="5">
                  <c:v>Big caves</c:v>
                </c:pt>
                <c:pt idx="6">
                  <c:v>Human forest</c:v>
                </c:pt>
                <c:pt idx="7">
                  <c:v>Sky village</c:v>
                </c:pt>
              </c:strCache>
            </c:strRef>
          </c:cat>
          <c:val>
            <c:numRef>
              <c:f>(DATA_SCENES_UNITY_1!$C$6,DATA_SCENES_UNITY_1!$N$6,DATA_SCENES_UNITY_1!$Y$6,DATA_SCENES_UNITY_1!$AJ$6,DATA_SCENES_UNITY_1!$AU$6,DATA_SCENES_UNITY_1!$BF$6,DATA_SCENES_UNITY_1!$BQ$6,DATA_SCENES_UNITY_1!$CB$6)</c:f>
              <c:numCache>
                <c:formatCode>General</c:formatCode>
                <c:ptCount val="8"/>
                <c:pt idx="0">
                  <c:v>51107</c:v>
                </c:pt>
                <c:pt idx="1">
                  <c:v>17186</c:v>
                </c:pt>
                <c:pt idx="2">
                  <c:v>4981</c:v>
                </c:pt>
                <c:pt idx="3">
                  <c:v>30887</c:v>
                </c:pt>
                <c:pt idx="4">
                  <c:v>12429</c:v>
                </c:pt>
                <c:pt idx="5">
                  <c:v>22939</c:v>
                </c:pt>
                <c:pt idx="6">
                  <c:v>39655</c:v>
                </c:pt>
                <c:pt idx="7">
                  <c:v>19809</c:v>
                </c:pt>
              </c:numCache>
            </c:numRef>
          </c:val>
          <c:extLst>
            <c:ext xmlns:c16="http://schemas.microsoft.com/office/drawing/2014/chart" uri="{C3380CC4-5D6E-409C-BE32-E72D297353CC}">
              <c16:uniqueId val="{00000000-7E37-4B42-AA4B-9CBA377AD00E}"/>
            </c:ext>
          </c:extLst>
        </c:ser>
        <c:dLbls>
          <c:showLegendKey val="0"/>
          <c:showVal val="0"/>
          <c:showCatName val="0"/>
          <c:showSerName val="0"/>
          <c:showPercent val="0"/>
          <c:showBubbleSize val="0"/>
        </c:dLbls>
        <c:gapWidth val="150"/>
        <c:axId val="85395712"/>
        <c:axId val="85409792"/>
      </c:barChart>
      <c:catAx>
        <c:axId val="85395712"/>
        <c:scaling>
          <c:orientation val="minMax"/>
        </c:scaling>
        <c:delete val="0"/>
        <c:axPos val="b"/>
        <c:numFmt formatCode="General" sourceLinked="0"/>
        <c:majorTickMark val="out"/>
        <c:minorTickMark val="none"/>
        <c:tickLblPos val="nextTo"/>
        <c:crossAx val="85409792"/>
        <c:crosses val="autoZero"/>
        <c:auto val="1"/>
        <c:lblAlgn val="ctr"/>
        <c:lblOffset val="100"/>
        <c:noMultiLvlLbl val="0"/>
      </c:catAx>
      <c:valAx>
        <c:axId val="85409792"/>
        <c:scaling>
          <c:orientation val="minMax"/>
        </c:scaling>
        <c:delete val="0"/>
        <c:axPos val="l"/>
        <c:majorGridlines/>
        <c:numFmt formatCode="General" sourceLinked="1"/>
        <c:majorTickMark val="out"/>
        <c:minorTickMark val="none"/>
        <c:tickLblPos val="nextTo"/>
        <c:crossAx val="853957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128</c:v>
                </c:pt>
                <c:pt idx="1">
                  <c:v>259</c:v>
                </c:pt>
              </c:numCache>
            </c:numRef>
          </c:val>
          <c:extLst>
            <c:ext xmlns:c16="http://schemas.microsoft.com/office/drawing/2014/chart" uri="{C3380CC4-5D6E-409C-BE32-E72D297353CC}">
              <c16:uniqueId val="{00000000-5D36-4F11-ABA9-D6A94AFDECBB}"/>
            </c:ext>
          </c:extLst>
        </c:ser>
        <c:ser>
          <c:idx val="0"/>
          <c:order val="0"/>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128</c:v>
                </c:pt>
                <c:pt idx="1">
                  <c:v>259</c:v>
                </c:pt>
              </c:numCache>
            </c:numRef>
          </c:val>
          <c:extLst>
            <c:ext xmlns:c16="http://schemas.microsoft.com/office/drawing/2014/chart" uri="{C3380CC4-5D6E-409C-BE32-E72D297353CC}">
              <c16:uniqueId val="{00000001-5D36-4F11-ABA9-D6A94AFDEC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63</c:v>
                </c:pt>
                <c:pt idx="1">
                  <c:v>91</c:v>
                </c:pt>
              </c:numCache>
            </c:numRef>
          </c:val>
          <c:extLst>
            <c:ext xmlns:c16="http://schemas.microsoft.com/office/drawing/2014/chart" uri="{C3380CC4-5D6E-409C-BE32-E72D297353CC}">
              <c16:uniqueId val="{00000000-CFAC-4FDC-8122-E0696476E563}"/>
            </c:ext>
          </c:extLst>
        </c:ser>
        <c:ser>
          <c:idx val="0"/>
          <c:order val="0"/>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63</c:v>
                </c:pt>
                <c:pt idx="1">
                  <c:v>91</c:v>
                </c:pt>
              </c:numCache>
            </c:numRef>
          </c:val>
          <c:extLst>
            <c:ext xmlns:c16="http://schemas.microsoft.com/office/drawing/2014/chart" uri="{C3380CC4-5D6E-409C-BE32-E72D297353CC}">
              <c16:uniqueId val="{00000001-CFAC-4FDC-8122-E0696476E563}"/>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"Village"'!$D$93</c:f>
              <c:strCache>
                <c:ptCount val="1"/>
                <c:pt idx="0">
                  <c:v>TOP 5 SPAWNERS</c:v>
                </c:pt>
              </c:strCache>
            </c:strRef>
          </c:tx>
          <c:cat>
            <c:strRef>
              <c:f>'Prog. "Village"'!$D$96:$D$101</c:f>
              <c:strCache>
                <c:ptCount val="6"/>
                <c:pt idx="0">
                  <c:v>Canary</c:v>
                </c:pt>
                <c:pt idx="1">
                  <c:v>SpiderSmall</c:v>
                </c:pt>
                <c:pt idx="2">
                  <c:v>StarSky</c:v>
                </c:pt>
                <c:pt idx="3">
                  <c:v>Ghost01</c:v>
                </c:pt>
                <c:pt idx="4">
                  <c:v>WorkerSpace</c:v>
                </c:pt>
                <c:pt idx="5">
                  <c:v>Others</c:v>
                </c:pt>
              </c:strCache>
            </c:strRef>
          </c:cat>
          <c:val>
            <c:numRef>
              <c:f>'Prog. "Village"'!$F$96:$F$101</c:f>
              <c:numCache>
                <c:formatCode>General</c:formatCode>
                <c:ptCount val="6"/>
                <c:pt idx="0">
                  <c:v>15.04</c:v>
                </c:pt>
                <c:pt idx="1">
                  <c:v>11.48</c:v>
                </c:pt>
                <c:pt idx="2">
                  <c:v>5.84</c:v>
                </c:pt>
                <c:pt idx="3">
                  <c:v>4.07</c:v>
                </c:pt>
                <c:pt idx="4">
                  <c:v>3.72</c:v>
                </c:pt>
                <c:pt idx="5">
                  <c:v>59.85</c:v>
                </c:pt>
              </c:numCache>
            </c:numRef>
          </c:val>
          <c:extLst>
            <c:ext xmlns:c16="http://schemas.microsoft.com/office/drawing/2014/chart" uri="{C3380CC4-5D6E-409C-BE32-E72D297353CC}">
              <c16:uniqueId val="{00000000-00CA-4942-BD8A-7452F7C87C73}"/>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DATA_SCENES_UNITY_1!$CB$5</c:f>
              <c:strCache>
                <c:ptCount val="1"/>
                <c:pt idx="0">
                  <c:v>SKY VILLAGE</c:v>
                </c:pt>
              </c:strCache>
            </c:strRef>
          </c:tx>
          <c:cat>
            <c:strRef>
              <c:f>DATA_SCENES_UNITY_1!$M$8:$M$9</c:f>
              <c:strCache>
                <c:ptCount val="2"/>
                <c:pt idx="0">
                  <c:v>ENEMY SPAWNERS:</c:v>
                </c:pt>
                <c:pt idx="1">
                  <c:v>PREY SPAWNERS:</c:v>
                </c:pt>
              </c:strCache>
            </c:strRef>
          </c:cat>
          <c:val>
            <c:numRef>
              <c:f>DATA_SCENES_UNITY_1!$CB$8:$CB$9</c:f>
              <c:numCache>
                <c:formatCode>General</c:formatCode>
                <c:ptCount val="2"/>
                <c:pt idx="0">
                  <c:v>13</c:v>
                </c:pt>
                <c:pt idx="1">
                  <c:v>343</c:v>
                </c:pt>
              </c:numCache>
            </c:numRef>
          </c:val>
          <c:extLst>
            <c:ext xmlns:c16="http://schemas.microsoft.com/office/drawing/2014/chart" uri="{C3380CC4-5D6E-409C-BE32-E72D297353CC}">
              <c16:uniqueId val="{00000000-0D6F-414E-BEE7-BEA3D36AC4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167</c:v>
                </c:pt>
                <c:pt idx="1">
                  <c:v>445</c:v>
                </c:pt>
              </c:numCache>
            </c:numRef>
          </c:val>
          <c:extLst>
            <c:ext xmlns:c16="http://schemas.microsoft.com/office/drawing/2014/chart" uri="{C3380CC4-5D6E-409C-BE32-E72D297353CC}">
              <c16:uniqueId val="{00000002-BBD2-4CF3-94A2-E122EC603F57}"/>
            </c:ext>
          </c:extLst>
        </c:ser>
        <c:ser>
          <c:idx val="0"/>
          <c:order val="1"/>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167</c:v>
                </c:pt>
                <c:pt idx="1">
                  <c:v>445</c:v>
                </c:pt>
              </c:numCache>
            </c:numRef>
          </c:val>
          <c:extLst>
            <c:ext xmlns:c16="http://schemas.microsoft.com/office/drawing/2014/chart" uri="{C3380CC4-5D6E-409C-BE32-E72D297353CC}">
              <c16:uniqueId val="{00000001-BBD2-4CF3-94A2-E122EC603F5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DATA_SCENES_UNITY_1!$CX$5</c:f>
              <c:strCache>
                <c:ptCount val="1"/>
                <c:pt idx="0">
                  <c:v>CAVES01</c:v>
                </c:pt>
              </c:strCache>
            </c:strRef>
          </c:tx>
          <c:cat>
            <c:strRef>
              <c:f>DATA_SCENES_UNITY_1!$M$8:$M$9</c:f>
              <c:strCache>
                <c:ptCount val="2"/>
                <c:pt idx="0">
                  <c:v>ENEMY SPAWNERS:</c:v>
                </c:pt>
                <c:pt idx="1">
                  <c:v>PREY SPAWNERS:</c:v>
                </c:pt>
              </c:strCache>
            </c:strRef>
          </c:cat>
          <c:val>
            <c:numRef>
              <c:f>DATA_SCENES_UNITY_1!$CX$8:$CX$9</c:f>
              <c:numCache>
                <c:formatCode>General</c:formatCode>
                <c:ptCount val="2"/>
                <c:pt idx="0">
                  <c:v>65</c:v>
                </c:pt>
                <c:pt idx="1">
                  <c:v>162</c:v>
                </c:pt>
              </c:numCache>
            </c:numRef>
          </c:val>
          <c:extLst>
            <c:ext xmlns:c16="http://schemas.microsoft.com/office/drawing/2014/chart" uri="{C3380CC4-5D6E-409C-BE32-E72D297353CC}">
              <c16:uniqueId val="{00000000-BC75-4BE2-AE33-513B3B5A5BD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DATA_SCENES_UNITY_1!$DT$5</c:f>
              <c:strCache>
                <c:ptCount val="1"/>
                <c:pt idx="0">
                  <c:v>GOBLINMINES</c:v>
                </c:pt>
              </c:strCache>
            </c:strRef>
          </c:tx>
          <c:cat>
            <c:strRef>
              <c:f>DATA_SCENES_UNITY_1!$M$8:$M$9</c:f>
              <c:strCache>
                <c:ptCount val="2"/>
                <c:pt idx="0">
                  <c:v>ENEMY SPAWNERS:</c:v>
                </c:pt>
                <c:pt idx="1">
                  <c:v>PREY SPAWNERS:</c:v>
                </c:pt>
              </c:strCache>
            </c:strRef>
          </c:cat>
          <c:val>
            <c:numRef>
              <c:f>DATA_SCENES_UNITY_1!$DT$8:$DT$9</c:f>
              <c:numCache>
                <c:formatCode>General</c:formatCode>
                <c:ptCount val="2"/>
                <c:pt idx="0">
                  <c:v>183</c:v>
                </c:pt>
                <c:pt idx="1">
                  <c:v>553</c:v>
                </c:pt>
              </c:numCache>
            </c:numRef>
          </c:val>
          <c:extLst>
            <c:ext xmlns:c16="http://schemas.microsoft.com/office/drawing/2014/chart" uri="{C3380CC4-5D6E-409C-BE32-E72D297353CC}">
              <c16:uniqueId val="{00000000-8419-4430-9A1E-0995278A5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(DATA_SCENES_UNITY_1!$CM$18,DATA_SCENES_UNITY_1!$CX$18,DATA_SCENES_UNITY_1!$DI$18,DATA_SCENES_UNITY_1!$DT$18,DATA_SCENES_UNITY_1!$EE$18)</c:f>
              <c:strCache>
                <c:ptCount val="5"/>
                <c:pt idx="0">
                  <c:v>Market</c:v>
                </c:pt>
                <c:pt idx="1">
                  <c:v>Small caves</c:v>
                </c:pt>
                <c:pt idx="2">
                  <c:v>Big caves</c:v>
                </c:pt>
                <c:pt idx="3">
                  <c:v>Mines</c:v>
                </c:pt>
                <c:pt idx="4">
                  <c:v>Sky castle</c:v>
                </c:pt>
              </c:strCache>
            </c:strRef>
          </c:cat>
          <c:val>
            <c:numRef>
              <c:f>(DATA_SCENES_UNITY_1!$CM$6,DATA_SCENES_UNITY_1!$CX$6,DATA_SCENES_UNITY_1!$DI$6,DATA_SCENES_UNITY_1!$DT$6,DATA_SCENES_UNITY_1!$EE$6)</c:f>
              <c:numCache>
                <c:formatCode>General</c:formatCode>
                <c:ptCount val="5"/>
                <c:pt idx="0">
                  <c:v>40897</c:v>
                </c:pt>
                <c:pt idx="1">
                  <c:v>13841</c:v>
                </c:pt>
                <c:pt idx="2">
                  <c:v>25710</c:v>
                </c:pt>
                <c:pt idx="3">
                  <c:v>58557</c:v>
                </c:pt>
                <c:pt idx="4">
                  <c:v>7910</c:v>
                </c:pt>
              </c:numCache>
            </c:numRef>
          </c:val>
          <c:extLst>
            <c:ext xmlns:c16="http://schemas.microsoft.com/office/drawing/2014/chart" uri="{C3380CC4-5D6E-409C-BE32-E72D297353CC}">
              <c16:uniqueId val="{00000000-0029-4229-8BE3-DC90CDBF6982}"/>
            </c:ext>
          </c:extLst>
        </c:ser>
        <c:dLbls>
          <c:showLegendKey val="0"/>
          <c:showVal val="0"/>
          <c:showCatName val="0"/>
          <c:showSerName val="0"/>
          <c:showPercent val="0"/>
          <c:showBubbleSize val="0"/>
        </c:dLbls>
        <c:gapWidth val="150"/>
        <c:axId val="85798272"/>
        <c:axId val="85820544"/>
      </c:barChart>
      <c:catAx>
        <c:axId val="85798272"/>
        <c:scaling>
          <c:orientation val="minMax"/>
        </c:scaling>
        <c:delete val="0"/>
        <c:axPos val="b"/>
        <c:numFmt formatCode="General" sourceLinked="0"/>
        <c:majorTickMark val="out"/>
        <c:minorTickMark val="none"/>
        <c:tickLblPos val="nextTo"/>
        <c:crossAx val="85820544"/>
        <c:crosses val="autoZero"/>
        <c:auto val="1"/>
        <c:lblAlgn val="ctr"/>
        <c:lblOffset val="100"/>
        <c:noMultiLvlLbl val="0"/>
      </c:catAx>
      <c:valAx>
        <c:axId val="85820544"/>
        <c:scaling>
          <c:orientation val="minMax"/>
        </c:scaling>
        <c:delete val="0"/>
        <c:axPos val="l"/>
        <c:majorGridlines/>
        <c:numFmt formatCode="General" sourceLinked="1"/>
        <c:majorTickMark val="out"/>
        <c:minorTickMark val="none"/>
        <c:tickLblPos val="nextTo"/>
        <c:crossAx val="8579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9</c:v>
                </c:pt>
                <c:pt idx="17">
                  <c:v>19</c:v>
                </c:pt>
                <c:pt idx="18">
                  <c:v>7</c:v>
                </c:pt>
                <c:pt idx="19">
                  <c:v>12</c:v>
                </c:pt>
                <c:pt idx="20">
                  <c:v>1</c:v>
                </c:pt>
                <c:pt idx="21">
                  <c:v>3</c:v>
                </c:pt>
                <c:pt idx="22">
                  <c:v>2</c:v>
                </c:pt>
              </c:numCache>
            </c:numRef>
          </c:val>
          <c:extLst>
            <c:ext xmlns:c16="http://schemas.microsoft.com/office/drawing/2014/chart" uri="{C3380CC4-5D6E-409C-BE32-E72D297353CC}">
              <c16:uniqueId val="{00000000-17C6-4E28-8390-3E0FD4DD9DD4}"/>
            </c:ext>
          </c:extLst>
        </c:ser>
        <c:dLbls>
          <c:showLegendKey val="0"/>
          <c:showVal val="0"/>
          <c:showCatName val="0"/>
          <c:showSerName val="0"/>
          <c:showPercent val="0"/>
          <c:showBubbleSize val="0"/>
        </c:dLbls>
        <c:gapWidth val="150"/>
        <c:axId val="85841792"/>
        <c:axId val="85843328"/>
      </c:barChart>
      <c:catAx>
        <c:axId val="85841792"/>
        <c:scaling>
          <c:orientation val="minMax"/>
        </c:scaling>
        <c:delete val="0"/>
        <c:axPos val="b"/>
        <c:numFmt formatCode="General" sourceLinked="1"/>
        <c:majorTickMark val="out"/>
        <c:minorTickMark val="none"/>
        <c:tickLblPos val="nextTo"/>
        <c:crossAx val="85843328"/>
        <c:crosses val="autoZero"/>
        <c:auto val="1"/>
        <c:lblAlgn val="ctr"/>
        <c:lblOffset val="100"/>
        <c:noMultiLvlLbl val="0"/>
      </c:catAx>
      <c:valAx>
        <c:axId val="85843328"/>
        <c:scaling>
          <c:orientation val="minMax"/>
        </c:scaling>
        <c:delete val="0"/>
        <c:axPos val="l"/>
        <c:majorGridlines/>
        <c:numFmt formatCode="General" sourceLinked="1"/>
        <c:majorTickMark val="out"/>
        <c:minorTickMark val="none"/>
        <c:tickLblPos val="nextTo"/>
        <c:crossAx val="858417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DATA_SCENES_UNITY_1!$DI$5</c:f>
              <c:strCache>
                <c:ptCount val="1"/>
                <c:pt idx="0">
                  <c:v>CAVES02</c:v>
                </c:pt>
              </c:strCache>
            </c:strRef>
          </c:tx>
          <c:cat>
            <c:strRef>
              <c:f>DATA_SCENES_UNITY_1!$M$8:$M$9</c:f>
              <c:strCache>
                <c:ptCount val="2"/>
                <c:pt idx="0">
                  <c:v>ENEMY SPAWNERS:</c:v>
                </c:pt>
                <c:pt idx="1">
                  <c:v>PREY SPAWNERS:</c:v>
                </c:pt>
              </c:strCache>
            </c:strRef>
          </c:cat>
          <c:val>
            <c:numRef>
              <c:f>DATA_SCENES_UNITY_1!$DI$8:$DI$9</c:f>
              <c:numCache>
                <c:formatCode>General</c:formatCode>
                <c:ptCount val="2"/>
                <c:pt idx="0">
                  <c:v>103</c:v>
                </c:pt>
                <c:pt idx="1">
                  <c:v>209</c:v>
                </c:pt>
              </c:numCache>
            </c:numRef>
          </c:val>
          <c:extLst>
            <c:ext xmlns:c16="http://schemas.microsoft.com/office/drawing/2014/chart" uri="{C3380CC4-5D6E-409C-BE32-E72D297353CC}">
              <c16:uniqueId val="{00000000-1E0D-4B37-9262-4568532E7A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"Castle"'!$D$79</c:f>
              <c:strCache>
                <c:ptCount val="1"/>
                <c:pt idx="0">
                  <c:v>TOP 5 SPAWNERS</c:v>
                </c:pt>
              </c:strCache>
            </c:strRef>
          </c:tx>
          <c:cat>
            <c:strRef>
              <c:f>'Prog. "Castle"'!$D$82:$D$87</c:f>
              <c:strCache>
                <c:ptCount val="6"/>
                <c:pt idx="0">
                  <c:v>SpiderSmall</c:v>
                </c:pt>
                <c:pt idx="1">
                  <c:v>Miner</c:v>
                </c:pt>
                <c:pt idx="2">
                  <c:v>BatSmall_Flock</c:v>
                </c:pt>
                <c:pt idx="3">
                  <c:v>Canary</c:v>
                </c:pt>
                <c:pt idx="4">
                  <c:v>Fish</c:v>
                </c:pt>
                <c:pt idx="5">
                  <c:v>Others</c:v>
                </c:pt>
              </c:strCache>
            </c:strRef>
          </c:cat>
          <c:val>
            <c:numRef>
              <c:f>'Prog. "Castle"'!$F$82:$F$87</c:f>
              <c:numCache>
                <c:formatCode>General</c:formatCode>
                <c:ptCount val="6"/>
                <c:pt idx="0">
                  <c:v>12.24</c:v>
                </c:pt>
                <c:pt idx="1">
                  <c:v>10.27</c:v>
                </c:pt>
                <c:pt idx="2">
                  <c:v>6.65</c:v>
                </c:pt>
                <c:pt idx="3">
                  <c:v>5.35</c:v>
                </c:pt>
                <c:pt idx="4">
                  <c:v>4.3899999999999997</c:v>
                </c:pt>
                <c:pt idx="5">
                  <c:v>61.1</c:v>
                </c:pt>
              </c:numCache>
            </c:numRef>
          </c:val>
          <c:extLst>
            <c:ext xmlns:c16="http://schemas.microsoft.com/office/drawing/2014/chart" uri="{C3380CC4-5D6E-409C-BE32-E72D297353CC}">
              <c16:uniqueId val="{00000000-7383-413F-95E7-416E90EF967F}"/>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DATA_SCENES_UNITY_1!$EE$5</c:f>
              <c:strCache>
                <c:ptCount val="1"/>
                <c:pt idx="0">
                  <c:v>SKY CASTLE</c:v>
                </c:pt>
              </c:strCache>
            </c:strRef>
          </c:tx>
          <c:cat>
            <c:strRef>
              <c:f>DATA_SCENES_UNITY_1!$M$8:$M$9</c:f>
              <c:strCache>
                <c:ptCount val="2"/>
                <c:pt idx="0">
                  <c:v>ENEMY SPAWNERS:</c:v>
                </c:pt>
                <c:pt idx="1">
                  <c:v>PREY SPAWNERS:</c:v>
                </c:pt>
              </c:strCache>
            </c:strRef>
          </c:cat>
          <c:val>
            <c:numRef>
              <c:f>DATA_SCENES_UNITY_1!$EE$8:$EE$9</c:f>
              <c:numCache>
                <c:formatCode>General</c:formatCode>
                <c:ptCount val="2"/>
                <c:pt idx="0">
                  <c:v>6</c:v>
                </c:pt>
                <c:pt idx="1">
                  <c:v>133</c:v>
                </c:pt>
              </c:numCache>
            </c:numRef>
          </c:val>
          <c:extLst>
            <c:ext xmlns:c16="http://schemas.microsoft.com/office/drawing/2014/chart" uri="{C3380CC4-5D6E-409C-BE32-E72D297353CC}">
              <c16:uniqueId val="{00000000-5EBA-4B18-8B48-96698C13FF0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DATA_SCENES_UNITY_1!$EP$5</c:f>
              <c:strCache>
                <c:ptCount val="1"/>
                <c:pt idx="0">
                  <c:v>WITCHESTREE/TREE</c:v>
                </c:pt>
              </c:strCache>
            </c:strRef>
          </c:tx>
          <c:cat>
            <c:strRef>
              <c:f>DATA_SCENES_UNITY_1!$M$8:$M$9</c:f>
              <c:strCache>
                <c:ptCount val="2"/>
                <c:pt idx="0">
                  <c:v>ENEMY SPAWNERS:</c:v>
                </c:pt>
                <c:pt idx="1">
                  <c:v>PREY SPAWNERS:</c:v>
                </c:pt>
              </c:strCache>
            </c:strRef>
          </c:cat>
          <c:val>
            <c:numRef>
              <c:f>DATA_SCENES_UNITY_1!$EP$8:$EP$9</c:f>
              <c:numCache>
                <c:formatCode>General</c:formatCode>
                <c:ptCount val="2"/>
                <c:pt idx="0">
                  <c:v>183</c:v>
                </c:pt>
                <c:pt idx="1">
                  <c:v>193</c:v>
                </c:pt>
              </c:numCache>
            </c:numRef>
          </c:val>
          <c:extLst>
            <c:ext xmlns:c16="http://schemas.microsoft.com/office/drawing/2014/chart" uri="{C3380CC4-5D6E-409C-BE32-E72D297353CC}">
              <c16:uniqueId val="{00000000-5454-4E57-8C0E-5E140B7B4C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DATA_SCENES_UNITY_1!$FA$5</c:f>
              <c:strCache>
                <c:ptCount val="1"/>
                <c:pt idx="0">
                  <c:v>WITCHESTREE/UNDERGROUND</c:v>
                </c:pt>
              </c:strCache>
            </c:strRef>
          </c:tx>
          <c:cat>
            <c:strRef>
              <c:f>DATA_SCENES_UNITY_1!$M$8:$M$9</c:f>
              <c:strCache>
                <c:ptCount val="2"/>
                <c:pt idx="0">
                  <c:v>ENEMY SPAWNERS:</c:v>
                </c:pt>
                <c:pt idx="1">
                  <c:v>PREY SPAWNERS:</c:v>
                </c:pt>
              </c:strCache>
            </c:strRef>
          </c:cat>
          <c:val>
            <c:numRef>
              <c:f>DATA_SCENES_UNITY_1!$FA$8:$FA$9</c:f>
              <c:numCache>
                <c:formatCode>General</c:formatCode>
                <c:ptCount val="2"/>
                <c:pt idx="0">
                  <c:v>64</c:v>
                </c:pt>
                <c:pt idx="1">
                  <c:v>158</c:v>
                </c:pt>
              </c:numCache>
            </c:numRef>
          </c:val>
          <c:extLst>
            <c:ext xmlns:c16="http://schemas.microsoft.com/office/drawing/2014/chart" uri="{C3380CC4-5D6E-409C-BE32-E72D297353CC}">
              <c16:uniqueId val="{00000000-91FB-4D46-845F-37DDA896EF6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DATA_SCENES_UNITY_1!$FW$5</c:f>
              <c:strCache>
                <c:ptCount val="1"/>
                <c:pt idx="0">
                  <c:v>DARKAREA/LOWERPART</c:v>
                </c:pt>
              </c:strCache>
            </c:strRef>
          </c:tx>
          <c:cat>
            <c:strRef>
              <c:f>DATA_SCENES_UNITY_1!$M$8:$M$9</c:f>
              <c:strCache>
                <c:ptCount val="2"/>
                <c:pt idx="0">
                  <c:v>ENEMY SPAWNERS:</c:v>
                </c:pt>
                <c:pt idx="1">
                  <c:v>PREY SPAWNERS:</c:v>
                </c:pt>
              </c:strCache>
            </c:strRef>
          </c:cat>
          <c:val>
            <c:numRef>
              <c:f>DATA_SCENES_UNITY_1!$FW$8:$FW$9</c:f>
              <c:numCache>
                <c:formatCode>General</c:formatCode>
                <c:ptCount val="2"/>
                <c:pt idx="0">
                  <c:v>58</c:v>
                </c:pt>
                <c:pt idx="1">
                  <c:v>148</c:v>
                </c:pt>
              </c:numCache>
            </c:numRef>
          </c:val>
          <c:extLst>
            <c:ext xmlns:c16="http://schemas.microsoft.com/office/drawing/2014/chart" uri="{C3380CC4-5D6E-409C-BE32-E72D297353CC}">
              <c16:uniqueId val="{00000000-D655-475C-8BD7-5948AE06CB1E}"/>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(DATA_SCENES_UNITY_1!$EP$18,DATA_SCENES_UNITY_1!$FA$18,DATA_SCENES_UNITY_1!$FL$18,DATA_SCENES_UNITY_1!$FW$18,DATA_SCENES_UNITY_1!$GH$18)</c:f>
              <c:strCache>
                <c:ptCount val="5"/>
                <c:pt idx="0">
                  <c:v>Tree</c:v>
                </c:pt>
                <c:pt idx="1">
                  <c:v>Underground</c:v>
                </c:pt>
                <c:pt idx="2">
                  <c:v>Upper Part</c:v>
                </c:pt>
                <c:pt idx="3">
                  <c:v>Lower Part</c:v>
                </c:pt>
                <c:pt idx="4">
                  <c:v>Sky dark</c:v>
                </c:pt>
              </c:strCache>
            </c:strRef>
          </c:cat>
          <c:val>
            <c:numRef>
              <c:f>(DATA_SCENES_UNITY_1!$EP$6,DATA_SCENES_UNITY_1!$FA$6,DATA_SCENES_UNITY_1!$FL$6,DATA_SCENES_UNITY_1!$FW$6,DATA_SCENES_UNITY_1!$GH$6)</c:f>
              <c:numCache>
                <c:formatCode>General</c:formatCode>
                <c:ptCount val="5"/>
                <c:pt idx="0">
                  <c:v>43229</c:v>
                </c:pt>
                <c:pt idx="1">
                  <c:v>26324</c:v>
                </c:pt>
                <c:pt idx="2">
                  <c:v>25323</c:v>
                </c:pt>
                <c:pt idx="3">
                  <c:v>31805</c:v>
                </c:pt>
                <c:pt idx="4">
                  <c:v>6921</c:v>
                </c:pt>
              </c:numCache>
            </c:numRef>
          </c:val>
          <c:extLst>
            <c:ext xmlns:c16="http://schemas.microsoft.com/office/drawing/2014/chart" uri="{C3380CC4-5D6E-409C-BE32-E72D297353CC}">
              <c16:uniqueId val="{00000000-930A-4120-BF1A-4E2C67D06E7A}"/>
            </c:ext>
          </c:extLst>
        </c:ser>
        <c:dLbls>
          <c:showLegendKey val="0"/>
          <c:showVal val="0"/>
          <c:showCatName val="0"/>
          <c:showSerName val="0"/>
          <c:showPercent val="0"/>
          <c:showBubbleSize val="0"/>
        </c:dLbls>
        <c:gapWidth val="150"/>
        <c:axId val="87610880"/>
        <c:axId val="87612416"/>
      </c:barChart>
      <c:catAx>
        <c:axId val="87610880"/>
        <c:scaling>
          <c:orientation val="minMax"/>
        </c:scaling>
        <c:delete val="0"/>
        <c:axPos val="b"/>
        <c:numFmt formatCode="General" sourceLinked="0"/>
        <c:majorTickMark val="out"/>
        <c:minorTickMark val="none"/>
        <c:tickLblPos val="nextTo"/>
        <c:crossAx val="87612416"/>
        <c:crosses val="autoZero"/>
        <c:auto val="1"/>
        <c:lblAlgn val="ctr"/>
        <c:lblOffset val="100"/>
        <c:noMultiLvlLbl val="0"/>
      </c:catAx>
      <c:valAx>
        <c:axId val="87612416"/>
        <c:scaling>
          <c:orientation val="minMax"/>
        </c:scaling>
        <c:delete val="0"/>
        <c:axPos val="l"/>
        <c:majorGridlines/>
        <c:numFmt formatCode="General" sourceLinked="1"/>
        <c:majorTickMark val="out"/>
        <c:minorTickMark val="none"/>
        <c:tickLblPos val="nextTo"/>
        <c:crossAx val="876108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DATA_SCENES_UNITY_2!$AR$9:$AR$31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21</c:v>
                </c:pt>
                <c:pt idx="12">
                  <c:v>13</c:v>
                </c:pt>
                <c:pt idx="13">
                  <c:v>28</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0-0C68-4319-A332-4D4F07FAA8AC}"/>
            </c:ext>
          </c:extLst>
        </c:ser>
        <c:dLbls>
          <c:showLegendKey val="0"/>
          <c:showVal val="0"/>
          <c:showCatName val="0"/>
          <c:showSerName val="0"/>
          <c:showPercent val="0"/>
          <c:showBubbleSize val="0"/>
        </c:dLbls>
        <c:gapWidth val="150"/>
        <c:axId val="87904640"/>
        <c:axId val="87906176"/>
      </c:barChart>
      <c:catAx>
        <c:axId val="87904640"/>
        <c:scaling>
          <c:orientation val="minMax"/>
        </c:scaling>
        <c:delete val="0"/>
        <c:axPos val="b"/>
        <c:numFmt formatCode="General" sourceLinked="1"/>
        <c:majorTickMark val="out"/>
        <c:minorTickMark val="none"/>
        <c:tickLblPos val="nextTo"/>
        <c:crossAx val="87906176"/>
        <c:crosses val="autoZero"/>
        <c:auto val="1"/>
        <c:lblAlgn val="ctr"/>
        <c:lblOffset val="100"/>
        <c:noMultiLvlLbl val="0"/>
      </c:catAx>
      <c:valAx>
        <c:axId val="87906176"/>
        <c:scaling>
          <c:orientation val="minMax"/>
        </c:scaling>
        <c:delete val="0"/>
        <c:axPos val="l"/>
        <c:majorGridlines/>
        <c:numFmt formatCode="General" sourceLinked="1"/>
        <c:majorTickMark val="out"/>
        <c:minorTickMark val="none"/>
        <c:tickLblPos val="nextTo"/>
        <c:crossAx val="879046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DATA_SCENES_UNITY_1!$FL$5</c:f>
              <c:strCache>
                <c:ptCount val="1"/>
                <c:pt idx="0">
                  <c:v>DARKAREA/UPPERPART</c:v>
                </c:pt>
              </c:strCache>
            </c:strRef>
          </c:tx>
          <c:cat>
            <c:strRef>
              <c:f>DATA_SCENES_UNITY_1!$M$8:$M$9</c:f>
              <c:strCache>
                <c:ptCount val="2"/>
                <c:pt idx="0">
                  <c:v>ENEMY SPAWNERS:</c:v>
                </c:pt>
                <c:pt idx="1">
                  <c:v>PREY SPAWNERS:</c:v>
                </c:pt>
              </c:strCache>
            </c:strRef>
          </c:cat>
          <c:val>
            <c:numRef>
              <c:f>DATA_SCENES_UNITY_1!$FL$8:$FL$9</c:f>
              <c:numCache>
                <c:formatCode>General</c:formatCode>
                <c:ptCount val="2"/>
                <c:pt idx="0">
                  <c:v>49</c:v>
                </c:pt>
                <c:pt idx="1">
                  <c:v>106</c:v>
                </c:pt>
              </c:numCache>
            </c:numRef>
          </c:val>
          <c:extLst>
            <c:ext xmlns:c16="http://schemas.microsoft.com/office/drawing/2014/chart" uri="{C3380CC4-5D6E-409C-BE32-E72D297353CC}">
              <c16:uniqueId val="{00000000-3B5B-431F-B2DD-D08BEAA26046}"/>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"Dark"'!$D$80</c:f>
              <c:strCache>
                <c:ptCount val="1"/>
                <c:pt idx="0">
                  <c:v>TOP 5 SPAWNERS</c:v>
                </c:pt>
              </c:strCache>
            </c:strRef>
          </c:tx>
          <c:cat>
            <c:strRef>
              <c:f>'Prog. "Dark"'!$D$83:$D$88</c:f>
              <c:strCache>
                <c:ptCount val="6"/>
                <c:pt idx="0">
                  <c:v>BatSmall_Flock</c:v>
                </c:pt>
                <c:pt idx="1">
                  <c:v>StarSky</c:v>
                </c:pt>
                <c:pt idx="2">
                  <c:v>HermitCrab</c:v>
                </c:pt>
                <c:pt idx="3">
                  <c:v>Firefly</c:v>
                </c:pt>
                <c:pt idx="4">
                  <c:v>Crow_Flock</c:v>
                </c:pt>
                <c:pt idx="5">
                  <c:v>Others</c:v>
                </c:pt>
              </c:strCache>
            </c:strRef>
          </c:cat>
          <c:val>
            <c:numRef>
              <c:f>'Prog. "Dark"'!$F$83:$F$88</c:f>
              <c:numCache>
                <c:formatCode>General</c:formatCode>
                <c:ptCount val="6"/>
                <c:pt idx="0">
                  <c:v>9.69</c:v>
                </c:pt>
                <c:pt idx="1">
                  <c:v>9.15</c:v>
                </c:pt>
                <c:pt idx="2">
                  <c:v>7.25</c:v>
                </c:pt>
                <c:pt idx="3">
                  <c:v>3.89</c:v>
                </c:pt>
                <c:pt idx="4">
                  <c:v>3.8</c:v>
                </c:pt>
                <c:pt idx="5">
                  <c:v>66.22</c:v>
                </c:pt>
              </c:numCache>
            </c:numRef>
          </c:val>
          <c:extLst>
            <c:ext xmlns:c16="http://schemas.microsoft.com/office/drawing/2014/chart" uri="{C3380CC4-5D6E-409C-BE32-E72D297353CC}">
              <c16:uniqueId val="{00000000-CF6A-4F52-B757-589D9BC25E94}"/>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DATA_SCENES_UNITY_1!$GH$5</c:f>
              <c:strCache>
                <c:ptCount val="1"/>
                <c:pt idx="0">
                  <c:v>SKY DARK</c:v>
                </c:pt>
              </c:strCache>
            </c:strRef>
          </c:tx>
          <c:cat>
            <c:strRef>
              <c:f>DATA_SCENES_UNITY_1!$M$8:$M$9</c:f>
              <c:strCache>
                <c:ptCount val="2"/>
                <c:pt idx="0">
                  <c:v>ENEMY SPAWNERS:</c:v>
                </c:pt>
                <c:pt idx="1">
                  <c:v>PREY SPAWNERS:</c:v>
                </c:pt>
              </c:strCache>
            </c:strRef>
          </c:cat>
          <c:val>
            <c:numRef>
              <c:f>DATA_SCENES_UNITY_1!$GH$8:$GH$9</c:f>
              <c:numCache>
                <c:formatCode>General</c:formatCode>
                <c:ptCount val="2"/>
                <c:pt idx="0">
                  <c:v>2</c:v>
                </c:pt>
                <c:pt idx="1">
                  <c:v>131</c:v>
                </c:pt>
              </c:numCache>
            </c:numRef>
          </c:val>
          <c:extLst>
            <c:ext xmlns:c16="http://schemas.microsoft.com/office/drawing/2014/chart" uri="{C3380CC4-5D6E-409C-BE32-E72D297353CC}">
              <c16:uniqueId val="{00000000-51CB-4F68-AE44-AAEA85E684C4}"/>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chart" Target="../charts/chart21.xml"/><Relationship Id="rId7" Type="http://schemas.openxmlformats.org/officeDocument/2006/relationships/chart" Target="../charts/chart25.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11" Type="http://schemas.openxmlformats.org/officeDocument/2006/relationships/chart" Target="../charts/chart29.xml"/><Relationship Id="rId5" Type="http://schemas.openxmlformats.org/officeDocument/2006/relationships/chart" Target="../charts/chart23.xml"/><Relationship Id="rId10" Type="http://schemas.openxmlformats.org/officeDocument/2006/relationships/chart" Target="../charts/chart28.xml"/><Relationship Id="rId4" Type="http://schemas.openxmlformats.org/officeDocument/2006/relationships/chart" Target="../charts/chart22.xml"/><Relationship Id="rId9" Type="http://schemas.openxmlformats.org/officeDocument/2006/relationships/chart" Target="../charts/chart27.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7.xml"/><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6.xml.rels><?xml version="1.0" encoding="UTF-8" standalone="yes"?>
<Relationships xmlns="http://schemas.openxmlformats.org/package/2006/relationships"><Relationship Id="rId8" Type="http://schemas.openxmlformats.org/officeDocument/2006/relationships/chart" Target="../charts/chart45.xml"/><Relationship Id="rId3" Type="http://schemas.openxmlformats.org/officeDocument/2006/relationships/chart" Target="../charts/chart40.xml"/><Relationship Id="rId7" Type="http://schemas.openxmlformats.org/officeDocument/2006/relationships/chart" Target="../charts/chart44.xml"/><Relationship Id="rId2" Type="http://schemas.openxmlformats.org/officeDocument/2006/relationships/chart" Target="../charts/chart39.xml"/><Relationship Id="rId1" Type="http://schemas.openxmlformats.org/officeDocument/2006/relationships/chart" Target="../charts/chart38.xml"/><Relationship Id="rId6" Type="http://schemas.openxmlformats.org/officeDocument/2006/relationships/chart" Target="../charts/chart43.xml"/><Relationship Id="rId5" Type="http://schemas.openxmlformats.org/officeDocument/2006/relationships/chart" Target="../charts/chart42.xml"/><Relationship Id="rId4" Type="http://schemas.openxmlformats.org/officeDocument/2006/relationships/chart" Target="../charts/chart4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20</xdr:col>
      <xdr:colOff>428625</xdr:colOff>
      <xdr:row>68</xdr:row>
      <xdr:rowOff>142875</xdr:rowOff>
    </xdr:from>
    <xdr:to>
      <xdr:col>28</xdr:col>
      <xdr:colOff>209550</xdr:colOff>
      <xdr:row>74</xdr:row>
      <xdr:rowOff>142875</xdr:rowOff>
    </xdr:to>
    <xdr:sp macro="" textlink="">
      <xdr:nvSpPr>
        <xdr:cNvPr id="9" name="Rounded Rectangle 8"/>
        <xdr:cNvSpPr/>
      </xdr:nvSpPr>
      <xdr:spPr>
        <a:xfrm>
          <a:off x="1262062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Progression</a:t>
          </a:r>
        </a:p>
      </xdr:txBody>
    </xdr:sp>
    <xdr:clientData/>
  </xdr:twoCellAnchor>
  <xdr:twoCellAnchor>
    <xdr:from>
      <xdr:col>7</xdr:col>
      <xdr:colOff>0</xdr:colOff>
      <xdr:row>68</xdr:row>
      <xdr:rowOff>152400</xdr:rowOff>
    </xdr:from>
    <xdr:to>
      <xdr:col>10</xdr:col>
      <xdr:colOff>428625</xdr:colOff>
      <xdr:row>74</xdr:row>
      <xdr:rowOff>152400</xdr:rowOff>
    </xdr:to>
    <xdr:sp macro="" textlink="">
      <xdr:nvSpPr>
        <xdr:cNvPr id="2" name="Rounded Rectangle 1"/>
        <xdr:cNvSpPr/>
      </xdr:nvSpPr>
      <xdr:spPr>
        <a:xfrm>
          <a:off x="4267200" y="13201650"/>
          <a:ext cx="22574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FlyingPigs counter</a:t>
          </a:r>
        </a:p>
      </xdr:txBody>
    </xdr:sp>
    <xdr:clientData/>
  </xdr:twoCellAnchor>
  <mc:AlternateContent xmlns:mc="http://schemas.openxmlformats.org/markup-compatibility/2006">
    <mc:Choice xmlns:a14="http://schemas.microsoft.com/office/drawing/2010/main" Requires="a14">
      <xdr:twoCellAnchor editAs="oneCell">
        <xdr:from>
          <xdr:col>7</xdr:col>
          <xdr:colOff>457200</xdr:colOff>
          <xdr:row>71</xdr:row>
          <xdr:rowOff>133350</xdr:rowOff>
        </xdr:from>
        <xdr:to>
          <xdr:col>9</xdr:col>
          <xdr:colOff>485775</xdr:colOff>
          <xdr:row>73</xdr:row>
          <xdr:rowOff>76200</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485775</xdr:colOff>
      <xdr:row>68</xdr:row>
      <xdr:rowOff>142875</xdr:rowOff>
    </xdr:from>
    <xdr:to>
      <xdr:col>19</xdr:col>
      <xdr:colOff>266700</xdr:colOff>
      <xdr:row>74</xdr:row>
      <xdr:rowOff>142875</xdr:rowOff>
    </xdr:to>
    <xdr:sp macro="" textlink="">
      <xdr:nvSpPr>
        <xdr:cNvPr id="4" name="Rounded Rectangle 3"/>
        <xdr:cNvSpPr/>
      </xdr:nvSpPr>
      <xdr:spPr>
        <a:xfrm>
          <a:off x="719137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Coins counter</a:t>
          </a:r>
        </a:p>
      </xdr:txBody>
    </xdr:sp>
    <xdr:clientData/>
  </xdr:twoCellAnchor>
  <mc:AlternateContent xmlns:mc="http://schemas.openxmlformats.org/markup-compatibility/2006">
    <mc:Choice xmlns:a14="http://schemas.microsoft.com/office/drawing/2010/main" Requires="a14">
      <xdr:twoCellAnchor editAs="oneCell">
        <xdr:from>
          <xdr:col>12</xdr:col>
          <xdr:colOff>85725</xdr:colOff>
          <xdr:row>71</xdr:row>
          <xdr:rowOff>152400</xdr:rowOff>
        </xdr:from>
        <xdr:to>
          <xdr:col>14</xdr:col>
          <xdr:colOff>295275</xdr:colOff>
          <xdr:row>73</xdr:row>
          <xdr:rowOff>95250</xdr:rowOff>
        </xdr:to>
        <xdr:sp macro="" textlink="">
          <xdr:nvSpPr>
            <xdr:cNvPr id="7170" name="CommandButton2"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352425</xdr:colOff>
          <xdr:row>71</xdr:row>
          <xdr:rowOff>152400</xdr:rowOff>
        </xdr:from>
        <xdr:to>
          <xdr:col>16</xdr:col>
          <xdr:colOff>514350</xdr:colOff>
          <xdr:row>73</xdr:row>
          <xdr:rowOff>95250</xdr:rowOff>
        </xdr:to>
        <xdr:sp macro="" textlink="">
          <xdr:nvSpPr>
            <xdr:cNvPr id="7171" name="CommandButton3" hidden="1">
              <a:extLst>
                <a:ext uri="{63B3BB69-23CF-44E3-9099-C40C66FF867C}">
                  <a14:compatExt spid="_x0000_s7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571500</xdr:colOff>
          <xdr:row>71</xdr:row>
          <xdr:rowOff>152400</xdr:rowOff>
        </xdr:from>
        <xdr:to>
          <xdr:col>19</xdr:col>
          <xdr:colOff>123825</xdr:colOff>
          <xdr:row>73</xdr:row>
          <xdr:rowOff>95250</xdr:rowOff>
        </xdr:to>
        <xdr:sp macro="" textlink="">
          <xdr:nvSpPr>
            <xdr:cNvPr id="7172" name="CommandButton4"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71</xdr:row>
          <xdr:rowOff>152400</xdr:rowOff>
        </xdr:from>
        <xdr:to>
          <xdr:col>23</xdr:col>
          <xdr:colOff>200025</xdr:colOff>
          <xdr:row>73</xdr:row>
          <xdr:rowOff>95250</xdr:rowOff>
        </xdr:to>
        <xdr:sp macro="" textlink="">
          <xdr:nvSpPr>
            <xdr:cNvPr id="7173" name="CommandButton5" hidden="1">
              <a:extLst>
                <a:ext uri="{63B3BB69-23CF-44E3-9099-C40C66FF867C}">
                  <a14:compatExt spid="_x0000_s71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285750</xdr:colOff>
          <xdr:row>71</xdr:row>
          <xdr:rowOff>152400</xdr:rowOff>
        </xdr:from>
        <xdr:to>
          <xdr:col>25</xdr:col>
          <xdr:colOff>485775</xdr:colOff>
          <xdr:row>73</xdr:row>
          <xdr:rowOff>104775</xdr:rowOff>
        </xdr:to>
        <xdr:sp macro="" textlink="">
          <xdr:nvSpPr>
            <xdr:cNvPr id="7174" name="CommandButton6" hidden="1">
              <a:extLst>
                <a:ext uri="{63B3BB69-23CF-44E3-9099-C40C66FF867C}">
                  <a14:compatExt spid="_x0000_s71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542925</xdr:colOff>
          <xdr:row>71</xdr:row>
          <xdr:rowOff>152400</xdr:rowOff>
        </xdr:from>
        <xdr:to>
          <xdr:col>28</xdr:col>
          <xdr:colOff>123825</xdr:colOff>
          <xdr:row>73</xdr:row>
          <xdr:rowOff>95250</xdr:rowOff>
        </xdr:to>
        <xdr:sp macro="" textlink="">
          <xdr:nvSpPr>
            <xdr:cNvPr id="7175" name="CommandButton7" hidden="1">
              <a:extLst>
                <a:ext uri="{63B3BB69-23CF-44E3-9099-C40C66FF867C}">
                  <a14:compatExt spid="_x0000_s7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4762</xdr:colOff>
      <xdr:row>2</xdr:row>
      <xdr:rowOff>161925</xdr:rowOff>
    </xdr:from>
    <xdr:to>
      <xdr:col>20</xdr:col>
      <xdr:colOff>295275</xdr:colOff>
      <xdr:row>27</xdr:row>
      <xdr:rowOff>1</xdr:rowOff>
    </xdr:to>
    <xdr:graphicFrame macro="">
      <xdr:nvGraphicFramePr>
        <xdr:cNvPr id="2"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xdr:colOff>
      <xdr:row>159</xdr:row>
      <xdr:rowOff>71437</xdr:rowOff>
    </xdr:from>
    <xdr:to>
      <xdr:col>20</xdr:col>
      <xdr:colOff>0</xdr:colOff>
      <xdr:row>173</xdr:row>
      <xdr:rowOff>176212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604837</xdr:colOff>
      <xdr:row>195</xdr:row>
      <xdr:rowOff>61912</xdr:rowOff>
    </xdr:from>
    <xdr:to>
      <xdr:col>19</xdr:col>
      <xdr:colOff>561975</xdr:colOff>
      <xdr:row>209</xdr:row>
      <xdr:rowOff>176212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47</xdr:row>
      <xdr:rowOff>133350</xdr:rowOff>
    </xdr:from>
    <xdr:to>
      <xdr:col>20</xdr:col>
      <xdr:colOff>242888</xdr:colOff>
      <xdr:row>72</xdr:row>
      <xdr:rowOff>95251</xdr:rowOff>
    </xdr:to>
    <xdr:graphicFrame macro="">
      <xdr:nvGraphicFramePr>
        <xdr:cNvPr id="7"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180976</xdr:colOff>
      <xdr:row>47</xdr:row>
      <xdr:rowOff>123825</xdr:rowOff>
    </xdr:from>
    <xdr:to>
      <xdr:col>20</xdr:col>
      <xdr:colOff>228600</xdr:colOff>
      <xdr:row>72</xdr:row>
      <xdr:rowOff>85725</xdr:rowOff>
    </xdr:to>
    <xdr:graphicFrame macro="">
      <xdr:nvGraphicFramePr>
        <xdr:cNvPr id="8"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94</xdr:row>
      <xdr:rowOff>47625</xdr:rowOff>
    </xdr:from>
    <xdr:to>
      <xdr:col>20</xdr:col>
      <xdr:colOff>242888</xdr:colOff>
      <xdr:row>119</xdr:row>
      <xdr:rowOff>9526</xdr:rowOff>
    </xdr:to>
    <xdr:graphicFrame macro="">
      <xdr:nvGraphicFramePr>
        <xdr:cNvPr id="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0</xdr:colOff>
      <xdr:row>97</xdr:row>
      <xdr:rowOff>47625</xdr:rowOff>
    </xdr:from>
    <xdr:to>
      <xdr:col>19</xdr:col>
      <xdr:colOff>138113</xdr:colOff>
      <xdr:row>122</xdr:row>
      <xdr:rowOff>9526</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0</xdr:colOff>
      <xdr:row>86</xdr:row>
      <xdr:rowOff>142875</xdr:rowOff>
    </xdr:from>
    <xdr:to>
      <xdr:col>19</xdr:col>
      <xdr:colOff>138113</xdr:colOff>
      <xdr:row>114</xdr:row>
      <xdr:rowOff>47626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114300</xdr:colOff>
      <xdr:row>19</xdr:row>
      <xdr:rowOff>180975</xdr:rowOff>
    </xdr:from>
    <xdr:to>
      <xdr:col>7</xdr:col>
      <xdr:colOff>600075</xdr:colOff>
      <xdr:row>39</xdr:row>
      <xdr:rowOff>180975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123825</xdr:colOff>
      <xdr:row>41</xdr:row>
      <xdr:rowOff>47625</xdr:rowOff>
    </xdr:from>
    <xdr:to>
      <xdr:col>7</xdr:col>
      <xdr:colOff>609600</xdr:colOff>
      <xdr:row>64</xdr:row>
      <xdr:rowOff>9525</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12</xdr:row>
      <xdr:rowOff>28574</xdr:rowOff>
    </xdr:from>
    <xdr:to>
      <xdr:col>6</xdr:col>
      <xdr:colOff>466726</xdr:colOff>
      <xdr:row>33</xdr:row>
      <xdr:rowOff>28575</xdr:rowOff>
    </xdr:to>
    <xdr:sp macro="" textlink="">
      <xdr:nvSpPr>
        <xdr:cNvPr id="2" name="Rectangle 1"/>
        <xdr:cNvSpPr/>
      </xdr:nvSpPr>
      <xdr:spPr>
        <a:xfrm>
          <a:off x="1228725" y="2314574"/>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SCENES</a:t>
          </a:r>
        </a:p>
      </xdr:txBody>
    </xdr:sp>
    <xdr:clientData/>
  </xdr:twoCellAnchor>
  <xdr:twoCellAnchor>
    <xdr:from>
      <xdr:col>2</xdr:col>
      <xdr:colOff>342900</xdr:colOff>
      <xdr:row>17</xdr:row>
      <xdr:rowOff>19050</xdr:rowOff>
    </xdr:from>
    <xdr:to>
      <xdr:col>3</xdr:col>
      <xdr:colOff>419100</xdr:colOff>
      <xdr:row>23</xdr:row>
      <xdr:rowOff>95250</xdr:rowOff>
    </xdr:to>
    <xdr:sp macro="" textlink="">
      <xdr:nvSpPr>
        <xdr:cNvPr id="3" name="Rectangle 2"/>
        <xdr:cNvSpPr/>
      </xdr:nvSpPr>
      <xdr:spPr>
        <a:xfrm>
          <a:off x="15621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a:t>
          </a:r>
        </a:p>
      </xdr:txBody>
    </xdr:sp>
    <xdr:clientData/>
  </xdr:twoCellAnchor>
  <xdr:twoCellAnchor>
    <xdr:from>
      <xdr:col>3</xdr:col>
      <xdr:colOff>428625</xdr:colOff>
      <xdr:row>17</xdr:row>
      <xdr:rowOff>19050</xdr:rowOff>
    </xdr:from>
    <xdr:to>
      <xdr:col>4</xdr:col>
      <xdr:colOff>504825</xdr:colOff>
      <xdr:row>23</xdr:row>
      <xdr:rowOff>95250</xdr:rowOff>
    </xdr:to>
    <xdr:sp macro="" textlink="">
      <xdr:nvSpPr>
        <xdr:cNvPr id="4" name="Rectangle 3"/>
        <xdr:cNvSpPr/>
      </xdr:nvSpPr>
      <xdr:spPr>
        <a:xfrm>
          <a:off x="3638550" y="325755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VILLAGE</a:t>
          </a:r>
        </a:p>
      </xdr:txBody>
    </xdr:sp>
    <xdr:clientData/>
  </xdr:twoCellAnchor>
  <xdr:twoCellAnchor>
    <xdr:from>
      <xdr:col>4</xdr:col>
      <xdr:colOff>514350</xdr:colOff>
      <xdr:row>17</xdr:row>
      <xdr:rowOff>19050</xdr:rowOff>
    </xdr:from>
    <xdr:to>
      <xdr:col>6</xdr:col>
      <xdr:colOff>171450</xdr:colOff>
      <xdr:row>23</xdr:row>
      <xdr:rowOff>95250</xdr:rowOff>
    </xdr:to>
    <xdr:sp macro="" textlink="">
      <xdr:nvSpPr>
        <xdr:cNvPr id="5" name="Rectangle 4"/>
        <xdr:cNvSpPr/>
      </xdr:nvSpPr>
      <xdr:spPr>
        <a:xfrm>
          <a:off x="57150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CASTLE</a:t>
          </a:r>
        </a:p>
      </xdr:txBody>
    </xdr:sp>
    <xdr:clientData/>
  </xdr:twoCellAnchor>
  <xdr:twoCellAnchor>
    <xdr:from>
      <xdr:col>0</xdr:col>
      <xdr:colOff>85724</xdr:colOff>
      <xdr:row>87</xdr:row>
      <xdr:rowOff>76200</xdr:rowOff>
    </xdr:from>
    <xdr:to>
      <xdr:col>3</xdr:col>
      <xdr:colOff>1195799</xdr:colOff>
      <xdr:row>102</xdr:row>
      <xdr:rowOff>98700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87</xdr:row>
      <xdr:rowOff>76199</xdr:rowOff>
    </xdr:from>
    <xdr:to>
      <xdr:col>7</xdr:col>
      <xdr:colOff>481424</xdr:colOff>
      <xdr:row>102</xdr:row>
      <xdr:rowOff>98699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95251</xdr:colOff>
      <xdr:row>35</xdr:row>
      <xdr:rowOff>76200</xdr:rowOff>
    </xdr:from>
    <xdr:to>
      <xdr:col>9</xdr:col>
      <xdr:colOff>571500</xdr:colOff>
      <xdr:row>56</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100011</xdr:colOff>
      <xdr:row>56</xdr:row>
      <xdr:rowOff>152400</xdr:rowOff>
    </xdr:from>
    <xdr:to>
      <xdr:col>9</xdr:col>
      <xdr:colOff>571500</xdr:colOff>
      <xdr:row>82</xdr:row>
      <xdr:rowOff>76199</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971550</xdr:colOff>
      <xdr:row>57</xdr:row>
      <xdr:rowOff>95250</xdr:rowOff>
    </xdr:from>
    <xdr:to>
      <xdr:col>4</xdr:col>
      <xdr:colOff>771525</xdr:colOff>
      <xdr:row>59</xdr:row>
      <xdr:rowOff>142875</xdr:rowOff>
    </xdr:to>
    <xdr:sp macro="" textlink="">
      <xdr:nvSpPr>
        <xdr:cNvPr id="15" name="TextBox 14"/>
        <xdr:cNvSpPr txBox="1"/>
      </xdr:nvSpPr>
      <xdr:spPr>
        <a:xfrm>
          <a:off x="4181475" y="10953750"/>
          <a:ext cx="1790700" cy="428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XP PROGRESSION</a:t>
          </a:r>
        </a:p>
      </xdr:txBody>
    </xdr:sp>
    <xdr:clientData/>
  </xdr:twoCellAnchor>
  <xdr:twoCellAnchor>
    <xdr:from>
      <xdr:col>7</xdr:col>
      <xdr:colOff>495299</xdr:colOff>
      <xdr:row>87</xdr:row>
      <xdr:rowOff>76199</xdr:rowOff>
    </xdr:from>
    <xdr:to>
      <xdr:col>14</xdr:col>
      <xdr:colOff>200025</xdr:colOff>
      <xdr:row>102</xdr:row>
      <xdr:rowOff>98699</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152401</xdr:colOff>
      <xdr:row>103</xdr:row>
      <xdr:rowOff>47625</xdr:rowOff>
    </xdr:from>
    <xdr:to>
      <xdr:col>16</xdr:col>
      <xdr:colOff>571500</xdr:colOff>
      <xdr:row>127</xdr:row>
      <xdr:rowOff>85725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119061</xdr:colOff>
      <xdr:row>35</xdr:row>
      <xdr:rowOff>80961</xdr:rowOff>
    </xdr:from>
    <xdr:to>
      <xdr:col>23</xdr:col>
      <xdr:colOff>476250</xdr:colOff>
      <xdr:row>56</xdr:row>
      <xdr:rowOff>180974</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119061</xdr:colOff>
      <xdr:row>57</xdr:row>
      <xdr:rowOff>23812</xdr:rowOff>
    </xdr:from>
    <xdr:to>
      <xdr:col>23</xdr:col>
      <xdr:colOff>476249</xdr:colOff>
      <xdr:row>82</xdr:row>
      <xdr:rowOff>133350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409576</xdr:colOff>
      <xdr:row>0</xdr:row>
      <xdr:rowOff>28575</xdr:rowOff>
    </xdr:from>
    <xdr:to>
      <xdr:col>22</xdr:col>
      <xdr:colOff>142876</xdr:colOff>
      <xdr:row>23</xdr:row>
      <xdr:rowOff>171450</xdr:rowOff>
    </xdr:to>
    <xdr:sp macro="" textlink="">
      <xdr:nvSpPr>
        <xdr:cNvPr id="2" name="Rectangle 1"/>
        <xdr:cNvSpPr/>
      </xdr:nvSpPr>
      <xdr:spPr>
        <a:xfrm>
          <a:off x="8629651" y="28575"/>
          <a:ext cx="8858250" cy="452437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SP_MEDIEVAL_FINAL_VILLAGE</a:t>
          </a:r>
        </a:p>
      </xdr:txBody>
    </xdr:sp>
    <xdr:clientData/>
  </xdr:twoCellAnchor>
  <xdr:twoCellAnchor>
    <xdr:from>
      <xdr:col>11</xdr:col>
      <xdr:colOff>295275</xdr:colOff>
      <xdr:row>15</xdr:row>
      <xdr:rowOff>28575</xdr:rowOff>
    </xdr:from>
    <xdr:to>
      <xdr:col>14</xdr:col>
      <xdr:colOff>552450</xdr:colOff>
      <xdr:row>21</xdr:row>
      <xdr:rowOff>104775</xdr:rowOff>
    </xdr:to>
    <xdr:sp macro="" textlink="">
      <xdr:nvSpPr>
        <xdr:cNvPr id="3" name="Rectangle 2"/>
        <xdr:cNvSpPr/>
      </xdr:nvSpPr>
      <xdr:spPr>
        <a:xfrm>
          <a:off x="10953750" y="2886075"/>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WITCH FOREST</a:t>
          </a:r>
        </a:p>
      </xdr:txBody>
    </xdr:sp>
    <xdr:clientData/>
  </xdr:twoCellAnchor>
  <xdr:twoCellAnchor>
    <xdr:from>
      <xdr:col>14</xdr:col>
      <xdr:colOff>552450</xdr:colOff>
      <xdr:row>8</xdr:row>
      <xdr:rowOff>152400</xdr:rowOff>
    </xdr:from>
    <xdr:to>
      <xdr:col>18</xdr:col>
      <xdr:colOff>180975</xdr:colOff>
      <xdr:row>15</xdr:row>
      <xdr:rowOff>38100</xdr:rowOff>
    </xdr:to>
    <xdr:sp macro="" textlink="">
      <xdr:nvSpPr>
        <xdr:cNvPr id="4" name="Rectangle 3"/>
        <xdr:cNvSpPr/>
      </xdr:nvSpPr>
      <xdr:spPr>
        <a:xfrm>
          <a:off x="13020675" y="16764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HUMAN VILLAGE</a:t>
          </a:r>
        </a:p>
      </xdr:txBody>
    </xdr:sp>
    <xdr:clientData/>
  </xdr:twoCellAnchor>
  <xdr:twoCellAnchor>
    <xdr:from>
      <xdr:col>14</xdr:col>
      <xdr:colOff>561975</xdr:colOff>
      <xdr:row>15</xdr:row>
      <xdr:rowOff>38100</xdr:rowOff>
    </xdr:from>
    <xdr:to>
      <xdr:col>18</xdr:col>
      <xdr:colOff>190500</xdr:colOff>
      <xdr:row>21</xdr:row>
      <xdr:rowOff>114300</xdr:rowOff>
    </xdr:to>
    <xdr:sp macro="" textlink="">
      <xdr:nvSpPr>
        <xdr:cNvPr id="5" name="Rectangle 4"/>
        <xdr:cNvSpPr/>
      </xdr:nvSpPr>
      <xdr:spPr>
        <a:xfrm>
          <a:off x="13030200" y="28956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CAVE/WATERFALL</a:t>
          </a:r>
        </a:p>
      </xdr:txBody>
    </xdr:sp>
    <xdr:clientData/>
  </xdr:twoCellAnchor>
  <xdr:twoCellAnchor>
    <xdr:from>
      <xdr:col>11</xdr:col>
      <xdr:colOff>295275</xdr:colOff>
      <xdr:row>8</xdr:row>
      <xdr:rowOff>152400</xdr:rowOff>
    </xdr:from>
    <xdr:to>
      <xdr:col>14</xdr:col>
      <xdr:colOff>552450</xdr:colOff>
      <xdr:row>15</xdr:row>
      <xdr:rowOff>38100</xdr:rowOff>
    </xdr:to>
    <xdr:sp macro="" textlink="">
      <xdr:nvSpPr>
        <xdr:cNvPr id="6" name="Rectangle 5"/>
        <xdr:cNvSpPr/>
      </xdr:nvSpPr>
      <xdr:spPr>
        <a:xfrm>
          <a:off x="10953750" y="167640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GOBLIN CITY</a:t>
          </a:r>
        </a:p>
      </xdr:txBody>
    </xdr:sp>
    <xdr:clientData/>
  </xdr:twoCellAnchor>
  <xdr:twoCellAnchor>
    <xdr:from>
      <xdr:col>18</xdr:col>
      <xdr:colOff>180975</xdr:colOff>
      <xdr:row>8</xdr:row>
      <xdr:rowOff>152400</xdr:rowOff>
    </xdr:from>
    <xdr:to>
      <xdr:col>21</xdr:col>
      <xdr:colOff>419100</xdr:colOff>
      <xdr:row>15</xdr:row>
      <xdr:rowOff>38100</xdr:rowOff>
    </xdr:to>
    <xdr:sp macro="" textlink="">
      <xdr:nvSpPr>
        <xdr:cNvPr id="7" name="Rectangle 6"/>
        <xdr:cNvSpPr/>
      </xdr:nvSpPr>
      <xdr:spPr>
        <a:xfrm>
          <a:off x="15087600" y="1676400"/>
          <a:ext cx="2066925" cy="1219200"/>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FOREST</a:t>
          </a:r>
        </a:p>
      </xdr:txBody>
    </xdr:sp>
    <xdr:clientData/>
  </xdr:twoCellAnchor>
  <xdr:twoCellAnchor>
    <xdr:from>
      <xdr:col>7</xdr:col>
      <xdr:colOff>495301</xdr:colOff>
      <xdr:row>59</xdr:row>
      <xdr:rowOff>133349</xdr:rowOff>
    </xdr:from>
    <xdr:to>
      <xdr:col>14</xdr:col>
      <xdr:colOff>495301</xdr:colOff>
      <xdr:row>73</xdr:row>
      <xdr:rowOff>85724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1266825</xdr:colOff>
      <xdr:row>45</xdr:row>
      <xdr:rowOff>114300</xdr:rowOff>
    </xdr:from>
    <xdr:to>
      <xdr:col>7</xdr:col>
      <xdr:colOff>500062</xdr:colOff>
      <xdr:row>59</xdr:row>
      <xdr:rowOff>161925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1257301</xdr:colOff>
      <xdr:row>59</xdr:row>
      <xdr:rowOff>133349</xdr:rowOff>
    </xdr:from>
    <xdr:to>
      <xdr:col>7</xdr:col>
      <xdr:colOff>495301</xdr:colOff>
      <xdr:row>73</xdr:row>
      <xdr:rowOff>85724</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485775</xdr:colOff>
      <xdr:row>45</xdr:row>
      <xdr:rowOff>85725</xdr:rowOff>
    </xdr:from>
    <xdr:to>
      <xdr:col>14</xdr:col>
      <xdr:colOff>481012</xdr:colOff>
      <xdr:row>59</xdr:row>
      <xdr:rowOff>133350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257176</xdr:colOff>
      <xdr:row>73</xdr:row>
      <xdr:rowOff>76199</xdr:rowOff>
    </xdr:from>
    <xdr:to>
      <xdr:col>3</xdr:col>
      <xdr:colOff>1291651</xdr:colOff>
      <xdr:row>87</xdr:row>
      <xdr:rowOff>28574</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76200</xdr:colOff>
      <xdr:row>15</xdr:row>
      <xdr:rowOff>28575</xdr:rowOff>
    </xdr:from>
    <xdr:to>
      <xdr:col>11</xdr:col>
      <xdr:colOff>314325</xdr:colOff>
      <xdr:row>21</xdr:row>
      <xdr:rowOff>104775</xdr:rowOff>
    </xdr:to>
    <xdr:sp macro="" textlink="">
      <xdr:nvSpPr>
        <xdr:cNvPr id="19" name="Rectangle 18"/>
        <xdr:cNvSpPr/>
      </xdr:nvSpPr>
      <xdr:spPr>
        <a:xfrm>
          <a:off x="8905875" y="2886075"/>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BIG CAVES</a:t>
          </a:r>
        </a:p>
      </xdr:txBody>
    </xdr:sp>
    <xdr:clientData/>
  </xdr:twoCellAnchor>
  <xdr:twoCellAnchor>
    <xdr:from>
      <xdr:col>7</xdr:col>
      <xdr:colOff>276224</xdr:colOff>
      <xdr:row>24</xdr:row>
      <xdr:rowOff>38099</xdr:rowOff>
    </xdr:from>
    <xdr:to>
      <xdr:col>21</xdr:col>
      <xdr:colOff>380999</xdr:colOff>
      <xdr:row>45</xdr:row>
      <xdr:rowOff>114300</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257176</xdr:colOff>
      <xdr:row>24</xdr:row>
      <xdr:rowOff>38100</xdr:rowOff>
    </xdr:from>
    <xdr:to>
      <xdr:col>7</xdr:col>
      <xdr:colOff>276225</xdr:colOff>
      <xdr:row>45</xdr:row>
      <xdr:rowOff>112800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257175</xdr:colOff>
      <xdr:row>45</xdr:row>
      <xdr:rowOff>114300</xdr:rowOff>
    </xdr:from>
    <xdr:to>
      <xdr:col>3</xdr:col>
      <xdr:colOff>1290637</xdr:colOff>
      <xdr:row>59</xdr:row>
      <xdr:rowOff>152400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257175</xdr:colOff>
      <xdr:row>59</xdr:row>
      <xdr:rowOff>142875</xdr:rowOff>
    </xdr:from>
    <xdr:to>
      <xdr:col>3</xdr:col>
      <xdr:colOff>1290637</xdr:colOff>
      <xdr:row>73</xdr:row>
      <xdr:rowOff>76200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93</xdr:row>
      <xdr:rowOff>0</xdr:rowOff>
    </xdr:from>
    <xdr:to>
      <xdr:col>19</xdr:col>
      <xdr:colOff>352424</xdr:colOff>
      <xdr:row>117</xdr:row>
      <xdr:rowOff>38100</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295275</xdr:colOff>
      <xdr:row>2</xdr:row>
      <xdr:rowOff>76200</xdr:rowOff>
    </xdr:from>
    <xdr:to>
      <xdr:col>21</xdr:col>
      <xdr:colOff>428625</xdr:colOff>
      <xdr:row>8</xdr:row>
      <xdr:rowOff>152400</xdr:rowOff>
    </xdr:to>
    <xdr:sp macro="" textlink="">
      <xdr:nvSpPr>
        <xdr:cNvPr id="21" name="Rectangle 20"/>
        <xdr:cNvSpPr/>
      </xdr:nvSpPr>
      <xdr:spPr>
        <a:xfrm>
          <a:off x="10953750" y="457200"/>
          <a:ext cx="6210300"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xdr:txBody>
    </xdr:sp>
    <xdr:clientData/>
  </xdr:twoCellAnchor>
  <xdr:twoCellAnchor>
    <xdr:from>
      <xdr:col>3</xdr:col>
      <xdr:colOff>1285875</xdr:colOff>
      <xdr:row>73</xdr:row>
      <xdr:rowOff>76200</xdr:rowOff>
    </xdr:from>
    <xdr:to>
      <xdr:col>7</xdr:col>
      <xdr:colOff>520125</xdr:colOff>
      <xdr:row>87</xdr:row>
      <xdr:rowOff>28575</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SP_MEDIEVAL_FINAL_CASTLE</a:t>
          </a:r>
        </a:p>
      </xdr:txBody>
    </xdr:sp>
    <xdr:clientData/>
  </xdr:twoCellAnchor>
  <xdr:twoCellAnchor>
    <xdr:from>
      <xdr:col>8</xdr:col>
      <xdr:colOff>590550</xdr:colOff>
      <xdr:row>12</xdr:row>
      <xdr:rowOff>133349</xdr:rowOff>
    </xdr:from>
    <xdr:to>
      <xdr:col>12</xdr:col>
      <xdr:colOff>219075</xdr:colOff>
      <xdr:row>17</xdr:row>
      <xdr:rowOff>85724</xdr:rowOff>
    </xdr:to>
    <xdr:sp macro="" textlink="">
      <xdr:nvSpPr>
        <xdr:cNvPr id="3" name="Rectangle 2"/>
        <xdr:cNvSpPr/>
      </xdr:nvSpPr>
      <xdr:spPr>
        <a:xfrm>
          <a:off x="9420225"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CAVES02</a:t>
          </a:r>
        </a:p>
      </xdr:txBody>
    </xdr:sp>
    <xdr:clientData/>
  </xdr:twoCellAnchor>
  <xdr:twoCellAnchor>
    <xdr:from>
      <xdr:col>12</xdr:col>
      <xdr:colOff>228600</xdr:colOff>
      <xdr:row>8</xdr:row>
      <xdr:rowOff>9525</xdr:rowOff>
    </xdr:from>
    <xdr:to>
      <xdr:col>15</xdr:col>
      <xdr:colOff>485775</xdr:colOff>
      <xdr:row>12</xdr:row>
      <xdr:rowOff>123825</xdr:rowOff>
    </xdr:to>
    <xdr:sp macro="" textlink="">
      <xdr:nvSpPr>
        <xdr:cNvPr id="4" name="Rectangle 3"/>
        <xdr:cNvSpPr/>
      </xdr:nvSpPr>
      <xdr:spPr>
        <a:xfrm>
          <a:off x="11496675" y="1533525"/>
          <a:ext cx="2066925" cy="8763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MARKET</a:t>
          </a:r>
        </a:p>
      </xdr:txBody>
    </xdr:sp>
    <xdr:clientData/>
  </xdr:twoCellAnchor>
  <xdr:twoCellAnchor>
    <xdr:from>
      <xdr:col>12</xdr:col>
      <xdr:colOff>238125</xdr:colOff>
      <xdr:row>12</xdr:row>
      <xdr:rowOff>133349</xdr:rowOff>
    </xdr:from>
    <xdr:to>
      <xdr:col>15</xdr:col>
      <xdr:colOff>495300</xdr:colOff>
      <xdr:row>17</xdr:row>
      <xdr:rowOff>85724</xdr:rowOff>
    </xdr:to>
    <xdr:sp macro="" textlink="">
      <xdr:nvSpPr>
        <xdr:cNvPr id="6" name="Rectangle 5"/>
        <xdr:cNvSpPr/>
      </xdr:nvSpPr>
      <xdr:spPr>
        <a:xfrm>
          <a:off x="11506200"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CAVES01</a:t>
          </a:r>
        </a:p>
      </xdr:txBody>
    </xdr:sp>
    <xdr:clientData/>
  </xdr:twoCellAnchor>
  <xdr:twoCellAnchor>
    <xdr:from>
      <xdr:col>8</xdr:col>
      <xdr:colOff>590551</xdr:colOff>
      <xdr:row>17</xdr:row>
      <xdr:rowOff>104774</xdr:rowOff>
    </xdr:from>
    <xdr:to>
      <xdr:col>15</xdr:col>
      <xdr:colOff>495301</xdr:colOff>
      <xdr:row>21</xdr:row>
      <xdr:rowOff>171449</xdr:rowOff>
    </xdr:to>
    <xdr:sp macro="" textlink="">
      <xdr:nvSpPr>
        <xdr:cNvPr id="7" name="Rectangle 6"/>
        <xdr:cNvSpPr/>
      </xdr:nvSpPr>
      <xdr:spPr>
        <a:xfrm>
          <a:off x="9420226" y="3343274"/>
          <a:ext cx="4152900" cy="828675"/>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MINES</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238125</xdr:colOff>
      <xdr:row>24</xdr:row>
      <xdr:rowOff>38100</xdr:rowOff>
    </xdr:from>
    <xdr:to>
      <xdr:col>7</xdr:col>
      <xdr:colOff>419099</xdr:colOff>
      <xdr:row>45</xdr:row>
      <xdr:rowOff>112800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419099</xdr:colOff>
      <xdr:row>24</xdr:row>
      <xdr:rowOff>38099</xdr:rowOff>
    </xdr:from>
    <xdr:to>
      <xdr:col>21</xdr:col>
      <xdr:colOff>523874</xdr:colOff>
      <xdr:row>45</xdr:row>
      <xdr:rowOff>114300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80</xdr:row>
      <xdr:rowOff>0</xdr:rowOff>
    </xdr:from>
    <xdr:to>
      <xdr:col>19</xdr:col>
      <xdr:colOff>352424</xdr:colOff>
      <xdr:row>104</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228599</xdr:colOff>
      <xdr:row>3</xdr:row>
      <xdr:rowOff>47624</xdr:rowOff>
    </xdr:from>
    <xdr:to>
      <xdr:col>15</xdr:col>
      <xdr:colOff>485774</xdr:colOff>
      <xdr:row>7</xdr:row>
      <xdr:rowOff>190499</xdr:rowOff>
    </xdr:to>
    <xdr:sp macro="" textlink="">
      <xdr:nvSpPr>
        <xdr:cNvPr id="16" name="Rectangle 15"/>
        <xdr:cNvSpPr/>
      </xdr:nvSpPr>
      <xdr:spPr>
        <a:xfrm>
          <a:off x="11496674" y="619124"/>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SPACE</a:t>
          </a:r>
        </a:p>
      </xdr:txBody>
    </xdr:sp>
    <xdr:clientData/>
  </xdr:twoCellAnchor>
  <xdr:twoCellAnchor>
    <xdr:from>
      <xdr:col>0</xdr:col>
      <xdr:colOff>76200</xdr:colOff>
      <xdr:row>61</xdr:row>
      <xdr:rowOff>57150</xdr:rowOff>
    </xdr:from>
    <xdr:to>
      <xdr:col>3</xdr:col>
      <xdr:colOff>1186275</xdr:colOff>
      <xdr:row>76</xdr:row>
      <xdr:rowOff>79650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SP_MEDIEVAL_FINAL_DARK</a:t>
          </a:r>
        </a:p>
      </xdr:txBody>
    </xdr:sp>
    <xdr:clientData/>
  </xdr:twoCellAnchor>
  <xdr:twoCellAnchor>
    <xdr:from>
      <xdr:col>10</xdr:col>
      <xdr:colOff>390525</xdr:colOff>
      <xdr:row>17</xdr:row>
      <xdr:rowOff>38100</xdr:rowOff>
    </xdr:from>
    <xdr:to>
      <xdr:col>14</xdr:col>
      <xdr:colOff>38100</xdr:colOff>
      <xdr:row>21</xdr:row>
      <xdr:rowOff>152400</xdr:rowOff>
    </xdr:to>
    <xdr:sp macro="" textlink="">
      <xdr:nvSpPr>
        <xdr:cNvPr id="3" name="Rectangle 2"/>
        <xdr:cNvSpPr/>
      </xdr:nvSpPr>
      <xdr:spPr>
        <a:xfrm>
          <a:off x="10439400" y="3276600"/>
          <a:ext cx="2066925" cy="876300"/>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DARK01</a:t>
          </a:r>
        </a:p>
      </xdr:txBody>
    </xdr:sp>
    <xdr:clientData/>
  </xdr:twoCellAnchor>
  <xdr:twoCellAnchor>
    <xdr:from>
      <xdr:col>12</xdr:col>
      <xdr:colOff>238125</xdr:colOff>
      <xdr:row>8</xdr:row>
      <xdr:rowOff>76200</xdr:rowOff>
    </xdr:from>
    <xdr:to>
      <xdr:col>15</xdr:col>
      <xdr:colOff>495300</xdr:colOff>
      <xdr:row>12</xdr:row>
      <xdr:rowOff>133350</xdr:rowOff>
    </xdr:to>
    <xdr:sp macro="" textlink="">
      <xdr:nvSpPr>
        <xdr:cNvPr id="4" name="Rectangle 3"/>
        <xdr:cNvSpPr/>
      </xdr:nvSpPr>
      <xdr:spPr>
        <a:xfrm>
          <a:off x="11506200" y="1600200"/>
          <a:ext cx="2066925" cy="81915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TREE</a:t>
          </a:r>
        </a:p>
      </xdr:txBody>
    </xdr:sp>
    <xdr:clientData/>
  </xdr:twoCellAnchor>
  <xdr:twoCellAnchor>
    <xdr:from>
      <xdr:col>12</xdr:col>
      <xdr:colOff>238125</xdr:colOff>
      <xdr:row>12</xdr:row>
      <xdr:rowOff>133350</xdr:rowOff>
    </xdr:from>
    <xdr:to>
      <xdr:col>15</xdr:col>
      <xdr:colOff>495300</xdr:colOff>
      <xdr:row>17</xdr:row>
      <xdr:rowOff>38100</xdr:rowOff>
    </xdr:to>
    <xdr:sp macro="" textlink="">
      <xdr:nvSpPr>
        <xdr:cNvPr id="5" name="Rectangle 4"/>
        <xdr:cNvSpPr/>
      </xdr:nvSpPr>
      <xdr:spPr>
        <a:xfrm>
          <a:off x="11506200" y="24193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UNDERGROUND</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238126</xdr:colOff>
      <xdr:row>24</xdr:row>
      <xdr:rowOff>38100</xdr:rowOff>
    </xdr:from>
    <xdr:to>
      <xdr:col>7</xdr:col>
      <xdr:colOff>257175</xdr:colOff>
      <xdr:row>45</xdr:row>
      <xdr:rowOff>112800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180974</xdr:colOff>
      <xdr:row>24</xdr:row>
      <xdr:rowOff>38099</xdr:rowOff>
    </xdr:from>
    <xdr:to>
      <xdr:col>22</xdr:col>
      <xdr:colOff>285749</xdr:colOff>
      <xdr:row>45</xdr:row>
      <xdr:rowOff>114300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47625</xdr:colOff>
      <xdr:row>17</xdr:row>
      <xdr:rowOff>38100</xdr:rowOff>
    </xdr:from>
    <xdr:to>
      <xdr:col>17</xdr:col>
      <xdr:colOff>285750</xdr:colOff>
      <xdr:row>21</xdr:row>
      <xdr:rowOff>152400</xdr:rowOff>
    </xdr:to>
    <xdr:sp macro="" textlink="">
      <xdr:nvSpPr>
        <xdr:cNvPr id="13" name="Rectangle 12"/>
        <xdr:cNvSpPr/>
      </xdr:nvSpPr>
      <xdr:spPr>
        <a:xfrm>
          <a:off x="12515850" y="3276600"/>
          <a:ext cx="2066925" cy="876300"/>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DARK02</a:t>
          </a:r>
        </a:p>
      </xdr:txBody>
    </xdr:sp>
    <xdr:clientData/>
  </xdr:twoCellAnchor>
  <xdr:twoCellAnchor>
    <xdr:from>
      <xdr:col>7</xdr:col>
      <xdr:colOff>0</xdr:colOff>
      <xdr:row>81</xdr:row>
      <xdr:rowOff>0</xdr:rowOff>
    </xdr:from>
    <xdr:to>
      <xdr:col>19</xdr:col>
      <xdr:colOff>352424</xdr:colOff>
      <xdr:row>105</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238125</xdr:colOff>
      <xdr:row>3</xdr:row>
      <xdr:rowOff>171450</xdr:rowOff>
    </xdr:from>
    <xdr:to>
      <xdr:col>15</xdr:col>
      <xdr:colOff>495300</xdr:colOff>
      <xdr:row>8</xdr:row>
      <xdr:rowOff>76200</xdr:rowOff>
    </xdr:to>
    <xdr:sp macro="" textlink="">
      <xdr:nvSpPr>
        <xdr:cNvPr id="15" name="Rectangle 14"/>
        <xdr:cNvSpPr/>
      </xdr:nvSpPr>
      <xdr:spPr>
        <a:xfrm>
          <a:off x="11506200" y="7429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a:p>
          <a:pPr marL="0" indent="0" algn="l"/>
          <a:endParaRPr lang="en-US" sz="1100" b="1">
            <a:solidFill>
              <a:schemeClr val="lt1"/>
            </a:solidFill>
            <a:latin typeface="+mn-lt"/>
            <a:ea typeface="+mn-ea"/>
            <a:cs typeface="+mn-cs"/>
          </a:endParaRPr>
        </a:p>
      </xdr:txBody>
    </xdr:sp>
    <xdr:clientData/>
  </xdr:twoCellAnchor>
  <xdr:twoCellAnchor>
    <xdr:from>
      <xdr:col>0</xdr:col>
      <xdr:colOff>76200</xdr:colOff>
      <xdr:row>61</xdr:row>
      <xdr:rowOff>47625</xdr:rowOff>
    </xdr:from>
    <xdr:to>
      <xdr:col>3</xdr:col>
      <xdr:colOff>1186275</xdr:colOff>
      <xdr:row>76</xdr:row>
      <xdr:rowOff>70125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se Camacho" refreshedDate="43774.627021875" createdVersion="6" refreshedVersion="6" minRefreshableVersion="3" recordCount="164">
  <cacheSource type="worksheet">
    <worksheetSource name="Table1"/>
  </cacheSource>
  <cacheFields count="19">
    <cacheField name="Spawner Prefab" numFmtId="0">
      <sharedItems/>
    </cacheField>
    <cacheField name="Content Sku" numFmtId="0">
      <sharedItems/>
    </cacheField>
    <cacheField name="Entity Prefab" numFmtId="0">
      <sharedItems/>
    </cacheField>
    <cacheField name="Respawn Min" numFmtId="0">
      <sharedItems containsSemiMixedTypes="0" containsString="0" containsNumber="1" containsInteger="1" minValue="80" maxValue="5000"/>
    </cacheField>
    <cacheField name="Respawn Max" numFmtId="0">
      <sharedItems containsSemiMixedTypes="0" containsString="0" containsNumber="1" containsInteger="1" minValue="80" maxValue="5000"/>
    </cacheField>
    <cacheField name="HP Given" numFmtId="0">
      <sharedItems containsBlank="1" containsMixedTypes="1" containsNumber="1" containsInteger="1" minValue="-10" maxValue="400"/>
    </cacheField>
    <cacheField name="XP Given" numFmtId="0">
      <sharedItems containsBlank="1" containsMixedTypes="1" containsNumber="1" containsInteger="1" minValue="0" maxValue="263"/>
    </cacheField>
    <cacheField name="Edible Tier" numFmtId="0">
      <sharedItems containsBlank="1"/>
    </cacheField>
    <cacheField name="BurnableTier" numFmtId="0">
      <sharedItems containsBlank="1" containsMixedTypes="1" containsNumber="1" containsInteger="1" minValue="0" maxValue="5"/>
    </cacheField>
    <cacheField name="Damage" numFmtId="0">
      <sharedItems containsBlank="1" containsMixedTypes="1" containsNumber="1" containsInteger="1" minValue="2" maxValue="350"/>
    </cacheField>
    <cacheField name="Total in &quot;Village&quot; scene" numFmtId="0">
      <sharedItems containsSemiMixedTypes="0" containsString="0" containsNumber="1" containsInteger="1" minValue="0" maxValue="254"/>
    </cacheField>
    <cacheField name="Percentage1" numFmtId="0">
      <sharedItems containsSemiMixedTypes="0" containsString="0" containsNumber="1" minValue="0" maxValue="9.9"/>
    </cacheField>
    <cacheField name="Total in &quot;Castle&quot; scene" numFmtId="0">
      <sharedItems containsSemiMixedTypes="0" containsString="0" containsNumber="1" containsInteger="1" minValue="0" maxValue="186"/>
    </cacheField>
    <cacheField name="Percentage2" numFmtId="0">
      <sharedItems containsSemiMixedTypes="0" containsString="0" containsNumber="1" minValue="0" maxValue="9"/>
    </cacheField>
    <cacheField name="Total in &quot;Dark&quot; scene" numFmtId="0">
      <sharedItems containsSemiMixedTypes="0" containsString="0" containsNumber="1" containsInteger="1" minValue="0" maxValue="107"/>
    </cacheField>
    <cacheField name="Percentage3" numFmtId="0">
      <sharedItems containsSemiMixedTypes="0" containsString="0" containsNumber="1" minValue="0" maxValue="9.6999999999999993"/>
    </cacheField>
    <cacheField name="Total in the game" numFmtId="0">
      <sharedItems containsSemiMixedTypes="0" containsString="0" containsNumber="1" containsInteger="1" minValue="0" maxValue="474"/>
    </cacheField>
    <cacheField name="Percentage4" numFmtId="0">
      <sharedItems containsSemiMixedTypes="0" containsString="0" containsNumber="1" minValue="0" maxValue="8.3000000000000007"/>
    </cacheField>
    <cacheField name="Pivot Column" numFmtId="0">
      <sharedItems count="122">
        <s v="Archer"/>
        <s v="BadFarmer"/>
        <s v="BadJunk"/>
        <s v="BadWitch"/>
        <s v="BakerWoman"/>
        <s v="BatBig_Flock"/>
        <s v="BatSmall_Flock"/>
        <s v="BoatFisher"/>
        <s v="Bomber"/>
        <s v="Butterfly"/>
        <s v="-"/>
        <s v="Canary"/>
        <s v="CarnivorousPlant"/>
        <s v="CentipedeBlue"/>
        <s v="CentipedeRed"/>
        <s v="Cow"/>
        <s v="Crocodile"/>
        <s v="Crow_Flock"/>
        <s v="Driller"/>
        <s v="EnemyTier0"/>
        <s v="EnemyTier1"/>
        <s v="EnemyTier2"/>
        <s v="EnemyTier3"/>
        <s v="EnemyTier4"/>
        <s v="EnemyTier5"/>
        <s v="Fairy"/>
        <s v="Firefly"/>
        <s v="Fish"/>
        <s v="FlyingBunny"/>
        <s v="FlyingPig"/>
        <s v="Ghost01"/>
        <s v="Ghost02"/>
        <s v="Ghost03"/>
        <s v="GoblinBoat"/>
        <s v="GoblinDrone"/>
        <s v="GoblinDroneFood"/>
        <s v="GoblinWarMachine"/>
        <s v="Boost"/>
        <s v="GoodJunkBottle"/>
        <s v="GoodJunkRandomCoins"/>
        <s v="Ring"/>
        <s v="RouletteCoins"/>
        <s v="GoodJunkScore"/>
        <s v="StarSky"/>
        <s v="GoodWitch"/>
        <s v="Guardian"/>
        <s v="Hawk"/>
        <s v="HermitCrab"/>
        <s v="Horse"/>
        <s v="JellyfishBlue"/>
        <s v="JellyfishRed"/>
        <s v="Kamikaze"/>
        <s v="LionBird"/>
        <s v="MexicanPepper"/>
        <s v="MineBig"/>
        <s v="MineMedium"/>
        <s v="Miner"/>
        <s v="MineSmall"/>
        <s v="Mushroom"/>
        <s v="Owl"/>
        <s v="Piranha"/>
        <s v="PufferBird"/>
        <s v="Rat"/>
        <s v="Razorback"/>
        <s v="RichMan"/>
        <s v="Scarab"/>
        <s v="Shark"/>
        <s v="Sheep"/>
        <s v="ShieldMan"/>
        <s v="Slime"/>
        <s v="SlimePoison"/>
        <s v="SnailUnka"/>
        <s v="Soldier"/>
        <s v="Spartakus"/>
        <s v="SpiderGreenTurret"/>
        <s v="SpiderRed"/>
        <s v="SpiderSmall"/>
        <s v="Starling_Flock"/>
        <s v="Stingray"/>
        <s v="Troll"/>
        <s v="Villager"/>
        <s v="Unka"/>
        <s v="Vulture"/>
        <s v="Witch"/>
        <s v="Worker"/>
        <s v="WorkerSpace"/>
        <s v="MushroomPrey" u="1"/>
        <s v="OwlBig" u="1"/>
        <s v="Random" u="1"/>
        <s v="HermitCrabBlue" u="1"/>
        <s v="PiranhaDark" u="1"/>
        <s v="HermitCrabRedTurret" u="1"/>
        <s v="Tubeman" u="1"/>
        <s v="OwlWhite" u="1"/>
        <s v="WorkerA" u="1"/>
        <s v="HangingCage" u="1"/>
        <s v="HermitCrabBlueBig" u="1"/>
        <s v="Cage" u="1"/>
        <s v="StingraySmall" u="1"/>
        <s v="Archer01" u="1"/>
        <s v="RatGrey" u="1"/>
        <s v="DrunkenMan" u="1"/>
        <s v="ButterflyEgg" u="1"/>
        <s v="FlyingTicket" u="1"/>
        <s v="HermitCrabBlueSmall" u="1"/>
        <s v="Crocodile Evade" u="1"/>
        <s v="EnemyDragon" u="1"/>
        <s v="Star" u="1"/>
        <s v="Fish01_Generic" u="1"/>
        <s v="EnemyTier" u="1"/>
        <s v="CarnivorousPlantDark" u="1"/>
        <s v="Mine" u="1"/>
        <s v="FairySmall" u="1"/>
        <s v="GoodWitch02" u="1"/>
        <s v="Archer02" u="1"/>
        <s v="RazorbackBaby" u="1"/>
        <s v="HermitCrabBlueSmallTurret" u="1"/>
        <s v="FairyBig" u="1"/>
        <s v="StingrayLarge" u="1"/>
        <s v="Roulette" u="1"/>
        <s v="Crow" u="1"/>
        <s v="Ghost"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4">
  <r>
    <s v="SP_Archer01"/>
    <s v="Archer01"/>
    <s v="PF_Archer01"/>
    <n v="280"/>
    <n v="280"/>
    <n v="20"/>
    <n v="75"/>
    <s v="-"/>
    <n v="0"/>
    <n v="10"/>
    <n v="18"/>
    <n v="0.7"/>
    <n v="0"/>
    <n v="0"/>
    <n v="0"/>
    <n v="0"/>
    <n v="18"/>
    <n v="0.3"/>
    <x v="0"/>
  </r>
  <r>
    <s v="SP_Archer01_Static"/>
    <s v="Archer01"/>
    <s v="PF_Archer01_Static"/>
    <n v="280"/>
    <n v="280"/>
    <n v="20"/>
    <n v="75"/>
    <s v="-"/>
    <n v="0"/>
    <n v="10"/>
    <n v="17"/>
    <n v="0.7"/>
    <n v="0"/>
    <n v="0"/>
    <n v="0"/>
    <n v="0"/>
    <n v="17"/>
    <n v="0.3"/>
    <x v="0"/>
  </r>
  <r>
    <s v="SP_Archer02"/>
    <s v="Archer02"/>
    <s v="PF_Archer02"/>
    <n v="300"/>
    <n v="300"/>
    <n v="23"/>
    <n v="77"/>
    <s v="-"/>
    <n v="0"/>
    <n v="16"/>
    <n v="0"/>
    <n v="0"/>
    <n v="4"/>
    <n v="0.2"/>
    <n v="0"/>
    <n v="0"/>
    <n v="4"/>
    <n v="0.1"/>
    <x v="0"/>
  </r>
  <r>
    <s v="SP_Archer02_Static"/>
    <s v="Archer02"/>
    <s v="PF_Archer02_Static"/>
    <n v="300"/>
    <n v="300"/>
    <n v="23"/>
    <n v="77"/>
    <s v="-"/>
    <n v="0"/>
    <n v="16"/>
    <n v="0"/>
    <n v="0"/>
    <n v="39"/>
    <n v="1.9"/>
    <n v="0"/>
    <n v="0"/>
    <n v="39"/>
    <n v="0.7"/>
    <x v="0"/>
  </r>
  <r>
    <s v="SP_BadFarmer"/>
    <s v="BadFarmer"/>
    <s v="PF_BadFarmer"/>
    <n v="310"/>
    <n v="310"/>
    <n v="50"/>
    <n v="55"/>
    <s v="-"/>
    <n v="1"/>
    <n v="15"/>
    <n v="12"/>
    <n v="0.5"/>
    <n v="0"/>
    <n v="0"/>
    <n v="0"/>
    <n v="0"/>
    <n v="12"/>
    <n v="0.2"/>
    <x v="1"/>
  </r>
  <r>
    <s v="SP_BadFarmer_Static"/>
    <s v="BadFarmer"/>
    <s v="PF_BadFarmer_Static"/>
    <n v="310"/>
    <n v="310"/>
    <n v="50"/>
    <n v="55"/>
    <s v="-"/>
    <n v="1"/>
    <n v="15"/>
    <n v="3"/>
    <n v="0.1"/>
    <n v="0"/>
    <n v="0"/>
    <n v="0"/>
    <n v="0"/>
    <n v="3"/>
    <n v="0.1"/>
    <x v="1"/>
  </r>
  <r>
    <s v="SP_BadJunk"/>
    <s v="BadJunk"/>
    <s v="PF_BadJunkBone"/>
    <n v="200"/>
    <n v="200"/>
    <n v="-10"/>
    <n v="0"/>
    <s v="-"/>
    <n v="0"/>
    <s v="-"/>
    <n v="45"/>
    <n v="1.8"/>
    <n v="35"/>
    <n v="1.7"/>
    <n v="6"/>
    <n v="0.5"/>
    <n v="86"/>
    <n v="1.5"/>
    <x v="2"/>
  </r>
  <r>
    <s v="SP_BadWitch"/>
    <s v="BadWitch"/>
    <s v="PF_WitchBad"/>
    <n v="280"/>
    <n v="280"/>
    <n v="20"/>
    <n v="50"/>
    <s v="-"/>
    <n v="0"/>
    <n v="10"/>
    <n v="1"/>
    <n v="0"/>
    <n v="0"/>
    <n v="0"/>
    <n v="8"/>
    <n v="0.7"/>
    <n v="9"/>
    <n v="0.2"/>
    <x v="3"/>
  </r>
  <r>
    <s v="SP_BakerWoman"/>
    <s v="BakerWoman"/>
    <s v="PF_BakerWoman"/>
    <n v="200"/>
    <n v="200"/>
    <n v="20"/>
    <n v="50"/>
    <s v="-"/>
    <n v="0"/>
    <s v="-"/>
    <n v="5"/>
    <n v="0.2"/>
    <n v="0"/>
    <n v="0"/>
    <n v="0"/>
    <n v="0"/>
    <n v="5"/>
    <n v="0.1"/>
    <x v="4"/>
  </r>
  <r>
    <s v="SP_BatBig_Flock"/>
    <s v="BatBig_Flock"/>
    <s v="PF_BatBig_Flock"/>
    <n v="260"/>
    <n v="260"/>
    <n v="5"/>
    <n v="55"/>
    <s v="-"/>
    <n v="1"/>
    <n v="8"/>
    <n v="28"/>
    <n v="1.1000000000000001"/>
    <n v="30"/>
    <n v="1.4"/>
    <n v="16"/>
    <n v="1.4"/>
    <n v="74"/>
    <n v="1.3"/>
    <x v="5"/>
  </r>
  <r>
    <s v="SP_BatSmall01_Flock"/>
    <s v="BatSmall_Flock"/>
    <s v="PF_BatSmall01_Flock"/>
    <n v="280"/>
    <n v="280"/>
    <n v="2"/>
    <n v="25"/>
    <s v="-"/>
    <n v="0"/>
    <s v="-"/>
    <n v="41"/>
    <n v="1.6"/>
    <n v="131"/>
    <n v="6.3"/>
    <n v="107"/>
    <n v="9.6999999999999993"/>
    <n v="279"/>
    <n v="4.9000000000000004"/>
    <x v="6"/>
  </r>
  <r>
    <s v="SP_BatSmall02_Flock"/>
    <s v="BatSmall_Flock"/>
    <s v="PF_BatSmall02_Flock"/>
    <n v="5000"/>
    <n v="5000"/>
    <n v="2"/>
    <n v="25"/>
    <s v="-"/>
    <n v="0"/>
    <s v="-"/>
    <n v="0"/>
    <n v="0"/>
    <n v="7"/>
    <n v="0.3"/>
    <n v="0"/>
    <n v="0"/>
    <n v="7"/>
    <n v="0.1"/>
    <x v="6"/>
  </r>
  <r>
    <s v="SP_BoatFisher"/>
    <s v="BoatFisher"/>
    <s v="PF_BoatFisher"/>
    <n v="130"/>
    <n v="130"/>
    <n v="15"/>
    <n v="50"/>
    <s v="-"/>
    <n v="0"/>
    <s v="-"/>
    <n v="0"/>
    <n v="0"/>
    <n v="5"/>
    <n v="0.2"/>
    <n v="0"/>
    <n v="0"/>
    <n v="5"/>
    <n v="0.1"/>
    <x v="7"/>
  </r>
  <r>
    <s v="SP_BoatRider"/>
    <s v="BoatFisher"/>
    <s v="PF_BoatRider"/>
    <n v="130"/>
    <n v="130"/>
    <n v="15"/>
    <n v="50"/>
    <s v="-"/>
    <n v="0"/>
    <s v="-"/>
    <n v="0"/>
    <n v="0"/>
    <n v="0"/>
    <n v="0"/>
    <n v="0"/>
    <n v="0"/>
    <n v="0"/>
    <n v="0"/>
    <x v="7"/>
  </r>
  <r>
    <s v="SP_Bomber"/>
    <s v="Bomber"/>
    <s v="PF_Bomber"/>
    <n v="220"/>
    <n v="220"/>
    <n v="30"/>
    <n v="75"/>
    <s v="-"/>
    <n v="0"/>
    <n v="8"/>
    <n v="31"/>
    <n v="1.2"/>
    <n v="20"/>
    <n v="1"/>
    <n v="0"/>
    <n v="0"/>
    <n v="51"/>
    <n v="0.9"/>
    <x v="8"/>
  </r>
  <r>
    <s v="SP_Butterfly"/>
    <s v="Butterfly"/>
    <s v="PF_Butterfly"/>
    <n v="110"/>
    <n v="110"/>
    <n v="50"/>
    <n v="100"/>
    <s v="-"/>
    <n v="3"/>
    <s v="-"/>
    <n v="0"/>
    <n v="0"/>
    <n v="0"/>
    <n v="0"/>
    <n v="9"/>
    <n v="0.8"/>
    <n v="9"/>
    <n v="0.2"/>
    <x v="9"/>
  </r>
  <r>
    <s v="SP_Cage"/>
    <s v="-"/>
    <s v="PF_Cage"/>
    <n v="450"/>
    <n v="450"/>
    <s v="-"/>
    <m/>
    <m/>
    <m/>
    <m/>
    <n v="3"/>
    <n v="0.1"/>
    <n v="1"/>
    <n v="0"/>
    <n v="0"/>
    <n v="0"/>
    <n v="4"/>
    <n v="0.1"/>
    <x v="10"/>
  </r>
  <r>
    <s v="SP_Canary_Mix_Flock"/>
    <s v="Canary01_Flock"/>
    <s v="PF_Canary01_Flock"/>
    <n v="180"/>
    <n v="180"/>
    <n v="2"/>
    <n v="25"/>
    <s v="-"/>
    <n v="0"/>
    <s v="-"/>
    <n v="70"/>
    <n v="2.7"/>
    <n v="19"/>
    <n v="0.9"/>
    <n v="0"/>
    <n v="0"/>
    <n v="89"/>
    <n v="1.6"/>
    <x v="11"/>
  </r>
  <r>
    <s v="SP_Canary_Random_Flock"/>
    <s v="Canary01_Flock"/>
    <s v="PF_Canary01_Flock"/>
    <n v="180"/>
    <n v="180"/>
    <n v="2"/>
    <n v="25"/>
    <s v="-"/>
    <n v="0"/>
    <s v="-"/>
    <n v="199"/>
    <n v="7.8"/>
    <n v="92"/>
    <n v="4.4000000000000004"/>
    <n v="0"/>
    <n v="0"/>
    <n v="291"/>
    <n v="5.0999999999999996"/>
    <x v="11"/>
  </r>
  <r>
    <s v="SP_Canary01_Flock"/>
    <s v="Canary01_Flock"/>
    <s v="PF_Canary01_Flock"/>
    <n v="180"/>
    <n v="180"/>
    <n v="2"/>
    <n v="25"/>
    <s v="-"/>
    <n v="0"/>
    <s v="-"/>
    <n v="65"/>
    <n v="2.5"/>
    <n v="0"/>
    <n v="0"/>
    <n v="0"/>
    <n v="0"/>
    <n v="65"/>
    <n v="1.1000000000000001"/>
    <x v="11"/>
  </r>
  <r>
    <s v="SP_Canary02_Flock"/>
    <s v="Canary02_Flock"/>
    <s v="PF_Canary02_Flock"/>
    <n v="180"/>
    <n v="180"/>
    <n v="2"/>
    <n v="25"/>
    <s v="-"/>
    <n v="0"/>
    <s v="-"/>
    <n v="31"/>
    <n v="1.2"/>
    <n v="0"/>
    <n v="0"/>
    <n v="0"/>
    <n v="0"/>
    <n v="31"/>
    <n v="0.5"/>
    <x v="11"/>
  </r>
  <r>
    <s v="SP_Canary03_Flock"/>
    <s v="Canary03_Flock"/>
    <s v="PF_Canary03_Flock"/>
    <n v="180"/>
    <n v="180"/>
    <n v="2"/>
    <n v="25"/>
    <s v="-"/>
    <n v="0"/>
    <s v="-"/>
    <n v="17"/>
    <n v="0.7"/>
    <n v="0"/>
    <n v="0"/>
    <n v="0"/>
    <n v="0"/>
    <n v="17"/>
    <n v="0.3"/>
    <x v="11"/>
  </r>
  <r>
    <s v="SP_Canary04_Flock"/>
    <s v="Canary04_Flock"/>
    <s v="PF_Canary04_Flock"/>
    <n v="180"/>
    <n v="180"/>
    <n v="2"/>
    <n v="25"/>
    <s v="-"/>
    <n v="0"/>
    <s v="-"/>
    <n v="2"/>
    <n v="0.1"/>
    <n v="0"/>
    <n v="0"/>
    <n v="0"/>
    <n v="0"/>
    <n v="2"/>
    <n v="0"/>
    <x v="11"/>
  </r>
  <r>
    <s v="SP_Carnivorous_Plant"/>
    <s v="carnivorousPlant"/>
    <s v="PF_CarnivourusPlant"/>
    <n v="500"/>
    <n v="500"/>
    <n v="60"/>
    <n v="130"/>
    <s v="-"/>
    <n v="4"/>
    <n v="80"/>
    <n v="0"/>
    <n v="0"/>
    <n v="0"/>
    <n v="0"/>
    <n v="6"/>
    <n v="0.5"/>
    <n v="6"/>
    <n v="0.1"/>
    <x v="12"/>
  </r>
  <r>
    <s v="SP_CarnivorousPlantDark"/>
    <s v="CarnivorousPlantDark"/>
    <s v="PF_CarnivourusPlantDark"/>
    <n v="500"/>
    <n v="500"/>
    <n v="60"/>
    <n v="130"/>
    <s v="-"/>
    <n v="4"/>
    <n v="70"/>
    <n v="0"/>
    <n v="0"/>
    <n v="0"/>
    <n v="0"/>
    <n v="7"/>
    <n v="0.6"/>
    <n v="7"/>
    <n v="0.1"/>
    <x v="12"/>
  </r>
  <r>
    <s v="SP_CentipedeBlue"/>
    <s v="CentipedeBlue"/>
    <s v="PF_CentipedeBlue"/>
    <n v="110"/>
    <n v="110"/>
    <n v="13"/>
    <n v="143"/>
    <s v="-"/>
    <n v="3"/>
    <s v="-"/>
    <n v="0"/>
    <n v="0"/>
    <n v="0"/>
    <n v="0"/>
    <n v="26"/>
    <n v="2.4"/>
    <n v="26"/>
    <n v="0.5"/>
    <x v="13"/>
  </r>
  <r>
    <s v="SP_CentipedeRed"/>
    <s v="CentipedeRed"/>
    <s v="PF_CentipedeRed"/>
    <n v="110"/>
    <n v="110"/>
    <n v="18"/>
    <n v="130"/>
    <s v="-"/>
    <n v="4"/>
    <n v="37"/>
    <n v="0"/>
    <n v="0"/>
    <n v="0"/>
    <n v="0"/>
    <n v="5"/>
    <n v="0.5"/>
    <n v="5"/>
    <n v="0.1"/>
    <x v="14"/>
  </r>
  <r>
    <s v="SP_Cow"/>
    <s v="Cow"/>
    <s v="PF_Cow"/>
    <n v="210"/>
    <n v="210"/>
    <n v="15"/>
    <n v="83"/>
    <s v="-"/>
    <n v="1"/>
    <s v="-"/>
    <n v="11"/>
    <n v="0.4"/>
    <n v="0"/>
    <n v="0"/>
    <n v="0"/>
    <n v="0"/>
    <n v="11"/>
    <n v="0.2"/>
    <x v="15"/>
  </r>
  <r>
    <s v="SP_Cow_Static"/>
    <s v="Cow"/>
    <s v="PF_Cow_Static"/>
    <n v="210"/>
    <n v="210"/>
    <n v="15"/>
    <n v="83"/>
    <s v="-"/>
    <n v="1"/>
    <s v="-"/>
    <n v="0"/>
    <n v="0"/>
    <n v="0"/>
    <n v="0"/>
    <n v="0"/>
    <n v="0"/>
    <n v="0"/>
    <n v="0"/>
    <x v="15"/>
  </r>
  <r>
    <s v="SP_Crocodile"/>
    <s v="Crocodile"/>
    <s v="PF_Crocodile"/>
    <n v="240"/>
    <n v="240"/>
    <n v="30"/>
    <n v="55"/>
    <s v="-"/>
    <n v="1"/>
    <s v="-"/>
    <n v="0"/>
    <n v="0"/>
    <n v="13"/>
    <n v="0.6"/>
    <n v="0"/>
    <n v="0"/>
    <n v="13"/>
    <n v="0.2"/>
    <x v="16"/>
  </r>
  <r>
    <s v="SP_Crocodile_Evade"/>
    <s v="Crocodile"/>
    <s v="PF_Crocodile_Evade"/>
    <n v="240"/>
    <n v="240"/>
    <n v="30"/>
    <n v="55"/>
    <s v="-"/>
    <n v="1"/>
    <s v="-"/>
    <n v="0"/>
    <n v="0"/>
    <n v="2"/>
    <n v="0.1"/>
    <n v="0"/>
    <n v="0"/>
    <n v="2"/>
    <n v="0"/>
    <x v="16"/>
  </r>
  <r>
    <s v="SP_Crow_Flock"/>
    <s v="Crow_Flock"/>
    <s v="PF_Crow_Flock"/>
    <n v="200"/>
    <n v="200"/>
    <n v="3"/>
    <n v="25"/>
    <s v="-"/>
    <n v="0"/>
    <s v="-"/>
    <n v="60"/>
    <n v="2.4"/>
    <n v="39"/>
    <n v="1.9"/>
    <n v="42"/>
    <n v="3.8"/>
    <n v="141"/>
    <n v="2.5"/>
    <x v="17"/>
  </r>
  <r>
    <s v="SP_Driller"/>
    <s v="Driller"/>
    <s v="PF_Driller"/>
    <n v="300"/>
    <n v="300"/>
    <n v="45"/>
    <n v="105"/>
    <s v="-"/>
    <n v="2"/>
    <n v="40"/>
    <n v="0"/>
    <n v="0"/>
    <n v="13"/>
    <n v="0.6"/>
    <n v="0"/>
    <n v="0"/>
    <n v="13"/>
    <n v="0.2"/>
    <x v="18"/>
  </r>
  <r>
    <s v="SP_EnemyTier0"/>
    <s v="EnemyTier0"/>
    <s v="PF_EnemyTier0"/>
    <n v="220"/>
    <n v="220"/>
    <n v="20"/>
    <n v="50"/>
    <s v="-"/>
    <n v="0"/>
    <n v="10"/>
    <n v="29"/>
    <n v="1.1000000000000001"/>
    <n v="10"/>
    <n v="0.5"/>
    <n v="0"/>
    <n v="0"/>
    <n v="39"/>
    <n v="0.7"/>
    <x v="19"/>
  </r>
  <r>
    <s v="SP_EnemyTier1"/>
    <s v="EnemyTier1"/>
    <s v="PF_EnemyTier1"/>
    <n v="240"/>
    <n v="240"/>
    <n v="40"/>
    <n v="83"/>
    <s v="-"/>
    <n v="1"/>
    <n v="20"/>
    <n v="13"/>
    <n v="0.5"/>
    <n v="6"/>
    <n v="0.3"/>
    <n v="2"/>
    <n v="0.2"/>
    <n v="21"/>
    <n v="0.4"/>
    <x v="20"/>
  </r>
  <r>
    <s v="SP_EnemyTier2"/>
    <s v="EnemyTier2"/>
    <s v="PF_EnemyTier2"/>
    <n v="260"/>
    <n v="260"/>
    <n v="80"/>
    <n v="105"/>
    <s v="-"/>
    <n v="2"/>
    <n v="40"/>
    <n v="10"/>
    <n v="0.4"/>
    <n v="15"/>
    <n v="0.7"/>
    <n v="5"/>
    <n v="0.5"/>
    <n v="30"/>
    <n v="0.5"/>
    <x v="21"/>
  </r>
  <r>
    <s v="SP_EnemyTier3"/>
    <s v="EnemyTier3"/>
    <s v="PF_EnemyTier3"/>
    <n v="280"/>
    <n v="280"/>
    <n v="100"/>
    <n v="143"/>
    <s v="-"/>
    <n v="3"/>
    <n v="50"/>
    <n v="17"/>
    <n v="0.7"/>
    <n v="14"/>
    <n v="0.7"/>
    <n v="8"/>
    <n v="0.7"/>
    <n v="39"/>
    <n v="0.7"/>
    <x v="22"/>
  </r>
  <r>
    <s v="SP_EnemyTier4"/>
    <s v="EnemyTier4"/>
    <s v="PF_EnemyTier4"/>
    <n v="300"/>
    <n v="300"/>
    <n v="120"/>
    <n v="130"/>
    <s v="-"/>
    <n v="4"/>
    <n v="60"/>
    <n v="7"/>
    <n v="0.3"/>
    <n v="6"/>
    <n v="0.3"/>
    <n v="4"/>
    <n v="0.4"/>
    <n v="17"/>
    <n v="0.3"/>
    <x v="23"/>
  </r>
  <r>
    <s v="SP_EnemyTier5"/>
    <s v="EnemyTier5"/>
    <s v="PF_EnemyTier5"/>
    <n v="300"/>
    <n v="300"/>
    <n v="150"/>
    <n v="150"/>
    <s v="-"/>
    <n v="5"/>
    <n v="80"/>
    <n v="10"/>
    <n v="0.4"/>
    <n v="8"/>
    <n v="0.4"/>
    <n v="7"/>
    <n v="0.6"/>
    <n v="25"/>
    <n v="0.4"/>
    <x v="24"/>
  </r>
  <r>
    <s v="SP_FairyBig"/>
    <s v="FairyBig"/>
    <s v="PF_FairyBig"/>
    <n v="140"/>
    <n v="140"/>
    <n v="30"/>
    <n v="28"/>
    <s v="-"/>
    <n v="1"/>
    <s v="-"/>
    <n v="7"/>
    <n v="0.3"/>
    <n v="18"/>
    <n v="0.9"/>
    <n v="14"/>
    <n v="1.3"/>
    <n v="39"/>
    <n v="0.7"/>
    <x v="25"/>
  </r>
  <r>
    <s v="SP_FairySmall"/>
    <s v="FairySmall"/>
    <s v="PF_FairySmall"/>
    <n v="140"/>
    <n v="140"/>
    <n v="6"/>
    <n v="25"/>
    <s v="-"/>
    <n v="0"/>
    <s v="-"/>
    <n v="18"/>
    <n v="0.7"/>
    <n v="27"/>
    <n v="1.3"/>
    <n v="14"/>
    <n v="1.3"/>
    <n v="59"/>
    <n v="1"/>
    <x v="25"/>
  </r>
  <r>
    <s v="SP_FireFly"/>
    <s v="Firefly"/>
    <s v="PF_Firefly"/>
    <n v="110"/>
    <n v="110"/>
    <n v="13"/>
    <n v="40"/>
    <s v="-"/>
    <n v="2"/>
    <s v="-"/>
    <n v="0"/>
    <n v="0"/>
    <n v="0"/>
    <n v="0"/>
    <n v="43"/>
    <n v="3.9"/>
    <n v="43"/>
    <n v="0.8"/>
    <x v="26"/>
  </r>
  <r>
    <s v="SP_Fish_Random_Generic"/>
    <s v="Fish01_Generic"/>
    <s v="PF_Fish01_Generic"/>
    <n v="100"/>
    <n v="100"/>
    <n v="2"/>
    <n v="25"/>
    <s v="-"/>
    <n v="0"/>
    <s v="-"/>
    <n v="22"/>
    <n v="0.9"/>
    <n v="84"/>
    <n v="4"/>
    <n v="0"/>
    <n v="0"/>
    <n v="106"/>
    <n v="1.8"/>
    <x v="27"/>
  </r>
  <r>
    <s v="SP_Fish01_Generic"/>
    <s v="Fish01_Generic"/>
    <s v="PF_Fish01_Generic"/>
    <n v="100"/>
    <n v="100"/>
    <n v="2"/>
    <n v="25"/>
    <s v="-"/>
    <n v="0"/>
    <s v="-"/>
    <n v="16"/>
    <n v="0.6"/>
    <n v="4"/>
    <n v="0.2"/>
    <n v="0"/>
    <n v="0"/>
    <n v="20"/>
    <n v="0.3"/>
    <x v="27"/>
  </r>
  <r>
    <s v="SP_Fish02_Generic"/>
    <s v="Fish02_Generic"/>
    <s v="PF_Fish02_Generic"/>
    <n v="100"/>
    <n v="100"/>
    <n v="2"/>
    <n v="25"/>
    <s v="-"/>
    <n v="0"/>
    <s v="-"/>
    <n v="0"/>
    <n v="0"/>
    <n v="2"/>
    <n v="0.1"/>
    <n v="0"/>
    <n v="0"/>
    <n v="2"/>
    <n v="0"/>
    <x v="27"/>
  </r>
  <r>
    <s v="SP_Fish03_Generic"/>
    <s v="Fish03_Generic"/>
    <s v="PF_Fish03_Generic"/>
    <n v="100"/>
    <n v="100"/>
    <n v="2"/>
    <n v="25"/>
    <s v="-"/>
    <n v="0"/>
    <s v="-"/>
    <n v="0"/>
    <n v="0"/>
    <n v="1"/>
    <n v="0"/>
    <n v="0"/>
    <n v="0"/>
    <n v="1"/>
    <n v="0"/>
    <x v="27"/>
  </r>
  <r>
    <s v="SP_FishDark01_Generic"/>
    <s v="FishDark"/>
    <s v="PF_FishDark01_Generic"/>
    <n v="240"/>
    <n v="240"/>
    <n v="14"/>
    <n v="50"/>
    <s v="-"/>
    <n v="0"/>
    <s v="-"/>
    <n v="0"/>
    <n v="0"/>
    <n v="0"/>
    <n v="0"/>
    <n v="13"/>
    <n v="1.2"/>
    <n v="13"/>
    <n v="0.2"/>
    <x v="27"/>
  </r>
  <r>
    <s v="SP_FishDark02_Generic"/>
    <s v="FishDark"/>
    <s v="PF_FishDark02_Generic"/>
    <n v="240"/>
    <n v="240"/>
    <n v="14"/>
    <n v="50"/>
    <s v="-"/>
    <n v="0"/>
    <s v="-"/>
    <n v="0"/>
    <n v="0"/>
    <n v="0"/>
    <n v="0"/>
    <n v="4"/>
    <n v="0.4"/>
    <n v="4"/>
    <n v="0.1"/>
    <x v="27"/>
  </r>
  <r>
    <s v="SP_FishDark03_Generic"/>
    <s v="FishDark"/>
    <s v="PF_FishDark03_Generic"/>
    <n v="240"/>
    <n v="240"/>
    <n v="14"/>
    <n v="50"/>
    <s v="-"/>
    <n v="0"/>
    <s v="-"/>
    <n v="0"/>
    <n v="0"/>
    <n v="0"/>
    <n v="0"/>
    <n v="14"/>
    <n v="1.3"/>
    <n v="14"/>
    <n v="0.2"/>
    <x v="27"/>
  </r>
  <r>
    <s v="SP_FlyingBunny"/>
    <s v="FlyingBunny"/>
    <s v="PF_FlyingBunny"/>
    <n v="140"/>
    <n v="140"/>
    <n v="6"/>
    <n v="75"/>
    <s v="-"/>
    <n v="0"/>
    <s v="-"/>
    <n v="16"/>
    <n v="0.6"/>
    <n v="14"/>
    <n v="0.7"/>
    <n v="0"/>
    <n v="0"/>
    <n v="30"/>
    <n v="0.5"/>
    <x v="28"/>
  </r>
  <r>
    <s v="SP_FlyingPig"/>
    <s v="FlyingPig"/>
    <s v="PF_FlyingPig"/>
    <n v="5000"/>
    <n v="5000"/>
    <n v="70"/>
    <n v="75"/>
    <s v="-"/>
    <n v="0"/>
    <s v="-"/>
    <n v="42"/>
    <n v="1.6"/>
    <n v="20"/>
    <n v="1"/>
    <n v="27"/>
    <n v="2.4"/>
    <n v="89"/>
    <n v="1.6"/>
    <x v="29"/>
  </r>
  <r>
    <s v="SP_Ghost01"/>
    <s v="Ghost01"/>
    <s v="PF_Ghost01"/>
    <n v="250"/>
    <n v="250"/>
    <n v="3"/>
    <n v="143"/>
    <s v="-"/>
    <n v="3"/>
    <n v="5"/>
    <n v="78"/>
    <n v="3.1"/>
    <n v="26"/>
    <n v="1.3"/>
    <n v="18"/>
    <n v="1.6"/>
    <n v="122"/>
    <n v="2.1"/>
    <x v="30"/>
  </r>
  <r>
    <s v="SP_Ghost01_Static"/>
    <s v="Ghost01"/>
    <s v="PF_Ghost01_Static"/>
    <n v="250"/>
    <n v="250"/>
    <n v="3"/>
    <n v="143"/>
    <s v="-"/>
    <n v="3"/>
    <n v="7"/>
    <n v="26"/>
    <n v="1"/>
    <n v="0"/>
    <n v="0"/>
    <n v="10"/>
    <n v="0.9"/>
    <n v="36"/>
    <n v="0.6"/>
    <x v="30"/>
  </r>
  <r>
    <s v="SP_Ghost02"/>
    <s v="Ghost02"/>
    <s v="PF_Ghost02"/>
    <n v="300"/>
    <n v="300"/>
    <n v="4"/>
    <n v="195"/>
    <s v="-"/>
    <n v="4"/>
    <n v="11"/>
    <n v="30"/>
    <n v="1.2"/>
    <n v="6"/>
    <n v="0.3"/>
    <n v="18"/>
    <n v="1.6"/>
    <n v="54"/>
    <n v="0.9"/>
    <x v="31"/>
  </r>
  <r>
    <s v="SP_Ghost02_Static"/>
    <s v="Ghost02"/>
    <s v="PF_Ghost02_Static"/>
    <n v="300"/>
    <n v="300"/>
    <n v="4"/>
    <n v="195"/>
    <s v="-"/>
    <n v="4"/>
    <n v="11"/>
    <n v="35"/>
    <n v="1.4"/>
    <n v="0"/>
    <n v="0"/>
    <n v="9"/>
    <n v="0.8"/>
    <n v="44"/>
    <n v="0.8"/>
    <x v="31"/>
  </r>
  <r>
    <s v="SP_Ghost03"/>
    <s v="Ghost03"/>
    <s v="PF_Ghost03"/>
    <n v="340"/>
    <n v="340"/>
    <n v="5"/>
    <n v="263"/>
    <s v="-"/>
    <n v="5"/>
    <n v="21"/>
    <n v="13"/>
    <n v="0.5"/>
    <n v="5"/>
    <n v="0.2"/>
    <n v="17"/>
    <n v="1.5"/>
    <n v="35"/>
    <n v="0.6"/>
    <x v="32"/>
  </r>
  <r>
    <s v="SP_Ghost03_Static"/>
    <s v="Ghost03"/>
    <s v="PF_Ghost03_Static"/>
    <n v="340"/>
    <n v="340"/>
    <n v="5"/>
    <n v="263"/>
    <s v="-"/>
    <n v="5"/>
    <n v="21"/>
    <n v="24"/>
    <n v="0.9"/>
    <n v="8"/>
    <n v="0.4"/>
    <n v="21"/>
    <n v="1.9"/>
    <n v="53"/>
    <n v="0.9"/>
    <x v="32"/>
  </r>
  <r>
    <s v="SP_GoblinBoat"/>
    <s v="GoblinBoat"/>
    <s v="PF_GoblinBoat"/>
    <n v="210"/>
    <n v="210"/>
    <m/>
    <s v="-"/>
    <m/>
    <m/>
    <m/>
    <n v="0"/>
    <n v="0"/>
    <n v="0"/>
    <n v="0"/>
    <n v="0"/>
    <n v="0"/>
    <n v="0"/>
    <n v="0"/>
    <x v="33"/>
  </r>
  <r>
    <s v="SP_GoblinBoat_Static"/>
    <s v="GoblinBoat"/>
    <s v="PF_GoblinBoat_Static"/>
    <n v="210"/>
    <n v="210"/>
    <m/>
    <s v="-"/>
    <m/>
    <m/>
    <m/>
    <n v="0"/>
    <n v="0"/>
    <n v="0"/>
    <n v="0"/>
    <n v="0"/>
    <n v="0"/>
    <n v="0"/>
    <n v="0"/>
    <x v="33"/>
  </r>
  <r>
    <s v="SP_GoblinDrone"/>
    <s v="GoblinDrone"/>
    <s v="PF_GoblinDrone"/>
    <n v="180"/>
    <n v="180"/>
    <n v="100"/>
    <n v="105"/>
    <s v="-"/>
    <n v="3"/>
    <n v="25"/>
    <n v="0"/>
    <n v="0"/>
    <n v="34"/>
    <n v="1.6"/>
    <n v="0"/>
    <n v="0"/>
    <n v="34"/>
    <n v="0.6"/>
    <x v="34"/>
  </r>
  <r>
    <s v="SP_GoblinDroneFood"/>
    <s v="GoblinDroneFood"/>
    <s v="PF_GoblinDroneFood"/>
    <n v="120"/>
    <n v="120"/>
    <n v="35"/>
    <n v="45"/>
    <s v="-"/>
    <n v="2"/>
    <s v="-"/>
    <n v="0"/>
    <n v="0"/>
    <n v="74"/>
    <n v="3.6"/>
    <n v="0"/>
    <n v="0"/>
    <n v="74"/>
    <n v="1.3"/>
    <x v="35"/>
  </r>
  <r>
    <s v="SP_GoblinWarMachine"/>
    <s v="GoblinWarMachine"/>
    <s v="PF_GoblinWarMachine"/>
    <n v="300"/>
    <n v="300"/>
    <n v="200"/>
    <n v="83"/>
    <s v="-"/>
    <n v="1"/>
    <n v="25"/>
    <n v="1"/>
    <n v="0"/>
    <n v="3"/>
    <n v="0.1"/>
    <n v="0"/>
    <n v="0"/>
    <n v="4"/>
    <n v="0.1"/>
    <x v="36"/>
  </r>
  <r>
    <s v="SP_GoblinWarMachineSpace"/>
    <s v="GoblinWarMachine"/>
    <s v="PF_GoblinWarMachineSpace"/>
    <n v="300"/>
    <n v="300"/>
    <n v="200"/>
    <n v="83"/>
    <s v="-"/>
    <n v="1"/>
    <n v="25"/>
    <n v="13"/>
    <n v="0.5"/>
    <n v="6"/>
    <n v="0.3"/>
    <n v="2"/>
    <n v="0.2"/>
    <n v="21"/>
    <n v="0.4"/>
    <x v="36"/>
  </r>
  <r>
    <s v="SP_GoodJunkBoost"/>
    <s v="Boost"/>
    <s v="PF_Boost"/>
    <n v="500"/>
    <n v="500"/>
    <n v="0"/>
    <n v="10"/>
    <s v="-"/>
    <n v="0"/>
    <s v="-"/>
    <n v="10"/>
    <n v="0.4"/>
    <n v="4"/>
    <n v="0.2"/>
    <n v="2"/>
    <n v="0.2"/>
    <n v="16"/>
    <n v="0.3"/>
    <x v="37"/>
  </r>
  <r>
    <s v="SP_GoodJunkBottle"/>
    <s v="GoodJunkBottle"/>
    <s v="PF_GoodJunkBottle"/>
    <n v="500"/>
    <n v="500"/>
    <n v="0"/>
    <n v="25"/>
    <s v="-"/>
    <n v="0"/>
    <s v="-"/>
    <n v="26"/>
    <n v="1"/>
    <n v="58"/>
    <n v="2.8"/>
    <n v="24"/>
    <n v="2.2000000000000002"/>
    <n v="108"/>
    <n v="1.9"/>
    <x v="38"/>
  </r>
  <r>
    <s v="SP_GoodJunkRandom"/>
    <s v="GoodJunkRandomCoins"/>
    <s v="PF_GoodJunkRandomCoins"/>
    <n v="180"/>
    <n v="180"/>
    <n v="0"/>
    <n v="10"/>
    <s v="-"/>
    <n v="0"/>
    <s v="-"/>
    <n v="12"/>
    <n v="0.5"/>
    <n v="6"/>
    <n v="0.3"/>
    <n v="5"/>
    <n v="0.5"/>
    <n v="23"/>
    <n v="0.4"/>
    <x v="39"/>
  </r>
  <r>
    <s v="SP_GoodJunkRing1"/>
    <s v="Ring"/>
    <s v="PF_Ring1"/>
    <n v="240"/>
    <n v="240"/>
    <n v="0"/>
    <n v="10"/>
    <s v="-"/>
    <n v="0"/>
    <s v="-"/>
    <n v="3"/>
    <n v="0.1"/>
    <n v="4"/>
    <n v="0.2"/>
    <n v="0"/>
    <n v="0"/>
    <n v="7"/>
    <n v="0.1"/>
    <x v="40"/>
  </r>
  <r>
    <s v="SP_GoodJunkRing1_Static"/>
    <s v="Ring"/>
    <s v="PF_Ring1_Static"/>
    <n v="240"/>
    <n v="240"/>
    <n v="0"/>
    <n v="10"/>
    <s v="-"/>
    <n v="0"/>
    <s v="-"/>
    <n v="20"/>
    <n v="0.8"/>
    <n v="4"/>
    <n v="0.2"/>
    <n v="1"/>
    <n v="0.1"/>
    <n v="25"/>
    <n v="0.4"/>
    <x v="40"/>
  </r>
  <r>
    <s v="SP_GoodJunkRing2"/>
    <s v="Ring"/>
    <s v="PF_Ring2"/>
    <n v="240"/>
    <n v="240"/>
    <n v="0"/>
    <n v="10"/>
    <s v="-"/>
    <n v="0"/>
    <s v="-"/>
    <n v="5"/>
    <n v="0.2"/>
    <n v="1"/>
    <n v="0"/>
    <n v="1"/>
    <n v="0.1"/>
    <n v="7"/>
    <n v="0.1"/>
    <x v="40"/>
  </r>
  <r>
    <s v="SP_GoodJunkRing2_Static"/>
    <s v="Ring"/>
    <s v="PF_Ring2_Static"/>
    <n v="240"/>
    <n v="240"/>
    <n v="0"/>
    <n v="10"/>
    <s v="-"/>
    <n v="0"/>
    <s v="-"/>
    <n v="9"/>
    <n v="0.4"/>
    <n v="14"/>
    <n v="0.7"/>
    <n v="10"/>
    <n v="0.9"/>
    <n v="33"/>
    <n v="0.6"/>
    <x v="40"/>
  </r>
  <r>
    <s v="SP_GoodJunkRoulette"/>
    <s v="RouletteCoins"/>
    <s v="PF_RouletteCoins"/>
    <n v="240"/>
    <n v="240"/>
    <n v="0"/>
    <n v="10"/>
    <s v="-"/>
    <n v="0"/>
    <s v="-"/>
    <n v="13"/>
    <n v="0.5"/>
    <n v="2"/>
    <n v="0.1"/>
    <n v="7"/>
    <n v="0.6"/>
    <n v="22"/>
    <n v="0.4"/>
    <x v="41"/>
  </r>
  <r>
    <s v="SP_GoodJunkScore"/>
    <s v="GoodJunkScore"/>
    <s v="PF_GoodJunkScore"/>
    <n v="500"/>
    <n v="500"/>
    <n v="0"/>
    <n v="50"/>
    <s v="-"/>
    <n v="0"/>
    <s v="-"/>
    <n v="38"/>
    <n v="1.5"/>
    <n v="42"/>
    <n v="2"/>
    <n v="28"/>
    <n v="2.5"/>
    <n v="108"/>
    <n v="1.9"/>
    <x v="42"/>
  </r>
  <r>
    <s v="SP_GoodJunkStar"/>
    <s v="StarSky"/>
    <s v="PF_Star"/>
    <n v="500"/>
    <n v="500"/>
    <n v="0"/>
    <n v="50"/>
    <s v="-"/>
    <n v="0"/>
    <s v="-"/>
    <n v="143"/>
    <n v="5.6"/>
    <n v="18"/>
    <n v="0.9"/>
    <n v="101"/>
    <n v="9.1"/>
    <n v="262"/>
    <n v="4.5999999999999996"/>
    <x v="43"/>
  </r>
  <r>
    <s v="SP_GoodJunkStar_G"/>
    <s v="StarSky"/>
    <s v="PF_Star"/>
    <n v="500"/>
    <n v="500"/>
    <n v="0"/>
    <n v="50"/>
    <s v="-"/>
    <n v="0"/>
    <s v="-"/>
    <n v="1"/>
    <n v="0"/>
    <n v="0"/>
    <n v="0"/>
    <n v="0"/>
    <n v="0"/>
    <n v="1"/>
    <n v="0"/>
    <x v="43"/>
  </r>
  <r>
    <s v="SP_GoodJunkStar_H"/>
    <s v="StarSky"/>
    <s v="PF_Star"/>
    <n v="500"/>
    <n v="500"/>
    <n v="0"/>
    <n v="50"/>
    <s v="-"/>
    <n v="0"/>
    <s v="-"/>
    <n v="1"/>
    <n v="0"/>
    <n v="0"/>
    <n v="0"/>
    <n v="0"/>
    <n v="0"/>
    <n v="1"/>
    <n v="0"/>
    <x v="43"/>
  </r>
  <r>
    <s v="SP_GoodJunkStar_N"/>
    <s v="StarSky"/>
    <s v="PF_Star"/>
    <n v="500"/>
    <n v="500"/>
    <n v="0"/>
    <n v="50"/>
    <s v="-"/>
    <n v="0"/>
    <s v="-"/>
    <n v="1"/>
    <n v="0"/>
    <n v="0"/>
    <n v="0"/>
    <n v="0"/>
    <n v="0"/>
    <n v="1"/>
    <n v="0"/>
    <x v="43"/>
  </r>
  <r>
    <s v="SP_GoodJunkStar_R"/>
    <s v="StarSky"/>
    <s v="PF_Star"/>
    <n v="500"/>
    <n v="500"/>
    <n v="0"/>
    <n v="50"/>
    <s v="-"/>
    <n v="0"/>
    <s v="-"/>
    <n v="1"/>
    <n v="0"/>
    <n v="0"/>
    <n v="0"/>
    <n v="0"/>
    <n v="0"/>
    <n v="1"/>
    <n v="0"/>
    <x v="43"/>
  </r>
  <r>
    <s v="SP_GoodJunkStar_U"/>
    <s v="StarSky"/>
    <s v="PF_Star"/>
    <n v="500"/>
    <n v="500"/>
    <n v="0"/>
    <n v="50"/>
    <s v="-"/>
    <n v="0"/>
    <s v="-"/>
    <n v="1"/>
    <n v="0"/>
    <n v="0"/>
    <n v="0"/>
    <n v="0"/>
    <n v="0"/>
    <n v="1"/>
    <n v="0"/>
    <x v="43"/>
  </r>
  <r>
    <s v="SP_GoodJunkStar_Y"/>
    <s v="StarSky"/>
    <s v="PF_Star"/>
    <n v="500"/>
    <n v="500"/>
    <n v="0"/>
    <n v="50"/>
    <s v="-"/>
    <n v="0"/>
    <s v="-"/>
    <n v="1"/>
    <n v="0"/>
    <n v="0"/>
    <n v="0"/>
    <n v="0"/>
    <n v="0"/>
    <n v="1"/>
    <n v="0"/>
    <x v="43"/>
  </r>
  <r>
    <s v="SP_GoodWitch"/>
    <s v="GoodWitch"/>
    <s v="PF_WitchGood"/>
    <n v="200"/>
    <n v="200"/>
    <n v="20"/>
    <n v="25"/>
    <s v="-"/>
    <n v="0"/>
    <s v="-"/>
    <n v="5"/>
    <n v="0.2"/>
    <n v="0"/>
    <n v="0"/>
    <n v="11"/>
    <n v="1"/>
    <n v="16"/>
    <n v="0.3"/>
    <x v="44"/>
  </r>
  <r>
    <s v="SP_GoodWitch_Mix"/>
    <s v="GoodWitch"/>
    <s v="PF_WitchGood"/>
    <n v="200"/>
    <n v="200"/>
    <n v="20"/>
    <n v="25"/>
    <s v="-"/>
    <n v="0"/>
    <s v="-"/>
    <n v="0"/>
    <n v="0"/>
    <n v="0"/>
    <n v="0"/>
    <n v="9"/>
    <n v="0.8"/>
    <n v="9"/>
    <n v="0.2"/>
    <x v="44"/>
  </r>
  <r>
    <s v="SP_GoodWitch02"/>
    <s v="GoodWitch02"/>
    <s v="PF_WitchGood02"/>
    <n v="200"/>
    <n v="200"/>
    <n v="15"/>
    <n v="95"/>
    <s v="-"/>
    <n v="0"/>
    <s v="-"/>
    <n v="0"/>
    <n v="0"/>
    <n v="0"/>
    <n v="0"/>
    <n v="0"/>
    <n v="0"/>
    <n v="0"/>
    <n v="0"/>
    <x v="44"/>
  </r>
  <r>
    <s v="SP_Guardian"/>
    <s v="Guardian"/>
    <s v="PF_Guardian"/>
    <n v="310"/>
    <n v="310"/>
    <n v="400"/>
    <n v="103"/>
    <s v="-"/>
    <n v="2"/>
    <n v="60"/>
    <n v="0"/>
    <n v="0"/>
    <n v="13"/>
    <n v="0.6"/>
    <n v="0"/>
    <n v="0"/>
    <n v="13"/>
    <n v="0.2"/>
    <x v="45"/>
  </r>
  <r>
    <s v="SP_HangingCage"/>
    <s v="-"/>
    <s v="PF_HangingCage"/>
    <n v="450"/>
    <n v="450"/>
    <s v="-"/>
    <m/>
    <m/>
    <m/>
    <m/>
    <n v="6"/>
    <n v="0.2"/>
    <n v="7"/>
    <n v="0.3"/>
    <n v="7"/>
    <n v="0.6"/>
    <n v="20"/>
    <n v="0.3"/>
    <x v="10"/>
  </r>
  <r>
    <s v="SP_Hawk"/>
    <s v="Hawk"/>
    <s v="PF_Hawk"/>
    <n v="180"/>
    <n v="180"/>
    <n v="20"/>
    <n v="25"/>
    <s v="-"/>
    <n v="0"/>
    <n v="25"/>
    <n v="17"/>
    <n v="0.7"/>
    <n v="8"/>
    <n v="0.4"/>
    <n v="0"/>
    <n v="0"/>
    <n v="25"/>
    <n v="0.4"/>
    <x v="46"/>
  </r>
  <r>
    <s v="SP_HermitCrabBlueBig"/>
    <s v="HermitCrabBlueBig"/>
    <s v="PF_HermitCrabBlueBig"/>
    <n v="90"/>
    <n v="90"/>
    <n v="18"/>
    <n v="25"/>
    <s v="-"/>
    <n v="2"/>
    <s v="-"/>
    <n v="0"/>
    <n v="0"/>
    <n v="0"/>
    <n v="0"/>
    <n v="17"/>
    <n v="1.5"/>
    <n v="17"/>
    <n v="0.3"/>
    <x v="47"/>
  </r>
  <r>
    <s v="SP_HermitCrabBlueSmall"/>
    <s v="HermitCrabBlueSmall"/>
    <s v="PF_HermitCrabBlueSmall"/>
    <n v="80"/>
    <n v="80"/>
    <n v="13"/>
    <n v="25"/>
    <s v="-"/>
    <n v="2"/>
    <s v="-"/>
    <n v="0"/>
    <n v="0"/>
    <n v="0"/>
    <n v="0"/>
    <n v="39"/>
    <n v="3.5"/>
    <n v="39"/>
    <n v="0.7"/>
    <x v="47"/>
  </r>
  <r>
    <s v="SP_HermitCrabBlueSmallTurret"/>
    <s v="HermitCrabBlueSmallTurret"/>
    <s v="PF_HermitCrabBlueSmallTurret"/>
    <n v="80"/>
    <n v="80"/>
    <n v="13"/>
    <n v="25"/>
    <s v="-"/>
    <n v="2"/>
    <s v="-"/>
    <n v="0"/>
    <n v="0"/>
    <n v="0"/>
    <n v="0"/>
    <n v="17"/>
    <n v="1.5"/>
    <n v="17"/>
    <n v="0.3"/>
    <x v="47"/>
  </r>
  <r>
    <s v="SP_HermitCrabRedTurret"/>
    <s v="HermitCrabRedTurret"/>
    <s v="PF_HermitCrabRedlTurret"/>
    <n v="150"/>
    <n v="150"/>
    <n v="18"/>
    <n v="55"/>
    <s v="-"/>
    <n v="2"/>
    <n v="10"/>
    <n v="0"/>
    <n v="0"/>
    <n v="0"/>
    <n v="0"/>
    <n v="7"/>
    <n v="0.6"/>
    <n v="7"/>
    <n v="0.1"/>
    <x v="47"/>
  </r>
  <r>
    <s v="SP_Horse"/>
    <s v="Horse"/>
    <s v="PF_Horse"/>
    <n v="220"/>
    <n v="220"/>
    <n v="25"/>
    <n v="83"/>
    <s v="-"/>
    <n v="1"/>
    <s v="-"/>
    <n v="4"/>
    <n v="0.2"/>
    <n v="0"/>
    <n v="0"/>
    <n v="0"/>
    <n v="0"/>
    <n v="4"/>
    <n v="0.1"/>
    <x v="48"/>
  </r>
  <r>
    <s v="SP_Horse_Static"/>
    <s v="Horse"/>
    <s v="PF_Horse_Static"/>
    <n v="220"/>
    <n v="220"/>
    <n v="25"/>
    <n v="83"/>
    <s v="-"/>
    <n v="1"/>
    <s v="-"/>
    <n v="5"/>
    <n v="0.2"/>
    <n v="3"/>
    <n v="0.1"/>
    <n v="0"/>
    <n v="0"/>
    <n v="8"/>
    <n v="0.1"/>
    <x v="48"/>
  </r>
  <r>
    <s v="SP_JellyfishBlue"/>
    <s v="JellyfishBlue"/>
    <s v="PF_JellyfishBlue"/>
    <n v="200"/>
    <n v="200"/>
    <n v="10"/>
    <n v="130"/>
    <s v="-"/>
    <n v="4"/>
    <n v="21"/>
    <n v="0"/>
    <n v="0"/>
    <n v="0"/>
    <n v="0"/>
    <n v="25"/>
    <n v="2.2999999999999998"/>
    <n v="25"/>
    <n v="0.4"/>
    <x v="49"/>
  </r>
  <r>
    <s v="SP_JellyfishBlue_Static"/>
    <s v="JellyfishBlue"/>
    <s v="PF_JellyfishBlue_Static"/>
    <n v="200"/>
    <n v="200"/>
    <n v="10"/>
    <n v="130"/>
    <s v="-"/>
    <n v="4"/>
    <n v="21"/>
    <n v="0"/>
    <n v="0"/>
    <n v="0"/>
    <n v="0"/>
    <n v="7"/>
    <n v="0.6"/>
    <n v="7"/>
    <n v="0.1"/>
    <x v="49"/>
  </r>
  <r>
    <s v="SP_JellyfishRed"/>
    <s v="JellyfishRed"/>
    <s v="PF_JellyfishRed"/>
    <n v="250"/>
    <n v="250"/>
    <n v="12"/>
    <n v="263"/>
    <s v="-"/>
    <n v="5"/>
    <n v="25"/>
    <n v="0"/>
    <n v="0"/>
    <n v="0"/>
    <n v="0"/>
    <n v="18"/>
    <n v="1.6"/>
    <n v="18"/>
    <n v="0.3"/>
    <x v="50"/>
  </r>
  <r>
    <s v="SP_JellyfishRed_Static"/>
    <s v="JellyfishRed"/>
    <s v="PF_JellyfishRed_Static"/>
    <n v="250"/>
    <n v="250"/>
    <n v="12"/>
    <n v="263"/>
    <s v="-"/>
    <n v="5"/>
    <n v="25"/>
    <n v="0"/>
    <n v="0"/>
    <n v="0"/>
    <n v="0"/>
    <n v="6"/>
    <n v="0.5"/>
    <n v="6"/>
    <n v="0.1"/>
    <x v="50"/>
  </r>
  <r>
    <s v="SP_Kamikaze"/>
    <s v="Kamikaze"/>
    <s v="PF_Kamikaze"/>
    <n v="200"/>
    <n v="200"/>
    <n v="32"/>
    <n v="75"/>
    <s v="-"/>
    <n v="0"/>
    <n v="40"/>
    <n v="0"/>
    <n v="0"/>
    <n v="26"/>
    <n v="1.3"/>
    <n v="0"/>
    <n v="0"/>
    <n v="26"/>
    <n v="0.5"/>
    <x v="51"/>
  </r>
  <r>
    <s v="SP_LionBird"/>
    <s v="LionBird"/>
    <s v="PF_LionBird"/>
    <n v="170"/>
    <n v="170"/>
    <n v="10"/>
    <n v="70"/>
    <s v="-"/>
    <n v="2"/>
    <n v="5"/>
    <n v="34"/>
    <n v="1.3"/>
    <n v="49"/>
    <n v="2.4"/>
    <n v="0"/>
    <n v="0"/>
    <n v="83"/>
    <n v="1.4"/>
    <x v="52"/>
  </r>
  <r>
    <s v="SP_MexicanPepper"/>
    <s v="MexicanPepper"/>
    <s v="PF_MexicanPepper"/>
    <n v="5000"/>
    <n v="5000"/>
    <n v="1"/>
    <n v="25"/>
    <s v="-"/>
    <n v="0"/>
    <s v="-"/>
    <n v="22"/>
    <n v="0.9"/>
    <n v="13"/>
    <n v="0.6"/>
    <n v="12"/>
    <n v="1.1000000000000001"/>
    <n v="47"/>
    <n v="0.8"/>
    <x v="53"/>
  </r>
  <r>
    <s v="SP_MineBig"/>
    <s v="MineBig"/>
    <s v="PF_MineBig"/>
    <n v="2500"/>
    <n v="2500"/>
    <n v="0"/>
    <n v="263"/>
    <s v="-"/>
    <s v="-"/>
    <n v="350"/>
    <n v="15"/>
    <n v="0.6"/>
    <n v="6"/>
    <n v="0.3"/>
    <n v="0"/>
    <n v="0"/>
    <n v="21"/>
    <n v="0.4"/>
    <x v="54"/>
  </r>
  <r>
    <s v="SP_MineBig_Static"/>
    <s v="MineBig"/>
    <s v="PF_MineBig_Static"/>
    <n v="2500"/>
    <n v="2500"/>
    <n v="0"/>
    <n v="263"/>
    <s v="-"/>
    <s v="-"/>
    <n v="350"/>
    <n v="11"/>
    <n v="0.4"/>
    <n v="10"/>
    <n v="0.5"/>
    <n v="0"/>
    <n v="0"/>
    <n v="21"/>
    <n v="0.4"/>
    <x v="54"/>
  </r>
  <r>
    <s v="SP_MineMedium"/>
    <s v="MineMedium"/>
    <s v="PF_MineMedium"/>
    <n v="2000"/>
    <n v="2000"/>
    <n v="0"/>
    <n v="175"/>
    <s v="-"/>
    <n v="5"/>
    <n v="150"/>
    <n v="11"/>
    <n v="0.4"/>
    <n v="9"/>
    <n v="0.4"/>
    <n v="0"/>
    <n v="0"/>
    <n v="20"/>
    <n v="0.3"/>
    <x v="55"/>
  </r>
  <r>
    <s v="SP_MineMedium_Static"/>
    <s v="MineMedium"/>
    <s v="PF_MineMedium_Static"/>
    <n v="2000"/>
    <n v="2000"/>
    <n v="0"/>
    <n v="175"/>
    <s v="-"/>
    <n v="5"/>
    <n v="150"/>
    <n v="17"/>
    <n v="0.7"/>
    <n v="9"/>
    <n v="0.4"/>
    <n v="0"/>
    <n v="0"/>
    <n v="26"/>
    <n v="0.5"/>
    <x v="55"/>
  </r>
  <r>
    <s v="SP_Miner01_Mix"/>
    <s v="Miner"/>
    <s v="PF_WorkerMiner"/>
    <n v="200"/>
    <n v="200"/>
    <n v="12"/>
    <n v="90"/>
    <s v="-"/>
    <n v="0"/>
    <s v="-"/>
    <n v="0"/>
    <n v="0"/>
    <n v="155"/>
    <n v="7.5"/>
    <n v="0"/>
    <n v="0"/>
    <n v="155"/>
    <n v="2.7"/>
    <x v="56"/>
  </r>
  <r>
    <s v="SP_Miner02_Mix"/>
    <s v="Miner"/>
    <s v="PF_WorkerMiner"/>
    <n v="200"/>
    <n v="200"/>
    <n v="12"/>
    <n v="90"/>
    <s v="-"/>
    <n v="0"/>
    <s v="-"/>
    <n v="0"/>
    <n v="0"/>
    <n v="15"/>
    <n v="0.7"/>
    <n v="0"/>
    <n v="0"/>
    <n v="15"/>
    <n v="0.3"/>
    <x v="56"/>
  </r>
  <r>
    <s v="SP_Miner03_Mix"/>
    <s v="Miner"/>
    <s v="PF_WorkerMiner"/>
    <n v="200"/>
    <n v="200"/>
    <n v="12"/>
    <n v="90"/>
    <s v="-"/>
    <n v="0"/>
    <s v="-"/>
    <n v="0"/>
    <n v="0"/>
    <n v="43"/>
    <n v="2.1"/>
    <n v="0"/>
    <n v="0"/>
    <n v="43"/>
    <n v="0.8"/>
    <x v="56"/>
  </r>
  <r>
    <s v="SP_MineSmall"/>
    <s v="MineSmall"/>
    <s v="PF_MineSmall"/>
    <n v="1500"/>
    <n v="1500"/>
    <n v="2"/>
    <n v="130"/>
    <s v="-"/>
    <n v="4"/>
    <n v="25"/>
    <n v="25"/>
    <n v="1"/>
    <n v="6"/>
    <n v="0.3"/>
    <n v="0"/>
    <n v="0"/>
    <n v="31"/>
    <n v="0.5"/>
    <x v="57"/>
  </r>
  <r>
    <s v="SP_MineSmall_Static"/>
    <s v="MineSmall"/>
    <s v="PF_MineSmall_Static"/>
    <n v="1500"/>
    <n v="1500"/>
    <n v="2"/>
    <n v="130"/>
    <s v="-"/>
    <n v="4"/>
    <n v="25"/>
    <n v="31"/>
    <n v="1.2"/>
    <n v="22"/>
    <n v="1.1000000000000001"/>
    <n v="0"/>
    <n v="0"/>
    <n v="53"/>
    <n v="0.9"/>
    <x v="57"/>
  </r>
  <r>
    <s v="SP_Mushroom"/>
    <s v="Mushroom"/>
    <s v="PF_Mushroom"/>
    <n v="210"/>
    <n v="210"/>
    <n v="15"/>
    <n v="65"/>
    <s v="-"/>
    <n v="4"/>
    <n v="15"/>
    <n v="0"/>
    <n v="0"/>
    <n v="0"/>
    <n v="0"/>
    <n v="5"/>
    <n v="0.5"/>
    <n v="5"/>
    <n v="0.1"/>
    <x v="58"/>
  </r>
  <r>
    <s v="SP_MushroomBig"/>
    <s v="Mushroom"/>
    <s v="PF_MushroomBig"/>
    <n v="210"/>
    <n v="210"/>
    <n v="15"/>
    <n v="65"/>
    <s v="-"/>
    <n v="4"/>
    <n v="15"/>
    <n v="0"/>
    <n v="0"/>
    <n v="0"/>
    <n v="0"/>
    <n v="3"/>
    <n v="0.3"/>
    <n v="3"/>
    <n v="0.1"/>
    <x v="58"/>
  </r>
  <r>
    <s v="SP_MushroomPrey"/>
    <s v="MushroomPrey"/>
    <s v="PF_MushroomPrey"/>
    <n v="210"/>
    <n v="210"/>
    <n v="14"/>
    <n v="50"/>
    <s v="-"/>
    <n v="2"/>
    <n v="15"/>
    <n v="0"/>
    <n v="0"/>
    <n v="0"/>
    <n v="0"/>
    <n v="7"/>
    <n v="0.6"/>
    <n v="7"/>
    <n v="0.1"/>
    <x v="58"/>
  </r>
  <r>
    <s v="SP_OwlBig"/>
    <s v="OwlBig"/>
    <s v="PF_OwlBig"/>
    <n v="200"/>
    <n v="200"/>
    <n v="10"/>
    <n v="28"/>
    <s v="-"/>
    <n v="1"/>
    <s v="-"/>
    <n v="32"/>
    <n v="1.3"/>
    <n v="28"/>
    <n v="1.3"/>
    <n v="0"/>
    <n v="0"/>
    <n v="60"/>
    <n v="1"/>
    <x v="59"/>
  </r>
  <r>
    <s v="SP_OwlWhite"/>
    <s v="OwlWhite"/>
    <s v="PF_OwlWhite"/>
    <n v="150"/>
    <n v="150"/>
    <n v="14"/>
    <n v="50"/>
    <s v="-"/>
    <n v="0"/>
    <s v="-"/>
    <n v="0"/>
    <n v="0"/>
    <n v="0"/>
    <n v="0"/>
    <n v="21"/>
    <n v="1.9"/>
    <n v="21"/>
    <n v="0.4"/>
    <x v="59"/>
  </r>
  <r>
    <s v="SP_Piranha"/>
    <s v="Piranha"/>
    <s v="PF_Piranha"/>
    <n v="170"/>
    <n v="170"/>
    <n v="5"/>
    <n v="28"/>
    <s v="-"/>
    <n v="1"/>
    <n v="2"/>
    <n v="18"/>
    <n v="0.7"/>
    <n v="18"/>
    <n v="0.9"/>
    <n v="0"/>
    <n v="0"/>
    <n v="36"/>
    <n v="0.6"/>
    <x v="60"/>
  </r>
  <r>
    <s v="SP_PiranhaDark"/>
    <s v="PiranhaDark"/>
    <s v="PF_PiranhaDark"/>
    <n v="170"/>
    <n v="170"/>
    <n v="10"/>
    <n v="70"/>
    <s v="-"/>
    <n v="2"/>
    <n v="2"/>
    <n v="0"/>
    <n v="0"/>
    <n v="0"/>
    <n v="0"/>
    <n v="5"/>
    <n v="0.5"/>
    <n v="5"/>
    <n v="0.1"/>
    <x v="60"/>
  </r>
  <r>
    <s v="SP_PufferBird"/>
    <s v="PufferBird"/>
    <s v="PF_PufferBird"/>
    <n v="220"/>
    <n v="220"/>
    <n v="8"/>
    <n v="25"/>
    <s v="-"/>
    <n v="0"/>
    <n v="8"/>
    <n v="30"/>
    <n v="1.2"/>
    <n v="23"/>
    <n v="1.1000000000000001"/>
    <n v="0"/>
    <n v="0"/>
    <n v="53"/>
    <n v="0.9"/>
    <x v="61"/>
  </r>
  <r>
    <s v="SP_Rat"/>
    <s v="Rat"/>
    <s v="PF_Rat"/>
    <n v="120"/>
    <n v="120"/>
    <n v="2"/>
    <n v="25"/>
    <s v="-"/>
    <n v="0"/>
    <s v="-"/>
    <n v="49"/>
    <n v="1.9"/>
    <n v="54"/>
    <n v="2.6"/>
    <n v="0"/>
    <n v="0"/>
    <n v="103"/>
    <n v="1.8"/>
    <x v="62"/>
  </r>
  <r>
    <s v="SP_Rat_Static"/>
    <s v="Rat"/>
    <s v="PF_Rat_Static"/>
    <n v="120"/>
    <n v="120"/>
    <n v="2"/>
    <n v="25"/>
    <s v="-"/>
    <n v="0"/>
    <s v="-"/>
    <n v="0"/>
    <n v="0"/>
    <n v="0"/>
    <n v="0"/>
    <n v="0"/>
    <n v="0"/>
    <n v="0"/>
    <n v="0"/>
    <x v="62"/>
  </r>
  <r>
    <s v="SP_RatGrey"/>
    <s v="RatGrey"/>
    <s v="PF_RatGrey"/>
    <n v="120"/>
    <n v="120"/>
    <n v="5"/>
    <n v="40"/>
    <s v="-"/>
    <n v="0"/>
    <s v="-"/>
    <n v="0"/>
    <n v="0"/>
    <n v="0"/>
    <n v="0"/>
    <n v="12"/>
    <n v="1.1000000000000001"/>
    <n v="12"/>
    <n v="0.2"/>
    <x v="62"/>
  </r>
  <r>
    <s v="SP_RatWall"/>
    <s v="Rat"/>
    <s v="PF_RatWall"/>
    <n v="120"/>
    <n v="120"/>
    <n v="2"/>
    <n v="25"/>
    <s v="-"/>
    <n v="0"/>
    <s v="-"/>
    <n v="3"/>
    <n v="0.1"/>
    <n v="0"/>
    <n v="0"/>
    <n v="0"/>
    <n v="0"/>
    <n v="3"/>
    <n v="0.1"/>
    <x v="62"/>
  </r>
  <r>
    <s v="SP_Razorback"/>
    <s v="Razorback"/>
    <s v="PF_Razorback"/>
    <n v="280"/>
    <n v="280"/>
    <n v="20"/>
    <n v="70"/>
    <s v="-"/>
    <n v="2"/>
    <s v="-"/>
    <n v="12"/>
    <n v="0.5"/>
    <n v="6"/>
    <n v="0.3"/>
    <n v="5"/>
    <n v="0.5"/>
    <n v="23"/>
    <n v="0.4"/>
    <x v="63"/>
  </r>
  <r>
    <s v="SP_RazorbackBaby"/>
    <s v="RazorbackBaby"/>
    <s v="PF_RazorbackBaby"/>
    <n v="240"/>
    <n v="240"/>
    <n v="12"/>
    <n v="75"/>
    <s v="-"/>
    <n v="0"/>
    <s v="-"/>
    <n v="6"/>
    <n v="0.2"/>
    <n v="0"/>
    <n v="0"/>
    <n v="0"/>
    <n v="0"/>
    <n v="6"/>
    <n v="0.1"/>
    <x v="63"/>
  </r>
  <r>
    <s v="SP_Richman"/>
    <s v="RichMan"/>
    <s v="PF_Richman"/>
    <n v="260"/>
    <n v="260"/>
    <n v="15"/>
    <n v="50"/>
    <s v="-"/>
    <n v="0"/>
    <s v="-"/>
    <n v="0"/>
    <n v="0"/>
    <n v="7"/>
    <n v="0.3"/>
    <n v="0"/>
    <n v="0"/>
    <n v="7"/>
    <n v="0.1"/>
    <x v="64"/>
  </r>
  <r>
    <s v="SP_RichMan_Static"/>
    <s v="RichMan"/>
    <s v="PF_RichMan_Static"/>
    <n v="260"/>
    <n v="260"/>
    <n v="15"/>
    <n v="50"/>
    <s v="-"/>
    <n v="0"/>
    <s v="-"/>
    <n v="0"/>
    <n v="0"/>
    <n v="18"/>
    <n v="0.9"/>
    <n v="0"/>
    <n v="0"/>
    <n v="18"/>
    <n v="0.3"/>
    <x v="64"/>
  </r>
  <r>
    <s v="SP_Scarab"/>
    <s v="Scarab"/>
    <s v="PF_Scarab"/>
    <n v="110"/>
    <n v="110"/>
    <n v="20"/>
    <n v="105"/>
    <s v="-"/>
    <n v="2"/>
    <s v="-"/>
    <n v="0"/>
    <n v="0"/>
    <n v="0"/>
    <n v="0"/>
    <n v="16"/>
    <n v="1.4"/>
    <n v="16"/>
    <n v="0.3"/>
    <x v="65"/>
  </r>
  <r>
    <s v="SP_SeatVillager"/>
    <s v="BoatFisher"/>
    <s v="PF_SeatVillager"/>
    <n v="130"/>
    <n v="130"/>
    <n v="15"/>
    <n v="50"/>
    <s v="-"/>
    <n v="0"/>
    <s v="-"/>
    <n v="2"/>
    <n v="0.1"/>
    <n v="0"/>
    <n v="0"/>
    <n v="0"/>
    <n v="0"/>
    <n v="2"/>
    <n v="0"/>
    <x v="7"/>
  </r>
  <r>
    <s v="SP_Shark"/>
    <s v="Shark"/>
    <s v="PF_Shark"/>
    <n v="180"/>
    <n v="180"/>
    <n v="150"/>
    <n v="195"/>
    <s v="-"/>
    <n v="4"/>
    <s v="-"/>
    <n v="0"/>
    <n v="0"/>
    <n v="0"/>
    <n v="0"/>
    <n v="8"/>
    <n v="0.7"/>
    <n v="8"/>
    <n v="0.1"/>
    <x v="66"/>
  </r>
  <r>
    <s v="SP_Sheep"/>
    <s v="Sheep"/>
    <s v="PF_Sheep"/>
    <n v="200"/>
    <n v="200"/>
    <n v="7"/>
    <n v="75"/>
    <s v="-"/>
    <n v="0"/>
    <s v="-"/>
    <n v="44"/>
    <n v="1.7"/>
    <n v="0"/>
    <n v="0"/>
    <n v="0"/>
    <n v="0"/>
    <n v="44"/>
    <n v="0.8"/>
    <x v="67"/>
  </r>
  <r>
    <s v="SP_Sheep_Static"/>
    <s v="Sheep"/>
    <s v="PF_Sheep_Static"/>
    <n v="200"/>
    <n v="200"/>
    <n v="7"/>
    <n v="75"/>
    <s v="-"/>
    <n v="0"/>
    <s v="-"/>
    <n v="2"/>
    <n v="0.1"/>
    <n v="0"/>
    <n v="0"/>
    <n v="0"/>
    <n v="0"/>
    <n v="2"/>
    <n v="0"/>
    <x v="67"/>
  </r>
  <r>
    <s v="SP_Shieldman"/>
    <s v="ShieldMan"/>
    <s v="PF_Shieldman"/>
    <n v="300"/>
    <n v="300"/>
    <n v="30"/>
    <n v="105"/>
    <s v="-"/>
    <n v="2"/>
    <s v="-"/>
    <n v="0"/>
    <n v="0"/>
    <n v="6"/>
    <n v="0.3"/>
    <n v="0"/>
    <n v="0"/>
    <n v="6"/>
    <n v="0.1"/>
    <x v="68"/>
  </r>
  <r>
    <s v="SP_Slime"/>
    <s v="Slime"/>
    <s v="PF_Slime"/>
    <n v="120"/>
    <n v="120"/>
    <n v="5"/>
    <n v="35"/>
    <s v="-"/>
    <n v="2"/>
    <s v="-"/>
    <n v="0"/>
    <n v="0"/>
    <n v="0"/>
    <n v="0"/>
    <n v="21"/>
    <n v="1.9"/>
    <n v="21"/>
    <n v="0.4"/>
    <x v="69"/>
  </r>
  <r>
    <s v="SP_SlimePoison"/>
    <s v="SlimePoison"/>
    <s v="PF_SlimePoison"/>
    <n v="120"/>
    <n v="120"/>
    <n v="35"/>
    <n v="130"/>
    <s v="-"/>
    <n v="4"/>
    <n v="50"/>
    <n v="0"/>
    <n v="0"/>
    <n v="0"/>
    <n v="0"/>
    <n v="7"/>
    <n v="0.6"/>
    <n v="7"/>
    <n v="0.1"/>
    <x v="70"/>
  </r>
  <r>
    <s v="SP_SnailUnka"/>
    <s v="SnailUnka"/>
    <s v="PF_SnailUnka"/>
    <n v="120"/>
    <n v="120"/>
    <n v="40"/>
    <n v="48"/>
    <s v="-"/>
    <n v="3"/>
    <s v="-"/>
    <n v="0"/>
    <n v="0"/>
    <n v="0"/>
    <n v="0"/>
    <n v="7"/>
    <n v="0.6"/>
    <n v="7"/>
    <n v="0.1"/>
    <x v="71"/>
  </r>
  <r>
    <s v="SP_Soldier01"/>
    <s v="Soldier"/>
    <s v="PF_Soldier01"/>
    <n v="310"/>
    <n v="310"/>
    <n v="50"/>
    <n v="70"/>
    <s v="-"/>
    <n v="1"/>
    <n v="55"/>
    <n v="0"/>
    <n v="0"/>
    <n v="5"/>
    <n v="0.2"/>
    <n v="0"/>
    <n v="0"/>
    <n v="5"/>
    <n v="0.1"/>
    <x v="72"/>
  </r>
  <r>
    <s v="SP_Soldier01_Static"/>
    <s v="Soldier"/>
    <s v="PF_Soldier01_Static"/>
    <n v="310"/>
    <n v="310"/>
    <n v="50"/>
    <n v="70"/>
    <s v="-"/>
    <n v="1"/>
    <n v="55"/>
    <n v="0"/>
    <n v="0"/>
    <n v="7"/>
    <n v="0.3"/>
    <n v="0"/>
    <n v="0"/>
    <n v="7"/>
    <n v="0.1"/>
    <x v="72"/>
  </r>
  <r>
    <s v="SP_Spartakus"/>
    <s v="Spartakus"/>
    <s v="PF_Spartakus"/>
    <n v="180"/>
    <n v="180"/>
    <n v="30"/>
    <n v="75"/>
    <s v="-"/>
    <n v="0"/>
    <n v="5"/>
    <n v="14"/>
    <n v="0.5"/>
    <n v="17"/>
    <n v="0.8"/>
    <n v="0"/>
    <n v="0"/>
    <n v="31"/>
    <n v="0.5"/>
    <x v="73"/>
  </r>
  <r>
    <s v="SP_SpiderGreenTurret"/>
    <s v="SpiderGreenTurret"/>
    <s v="PF_SpiderGreenTurret"/>
    <n v="170"/>
    <n v="170"/>
    <n v="20"/>
    <n v="70"/>
    <s v="-"/>
    <n v="2"/>
    <n v="10"/>
    <n v="10"/>
    <n v="0.4"/>
    <n v="22"/>
    <n v="1.1000000000000001"/>
    <n v="2"/>
    <n v="0.2"/>
    <n v="34"/>
    <n v="0.6"/>
    <x v="74"/>
  </r>
  <r>
    <s v="SP_SpiderRed"/>
    <s v="SpiderRed"/>
    <s v="PF_SpiderRed"/>
    <n v="170"/>
    <n v="170"/>
    <n v="20"/>
    <n v="70"/>
    <s v="-"/>
    <n v="2"/>
    <n v="25"/>
    <n v="66"/>
    <n v="2.6"/>
    <n v="39"/>
    <n v="1.9"/>
    <n v="9"/>
    <n v="0.8"/>
    <n v="114"/>
    <n v="2"/>
    <x v="75"/>
  </r>
  <r>
    <s v="SP_SpiderSmall"/>
    <s v="SpiderSmall"/>
    <s v="PF_SpiderSmall"/>
    <n v="150"/>
    <n v="150"/>
    <n v="4"/>
    <n v="25"/>
    <s v="-"/>
    <n v="0"/>
    <s v="-"/>
    <n v="254"/>
    <n v="9.9"/>
    <n v="186"/>
    <n v="9"/>
    <n v="34"/>
    <n v="3.1"/>
    <n v="474"/>
    <n v="8.3000000000000007"/>
    <x v="76"/>
  </r>
  <r>
    <s v="SP_SpiderSmallTurret"/>
    <s v="SpiderSmall"/>
    <s v="PF_SpiderSmallTurret"/>
    <n v="150"/>
    <n v="150"/>
    <n v="4"/>
    <n v="25"/>
    <s v="-"/>
    <n v="0"/>
    <s v="-"/>
    <n v="39"/>
    <n v="1.5"/>
    <n v="68"/>
    <n v="3.3"/>
    <n v="5"/>
    <n v="0.5"/>
    <n v="112"/>
    <n v="2"/>
    <x v="76"/>
  </r>
  <r>
    <s v="SP_Starling_Flock"/>
    <s v="Starling_Flock"/>
    <s v="PF_Starling_Flock"/>
    <n v="180"/>
    <n v="180"/>
    <n v="3"/>
    <n v="25"/>
    <s v="-"/>
    <n v="0"/>
    <s v="-"/>
    <n v="49"/>
    <n v="1.9"/>
    <n v="8"/>
    <n v="0.4"/>
    <n v="0"/>
    <n v="0"/>
    <n v="57"/>
    <n v="1"/>
    <x v="77"/>
  </r>
  <r>
    <s v="SP_StingrayLarge"/>
    <s v="StingrayLarge"/>
    <s v="PF_StingrayLarge"/>
    <n v="180"/>
    <n v="180"/>
    <n v="100"/>
    <n v="95"/>
    <s v="-"/>
    <n v="3"/>
    <n v="25"/>
    <n v="0"/>
    <n v="0"/>
    <n v="0"/>
    <n v="0"/>
    <n v="7"/>
    <n v="0.6"/>
    <n v="7"/>
    <n v="0.1"/>
    <x v="78"/>
  </r>
  <r>
    <s v="SP_StingraySmall"/>
    <s v="StingraySmall"/>
    <s v="PF_StingraySmall"/>
    <n v="120"/>
    <n v="120"/>
    <n v="35"/>
    <n v="35"/>
    <s v="-"/>
    <n v="2"/>
    <s v="-"/>
    <n v="0"/>
    <n v="0"/>
    <n v="0"/>
    <n v="0"/>
    <n v="35"/>
    <n v="3.2"/>
    <n v="35"/>
    <n v="0.6"/>
    <x v="78"/>
  </r>
  <r>
    <s v="SP_Troll"/>
    <s v="Troll"/>
    <s v="PF_Troll"/>
    <n v="420"/>
    <n v="420"/>
    <n v="300"/>
    <n v="83"/>
    <s v="-"/>
    <n v="1"/>
    <n v="60"/>
    <n v="15"/>
    <n v="0.6"/>
    <n v="0"/>
    <n v="0"/>
    <n v="3"/>
    <n v="0.3"/>
    <n v="18"/>
    <n v="0.3"/>
    <x v="79"/>
  </r>
  <r>
    <s v="SP_TubeMan"/>
    <s v="Villager01"/>
    <s v="PF_TubeMan"/>
    <n v="150"/>
    <n v="150"/>
    <n v="15"/>
    <n v="50"/>
    <s v="-"/>
    <n v="0"/>
    <s v="-"/>
    <n v="0"/>
    <n v="0"/>
    <n v="10"/>
    <n v="0.5"/>
    <n v="0"/>
    <n v="0"/>
    <n v="10"/>
    <n v="0.2"/>
    <x v="80"/>
  </r>
  <r>
    <s v="SP_Unka"/>
    <s v="Unka"/>
    <s v="PF_UnkasGarlicHead"/>
    <n v="120"/>
    <n v="120"/>
    <n v="40"/>
    <n v="48"/>
    <s v="-"/>
    <n v="3"/>
    <s v="-"/>
    <n v="0"/>
    <n v="0"/>
    <n v="0"/>
    <n v="0"/>
    <n v="27"/>
    <n v="2.4"/>
    <n v="27"/>
    <n v="0.5"/>
    <x v="81"/>
  </r>
  <r>
    <s v="SP_Villager_Mix"/>
    <s v="Villager01"/>
    <s v="PF_Villager01"/>
    <n v="120"/>
    <n v="120"/>
    <n v="15"/>
    <n v="50"/>
    <s v="-"/>
    <n v="0"/>
    <s v="-"/>
    <n v="12"/>
    <n v="0.5"/>
    <n v="45"/>
    <n v="2.2000000000000002"/>
    <n v="0"/>
    <n v="0"/>
    <n v="57"/>
    <n v="1"/>
    <x v="80"/>
  </r>
  <r>
    <s v="SP_Villager01"/>
    <s v="Villager01"/>
    <s v="PF_Villager01"/>
    <n v="220"/>
    <n v="220"/>
    <n v="15"/>
    <n v="50"/>
    <s v="-"/>
    <n v="0"/>
    <s v="-"/>
    <n v="34"/>
    <n v="1.3"/>
    <n v="5"/>
    <n v="0.2"/>
    <n v="0"/>
    <n v="0"/>
    <n v="39"/>
    <n v="0.7"/>
    <x v="80"/>
  </r>
  <r>
    <s v="SP_Villager01_Static"/>
    <s v="Villager01"/>
    <s v="PF_Villager01_Static"/>
    <n v="220"/>
    <n v="220"/>
    <n v="15"/>
    <n v="50"/>
    <s v="-"/>
    <n v="0"/>
    <s v="-"/>
    <n v="15"/>
    <n v="0.6"/>
    <n v="3"/>
    <n v="0.1"/>
    <n v="0"/>
    <n v="0"/>
    <n v="18"/>
    <n v="0.3"/>
    <x v="80"/>
  </r>
  <r>
    <s v="SP_Villager02"/>
    <s v="Villager02"/>
    <s v="PF_Villager02"/>
    <n v="220"/>
    <n v="220"/>
    <n v="15"/>
    <n v="50"/>
    <s v="-"/>
    <n v="0"/>
    <s v="-"/>
    <n v="3"/>
    <n v="0.1"/>
    <n v="0"/>
    <n v="0"/>
    <n v="0"/>
    <n v="0"/>
    <n v="3"/>
    <n v="0.1"/>
    <x v="80"/>
  </r>
  <r>
    <s v="SP_Villager02_Static"/>
    <s v="Villager02"/>
    <s v="PF_Villager02_Static"/>
    <n v="220"/>
    <n v="220"/>
    <n v="15"/>
    <n v="50"/>
    <s v="-"/>
    <n v="0"/>
    <s v="-"/>
    <n v="2"/>
    <n v="0.1"/>
    <n v="0"/>
    <n v="0"/>
    <n v="0"/>
    <n v="0"/>
    <n v="2"/>
    <n v="0"/>
    <x v="80"/>
  </r>
  <r>
    <s v="SP_Villager03"/>
    <s v="BadJunk"/>
    <s v="PF_Villager03"/>
    <n v="220"/>
    <n v="220"/>
    <n v="-10"/>
    <n v="0"/>
    <s v="-"/>
    <n v="0"/>
    <s v="-"/>
    <n v="0"/>
    <n v="0"/>
    <n v="0"/>
    <n v="0"/>
    <n v="0"/>
    <n v="0"/>
    <n v="0"/>
    <n v="0"/>
    <x v="2"/>
  </r>
  <r>
    <s v="SP_Villager03_Static"/>
    <s v="BadJunk"/>
    <s v="PF_Villager03_Static"/>
    <n v="220"/>
    <n v="220"/>
    <n v="-10"/>
    <n v="0"/>
    <s v="-"/>
    <n v="0"/>
    <s v="-"/>
    <n v="8"/>
    <n v="0.3"/>
    <n v="0"/>
    <n v="0"/>
    <n v="0"/>
    <n v="0"/>
    <n v="8"/>
    <n v="0.1"/>
    <x v="2"/>
  </r>
  <r>
    <s v="SP_Villager04"/>
    <s v="BadJunk"/>
    <s v="PF_Villager04"/>
    <n v="220"/>
    <n v="220"/>
    <n v="-10"/>
    <n v="0"/>
    <s v="-"/>
    <n v="0"/>
    <s v="-"/>
    <n v="0"/>
    <n v="0"/>
    <n v="5"/>
    <n v="0.2"/>
    <n v="5"/>
    <n v="0.5"/>
    <n v="10"/>
    <n v="0.2"/>
    <x v="2"/>
  </r>
  <r>
    <s v="SP_Villager04_Static"/>
    <s v="BadJunk"/>
    <s v="PF_Villager04_Static"/>
    <n v="220"/>
    <n v="220"/>
    <n v="-10"/>
    <n v="0"/>
    <s v="-"/>
    <n v="0"/>
    <s v="-"/>
    <n v="1"/>
    <n v="0"/>
    <n v="0"/>
    <n v="0"/>
    <n v="0"/>
    <n v="0"/>
    <n v="1"/>
    <n v="0"/>
    <x v="2"/>
  </r>
  <r>
    <s v="SP_VillagerGirl"/>
    <s v="BadJunk"/>
    <s v="PF_VillagerGirl"/>
    <n v="220"/>
    <n v="220"/>
    <n v="-10"/>
    <n v="0"/>
    <s v="-"/>
    <n v="0"/>
    <s v="-"/>
    <n v="2"/>
    <n v="0.1"/>
    <n v="0"/>
    <n v="0"/>
    <n v="0"/>
    <n v="0"/>
    <n v="2"/>
    <n v="0"/>
    <x v="2"/>
  </r>
  <r>
    <s v="SP_VillagerGirl_Static"/>
    <s v="BadJunk"/>
    <s v="PF_VillagerGirl_Static"/>
    <n v="220"/>
    <n v="220"/>
    <n v="-10"/>
    <n v="0"/>
    <s v="-"/>
    <n v="0"/>
    <s v="-"/>
    <n v="13"/>
    <n v="0.5"/>
    <n v="0"/>
    <n v="0"/>
    <n v="0"/>
    <n v="0"/>
    <n v="13"/>
    <n v="0.2"/>
    <x v="2"/>
  </r>
  <r>
    <s v="SP_Vulture"/>
    <s v="Vulture"/>
    <s v="PF_Vulture"/>
    <n v="120"/>
    <n v="120"/>
    <n v="15"/>
    <n v="50"/>
    <s v="-"/>
    <n v="0"/>
    <s v="-"/>
    <n v="45"/>
    <n v="1.8"/>
    <n v="45"/>
    <n v="2.2000000000000002"/>
    <n v="14"/>
    <n v="1.3"/>
    <n v="104"/>
    <n v="1.8"/>
    <x v="82"/>
  </r>
  <r>
    <s v="SP_witch"/>
    <s v="Witch"/>
    <s v="PF_WitchAir"/>
    <n v="300"/>
    <n v="300"/>
    <n v="20"/>
    <n v="50"/>
    <s v="-"/>
    <n v="0"/>
    <n v="32"/>
    <n v="20"/>
    <n v="0.8"/>
    <n v="0"/>
    <n v="0"/>
    <n v="10"/>
    <n v="0.9"/>
    <n v="30"/>
    <n v="0.5"/>
    <x v="83"/>
  </r>
  <r>
    <s v="SP_Worker_Mix"/>
    <s v="Worker"/>
    <s v="PF_Worker01"/>
    <n v="200"/>
    <n v="200"/>
    <n v="8"/>
    <n v="75"/>
    <s v="-"/>
    <n v="0"/>
    <s v="-"/>
    <n v="79"/>
    <n v="3.1"/>
    <n v="16"/>
    <n v="0.8"/>
    <n v="0"/>
    <n v="0"/>
    <n v="95"/>
    <n v="1.7"/>
    <x v="84"/>
  </r>
  <r>
    <s v="SP_Worker01"/>
    <s v="Worker"/>
    <s v="PF_Worker01"/>
    <n v="200"/>
    <n v="200"/>
    <n v="8"/>
    <n v="75"/>
    <s v="-"/>
    <n v="0"/>
    <s v="-"/>
    <n v="4"/>
    <n v="0.2"/>
    <n v="0"/>
    <n v="0"/>
    <n v="0"/>
    <n v="0"/>
    <n v="4"/>
    <n v="0.1"/>
    <x v="84"/>
  </r>
  <r>
    <s v="SP_Worker02"/>
    <s v="Worker"/>
    <s v="PF_Worker02"/>
    <n v="200"/>
    <n v="200"/>
    <n v="8"/>
    <n v="75"/>
    <s v="-"/>
    <n v="0"/>
    <s v="-"/>
    <n v="0"/>
    <n v="0"/>
    <n v="0"/>
    <n v="0"/>
    <n v="0"/>
    <n v="0"/>
    <n v="0"/>
    <n v="0"/>
    <x v="84"/>
  </r>
  <r>
    <s v="SP_WorkerSpace"/>
    <s v="WorkerSpace"/>
    <s v="PF_WorkerSpace"/>
    <n v="200"/>
    <n v="200"/>
    <n v="8"/>
    <n v="75"/>
    <s v="-"/>
    <n v="0"/>
    <s v="-"/>
    <n v="86"/>
    <n v="3.4"/>
    <n v="43"/>
    <n v="2.1"/>
    <n v="0"/>
    <n v="0"/>
    <n v="129"/>
    <n v="2.2999999999999998"/>
    <x v="85"/>
  </r>
  <r>
    <s v="SP_WorkerSpaceWalking"/>
    <s v="WorkerSpace"/>
    <s v="PF_WorkerSpaceWalking"/>
    <n v="200"/>
    <n v="200"/>
    <n v="8"/>
    <n v="75"/>
    <s v="-"/>
    <n v="0"/>
    <s v="-"/>
    <n v="9"/>
    <n v="0.4"/>
    <n v="3"/>
    <n v="0.1"/>
    <n v="0"/>
    <n v="0"/>
    <n v="12"/>
    <n v="0.2"/>
    <x v="85"/>
  </r>
  <r>
    <s v="SP_WorkerWife"/>
    <s v="Worker"/>
    <s v="PF_WorkerWife"/>
    <n v="200"/>
    <n v="200"/>
    <n v="8"/>
    <n v="75"/>
    <s v="-"/>
    <n v="0"/>
    <s v="-"/>
    <n v="1"/>
    <n v="0"/>
    <n v="0"/>
    <n v="0"/>
    <n v="0"/>
    <n v="0"/>
    <n v="1"/>
    <n v="0"/>
    <x v="8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E88" firstHeaderRow="0" firstDataRow="1" firstDataCol="1"/>
  <pivotFields count="19">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dataField="1" showAll="0"/>
    <pivotField showAll="0"/>
    <pivotField dataField="1" showAll="0"/>
    <pivotField showAll="0"/>
    <pivotField axis="axisRow" showAll="0" sortType="ascending">
      <items count="123">
        <item x="10"/>
        <item x="0"/>
        <item m="1" x="99"/>
        <item m="1" x="114"/>
        <item x="1"/>
        <item x="2"/>
        <item x="3"/>
        <item x="4"/>
        <item x="5"/>
        <item x="6"/>
        <item x="7"/>
        <item x="8"/>
        <item x="37"/>
        <item x="9"/>
        <item m="1" x="102"/>
        <item m="1" x="97"/>
        <item x="11"/>
        <item x="12"/>
        <item m="1" x="110"/>
        <item x="13"/>
        <item x="14"/>
        <item x="15"/>
        <item x="16"/>
        <item m="1" x="105"/>
        <item m="1" x="120"/>
        <item x="17"/>
        <item x="18"/>
        <item m="1" x="101"/>
        <item m="1" x="106"/>
        <item m="1" x="109"/>
        <item x="19"/>
        <item x="20"/>
        <item x="21"/>
        <item x="22"/>
        <item x="23"/>
        <item x="24"/>
        <item x="25"/>
        <item m="1" x="117"/>
        <item m="1" x="112"/>
        <item x="26"/>
        <item x="27"/>
        <item m="1" x="108"/>
        <item x="28"/>
        <item x="29"/>
        <item m="1" x="103"/>
        <item m="1" x="121"/>
        <item x="30"/>
        <item x="31"/>
        <item x="32"/>
        <item x="33"/>
        <item x="34"/>
        <item x="35"/>
        <item x="36"/>
        <item x="38"/>
        <item x="39"/>
        <item x="42"/>
        <item x="44"/>
        <item m="1" x="113"/>
        <item x="45"/>
        <item m="1" x="95"/>
        <item x="46"/>
        <item x="47"/>
        <item m="1" x="89"/>
        <item m="1" x="96"/>
        <item m="1" x="104"/>
        <item m="1" x="116"/>
        <item m="1" x="91"/>
        <item x="48"/>
        <item x="49"/>
        <item x="50"/>
        <item x="51"/>
        <item x="52"/>
        <item x="53"/>
        <item m="1" x="111"/>
        <item x="54"/>
        <item x="55"/>
        <item x="56"/>
        <item x="57"/>
        <item x="58"/>
        <item m="1" x="86"/>
        <item x="59"/>
        <item m="1" x="87"/>
        <item m="1" x="93"/>
        <item x="60"/>
        <item m="1" x="90"/>
        <item x="61"/>
        <item m="1" x="88"/>
        <item x="62"/>
        <item m="1" x="100"/>
        <item x="63"/>
        <item m="1" x="115"/>
        <item x="64"/>
        <item x="40"/>
        <item m="1" x="119"/>
        <item x="41"/>
        <item x="65"/>
        <item x="66"/>
        <item x="67"/>
        <item x="68"/>
        <item x="69"/>
        <item x="70"/>
        <item x="71"/>
        <item x="72"/>
        <item x="73"/>
        <item x="74"/>
        <item x="75"/>
        <item x="76"/>
        <item m="1" x="107"/>
        <item x="77"/>
        <item x="43"/>
        <item x="78"/>
        <item m="1" x="118"/>
        <item m="1" x="98"/>
        <item x="79"/>
        <item m="1" x="92"/>
        <item x="81"/>
        <item x="80"/>
        <item x="82"/>
        <item x="83"/>
        <item x="84"/>
        <item m="1" x="94"/>
        <item x="85"/>
        <item t="default"/>
      </items>
    </pivotField>
  </pivotFields>
  <rowFields count="1">
    <field x="18"/>
  </rowFields>
  <rowItems count="87">
    <i>
      <x/>
    </i>
    <i>
      <x v="1"/>
    </i>
    <i>
      <x v="4"/>
    </i>
    <i>
      <x v="5"/>
    </i>
    <i>
      <x v="6"/>
    </i>
    <i>
      <x v="7"/>
    </i>
    <i>
      <x v="8"/>
    </i>
    <i>
      <x v="9"/>
    </i>
    <i>
      <x v="10"/>
    </i>
    <i>
      <x v="11"/>
    </i>
    <i>
      <x v="12"/>
    </i>
    <i>
      <x v="13"/>
    </i>
    <i>
      <x v="16"/>
    </i>
    <i>
      <x v="17"/>
    </i>
    <i>
      <x v="19"/>
    </i>
    <i>
      <x v="20"/>
    </i>
    <i>
      <x v="21"/>
    </i>
    <i>
      <x v="22"/>
    </i>
    <i>
      <x v="25"/>
    </i>
    <i>
      <x v="26"/>
    </i>
    <i>
      <x v="30"/>
    </i>
    <i>
      <x v="31"/>
    </i>
    <i>
      <x v="32"/>
    </i>
    <i>
      <x v="33"/>
    </i>
    <i>
      <x v="34"/>
    </i>
    <i>
      <x v="35"/>
    </i>
    <i>
      <x v="36"/>
    </i>
    <i>
      <x v="39"/>
    </i>
    <i>
      <x v="40"/>
    </i>
    <i>
      <x v="42"/>
    </i>
    <i>
      <x v="43"/>
    </i>
    <i>
      <x v="46"/>
    </i>
    <i>
      <x v="47"/>
    </i>
    <i>
      <x v="48"/>
    </i>
    <i>
      <x v="49"/>
    </i>
    <i>
      <x v="50"/>
    </i>
    <i>
      <x v="51"/>
    </i>
    <i>
      <x v="52"/>
    </i>
    <i>
      <x v="53"/>
    </i>
    <i>
      <x v="54"/>
    </i>
    <i>
      <x v="55"/>
    </i>
    <i>
      <x v="56"/>
    </i>
    <i>
      <x v="58"/>
    </i>
    <i>
      <x v="60"/>
    </i>
    <i>
      <x v="61"/>
    </i>
    <i>
      <x v="67"/>
    </i>
    <i>
      <x v="68"/>
    </i>
    <i>
      <x v="69"/>
    </i>
    <i>
      <x v="70"/>
    </i>
    <i>
      <x v="71"/>
    </i>
    <i>
      <x v="72"/>
    </i>
    <i>
      <x v="74"/>
    </i>
    <i>
      <x v="75"/>
    </i>
    <i>
      <x v="76"/>
    </i>
    <i>
      <x v="77"/>
    </i>
    <i>
      <x v="78"/>
    </i>
    <i>
      <x v="80"/>
    </i>
    <i>
      <x v="83"/>
    </i>
    <i>
      <x v="85"/>
    </i>
    <i>
      <x v="87"/>
    </i>
    <i>
      <x v="89"/>
    </i>
    <i>
      <x v="91"/>
    </i>
    <i>
      <x v="92"/>
    </i>
    <i>
      <x v="94"/>
    </i>
    <i>
      <x v="95"/>
    </i>
    <i>
      <x v="96"/>
    </i>
    <i>
      <x v="97"/>
    </i>
    <i>
      <x v="98"/>
    </i>
    <i>
      <x v="99"/>
    </i>
    <i>
      <x v="100"/>
    </i>
    <i>
      <x v="101"/>
    </i>
    <i>
      <x v="102"/>
    </i>
    <i>
      <x v="103"/>
    </i>
    <i>
      <x v="104"/>
    </i>
    <i>
      <x v="105"/>
    </i>
    <i>
      <x v="106"/>
    </i>
    <i>
      <x v="108"/>
    </i>
    <i>
      <x v="109"/>
    </i>
    <i>
      <x v="110"/>
    </i>
    <i>
      <x v="113"/>
    </i>
    <i>
      <x v="115"/>
    </i>
    <i>
      <x v="116"/>
    </i>
    <i>
      <x v="117"/>
    </i>
    <i>
      <x v="118"/>
    </i>
    <i>
      <x v="119"/>
    </i>
    <i>
      <x v="121"/>
    </i>
    <i t="grand">
      <x/>
    </i>
  </rowItems>
  <colFields count="1">
    <field x="-2"/>
  </colFields>
  <colItems count="4">
    <i>
      <x/>
    </i>
    <i i="1">
      <x v="1"/>
    </i>
    <i i="2">
      <x v="2"/>
    </i>
    <i i="3">
      <x v="3"/>
    </i>
  </colItems>
  <dataFields count="4">
    <dataField name="Sum of Total in &quot;Village&quot; scene" fld="10" baseField="0" baseItem="0"/>
    <dataField name="Sum of Total in &quot;Castle&quot; scene" fld="12" baseField="0" baseItem="0"/>
    <dataField name="Sum of Total in &quot;Dark&quot; scene" fld="14" baseField="0" baseItem="0"/>
    <dataField name="Sum of Total in the game"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28" name="Table28" displayName="Table28" ref="W11:Z178" totalsRowShown="0" headerRowDxfId="160" dataDxfId="158" headerRowBorderDxfId="159" tableBorderDxfId="157" totalsRowBorderDxfId="156">
  <autoFilter ref="W11:Z178"/>
  <sortState ref="W12:Z173">
    <sortCondition ref="W11:W173"/>
  </sortState>
  <tableColumns count="4">
    <tableColumn id="1" name="Entity Prefab" dataDxfId="155"/>
    <tableColumn id="2" name="AGRESSIVITY (VILLAGE)" dataDxfId="154"/>
    <tableColumn id="3" name="AGRESSIVITY (CASTLE)" dataDxfId="153"/>
    <tableColumn id="4" name="AGRESSIVITY (DARK)" dataDxfId="152"/>
  </tableColumns>
  <tableStyleInfo name="TableStyleMedium2" showFirstColumn="0" showLastColumn="0" showRowStripes="1" showColumnStripes="0"/>
</table>
</file>

<file path=xl/tables/table2.xml><?xml version="1.0" encoding="utf-8"?>
<table xmlns="http://schemas.openxmlformats.org/spreadsheetml/2006/main" id="1" name="Table1" displayName="Table1" ref="D11:V175" totalsRowShown="0" headerRowDxfId="151" dataDxfId="150">
  <autoFilter ref="D11:V175"/>
  <sortState ref="D12:V175">
    <sortCondition ref="D11:D175"/>
  </sortState>
  <tableColumns count="19">
    <tableColumn id="1" name="Spawner Prefab" dataDxfId="149"/>
    <tableColumn id="2" name="Content Sku" dataDxfId="148"/>
    <tableColumn id="3" name="Entity Prefab" dataDxfId="147"/>
    <tableColumn id="4" name="Respawn Min" dataDxfId="146"/>
    <tableColumn id="5" name="Respawn Max" dataDxfId="145"/>
    <tableColumn id="6" name="HP Given" dataDxfId="144"/>
    <tableColumn id="7" name="XP Given" dataDxfId="143"/>
    <tableColumn id="8" name="Edible Tier" dataDxfId="142"/>
    <tableColumn id="9" name="BurnableTier" dataDxfId="141"/>
    <tableColumn id="10" name="Damage" dataDxfId="140"/>
    <tableColumn id="11" name="Total in &quot;Village&quot; scene" dataDxfId="139">
      <calculatedColumnFormula>COUNTIF(Table7[Spawner],Table1[[#This Row],[Spawner Prefab]])</calculatedColumnFormula>
    </tableColumn>
    <tableColumn id="12" name="Percentage1" dataDxfId="138">
      <calculatedColumnFormula>ROUND((Table1[[#This Row],[Total in "Village" scene]]/SUM(Table1[Total in "Village" scene]))*100,1)</calculatedColumnFormula>
    </tableColumn>
    <tableColumn id="13" name="Total in &quot;Castle&quot; scene" dataDxfId="137">
      <calculatedColumnFormula>COUNTIF(Table15[Spawner],Table1[[#This Row],[Spawner Prefab]])</calculatedColumnFormula>
    </tableColumn>
    <tableColumn id="14" name="Percentage2" dataDxfId="136">
      <calculatedColumnFormula>ROUND((Table1[[#This Row],[Total in "Castle" scene]]/SUM(Table1[Total in "Castle" scene]))*100,1)</calculatedColumnFormula>
    </tableColumn>
    <tableColumn id="17" name="Total in &quot;Dark&quot; scene" dataDxfId="135">
      <calculatedColumnFormula>COUNTIF(Table20[Spawner],Table1[[#This Row],[Spawner Prefab]])</calculatedColumnFormula>
    </tableColumn>
    <tableColumn id="18" name="Percentage3" dataDxfId="134">
      <calculatedColumnFormula>ROUND((Table1[[#This Row],[Total in "Dark" scene]]/SUM(Table1[Total in "Dark" scene]))*100,1)</calculatedColumnFormula>
    </tableColumn>
    <tableColumn id="15" name="Total in the game" dataDxfId="133">
      <calculatedColumnFormula>Table1[[#This Row],[Total in "Village" scene]]+Table1[[#This Row],[Total in "Castle" scene]]+Table1[[#This Row],[Total in "Dark" scene]]</calculatedColumnFormula>
    </tableColumn>
    <tableColumn id="16" name="Percentage4" dataDxfId="132">
      <calculatedColumnFormula>ROUND((Table1[[#This Row],[Total in the game]]/SUM(Table1[Total in the game]))*100,1)</calculatedColumnFormula>
    </tableColumn>
    <tableColumn id="19" name="Pivot Column" dataDxfId="131">
      <calculatedColumnFormula>Table1[[#This Row],[Content Sku]]</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17" name="Table51718" displayName="Table51718" ref="C7:L10" totalsRowShown="0">
  <autoFilter ref="C7:L10"/>
  <tableColumns count="10">
    <tableColumn id="4" name="Unity scene"/>
    <tableColumn id="6" name="Area"/>
    <tableColumn id="2" name="Total xp available"/>
    <tableColumn id="1" name="Total spawners" dataDxfId="130">
      <calculatedColumnFormula>DATA_SCENES_UNITY_1!C7+DATA_SCENES_UNITY_1!N7+DATA_SCENES_UNITY_1!Y7+DATA_SCENES_UNITY_1!AJ7+DATA_SCENES_UNITY_1!AU7+DATA_SCENES_UNITY_1!BF7+DATA_SCENES_UNITY_1!BQ7</calculatedColumnFormula>
    </tableColumn>
    <tableColumn id="3" name="Total enemies" dataDxfId="129">
      <calculatedColumnFormula>DATA_SCENES_UNITY_1!CM7+DATA_SCENES_UNITY_1!CX7+DATA_SCENES_UNITY_1!DI7+DATA_SCENES_UNITY_1!DT7</calculatedColumnFormula>
    </tableColumn>
    <tableColumn id="5" name="Total preys" dataDxfId="128">
      <calculatedColumnFormula>DATA_SCENES_UNITY_1!C9+DATA_SCENES_UNITY_1!N9+DATA_SCENES_UNITY_1!Y9+DATA_SCENES_UNITY_1!AJ9+DATA_SCENES_UNITY_1!AU9+DATA_SCENES_UNITY_1!BF9+DATA_SCENES_UNITY_1!BQ9</calculatedColumnFormula>
    </tableColumn>
    <tableColumn id="7" name="Total entities" dataDxfId="127">
      <calculatedColumnFormula>DATA_SCENES_UNITY_1!C11+DATA_SCENES_UNITY_1!N11+DATA_SCENES_UNITY_1!Y11+DATA_SCENES_UNITY_1!AJ11+DATA_SCENES_UNITY_1!AU11+DATA_SCENES_UNITY_1!BF11+DATA_SCENES_UNITY_1!BQ11</calculatedColumnFormula>
    </tableColumn>
    <tableColumn id="8" name="Size" dataDxfId="126">
      <calculatedColumnFormula>(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calculatedColumnFormula>
    </tableColumn>
    <tableColumn id="9" name="xp/size" dataDxfId="125">
      <calculatedColumnFormula>ROUND(Table51718[[#This Row],[Total xp available]]/Table51718[[#This Row],[Size]],2)</calculatedColumnFormula>
    </tableColumn>
    <tableColumn id="10" name="size/xp" dataDxfId="124">
      <calculatedColumnFormula>ROUND(Table51718[[#This Row],[Size]]/Table51718[[#This Row],[Total xp available]],2)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27" name="Table27" displayName="Table27" ref="D110:F116" totalsRowShown="0">
  <autoFilter ref="D110:F116"/>
  <tableColumns count="3">
    <tableColumn id="1" name="Spawner Prefab">
      <calculatedColumnFormula>INDIRECT(ADDRESS((11+MATCH(E111,Table1[Total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5.xml><?xml version="1.0" encoding="utf-8"?>
<table xmlns="http://schemas.openxmlformats.org/spreadsheetml/2006/main" id="38" name="Table38" displayName="Table38" ref="D122:F140" totalsRowShown="0">
  <autoFilter ref="D122:F140"/>
  <sortState ref="D123:F140">
    <sortCondition descending="1" ref="F122:F140"/>
  </sortState>
  <tableColumns count="3">
    <tableColumn id="1" name="Scene"/>
    <tableColumn id="2" name="Area"/>
    <tableColumn id="3" name="Density" dataDxfId="123"/>
  </tableColumns>
  <tableStyleInfo name="TableStyleMedium2" showFirstColumn="0" showLastColumn="0" showRowStripes="1" showColumnStripes="0"/>
</table>
</file>

<file path=xl/tables/table6.xml><?xml version="1.0" encoding="utf-8"?>
<table xmlns="http://schemas.openxmlformats.org/spreadsheetml/2006/main" id="5" name="Table5" displayName="Table5" ref="C7:F15" totalsRowShown="0">
  <autoFilter ref="C7:F15"/>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7.xml><?xml version="1.0" encoding="utf-8"?>
<table xmlns="http://schemas.openxmlformats.org/spreadsheetml/2006/main" id="29" name="Table2730" displayName="Table2730" ref="D95:F101" totalsRowShown="0">
  <autoFilter ref="D95:F101"/>
  <tableColumns count="3">
    <tableColumn id="1" name="Spawner Prefab">
      <calculatedColumnFormula>INDIRECT(ADDRESS((11+MATCH(E96,Table1[Total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8.xml><?xml version="1.0" encoding="utf-8"?>
<table xmlns="http://schemas.openxmlformats.org/spreadsheetml/2006/main" id="16" name="Table517" displayName="Table517"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9.xml><?xml version="1.0" encoding="utf-8"?>
<table xmlns="http://schemas.openxmlformats.org/spreadsheetml/2006/main" id="30" name="Table273031" displayName="Table273031" ref="D81:F87" totalsRowShown="0">
  <autoFilter ref="D81:F87"/>
  <tableColumns count="3">
    <tableColumn id="1" name="Spawner Prefab">
      <calculatedColumnFormula>INDIRECT(ADDRESS((11+MATCH(E82,Table1[Total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0.xml><?xml version="1.0" encoding="utf-8"?>
<table xmlns="http://schemas.openxmlformats.org/spreadsheetml/2006/main" id="21" name="Table51722" displayName="Table51722"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11.xml><?xml version="1.0" encoding="utf-8"?>
<table xmlns="http://schemas.openxmlformats.org/spreadsheetml/2006/main" id="31" name="Table27303132" displayName="Table27303132" ref="D82:F88" totalsRowShown="0">
  <autoFilter ref="D82:F88"/>
  <tableColumns count="3">
    <tableColumn id="1" name="Spawner Prefab">
      <calculatedColumnFormula>INDIRECT(ADDRESS((11+MATCH(E83,Table1[Total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2.xml><?xml version="1.0" encoding="utf-8"?>
<table xmlns="http://schemas.openxmlformats.org/spreadsheetml/2006/main" id="4" name="Table245" displayName="Table245" ref="B21:K648" totalsRowShown="0" headerRowDxfId="122">
  <autoFilter ref="B21:K648"/>
  <sortState ref="B22:K648">
    <sortCondition ref="B21:B648"/>
  </sortState>
  <tableColumns count="10">
    <tableColumn id="1" name="spawner_sku" dataDxfId="121"/>
    <tableColumn id="2" name="entity_spawned (AVG)"/>
    <tableColumn id="5" name="respawn_time"/>
    <tableColumn id="6" name="activating_chance"/>
    <tableColumn id="7" name="XP" dataDxfId="120">
      <calculatedColumnFormula>INDIRECT(ADDRESS(11+(MATCH(RIGHT(Table245[[#This Row],[spawner_sku]],LEN(Table245[[#This Row],[spawner_sku]])-FIND("/",Table245[[#This Row],[spawner_sku]])),Table1[Entity Prefab],0)),10,1,1,"Entities"))</calculatedColumnFormula>
    </tableColumn>
    <tableColumn id="8" name="total xp" dataDxfId="119">
      <calculatedColumnFormula>ROUND((Table245[[#This Row],[XP]]*Table245[[#This Row],[entity_spawned (AVG)]])*(Table245[[#This Row],[activating_chance]]/100),0)</calculatedColumnFormula>
    </tableColumn>
    <tableColumn id="3" name="Aggresive" dataDxfId="118">
      <calculatedColumnFormula>INDIRECT(ADDRESS(11+(MATCH(RIGHT(Table245[[#This Row],[spawner_sku]],LEN(Table245[[#This Row],[spawner_sku]])-FIND("/",Table245[[#This Row],[spawner_sku]])),Table28[Entity Prefab],0)),24,1,1,"Entities"))</calculatedColumnFormula>
    </tableColumn>
    <tableColumn id="4" name="min_entities" dataDxfId="117"/>
    <tableColumn id="9" name="max_entities" dataDxfId="116"/>
    <tableColumn id="10" name="hasBonus" dataDxfId="115"/>
  </tableColumns>
  <tableStyleInfo name="TableStyleMedium2" showFirstColumn="0" showLastColumn="0" showRowStripes="1" showColumnStripes="0"/>
</table>
</file>

<file path=xl/tables/table13.xml><?xml version="1.0" encoding="utf-8"?>
<table xmlns="http://schemas.openxmlformats.org/spreadsheetml/2006/main" id="2" name="Table2" displayName="Table2" ref="AI21:AR408" totalsRowShown="0">
  <autoFilter ref="AI21:AR408"/>
  <sortState ref="AI22:AR408">
    <sortCondition ref="AI21:AI408"/>
  </sortState>
  <tableColumns count="10">
    <tableColumn id="1" name="spawner_sku"/>
    <tableColumn id="2" name="entity_spawned (AVG)"/>
    <tableColumn id="5" name="respawn_time"/>
    <tableColumn id="6" name="activating_chance"/>
    <tableColumn id="7" name="XP" dataDxfId="114">
      <calculatedColumnFormula>INDIRECT(ADDRESS(11+(MATCH(RIGHT(Table2[[#This Row],[spawner_sku]],LEN(Table2[[#This Row],[spawner_sku]])-FIND("/",Table2[[#This Row],[spawner_sku]])),Table1[Entity Prefab],0)),10,1,1,"Entities"))</calculatedColumnFormula>
    </tableColumn>
    <tableColumn id="8" name="total xp" dataDxfId="113">
      <calculatedColumnFormula>ROUND((Table2[[#This Row],[XP]]*Table2[[#This Row],[entity_spawned (AVG)]])*(Table2[[#This Row],[activating_chance]]/100),0)</calculatedColumnFormula>
    </tableColumn>
    <tableColumn id="9" name="Aggressive" dataDxfId="112">
      <calculatedColumnFormula>INDIRECT(ADDRESS(11+(MATCH(RIGHT(Table2[[#This Row],[spawner_sku]],LEN(Table2[[#This Row],[spawner_sku]])-FIND("/",Table2[[#This Row],[spawner_sku]])),Table28[Entity Prefab],0)),24,1,1,"Entities"))</calculatedColumnFormula>
    </tableColumn>
    <tableColumn id="3" name="min_entities" dataDxfId="111"/>
    <tableColumn id="4" name="max_entities" dataDxfId="110"/>
    <tableColumn id="10" name="hasBonus" dataDxfId="109"/>
  </tableColumns>
  <tableStyleInfo name="TableStyleMedium2" showFirstColumn="0" showLastColumn="0" showRowStripes="1" showColumnStripes="0"/>
</table>
</file>

<file path=xl/tables/table14.xml><?xml version="1.0" encoding="utf-8"?>
<table xmlns="http://schemas.openxmlformats.org/spreadsheetml/2006/main" id="6" name="Table6" displayName="Table6" ref="AT21:BC175" totalsRowShown="0">
  <autoFilter ref="AT21:BC175"/>
  <sortState ref="AT22:BC175">
    <sortCondition ref="AT21:AT175"/>
  </sortState>
  <tableColumns count="10">
    <tableColumn id="1" name="spawner_sku"/>
    <tableColumn id="2" name="entity_spawned (AVG)"/>
    <tableColumn id="5" name="respawn_time"/>
    <tableColumn id="6" name="activating_chance"/>
    <tableColumn id="7" name="XP" dataDxfId="108">
      <calculatedColumnFormula>INDIRECT(ADDRESS(11+(MATCH(RIGHT(Table6[[#This Row],[spawner_sku]],LEN(Table6[[#This Row],[spawner_sku]])-FIND("/",Table6[[#This Row],[spawner_sku]])),Table1[Entity Prefab],0)),10,1,1,"Entities"))</calculatedColumnFormula>
    </tableColumn>
    <tableColumn id="8" name="total xp" dataDxfId="107">
      <calculatedColumnFormula>ROUND((Table6[[#This Row],[XP]]*Table6[[#This Row],[entity_spawned (AVG)]])*(Table6[[#This Row],[activating_chance]]/100),0)</calculatedColumnFormula>
    </tableColumn>
    <tableColumn id="9" name="Aggressive" dataDxfId="106">
      <calculatedColumnFormula>INDIRECT(ADDRESS(11+(MATCH(RIGHT(Table6[[#This Row],[spawner_sku]],LEN(Table6[[#This Row],[spawner_sku]])-FIND("/",Table6[[#This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5.xml><?xml version="1.0" encoding="utf-8"?>
<table xmlns="http://schemas.openxmlformats.org/spreadsheetml/2006/main" id="8" name="Table39" displayName="Table39" ref="X21:AG94" totalsRowShown="0">
  <autoFilter ref="X21:AG94"/>
  <sortState ref="X22:AG94">
    <sortCondition ref="X21:X94"/>
  </sortState>
  <tableColumns count="10">
    <tableColumn id="1" name="spawner_sku"/>
    <tableColumn id="2" name="entity_spawned (AVG)"/>
    <tableColumn id="5" name="respawn_time"/>
    <tableColumn id="6" name="activating_chance"/>
    <tableColumn id="8" name="XP" dataDxfId="105">
      <calculatedColumnFormula>INDIRECT(ADDRESS(11+(MATCH(RIGHT(Table39[[#This Row],[spawner_sku]],LEN(Table39[[#This Row],[spawner_sku]])-FIND("/",Table39[[#This Row],[spawner_sku]])),Table1[Entity Prefab],0)),10,1,1,"Entities"))</calculatedColumnFormula>
    </tableColumn>
    <tableColumn id="9" name="total xp" dataDxfId="104">
      <calculatedColumnFormula>ROUND((Table39[[#This Row],[XP]]*Table39[[#This Row],[entity_spawned (AVG)]])*(Table39[[#This Row],[activating_chance]]/100),0)</calculatedColumnFormula>
    </tableColumn>
    <tableColumn id="10" name="Aggressive">
      <calculatedColumnFormula>INDIRECT(ADDRESS(11+(MATCH(RIGHT(Table39[[#This Row],[spawner_sku]],LEN(Table39[[#This Row],[spawner_sku]])-FIND("/",Table39[[#This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16.xml><?xml version="1.0" encoding="utf-8"?>
<table xmlns="http://schemas.openxmlformats.org/spreadsheetml/2006/main" id="9" name="Table610" displayName="Table610" ref="BE21:BN247" totalsRowShown="0">
  <autoFilter ref="BE21:BN247"/>
  <sortState ref="BE22:BN247">
    <sortCondition ref="BE21:BE247"/>
  </sortState>
  <tableColumns count="10">
    <tableColumn id="1" name="spawner_sku"/>
    <tableColumn id="2" name="entity_spawned (AVG)"/>
    <tableColumn id="5" name="respawn_time"/>
    <tableColumn id="6" name="activating_chance"/>
    <tableColumn id="7" name="XP" dataDxfId="103">
      <calculatedColumnFormula>INDIRECT(ADDRESS(11+(MATCH(RIGHT(Table610[[#This Row],[spawner_sku]],LEN(Table610[[#This Row],[spawner_sku]])-FIND("/",Table610[[#This Row],[spawner_sku]])),Table1[Entity Prefab],0)),10,1,1,"Entities"))</calculatedColumnFormula>
    </tableColumn>
    <tableColumn id="8" name="total xp" dataDxfId="102">
      <calculatedColumnFormula>ROUND((Table610[[#This Row],[XP]]*Table610[[#This Row],[entity_spawned (AVG)]])*(Table610[[#This Row],[activating_chance]]/100),0)</calculatedColumnFormula>
    </tableColumn>
    <tableColumn id="9" name="Aggressive" dataDxfId="101">
      <calculatedColumnFormula>INDIRECT(ADDRESS(11+(MATCH(RIGHT(Table610[[#This Row],[spawner_sku]],LEN(Table610[[#This Row],[spawner_sku]])-FIND("/",Table610[[#This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7.xml><?xml version="1.0" encoding="utf-8"?>
<table xmlns="http://schemas.openxmlformats.org/spreadsheetml/2006/main" id="10" name="Table61011" displayName="Table61011" ref="BP21:BY452" totalsRowShown="0">
  <autoFilter ref="BP21:BY452"/>
  <sortState ref="BP22:BY452">
    <sortCondition ref="BP21:BP452"/>
  </sortState>
  <tableColumns count="10">
    <tableColumn id="1" name="spawner_sku"/>
    <tableColumn id="2" name="entity_spawned (AVG)"/>
    <tableColumn id="5" name="respawn_time"/>
    <tableColumn id="6" name="activating_chance"/>
    <tableColumn id="7" name="XP" dataDxfId="100">
      <calculatedColumnFormula>INDIRECT(ADDRESS(11+(MATCH(RIGHT(Table61011[[#This Row],[spawner_sku]],LEN(Table61011[[#This Row],[spawner_sku]])-FIND("/",Table61011[[#This Row],[spawner_sku]])),Table1[Entity Prefab],0)),10,1,1,"Entities"))</calculatedColumnFormula>
    </tableColumn>
    <tableColumn id="8" name="total xp" dataDxfId="99">
      <calculatedColumnFormula>ROUND((Table61011[[#This Row],[XP]]*Table61011[[#This Row],[entity_spawned (AVG)]])*(Table61011[[#This Row],[activating_chance]]/100),0)</calculatedColumnFormula>
    </tableColumn>
    <tableColumn id="9" name="Aggressive" dataDxfId="98">
      <calculatedColumnFormula>INDIRECT(ADDRESS(11+(MATCH(RIGHT(Table61011[[#This Row],[spawner_sku]],LEN(Table61011[[#This Row],[spawner_sku]])-FIND("/",Table61011[[#This Row],[spawner_sku]])),Table28[Entity Prefab],0)),24,1,1,"Entities"))</calculatedColumnFormula>
    </tableColumn>
    <tableColumn id="3" name="min_entities" dataDxfId="97"/>
    <tableColumn id="4" name="max_entities" dataDxfId="96"/>
    <tableColumn id="10" name="hasBonus" dataDxfId="95"/>
  </tableColumns>
  <tableStyleInfo name="TableStyleMedium2" showFirstColumn="0" showLastColumn="0" showRowStripes="1" showColumnStripes="0"/>
</table>
</file>

<file path=xl/tables/table18.xml><?xml version="1.0" encoding="utf-8"?>
<table xmlns="http://schemas.openxmlformats.org/spreadsheetml/2006/main" id="11" name="Table11" displayName="Table11" ref="CL21:CU633" totalsRowShown="0">
  <autoFilter ref="CL21:CU633"/>
  <sortState ref="CL22:CU633">
    <sortCondition ref="CL21:CL633"/>
  </sortState>
  <tableColumns count="10">
    <tableColumn id="1" name="spawner_sku"/>
    <tableColumn id="2" name="entity_spawned (AVG)"/>
    <tableColumn id="3" name="respawn_time"/>
    <tableColumn id="4" name="activating_chance"/>
    <tableColumn id="5" name="XP" dataDxfId="94">
      <calculatedColumnFormula>INDIRECT(ADDRESS(11+(MATCH(RIGHT(Table11[[#This Row],[spawner_sku]],LEN(Table11[[#This Row],[spawner_sku]])-FIND("/",Table11[[#This Row],[spawner_sku]])),Table1[Entity Prefab],0)),10,1,1,"Entities"))</calculatedColumnFormula>
    </tableColumn>
    <tableColumn id="6" name="total xp">
      <calculatedColumnFormula>ROUND((Table11[[#This Row],[XP]]*Table11[[#This Row],[entity_spawned (AVG)]])*(Table11[[#This Row],[activating_chance]]/100),0)</calculatedColumnFormula>
    </tableColumn>
    <tableColumn id="7" name="Aggressive" dataDxfId="93">
      <calculatedColumnFormula>INDIRECT(ADDRESS(11+(MATCH(RIGHT(Table11[[#This Row],[spawner_sku]],LEN(Table11[[#This Row],[spawner_sku]])-FIND("/",Table11[[#This Row],[spawner_sku]])),Table28[Entity Prefab],0)),25,1,1,"Entities"))</calculatedColumnFormula>
    </tableColumn>
    <tableColumn id="8" name="min_entities" dataDxfId="92"/>
    <tableColumn id="9" name="max_entities" dataDxfId="91"/>
    <tableColumn id="10" name="hasBonus" dataDxfId="90"/>
  </tableColumns>
  <tableStyleInfo name="TableStyleMedium2" showFirstColumn="0" showLastColumn="0" showRowStripes="1" showColumnStripes="0"/>
</table>
</file>

<file path=xl/tables/table19.xml><?xml version="1.0" encoding="utf-8"?>
<table xmlns="http://schemas.openxmlformats.org/spreadsheetml/2006/main" id="12" name="Table12" displayName="Table12" ref="CW21:DF248" totalsRowShown="0">
  <autoFilter ref="CW21:DF248"/>
  <sortState ref="CW22:DF248">
    <sortCondition ref="CW21:CW248"/>
  </sortState>
  <tableColumns count="10">
    <tableColumn id="1" name="spawner_sku"/>
    <tableColumn id="2" name="entity_spawned (AVG)"/>
    <tableColumn id="3" name="respawn_time"/>
    <tableColumn id="4" name="activating_chance"/>
    <tableColumn id="5" name="XP" dataDxfId="89">
      <calculatedColumnFormula>INDIRECT(ADDRESS(11+(MATCH(RIGHT(Table12[[#This Row],[spawner_sku]],LEN(Table12[[#This Row],[spawner_sku]])-FIND("/",Table12[[#This Row],[spawner_sku]])),Table1[Entity Prefab],0)),10,1,1,"Entities"))</calculatedColumnFormula>
    </tableColumn>
    <tableColumn id="6" name="total xp" dataDxfId="88">
      <calculatedColumnFormula>ROUND((Table12[[#This Row],[XP]]*Table12[[#This Row],[entity_spawned (AVG)]])*(Table12[[#This Row],[activating_chance]]/100),0)</calculatedColumnFormula>
    </tableColumn>
    <tableColumn id="7" name="Aggressive" dataDxfId="87">
      <calculatedColumnFormula>INDIRECT(ADDRESS(11+(MATCH(RIGHT(Table12[[#This Row],[spawner_sku]],LEN(Table12[[#This Row],[spawner_sku]])-FIND("/",Table12[[#This Row],[spawner_sku]])),Table28[Entity Prefab],0)),25,1,1,"Entities"))</calculatedColumnFormula>
    </tableColumn>
    <tableColumn id="8" name="min_entities" dataDxfId="86"/>
    <tableColumn id="9" name="max_entities" dataDxfId="85"/>
    <tableColumn id="10" name="hasBonus" dataDxfId="84"/>
  </tableColumns>
  <tableStyleInfo name="TableStyleMedium2" showFirstColumn="0" showLastColumn="0" showRowStripes="1" showColumnStripes="0"/>
</table>
</file>

<file path=xl/tables/table20.xml><?xml version="1.0" encoding="utf-8"?>
<table xmlns="http://schemas.openxmlformats.org/spreadsheetml/2006/main" id="13" name="Table13" displayName="Table13" ref="DH21:DQ333" totalsRowShown="0">
  <autoFilter ref="DH21:DQ333"/>
  <sortState ref="DH22:DQ333">
    <sortCondition ref="DH21:DH333"/>
  </sortState>
  <tableColumns count="10">
    <tableColumn id="1" name="spawner_sku"/>
    <tableColumn id="2" name="entity_spawned (AVG)"/>
    <tableColumn id="3" name="respawn_time"/>
    <tableColumn id="4" name="activating_chance"/>
    <tableColumn id="5" name="XP" dataDxfId="83">
      <calculatedColumnFormula>INDIRECT(ADDRESS(11+(MATCH(RIGHT(Table13[[#This Row],[spawner_sku]],LEN(Table13[[#This Row],[spawner_sku]])-FIND("/",Table13[[#This Row],[spawner_sku]])),Table1[Entity Prefab],0)),10,1,1,"Entities"))</calculatedColumnFormula>
    </tableColumn>
    <tableColumn id="6" name="total xp" dataDxfId="82">
      <calculatedColumnFormula>ROUND((Table13[[#This Row],[XP]]*Table13[[#This Row],[entity_spawned (AVG)]])*(Table13[[#This Row],[activating_chance]]/100),0)</calculatedColumnFormula>
    </tableColumn>
    <tableColumn id="7" name="Aggressive" dataDxfId="81">
      <calculatedColumnFormula>INDIRECT(ADDRESS(11+(MATCH(RIGHT(Table13[[#This Row],[spawner_sku]],LEN(Table13[[#This Row],[spawner_sku]])-FIND("/",Table13[[#This Row],[spawner_sku]])),Table28[Entity Prefab],0)),25,1,1,"Entities"))</calculatedColumnFormula>
    </tableColumn>
    <tableColumn id="8" name="min_entities" dataDxfId="80"/>
    <tableColumn id="9" name="max_entities" dataDxfId="79"/>
    <tableColumn id="10" name="hasBonus" dataDxfId="78"/>
  </tableColumns>
  <tableStyleInfo name="TableStyleMedium2" showFirstColumn="0" showLastColumn="0" showRowStripes="1" showColumnStripes="0"/>
</table>
</file>

<file path=xl/tables/table21.xml><?xml version="1.0" encoding="utf-8"?>
<table xmlns="http://schemas.openxmlformats.org/spreadsheetml/2006/main" id="14" name="Table14" displayName="Table14" ref="DS21:EB757" totalsRowShown="0">
  <autoFilter ref="DS21:EB757"/>
  <sortState ref="DS22:EB757">
    <sortCondition ref="DS21:DS757"/>
  </sortState>
  <tableColumns count="10">
    <tableColumn id="1" name="spawner_sku"/>
    <tableColumn id="2" name="entity_spawned (AVG)"/>
    <tableColumn id="3" name="respawn_time"/>
    <tableColumn id="4" name="activating_chance"/>
    <tableColumn id="5" name="XP" dataDxfId="77">
      <calculatedColumnFormula>INDIRECT(ADDRESS(11+(MATCH(RIGHT(Table14[[#This Row],[spawner_sku]],LEN(Table14[[#This Row],[spawner_sku]])-FIND("/",Table14[[#This Row],[spawner_sku]])),Table1[Entity Prefab],0)),10,1,1,"Entities"))</calculatedColumnFormula>
    </tableColumn>
    <tableColumn id="6" name="total xp" dataDxfId="76">
      <calculatedColumnFormula>ROUND((Table14[[#This Row],[XP]]*Table14[[#This Row],[entity_spawned (AVG)]])*(Table14[[#This Row],[activating_chance]]/100),0)</calculatedColumnFormula>
    </tableColumn>
    <tableColumn id="7" name="Aggressive" dataDxfId="75">
      <calculatedColumnFormula>INDIRECT(ADDRESS(11+(MATCH(RIGHT(Table14[[#This Row],[spawner_sku]],LEN(Table14[[#This Row],[spawner_sku]])-FIND("/",Table14[[#This Row],[spawner_sku]])),Table28[Entity Prefab],0)),25,1,1,"Entities"))</calculatedColumnFormula>
    </tableColumn>
    <tableColumn id="8" name="min_entities" dataDxfId="74"/>
    <tableColumn id="9" name="max_entities" dataDxfId="73"/>
    <tableColumn id="10" name="hasBonus" dataDxfId="72"/>
  </tableColumns>
  <tableStyleInfo name="TableStyleMedium2" showFirstColumn="0" showLastColumn="0" showRowStripes="1" showColumnStripes="0"/>
</table>
</file>

<file path=xl/tables/table22.xml><?xml version="1.0" encoding="utf-8"?>
<table xmlns="http://schemas.openxmlformats.org/spreadsheetml/2006/main" id="18" name="Table18" displayName="Table18" ref="EO21:EX337" totalsRowShown="0" headerRowDxfId="71" headerRowBorderDxfId="70" tableBorderDxfId="69" totalsRowBorderDxfId="68">
  <autoFilter ref="EO21:EX337"/>
  <sortState ref="EO22:EX337">
    <sortCondition ref="EO21:EO337"/>
  </sortState>
  <tableColumns count="10">
    <tableColumn id="1" name="spawner_sku"/>
    <tableColumn id="2" name="entity_spawned (AVG)"/>
    <tableColumn id="3" name="respawn_time"/>
    <tableColumn id="4" name="activating_chance"/>
    <tableColumn id="5" name="XP" dataDxfId="67">
      <calculatedColumnFormula>INDIRECT(ADDRESS(11+(MATCH(RIGHT(Table18[[#This Row],[spawner_sku]],LEN(Table18[[#This Row],[spawner_sku]])-FIND("/",Table18[[#This Row],[spawner_sku]])),Table1[Entity Prefab],0)),10,1,1,"Entities"))</calculatedColumnFormula>
    </tableColumn>
    <tableColumn id="6" name="total xp" dataDxfId="66">
      <calculatedColumnFormula>ROUND((Table18[[#This Row],[XP]]*Table18[[#This Row],[entity_spawned (AVG)]])*(Table18[[#This Row],[activating_chance]]/100),0)</calculatedColumnFormula>
    </tableColumn>
    <tableColumn id="7" name="Aggressive" dataDxfId="65">
      <calculatedColumnFormula>INDIRECT(ADDRESS(11+(MATCH(RIGHT(Table18[[#This Row],[spawner_sku]],LEN(Table18[[#This Row],[spawner_sku]])-FIND("/",Table18[[#This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3.xml><?xml version="1.0" encoding="utf-8"?>
<table xmlns="http://schemas.openxmlformats.org/spreadsheetml/2006/main" id="19" name="Table1820" displayName="Table1820" ref="EZ21:FI243" totalsRowShown="0" headerRowDxfId="64" headerRowBorderDxfId="63" tableBorderDxfId="62" totalsRowBorderDxfId="61">
  <autoFilter ref="EZ21:FI243"/>
  <sortState ref="EZ22:FI243">
    <sortCondition ref="EZ21:EZ243"/>
  </sortState>
  <tableColumns count="10">
    <tableColumn id="1" name="spawner_sku"/>
    <tableColumn id="2" name="entity_spawned (AVG)"/>
    <tableColumn id="3" name="respawn_time"/>
    <tableColumn id="4" name="activating_chance"/>
    <tableColumn id="5" name="XP" dataDxfId="60">
      <calculatedColumnFormula>INDIRECT(ADDRESS(11+(MATCH(RIGHT(Table1820[[#This Row],[spawner_sku]],LEN(Table1820[[#This Row],[spawner_sku]])-FIND("/",Table1820[[#This Row],[spawner_sku]])),Table1[Entity Prefab],0)),10,1,1,"Entities"))</calculatedColumnFormula>
    </tableColumn>
    <tableColumn id="6" name="total xp" dataDxfId="59">
      <calculatedColumnFormula>ROUND((Table1820[[#This Row],[XP]]*Table1820[[#This Row],[entity_spawned (AVG)]])*(Table1820[[#This Row],[activating_chance]]/100),0)</calculatedColumnFormula>
    </tableColumn>
    <tableColumn id="7" name="Aggressive" dataDxfId="58">
      <calculatedColumnFormula>INDIRECT(ADDRESS(11+(MATCH(RIGHT(Table1820[[#This Row],[spawner_sku]],LEN(Table1820[[#This Row],[spawner_sku]])-FIND("/",Table1820[[#This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4.xml><?xml version="1.0" encoding="utf-8"?>
<table xmlns="http://schemas.openxmlformats.org/spreadsheetml/2006/main" id="22" name="Table182023" displayName="Table182023" ref="FK21:FT176" totalsRowShown="0">
  <autoFilter ref="FK21:FT176"/>
  <sortState ref="FK22:FT176">
    <sortCondition ref="FK21:FK176"/>
  </sortState>
  <tableColumns count="10">
    <tableColumn id="1" name="spawner_sku"/>
    <tableColumn id="2" name="entity_spawned (AVG)"/>
    <tableColumn id="3" name="respawn_time"/>
    <tableColumn id="4" name="activating_chance"/>
    <tableColumn id="5" name="XP">
      <calculatedColumnFormula>INDIRECT(ADDRESS(11+(MATCH(RIGHT(Table182023[[#This Row],[spawner_sku]],LEN(Table182023[[#This Row],[spawner_sku]])-FIND("/",Table182023[[#This Row],[spawner_sku]])),Table1[Entity Prefab],0)),10,1,1,"Entities"))</calculatedColumnFormula>
    </tableColumn>
    <tableColumn id="6" name="total xp">
      <calculatedColumnFormula>ROUND((Table182023[[#This Row],[XP]]*Table182023[[#This Row],[entity_spawned (AVG)]])*(Table182023[[#This Row],[activating_chance]]/100),0)</calculatedColumnFormula>
    </tableColumn>
    <tableColumn id="7" name="Aggressive">
      <calculatedColumnFormula>INDIRECT(ADDRESS(11+(MATCH(RIGHT(Table182023[[#This Row],[spawner_sku]],LEN(Table182023[[#This Row],[spawner_sku]])-FIND("/",Table182023[[#This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5.xml><?xml version="1.0" encoding="utf-8"?>
<table xmlns="http://schemas.openxmlformats.org/spreadsheetml/2006/main" id="23" name="Table18202324" displayName="Table18202324" ref="FV21:GE227" totalsRowShown="0" headerRowDxfId="57" headerRowBorderDxfId="56" tableBorderDxfId="55" totalsRowBorderDxfId="54">
  <autoFilter ref="FV21:GE227"/>
  <sortState ref="FV22:GE227">
    <sortCondition ref="FV21:FV227"/>
  </sortState>
  <tableColumns count="10">
    <tableColumn id="1" name="spawner_sku"/>
    <tableColumn id="2" name="entity_spawned (AVG)"/>
    <tableColumn id="3" name="respawn_time"/>
    <tableColumn id="4" name="activating_chance"/>
    <tableColumn id="5" name="XP" dataDxfId="53">
      <calculatedColumnFormula>INDIRECT(ADDRESS(11+(MATCH(RIGHT(Table18202324[[#This Row],[spawner_sku]],LEN(Table18202324[[#This Row],[spawner_sku]])-FIND("/",Table18202324[[#This Row],[spawner_sku]])),Table1[Entity Prefab],0)),10,1,1,"Entities"))</calculatedColumnFormula>
    </tableColumn>
    <tableColumn id="6" name="total xp" dataDxfId="52">
      <calculatedColumnFormula>ROUND((Table18202324[[#This Row],[XP]]*Table18202324[[#This Row],[entity_spawned (AVG)]])*(Table18202324[[#This Row],[activating_chance]]/100),0)</calculatedColumnFormula>
    </tableColumn>
    <tableColumn id="7" name="Aggressive" dataDxfId="51">
      <calculatedColumnFormula>INDIRECT(ADDRESS(11+(MATCH(RIGHT(Table18202324[[#This Row],[spawner_sku]],LEN(Table18202324[[#This Row],[spawner_sku]])-FIND("/",Table18202324[[#This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6.xml><?xml version="1.0" encoding="utf-8"?>
<table xmlns="http://schemas.openxmlformats.org/spreadsheetml/2006/main" id="3" name="Table3" displayName="Table3" ref="M21:V257" totalsRowShown="0">
  <autoFilter ref="M21:V257"/>
  <sortState ref="M22:V144">
    <sortCondition ref="M21:M144"/>
  </sortState>
  <tableColumns count="10">
    <tableColumn id="1" name="spawner_sku"/>
    <tableColumn id="2" name="entity_spawned (AVG)"/>
    <tableColumn id="5" name="respawn_time"/>
    <tableColumn id="6" name="activating_chance"/>
    <tableColumn id="8" name="XP" dataDxfId="50">
      <calculatedColumnFormula>INDIRECT(ADDRESS(11+(MATCH(RIGHT(Table3[[#This Row],[spawner_sku]],LEN(Table3[[#This Row],[spawner_sku]])-FIND("/",Table3[[#This Row],[spawner_sku]])),Table1[Entity Prefab],0)),10,1,1,"Entities"))</calculatedColumnFormula>
    </tableColumn>
    <tableColumn id="9" name="total xp" dataDxfId="49">
      <calculatedColumnFormula>ROUND((Table3[[#This Row],[XP]]*Table3[[#This Row],[entity_spawned (AVG)]])*(Table3[[#This Row],[activating_chance]]/100),0)</calculatedColumnFormula>
    </tableColumn>
    <tableColumn id="10" name="Aggressive">
      <calculatedColumnFormula>INDIRECT(ADDRESS(11+(MATCH(RIGHT(Table3[[#This Row],[spawner_sku]],LEN(Table3[[#This Row],[spawner_sku]])-FIND("/",Table3[[#This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27.xml><?xml version="1.0" encoding="utf-8"?>
<table xmlns="http://schemas.openxmlformats.org/spreadsheetml/2006/main" id="35" name="Table35" displayName="Table35" ref="CA21:CJ377" totalsRowShown="0" headerRowBorderDxfId="48" tableBorderDxfId="47" totalsRowBorderDxfId="46">
  <autoFilter ref="CA21:CJ377"/>
  <sortState ref="CA22:CJ377">
    <sortCondition ref="CA21:CA377"/>
  </sortState>
  <tableColumns count="10">
    <tableColumn id="1" name="spawner_sku" dataDxfId="45"/>
    <tableColumn id="2" name="entity_spawned (AVG)"/>
    <tableColumn id="3" name="respawn_time"/>
    <tableColumn id="4" name="activating_chance"/>
    <tableColumn id="5" name="XP" dataDxfId="44">
      <calculatedColumnFormula>INDIRECT(ADDRESS(11+(MATCH(RIGHT(Table35[[#This Row],[spawner_sku]],LEN(Table35[[#This Row],[spawner_sku]])-FIND("/",Table35[[#This Row],[spawner_sku]])),Table1[Entity Prefab],0)),10,1,1,"Entities"))</calculatedColumnFormula>
    </tableColumn>
    <tableColumn id="6" name="total xp" dataDxfId="43">
      <calculatedColumnFormula>ROUND((Table35[[#This Row],[XP]]*Table35[[#This Row],[entity_spawned (AVG)]])*(Table35[[#This Row],[activating_chance]]/100),0)</calculatedColumnFormula>
    </tableColumn>
    <tableColumn id="7" name="Aggressive" dataDxfId="42">
      <calculatedColumnFormula>INDIRECT(ADDRESS(11+(MATCH(RIGHT(Table35[[#This Row],[spawner_sku]],LEN(Table35[[#This Row],[spawner_sku]])-FIND("/",Table35[[#This Row],[spawner_sku]])),Table28[Entity Prefab],0)),24,1,1,"Entities"))</calculatedColumnFormula>
    </tableColumn>
    <tableColumn id="8" name="min_entities"/>
    <tableColumn id="9" name="max_entities"/>
    <tableColumn id="10" name="hasBonus" dataDxfId="41"/>
  </tableColumns>
  <tableStyleInfo name="TableStyleMedium2" showFirstColumn="0" showLastColumn="0" showRowStripes="1" showColumnStripes="0"/>
</table>
</file>

<file path=xl/tables/table28.xml><?xml version="1.0" encoding="utf-8"?>
<table xmlns="http://schemas.openxmlformats.org/spreadsheetml/2006/main" id="36" name="Table36" displayName="Table36" ref="ED21:EM160" totalsRowShown="0">
  <autoFilter ref="ED21:EM160"/>
  <sortState ref="ED22:EM160">
    <sortCondition ref="ED21:ED160"/>
  </sortState>
  <tableColumns count="10">
    <tableColumn id="1" name="spawner_sku" dataDxfId="40"/>
    <tableColumn id="2" name="entity_spawned (AVG)"/>
    <tableColumn id="3" name="respawn_time"/>
    <tableColumn id="4" name="activating_chance"/>
    <tableColumn id="5" name="XP">
      <calculatedColumnFormula>INDIRECT(ADDRESS(11+(MATCH(RIGHT(Table36[[#This Row],[spawner_sku]],LEN(Table36[[#This Row],[spawner_sku]])-FIND("/",Table36[[#This Row],[spawner_sku]])),Table1[Entity Prefab],0)),10,1,1,"Entities"))</calculatedColumnFormula>
    </tableColumn>
    <tableColumn id="6" name="total xp">
      <calculatedColumnFormula>ROUND((Table36[[#This Row],[XP]]*Table36[[#This Row],[entity_spawned (AVG)]])*(Table36[[#This Row],[activating_chance]]/100),0)</calculatedColumnFormula>
    </tableColumn>
    <tableColumn id="7" name="Aggressive">
      <calculatedColumnFormula>INDIRECT(ADDRESS(11+(MATCH(RIGHT(Table36[[#This Row],[spawner_sku]],LEN(Table36[[#This Row],[spawner_sku]])-FIND("/",Table36[[#This Row],[spawner_sku]])),Table28[Entity Prefab],0)),25,1,1,"Entities"))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9.xml><?xml version="1.0" encoding="utf-8"?>
<table xmlns="http://schemas.openxmlformats.org/spreadsheetml/2006/main" id="37" name="Table37" displayName="Table37" ref="GG21:GP154" totalsRowShown="0">
  <autoFilter ref="GG21:GP154"/>
  <sortState ref="GG22:GP154">
    <sortCondition ref="GG21:GG154"/>
  </sortState>
  <tableColumns count="10">
    <tableColumn id="1" name="spawner_sku"/>
    <tableColumn id="2" name="entity_spawned (AVG)"/>
    <tableColumn id="3" name="respawn_time"/>
    <tableColumn id="4" name="activating_chance"/>
    <tableColumn id="5" name="XP">
      <calculatedColumnFormula>INDIRECT(ADDRESS(11+(MATCH(RIGHT(Table37[[#This Row],[spawner_sku]],LEN(Table37[[#This Row],[spawner_sku]])-FIND("/",Table37[[#This Row],[spawner_sku]])),Table1[Entity Prefab],0)),10,1,1,"Entities"))</calculatedColumnFormula>
    </tableColumn>
    <tableColumn id="6" name="total xp">
      <calculatedColumnFormula>ROUND((Table37[[#This Row],[XP]]*Table37[[#This Row],[entity_spawned (AVG)]])*(Table37[[#This Row],[activating_chance]]/100),0)</calculatedColumnFormula>
    </tableColumn>
    <tableColumn id="7" name="Aggressive">
      <calculatedColumnFormula>INDIRECT(ADDRESS(11+(MATCH(RIGHT(Table37[[#This Row],[spawner_sku]],LEN(Table37[[#This Row],[spawner_sku]])-FIND("/",Table37[[#This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30.xml><?xml version="1.0" encoding="utf-8"?>
<table xmlns="http://schemas.openxmlformats.org/spreadsheetml/2006/main" id="7" name="Table7" displayName="Table7" ref="E7:I2570" totalsRowShown="0">
  <autoFilter ref="E7:I2570"/>
  <sortState ref="E8:I2560">
    <sortCondition ref="E7:E2560"/>
  </sortState>
  <tableColumns count="5">
    <tableColumn id="1" name="Spawner"/>
    <tableColumn id="2" name="Min"/>
    <tableColumn id="3" name="Max"/>
    <tableColumn id="4" name="Type"/>
    <tableColumn id="5" name="Control" dataDxfId="39" totalsRowDxfId="38">
      <calculatedColumnFormula>IF(Table7[[#This Row],[Type]]="KILL",IF(_xlfn.NUMBERVALUE(RIGHT(Table7[[#This Row],[Min]],LEN(Table7[[#This Row],[Min]])-FIND("-",Table7[[#This Row],[Min]])))&gt;INDIRECT(ADDRESS(11+MATCH(LEFT(Table7[[#This Row],[Min]],FIND("-",Table7[[#This Row],[Min]])-1),Table1[Content Sku],0),16,1,1,"Entities")),"review","ok"),"ok")</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15" name="Table15" displayName="Table15" ref="U7:Y2082" totalsRowShown="0">
  <autoFilter ref="U7:Y2082"/>
  <sortState ref="U8:Y2082">
    <sortCondition ref="U7:U2082"/>
  </sortState>
  <tableColumns count="5">
    <tableColumn id="1" name="Spawner"/>
    <tableColumn id="2" name="Min"/>
    <tableColumn id="3" name="Max"/>
    <tableColumn id="4" name="Type"/>
    <tableColumn id="5" name="Control" dataDxfId="37">
      <calculatedColumnFormula>IF(Table15[[#This Row],[Type]]="KILL",IF(_xlfn.NUMBERVALUE(RIGHT(Table15[[#This Row],[Min]],LEN(Table15[[#This Row],[Min]])-FIND("-",Table15[[#This Row],[Min]])))&gt;INDIRECT(ADDRESS(11+MATCH(LEFT(Table15[[#This Row],[Min]],FIND("-",Table15[[#This Row],[Min]])-1),Table1[Content Sku],0),16,1,1,"Entities")),"review","ok"),"ok")</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id="20" name="Table20" displayName="Table20" ref="AK7:AO1162" totalsRowShown="0" headerRowDxfId="36" headerRowBorderDxfId="35" tableBorderDxfId="34" totalsRowBorderDxfId="33">
  <autoFilter ref="AK7:AO1162"/>
  <sortState ref="AK8:AO1162">
    <sortCondition ref="AK7:AK1162"/>
  </sortState>
  <tableColumns count="5">
    <tableColumn id="1" name="Spawner"/>
    <tableColumn id="2" name="Min"/>
    <tableColumn id="3" name="Max"/>
    <tableColumn id="4" name="Type"/>
    <tableColumn id="5" name="Control" dataDxfId="32">
      <calculatedColumnFormula>IF(Table20[[#This Row],[Type]]="KILL",IF(_xlfn.NUMBERVALUE(RIGHT(Table20[[#This Row],[Min]],LEN(Table20[[#This Row],[Min]])-FIND("-",Table20[[#This Row],[Min]])))&gt;INDIRECT(ADDRESS(11+MATCH(LEFT(Table20[[#This Row],[Min]],FIND("-",Table20[[#This Row],[Min]])-1),Table1[Content Sku],0),18,1,1,"Entities")),"review","ok"),"ok")</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id="33" name="Table33" displayName="Table33" ref="Z41:AB164" totalsRowShown="0">
  <autoFilter ref="Z41:AB164"/>
  <sortState ref="Z42:AB164">
    <sortCondition ref="Z41:Z164"/>
  </sortState>
  <tableColumns count="3">
    <tableColumn id="1" name="SPAWNER"/>
    <tableColumn id="2" name="QUANTITY"/>
    <tableColumn id="3" name="COINS" dataDxfId="31">
      <calculatedColumnFormula>(INDIRECT(ADDRESS(2+(MATCH(Table33[[#This Row],[SPAWNER]],Table40[SPAWNER],0)),2,1,1,"DATA_SCENES_UNITY_2")))</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id="34" name="Table34" displayName="Table34" ref="J41:L142" totalsRowShown="0">
  <autoFilter ref="J41:L142"/>
  <sortState ref="J42:L142">
    <sortCondition ref="J41:J142"/>
  </sortState>
  <tableColumns count="3">
    <tableColumn id="1" name="SPAWNER"/>
    <tableColumn id="2" name="QUANTITY"/>
    <tableColumn id="3" name="COINS" dataDxfId="30">
      <calculatedColumnFormula>(INDIRECT(ADDRESS(2+(MATCH(Table34[[#This Row],[SPAWNER]],Table40[SPAWNER],0)),2,1,1,"DATA_SCENES_UNITY_2"))) * Table34[[#This Row],[QUANTITY]]</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id="39" name="Table40" displayName="Table40" ref="A2:B5" totalsRowShown="0" headerRowDxfId="29" dataDxfId="28">
  <autoFilter ref="A2:B5"/>
  <tableColumns count="2">
    <tableColumn id="1" name="SPAWNER" dataDxfId="27"/>
    <tableColumn id="2" name="COINS PER UNIT" dataDxfId="26"/>
  </tableColumns>
  <tableStyleInfo name="TableStyleMedium2" showFirstColumn="0" showLastColumn="0" showRowStripes="1" showColumnStripes="0"/>
</table>
</file>

<file path=xl/tables/table36.xml><?xml version="1.0" encoding="utf-8"?>
<table xmlns="http://schemas.openxmlformats.org/spreadsheetml/2006/main" id="32" name="Table32" displayName="Table32" ref="AP41:AR105" totalsRowShown="0">
  <autoFilter ref="AP41:AR105"/>
  <sortState ref="AP42:AR104">
    <sortCondition ref="AP41:AP104"/>
  </sortState>
  <tableColumns count="3">
    <tableColumn id="1" name="SPAWNER"/>
    <tableColumn id="2" name="QUANTITY"/>
    <tableColumn id="3" name="COINS" dataDxfId="25">
      <calculatedColumnFormula>(INDIRECT(ADDRESS(2+(MATCH(Table32[[#This Row],[SPAWNER]],Table40[SPAWNER],0)),2,1,1,"DATA_SCENES_UNITY_2"))) * Table32[[#This Row],[QUANTITY]]</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id="24" name="Table24" displayName="Table24" ref="F6:G1298" totalsRowShown="0">
  <autoFilter ref="F6:G1298"/>
  <sortState ref="F7:G1298">
    <sortCondition ref="G6:G1298"/>
  </sortState>
  <tableColumns count="2">
    <tableColumn id="1" name="Name"/>
    <tableColumn id="2" name="Pos_x;Pos_y"/>
  </tableColumns>
  <tableStyleInfo name="TableStyleMedium2" showFirstColumn="0" showLastColumn="0" showRowStripes="1" showColumnStripes="0"/>
</table>
</file>

<file path=xl/tables/table38.xml><?xml version="1.0" encoding="utf-8"?>
<table xmlns="http://schemas.openxmlformats.org/spreadsheetml/2006/main" id="25" name="Table25" displayName="Table25" ref="I6:J2649" totalsRowShown="0">
  <autoFilter ref="I6:J2649"/>
  <sortState ref="I7:J2689">
    <sortCondition ref="J6:J2689"/>
  </sortState>
  <tableColumns count="2">
    <tableColumn id="1" name="Name"/>
    <tableColumn id="2" name="Pos_x;Pos_y"/>
  </tableColumns>
  <tableStyleInfo name="TableStyleMedium2" showFirstColumn="0" showLastColumn="0" showRowStripes="1" showColumnStripes="0"/>
</table>
</file>

<file path=xl/tables/table39.xml><?xml version="1.0" encoding="utf-8"?>
<table xmlns="http://schemas.openxmlformats.org/spreadsheetml/2006/main" id="26" name="Table26" displayName="Table26" ref="L6:M1947" totalsRowShown="0">
  <autoFilter ref="L6:M1947"/>
  <sortState ref="L7:M1947">
    <sortCondition ref="M6:M1947"/>
  </sortState>
  <tableColumns count="2">
    <tableColumn id="1" name="Name"/>
    <tableColumn id="2" name="Pos_x;Pos_y"/>
  </tableColumns>
  <tableStyleInfo name="TableStyleMedium2" showFirstColumn="0" showLastColumn="0" showRowStripes="1" showColumnStripes="0"/>
</table>
</file>

<file path=xl/tables/table40.xml><?xml version="1.0" encoding="utf-8"?>
<table xmlns="http://schemas.openxmlformats.org/spreadsheetml/2006/main" id="41" name="Table41" displayName="Table41" ref="H6:L2417" totalsRowShown="0">
  <autoFilter ref="H6:L2417"/>
  <sortState ref="H7:L2417">
    <sortCondition ref="H6:H2417"/>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ables/table41.xml><?xml version="1.0" encoding="utf-8"?>
<table xmlns="http://schemas.openxmlformats.org/spreadsheetml/2006/main" id="44" name="Table44" displayName="Table44" ref="N6:S1956" totalsRowShown="0">
  <autoFilter ref="N6:S1956"/>
  <sortState ref="N7:R1956">
    <sortCondition ref="N6:N1956"/>
  </sortState>
  <tableColumns count="6">
    <tableColumn id="1" name="spawner"/>
    <tableColumn id="2" name="prefab1"/>
    <tableColumn id="3" name="prefab2"/>
    <tableColumn id="4" name="prefab3"/>
    <tableColumn id="5" name="prefab4"/>
    <tableColumn id="6" name="prefab5"/>
  </tableColumns>
  <tableStyleInfo name="TableStyleMedium2" showFirstColumn="0" showLastColumn="0" showRowStripes="1" showColumnStripes="0"/>
</table>
</file>

<file path=xl/tables/table42.xml><?xml version="1.0" encoding="utf-8"?>
<table xmlns="http://schemas.openxmlformats.org/spreadsheetml/2006/main" id="45" name="Table45" displayName="Table45" ref="T6:X1036" totalsRowShown="0">
  <autoFilter ref="T6:X1036"/>
  <sortState ref="T7:X1036">
    <sortCondition ref="T6:T1036"/>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5.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8.xml"/><Relationship Id="rId13" Type="http://schemas.openxmlformats.org/officeDocument/2006/relationships/table" Target="../tables/table23.xml"/><Relationship Id="rId18" Type="http://schemas.openxmlformats.org/officeDocument/2006/relationships/table" Target="../tables/table28.xml"/><Relationship Id="rId3" Type="http://schemas.openxmlformats.org/officeDocument/2006/relationships/table" Target="../tables/table13.xml"/><Relationship Id="rId7" Type="http://schemas.openxmlformats.org/officeDocument/2006/relationships/table" Target="../tables/table17.xml"/><Relationship Id="rId12" Type="http://schemas.openxmlformats.org/officeDocument/2006/relationships/table" Target="../tables/table22.xml"/><Relationship Id="rId17" Type="http://schemas.openxmlformats.org/officeDocument/2006/relationships/table" Target="../tables/table27.xml"/><Relationship Id="rId2" Type="http://schemas.openxmlformats.org/officeDocument/2006/relationships/table" Target="../tables/table12.xml"/><Relationship Id="rId16" Type="http://schemas.openxmlformats.org/officeDocument/2006/relationships/table" Target="../tables/table26.xml"/><Relationship Id="rId1" Type="http://schemas.openxmlformats.org/officeDocument/2006/relationships/printerSettings" Target="../printerSettings/printerSettings9.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5" Type="http://schemas.openxmlformats.org/officeDocument/2006/relationships/table" Target="../tables/table25.xml"/><Relationship Id="rId10" Type="http://schemas.openxmlformats.org/officeDocument/2006/relationships/table" Target="../tables/table20.xml"/><Relationship Id="rId19" Type="http://schemas.openxmlformats.org/officeDocument/2006/relationships/table" Target="../tables/table29.xml"/><Relationship Id="rId4" Type="http://schemas.openxmlformats.org/officeDocument/2006/relationships/table" Target="../tables/table14.xml"/><Relationship Id="rId9" Type="http://schemas.openxmlformats.org/officeDocument/2006/relationships/table" Target="../tables/table19.xml"/><Relationship Id="rId14" Type="http://schemas.openxmlformats.org/officeDocument/2006/relationships/table" Target="../tables/table24.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table" Target="../tables/table31.xml"/><Relationship Id="rId7" Type="http://schemas.openxmlformats.org/officeDocument/2006/relationships/table" Target="../tables/table35.xml"/><Relationship Id="rId2" Type="http://schemas.openxmlformats.org/officeDocument/2006/relationships/table" Target="../tables/table30.xml"/><Relationship Id="rId1" Type="http://schemas.openxmlformats.org/officeDocument/2006/relationships/printerSettings" Target="../printerSettings/printerSettings10.bin"/><Relationship Id="rId6" Type="http://schemas.openxmlformats.org/officeDocument/2006/relationships/table" Target="../tables/table34.xml"/><Relationship Id="rId5" Type="http://schemas.openxmlformats.org/officeDocument/2006/relationships/table" Target="../tables/table33.xml"/><Relationship Id="rId4" Type="http://schemas.openxmlformats.org/officeDocument/2006/relationships/table" Target="../tables/table32.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1.bin"/><Relationship Id="rId4" Type="http://schemas.openxmlformats.org/officeDocument/2006/relationships/table" Target="../tables/table3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table" Target="../tables/table40.xml"/><Relationship Id="rId1" Type="http://schemas.openxmlformats.org/officeDocument/2006/relationships/printerSettings" Target="../printerSettings/printerSettings12.bin"/><Relationship Id="rId4" Type="http://schemas.openxmlformats.org/officeDocument/2006/relationships/table" Target="../tables/table4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tint="0.59999389629810485"/>
  </sheetPr>
  <dimension ref="A4:U105"/>
  <sheetViews>
    <sheetView topLeftCell="A16" workbookViewId="0">
      <selection activeCell="G48" sqref="G48"/>
    </sheetView>
  </sheetViews>
  <sheetFormatPr defaultRowHeight="15" x14ac:dyDescent="0.25"/>
  <sheetData>
    <row r="4" spans="5:21" x14ac:dyDescent="0.25">
      <c r="H4" s="1" t="s">
        <v>4491</v>
      </c>
    </row>
    <row r="6" spans="5:21" ht="18.75" x14ac:dyDescent="0.3">
      <c r="E6" s="173" t="s">
        <v>4437</v>
      </c>
      <c r="F6" s="165"/>
      <c r="G6" s="165"/>
      <c r="H6" s="165"/>
      <c r="I6" s="165"/>
      <c r="J6" s="165"/>
      <c r="K6" s="165"/>
      <c r="L6" s="165"/>
      <c r="M6" s="165"/>
      <c r="N6" s="165"/>
      <c r="O6" s="165"/>
      <c r="P6" s="165"/>
      <c r="Q6" s="165"/>
      <c r="R6" s="165"/>
      <c r="S6" s="165"/>
      <c r="T6" s="165"/>
      <c r="U6" s="166"/>
    </row>
    <row r="7" spans="5:21" x14ac:dyDescent="0.25">
      <c r="E7" s="167" t="s">
        <v>8163</v>
      </c>
      <c r="F7" s="164"/>
      <c r="G7" s="164"/>
      <c r="H7" s="164"/>
      <c r="I7" s="164"/>
      <c r="J7" s="164"/>
      <c r="K7" s="164"/>
      <c r="L7" s="164"/>
      <c r="M7" s="164"/>
      <c r="N7" s="164"/>
      <c r="O7" s="164"/>
      <c r="P7" s="164"/>
      <c r="Q7" s="164"/>
      <c r="R7" s="164"/>
      <c r="S7" s="164"/>
      <c r="T7" s="164"/>
      <c r="U7" s="168"/>
    </row>
    <row r="8" spans="5:21" x14ac:dyDescent="0.25">
      <c r="E8" s="167"/>
      <c r="F8" s="164" t="s">
        <v>4444</v>
      </c>
      <c r="G8" s="164"/>
      <c r="H8" s="164"/>
      <c r="I8" s="164"/>
      <c r="J8" s="164"/>
      <c r="K8" s="164"/>
      <c r="L8" s="164"/>
      <c r="M8" s="164"/>
      <c r="N8" s="164"/>
      <c r="O8" s="164"/>
      <c r="P8" s="164"/>
      <c r="Q8" s="164"/>
      <c r="R8" s="164"/>
      <c r="S8" s="164"/>
      <c r="T8" s="164"/>
      <c r="U8" s="168"/>
    </row>
    <row r="9" spans="5:21" x14ac:dyDescent="0.25">
      <c r="E9" s="167"/>
      <c r="F9" s="164" t="s">
        <v>4438</v>
      </c>
      <c r="G9" s="164"/>
      <c r="H9" s="164"/>
      <c r="I9" s="164"/>
      <c r="J9" s="164"/>
      <c r="K9" s="164"/>
      <c r="L9" s="164"/>
      <c r="M9" s="164"/>
      <c r="N9" s="164"/>
      <c r="O9" s="164"/>
      <c r="P9" s="164"/>
      <c r="Q9" s="164"/>
      <c r="R9" s="164"/>
      <c r="S9" s="164"/>
      <c r="T9" s="164"/>
      <c r="U9" s="168"/>
    </row>
    <row r="10" spans="5:21" x14ac:dyDescent="0.25">
      <c r="E10" s="167"/>
      <c r="F10" s="164"/>
      <c r="G10" s="164" t="s">
        <v>4439</v>
      </c>
      <c r="H10" s="164"/>
      <c r="I10" s="164"/>
      <c r="J10" s="164"/>
      <c r="K10" s="164"/>
      <c r="L10" s="164"/>
      <c r="M10" s="164"/>
      <c r="N10" s="164"/>
      <c r="O10" s="164"/>
      <c r="P10" s="164"/>
      <c r="Q10" s="164"/>
      <c r="R10" s="164"/>
      <c r="S10" s="164"/>
      <c r="T10" s="164"/>
      <c r="U10" s="168"/>
    </row>
    <row r="11" spans="5:21" x14ac:dyDescent="0.25">
      <c r="E11" s="167"/>
      <c r="F11" s="164"/>
      <c r="G11" s="164" t="s">
        <v>4440</v>
      </c>
      <c r="H11" s="164"/>
      <c r="I11" s="164"/>
      <c r="J11" s="164"/>
      <c r="K11" s="164"/>
      <c r="L11" s="164"/>
      <c r="M11" s="164"/>
      <c r="N11" s="164"/>
      <c r="O11" s="164"/>
      <c r="P11" s="164"/>
      <c r="Q11" s="164"/>
      <c r="R11" s="164"/>
      <c r="S11" s="164"/>
      <c r="T11" s="164"/>
      <c r="U11" s="168"/>
    </row>
    <row r="12" spans="5:21" x14ac:dyDescent="0.25">
      <c r="E12" s="167"/>
      <c r="F12" s="164" t="s">
        <v>8144</v>
      </c>
      <c r="G12" s="164"/>
      <c r="H12" s="164"/>
      <c r="I12" s="164"/>
      <c r="J12" s="164"/>
      <c r="K12" s="164"/>
      <c r="L12" s="164"/>
      <c r="M12" s="164"/>
      <c r="N12" s="164"/>
      <c r="O12" s="164"/>
      <c r="P12" s="164"/>
      <c r="Q12" s="164"/>
      <c r="R12" s="164"/>
      <c r="S12" s="164"/>
      <c r="T12" s="164"/>
      <c r="U12" s="168"/>
    </row>
    <row r="13" spans="5:21" x14ac:dyDescent="0.25">
      <c r="E13" s="167"/>
      <c r="F13" s="164"/>
      <c r="G13" s="164"/>
      <c r="H13" s="164"/>
      <c r="I13" s="164"/>
      <c r="J13" s="164"/>
      <c r="K13" s="164"/>
      <c r="L13" s="164"/>
      <c r="M13" s="164"/>
      <c r="N13" s="164"/>
      <c r="O13" s="164"/>
      <c r="P13" s="164"/>
      <c r="Q13" s="164"/>
      <c r="R13" s="164"/>
      <c r="S13" s="164"/>
      <c r="T13" s="164"/>
      <c r="U13" s="168"/>
    </row>
    <row r="14" spans="5:21" x14ac:dyDescent="0.25">
      <c r="E14" s="167" t="s">
        <v>4461</v>
      </c>
      <c r="F14" s="164"/>
      <c r="G14" s="164"/>
      <c r="H14" s="164"/>
      <c r="I14" s="164"/>
      <c r="J14" s="164"/>
      <c r="K14" s="164"/>
      <c r="L14" s="164"/>
      <c r="M14" s="164"/>
      <c r="N14" s="164"/>
      <c r="O14" s="164"/>
      <c r="P14" s="164"/>
      <c r="Q14" s="164"/>
      <c r="R14" s="164"/>
      <c r="S14" s="164"/>
      <c r="T14" s="164"/>
      <c r="U14" s="168"/>
    </row>
    <row r="15" spans="5:21" x14ac:dyDescent="0.25">
      <c r="E15" s="167"/>
      <c r="F15" s="164" t="s">
        <v>4445</v>
      </c>
      <c r="G15" s="164"/>
      <c r="H15" s="164"/>
      <c r="I15" s="164"/>
      <c r="J15" s="164"/>
      <c r="K15" s="164"/>
      <c r="L15" s="164"/>
      <c r="M15" s="164"/>
      <c r="N15" s="164"/>
      <c r="O15" s="164"/>
      <c r="P15" s="164"/>
      <c r="Q15" s="164"/>
      <c r="R15" s="164"/>
      <c r="S15" s="164"/>
      <c r="T15" s="164"/>
      <c r="U15" s="168"/>
    </row>
    <row r="16" spans="5:21" x14ac:dyDescent="0.25">
      <c r="E16" s="167"/>
      <c r="F16" s="164" t="s">
        <v>4441</v>
      </c>
      <c r="G16" s="164"/>
      <c r="H16" s="164"/>
      <c r="I16" s="164"/>
      <c r="J16" s="164"/>
      <c r="K16" s="164"/>
      <c r="L16" s="164"/>
      <c r="M16" s="164"/>
      <c r="N16" s="164"/>
      <c r="O16" s="164"/>
      <c r="P16" s="164"/>
      <c r="Q16" s="164"/>
      <c r="R16" s="164"/>
      <c r="S16" s="164"/>
      <c r="T16" s="164"/>
      <c r="U16" s="168"/>
    </row>
    <row r="17" spans="5:21" x14ac:dyDescent="0.25">
      <c r="E17" s="167"/>
      <c r="F17" s="164" t="s">
        <v>4462</v>
      </c>
      <c r="G17" s="164"/>
      <c r="H17" s="164"/>
      <c r="I17" s="164"/>
      <c r="J17" s="164"/>
      <c r="K17" s="164"/>
      <c r="L17" s="164"/>
      <c r="M17" s="164"/>
      <c r="N17" s="164"/>
      <c r="O17" s="164"/>
      <c r="P17" s="164"/>
      <c r="Q17" s="164"/>
      <c r="R17" s="164"/>
      <c r="S17" s="164"/>
      <c r="T17" s="164"/>
      <c r="U17" s="168"/>
    </row>
    <row r="18" spans="5:21" x14ac:dyDescent="0.25">
      <c r="E18" s="167"/>
      <c r="F18" s="164" t="s">
        <v>4442</v>
      </c>
      <c r="G18" s="164"/>
      <c r="H18" s="164"/>
      <c r="I18" s="164"/>
      <c r="J18" s="164"/>
      <c r="K18" s="164"/>
      <c r="L18" s="164"/>
      <c r="M18" s="164"/>
      <c r="N18" s="164"/>
      <c r="O18" s="164"/>
      <c r="P18" s="164"/>
      <c r="Q18" s="164"/>
      <c r="R18" s="164"/>
      <c r="S18" s="164"/>
      <c r="T18" s="164"/>
      <c r="U18" s="168"/>
    </row>
    <row r="19" spans="5:21" x14ac:dyDescent="0.25">
      <c r="E19" s="167"/>
      <c r="F19" s="164"/>
      <c r="G19" s="164"/>
      <c r="H19" s="164"/>
      <c r="I19" s="164"/>
      <c r="J19" s="164"/>
      <c r="K19" s="164"/>
      <c r="L19" s="164"/>
      <c r="M19" s="164"/>
      <c r="N19" s="164"/>
      <c r="O19" s="164"/>
      <c r="P19" s="164"/>
      <c r="Q19" s="164"/>
      <c r="R19" s="164"/>
      <c r="S19" s="164"/>
      <c r="T19" s="164"/>
      <c r="U19" s="168"/>
    </row>
    <row r="20" spans="5:21" x14ac:dyDescent="0.25">
      <c r="E20" s="167"/>
      <c r="F20" s="164"/>
      <c r="G20" s="164"/>
      <c r="H20" s="164"/>
      <c r="I20" s="164"/>
      <c r="J20" s="164"/>
      <c r="K20" s="164"/>
      <c r="L20" s="164"/>
      <c r="M20" s="164"/>
      <c r="N20" s="164"/>
      <c r="O20" s="164"/>
      <c r="P20" s="164"/>
      <c r="Q20" s="164"/>
      <c r="R20" s="164"/>
      <c r="S20" s="164"/>
      <c r="T20" s="164"/>
      <c r="U20" s="168"/>
    </row>
    <row r="21" spans="5:21" ht="18.75" x14ac:dyDescent="0.3">
      <c r="E21" s="174" t="s">
        <v>4443</v>
      </c>
      <c r="F21" s="164"/>
      <c r="G21" s="164"/>
      <c r="H21" s="164"/>
      <c r="I21" s="164"/>
      <c r="J21" s="164"/>
      <c r="K21" s="164"/>
      <c r="L21" s="164"/>
      <c r="M21" s="164"/>
      <c r="N21" s="164"/>
      <c r="O21" s="164"/>
      <c r="P21" s="164"/>
      <c r="Q21" s="164"/>
      <c r="R21" s="164"/>
      <c r="S21" s="164"/>
      <c r="T21" s="164"/>
      <c r="U21" s="168"/>
    </row>
    <row r="22" spans="5:21" x14ac:dyDescent="0.25">
      <c r="E22" s="167" t="s">
        <v>4446</v>
      </c>
      <c r="F22" s="164"/>
      <c r="G22" s="164"/>
      <c r="H22" s="164"/>
      <c r="I22" s="164"/>
      <c r="J22" s="164"/>
      <c r="K22" s="164"/>
      <c r="L22" s="164"/>
      <c r="M22" s="164"/>
      <c r="N22" s="164"/>
      <c r="O22" s="164"/>
      <c r="P22" s="164"/>
      <c r="Q22" s="164"/>
      <c r="R22" s="164"/>
      <c r="S22" s="164"/>
      <c r="T22" s="164"/>
      <c r="U22" s="168"/>
    </row>
    <row r="23" spans="5:21" x14ac:dyDescent="0.25">
      <c r="E23" s="167"/>
      <c r="F23" s="164" t="s">
        <v>4447</v>
      </c>
      <c r="G23" s="164"/>
      <c r="H23" s="164"/>
      <c r="I23" s="164"/>
      <c r="J23" s="164"/>
      <c r="K23" s="164"/>
      <c r="L23" s="164"/>
      <c r="M23" s="164"/>
      <c r="N23" s="164"/>
      <c r="O23" s="164"/>
      <c r="P23" s="164"/>
      <c r="Q23" s="164"/>
      <c r="R23" s="164"/>
      <c r="S23" s="164"/>
      <c r="T23" s="164"/>
      <c r="U23" s="168"/>
    </row>
    <row r="24" spans="5:21" x14ac:dyDescent="0.25">
      <c r="E24" s="167"/>
      <c r="F24" s="164" t="s">
        <v>4448</v>
      </c>
      <c r="G24" s="164"/>
      <c r="H24" s="164"/>
      <c r="I24" s="164"/>
      <c r="J24" s="164"/>
      <c r="K24" s="164"/>
      <c r="L24" s="164"/>
      <c r="M24" s="164"/>
      <c r="N24" s="164"/>
      <c r="O24" s="164"/>
      <c r="P24" s="164"/>
      <c r="Q24" s="164"/>
      <c r="R24" s="164"/>
      <c r="S24" s="164"/>
      <c r="T24" s="164"/>
      <c r="U24" s="168"/>
    </row>
    <row r="25" spans="5:21" x14ac:dyDescent="0.25">
      <c r="E25" s="167"/>
      <c r="F25" s="164"/>
      <c r="G25" s="164"/>
      <c r="H25" s="164"/>
      <c r="I25" s="164"/>
      <c r="J25" s="164"/>
      <c r="K25" s="164"/>
      <c r="L25" s="164"/>
      <c r="M25" s="164"/>
      <c r="N25" s="164"/>
      <c r="O25" s="164"/>
      <c r="P25" s="164"/>
      <c r="Q25" s="164"/>
      <c r="R25" s="164"/>
      <c r="S25" s="164"/>
      <c r="T25" s="164"/>
      <c r="U25" s="168"/>
    </row>
    <row r="26" spans="5:21" x14ac:dyDescent="0.25">
      <c r="E26" s="167" t="s">
        <v>4449</v>
      </c>
      <c r="F26" s="164"/>
      <c r="G26" s="164"/>
      <c r="H26" s="164"/>
      <c r="I26" s="164"/>
      <c r="J26" s="164"/>
      <c r="K26" s="164"/>
      <c r="L26" s="164"/>
      <c r="M26" s="164"/>
      <c r="N26" s="164"/>
      <c r="O26" s="164"/>
      <c r="P26" s="164"/>
      <c r="Q26" s="164"/>
      <c r="R26" s="164"/>
      <c r="S26" s="164"/>
      <c r="T26" s="164"/>
      <c r="U26" s="168"/>
    </row>
    <row r="27" spans="5:21" x14ac:dyDescent="0.25">
      <c r="E27" s="167"/>
      <c r="F27" s="164" t="s">
        <v>4453</v>
      </c>
      <c r="G27" s="164"/>
      <c r="H27" s="164"/>
      <c r="I27" s="164"/>
      <c r="J27" s="164"/>
      <c r="K27" s="164"/>
      <c r="L27" s="164"/>
      <c r="M27" s="164"/>
      <c r="N27" s="164"/>
      <c r="O27" s="164"/>
      <c r="P27" s="164"/>
      <c r="Q27" s="164"/>
      <c r="R27" s="164"/>
      <c r="S27" s="164"/>
      <c r="T27" s="164"/>
      <c r="U27" s="168"/>
    </row>
    <row r="28" spans="5:21" x14ac:dyDescent="0.25">
      <c r="E28" s="167"/>
      <c r="F28" s="164"/>
      <c r="G28" s="164"/>
      <c r="H28" s="164"/>
      <c r="I28" s="164"/>
      <c r="J28" s="164"/>
      <c r="K28" s="164"/>
      <c r="L28" s="164"/>
      <c r="M28" s="164"/>
      <c r="N28" s="164"/>
      <c r="O28" s="164"/>
      <c r="P28" s="164"/>
      <c r="Q28" s="164"/>
      <c r="R28" s="164"/>
      <c r="S28" s="164"/>
      <c r="T28" s="164"/>
      <c r="U28" s="168"/>
    </row>
    <row r="29" spans="5:21" x14ac:dyDescent="0.25">
      <c r="E29" s="167" t="s">
        <v>4450</v>
      </c>
      <c r="F29" s="164"/>
      <c r="G29" s="164"/>
      <c r="H29" s="164"/>
      <c r="I29" s="164"/>
      <c r="J29" s="164"/>
      <c r="K29" s="164"/>
      <c r="L29" s="164"/>
      <c r="M29" s="164"/>
      <c r="N29" s="164"/>
      <c r="O29" s="164"/>
      <c r="P29" s="164"/>
      <c r="Q29" s="164"/>
      <c r="R29" s="164"/>
      <c r="S29" s="164"/>
      <c r="T29" s="164"/>
      <c r="U29" s="168"/>
    </row>
    <row r="30" spans="5:21" x14ac:dyDescent="0.25">
      <c r="E30" s="167"/>
      <c r="F30" s="164" t="s">
        <v>4451</v>
      </c>
      <c r="G30" s="164"/>
      <c r="H30" s="164"/>
      <c r="I30" s="164"/>
      <c r="J30" s="164"/>
      <c r="K30" s="164"/>
      <c r="L30" s="164"/>
      <c r="M30" s="164"/>
      <c r="N30" s="164"/>
      <c r="O30" s="164"/>
      <c r="P30" s="164"/>
      <c r="Q30" s="164"/>
      <c r="R30" s="164"/>
      <c r="S30" s="164"/>
      <c r="T30" s="164"/>
      <c r="U30" s="168"/>
    </row>
    <row r="31" spans="5:21" x14ac:dyDescent="0.25">
      <c r="E31" s="167"/>
      <c r="F31" s="164"/>
      <c r="G31" s="164"/>
      <c r="H31" s="164"/>
      <c r="I31" s="164"/>
      <c r="J31" s="164"/>
      <c r="K31" s="164"/>
      <c r="L31" s="164"/>
      <c r="M31" s="164"/>
      <c r="N31" s="164"/>
      <c r="O31" s="164"/>
      <c r="P31" s="164"/>
      <c r="Q31" s="164"/>
      <c r="R31" s="164"/>
      <c r="S31" s="164"/>
      <c r="T31" s="164"/>
      <c r="U31" s="168"/>
    </row>
    <row r="32" spans="5:21" x14ac:dyDescent="0.25">
      <c r="E32" s="167" t="s">
        <v>4452</v>
      </c>
      <c r="F32" s="164"/>
      <c r="G32" s="164"/>
      <c r="H32" s="164"/>
      <c r="I32" s="164"/>
      <c r="J32" s="164"/>
      <c r="K32" s="164"/>
      <c r="L32" s="164"/>
      <c r="M32" s="164"/>
      <c r="N32" s="164"/>
      <c r="O32" s="164"/>
      <c r="P32" s="164"/>
      <c r="Q32" s="164"/>
      <c r="R32" s="164"/>
      <c r="S32" s="164"/>
      <c r="T32" s="164"/>
      <c r="U32" s="168"/>
    </row>
    <row r="33" spans="5:21" x14ac:dyDescent="0.25">
      <c r="E33" s="167"/>
      <c r="F33" s="164" t="s">
        <v>4460</v>
      </c>
      <c r="G33" s="164"/>
      <c r="H33" s="164"/>
      <c r="I33" s="164"/>
      <c r="J33" s="164"/>
      <c r="K33" s="164"/>
      <c r="L33" s="164"/>
      <c r="M33" s="164"/>
      <c r="N33" s="164"/>
      <c r="O33" s="164"/>
      <c r="P33" s="164"/>
      <c r="Q33" s="164"/>
      <c r="R33" s="164"/>
      <c r="S33" s="164"/>
      <c r="T33" s="164"/>
      <c r="U33" s="168"/>
    </row>
    <row r="34" spans="5:21" x14ac:dyDescent="0.25">
      <c r="E34" s="167"/>
      <c r="F34" s="164"/>
      <c r="G34" s="164"/>
      <c r="H34" s="164"/>
      <c r="I34" s="164"/>
      <c r="J34" s="164"/>
      <c r="K34" s="164"/>
      <c r="L34" s="164"/>
      <c r="M34" s="164"/>
      <c r="N34" s="164"/>
      <c r="O34" s="164"/>
      <c r="P34" s="164"/>
      <c r="Q34" s="164"/>
      <c r="R34" s="164"/>
      <c r="S34" s="164"/>
      <c r="T34" s="164"/>
      <c r="U34" s="168"/>
    </row>
    <row r="35" spans="5:21" x14ac:dyDescent="0.25">
      <c r="E35" s="167" t="s">
        <v>4454</v>
      </c>
      <c r="F35" s="164"/>
      <c r="G35" s="164"/>
      <c r="H35" s="164"/>
      <c r="I35" s="164"/>
      <c r="J35" s="164"/>
      <c r="K35" s="164"/>
      <c r="L35" s="164"/>
      <c r="M35" s="164"/>
      <c r="N35" s="164"/>
      <c r="O35" s="164"/>
      <c r="P35" s="164"/>
      <c r="Q35" s="164"/>
      <c r="R35" s="164"/>
      <c r="S35" s="164"/>
      <c r="T35" s="164"/>
      <c r="U35" s="168"/>
    </row>
    <row r="36" spans="5:21" x14ac:dyDescent="0.25">
      <c r="E36" s="169"/>
      <c r="F36" s="170" t="s">
        <v>4463</v>
      </c>
      <c r="G36" s="170"/>
      <c r="H36" s="170"/>
      <c r="I36" s="170"/>
      <c r="J36" s="170"/>
      <c r="K36" s="170"/>
      <c r="L36" s="170"/>
      <c r="M36" s="170"/>
      <c r="N36" s="170"/>
      <c r="O36" s="170"/>
      <c r="P36" s="170"/>
      <c r="Q36" s="170"/>
      <c r="R36" s="170"/>
      <c r="S36" s="170"/>
      <c r="T36" s="170"/>
      <c r="U36" s="171"/>
    </row>
    <row r="40" spans="5:21" x14ac:dyDescent="0.25">
      <c r="H40" s="1" t="s">
        <v>8114</v>
      </c>
    </row>
    <row r="42" spans="5:21" x14ac:dyDescent="0.25">
      <c r="H42" t="s">
        <v>4481</v>
      </c>
    </row>
    <row r="43" spans="5:21" x14ac:dyDescent="0.25">
      <c r="I43" t="s">
        <v>4483</v>
      </c>
    </row>
    <row r="44" spans="5:21" x14ac:dyDescent="0.25">
      <c r="I44" t="s">
        <v>4482</v>
      </c>
    </row>
    <row r="45" spans="5:21" x14ac:dyDescent="0.25">
      <c r="I45" t="s">
        <v>4486</v>
      </c>
    </row>
    <row r="46" spans="5:21" x14ac:dyDescent="0.25">
      <c r="H46" t="s">
        <v>4484</v>
      </c>
    </row>
    <row r="47" spans="5:21" x14ac:dyDescent="0.25">
      <c r="H47" t="s">
        <v>8164</v>
      </c>
    </row>
    <row r="48" spans="5:21" x14ac:dyDescent="0.25">
      <c r="I48" t="s">
        <v>4485</v>
      </c>
    </row>
    <row r="49" spans="8:9" x14ac:dyDescent="0.25">
      <c r="H49" t="s">
        <v>4493</v>
      </c>
    </row>
    <row r="50" spans="8:9" x14ac:dyDescent="0.25">
      <c r="I50" t="s">
        <v>4494</v>
      </c>
    </row>
    <row r="51" spans="8:9" x14ac:dyDescent="0.25">
      <c r="I51" t="s">
        <v>8113</v>
      </c>
    </row>
    <row r="52" spans="8:9" x14ac:dyDescent="0.25">
      <c r="H52" t="s">
        <v>4492</v>
      </c>
    </row>
    <row r="53" spans="8:9" x14ac:dyDescent="0.25">
      <c r="I53" t="s">
        <v>4487</v>
      </c>
    </row>
    <row r="54" spans="8:9" x14ac:dyDescent="0.25">
      <c r="I54" t="s">
        <v>4488</v>
      </c>
    </row>
    <row r="55" spans="8:9" x14ac:dyDescent="0.25">
      <c r="I55" t="s">
        <v>4490</v>
      </c>
    </row>
    <row r="56" spans="8:9" x14ac:dyDescent="0.25">
      <c r="H56" t="s">
        <v>4495</v>
      </c>
    </row>
    <row r="57" spans="8:9" x14ac:dyDescent="0.25">
      <c r="I57" t="s">
        <v>4496</v>
      </c>
    </row>
    <row r="58" spans="8:9" x14ac:dyDescent="0.25">
      <c r="H58" t="s">
        <v>4497</v>
      </c>
    </row>
    <row r="59" spans="8:9" x14ac:dyDescent="0.25">
      <c r="I59" t="s">
        <v>4498</v>
      </c>
    </row>
    <row r="60" spans="8:9" x14ac:dyDescent="0.25">
      <c r="I60" t="s">
        <v>4499</v>
      </c>
    </row>
    <row r="61" spans="8:9" x14ac:dyDescent="0.25">
      <c r="H61" t="s">
        <v>4500</v>
      </c>
    </row>
    <row r="62" spans="8:9" x14ac:dyDescent="0.25">
      <c r="I62" t="s">
        <v>4501</v>
      </c>
    </row>
    <row r="63" spans="8:9" x14ac:dyDescent="0.25">
      <c r="H63" t="s">
        <v>4502</v>
      </c>
    </row>
    <row r="66" spans="4:8" x14ac:dyDescent="0.25">
      <c r="H66" s="1" t="s">
        <v>8115</v>
      </c>
    </row>
    <row r="68" spans="4:8" x14ac:dyDescent="0.25">
      <c r="H68" t="s">
        <v>4493</v>
      </c>
    </row>
    <row r="77" spans="4:8" x14ac:dyDescent="0.25">
      <c r="D77" t="s">
        <v>8097</v>
      </c>
    </row>
    <row r="85" spans="1:1" x14ac:dyDescent="0.25">
      <c r="A85" s="188"/>
    </row>
    <row r="86" spans="1:1" x14ac:dyDescent="0.25">
      <c r="A86" s="188"/>
    </row>
    <row r="87" spans="1:1" x14ac:dyDescent="0.25">
      <c r="A87" s="188"/>
    </row>
    <row r="88" spans="1:1" x14ac:dyDescent="0.25">
      <c r="A88" s="188"/>
    </row>
    <row r="89" spans="1:1" x14ac:dyDescent="0.25">
      <c r="A89" s="188"/>
    </row>
    <row r="90" spans="1:1" x14ac:dyDescent="0.25">
      <c r="A90" s="188"/>
    </row>
    <row r="91" spans="1:1" x14ac:dyDescent="0.25">
      <c r="A91" s="188"/>
    </row>
    <row r="92" spans="1:1" x14ac:dyDescent="0.25">
      <c r="A92" s="188"/>
    </row>
    <row r="93" spans="1:1" x14ac:dyDescent="0.25">
      <c r="A93" s="188"/>
    </row>
    <row r="94" spans="1:1" x14ac:dyDescent="0.25">
      <c r="A94" s="188"/>
    </row>
    <row r="95" spans="1:1" x14ac:dyDescent="0.25">
      <c r="A95" s="188"/>
    </row>
    <row r="96" spans="1:1" x14ac:dyDescent="0.25">
      <c r="A96" s="188"/>
    </row>
    <row r="97" spans="1:1" x14ac:dyDescent="0.25">
      <c r="A97" s="188"/>
    </row>
    <row r="98" spans="1:1" x14ac:dyDescent="0.25">
      <c r="A98" s="188"/>
    </row>
    <row r="99" spans="1:1" x14ac:dyDescent="0.25">
      <c r="A99" s="188"/>
    </row>
    <row r="100" spans="1:1" x14ac:dyDescent="0.25">
      <c r="A100" s="188"/>
    </row>
    <row r="101" spans="1:1" x14ac:dyDescent="0.25">
      <c r="A101" s="188"/>
    </row>
    <row r="102" spans="1:1" x14ac:dyDescent="0.25">
      <c r="A102" s="188"/>
    </row>
    <row r="103" spans="1:1" x14ac:dyDescent="0.25">
      <c r="A103" s="188"/>
    </row>
    <row r="104" spans="1:1" x14ac:dyDescent="0.25">
      <c r="A104" s="188"/>
    </row>
    <row r="105" spans="1:1" x14ac:dyDescent="0.25">
      <c r="A105" s="188"/>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7174" r:id="rId4" name="CommandButton6">
          <controlPr defaultSize="0" autoLine="0" r:id="rId5">
            <anchor moveWithCells="1">
              <from>
                <xdr:col>23</xdr:col>
                <xdr:colOff>285750</xdr:colOff>
                <xdr:row>71</xdr:row>
                <xdr:rowOff>152400</xdr:rowOff>
              </from>
              <to>
                <xdr:col>25</xdr:col>
                <xdr:colOff>485775</xdr:colOff>
                <xdr:row>73</xdr:row>
                <xdr:rowOff>104775</xdr:rowOff>
              </to>
            </anchor>
          </controlPr>
        </control>
      </mc:Choice>
      <mc:Fallback>
        <control shapeId="7174" r:id="rId4" name="CommandButton6"/>
      </mc:Fallback>
    </mc:AlternateContent>
    <mc:AlternateContent xmlns:mc="http://schemas.openxmlformats.org/markup-compatibility/2006">
      <mc:Choice Requires="x14">
        <control shapeId="7173" r:id="rId6" name="CommandButton5">
          <controlPr defaultSize="0" autoLine="0" r:id="rId7">
            <anchor moveWithCells="1">
              <from>
                <xdr:col>21</xdr:col>
                <xdr:colOff>9525</xdr:colOff>
                <xdr:row>71</xdr:row>
                <xdr:rowOff>152400</xdr:rowOff>
              </from>
              <to>
                <xdr:col>23</xdr:col>
                <xdr:colOff>200025</xdr:colOff>
                <xdr:row>73</xdr:row>
                <xdr:rowOff>95250</xdr:rowOff>
              </to>
            </anchor>
          </controlPr>
        </control>
      </mc:Choice>
      <mc:Fallback>
        <control shapeId="7173" r:id="rId6" name="CommandButton5"/>
      </mc:Fallback>
    </mc:AlternateContent>
    <mc:AlternateContent xmlns:mc="http://schemas.openxmlformats.org/markup-compatibility/2006">
      <mc:Choice Requires="x14">
        <control shapeId="7172" r:id="rId8" name="CommandButton4">
          <controlPr defaultSize="0" autoLine="0" r:id="rId9">
            <anchor moveWithCells="1">
              <from>
                <xdr:col>16</xdr:col>
                <xdr:colOff>571500</xdr:colOff>
                <xdr:row>71</xdr:row>
                <xdr:rowOff>152400</xdr:rowOff>
              </from>
              <to>
                <xdr:col>19</xdr:col>
                <xdr:colOff>123825</xdr:colOff>
                <xdr:row>73</xdr:row>
                <xdr:rowOff>95250</xdr:rowOff>
              </to>
            </anchor>
          </controlPr>
        </control>
      </mc:Choice>
      <mc:Fallback>
        <control shapeId="7172" r:id="rId8" name="CommandButton4"/>
      </mc:Fallback>
    </mc:AlternateContent>
    <mc:AlternateContent xmlns:mc="http://schemas.openxmlformats.org/markup-compatibility/2006">
      <mc:Choice Requires="x14">
        <control shapeId="7171" r:id="rId10" name="CommandButton3">
          <controlPr defaultSize="0" autoLine="0" r:id="rId11">
            <anchor moveWithCells="1">
              <from>
                <xdr:col>14</xdr:col>
                <xdr:colOff>352425</xdr:colOff>
                <xdr:row>71</xdr:row>
                <xdr:rowOff>152400</xdr:rowOff>
              </from>
              <to>
                <xdr:col>16</xdr:col>
                <xdr:colOff>514350</xdr:colOff>
                <xdr:row>73</xdr:row>
                <xdr:rowOff>95250</xdr:rowOff>
              </to>
            </anchor>
          </controlPr>
        </control>
      </mc:Choice>
      <mc:Fallback>
        <control shapeId="7171" r:id="rId10" name="CommandButton3"/>
      </mc:Fallback>
    </mc:AlternateContent>
    <mc:AlternateContent xmlns:mc="http://schemas.openxmlformats.org/markup-compatibility/2006">
      <mc:Choice Requires="x14">
        <control shapeId="7170" r:id="rId12" name="CommandButton2">
          <controlPr defaultSize="0" autoLine="0" r:id="rId13">
            <anchor moveWithCells="1">
              <from>
                <xdr:col>12</xdr:col>
                <xdr:colOff>85725</xdr:colOff>
                <xdr:row>71</xdr:row>
                <xdr:rowOff>152400</xdr:rowOff>
              </from>
              <to>
                <xdr:col>14</xdr:col>
                <xdr:colOff>295275</xdr:colOff>
                <xdr:row>73</xdr:row>
                <xdr:rowOff>95250</xdr:rowOff>
              </to>
            </anchor>
          </controlPr>
        </control>
      </mc:Choice>
      <mc:Fallback>
        <control shapeId="7170" r:id="rId12" name="CommandButton2"/>
      </mc:Fallback>
    </mc:AlternateContent>
    <mc:AlternateContent xmlns:mc="http://schemas.openxmlformats.org/markup-compatibility/2006">
      <mc:Choice Requires="x14">
        <control shapeId="7169" r:id="rId14" name="CommandButton1">
          <controlPr defaultSize="0" autoLine="0" r:id="rId15">
            <anchor moveWithCells="1">
              <from>
                <xdr:col>7</xdr:col>
                <xdr:colOff>457200</xdr:colOff>
                <xdr:row>71</xdr:row>
                <xdr:rowOff>133350</xdr:rowOff>
              </from>
              <to>
                <xdr:col>9</xdr:col>
                <xdr:colOff>485775</xdr:colOff>
                <xdr:row>73</xdr:row>
                <xdr:rowOff>76200</xdr:rowOff>
              </to>
            </anchor>
          </controlPr>
        </control>
      </mc:Choice>
      <mc:Fallback>
        <control shapeId="7169" r:id="rId14" name="CommandButton1"/>
      </mc:Fallback>
    </mc:AlternateContent>
    <mc:AlternateContent xmlns:mc="http://schemas.openxmlformats.org/markup-compatibility/2006">
      <mc:Choice Requires="x14">
        <control shapeId="7175" r:id="rId16" name="CommandButton7">
          <controlPr defaultSize="0" autoLine="0" autoPict="0" r:id="rId17">
            <anchor moveWithCells="1">
              <from>
                <xdr:col>25</xdr:col>
                <xdr:colOff>542925</xdr:colOff>
                <xdr:row>71</xdr:row>
                <xdr:rowOff>152400</xdr:rowOff>
              </from>
              <to>
                <xdr:col>28</xdr:col>
                <xdr:colOff>123825</xdr:colOff>
                <xdr:row>73</xdr:row>
                <xdr:rowOff>95250</xdr:rowOff>
              </to>
            </anchor>
          </controlPr>
        </control>
      </mc:Choice>
      <mc:Fallback>
        <control shapeId="7175" r:id="rId16" name="CommandButton7"/>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249977111117893"/>
  </sheetPr>
  <dimension ref="A2:Z178"/>
  <sheetViews>
    <sheetView topLeftCell="A139" workbookViewId="0">
      <pane xSplit="6" topLeftCell="G1" activePane="topRight" state="frozen"/>
      <selection pane="topRight" activeCell="Y182" sqref="Y182"/>
    </sheetView>
  </sheetViews>
  <sheetFormatPr defaultRowHeight="15" x14ac:dyDescent="0.25"/>
  <cols>
    <col min="4" max="4" width="26.42578125" customWidth="1"/>
    <col min="5" max="5" width="26.28515625" customWidth="1"/>
    <col min="6" max="6" width="28.5703125" customWidth="1"/>
    <col min="7" max="7" width="15" customWidth="1"/>
    <col min="8" max="8" width="16.140625" customWidth="1"/>
    <col min="9" max="9" width="11.85546875" customWidth="1"/>
    <col min="10" max="10" width="11" customWidth="1"/>
    <col min="11" max="11" width="12.85546875" customWidth="1"/>
    <col min="12" max="12" width="15.42578125" customWidth="1"/>
    <col min="13" max="13" width="14.7109375" customWidth="1"/>
    <col min="14" max="14" width="25.85546875" customWidth="1"/>
    <col min="15" max="15" width="17" customWidth="1"/>
    <col min="16" max="16" width="24.28515625" customWidth="1"/>
    <col min="17" max="17" width="16.140625" customWidth="1"/>
    <col min="18" max="18" width="23.7109375" customWidth="1"/>
    <col min="19" max="19" width="16.28515625" customWidth="1"/>
    <col min="20" max="20" width="20.85546875" customWidth="1"/>
    <col min="21" max="21" width="15.7109375" customWidth="1"/>
    <col min="22" max="22" width="24.140625" customWidth="1"/>
    <col min="23" max="23" width="26.28515625" style="27" customWidth="1"/>
    <col min="24" max="24" width="28.7109375" customWidth="1"/>
    <col min="25" max="25" width="27.5703125" customWidth="1"/>
    <col min="26" max="26" width="27.42578125" customWidth="1"/>
  </cols>
  <sheetData>
    <row r="2" spans="1:26" x14ac:dyDescent="0.25">
      <c r="N2" s="75"/>
    </row>
    <row r="3" spans="1:26" x14ac:dyDescent="0.25">
      <c r="F3" s="81"/>
      <c r="J3" s="1" t="s">
        <v>355</v>
      </c>
      <c r="M3" s="1" t="s">
        <v>358</v>
      </c>
      <c r="N3" s="75"/>
    </row>
    <row r="4" spans="1:26" x14ac:dyDescent="0.25">
      <c r="B4" s="81"/>
      <c r="D4" s="81"/>
      <c r="J4" t="s">
        <v>356</v>
      </c>
      <c r="M4" t="s">
        <v>359</v>
      </c>
      <c r="N4" s="75"/>
    </row>
    <row r="5" spans="1:26" x14ac:dyDescent="0.25">
      <c r="A5" s="81" t="s">
        <v>4464</v>
      </c>
      <c r="J5" t="s">
        <v>357</v>
      </c>
      <c r="M5" t="s">
        <v>360</v>
      </c>
      <c r="N5" s="75"/>
    </row>
    <row r="6" spans="1:26" x14ac:dyDescent="0.25">
      <c r="J6" t="s">
        <v>586</v>
      </c>
      <c r="N6" s="76"/>
    </row>
    <row r="7" spans="1:26" x14ac:dyDescent="0.25">
      <c r="J7" t="s">
        <v>3810</v>
      </c>
      <c r="N7" s="76"/>
      <c r="X7" s="2" t="s">
        <v>2415</v>
      </c>
    </row>
    <row r="8" spans="1:26" x14ac:dyDescent="0.25">
      <c r="D8" t="s">
        <v>263</v>
      </c>
      <c r="N8" s="75"/>
      <c r="O8" s="75"/>
    </row>
    <row r="9" spans="1:26" x14ac:dyDescent="0.25">
      <c r="D9" s="1" t="s">
        <v>8099</v>
      </c>
      <c r="W9" s="176" t="s">
        <v>4489</v>
      </c>
    </row>
    <row r="10" spans="1:26" x14ac:dyDescent="0.25">
      <c r="V10" s="81" t="s">
        <v>3838</v>
      </c>
    </row>
    <row r="11" spans="1:26" x14ac:dyDescent="0.25">
      <c r="D11" s="1" t="s">
        <v>265</v>
      </c>
      <c r="E11" s="1" t="s">
        <v>266</v>
      </c>
      <c r="F11" s="1" t="s">
        <v>267</v>
      </c>
      <c r="G11" s="93" t="s">
        <v>268</v>
      </c>
      <c r="H11" s="93" t="s">
        <v>269</v>
      </c>
      <c r="I11" s="106" t="s">
        <v>270</v>
      </c>
      <c r="J11" s="94" t="s">
        <v>271</v>
      </c>
      <c r="K11" s="94" t="s">
        <v>353</v>
      </c>
      <c r="L11" s="94" t="s">
        <v>394</v>
      </c>
      <c r="M11" s="94" t="s">
        <v>174</v>
      </c>
      <c r="N11" s="105" t="s">
        <v>567</v>
      </c>
      <c r="O11" s="97" t="s">
        <v>521</v>
      </c>
      <c r="P11" s="108" t="s">
        <v>566</v>
      </c>
      <c r="Q11" s="101" t="s">
        <v>513</v>
      </c>
      <c r="R11" s="105" t="s">
        <v>565</v>
      </c>
      <c r="S11" s="97" t="s">
        <v>560</v>
      </c>
      <c r="T11" s="108" t="s">
        <v>559</v>
      </c>
      <c r="U11" s="100" t="s">
        <v>568</v>
      </c>
      <c r="V11" s="151" t="s">
        <v>3837</v>
      </c>
      <c r="W11" s="156" t="s">
        <v>267</v>
      </c>
      <c r="X11" s="90" t="s">
        <v>2407</v>
      </c>
      <c r="Y11" s="120" t="s">
        <v>2408</v>
      </c>
      <c r="Z11" s="120" t="s">
        <v>2409</v>
      </c>
    </row>
    <row r="12" spans="1:26" ht="15" customHeight="1" x14ac:dyDescent="0.25">
      <c r="D12" s="77" t="s">
        <v>10</v>
      </c>
      <c r="E12" s="77" t="s">
        <v>66</v>
      </c>
      <c r="F12" s="77" t="s">
        <v>12</v>
      </c>
      <c r="G12" s="102">
        <v>280</v>
      </c>
      <c r="H12" s="102">
        <v>280</v>
      </c>
      <c r="I12" s="107">
        <v>20</v>
      </c>
      <c r="J12" s="92">
        <v>75</v>
      </c>
      <c r="K12" s="92" t="s">
        <v>8</v>
      </c>
      <c r="L12" s="92">
        <v>0</v>
      </c>
      <c r="M12" s="92">
        <v>10</v>
      </c>
      <c r="N12" s="103">
        <f>COUNTIF(Table7[Spawner],Table1[[#This Row],[Spawner Prefab]])</f>
        <v>18</v>
      </c>
      <c r="O12" s="95">
        <f>ROUND((Table1[[#This Row],[Total in "Village" scene]]/SUM(Table1[Total in "Village" scene]))*100,1)</f>
        <v>0.7</v>
      </c>
      <c r="P12" s="109">
        <f>COUNTIF(Table15[Spawner],Table1[[#This Row],[Spawner Prefab]])</f>
        <v>0</v>
      </c>
      <c r="Q12" s="99">
        <f>ROUND((Table1[[#This Row],[Total in "Castle" scene]]/SUM(Table1[Total in "Castle" scene]))*100,1)</f>
        <v>0</v>
      </c>
      <c r="R12" s="104">
        <f>COUNTIF(Table20[Spawner],Table1[[#This Row],[Spawner Prefab]])</f>
        <v>0</v>
      </c>
      <c r="S12" s="96">
        <f>ROUND((Table1[[#This Row],[Total in "Dark" scene]]/SUM(Table1[Total in "Dark" scene]))*100,1)</f>
        <v>0</v>
      </c>
      <c r="T12" s="110">
        <f>Table1[[#This Row],[Total in "Village" scene]]+Table1[[#This Row],[Total in "Castle" scene]]+Table1[[#This Row],[Total in "Dark" scene]]</f>
        <v>18</v>
      </c>
      <c r="U12" s="98">
        <f>ROUND((Table1[[#This Row],[Total in the game]]/SUM(Table1[Total in the game]))*100,1)</f>
        <v>0.3</v>
      </c>
      <c r="V12" s="153" t="s">
        <v>8111</v>
      </c>
      <c r="W12" s="157" t="s">
        <v>12</v>
      </c>
      <c r="X12" s="114" t="s">
        <v>328</v>
      </c>
      <c r="Y12" s="118" t="s">
        <v>328</v>
      </c>
      <c r="Z12" s="118" t="s">
        <v>328</v>
      </c>
    </row>
    <row r="13" spans="1:26" ht="17.25" customHeight="1" x14ac:dyDescent="0.25">
      <c r="D13" s="77" t="s">
        <v>0</v>
      </c>
      <c r="E13" s="77" t="s">
        <v>66</v>
      </c>
      <c r="F13" s="77" t="s">
        <v>2</v>
      </c>
      <c r="G13" s="102">
        <v>280</v>
      </c>
      <c r="H13" s="102">
        <v>280</v>
      </c>
      <c r="I13" s="107">
        <v>20</v>
      </c>
      <c r="J13" s="92">
        <v>75</v>
      </c>
      <c r="K13" s="92" t="s">
        <v>8</v>
      </c>
      <c r="L13" s="92">
        <v>0</v>
      </c>
      <c r="M13" s="92">
        <v>10</v>
      </c>
      <c r="N13" s="103">
        <f>COUNTIF(Table7[Spawner],Table1[[#This Row],[Spawner Prefab]])</f>
        <v>17</v>
      </c>
      <c r="O13" s="95">
        <f>ROUND((Table1[[#This Row],[Total in "Village" scene]]/SUM(Table1[Total in "Village" scene]))*100,1)</f>
        <v>0.7</v>
      </c>
      <c r="P13" s="109">
        <f>COUNTIF(Table15[Spawner],Table1[[#This Row],[Spawner Prefab]])</f>
        <v>0</v>
      </c>
      <c r="Q13" s="99">
        <f>ROUND((Table1[[#This Row],[Total in "Castle" scene]]/SUM(Table1[Total in "Castle" scene]))*100,1)</f>
        <v>0</v>
      </c>
      <c r="R13" s="104">
        <f>COUNTIF(Table20[Spawner],Table1[[#This Row],[Spawner Prefab]])</f>
        <v>0</v>
      </c>
      <c r="S13" s="96">
        <f>ROUND((Table1[[#This Row],[Total in "Dark" scene]]/SUM(Table1[Total in "Dark" scene]))*100,1)</f>
        <v>0</v>
      </c>
      <c r="T13" s="110">
        <f>Table1[[#This Row],[Total in "Village" scene]]+Table1[[#This Row],[Total in "Castle" scene]]+Table1[[#This Row],[Total in "Dark" scene]]</f>
        <v>17</v>
      </c>
      <c r="U13" s="98">
        <f>ROUND((Table1[[#This Row],[Total in the game]]/SUM(Table1[Total in the game]))*100,1)</f>
        <v>0.3</v>
      </c>
      <c r="V13" s="153" t="s">
        <v>8111</v>
      </c>
      <c r="W13" s="158" t="s">
        <v>2</v>
      </c>
      <c r="X13" s="145" t="s">
        <v>328</v>
      </c>
      <c r="Y13" s="146" t="s">
        <v>328</v>
      </c>
      <c r="Z13" s="146" t="s">
        <v>328</v>
      </c>
    </row>
    <row r="14" spans="1:26" x14ac:dyDescent="0.25">
      <c r="D14" s="77" t="s">
        <v>11</v>
      </c>
      <c r="E14" s="77" t="s">
        <v>67</v>
      </c>
      <c r="F14" s="77" t="s">
        <v>13</v>
      </c>
      <c r="G14" s="102">
        <v>300</v>
      </c>
      <c r="H14" s="102">
        <v>300</v>
      </c>
      <c r="I14" s="107">
        <v>23</v>
      </c>
      <c r="J14" s="92">
        <v>77</v>
      </c>
      <c r="K14" s="92" t="s">
        <v>8</v>
      </c>
      <c r="L14" s="92">
        <v>0</v>
      </c>
      <c r="M14" s="92">
        <v>16</v>
      </c>
      <c r="N14" s="103">
        <f>COUNTIF(Table7[Spawner],Table1[[#This Row],[Spawner Prefab]])</f>
        <v>0</v>
      </c>
      <c r="O14" s="95">
        <f>ROUND((Table1[[#This Row],[Total in "Village" scene]]/SUM(Table1[Total in "Village" scene]))*100,1)</f>
        <v>0</v>
      </c>
      <c r="P14" s="109">
        <f>COUNTIF(Table15[Spawner],Table1[[#This Row],[Spawner Prefab]])</f>
        <v>4</v>
      </c>
      <c r="Q14" s="99">
        <f>ROUND((Table1[[#This Row],[Total in "Castle" scene]]/SUM(Table1[Total in "Castle" scene]))*100,1)</f>
        <v>0.2</v>
      </c>
      <c r="R14" s="104">
        <f>COUNTIF(Table20[Spawner],Table1[[#This Row],[Spawner Prefab]])</f>
        <v>0</v>
      </c>
      <c r="S14" s="96">
        <f>ROUND((Table1[[#This Row],[Total in "Dark" scene]]/SUM(Table1[Total in "Dark" scene]))*100,1)</f>
        <v>0</v>
      </c>
      <c r="T14" s="110">
        <f>Table1[[#This Row],[Total in "Village" scene]]+Table1[[#This Row],[Total in "Castle" scene]]+Table1[[#This Row],[Total in "Dark" scene]]</f>
        <v>4</v>
      </c>
      <c r="U14" s="98">
        <f>ROUND((Table1[[#This Row],[Total in the game]]/SUM(Table1[Total in the game]))*100,1)</f>
        <v>0.1</v>
      </c>
      <c r="V14" s="153" t="s">
        <v>8111</v>
      </c>
      <c r="W14" s="157" t="s">
        <v>13</v>
      </c>
      <c r="X14" s="114" t="s">
        <v>328</v>
      </c>
      <c r="Y14" s="118" t="s">
        <v>328</v>
      </c>
      <c r="Z14" s="118" t="s">
        <v>328</v>
      </c>
    </row>
    <row r="15" spans="1:26" x14ac:dyDescent="0.25">
      <c r="D15" s="77" t="s">
        <v>1</v>
      </c>
      <c r="E15" s="77" t="s">
        <v>67</v>
      </c>
      <c r="F15" s="77" t="s">
        <v>3</v>
      </c>
      <c r="G15" s="102">
        <v>300</v>
      </c>
      <c r="H15" s="102">
        <v>300</v>
      </c>
      <c r="I15" s="107">
        <v>23</v>
      </c>
      <c r="J15" s="92">
        <v>77</v>
      </c>
      <c r="K15" s="92" t="s">
        <v>8</v>
      </c>
      <c r="L15" s="92">
        <v>0</v>
      </c>
      <c r="M15" s="92">
        <v>16</v>
      </c>
      <c r="N15" s="103">
        <f>COUNTIF(Table7[Spawner],Table1[[#This Row],[Spawner Prefab]])</f>
        <v>0</v>
      </c>
      <c r="O15" s="95">
        <f>ROUND((Table1[[#This Row],[Total in "Village" scene]]/SUM(Table1[Total in "Village" scene]))*100,1)</f>
        <v>0</v>
      </c>
      <c r="P15" s="109">
        <f>COUNTIF(Table15[Spawner],Table1[[#This Row],[Spawner Prefab]])</f>
        <v>39</v>
      </c>
      <c r="Q15" s="99">
        <f>ROUND((Table1[[#This Row],[Total in "Castle" scene]]/SUM(Table1[Total in "Castle" scene]))*100,1)</f>
        <v>1.9</v>
      </c>
      <c r="R15" s="104">
        <f>COUNTIF(Table20[Spawner],Table1[[#This Row],[Spawner Prefab]])</f>
        <v>0</v>
      </c>
      <c r="S15" s="96">
        <f>ROUND((Table1[[#This Row],[Total in "Dark" scene]]/SUM(Table1[Total in "Dark" scene]))*100,1)</f>
        <v>0</v>
      </c>
      <c r="T15" s="110">
        <f>Table1[[#This Row],[Total in "Village" scene]]+Table1[[#This Row],[Total in "Castle" scene]]+Table1[[#This Row],[Total in "Dark" scene]]</f>
        <v>39</v>
      </c>
      <c r="U15" s="98">
        <f>ROUND((Table1[[#This Row],[Total in the game]]/SUM(Table1[Total in the game]))*100,1)</f>
        <v>0.7</v>
      </c>
      <c r="V15" s="153" t="s">
        <v>8111</v>
      </c>
      <c r="W15" s="157" t="s">
        <v>3</v>
      </c>
      <c r="X15" s="114" t="s">
        <v>328</v>
      </c>
      <c r="Y15" s="118" t="s">
        <v>328</v>
      </c>
      <c r="Z15" s="118" t="s">
        <v>328</v>
      </c>
    </row>
    <row r="16" spans="1:26" x14ac:dyDescent="0.25">
      <c r="D16" s="77" t="s">
        <v>406</v>
      </c>
      <c r="E16" s="77" t="s">
        <v>405</v>
      </c>
      <c r="F16" s="77" t="s">
        <v>407</v>
      </c>
      <c r="G16" s="102">
        <v>310</v>
      </c>
      <c r="H16" s="102">
        <v>310</v>
      </c>
      <c r="I16" s="107">
        <v>50</v>
      </c>
      <c r="J16" s="92">
        <v>55</v>
      </c>
      <c r="K16" s="92" t="s">
        <v>8</v>
      </c>
      <c r="L16" s="92">
        <v>1</v>
      </c>
      <c r="M16" s="92">
        <v>15</v>
      </c>
      <c r="N16" s="103">
        <f>COUNTIF(Table7[Spawner],Table1[[#This Row],[Spawner Prefab]])</f>
        <v>12</v>
      </c>
      <c r="O16" s="95">
        <f>ROUND((Table1[[#This Row],[Total in "Village" scene]]/SUM(Table1[Total in "Village" scene]))*100,1)</f>
        <v>0.5</v>
      </c>
      <c r="P16" s="109">
        <f>COUNTIF(Table15[Spawner],Table1[[#This Row],[Spawner Prefab]])</f>
        <v>0</v>
      </c>
      <c r="Q16" s="99">
        <f>ROUND((Table1[[#This Row],[Total in "Castle" scene]]/SUM(Table1[Total in "Castle" scene]))*100,1)</f>
        <v>0</v>
      </c>
      <c r="R16" s="104">
        <f>COUNTIF(Table20[Spawner],Table1[[#This Row],[Spawner Prefab]])</f>
        <v>0</v>
      </c>
      <c r="S16" s="96">
        <f>ROUND((Table1[[#This Row],[Total in "Dark" scene]]/SUM(Table1[Total in "Dark" scene]))*100,1)</f>
        <v>0</v>
      </c>
      <c r="T16" s="110">
        <f>Table1[[#This Row],[Total in "Village" scene]]+Table1[[#This Row],[Total in "Castle" scene]]+Table1[[#This Row],[Total in "Dark" scene]]</f>
        <v>12</v>
      </c>
      <c r="U16" s="98">
        <f>ROUND((Table1[[#This Row],[Total in the game]]/SUM(Table1[Total in the game]))*100,1)</f>
        <v>0.2</v>
      </c>
      <c r="V16" s="153" t="str">
        <f>Table1[[#This Row],[Content Sku]]</f>
        <v>BadFarmer</v>
      </c>
      <c r="W16" s="157" t="s">
        <v>407</v>
      </c>
      <c r="X16" s="114" t="s">
        <v>328</v>
      </c>
      <c r="Y16" s="118" t="s">
        <v>328</v>
      </c>
      <c r="Z16" s="118" t="s">
        <v>328</v>
      </c>
    </row>
    <row r="17" spans="4:26" x14ac:dyDescent="0.25">
      <c r="D17" s="77" t="s">
        <v>408</v>
      </c>
      <c r="E17" s="77" t="s">
        <v>405</v>
      </c>
      <c r="F17" s="77" t="s">
        <v>409</v>
      </c>
      <c r="G17" s="102">
        <v>310</v>
      </c>
      <c r="H17" s="102">
        <v>310</v>
      </c>
      <c r="I17" s="107">
        <v>50</v>
      </c>
      <c r="J17" s="92">
        <v>55</v>
      </c>
      <c r="K17" s="92" t="s">
        <v>8</v>
      </c>
      <c r="L17" s="92">
        <v>1</v>
      </c>
      <c r="M17" s="92">
        <v>15</v>
      </c>
      <c r="N17" s="103">
        <f>COUNTIF(Table7[Spawner],Table1[[#This Row],[Spawner Prefab]])</f>
        <v>3</v>
      </c>
      <c r="O17" s="95">
        <f>ROUND((Table1[[#This Row],[Total in "Village" scene]]/SUM(Table1[Total in "Village" scene]))*100,1)</f>
        <v>0.1</v>
      </c>
      <c r="P17" s="109">
        <f>COUNTIF(Table15[Spawner],Table1[[#This Row],[Spawner Prefab]])</f>
        <v>0</v>
      </c>
      <c r="Q17" s="99">
        <f>ROUND((Table1[[#This Row],[Total in "Castle" scene]]/SUM(Table1[Total in "Castle" scene]))*100,1)</f>
        <v>0</v>
      </c>
      <c r="R17" s="104">
        <f>COUNTIF(Table20[Spawner],Table1[[#This Row],[Spawner Prefab]])</f>
        <v>0</v>
      </c>
      <c r="S17" s="96">
        <f>ROUND((Table1[[#This Row],[Total in "Dark" scene]]/SUM(Table1[Total in "Dark" scene]))*100,1)</f>
        <v>0</v>
      </c>
      <c r="T17" s="110">
        <f>Table1[[#This Row],[Total in "Village" scene]]+Table1[[#This Row],[Total in "Castle" scene]]+Table1[[#This Row],[Total in "Dark" scene]]</f>
        <v>3</v>
      </c>
      <c r="U17" s="98">
        <f>ROUND((Table1[[#This Row],[Total in the game]]/SUM(Table1[Total in the game]))*100,1)</f>
        <v>0.1</v>
      </c>
      <c r="V17" s="153" t="str">
        <f>Table1[[#This Row],[Content Sku]]</f>
        <v>BadFarmer</v>
      </c>
      <c r="W17" s="158" t="s">
        <v>409</v>
      </c>
      <c r="X17" s="145" t="s">
        <v>328</v>
      </c>
      <c r="Y17" s="146" t="s">
        <v>328</v>
      </c>
      <c r="Z17" s="146" t="s">
        <v>328</v>
      </c>
    </row>
    <row r="18" spans="4:26" x14ac:dyDescent="0.25">
      <c r="D18" s="77" t="s">
        <v>396</v>
      </c>
      <c r="E18" s="77" t="s">
        <v>410</v>
      </c>
      <c r="F18" s="77" t="s">
        <v>397</v>
      </c>
      <c r="G18" s="102">
        <v>200</v>
      </c>
      <c r="H18" s="102">
        <v>200</v>
      </c>
      <c r="I18" s="107">
        <v>-10</v>
      </c>
      <c r="J18" s="92">
        <v>0</v>
      </c>
      <c r="K18" s="92" t="s">
        <v>8</v>
      </c>
      <c r="L18" s="92">
        <v>0</v>
      </c>
      <c r="M18" s="92" t="s">
        <v>8</v>
      </c>
      <c r="N18" s="103">
        <f>COUNTIF(Table7[Spawner],Table1[[#This Row],[Spawner Prefab]])</f>
        <v>45</v>
      </c>
      <c r="O18" s="95">
        <f>ROUND((Table1[[#This Row],[Total in "Village" scene]]/SUM(Table1[Total in "Village" scene]))*100,1)</f>
        <v>1.8</v>
      </c>
      <c r="P18" s="109">
        <f>COUNTIF(Table15[Spawner],Table1[[#This Row],[Spawner Prefab]])</f>
        <v>35</v>
      </c>
      <c r="Q18" s="99">
        <f>ROUND((Table1[[#This Row],[Total in "Castle" scene]]/SUM(Table1[Total in "Castle" scene]))*100,1)</f>
        <v>1.7</v>
      </c>
      <c r="R18" s="104">
        <f>COUNTIF(Table20[Spawner],Table1[[#This Row],[Spawner Prefab]])</f>
        <v>6</v>
      </c>
      <c r="S18" s="96">
        <f>ROUND((Table1[[#This Row],[Total in "Dark" scene]]/SUM(Table1[Total in "Dark" scene]))*100,1)</f>
        <v>0.5</v>
      </c>
      <c r="T18" s="110">
        <f>Table1[[#This Row],[Total in "Village" scene]]+Table1[[#This Row],[Total in "Castle" scene]]+Table1[[#This Row],[Total in "Dark" scene]]</f>
        <v>86</v>
      </c>
      <c r="U18" s="98">
        <f>ROUND((Table1[[#This Row],[Total in the game]]/SUM(Table1[Total in the game]))*100,1)</f>
        <v>1.5</v>
      </c>
      <c r="V18" s="153" t="str">
        <f>Table1[[#This Row],[Content Sku]]</f>
        <v>BadJunk</v>
      </c>
      <c r="W18" s="157" t="s">
        <v>397</v>
      </c>
      <c r="X18" s="114" t="s">
        <v>328</v>
      </c>
      <c r="Y18" s="118" t="s">
        <v>328</v>
      </c>
      <c r="Z18" s="118" t="s">
        <v>328</v>
      </c>
    </row>
    <row r="19" spans="4:26" x14ac:dyDescent="0.25">
      <c r="D19" s="77" t="s">
        <v>412</v>
      </c>
      <c r="E19" s="77" t="s">
        <v>411</v>
      </c>
      <c r="F19" s="77" t="s">
        <v>514</v>
      </c>
      <c r="G19" s="102">
        <v>280</v>
      </c>
      <c r="H19" s="102">
        <v>280</v>
      </c>
      <c r="I19" s="107">
        <v>20</v>
      </c>
      <c r="J19" s="92">
        <v>50</v>
      </c>
      <c r="K19" s="92" t="s">
        <v>8</v>
      </c>
      <c r="L19" s="92">
        <v>0</v>
      </c>
      <c r="M19" s="92">
        <v>10</v>
      </c>
      <c r="N19" s="103">
        <f>COUNTIF(Table7[Spawner],Table1[[#This Row],[Spawner Prefab]])</f>
        <v>1</v>
      </c>
      <c r="O19" s="95">
        <f>ROUND((Table1[[#This Row],[Total in "Village" scene]]/SUM(Table1[Total in "Village" scene]))*100,1)</f>
        <v>0</v>
      </c>
      <c r="P19" s="109">
        <f>COUNTIF(Table15[Spawner],Table1[[#This Row],[Spawner Prefab]])</f>
        <v>0</v>
      </c>
      <c r="Q19" s="99">
        <f>ROUND((Table1[[#This Row],[Total in "Castle" scene]]/SUM(Table1[Total in "Castle" scene]))*100,1)</f>
        <v>0</v>
      </c>
      <c r="R19" s="104">
        <f>COUNTIF(Table20[Spawner],Table1[[#This Row],[Spawner Prefab]])</f>
        <v>8</v>
      </c>
      <c r="S19" s="96">
        <f>ROUND((Table1[[#This Row],[Total in "Dark" scene]]/SUM(Table1[Total in "Dark" scene]))*100,1)</f>
        <v>0.7</v>
      </c>
      <c r="T19" s="110">
        <f>Table1[[#This Row],[Total in "Village" scene]]+Table1[[#This Row],[Total in "Castle" scene]]+Table1[[#This Row],[Total in "Dark" scene]]</f>
        <v>9</v>
      </c>
      <c r="U19" s="98">
        <f>ROUND((Table1[[#This Row],[Total in the game]]/SUM(Table1[Total in the game]))*100,1)</f>
        <v>0.2</v>
      </c>
      <c r="V19" s="153" t="str">
        <f>Table1[[#This Row],[Content Sku]]</f>
        <v>BadWitch</v>
      </c>
      <c r="W19" s="159" t="s">
        <v>2753</v>
      </c>
      <c r="X19" s="114" t="s">
        <v>328</v>
      </c>
      <c r="Y19" s="118" t="s">
        <v>328</v>
      </c>
      <c r="Z19" s="118" t="s">
        <v>328</v>
      </c>
    </row>
    <row r="20" spans="4:26" x14ac:dyDescent="0.25">
      <c r="D20" s="77" t="s">
        <v>4</v>
      </c>
      <c r="E20" s="77" t="s">
        <v>68</v>
      </c>
      <c r="F20" s="77" t="s">
        <v>5</v>
      </c>
      <c r="G20" s="102">
        <v>200</v>
      </c>
      <c r="H20" s="102">
        <v>200</v>
      </c>
      <c r="I20" s="107">
        <v>20</v>
      </c>
      <c r="J20" s="92">
        <v>50</v>
      </c>
      <c r="K20" s="92" t="s">
        <v>8</v>
      </c>
      <c r="L20" s="92">
        <v>0</v>
      </c>
      <c r="M20" s="92" t="s">
        <v>8</v>
      </c>
      <c r="N20" s="103">
        <f>COUNTIF(Table7[Spawner],Table1[[#This Row],[Spawner Prefab]])</f>
        <v>5</v>
      </c>
      <c r="O20" s="95">
        <f>ROUND((Table1[[#This Row],[Total in "Village" scene]]/SUM(Table1[Total in "Village" scene]))*100,1)</f>
        <v>0.2</v>
      </c>
      <c r="P20" s="109">
        <f>COUNTIF(Table15[Spawner],Table1[[#This Row],[Spawner Prefab]])</f>
        <v>0</v>
      </c>
      <c r="Q20" s="99">
        <f>ROUND((Table1[[#This Row],[Total in "Castle" scene]]/SUM(Table1[Total in "Castle" scene]))*100,1)</f>
        <v>0</v>
      </c>
      <c r="R20" s="104">
        <f>COUNTIF(Table20[Spawner],Table1[[#This Row],[Spawner Prefab]])</f>
        <v>0</v>
      </c>
      <c r="S20" s="96">
        <f>ROUND((Table1[[#This Row],[Total in "Dark" scene]]/SUM(Table1[Total in "Dark" scene]))*100,1)</f>
        <v>0</v>
      </c>
      <c r="T20" s="110">
        <f>Table1[[#This Row],[Total in "Village" scene]]+Table1[[#This Row],[Total in "Castle" scene]]+Table1[[#This Row],[Total in "Dark" scene]]</f>
        <v>5</v>
      </c>
      <c r="U20" s="98">
        <f>ROUND((Table1[[#This Row],[Total in the game]]/SUM(Table1[Total in the game]))*100,1)</f>
        <v>0.1</v>
      </c>
      <c r="V20" s="153" t="str">
        <f>Table1[[#This Row],[Content Sku]]</f>
        <v>BakerWoman</v>
      </c>
      <c r="W20" s="159" t="s">
        <v>2754</v>
      </c>
      <c r="X20" s="114" t="s">
        <v>328</v>
      </c>
      <c r="Y20" s="118" t="s">
        <v>328</v>
      </c>
      <c r="Z20" s="118" t="s">
        <v>328</v>
      </c>
    </row>
    <row r="21" spans="4:26" x14ac:dyDescent="0.25">
      <c r="D21" s="77" t="s">
        <v>36</v>
      </c>
      <c r="E21" s="77" t="s">
        <v>84</v>
      </c>
      <c r="F21" s="77" t="s">
        <v>30</v>
      </c>
      <c r="G21" s="102">
        <v>260</v>
      </c>
      <c r="H21" s="102">
        <v>260</v>
      </c>
      <c r="I21" s="107">
        <v>5</v>
      </c>
      <c r="J21" s="92">
        <v>55</v>
      </c>
      <c r="K21" s="92" t="s">
        <v>8</v>
      </c>
      <c r="L21" s="92">
        <v>1</v>
      </c>
      <c r="M21" s="92">
        <v>8</v>
      </c>
      <c r="N21" s="103">
        <f>COUNTIF(Table7[Spawner],Table1[[#This Row],[Spawner Prefab]])</f>
        <v>28</v>
      </c>
      <c r="O21" s="95">
        <f>ROUND((Table1[[#This Row],[Total in "Village" scene]]/SUM(Table1[Total in "Village" scene]))*100,1)</f>
        <v>1.1000000000000001</v>
      </c>
      <c r="P21" s="109">
        <f>COUNTIF(Table15[Spawner],Table1[[#This Row],[Spawner Prefab]])</f>
        <v>30</v>
      </c>
      <c r="Q21" s="99">
        <f>ROUND((Table1[[#This Row],[Total in "Castle" scene]]/SUM(Table1[Total in "Castle" scene]))*100,1)</f>
        <v>1.4</v>
      </c>
      <c r="R21" s="104">
        <f>COUNTIF(Table20[Spawner],Table1[[#This Row],[Spawner Prefab]])</f>
        <v>16</v>
      </c>
      <c r="S21" s="96">
        <f>ROUND((Table1[[#This Row],[Total in "Dark" scene]]/SUM(Table1[Total in "Dark" scene]))*100,1)</f>
        <v>1.4</v>
      </c>
      <c r="T21" s="110">
        <f>Table1[[#This Row],[Total in "Village" scene]]+Table1[[#This Row],[Total in "Castle" scene]]+Table1[[#This Row],[Total in "Dark" scene]]</f>
        <v>74</v>
      </c>
      <c r="U21" s="98">
        <f>ROUND((Table1[[#This Row],[Total in the game]]/SUM(Table1[Total in the game]))*100,1)</f>
        <v>1.3</v>
      </c>
      <c r="V21" s="153" t="str">
        <f>Table1[[#This Row],[Content Sku]]</f>
        <v>BatBig_Flock</v>
      </c>
      <c r="W21" s="159" t="s">
        <v>2755</v>
      </c>
      <c r="X21" s="114" t="s">
        <v>328</v>
      </c>
      <c r="Y21" s="118" t="s">
        <v>328</v>
      </c>
      <c r="Z21" s="118" t="s">
        <v>328</v>
      </c>
    </row>
    <row r="22" spans="4:26" x14ac:dyDescent="0.25">
      <c r="D22" s="77" t="s">
        <v>37</v>
      </c>
      <c r="E22" s="77" t="s">
        <v>85</v>
      </c>
      <c r="F22" s="77" t="s">
        <v>31</v>
      </c>
      <c r="G22" s="102">
        <v>280</v>
      </c>
      <c r="H22" s="102">
        <v>280</v>
      </c>
      <c r="I22" s="107">
        <v>2</v>
      </c>
      <c r="J22" s="92">
        <v>25</v>
      </c>
      <c r="K22" s="92" t="s">
        <v>8</v>
      </c>
      <c r="L22" s="92">
        <v>0</v>
      </c>
      <c r="M22" s="92" t="s">
        <v>8</v>
      </c>
      <c r="N22" s="103">
        <f>COUNTIF(Table7[Spawner],Table1[[#This Row],[Spawner Prefab]])</f>
        <v>41</v>
      </c>
      <c r="O22" s="95">
        <f>ROUND((Table1[[#This Row],[Total in "Village" scene]]/SUM(Table1[Total in "Village" scene]))*100,1)</f>
        <v>1.6</v>
      </c>
      <c r="P22" s="109">
        <f>COUNTIF(Table15[Spawner],Table1[[#This Row],[Spawner Prefab]])</f>
        <v>131</v>
      </c>
      <c r="Q22" s="99">
        <f>ROUND((Table1[[#This Row],[Total in "Castle" scene]]/SUM(Table1[Total in "Castle" scene]))*100,1)</f>
        <v>6.3</v>
      </c>
      <c r="R22" s="104">
        <f>COUNTIF(Table20[Spawner],Table1[[#This Row],[Spawner Prefab]])</f>
        <v>107</v>
      </c>
      <c r="S22" s="96">
        <f>ROUND((Table1[[#This Row],[Total in "Dark" scene]]/SUM(Table1[Total in "Dark" scene]))*100,1)</f>
        <v>9.6999999999999993</v>
      </c>
      <c r="T22" s="110">
        <f>Table1[[#This Row],[Total in "Village" scene]]+Table1[[#This Row],[Total in "Castle" scene]]+Table1[[#This Row],[Total in "Dark" scene]]</f>
        <v>279</v>
      </c>
      <c r="U22" s="98">
        <f>ROUND((Table1[[#This Row],[Total in the game]]/SUM(Table1[Total in the game]))*100,1)</f>
        <v>4.9000000000000004</v>
      </c>
      <c r="V22" s="153" t="str">
        <f>Table1[[#This Row],[Content Sku]]</f>
        <v>BatSmall_Flock</v>
      </c>
      <c r="W22" s="157" t="s">
        <v>5</v>
      </c>
      <c r="X22" s="145" t="s">
        <v>327</v>
      </c>
      <c r="Y22" s="146" t="s">
        <v>327</v>
      </c>
      <c r="Z22" s="146" t="s">
        <v>327</v>
      </c>
    </row>
    <row r="23" spans="4:26" x14ac:dyDescent="0.25">
      <c r="D23" s="77" t="s">
        <v>38</v>
      </c>
      <c r="E23" s="77" t="s">
        <v>85</v>
      </c>
      <c r="F23" s="77" t="s">
        <v>32</v>
      </c>
      <c r="G23" s="102">
        <v>5000</v>
      </c>
      <c r="H23" s="102">
        <v>5000</v>
      </c>
      <c r="I23" s="107">
        <v>2</v>
      </c>
      <c r="J23" s="92">
        <v>25</v>
      </c>
      <c r="K23" s="92" t="s">
        <v>8</v>
      </c>
      <c r="L23" s="92">
        <v>0</v>
      </c>
      <c r="M23" s="92" t="s">
        <v>8</v>
      </c>
      <c r="N23" s="103">
        <f>COUNTIF(Table7[Spawner],Table1[[#This Row],[Spawner Prefab]])</f>
        <v>0</v>
      </c>
      <c r="O23" s="95">
        <f>ROUND((Table1[[#This Row],[Total in "Village" scene]]/SUM(Table1[Total in "Village" scene]))*100,1)</f>
        <v>0</v>
      </c>
      <c r="P23" s="109">
        <f>COUNTIF(Table15[Spawner],Table1[[#This Row],[Spawner Prefab]])</f>
        <v>7</v>
      </c>
      <c r="Q23" s="99">
        <f>ROUND((Table1[[#This Row],[Total in "Castle" scene]]/SUM(Table1[Total in "Castle" scene]))*100,1)</f>
        <v>0.3</v>
      </c>
      <c r="R23" s="104">
        <f>COUNTIF(Table20[Spawner],Table1[[#This Row],[Spawner Prefab]])</f>
        <v>0</v>
      </c>
      <c r="S23" s="96">
        <f>ROUND((Table1[[#This Row],[Total in "Dark" scene]]/SUM(Table1[Total in "Dark" scene]))*100,1)</f>
        <v>0</v>
      </c>
      <c r="T23" s="110">
        <f>Table1[[#This Row],[Total in "Village" scene]]+Table1[[#This Row],[Total in "Castle" scene]]+Table1[[#This Row],[Total in "Dark" scene]]</f>
        <v>7</v>
      </c>
      <c r="U23" s="98">
        <f>ROUND((Table1[[#This Row],[Total in the game]]/SUM(Table1[Total in the game]))*100,1)</f>
        <v>0.1</v>
      </c>
      <c r="V23" s="153" t="str">
        <f>Table1[[#This Row],[Content Sku]]</f>
        <v>BatSmall_Flock</v>
      </c>
      <c r="W23" s="157" t="s">
        <v>30</v>
      </c>
      <c r="X23" s="114" t="s">
        <v>328</v>
      </c>
      <c r="Y23" s="118" t="s">
        <v>328</v>
      </c>
      <c r="Z23" s="118" t="s">
        <v>328</v>
      </c>
    </row>
    <row r="24" spans="4:26" ht="15" customHeight="1" x14ac:dyDescent="0.25">
      <c r="D24" s="77" t="s">
        <v>54</v>
      </c>
      <c r="E24" s="77" t="s">
        <v>69</v>
      </c>
      <c r="F24" s="77" t="s">
        <v>52</v>
      </c>
      <c r="G24" s="102">
        <v>130</v>
      </c>
      <c r="H24" s="102">
        <v>130</v>
      </c>
      <c r="I24" s="107">
        <v>15</v>
      </c>
      <c r="J24" s="92">
        <v>50</v>
      </c>
      <c r="K24" s="92" t="s">
        <v>8</v>
      </c>
      <c r="L24" s="92">
        <v>0</v>
      </c>
      <c r="M24" s="92" t="s">
        <v>8</v>
      </c>
      <c r="N24" s="103">
        <f>COUNTIF(Table7[Spawner],Table1[[#This Row],[Spawner Prefab]])</f>
        <v>0</v>
      </c>
      <c r="O24" s="95">
        <f>ROUND((Table1[[#This Row],[Total in "Village" scene]]/SUM(Table1[Total in "Village" scene]))*100,1)</f>
        <v>0</v>
      </c>
      <c r="P24" s="109">
        <f>COUNTIF(Table15[Spawner],Table1[[#This Row],[Spawner Prefab]])</f>
        <v>5</v>
      </c>
      <c r="Q24" s="99">
        <f>ROUND((Table1[[#This Row],[Total in "Castle" scene]]/SUM(Table1[Total in "Castle" scene]))*100,1)</f>
        <v>0.2</v>
      </c>
      <c r="R24" s="104">
        <f>COUNTIF(Table20[Spawner],Table1[[#This Row],[Spawner Prefab]])</f>
        <v>0</v>
      </c>
      <c r="S24" s="96">
        <f>ROUND((Table1[[#This Row],[Total in "Dark" scene]]/SUM(Table1[Total in "Dark" scene]))*100,1)</f>
        <v>0</v>
      </c>
      <c r="T24" s="110">
        <f>Table1[[#This Row],[Total in "Village" scene]]+Table1[[#This Row],[Total in "Castle" scene]]+Table1[[#This Row],[Total in "Dark" scene]]</f>
        <v>5</v>
      </c>
      <c r="U24" s="98">
        <f>ROUND((Table1[[#This Row],[Total in the game]]/SUM(Table1[Total in the game]))*100,1)</f>
        <v>0.1</v>
      </c>
      <c r="V24" s="153" t="str">
        <f>Table1[[#This Row],[Content Sku]]</f>
        <v>BoatFisher</v>
      </c>
      <c r="W24" s="158" t="s">
        <v>31</v>
      </c>
      <c r="X24" s="145" t="s">
        <v>327</v>
      </c>
      <c r="Y24" s="146" t="s">
        <v>327</v>
      </c>
      <c r="Z24" s="146" t="s">
        <v>327</v>
      </c>
    </row>
    <row r="25" spans="4:26" x14ac:dyDescent="0.25">
      <c r="D25" s="77" t="s">
        <v>55</v>
      </c>
      <c r="E25" s="77" t="s">
        <v>69</v>
      </c>
      <c r="F25" s="77" t="s">
        <v>53</v>
      </c>
      <c r="G25" s="102">
        <v>130</v>
      </c>
      <c r="H25" s="102">
        <v>130</v>
      </c>
      <c r="I25" s="107">
        <v>15</v>
      </c>
      <c r="J25" s="92">
        <v>50</v>
      </c>
      <c r="K25" s="92" t="s">
        <v>8</v>
      </c>
      <c r="L25" s="92">
        <v>0</v>
      </c>
      <c r="M25" s="92" t="s">
        <v>8</v>
      </c>
      <c r="N25" s="103">
        <f>COUNTIF(Table7[Spawner],Table1[[#This Row],[Spawner Prefab]])</f>
        <v>0</v>
      </c>
      <c r="O25" s="95">
        <f>ROUND((Table1[[#This Row],[Total in "Village" scene]]/SUM(Table1[Total in "Village" scene]))*100,1)</f>
        <v>0</v>
      </c>
      <c r="P25" s="109">
        <f>COUNTIF(Table15[Spawner],Table1[[#This Row],[Spawner Prefab]])</f>
        <v>0</v>
      </c>
      <c r="Q25" s="99">
        <f>ROUND((Table1[[#This Row],[Total in "Castle" scene]]/SUM(Table1[Total in "Castle" scene]))*100,1)</f>
        <v>0</v>
      </c>
      <c r="R25" s="104">
        <f>COUNTIF(Table20[Spawner],Table1[[#This Row],[Spawner Prefab]])</f>
        <v>0</v>
      </c>
      <c r="S25" s="96">
        <f>ROUND((Table1[[#This Row],[Total in "Dark" scene]]/SUM(Table1[Total in "Dark" scene]))*100,1)</f>
        <v>0</v>
      </c>
      <c r="T25" s="110">
        <f>Table1[[#This Row],[Total in "Village" scene]]+Table1[[#This Row],[Total in "Castle" scene]]+Table1[[#This Row],[Total in "Dark" scene]]</f>
        <v>0</v>
      </c>
      <c r="U25" s="98">
        <f>ROUND((Table1[[#This Row],[Total in the game]]/SUM(Table1[Total in the game]))*100,1)</f>
        <v>0</v>
      </c>
      <c r="V25" s="153" t="str">
        <f>Table1[[#This Row],[Content Sku]]</f>
        <v>BoatFisher</v>
      </c>
      <c r="W25" s="157" t="s">
        <v>32</v>
      </c>
      <c r="X25" s="114" t="s">
        <v>327</v>
      </c>
      <c r="Y25" s="118" t="s">
        <v>327</v>
      </c>
      <c r="Z25" s="118" t="s">
        <v>327</v>
      </c>
    </row>
    <row r="26" spans="4:26" x14ac:dyDescent="0.25">
      <c r="D26" s="77" t="s">
        <v>21</v>
      </c>
      <c r="E26" s="77" t="s">
        <v>80</v>
      </c>
      <c r="F26" s="77" t="s">
        <v>19</v>
      </c>
      <c r="G26" s="102">
        <v>220</v>
      </c>
      <c r="H26" s="102">
        <v>220</v>
      </c>
      <c r="I26" s="107">
        <v>30</v>
      </c>
      <c r="J26" s="92">
        <v>75</v>
      </c>
      <c r="K26" s="92" t="s">
        <v>8</v>
      </c>
      <c r="L26" s="92">
        <v>0</v>
      </c>
      <c r="M26" s="92">
        <v>8</v>
      </c>
      <c r="N26" s="103">
        <f>COUNTIF(Table7[Spawner],Table1[[#This Row],[Spawner Prefab]])</f>
        <v>31</v>
      </c>
      <c r="O26" s="95">
        <f>ROUND((Table1[[#This Row],[Total in "Village" scene]]/SUM(Table1[Total in "Village" scene]))*100,1)</f>
        <v>1.2</v>
      </c>
      <c r="P26" s="109">
        <f>COUNTIF(Table15[Spawner],Table1[[#This Row],[Spawner Prefab]])</f>
        <v>20</v>
      </c>
      <c r="Q26" s="99">
        <f>ROUND((Table1[[#This Row],[Total in "Castle" scene]]/SUM(Table1[Total in "Castle" scene]))*100,1)</f>
        <v>1</v>
      </c>
      <c r="R26" s="104">
        <f>COUNTIF(Table20[Spawner],Table1[[#This Row],[Spawner Prefab]])</f>
        <v>0</v>
      </c>
      <c r="S26" s="96">
        <f>ROUND((Table1[[#This Row],[Total in "Dark" scene]]/SUM(Table1[Total in "Dark" scene]))*100,1)</f>
        <v>0</v>
      </c>
      <c r="T26" s="110">
        <f>Table1[[#This Row],[Total in "Village" scene]]+Table1[[#This Row],[Total in "Castle" scene]]+Table1[[#This Row],[Total in "Dark" scene]]</f>
        <v>51</v>
      </c>
      <c r="U26" s="98">
        <f>ROUND((Table1[[#This Row],[Total in the game]]/SUM(Table1[Total in the game]))*100,1)</f>
        <v>0.9</v>
      </c>
      <c r="V26" s="153" t="str">
        <f>Table1[[#This Row],[Content Sku]]</f>
        <v>Bomber</v>
      </c>
      <c r="W26" s="157" t="s">
        <v>52</v>
      </c>
      <c r="X26" s="114" t="s">
        <v>327</v>
      </c>
      <c r="Y26" s="118" t="s">
        <v>327</v>
      </c>
      <c r="Z26" s="118" t="s">
        <v>327</v>
      </c>
    </row>
    <row r="27" spans="4:26" x14ac:dyDescent="0.25">
      <c r="D27" s="77" t="s">
        <v>2668</v>
      </c>
      <c r="E27" s="77" t="s">
        <v>2632</v>
      </c>
      <c r="F27" s="77" t="s">
        <v>2660</v>
      </c>
      <c r="G27" s="102">
        <v>110</v>
      </c>
      <c r="H27" s="102">
        <v>110</v>
      </c>
      <c r="I27" s="107">
        <v>50</v>
      </c>
      <c r="J27" s="92">
        <v>100</v>
      </c>
      <c r="K27" s="92" t="s">
        <v>8</v>
      </c>
      <c r="L27" s="92">
        <v>3</v>
      </c>
      <c r="M27" s="92" t="s">
        <v>8</v>
      </c>
      <c r="N27" s="103">
        <f>COUNTIF(Table7[Spawner],Table1[[#This Row],[Spawner Prefab]])</f>
        <v>0</v>
      </c>
      <c r="O27" s="95">
        <f>ROUND((Table1[[#This Row],[Total in "Village" scene]]/SUM(Table1[Total in "Village" scene]))*100,1)</f>
        <v>0</v>
      </c>
      <c r="P27" s="109">
        <f>COUNTIF(Table15[Spawner],Table1[[#This Row],[Spawner Prefab]])</f>
        <v>0</v>
      </c>
      <c r="Q27" s="99">
        <f>ROUND((Table1[[#This Row],[Total in "Castle" scene]]/SUM(Table1[Total in "Castle" scene]))*100,1)</f>
        <v>0</v>
      </c>
      <c r="R27" s="104">
        <f>COUNTIF(Table20[Spawner],Table1[[#This Row],[Spawner Prefab]])</f>
        <v>9</v>
      </c>
      <c r="S27" s="96">
        <f>ROUND((Table1[[#This Row],[Total in "Dark" scene]]/SUM(Table1[Total in "Dark" scene]))*100,1)</f>
        <v>0.8</v>
      </c>
      <c r="T27" s="110">
        <f>Table1[[#This Row],[Total in "Village" scene]]+Table1[[#This Row],[Total in "Castle" scene]]+Table1[[#This Row],[Total in "Dark" scene]]</f>
        <v>9</v>
      </c>
      <c r="U27" s="98">
        <f>ROUND((Table1[[#This Row],[Total in the game]]/SUM(Table1[Total in the game]))*100,1)</f>
        <v>0.2</v>
      </c>
      <c r="V27" s="153" t="str">
        <f>Table1[[#This Row],[Content Sku]]</f>
        <v>Butterfly</v>
      </c>
      <c r="W27" s="158" t="s">
        <v>53</v>
      </c>
      <c r="X27" s="145" t="s">
        <v>327</v>
      </c>
      <c r="Y27" s="146" t="s">
        <v>327</v>
      </c>
      <c r="Z27" s="146" t="s">
        <v>327</v>
      </c>
    </row>
    <row r="28" spans="4:26" x14ac:dyDescent="0.25">
      <c r="D28" s="77" t="s">
        <v>361</v>
      </c>
      <c r="E28" s="77" t="s">
        <v>8</v>
      </c>
      <c r="F28" s="77" t="s">
        <v>362</v>
      </c>
      <c r="G28" s="102">
        <v>450</v>
      </c>
      <c r="H28" s="102">
        <v>450</v>
      </c>
      <c r="I28" s="107" t="s">
        <v>8</v>
      </c>
      <c r="J28" s="92"/>
      <c r="K28" s="92"/>
      <c r="L28" s="92"/>
      <c r="M28" s="92"/>
      <c r="N28" s="103">
        <f>COUNTIF(Table7[Spawner],Table1[[#This Row],[Spawner Prefab]])</f>
        <v>3</v>
      </c>
      <c r="O28" s="95">
        <f>ROUND((Table1[[#This Row],[Total in "Village" scene]]/SUM(Table1[Total in "Village" scene]))*100,1)</f>
        <v>0.1</v>
      </c>
      <c r="P28" s="109">
        <f>COUNTIF(Table15[Spawner],Table1[[#This Row],[Spawner Prefab]])</f>
        <v>1</v>
      </c>
      <c r="Q28" s="99">
        <f>ROUND((Table1[[#This Row],[Total in "Castle" scene]]/SUM(Table1[Total in "Castle" scene]))*100,1)</f>
        <v>0</v>
      </c>
      <c r="R28" s="104">
        <f>COUNTIF(Table20[Spawner],Table1[[#This Row],[Spawner Prefab]])</f>
        <v>0</v>
      </c>
      <c r="S28" s="96">
        <f>ROUND((Table1[[#This Row],[Total in "Dark" scene]]/SUM(Table1[Total in "Dark" scene]))*100,1)</f>
        <v>0</v>
      </c>
      <c r="T28" s="110">
        <f>Table1[[#This Row],[Total in "Village" scene]]+Table1[[#This Row],[Total in "Castle" scene]]+Table1[[#This Row],[Total in "Dark" scene]]</f>
        <v>4</v>
      </c>
      <c r="U28" s="98">
        <f>ROUND((Table1[[#This Row],[Total in the game]]/SUM(Table1[Total in the game]))*100,1)</f>
        <v>0.1</v>
      </c>
      <c r="V28" s="153" t="str">
        <f>Table1[[#This Row],[Content Sku]]</f>
        <v>-</v>
      </c>
      <c r="W28" s="157" t="s">
        <v>19</v>
      </c>
      <c r="X28" s="114" t="s">
        <v>328</v>
      </c>
      <c r="Y28" s="118" t="s">
        <v>328</v>
      </c>
      <c r="Z28" s="118" t="s">
        <v>328</v>
      </c>
    </row>
    <row r="29" spans="4:26" x14ac:dyDescent="0.25">
      <c r="D29" s="77" t="s">
        <v>253</v>
      </c>
      <c r="E29" s="77" t="s">
        <v>96</v>
      </c>
      <c r="F29" s="77" t="s">
        <v>86</v>
      </c>
      <c r="G29" s="102">
        <v>180</v>
      </c>
      <c r="H29" s="102">
        <v>180</v>
      </c>
      <c r="I29" s="107">
        <v>2</v>
      </c>
      <c r="J29" s="92">
        <v>25</v>
      </c>
      <c r="K29" s="92" t="s">
        <v>8</v>
      </c>
      <c r="L29" s="92">
        <v>0</v>
      </c>
      <c r="M29" s="92" t="s">
        <v>8</v>
      </c>
      <c r="N29" s="103">
        <f>COUNTIF(Table7[Spawner],Table1[[#This Row],[Spawner Prefab]])</f>
        <v>70</v>
      </c>
      <c r="O29" s="95">
        <f>ROUND((Table1[[#This Row],[Total in "Village" scene]]/SUM(Table1[Total in "Village" scene]))*100,1)</f>
        <v>2.7</v>
      </c>
      <c r="P29" s="109">
        <f>COUNTIF(Table15[Spawner],Table1[[#This Row],[Spawner Prefab]])</f>
        <v>19</v>
      </c>
      <c r="Q29" s="99">
        <f>ROUND((Table1[[#This Row],[Total in "Castle" scene]]/SUM(Table1[Total in "Castle" scene]))*100,1)</f>
        <v>0.9</v>
      </c>
      <c r="R29" s="104">
        <f>COUNTIF(Table20[Spawner],Table1[[#This Row],[Spawner Prefab]])</f>
        <v>0</v>
      </c>
      <c r="S29" s="96">
        <f>ROUND((Table1[[#This Row],[Total in "Dark" scene]]/SUM(Table1[Total in "Dark" scene]))*100,1)</f>
        <v>0</v>
      </c>
      <c r="T29" s="110">
        <f>Table1[[#This Row],[Total in "Village" scene]]+Table1[[#This Row],[Total in "Castle" scene]]+Table1[[#This Row],[Total in "Dark" scene]]</f>
        <v>89</v>
      </c>
      <c r="U29" s="98">
        <f>ROUND((Table1[[#This Row],[Total in the game]]/SUM(Table1[Total in the game]))*100,1)</f>
        <v>1.6</v>
      </c>
      <c r="V29" s="153" t="s">
        <v>3839</v>
      </c>
      <c r="W29" s="160" t="s">
        <v>2725</v>
      </c>
      <c r="X29" s="114" t="s">
        <v>327</v>
      </c>
      <c r="Y29" s="118" t="s">
        <v>327</v>
      </c>
      <c r="Z29" s="118" t="s">
        <v>327</v>
      </c>
    </row>
    <row r="30" spans="4:26" x14ac:dyDescent="0.25">
      <c r="D30" s="77" t="s">
        <v>254</v>
      </c>
      <c r="E30" s="77" t="s">
        <v>96</v>
      </c>
      <c r="F30" s="77" t="s">
        <v>86</v>
      </c>
      <c r="G30" s="102">
        <v>180</v>
      </c>
      <c r="H30" s="102">
        <v>180</v>
      </c>
      <c r="I30" s="107">
        <v>2</v>
      </c>
      <c r="J30" s="92">
        <v>25</v>
      </c>
      <c r="K30" s="92" t="s">
        <v>8</v>
      </c>
      <c r="L30" s="92">
        <v>0</v>
      </c>
      <c r="M30" s="92" t="s">
        <v>8</v>
      </c>
      <c r="N30" s="103">
        <f>COUNTIF(Table7[Spawner],Table1[[#This Row],[Spawner Prefab]])</f>
        <v>199</v>
      </c>
      <c r="O30" s="95">
        <f>ROUND((Table1[[#This Row],[Total in "Village" scene]]/SUM(Table1[Total in "Village" scene]))*100,1)</f>
        <v>7.8</v>
      </c>
      <c r="P30" s="109">
        <f>COUNTIF(Table15[Spawner],Table1[[#This Row],[Spawner Prefab]])</f>
        <v>92</v>
      </c>
      <c r="Q30" s="99">
        <f>ROUND((Table1[[#This Row],[Total in "Castle" scene]]/SUM(Table1[Total in "Castle" scene]))*100,1)</f>
        <v>4.4000000000000004</v>
      </c>
      <c r="R30" s="104">
        <f>COUNTIF(Table20[Spawner],Table1[[#This Row],[Spawner Prefab]])</f>
        <v>0</v>
      </c>
      <c r="S30" s="96">
        <f>ROUND((Table1[[#This Row],[Total in "Dark" scene]]/SUM(Table1[Total in "Dark" scene]))*100,1)</f>
        <v>0</v>
      </c>
      <c r="T30" s="110">
        <f>Table1[[#This Row],[Total in "Village" scene]]+Table1[[#This Row],[Total in "Castle" scene]]+Table1[[#This Row],[Total in "Dark" scene]]</f>
        <v>291</v>
      </c>
      <c r="U30" s="98">
        <f>ROUND((Table1[[#This Row],[Total in the game]]/SUM(Table1[Total in the game]))*100,1)</f>
        <v>5.0999999999999996</v>
      </c>
      <c r="V30" s="153" t="s">
        <v>3839</v>
      </c>
      <c r="W30" s="159" t="s">
        <v>2660</v>
      </c>
      <c r="X30" s="146" t="s">
        <v>327</v>
      </c>
      <c r="Y30" s="146" t="s">
        <v>327</v>
      </c>
      <c r="Z30" s="146" t="s">
        <v>327</v>
      </c>
    </row>
    <row r="31" spans="4:26" x14ac:dyDescent="0.25">
      <c r="D31" s="77" t="s">
        <v>90</v>
      </c>
      <c r="E31" s="77" t="s">
        <v>96</v>
      </c>
      <c r="F31" s="77" t="s">
        <v>86</v>
      </c>
      <c r="G31" s="102">
        <v>180</v>
      </c>
      <c r="H31" s="102">
        <v>180</v>
      </c>
      <c r="I31" s="107">
        <v>2</v>
      </c>
      <c r="J31" s="92">
        <v>25</v>
      </c>
      <c r="K31" s="92" t="s">
        <v>8</v>
      </c>
      <c r="L31" s="92">
        <v>0</v>
      </c>
      <c r="M31" s="92" t="s">
        <v>8</v>
      </c>
      <c r="N31" s="103">
        <f>COUNTIF(Table7[Spawner],Table1[[#This Row],[Spawner Prefab]])</f>
        <v>65</v>
      </c>
      <c r="O31" s="95">
        <f>ROUND((Table1[[#This Row],[Total in "Village" scene]]/SUM(Table1[Total in "Village" scene]))*100,1)</f>
        <v>2.5</v>
      </c>
      <c r="P31" s="109">
        <f>COUNTIF(Table15[Spawner],Table1[[#This Row],[Spawner Prefab]])</f>
        <v>0</v>
      </c>
      <c r="Q31" s="99">
        <f>ROUND((Table1[[#This Row],[Total in "Castle" scene]]/SUM(Table1[Total in "Castle" scene]))*100,1)</f>
        <v>0</v>
      </c>
      <c r="R31" s="104">
        <f>COUNTIF(Table20[Spawner],Table1[[#This Row],[Spawner Prefab]])</f>
        <v>0</v>
      </c>
      <c r="S31" s="96">
        <f>ROUND((Table1[[#This Row],[Total in "Dark" scene]]/SUM(Table1[Total in "Dark" scene]))*100,1)</f>
        <v>0</v>
      </c>
      <c r="T31" s="110">
        <f>Table1[[#This Row],[Total in "Village" scene]]+Table1[[#This Row],[Total in "Castle" scene]]+Table1[[#This Row],[Total in "Dark" scene]]</f>
        <v>65</v>
      </c>
      <c r="U31" s="98">
        <f>ROUND((Table1[[#This Row],[Total in the game]]/SUM(Table1[Total in the game]))*100,1)</f>
        <v>1.1000000000000001</v>
      </c>
      <c r="V31" s="153" t="s">
        <v>3839</v>
      </c>
      <c r="W31" s="159" t="s">
        <v>2756</v>
      </c>
      <c r="X31" s="146" t="s">
        <v>327</v>
      </c>
      <c r="Y31" s="146" t="s">
        <v>327</v>
      </c>
      <c r="Z31" s="146" t="s">
        <v>327</v>
      </c>
    </row>
    <row r="32" spans="4:26" x14ac:dyDescent="0.25">
      <c r="D32" s="77" t="s">
        <v>91</v>
      </c>
      <c r="E32" s="77" t="s">
        <v>97</v>
      </c>
      <c r="F32" s="77" t="s">
        <v>87</v>
      </c>
      <c r="G32" s="102">
        <v>180</v>
      </c>
      <c r="H32" s="102">
        <v>180</v>
      </c>
      <c r="I32" s="107">
        <v>2</v>
      </c>
      <c r="J32" s="92">
        <v>25</v>
      </c>
      <c r="K32" s="92" t="s">
        <v>8</v>
      </c>
      <c r="L32" s="92">
        <v>0</v>
      </c>
      <c r="M32" s="92" t="s">
        <v>8</v>
      </c>
      <c r="N32" s="103">
        <f>COUNTIF(Table7[Spawner],Table1[[#This Row],[Spawner Prefab]])</f>
        <v>31</v>
      </c>
      <c r="O32" s="95">
        <f>ROUND((Table1[[#This Row],[Total in "Village" scene]]/SUM(Table1[Total in "Village" scene]))*100,1)</f>
        <v>1.2</v>
      </c>
      <c r="P32" s="109">
        <f>COUNTIF(Table15[Spawner],Table1[[#This Row],[Spawner Prefab]])</f>
        <v>0</v>
      </c>
      <c r="Q32" s="99">
        <f>ROUND((Table1[[#This Row],[Total in "Castle" scene]]/SUM(Table1[Total in "Castle" scene]))*100,1)</f>
        <v>0</v>
      </c>
      <c r="R32" s="104">
        <f>COUNTIF(Table20[Spawner],Table1[[#This Row],[Spawner Prefab]])</f>
        <v>0</v>
      </c>
      <c r="S32" s="96">
        <f>ROUND((Table1[[#This Row],[Total in "Dark" scene]]/SUM(Table1[Total in "Dark" scene]))*100,1)</f>
        <v>0</v>
      </c>
      <c r="T32" s="110">
        <f>Table1[[#This Row],[Total in "Village" scene]]+Table1[[#This Row],[Total in "Castle" scene]]+Table1[[#This Row],[Total in "Dark" scene]]</f>
        <v>31</v>
      </c>
      <c r="U32" s="98">
        <f>ROUND((Table1[[#This Row],[Total in the game]]/SUM(Table1[Total in the game]))*100,1)</f>
        <v>0.5</v>
      </c>
      <c r="V32" s="153" t="s">
        <v>3839</v>
      </c>
      <c r="W32" s="157" t="s">
        <v>362</v>
      </c>
      <c r="X32" s="114" t="s">
        <v>328</v>
      </c>
      <c r="Y32" s="118" t="s">
        <v>328</v>
      </c>
      <c r="Z32" s="118" t="s">
        <v>328</v>
      </c>
    </row>
    <row r="33" spans="4:26" x14ac:dyDescent="0.25">
      <c r="D33" s="77" t="s">
        <v>92</v>
      </c>
      <c r="E33" s="77" t="s">
        <v>98</v>
      </c>
      <c r="F33" s="77" t="s">
        <v>88</v>
      </c>
      <c r="G33" s="102">
        <v>180</v>
      </c>
      <c r="H33" s="102">
        <v>180</v>
      </c>
      <c r="I33" s="107">
        <v>2</v>
      </c>
      <c r="J33" s="92">
        <v>25</v>
      </c>
      <c r="K33" s="92" t="s">
        <v>8</v>
      </c>
      <c r="L33" s="92">
        <v>0</v>
      </c>
      <c r="M33" s="92" t="s">
        <v>8</v>
      </c>
      <c r="N33" s="103">
        <f>COUNTIF(Table7[Spawner],Table1[[#This Row],[Spawner Prefab]])</f>
        <v>17</v>
      </c>
      <c r="O33" s="95">
        <f>ROUND((Table1[[#This Row],[Total in "Village" scene]]/SUM(Table1[Total in "Village" scene]))*100,1)</f>
        <v>0.7</v>
      </c>
      <c r="P33" s="109">
        <f>COUNTIF(Table15[Spawner],Table1[[#This Row],[Spawner Prefab]])</f>
        <v>0</v>
      </c>
      <c r="Q33" s="99">
        <f>ROUND((Table1[[#This Row],[Total in "Castle" scene]]/SUM(Table1[Total in "Castle" scene]))*100,1)</f>
        <v>0</v>
      </c>
      <c r="R33" s="104">
        <f>COUNTIF(Table20[Spawner],Table1[[#This Row],[Spawner Prefab]])</f>
        <v>0</v>
      </c>
      <c r="S33" s="96">
        <f>ROUND((Table1[[#This Row],[Total in "Dark" scene]]/SUM(Table1[Total in "Dark" scene]))*100,1)</f>
        <v>0</v>
      </c>
      <c r="T33" s="110">
        <f>Table1[[#This Row],[Total in "Village" scene]]+Table1[[#This Row],[Total in "Castle" scene]]+Table1[[#This Row],[Total in "Dark" scene]]</f>
        <v>17</v>
      </c>
      <c r="U33" s="98">
        <f>ROUND((Table1[[#This Row],[Total in the game]]/SUM(Table1[Total in the game]))*100,1)</f>
        <v>0.3</v>
      </c>
      <c r="V33" s="153" t="s">
        <v>3839</v>
      </c>
      <c r="W33" s="157" t="s">
        <v>86</v>
      </c>
      <c r="X33" s="114" t="s">
        <v>327</v>
      </c>
      <c r="Y33" s="118" t="s">
        <v>327</v>
      </c>
      <c r="Z33" s="118" t="s">
        <v>327</v>
      </c>
    </row>
    <row r="34" spans="4:26" x14ac:dyDescent="0.25">
      <c r="D34" s="77" t="s">
        <v>93</v>
      </c>
      <c r="E34" s="77" t="s">
        <v>99</v>
      </c>
      <c r="F34" s="77" t="s">
        <v>89</v>
      </c>
      <c r="G34" s="102">
        <v>180</v>
      </c>
      <c r="H34" s="102">
        <v>180</v>
      </c>
      <c r="I34" s="107">
        <v>2</v>
      </c>
      <c r="J34" s="92">
        <v>25</v>
      </c>
      <c r="K34" s="92" t="s">
        <v>8</v>
      </c>
      <c r="L34" s="92">
        <v>0</v>
      </c>
      <c r="M34" s="92" t="s">
        <v>8</v>
      </c>
      <c r="N34" s="103">
        <f>COUNTIF(Table7[Spawner],Table1[[#This Row],[Spawner Prefab]])</f>
        <v>2</v>
      </c>
      <c r="O34" s="95">
        <f>ROUND((Table1[[#This Row],[Total in "Village" scene]]/SUM(Table1[Total in "Village" scene]))*100,1)</f>
        <v>0.1</v>
      </c>
      <c r="P34" s="109">
        <f>COUNTIF(Table15[Spawner],Table1[[#This Row],[Spawner Prefab]])</f>
        <v>0</v>
      </c>
      <c r="Q34" s="99">
        <f>ROUND((Table1[[#This Row],[Total in "Castle" scene]]/SUM(Table1[Total in "Castle" scene]))*100,1)</f>
        <v>0</v>
      </c>
      <c r="R34" s="104">
        <f>COUNTIF(Table20[Spawner],Table1[[#This Row],[Spawner Prefab]])</f>
        <v>0</v>
      </c>
      <c r="S34" s="96">
        <f>ROUND((Table1[[#This Row],[Total in "Dark" scene]]/SUM(Table1[Total in "Dark" scene]))*100,1)</f>
        <v>0</v>
      </c>
      <c r="T34" s="110">
        <f>Table1[[#This Row],[Total in "Village" scene]]+Table1[[#This Row],[Total in "Castle" scene]]+Table1[[#This Row],[Total in "Dark" scene]]</f>
        <v>2</v>
      </c>
      <c r="U34" s="98">
        <f>ROUND((Table1[[#This Row],[Total in the game]]/SUM(Table1[Total in the game]))*100,1)</f>
        <v>0</v>
      </c>
      <c r="V34" s="153" t="s">
        <v>3839</v>
      </c>
      <c r="W34" s="157" t="s">
        <v>87</v>
      </c>
      <c r="X34" s="114" t="s">
        <v>327</v>
      </c>
      <c r="Y34" s="118" t="s">
        <v>327</v>
      </c>
      <c r="Z34" s="118" t="s">
        <v>327</v>
      </c>
    </row>
    <row r="35" spans="4:26" x14ac:dyDescent="0.25">
      <c r="D35" s="77" t="s">
        <v>574</v>
      </c>
      <c r="E35" s="77" t="s">
        <v>2404</v>
      </c>
      <c r="F35" s="77" t="s">
        <v>575</v>
      </c>
      <c r="G35" s="102">
        <v>500</v>
      </c>
      <c r="H35" s="102">
        <v>500</v>
      </c>
      <c r="I35" s="107">
        <v>60</v>
      </c>
      <c r="J35" s="92">
        <v>130</v>
      </c>
      <c r="K35" s="92" t="s">
        <v>8</v>
      </c>
      <c r="L35" s="92">
        <v>4</v>
      </c>
      <c r="M35" s="92">
        <v>80</v>
      </c>
      <c r="N35" s="103">
        <f>COUNTIF(Table7[Spawner],Table1[[#This Row],[Spawner Prefab]])</f>
        <v>0</v>
      </c>
      <c r="O35" s="95">
        <f>ROUND((Table1[[#This Row],[Total in "Village" scene]]/SUM(Table1[Total in "Village" scene]))*100,1)</f>
        <v>0</v>
      </c>
      <c r="P35" s="109">
        <f>COUNTIF(Table15[Spawner],Table1[[#This Row],[Spawner Prefab]])</f>
        <v>0</v>
      </c>
      <c r="Q35" s="99">
        <f>ROUND((Table1[[#This Row],[Total in "Castle" scene]]/SUM(Table1[Total in "Castle" scene]))*100,1)</f>
        <v>0</v>
      </c>
      <c r="R35" s="104">
        <f>COUNTIF(Table20[Spawner],Table1[[#This Row],[Spawner Prefab]])</f>
        <v>6</v>
      </c>
      <c r="S35" s="96">
        <f>ROUND((Table1[[#This Row],[Total in "Dark" scene]]/SUM(Table1[Total in "Dark" scene]))*100,1)</f>
        <v>0.5</v>
      </c>
      <c r="T35" s="110">
        <f>Table1[[#This Row],[Total in "Village" scene]]+Table1[[#This Row],[Total in "Castle" scene]]+Table1[[#This Row],[Total in "Dark" scene]]</f>
        <v>6</v>
      </c>
      <c r="U35" s="98">
        <f>ROUND((Table1[[#This Row],[Total in the game]]/SUM(Table1[Total in the game]))*100,1)</f>
        <v>0.1</v>
      </c>
      <c r="V35" s="153" t="s">
        <v>8138</v>
      </c>
      <c r="W35" s="157" t="s">
        <v>88</v>
      </c>
      <c r="X35" s="114" t="s">
        <v>327</v>
      </c>
      <c r="Y35" s="118" t="s">
        <v>327</v>
      </c>
      <c r="Z35" s="118" t="s">
        <v>327</v>
      </c>
    </row>
    <row r="36" spans="4:26" x14ac:dyDescent="0.25">
      <c r="D36" s="77" t="s">
        <v>2671</v>
      </c>
      <c r="E36" s="77" t="s">
        <v>2633</v>
      </c>
      <c r="F36" s="77" t="s">
        <v>2661</v>
      </c>
      <c r="G36" s="102">
        <v>500</v>
      </c>
      <c r="H36" s="102">
        <v>500</v>
      </c>
      <c r="I36" s="107">
        <v>60</v>
      </c>
      <c r="J36" s="92">
        <v>130</v>
      </c>
      <c r="K36" s="92" t="s">
        <v>8</v>
      </c>
      <c r="L36" s="92">
        <v>4</v>
      </c>
      <c r="M36" s="92">
        <v>70</v>
      </c>
      <c r="N36" s="103">
        <f>COUNTIF(Table7[Spawner],Table1[[#This Row],[Spawner Prefab]])</f>
        <v>0</v>
      </c>
      <c r="O36" s="95">
        <f>ROUND((Table1[[#This Row],[Total in "Village" scene]]/SUM(Table1[Total in "Village" scene]))*100,1)</f>
        <v>0</v>
      </c>
      <c r="P36" s="109">
        <f>COUNTIF(Table15[Spawner],Table1[[#This Row],[Spawner Prefab]])</f>
        <v>0</v>
      </c>
      <c r="Q36" s="99">
        <f>ROUND((Table1[[#This Row],[Total in "Castle" scene]]/SUM(Table1[Total in "Castle" scene]))*100,1)</f>
        <v>0</v>
      </c>
      <c r="R36" s="104">
        <f>COUNTIF(Table20[Spawner],Table1[[#This Row],[Spawner Prefab]])</f>
        <v>7</v>
      </c>
      <c r="S36" s="96">
        <f>ROUND((Table1[[#This Row],[Total in "Dark" scene]]/SUM(Table1[Total in "Dark" scene]))*100,1)</f>
        <v>0.6</v>
      </c>
      <c r="T36" s="110">
        <f>Table1[[#This Row],[Total in "Village" scene]]+Table1[[#This Row],[Total in "Castle" scene]]+Table1[[#This Row],[Total in "Dark" scene]]</f>
        <v>7</v>
      </c>
      <c r="U36" s="98">
        <f>ROUND((Table1[[#This Row],[Total in the game]]/SUM(Table1[Total in the game]))*100,1)</f>
        <v>0.1</v>
      </c>
      <c r="V36" s="153" t="s">
        <v>8138</v>
      </c>
      <c r="W36" s="157" t="s">
        <v>89</v>
      </c>
      <c r="X36" s="114" t="s">
        <v>327</v>
      </c>
      <c r="Y36" s="118" t="s">
        <v>327</v>
      </c>
      <c r="Z36" s="118" t="s">
        <v>327</v>
      </c>
    </row>
    <row r="37" spans="4:26" x14ac:dyDescent="0.25">
      <c r="D37" s="77" t="s">
        <v>2670</v>
      </c>
      <c r="E37" s="77" t="s">
        <v>2634</v>
      </c>
      <c r="F37" s="77" t="s">
        <v>2659</v>
      </c>
      <c r="G37" s="102">
        <v>110</v>
      </c>
      <c r="H37" s="102">
        <v>110</v>
      </c>
      <c r="I37" s="107">
        <v>13</v>
      </c>
      <c r="J37" s="92">
        <v>143</v>
      </c>
      <c r="K37" s="92" t="s">
        <v>8</v>
      </c>
      <c r="L37" s="92">
        <v>3</v>
      </c>
      <c r="M37" s="92" t="s">
        <v>8</v>
      </c>
      <c r="N37" s="103">
        <f>COUNTIF(Table7[Spawner],Table1[[#This Row],[Spawner Prefab]])</f>
        <v>0</v>
      </c>
      <c r="O37" s="95">
        <f>ROUND((Table1[[#This Row],[Total in "Village" scene]]/SUM(Table1[Total in "Village" scene]))*100,1)</f>
        <v>0</v>
      </c>
      <c r="P37" s="109">
        <f>COUNTIF(Table15[Spawner],Table1[[#This Row],[Spawner Prefab]])</f>
        <v>0</v>
      </c>
      <c r="Q37" s="99">
        <f>ROUND((Table1[[#This Row],[Total in "Castle" scene]]/SUM(Table1[Total in "Castle" scene]))*100,1)</f>
        <v>0</v>
      </c>
      <c r="R37" s="104">
        <f>COUNTIF(Table20[Spawner],Table1[[#This Row],[Spawner Prefab]])</f>
        <v>26</v>
      </c>
      <c r="S37" s="96">
        <f>ROUND((Table1[[#This Row],[Total in "Dark" scene]]/SUM(Table1[Total in "Dark" scene]))*100,1)</f>
        <v>2.4</v>
      </c>
      <c r="T37" s="110">
        <f>Table1[[#This Row],[Total in "Village" scene]]+Table1[[#This Row],[Total in "Castle" scene]]+Table1[[#This Row],[Total in "Dark" scene]]</f>
        <v>26</v>
      </c>
      <c r="U37" s="98">
        <f>ROUND((Table1[[#This Row],[Total in the game]]/SUM(Table1[Total in the game]))*100,1)</f>
        <v>0.5</v>
      </c>
      <c r="V37" s="153" t="str">
        <f>Table1[[#This Row],[Content Sku]]</f>
        <v>CentipedeBlue</v>
      </c>
      <c r="W37" s="157" t="s">
        <v>575</v>
      </c>
      <c r="X37" s="114" t="s">
        <v>328</v>
      </c>
      <c r="Y37" s="118" t="s">
        <v>328</v>
      </c>
      <c r="Z37" s="118" t="s">
        <v>328</v>
      </c>
    </row>
    <row r="38" spans="4:26" x14ac:dyDescent="0.25">
      <c r="D38" s="77" t="s">
        <v>2678</v>
      </c>
      <c r="E38" s="77" t="s">
        <v>2635</v>
      </c>
      <c r="F38" s="77" t="s">
        <v>2658</v>
      </c>
      <c r="G38" s="102">
        <v>110</v>
      </c>
      <c r="H38" s="102">
        <v>110</v>
      </c>
      <c r="I38" s="107">
        <v>18</v>
      </c>
      <c r="J38" s="92">
        <v>130</v>
      </c>
      <c r="K38" s="92" t="s">
        <v>8</v>
      </c>
      <c r="L38" s="92">
        <v>4</v>
      </c>
      <c r="M38" s="92">
        <v>37</v>
      </c>
      <c r="N38" s="103">
        <f>COUNTIF(Table7[Spawner],Table1[[#This Row],[Spawner Prefab]])</f>
        <v>0</v>
      </c>
      <c r="O38" s="95">
        <f>ROUND((Table1[[#This Row],[Total in "Village" scene]]/SUM(Table1[Total in "Village" scene]))*100,1)</f>
        <v>0</v>
      </c>
      <c r="P38" s="109">
        <f>COUNTIF(Table15[Spawner],Table1[[#This Row],[Spawner Prefab]])</f>
        <v>0</v>
      </c>
      <c r="Q38" s="99">
        <f>ROUND((Table1[[#This Row],[Total in "Castle" scene]]/SUM(Table1[Total in "Castle" scene]))*100,1)</f>
        <v>0</v>
      </c>
      <c r="R38" s="104">
        <f>COUNTIF(Table20[Spawner],Table1[[#This Row],[Spawner Prefab]])</f>
        <v>5</v>
      </c>
      <c r="S38" s="96">
        <f>ROUND((Table1[[#This Row],[Total in "Dark" scene]]/SUM(Table1[Total in "Dark" scene]))*100,1)</f>
        <v>0.5</v>
      </c>
      <c r="T38" s="110">
        <f>Table1[[#This Row],[Total in "Village" scene]]+Table1[[#This Row],[Total in "Castle" scene]]+Table1[[#This Row],[Total in "Dark" scene]]</f>
        <v>5</v>
      </c>
      <c r="U38" s="98">
        <f>ROUND((Table1[[#This Row],[Total in the game]]/SUM(Table1[Total in the game]))*100,1)</f>
        <v>0.1</v>
      </c>
      <c r="V38" s="153" t="str">
        <f>Table1[[#This Row],[Content Sku]]</f>
        <v>CentipedeRed</v>
      </c>
      <c r="W38" s="157" t="s">
        <v>2661</v>
      </c>
      <c r="X38" s="114" t="s">
        <v>328</v>
      </c>
      <c r="Y38" s="118" t="s">
        <v>328</v>
      </c>
      <c r="Z38" s="118" t="s">
        <v>328</v>
      </c>
    </row>
    <row r="39" spans="4:26" x14ac:dyDescent="0.25">
      <c r="D39" s="77" t="s">
        <v>14</v>
      </c>
      <c r="E39" s="77" t="s">
        <v>70</v>
      </c>
      <c r="F39" s="77" t="s">
        <v>6</v>
      </c>
      <c r="G39" s="102">
        <v>210</v>
      </c>
      <c r="H39" s="102">
        <v>210</v>
      </c>
      <c r="I39" s="107">
        <v>15</v>
      </c>
      <c r="J39" s="92">
        <v>83</v>
      </c>
      <c r="K39" s="92" t="s">
        <v>8</v>
      </c>
      <c r="L39" s="92">
        <v>1</v>
      </c>
      <c r="M39" s="92" t="s">
        <v>8</v>
      </c>
      <c r="N39" s="103">
        <f>COUNTIF(Table7[Spawner],Table1[[#This Row],[Spawner Prefab]])</f>
        <v>11</v>
      </c>
      <c r="O39" s="95">
        <f>ROUND((Table1[[#This Row],[Total in "Village" scene]]/SUM(Table1[Total in "Village" scene]))*100,1)</f>
        <v>0.4</v>
      </c>
      <c r="P39" s="109">
        <f>COUNTIF(Table15[Spawner],Table1[[#This Row],[Spawner Prefab]])</f>
        <v>0</v>
      </c>
      <c r="Q39" s="99">
        <f>ROUND((Table1[[#This Row],[Total in "Castle" scene]]/SUM(Table1[Total in "Castle" scene]))*100,1)</f>
        <v>0</v>
      </c>
      <c r="R39" s="104">
        <f>COUNTIF(Table20[Spawner],Table1[[#This Row],[Spawner Prefab]])</f>
        <v>0</v>
      </c>
      <c r="S39" s="96">
        <f>ROUND((Table1[[#This Row],[Total in "Dark" scene]]/SUM(Table1[Total in "Dark" scene]))*100,1)</f>
        <v>0</v>
      </c>
      <c r="T39" s="110">
        <f>Table1[[#This Row],[Total in "Village" scene]]+Table1[[#This Row],[Total in "Castle" scene]]+Table1[[#This Row],[Total in "Dark" scene]]</f>
        <v>11</v>
      </c>
      <c r="U39" s="98">
        <f>ROUND((Table1[[#This Row],[Total in the game]]/SUM(Table1[Total in the game]))*100,1)</f>
        <v>0.2</v>
      </c>
      <c r="V39" s="153" t="str">
        <f>Table1[[#This Row],[Content Sku]]</f>
        <v>Cow</v>
      </c>
      <c r="W39" s="160" t="s">
        <v>2763</v>
      </c>
      <c r="X39" s="114" t="s">
        <v>328</v>
      </c>
      <c r="Y39" s="114" t="s">
        <v>328</v>
      </c>
      <c r="Z39" s="114" t="s">
        <v>328</v>
      </c>
    </row>
    <row r="40" spans="4:26" x14ac:dyDescent="0.25">
      <c r="D40" s="77" t="s">
        <v>255</v>
      </c>
      <c r="E40" s="77" t="s">
        <v>70</v>
      </c>
      <c r="F40" s="77" t="s">
        <v>259</v>
      </c>
      <c r="G40" s="102">
        <v>210</v>
      </c>
      <c r="H40" s="102">
        <v>210</v>
      </c>
      <c r="I40" s="107">
        <v>15</v>
      </c>
      <c r="J40" s="92">
        <v>83</v>
      </c>
      <c r="K40" s="92" t="s">
        <v>8</v>
      </c>
      <c r="L40" s="92">
        <v>1</v>
      </c>
      <c r="M40" s="92" t="s">
        <v>8</v>
      </c>
      <c r="N40" s="103">
        <f>COUNTIF(Table7[Spawner],Table1[[#This Row],[Spawner Prefab]])</f>
        <v>0</v>
      </c>
      <c r="O40" s="95">
        <f>ROUND((Table1[[#This Row],[Total in "Village" scene]]/SUM(Table1[Total in "Village" scene]))*100,1)</f>
        <v>0</v>
      </c>
      <c r="P40" s="109">
        <f>COUNTIF(Table15[Spawner],Table1[[#This Row],[Spawner Prefab]])</f>
        <v>0</v>
      </c>
      <c r="Q40" s="99">
        <f>ROUND((Table1[[#This Row],[Total in "Castle" scene]]/SUM(Table1[Total in "Castle" scene]))*100,1)</f>
        <v>0</v>
      </c>
      <c r="R40" s="104">
        <f>COUNTIF(Table20[Spawner],Table1[[#This Row],[Spawner Prefab]])</f>
        <v>0</v>
      </c>
      <c r="S40" s="96">
        <f>ROUND((Table1[[#This Row],[Total in "Dark" scene]]/SUM(Table1[Total in "Dark" scene]))*100,1)</f>
        <v>0</v>
      </c>
      <c r="T40" s="110">
        <f>Table1[[#This Row],[Total in "Village" scene]]+Table1[[#This Row],[Total in "Castle" scene]]+Table1[[#This Row],[Total in "Dark" scene]]</f>
        <v>0</v>
      </c>
      <c r="U40" s="98">
        <f>ROUND((Table1[[#This Row],[Total in the game]]/SUM(Table1[Total in the game]))*100,1)</f>
        <v>0</v>
      </c>
      <c r="V40" s="153" t="str">
        <f>Table1[[#This Row],[Content Sku]]</f>
        <v>Cow</v>
      </c>
      <c r="W40" s="159" t="s">
        <v>2659</v>
      </c>
      <c r="X40" s="146" t="s">
        <v>327</v>
      </c>
      <c r="Y40" s="146" t="s">
        <v>327</v>
      </c>
      <c r="Z40" s="146" t="s">
        <v>327</v>
      </c>
    </row>
    <row r="41" spans="4:26" x14ac:dyDescent="0.25">
      <c r="D41" s="77" t="s">
        <v>61</v>
      </c>
      <c r="E41" s="77" t="s">
        <v>118</v>
      </c>
      <c r="F41" s="77" t="s">
        <v>56</v>
      </c>
      <c r="G41" s="102">
        <v>240</v>
      </c>
      <c r="H41" s="102">
        <v>240</v>
      </c>
      <c r="I41" s="107">
        <v>30</v>
      </c>
      <c r="J41" s="92">
        <v>55</v>
      </c>
      <c r="K41" s="92" t="s">
        <v>8</v>
      </c>
      <c r="L41" s="92">
        <v>1</v>
      </c>
      <c r="M41" s="92" t="s">
        <v>8</v>
      </c>
      <c r="N41" s="103">
        <f>COUNTIF(Table7[Spawner],Table1[[#This Row],[Spawner Prefab]])</f>
        <v>0</v>
      </c>
      <c r="O41" s="95">
        <f>ROUND((Table1[[#This Row],[Total in "Village" scene]]/SUM(Table1[Total in "Village" scene]))*100,1)</f>
        <v>0</v>
      </c>
      <c r="P41" s="109">
        <f>COUNTIF(Table15[Spawner],Table1[[#This Row],[Spawner Prefab]])</f>
        <v>13</v>
      </c>
      <c r="Q41" s="99">
        <f>ROUND((Table1[[#This Row],[Total in "Castle" scene]]/SUM(Table1[Total in "Castle" scene]))*100,1)</f>
        <v>0.6</v>
      </c>
      <c r="R41" s="104">
        <f>COUNTIF(Table20[Spawner],Table1[[#This Row],[Spawner Prefab]])</f>
        <v>0</v>
      </c>
      <c r="S41" s="96">
        <f>ROUND((Table1[[#This Row],[Total in "Dark" scene]]/SUM(Table1[Total in "Dark" scene]))*100,1)</f>
        <v>0</v>
      </c>
      <c r="T41" s="110">
        <f>Table1[[#This Row],[Total in "Village" scene]]+Table1[[#This Row],[Total in "Castle" scene]]+Table1[[#This Row],[Total in "Dark" scene]]</f>
        <v>13</v>
      </c>
      <c r="U41" s="98">
        <f>ROUND((Table1[[#This Row],[Total in the game]]/SUM(Table1[Total in the game]))*100,1)</f>
        <v>0.2</v>
      </c>
      <c r="V41" s="153" t="str">
        <f>Table1[[#This Row],[Content Sku]]</f>
        <v>Crocodile</v>
      </c>
      <c r="W41" s="159" t="s">
        <v>2658</v>
      </c>
      <c r="X41" s="146" t="s">
        <v>328</v>
      </c>
      <c r="Y41" s="146" t="s">
        <v>328</v>
      </c>
      <c r="Z41" s="146" t="s">
        <v>328</v>
      </c>
    </row>
    <row r="42" spans="4:26" x14ac:dyDescent="0.25">
      <c r="D42" s="77" t="s">
        <v>62</v>
      </c>
      <c r="E42" s="77" t="s">
        <v>118</v>
      </c>
      <c r="F42" s="77" t="s">
        <v>57</v>
      </c>
      <c r="G42" s="102">
        <v>240</v>
      </c>
      <c r="H42" s="102">
        <v>240</v>
      </c>
      <c r="I42" s="107">
        <v>30</v>
      </c>
      <c r="J42" s="92">
        <v>55</v>
      </c>
      <c r="K42" s="92" t="s">
        <v>8</v>
      </c>
      <c r="L42" s="92">
        <v>1</v>
      </c>
      <c r="M42" s="92" t="s">
        <v>8</v>
      </c>
      <c r="N42" s="103">
        <f>COUNTIF(Table7[Spawner],Table1[[#This Row],[Spawner Prefab]])</f>
        <v>0</v>
      </c>
      <c r="O42" s="95">
        <f>ROUND((Table1[[#This Row],[Total in "Village" scene]]/SUM(Table1[Total in "Village" scene]))*100,1)</f>
        <v>0</v>
      </c>
      <c r="P42" s="109">
        <f>COUNTIF(Table15[Spawner],Table1[[#This Row],[Spawner Prefab]])</f>
        <v>2</v>
      </c>
      <c r="Q42" s="99">
        <f>ROUND((Table1[[#This Row],[Total in "Castle" scene]]/SUM(Table1[Total in "Castle" scene]))*100,1)</f>
        <v>0.1</v>
      </c>
      <c r="R42" s="104">
        <f>COUNTIF(Table20[Spawner],Table1[[#This Row],[Spawner Prefab]])</f>
        <v>0</v>
      </c>
      <c r="S42" s="96">
        <f>ROUND((Table1[[#This Row],[Total in "Dark" scene]]/SUM(Table1[Total in "Dark" scene]))*100,1)</f>
        <v>0</v>
      </c>
      <c r="T42" s="110">
        <f>Table1[[#This Row],[Total in "Village" scene]]+Table1[[#This Row],[Total in "Castle" scene]]+Table1[[#This Row],[Total in "Dark" scene]]</f>
        <v>2</v>
      </c>
      <c r="U42" s="98">
        <f>ROUND((Table1[[#This Row],[Total in the game]]/SUM(Table1[Total in the game]))*100,1)</f>
        <v>0</v>
      </c>
      <c r="V42" s="153" t="str">
        <f>Table1[[#This Row],[Content Sku]]</f>
        <v>Crocodile</v>
      </c>
      <c r="W42" s="157" t="s">
        <v>6</v>
      </c>
      <c r="X42" s="114" t="s">
        <v>327</v>
      </c>
      <c r="Y42" s="118" t="s">
        <v>327</v>
      </c>
      <c r="Z42" s="118" t="s">
        <v>327</v>
      </c>
    </row>
    <row r="43" spans="4:26" x14ac:dyDescent="0.25">
      <c r="D43" s="77" t="s">
        <v>95</v>
      </c>
      <c r="E43" s="77" t="s">
        <v>100</v>
      </c>
      <c r="F43" s="77" t="s">
        <v>94</v>
      </c>
      <c r="G43" s="102">
        <v>200</v>
      </c>
      <c r="H43" s="102">
        <v>200</v>
      </c>
      <c r="I43" s="107">
        <v>3</v>
      </c>
      <c r="J43" s="92">
        <v>25</v>
      </c>
      <c r="K43" s="92" t="s">
        <v>8</v>
      </c>
      <c r="L43" s="92">
        <v>0</v>
      </c>
      <c r="M43" s="92" t="s">
        <v>8</v>
      </c>
      <c r="N43" s="103">
        <f>COUNTIF(Table7[Spawner],Table1[[#This Row],[Spawner Prefab]])</f>
        <v>60</v>
      </c>
      <c r="O43" s="95">
        <f>ROUND((Table1[[#This Row],[Total in "Village" scene]]/SUM(Table1[Total in "Village" scene]))*100,1)</f>
        <v>2.4</v>
      </c>
      <c r="P43" s="109">
        <f>COUNTIF(Table15[Spawner],Table1[[#This Row],[Spawner Prefab]])</f>
        <v>39</v>
      </c>
      <c r="Q43" s="99">
        <f>ROUND((Table1[[#This Row],[Total in "Castle" scene]]/SUM(Table1[Total in "Castle" scene]))*100,1)</f>
        <v>1.9</v>
      </c>
      <c r="R43" s="104">
        <f>COUNTIF(Table20[Spawner],Table1[[#This Row],[Spawner Prefab]])</f>
        <v>42</v>
      </c>
      <c r="S43" s="96">
        <f>ROUND((Table1[[#This Row],[Total in "Dark" scene]]/SUM(Table1[Total in "Dark" scene]))*100,1)</f>
        <v>3.8</v>
      </c>
      <c r="T43" s="110">
        <f>Table1[[#This Row],[Total in "Village" scene]]+Table1[[#This Row],[Total in "Castle" scene]]+Table1[[#This Row],[Total in "Dark" scene]]</f>
        <v>141</v>
      </c>
      <c r="U43" s="98">
        <f>ROUND((Table1[[#This Row],[Total in the game]]/SUM(Table1[Total in the game]))*100,1)</f>
        <v>2.5</v>
      </c>
      <c r="V43" s="153" t="str">
        <f>Table1[[#This Row],[Content Sku]]</f>
        <v>Crow_Flock</v>
      </c>
      <c r="W43" s="157" t="s">
        <v>259</v>
      </c>
      <c r="X43" s="114" t="s">
        <v>327</v>
      </c>
      <c r="Y43" s="118" t="s">
        <v>327</v>
      </c>
      <c r="Z43" s="118" t="s">
        <v>327</v>
      </c>
    </row>
    <row r="44" spans="4:26" x14ac:dyDescent="0.25">
      <c r="D44" s="77" t="s">
        <v>443</v>
      </c>
      <c r="E44" s="77" t="s">
        <v>476</v>
      </c>
      <c r="F44" s="77" t="s">
        <v>444</v>
      </c>
      <c r="G44" s="102">
        <v>300</v>
      </c>
      <c r="H44" s="102">
        <v>300</v>
      </c>
      <c r="I44" s="107">
        <v>45</v>
      </c>
      <c r="J44" s="92">
        <v>105</v>
      </c>
      <c r="K44" s="92" t="s">
        <v>8</v>
      </c>
      <c r="L44" s="92">
        <v>2</v>
      </c>
      <c r="M44" s="92">
        <v>40</v>
      </c>
      <c r="N44" s="103">
        <f>COUNTIF(Table7[Spawner],Table1[[#This Row],[Spawner Prefab]])</f>
        <v>0</v>
      </c>
      <c r="O44" s="95">
        <f>ROUND((Table1[[#This Row],[Total in "Village" scene]]/SUM(Table1[Total in "Village" scene]))*100,1)</f>
        <v>0</v>
      </c>
      <c r="P44" s="109">
        <f>COUNTIF(Table15[Spawner],Table1[[#This Row],[Spawner Prefab]])</f>
        <v>13</v>
      </c>
      <c r="Q44" s="99">
        <f>ROUND((Table1[[#This Row],[Total in "Castle" scene]]/SUM(Table1[Total in "Castle" scene]))*100,1)</f>
        <v>0.6</v>
      </c>
      <c r="R44" s="104">
        <f>COUNTIF(Table20[Spawner],Table1[[#This Row],[Spawner Prefab]])</f>
        <v>0</v>
      </c>
      <c r="S44" s="96">
        <f>ROUND((Table1[[#This Row],[Total in "Dark" scene]]/SUM(Table1[Total in "Dark" scene]))*100,1)</f>
        <v>0</v>
      </c>
      <c r="T44" s="110">
        <f>Table1[[#This Row],[Total in "Village" scene]]+Table1[[#This Row],[Total in "Castle" scene]]+Table1[[#This Row],[Total in "Dark" scene]]</f>
        <v>13</v>
      </c>
      <c r="U44" s="98">
        <f>ROUND((Table1[[#This Row],[Total in the game]]/SUM(Table1[Total in the game]))*100,1)</f>
        <v>0.2</v>
      </c>
      <c r="V44" s="153" t="str">
        <f>Table1[[#This Row],[Content Sku]]</f>
        <v>Driller</v>
      </c>
      <c r="W44" s="157" t="s">
        <v>56</v>
      </c>
      <c r="X44" s="114" t="s">
        <v>328</v>
      </c>
      <c r="Y44" s="118" t="s">
        <v>328</v>
      </c>
      <c r="Z44" s="118" t="s">
        <v>328</v>
      </c>
    </row>
    <row r="45" spans="4:26" x14ac:dyDescent="0.25">
      <c r="D45" s="77" t="s">
        <v>47</v>
      </c>
      <c r="E45" s="77" t="s">
        <v>101</v>
      </c>
      <c r="F45" s="77" t="s">
        <v>452</v>
      </c>
      <c r="G45" s="102">
        <v>220</v>
      </c>
      <c r="H45" s="102">
        <v>220</v>
      </c>
      <c r="I45" s="107">
        <v>20</v>
      </c>
      <c r="J45" s="92">
        <v>50</v>
      </c>
      <c r="K45" s="92" t="s">
        <v>8</v>
      </c>
      <c r="L45" s="92">
        <v>0</v>
      </c>
      <c r="M45" s="92">
        <v>10</v>
      </c>
      <c r="N45" s="103">
        <f>COUNTIF(Table7[Spawner],Table1[[#This Row],[Spawner Prefab]])</f>
        <v>29</v>
      </c>
      <c r="O45" s="95">
        <f>ROUND((Table1[[#This Row],[Total in "Village" scene]]/SUM(Table1[Total in "Village" scene]))*100,1)</f>
        <v>1.1000000000000001</v>
      </c>
      <c r="P45" s="109">
        <f>COUNTIF(Table15[Spawner],Table1[[#This Row],[Spawner Prefab]])</f>
        <v>10</v>
      </c>
      <c r="Q45" s="99">
        <f>ROUND((Table1[[#This Row],[Total in "Castle" scene]]/SUM(Table1[Total in "Castle" scene]))*100,1)</f>
        <v>0.5</v>
      </c>
      <c r="R45" s="104">
        <f>COUNTIF(Table20[Spawner],Table1[[#This Row],[Spawner Prefab]])</f>
        <v>0</v>
      </c>
      <c r="S45" s="96">
        <f>ROUND((Table1[[#This Row],[Total in "Dark" scene]]/SUM(Table1[Total in "Dark" scene]))*100,1)</f>
        <v>0</v>
      </c>
      <c r="T45" s="110">
        <f>Table1[[#This Row],[Total in "Village" scene]]+Table1[[#This Row],[Total in "Castle" scene]]+Table1[[#This Row],[Total in "Dark" scene]]</f>
        <v>39</v>
      </c>
      <c r="U45" s="98">
        <f>ROUND((Table1[[#This Row],[Total in the game]]/SUM(Table1[Total in the game]))*100,1)</f>
        <v>0.7</v>
      </c>
      <c r="V45" s="153" t="str">
        <f>Table1[[#This Row],[Content Sku]]</f>
        <v>EnemyTier0</v>
      </c>
      <c r="W45" s="157" t="s">
        <v>57</v>
      </c>
      <c r="X45" s="114" t="s">
        <v>327</v>
      </c>
      <c r="Y45" s="118" t="s">
        <v>327</v>
      </c>
      <c r="Z45" s="118" t="s">
        <v>327</v>
      </c>
    </row>
    <row r="46" spans="4:26" x14ac:dyDescent="0.25">
      <c r="D46" s="77" t="s">
        <v>48</v>
      </c>
      <c r="E46" s="77" t="s">
        <v>102</v>
      </c>
      <c r="F46" s="77" t="s">
        <v>453</v>
      </c>
      <c r="G46" s="102">
        <v>240</v>
      </c>
      <c r="H46" s="102">
        <v>240</v>
      </c>
      <c r="I46" s="107">
        <v>40</v>
      </c>
      <c r="J46" s="92">
        <v>83</v>
      </c>
      <c r="K46" s="92" t="s">
        <v>8</v>
      </c>
      <c r="L46" s="92">
        <v>1</v>
      </c>
      <c r="M46" s="92">
        <v>20</v>
      </c>
      <c r="N46" s="103">
        <f>COUNTIF(Table7[Spawner],Table1[[#This Row],[Spawner Prefab]])</f>
        <v>13</v>
      </c>
      <c r="O46" s="95">
        <f>ROUND((Table1[[#This Row],[Total in "Village" scene]]/SUM(Table1[Total in "Village" scene]))*100,1)</f>
        <v>0.5</v>
      </c>
      <c r="P46" s="109">
        <f>COUNTIF(Table15[Spawner],Table1[[#This Row],[Spawner Prefab]])</f>
        <v>6</v>
      </c>
      <c r="Q46" s="99">
        <f>ROUND((Table1[[#This Row],[Total in "Castle" scene]]/SUM(Table1[Total in "Castle" scene]))*100,1)</f>
        <v>0.3</v>
      </c>
      <c r="R46" s="104">
        <f>COUNTIF(Table20[Spawner],Table1[[#This Row],[Spawner Prefab]])</f>
        <v>2</v>
      </c>
      <c r="S46" s="96">
        <f>ROUND((Table1[[#This Row],[Total in "Dark" scene]]/SUM(Table1[Total in "Dark" scene]))*100,1)</f>
        <v>0.2</v>
      </c>
      <c r="T46" s="110">
        <f>Table1[[#This Row],[Total in "Village" scene]]+Table1[[#This Row],[Total in "Castle" scene]]+Table1[[#This Row],[Total in "Dark" scene]]</f>
        <v>21</v>
      </c>
      <c r="U46" s="98">
        <f>ROUND((Table1[[#This Row],[Total in the game]]/SUM(Table1[Total in the game]))*100,1)</f>
        <v>0.4</v>
      </c>
      <c r="V46" s="153" t="str">
        <f>Table1[[#This Row],[Content Sku]]</f>
        <v>EnemyTier1</v>
      </c>
      <c r="W46" s="157" t="s">
        <v>94</v>
      </c>
      <c r="X46" s="114" t="s">
        <v>327</v>
      </c>
      <c r="Y46" s="118" t="s">
        <v>327</v>
      </c>
      <c r="Z46" s="118" t="s">
        <v>327</v>
      </c>
    </row>
    <row r="47" spans="4:26" x14ac:dyDescent="0.25">
      <c r="D47" s="77" t="s">
        <v>49</v>
      </c>
      <c r="E47" s="77" t="s">
        <v>103</v>
      </c>
      <c r="F47" s="77" t="s">
        <v>454</v>
      </c>
      <c r="G47" s="102">
        <v>260</v>
      </c>
      <c r="H47" s="102">
        <v>260</v>
      </c>
      <c r="I47" s="107">
        <v>80</v>
      </c>
      <c r="J47" s="92">
        <v>105</v>
      </c>
      <c r="K47" s="92" t="s">
        <v>8</v>
      </c>
      <c r="L47" s="92">
        <v>2</v>
      </c>
      <c r="M47" s="92">
        <v>40</v>
      </c>
      <c r="N47" s="103">
        <f>COUNTIF(Table7[Spawner],Table1[[#This Row],[Spawner Prefab]])</f>
        <v>10</v>
      </c>
      <c r="O47" s="95">
        <f>ROUND((Table1[[#This Row],[Total in "Village" scene]]/SUM(Table1[Total in "Village" scene]))*100,1)</f>
        <v>0.4</v>
      </c>
      <c r="P47" s="109">
        <f>COUNTIF(Table15[Spawner],Table1[[#This Row],[Spawner Prefab]])</f>
        <v>15</v>
      </c>
      <c r="Q47" s="99">
        <f>ROUND((Table1[[#This Row],[Total in "Castle" scene]]/SUM(Table1[Total in "Castle" scene]))*100,1)</f>
        <v>0.7</v>
      </c>
      <c r="R47" s="104">
        <f>COUNTIF(Table20[Spawner],Table1[[#This Row],[Spawner Prefab]])</f>
        <v>5</v>
      </c>
      <c r="S47" s="96">
        <f>ROUND((Table1[[#This Row],[Total in "Dark" scene]]/SUM(Table1[Total in "Dark" scene]))*100,1)</f>
        <v>0.5</v>
      </c>
      <c r="T47" s="110">
        <f>Table1[[#This Row],[Total in "Village" scene]]+Table1[[#This Row],[Total in "Castle" scene]]+Table1[[#This Row],[Total in "Dark" scene]]</f>
        <v>30</v>
      </c>
      <c r="U47" s="98">
        <f>ROUND((Table1[[#This Row],[Total in the game]]/SUM(Table1[Total in the game]))*100,1)</f>
        <v>0.5</v>
      </c>
      <c r="V47" s="153" t="str">
        <f>Table1[[#This Row],[Content Sku]]</f>
        <v>EnemyTier2</v>
      </c>
      <c r="W47" s="157" t="s">
        <v>444</v>
      </c>
      <c r="X47" s="114" t="s">
        <v>328</v>
      </c>
      <c r="Y47" s="118" t="s">
        <v>328</v>
      </c>
      <c r="Z47" s="118" t="s">
        <v>328</v>
      </c>
    </row>
    <row r="48" spans="4:26" x14ac:dyDescent="0.25">
      <c r="D48" s="77" t="s">
        <v>50</v>
      </c>
      <c r="E48" s="77" t="s">
        <v>104</v>
      </c>
      <c r="F48" s="77" t="s">
        <v>455</v>
      </c>
      <c r="G48" s="102">
        <v>280</v>
      </c>
      <c r="H48" s="102">
        <v>280</v>
      </c>
      <c r="I48" s="107">
        <v>100</v>
      </c>
      <c r="J48" s="92">
        <v>143</v>
      </c>
      <c r="K48" s="92" t="s">
        <v>8</v>
      </c>
      <c r="L48" s="92">
        <v>3</v>
      </c>
      <c r="M48" s="92">
        <v>50</v>
      </c>
      <c r="N48" s="103">
        <f>COUNTIF(Table7[Spawner],Table1[[#This Row],[Spawner Prefab]])</f>
        <v>17</v>
      </c>
      <c r="O48" s="95">
        <f>ROUND((Table1[[#This Row],[Total in "Village" scene]]/SUM(Table1[Total in "Village" scene]))*100,1)</f>
        <v>0.7</v>
      </c>
      <c r="P48" s="109">
        <f>COUNTIF(Table15[Spawner],Table1[[#This Row],[Spawner Prefab]])</f>
        <v>14</v>
      </c>
      <c r="Q48" s="99">
        <f>ROUND((Table1[[#This Row],[Total in "Castle" scene]]/SUM(Table1[Total in "Castle" scene]))*100,1)</f>
        <v>0.7</v>
      </c>
      <c r="R48" s="104">
        <f>COUNTIF(Table20[Spawner],Table1[[#This Row],[Spawner Prefab]])</f>
        <v>8</v>
      </c>
      <c r="S48" s="96">
        <f>ROUND((Table1[[#This Row],[Total in "Dark" scene]]/SUM(Table1[Total in "Dark" scene]))*100,1)</f>
        <v>0.7</v>
      </c>
      <c r="T48" s="110">
        <f>Table1[[#This Row],[Total in "Village" scene]]+Table1[[#This Row],[Total in "Castle" scene]]+Table1[[#This Row],[Total in "Dark" scene]]</f>
        <v>39</v>
      </c>
      <c r="U48" s="98">
        <f>ROUND((Table1[[#This Row],[Total in the game]]/SUM(Table1[Total in the game]))*100,1)</f>
        <v>0.7</v>
      </c>
      <c r="V48" s="153" t="str">
        <f>Table1[[#This Row],[Content Sku]]</f>
        <v>EnemyTier3</v>
      </c>
      <c r="W48" s="157" t="s">
        <v>390</v>
      </c>
      <c r="X48" s="114" t="s">
        <v>327</v>
      </c>
      <c r="Y48" s="118" t="s">
        <v>327</v>
      </c>
      <c r="Z48" s="118" t="s">
        <v>327</v>
      </c>
    </row>
    <row r="49" spans="4:26" x14ac:dyDescent="0.25">
      <c r="D49" s="77" t="s">
        <v>51</v>
      </c>
      <c r="E49" s="77" t="s">
        <v>105</v>
      </c>
      <c r="F49" s="77" t="s">
        <v>456</v>
      </c>
      <c r="G49" s="102">
        <v>300</v>
      </c>
      <c r="H49" s="102">
        <v>300</v>
      </c>
      <c r="I49" s="107">
        <v>120</v>
      </c>
      <c r="J49" s="92">
        <v>130</v>
      </c>
      <c r="K49" s="92" t="s">
        <v>8</v>
      </c>
      <c r="L49" s="92">
        <v>4</v>
      </c>
      <c r="M49" s="92">
        <v>60</v>
      </c>
      <c r="N49" s="103">
        <f>COUNTIF(Table7[Spawner],Table1[[#This Row],[Spawner Prefab]])</f>
        <v>7</v>
      </c>
      <c r="O49" s="95">
        <f>ROUND((Table1[[#This Row],[Total in "Village" scene]]/SUM(Table1[Total in "Village" scene]))*100,1)</f>
        <v>0.3</v>
      </c>
      <c r="P49" s="109">
        <f>COUNTIF(Table15[Spawner],Table1[[#This Row],[Spawner Prefab]])</f>
        <v>6</v>
      </c>
      <c r="Q49" s="99">
        <f>ROUND((Table1[[#This Row],[Total in "Castle" scene]]/SUM(Table1[Total in "Castle" scene]))*100,1)</f>
        <v>0.3</v>
      </c>
      <c r="R49" s="104">
        <f>COUNTIF(Table20[Spawner],Table1[[#This Row],[Spawner Prefab]])</f>
        <v>4</v>
      </c>
      <c r="S49" s="96">
        <f>ROUND((Table1[[#This Row],[Total in "Dark" scene]]/SUM(Table1[Total in "Dark" scene]))*100,1)</f>
        <v>0.4</v>
      </c>
      <c r="T49" s="110">
        <f>Table1[[#This Row],[Total in "Village" scene]]+Table1[[#This Row],[Total in "Castle" scene]]+Table1[[#This Row],[Total in "Dark" scene]]</f>
        <v>17</v>
      </c>
      <c r="U49" s="98">
        <f>ROUND((Table1[[#This Row],[Total in the game]]/SUM(Table1[Total in the game]))*100,1)</f>
        <v>0.3</v>
      </c>
      <c r="V49" s="153" t="str">
        <f>Table1[[#This Row],[Content Sku]]</f>
        <v>EnemyTier4</v>
      </c>
      <c r="W49" s="157" t="s">
        <v>452</v>
      </c>
      <c r="X49" s="114" t="s">
        <v>328</v>
      </c>
      <c r="Y49" s="118" t="s">
        <v>328</v>
      </c>
      <c r="Z49" s="118" t="s">
        <v>328</v>
      </c>
    </row>
    <row r="50" spans="4:26" x14ac:dyDescent="0.25">
      <c r="D50" s="77" t="s">
        <v>8103</v>
      </c>
      <c r="E50" s="77" t="s">
        <v>8109</v>
      </c>
      <c r="F50" s="77" t="s">
        <v>8110</v>
      </c>
      <c r="G50" s="102">
        <v>300</v>
      </c>
      <c r="H50" s="102">
        <v>300</v>
      </c>
      <c r="I50" s="107">
        <v>150</v>
      </c>
      <c r="J50" s="92">
        <v>150</v>
      </c>
      <c r="K50" s="92" t="s">
        <v>8</v>
      </c>
      <c r="L50" s="92">
        <v>5</v>
      </c>
      <c r="M50" s="92">
        <v>80</v>
      </c>
      <c r="N50" s="103">
        <f>COUNTIF(Table7[Spawner],Table1[[#This Row],[Spawner Prefab]])</f>
        <v>10</v>
      </c>
      <c r="O50" s="95">
        <f>ROUND((Table1[[#This Row],[Total in "Village" scene]]/SUM(Table1[Total in "Village" scene]))*100,1)</f>
        <v>0.4</v>
      </c>
      <c r="P50" s="109">
        <f>COUNTIF(Table15[Spawner],Table1[[#This Row],[Spawner Prefab]])</f>
        <v>8</v>
      </c>
      <c r="Q50" s="99">
        <f>ROUND((Table1[[#This Row],[Total in "Castle" scene]]/SUM(Table1[Total in "Castle" scene]))*100,1)</f>
        <v>0.4</v>
      </c>
      <c r="R50" s="104">
        <f>COUNTIF(Table20[Spawner],Table1[[#This Row],[Spawner Prefab]])</f>
        <v>7</v>
      </c>
      <c r="S50" s="96">
        <f>ROUND((Table1[[#This Row],[Total in "Dark" scene]]/SUM(Table1[Total in "Dark" scene]))*100,1)</f>
        <v>0.6</v>
      </c>
      <c r="T50" s="110">
        <f>Table1[[#This Row],[Total in "Village" scene]]+Table1[[#This Row],[Total in "Castle" scene]]+Table1[[#This Row],[Total in "Dark" scene]]</f>
        <v>25</v>
      </c>
      <c r="U50" s="98">
        <f>ROUND((Table1[[#This Row],[Total in the game]]/SUM(Table1[Total in the game]))*100,1)</f>
        <v>0.4</v>
      </c>
      <c r="V50" s="153" t="str">
        <f>Table1[[#This Row],[Content Sku]]</f>
        <v>EnemyTier5</v>
      </c>
      <c r="W50" s="157" t="s">
        <v>453</v>
      </c>
      <c r="X50" s="114" t="s">
        <v>328</v>
      </c>
      <c r="Y50" s="118" t="s">
        <v>328</v>
      </c>
      <c r="Z50" s="118" t="s">
        <v>328</v>
      </c>
    </row>
    <row r="51" spans="4:26" x14ac:dyDescent="0.25">
      <c r="D51" s="77" t="s">
        <v>398</v>
      </c>
      <c r="E51" s="77" t="s">
        <v>413</v>
      </c>
      <c r="F51" s="77" t="s">
        <v>399</v>
      </c>
      <c r="G51" s="102">
        <v>140</v>
      </c>
      <c r="H51" s="102">
        <v>140</v>
      </c>
      <c r="I51" s="107">
        <v>30</v>
      </c>
      <c r="J51" s="92">
        <v>28</v>
      </c>
      <c r="K51" s="92" t="s">
        <v>8</v>
      </c>
      <c r="L51" s="92">
        <v>1</v>
      </c>
      <c r="M51" s="92" t="s">
        <v>8</v>
      </c>
      <c r="N51" s="103">
        <f>COUNTIF(Table7[Spawner],Table1[[#This Row],[Spawner Prefab]])</f>
        <v>7</v>
      </c>
      <c r="O51" s="95">
        <f>ROUND((Table1[[#This Row],[Total in "Village" scene]]/SUM(Table1[Total in "Village" scene]))*100,1)</f>
        <v>0.3</v>
      </c>
      <c r="P51" s="109">
        <f>COUNTIF(Table15[Spawner],Table1[[#This Row],[Spawner Prefab]])</f>
        <v>18</v>
      </c>
      <c r="Q51" s="99">
        <f>ROUND((Table1[[#This Row],[Total in "Castle" scene]]/SUM(Table1[Total in "Castle" scene]))*100,1)</f>
        <v>0.9</v>
      </c>
      <c r="R51" s="104">
        <f>COUNTIF(Table20[Spawner],Table1[[#This Row],[Spawner Prefab]])</f>
        <v>14</v>
      </c>
      <c r="S51" s="96">
        <f>ROUND((Table1[[#This Row],[Total in "Dark" scene]]/SUM(Table1[Total in "Dark" scene]))*100,1)</f>
        <v>1.3</v>
      </c>
      <c r="T51" s="110">
        <f>Table1[[#This Row],[Total in "Village" scene]]+Table1[[#This Row],[Total in "Castle" scene]]+Table1[[#This Row],[Total in "Dark" scene]]</f>
        <v>39</v>
      </c>
      <c r="U51" s="98">
        <f>ROUND((Table1[[#This Row],[Total in the game]]/SUM(Table1[Total in the game]))*100,1)</f>
        <v>0.7</v>
      </c>
      <c r="V51" s="153" t="s">
        <v>8101</v>
      </c>
      <c r="W51" s="157" t="s">
        <v>454</v>
      </c>
      <c r="X51" s="114" t="s">
        <v>328</v>
      </c>
      <c r="Y51" s="118" t="s">
        <v>328</v>
      </c>
      <c r="Z51" s="118" t="s">
        <v>328</v>
      </c>
    </row>
    <row r="52" spans="4:26" x14ac:dyDescent="0.25">
      <c r="D52" s="77" t="s">
        <v>400</v>
      </c>
      <c r="E52" s="77" t="s">
        <v>414</v>
      </c>
      <c r="F52" s="77" t="s">
        <v>401</v>
      </c>
      <c r="G52" s="102">
        <v>140</v>
      </c>
      <c r="H52" s="102">
        <v>140</v>
      </c>
      <c r="I52" s="107">
        <v>6</v>
      </c>
      <c r="J52" s="92">
        <v>25</v>
      </c>
      <c r="K52" s="92" t="s">
        <v>8</v>
      </c>
      <c r="L52" s="92">
        <v>0</v>
      </c>
      <c r="M52" s="92" t="s">
        <v>8</v>
      </c>
      <c r="N52" s="103">
        <f>COUNTIF(Table7[Spawner],Table1[[#This Row],[Spawner Prefab]])</f>
        <v>18</v>
      </c>
      <c r="O52" s="95">
        <f>ROUND((Table1[[#This Row],[Total in "Village" scene]]/SUM(Table1[Total in "Village" scene]))*100,1)</f>
        <v>0.7</v>
      </c>
      <c r="P52" s="109">
        <f>COUNTIF(Table15[Spawner],Table1[[#This Row],[Spawner Prefab]])</f>
        <v>27</v>
      </c>
      <c r="Q52" s="99">
        <f>ROUND((Table1[[#This Row],[Total in "Castle" scene]]/SUM(Table1[Total in "Castle" scene]))*100,1)</f>
        <v>1.3</v>
      </c>
      <c r="R52" s="104">
        <f>COUNTIF(Table20[Spawner],Table1[[#This Row],[Spawner Prefab]])</f>
        <v>14</v>
      </c>
      <c r="S52" s="96">
        <f>ROUND((Table1[[#This Row],[Total in "Dark" scene]]/SUM(Table1[Total in "Dark" scene]))*100,1)</f>
        <v>1.3</v>
      </c>
      <c r="T52" s="110">
        <f>Table1[[#This Row],[Total in "Village" scene]]+Table1[[#This Row],[Total in "Castle" scene]]+Table1[[#This Row],[Total in "Dark" scene]]</f>
        <v>59</v>
      </c>
      <c r="U52" s="98">
        <f>ROUND((Table1[[#This Row],[Total in the game]]/SUM(Table1[Total in the game]))*100,1)</f>
        <v>1</v>
      </c>
      <c r="V52" s="153" t="s">
        <v>8101</v>
      </c>
      <c r="W52" s="157" t="s">
        <v>455</v>
      </c>
      <c r="X52" s="114" t="s">
        <v>328</v>
      </c>
      <c r="Y52" s="118" t="s">
        <v>328</v>
      </c>
      <c r="Z52" s="118" t="s">
        <v>328</v>
      </c>
    </row>
    <row r="53" spans="4:26" x14ac:dyDescent="0.25">
      <c r="D53" s="77" t="s">
        <v>2662</v>
      </c>
      <c r="E53" s="77" t="s">
        <v>2636</v>
      </c>
      <c r="F53" s="77" t="s">
        <v>2657</v>
      </c>
      <c r="G53" s="102">
        <v>110</v>
      </c>
      <c r="H53" s="102">
        <v>110</v>
      </c>
      <c r="I53" s="107">
        <v>13</v>
      </c>
      <c r="J53" s="92">
        <v>40</v>
      </c>
      <c r="K53" s="92" t="s">
        <v>8</v>
      </c>
      <c r="L53" s="92">
        <v>2</v>
      </c>
      <c r="M53" s="92" t="s">
        <v>8</v>
      </c>
      <c r="N53" s="103">
        <f>COUNTIF(Table7[Spawner],Table1[[#This Row],[Spawner Prefab]])</f>
        <v>0</v>
      </c>
      <c r="O53" s="95">
        <f>ROUND((Table1[[#This Row],[Total in "Village" scene]]/SUM(Table1[Total in "Village" scene]))*100,1)</f>
        <v>0</v>
      </c>
      <c r="P53" s="109">
        <f>COUNTIF(Table15[Spawner],Table1[[#This Row],[Spawner Prefab]])</f>
        <v>0</v>
      </c>
      <c r="Q53" s="99">
        <f>ROUND((Table1[[#This Row],[Total in "Castle" scene]]/SUM(Table1[Total in "Castle" scene]))*100,1)</f>
        <v>0</v>
      </c>
      <c r="R53" s="104">
        <f>COUNTIF(Table20[Spawner],Table1[[#This Row],[Spawner Prefab]])</f>
        <v>43</v>
      </c>
      <c r="S53" s="96">
        <f>ROUND((Table1[[#This Row],[Total in "Dark" scene]]/SUM(Table1[Total in "Dark" scene]))*100,1)</f>
        <v>3.9</v>
      </c>
      <c r="T53" s="110">
        <f>Table1[[#This Row],[Total in "Village" scene]]+Table1[[#This Row],[Total in "Castle" scene]]+Table1[[#This Row],[Total in "Dark" scene]]</f>
        <v>43</v>
      </c>
      <c r="U53" s="98">
        <f>ROUND((Table1[[#This Row],[Total in the game]]/SUM(Table1[Total in the game]))*100,1)</f>
        <v>0.8</v>
      </c>
      <c r="V53" s="153" t="str">
        <f>Table1[[#This Row],[Content Sku]]</f>
        <v>Firefly</v>
      </c>
      <c r="W53" s="157" t="s">
        <v>456</v>
      </c>
      <c r="X53" s="114" t="s">
        <v>328</v>
      </c>
      <c r="Y53" s="118" t="s">
        <v>328</v>
      </c>
      <c r="Z53" s="118" t="s">
        <v>328</v>
      </c>
    </row>
    <row r="54" spans="4:26" x14ac:dyDescent="0.25">
      <c r="D54" s="77" t="s">
        <v>391</v>
      </c>
      <c r="E54" s="77" t="s">
        <v>119</v>
      </c>
      <c r="F54" s="77" t="s">
        <v>58</v>
      </c>
      <c r="G54" s="102">
        <v>100</v>
      </c>
      <c r="H54" s="102">
        <v>100</v>
      </c>
      <c r="I54" s="107">
        <v>2</v>
      </c>
      <c r="J54" s="92">
        <v>25</v>
      </c>
      <c r="K54" s="92" t="s">
        <v>8</v>
      </c>
      <c r="L54" s="92">
        <v>0</v>
      </c>
      <c r="M54" s="92" t="s">
        <v>8</v>
      </c>
      <c r="N54" s="103">
        <f>COUNTIF(Table7[Spawner],Table1[[#This Row],[Spawner Prefab]])</f>
        <v>22</v>
      </c>
      <c r="O54" s="95">
        <f>ROUND((Table1[[#This Row],[Total in "Village" scene]]/SUM(Table1[Total in "Village" scene]))*100,1)</f>
        <v>0.9</v>
      </c>
      <c r="P54" s="109">
        <f>COUNTIF(Table15[Spawner],Table1[[#This Row],[Spawner Prefab]])</f>
        <v>84</v>
      </c>
      <c r="Q54" s="99">
        <f>ROUND((Table1[[#This Row],[Total in "Castle" scene]]/SUM(Table1[Total in "Castle" scene]))*100,1)</f>
        <v>4</v>
      </c>
      <c r="R54" s="104">
        <f>COUNTIF(Table20[Spawner],Table1[[#This Row],[Spawner Prefab]])</f>
        <v>0</v>
      </c>
      <c r="S54" s="96">
        <f>ROUND((Table1[[#This Row],[Total in "Dark" scene]]/SUM(Table1[Total in "Dark" scene]))*100,1)</f>
        <v>0</v>
      </c>
      <c r="T54" s="110">
        <f>Table1[[#This Row],[Total in "Village" scene]]+Table1[[#This Row],[Total in "Castle" scene]]+Table1[[#This Row],[Total in "Dark" scene]]</f>
        <v>106</v>
      </c>
      <c r="U54" s="98">
        <f>ROUND((Table1[[#This Row],[Total in the game]]/SUM(Table1[Total in the game]))*100,1)</f>
        <v>1.8</v>
      </c>
      <c r="V54" s="153" t="s">
        <v>3840</v>
      </c>
      <c r="W54" s="157" t="s">
        <v>8110</v>
      </c>
      <c r="X54" s="114" t="s">
        <v>328</v>
      </c>
      <c r="Y54" s="118" t="s">
        <v>328</v>
      </c>
      <c r="Z54" s="118" t="s">
        <v>328</v>
      </c>
    </row>
    <row r="55" spans="4:26" x14ac:dyDescent="0.25">
      <c r="D55" s="77" t="s">
        <v>63</v>
      </c>
      <c r="E55" s="77" t="s">
        <v>119</v>
      </c>
      <c r="F55" s="77" t="s">
        <v>58</v>
      </c>
      <c r="G55" s="102">
        <v>100</v>
      </c>
      <c r="H55" s="102">
        <v>100</v>
      </c>
      <c r="I55" s="107">
        <v>2</v>
      </c>
      <c r="J55" s="92">
        <v>25</v>
      </c>
      <c r="K55" s="92" t="s">
        <v>8</v>
      </c>
      <c r="L55" s="92">
        <v>0</v>
      </c>
      <c r="M55" s="92" t="s">
        <v>8</v>
      </c>
      <c r="N55" s="103">
        <f>COUNTIF(Table7[Spawner],Table1[[#This Row],[Spawner Prefab]])</f>
        <v>16</v>
      </c>
      <c r="O55" s="95">
        <f>ROUND((Table1[[#This Row],[Total in "Village" scene]]/SUM(Table1[Total in "Village" scene]))*100,1)</f>
        <v>0.6</v>
      </c>
      <c r="P55" s="109">
        <f>COUNTIF(Table15[Spawner],Table1[[#This Row],[Spawner Prefab]])</f>
        <v>4</v>
      </c>
      <c r="Q55" s="99">
        <f>ROUND((Table1[[#This Row],[Total in "Castle" scene]]/SUM(Table1[Total in "Castle" scene]))*100,1)</f>
        <v>0.2</v>
      </c>
      <c r="R55" s="104">
        <f>COUNTIF(Table20[Spawner],Table1[[#This Row],[Spawner Prefab]])</f>
        <v>0</v>
      </c>
      <c r="S55" s="96">
        <f>ROUND((Table1[[#This Row],[Total in "Dark" scene]]/SUM(Table1[Total in "Dark" scene]))*100,1)</f>
        <v>0</v>
      </c>
      <c r="T55" s="110">
        <f>Table1[[#This Row],[Total in "Village" scene]]+Table1[[#This Row],[Total in "Castle" scene]]+Table1[[#This Row],[Total in "Dark" scene]]</f>
        <v>20</v>
      </c>
      <c r="U55" s="98">
        <f>ROUND((Table1[[#This Row],[Total in the game]]/SUM(Table1[Total in the game]))*100,1)</f>
        <v>0.3</v>
      </c>
      <c r="V55" s="153" t="s">
        <v>3840</v>
      </c>
      <c r="W55" s="157" t="s">
        <v>399</v>
      </c>
      <c r="X55" s="114" t="s">
        <v>327</v>
      </c>
      <c r="Y55" s="118" t="s">
        <v>327</v>
      </c>
      <c r="Z55" s="118" t="s">
        <v>327</v>
      </c>
    </row>
    <row r="56" spans="4:26" ht="15" customHeight="1" x14ac:dyDescent="0.25">
      <c r="D56" s="77" t="s">
        <v>64</v>
      </c>
      <c r="E56" s="77" t="s">
        <v>120</v>
      </c>
      <c r="F56" s="77" t="s">
        <v>59</v>
      </c>
      <c r="G56" s="102">
        <v>100</v>
      </c>
      <c r="H56" s="102">
        <v>100</v>
      </c>
      <c r="I56" s="107">
        <v>2</v>
      </c>
      <c r="J56" s="92">
        <v>25</v>
      </c>
      <c r="K56" s="92" t="s">
        <v>8</v>
      </c>
      <c r="L56" s="92">
        <v>0</v>
      </c>
      <c r="M56" s="92" t="s">
        <v>8</v>
      </c>
      <c r="N56" s="103">
        <f>COUNTIF(Table7[Spawner],Table1[[#This Row],[Spawner Prefab]])</f>
        <v>0</v>
      </c>
      <c r="O56" s="95">
        <f>ROUND((Table1[[#This Row],[Total in "Village" scene]]/SUM(Table1[Total in "Village" scene]))*100,1)</f>
        <v>0</v>
      </c>
      <c r="P56" s="109">
        <f>COUNTIF(Table15[Spawner],Table1[[#This Row],[Spawner Prefab]])</f>
        <v>2</v>
      </c>
      <c r="Q56" s="99">
        <f>ROUND((Table1[[#This Row],[Total in "Castle" scene]]/SUM(Table1[Total in "Castle" scene]))*100,1)</f>
        <v>0.1</v>
      </c>
      <c r="R56" s="104">
        <f>COUNTIF(Table20[Spawner],Table1[[#This Row],[Spawner Prefab]])</f>
        <v>0</v>
      </c>
      <c r="S56" s="96">
        <f>ROUND((Table1[[#This Row],[Total in "Dark" scene]]/SUM(Table1[Total in "Dark" scene]))*100,1)</f>
        <v>0</v>
      </c>
      <c r="T56" s="110">
        <f>Table1[[#This Row],[Total in "Village" scene]]+Table1[[#This Row],[Total in "Castle" scene]]+Table1[[#This Row],[Total in "Dark" scene]]</f>
        <v>2</v>
      </c>
      <c r="U56" s="98">
        <f>ROUND((Table1[[#This Row],[Total in the game]]/SUM(Table1[Total in the game]))*100,1)</f>
        <v>0</v>
      </c>
      <c r="V56" s="153" t="s">
        <v>3840</v>
      </c>
      <c r="W56" s="157" t="s">
        <v>401</v>
      </c>
      <c r="X56" s="114" t="s">
        <v>327</v>
      </c>
      <c r="Y56" s="118" t="s">
        <v>327</v>
      </c>
      <c r="Z56" s="118" t="s">
        <v>327</v>
      </c>
    </row>
    <row r="57" spans="4:26" x14ac:dyDescent="0.25">
      <c r="D57" s="77" t="s">
        <v>65</v>
      </c>
      <c r="E57" s="77" t="s">
        <v>121</v>
      </c>
      <c r="F57" s="77" t="s">
        <v>60</v>
      </c>
      <c r="G57" s="102">
        <v>100</v>
      </c>
      <c r="H57" s="102">
        <v>100</v>
      </c>
      <c r="I57" s="107">
        <v>2</v>
      </c>
      <c r="J57" s="92">
        <v>25</v>
      </c>
      <c r="K57" s="92" t="s">
        <v>8</v>
      </c>
      <c r="L57" s="92">
        <v>0</v>
      </c>
      <c r="M57" s="92" t="s">
        <v>8</v>
      </c>
      <c r="N57" s="103">
        <f>COUNTIF(Table7[Spawner],Table1[[#This Row],[Spawner Prefab]])</f>
        <v>0</v>
      </c>
      <c r="O57" s="95">
        <f>ROUND((Table1[[#This Row],[Total in "Village" scene]]/SUM(Table1[Total in "Village" scene]))*100,1)</f>
        <v>0</v>
      </c>
      <c r="P57" s="109">
        <f>COUNTIF(Table15[Spawner],Table1[[#This Row],[Spawner Prefab]])</f>
        <v>1</v>
      </c>
      <c r="Q57" s="99">
        <f>ROUND((Table1[[#This Row],[Total in "Castle" scene]]/SUM(Table1[Total in "Castle" scene]))*100,1)</f>
        <v>0</v>
      </c>
      <c r="R57" s="104">
        <f>COUNTIF(Table20[Spawner],Table1[[#This Row],[Spawner Prefab]])</f>
        <v>0</v>
      </c>
      <c r="S57" s="96">
        <f>ROUND((Table1[[#This Row],[Total in "Dark" scene]]/SUM(Table1[Total in "Dark" scene]))*100,1)</f>
        <v>0</v>
      </c>
      <c r="T57" s="110">
        <f>Table1[[#This Row],[Total in "Village" scene]]+Table1[[#This Row],[Total in "Castle" scene]]+Table1[[#This Row],[Total in "Dark" scene]]</f>
        <v>1</v>
      </c>
      <c r="U57" s="98">
        <f>ROUND((Table1[[#This Row],[Total in the game]]/SUM(Table1[Total in the game]))*100,1)</f>
        <v>0</v>
      </c>
      <c r="V57" s="153" t="s">
        <v>3840</v>
      </c>
      <c r="W57" s="159" t="s">
        <v>2657</v>
      </c>
      <c r="X57" s="146" t="s">
        <v>327</v>
      </c>
      <c r="Y57" s="146" t="s">
        <v>327</v>
      </c>
      <c r="Z57" s="146" t="s">
        <v>327</v>
      </c>
    </row>
    <row r="58" spans="4:26" x14ac:dyDescent="0.25">
      <c r="D58" s="77" t="s">
        <v>2676</v>
      </c>
      <c r="E58" s="77" t="s">
        <v>2637</v>
      </c>
      <c r="F58" s="77" t="s">
        <v>2681</v>
      </c>
      <c r="G58" s="102">
        <v>240</v>
      </c>
      <c r="H58" s="102">
        <v>240</v>
      </c>
      <c r="I58" s="107">
        <v>14</v>
      </c>
      <c r="J58" s="92">
        <v>50</v>
      </c>
      <c r="K58" s="92" t="s">
        <v>8</v>
      </c>
      <c r="L58" s="92">
        <v>0</v>
      </c>
      <c r="M58" s="92" t="s">
        <v>8</v>
      </c>
      <c r="N58" s="103">
        <f>COUNTIF(Table7[Spawner],Table1[[#This Row],[Spawner Prefab]])</f>
        <v>0</v>
      </c>
      <c r="O58" s="95">
        <f>ROUND((Table1[[#This Row],[Total in "Village" scene]]/SUM(Table1[Total in "Village" scene]))*100,1)</f>
        <v>0</v>
      </c>
      <c r="P58" s="109">
        <f>COUNTIF(Table15[Spawner],Table1[[#This Row],[Spawner Prefab]])</f>
        <v>0</v>
      </c>
      <c r="Q58" s="99">
        <f>ROUND((Table1[[#This Row],[Total in "Castle" scene]]/SUM(Table1[Total in "Castle" scene]))*100,1)</f>
        <v>0</v>
      </c>
      <c r="R58" s="104">
        <f>COUNTIF(Table20[Spawner],Table1[[#This Row],[Spawner Prefab]])</f>
        <v>13</v>
      </c>
      <c r="S58" s="96">
        <f>ROUND((Table1[[#This Row],[Total in "Dark" scene]]/SUM(Table1[Total in "Dark" scene]))*100,1)</f>
        <v>1.2</v>
      </c>
      <c r="T58" s="110">
        <f>Table1[[#This Row],[Total in "Village" scene]]+Table1[[#This Row],[Total in "Castle" scene]]+Table1[[#This Row],[Total in "Dark" scene]]</f>
        <v>13</v>
      </c>
      <c r="U58" s="98">
        <f>ROUND((Table1[[#This Row],[Total in the game]]/SUM(Table1[Total in the game]))*100,1)</f>
        <v>0.2</v>
      </c>
      <c r="V58" s="153" t="s">
        <v>3840</v>
      </c>
      <c r="W58" s="157" t="s">
        <v>58</v>
      </c>
      <c r="X58" s="114" t="s">
        <v>327</v>
      </c>
      <c r="Y58" s="118" t="s">
        <v>327</v>
      </c>
      <c r="Z58" s="118" t="s">
        <v>327</v>
      </c>
    </row>
    <row r="59" spans="4:26" x14ac:dyDescent="0.25">
      <c r="D59" s="77" t="s">
        <v>2679</v>
      </c>
      <c r="E59" s="77" t="s">
        <v>2637</v>
      </c>
      <c r="F59" s="77" t="s">
        <v>2682</v>
      </c>
      <c r="G59" s="102">
        <v>240</v>
      </c>
      <c r="H59" s="102">
        <v>240</v>
      </c>
      <c r="I59" s="107">
        <v>14</v>
      </c>
      <c r="J59" s="92">
        <v>50</v>
      </c>
      <c r="K59" s="92" t="s">
        <v>8</v>
      </c>
      <c r="L59" s="92">
        <v>0</v>
      </c>
      <c r="M59" s="92" t="s">
        <v>8</v>
      </c>
      <c r="N59" s="103">
        <f>COUNTIF(Table7[Spawner],Table1[[#This Row],[Spawner Prefab]])</f>
        <v>0</v>
      </c>
      <c r="O59" s="95">
        <f>ROUND((Table1[[#This Row],[Total in "Village" scene]]/SUM(Table1[Total in "Village" scene]))*100,1)</f>
        <v>0</v>
      </c>
      <c r="P59" s="109">
        <f>COUNTIF(Table15[Spawner],Table1[[#This Row],[Spawner Prefab]])</f>
        <v>0</v>
      </c>
      <c r="Q59" s="99">
        <f>ROUND((Table1[[#This Row],[Total in "Castle" scene]]/SUM(Table1[Total in "Castle" scene]))*100,1)</f>
        <v>0</v>
      </c>
      <c r="R59" s="104">
        <f>COUNTIF(Table20[Spawner],Table1[[#This Row],[Spawner Prefab]])</f>
        <v>4</v>
      </c>
      <c r="S59" s="96">
        <f>ROUND((Table1[[#This Row],[Total in "Dark" scene]]/SUM(Table1[Total in "Dark" scene]))*100,1)</f>
        <v>0.4</v>
      </c>
      <c r="T59" s="110">
        <f>Table1[[#This Row],[Total in "Village" scene]]+Table1[[#This Row],[Total in "Castle" scene]]+Table1[[#This Row],[Total in "Dark" scene]]</f>
        <v>4</v>
      </c>
      <c r="U59" s="98">
        <f>ROUND((Table1[[#This Row],[Total in the game]]/SUM(Table1[Total in the game]))*100,1)</f>
        <v>0.1</v>
      </c>
      <c r="V59" s="153" t="s">
        <v>3840</v>
      </c>
      <c r="W59" s="157" t="s">
        <v>59</v>
      </c>
      <c r="X59" s="114" t="s">
        <v>327</v>
      </c>
      <c r="Y59" s="118" t="s">
        <v>327</v>
      </c>
      <c r="Z59" s="118" t="s">
        <v>327</v>
      </c>
    </row>
    <row r="60" spans="4:26" x14ac:dyDescent="0.25">
      <c r="D60" s="77" t="s">
        <v>2674</v>
      </c>
      <c r="E60" s="77" t="s">
        <v>2637</v>
      </c>
      <c r="F60" s="77" t="s">
        <v>2683</v>
      </c>
      <c r="G60" s="102">
        <v>240</v>
      </c>
      <c r="H60" s="102">
        <v>240</v>
      </c>
      <c r="I60" s="107">
        <v>14</v>
      </c>
      <c r="J60" s="92">
        <v>50</v>
      </c>
      <c r="K60" s="92" t="s">
        <v>8</v>
      </c>
      <c r="L60" s="92">
        <v>0</v>
      </c>
      <c r="M60" s="92" t="s">
        <v>8</v>
      </c>
      <c r="N60" s="103">
        <f>COUNTIF(Table7[Spawner],Table1[[#This Row],[Spawner Prefab]])</f>
        <v>0</v>
      </c>
      <c r="O60" s="95">
        <f>ROUND((Table1[[#This Row],[Total in "Village" scene]]/SUM(Table1[Total in "Village" scene]))*100,1)</f>
        <v>0</v>
      </c>
      <c r="P60" s="109">
        <f>COUNTIF(Table15[Spawner],Table1[[#This Row],[Spawner Prefab]])</f>
        <v>0</v>
      </c>
      <c r="Q60" s="99">
        <f>ROUND((Table1[[#This Row],[Total in "Castle" scene]]/SUM(Table1[Total in "Castle" scene]))*100,1)</f>
        <v>0</v>
      </c>
      <c r="R60" s="104">
        <f>COUNTIF(Table20[Spawner],Table1[[#This Row],[Spawner Prefab]])</f>
        <v>14</v>
      </c>
      <c r="S60" s="96">
        <f>ROUND((Table1[[#This Row],[Total in "Dark" scene]]/SUM(Table1[Total in "Dark" scene]))*100,1)</f>
        <v>1.3</v>
      </c>
      <c r="T60" s="110">
        <f>Table1[[#This Row],[Total in "Village" scene]]+Table1[[#This Row],[Total in "Castle" scene]]+Table1[[#This Row],[Total in "Dark" scene]]</f>
        <v>14</v>
      </c>
      <c r="U60" s="98">
        <f>ROUND((Table1[[#This Row],[Total in the game]]/SUM(Table1[Total in the game]))*100,1)</f>
        <v>0.2</v>
      </c>
      <c r="V60" s="153" t="s">
        <v>3840</v>
      </c>
      <c r="W60" s="157" t="s">
        <v>60</v>
      </c>
      <c r="X60" s="114" t="s">
        <v>327</v>
      </c>
      <c r="Y60" s="118" t="s">
        <v>327</v>
      </c>
      <c r="Z60" s="118" t="s">
        <v>327</v>
      </c>
    </row>
    <row r="61" spans="4:26" x14ac:dyDescent="0.25">
      <c r="D61" s="77" t="s">
        <v>403</v>
      </c>
      <c r="E61" s="77" t="s">
        <v>402</v>
      </c>
      <c r="F61" s="77" t="s">
        <v>404</v>
      </c>
      <c r="G61" s="102">
        <v>140</v>
      </c>
      <c r="H61" s="102">
        <v>140</v>
      </c>
      <c r="I61" s="107">
        <v>6</v>
      </c>
      <c r="J61" s="92">
        <v>75</v>
      </c>
      <c r="K61" s="92" t="s">
        <v>8</v>
      </c>
      <c r="L61" s="92">
        <v>0</v>
      </c>
      <c r="M61" s="92" t="s">
        <v>8</v>
      </c>
      <c r="N61" s="103">
        <f>COUNTIF(Table7[Spawner],Table1[[#This Row],[Spawner Prefab]])</f>
        <v>16</v>
      </c>
      <c r="O61" s="95">
        <f>ROUND((Table1[[#This Row],[Total in "Village" scene]]/SUM(Table1[Total in "Village" scene]))*100,1)</f>
        <v>0.6</v>
      </c>
      <c r="P61" s="109">
        <f>COUNTIF(Table15[Spawner],Table1[[#This Row],[Spawner Prefab]])</f>
        <v>14</v>
      </c>
      <c r="Q61" s="99">
        <f>ROUND((Table1[[#This Row],[Total in "Castle" scene]]/SUM(Table1[Total in "Castle" scene]))*100,1)</f>
        <v>0.7</v>
      </c>
      <c r="R61" s="104">
        <f>COUNTIF(Table20[Spawner],Table1[[#This Row],[Spawner Prefab]])</f>
        <v>0</v>
      </c>
      <c r="S61" s="96">
        <f>ROUND((Table1[[#This Row],[Total in "Dark" scene]]/SUM(Table1[Total in "Dark" scene]))*100,1)</f>
        <v>0</v>
      </c>
      <c r="T61" s="110">
        <f>Table1[[#This Row],[Total in "Village" scene]]+Table1[[#This Row],[Total in "Castle" scene]]+Table1[[#This Row],[Total in "Dark" scene]]</f>
        <v>30</v>
      </c>
      <c r="U61" s="98">
        <f>ROUND((Table1[[#This Row],[Total in the game]]/SUM(Table1[Total in the game]))*100,1)</f>
        <v>0.5</v>
      </c>
      <c r="V61" s="153" t="str">
        <f>Table1[[#This Row],[Content Sku]]</f>
        <v>FlyingBunny</v>
      </c>
      <c r="W61" s="159" t="s">
        <v>2681</v>
      </c>
      <c r="X61" s="146" t="s">
        <v>327</v>
      </c>
      <c r="Y61" s="146" t="s">
        <v>327</v>
      </c>
      <c r="Z61" s="146" t="s">
        <v>327</v>
      </c>
    </row>
    <row r="62" spans="4:26" x14ac:dyDescent="0.25">
      <c r="D62" s="77" t="s">
        <v>46</v>
      </c>
      <c r="E62" s="77" t="s">
        <v>106</v>
      </c>
      <c r="F62" s="77" t="s">
        <v>24</v>
      </c>
      <c r="G62" s="102">
        <v>5000</v>
      </c>
      <c r="H62" s="102">
        <v>5000</v>
      </c>
      <c r="I62" s="107">
        <v>70</v>
      </c>
      <c r="J62" s="92">
        <v>75</v>
      </c>
      <c r="K62" s="92" t="s">
        <v>8</v>
      </c>
      <c r="L62" s="92">
        <v>0</v>
      </c>
      <c r="M62" s="92" t="s">
        <v>8</v>
      </c>
      <c r="N62" s="103">
        <f>COUNTIF(Table7[Spawner],Table1[[#This Row],[Spawner Prefab]])</f>
        <v>42</v>
      </c>
      <c r="O62" s="95">
        <f>ROUND((Table1[[#This Row],[Total in "Village" scene]]/SUM(Table1[Total in "Village" scene]))*100,1)</f>
        <v>1.6</v>
      </c>
      <c r="P62" s="109">
        <f>COUNTIF(Table15[Spawner],Table1[[#This Row],[Spawner Prefab]])</f>
        <v>20</v>
      </c>
      <c r="Q62" s="99">
        <f>ROUND((Table1[[#This Row],[Total in "Castle" scene]]/SUM(Table1[Total in "Castle" scene]))*100,1)</f>
        <v>1</v>
      </c>
      <c r="R62" s="104">
        <f>COUNTIF(Table20[Spawner],Table1[[#This Row],[Spawner Prefab]])</f>
        <v>27</v>
      </c>
      <c r="S62" s="96">
        <f>ROUND((Table1[[#This Row],[Total in "Dark" scene]]/SUM(Table1[Total in "Dark" scene]))*100,1)</f>
        <v>2.4</v>
      </c>
      <c r="T62" s="110">
        <f>Table1[[#This Row],[Total in "Village" scene]]+Table1[[#This Row],[Total in "Castle" scene]]+Table1[[#This Row],[Total in "Dark" scene]]</f>
        <v>89</v>
      </c>
      <c r="U62" s="98">
        <f>ROUND((Table1[[#This Row],[Total in the game]]/SUM(Table1[Total in the game]))*100,1)</f>
        <v>1.6</v>
      </c>
      <c r="V62" s="153" t="str">
        <f>Table1[[#This Row],[Content Sku]]</f>
        <v>FlyingPig</v>
      </c>
      <c r="W62" s="159" t="s">
        <v>2682</v>
      </c>
      <c r="X62" s="146" t="s">
        <v>327</v>
      </c>
      <c r="Y62" s="146" t="s">
        <v>327</v>
      </c>
      <c r="Z62" s="146" t="s">
        <v>327</v>
      </c>
    </row>
    <row r="63" spans="4:26" x14ac:dyDescent="0.25">
      <c r="D63" s="77" t="s">
        <v>39</v>
      </c>
      <c r="E63" s="77" t="s">
        <v>107</v>
      </c>
      <c r="F63" s="77" t="s">
        <v>33</v>
      </c>
      <c r="G63" s="102">
        <v>250</v>
      </c>
      <c r="H63" s="102">
        <v>250</v>
      </c>
      <c r="I63" s="107">
        <v>3</v>
      </c>
      <c r="J63" s="92">
        <v>143</v>
      </c>
      <c r="K63" s="92" t="s">
        <v>8</v>
      </c>
      <c r="L63" s="92">
        <v>3</v>
      </c>
      <c r="M63" s="92">
        <v>5</v>
      </c>
      <c r="N63" s="103">
        <f>COUNTIF(Table7[Spawner],Table1[[#This Row],[Spawner Prefab]])</f>
        <v>78</v>
      </c>
      <c r="O63" s="95">
        <f>ROUND((Table1[[#This Row],[Total in "Village" scene]]/SUM(Table1[Total in "Village" scene]))*100,1)</f>
        <v>3.1</v>
      </c>
      <c r="P63" s="109">
        <f>COUNTIF(Table15[Spawner],Table1[[#This Row],[Spawner Prefab]])</f>
        <v>26</v>
      </c>
      <c r="Q63" s="99">
        <f>ROUND((Table1[[#This Row],[Total in "Castle" scene]]/SUM(Table1[Total in "Castle" scene]))*100,1)</f>
        <v>1.3</v>
      </c>
      <c r="R63" s="104">
        <f>COUNTIF(Table20[Spawner],Table1[[#This Row],[Spawner Prefab]])</f>
        <v>18</v>
      </c>
      <c r="S63" s="96">
        <f>ROUND((Table1[[#This Row],[Total in "Dark" scene]]/SUM(Table1[Total in "Dark" scene]))*100,1)</f>
        <v>1.6</v>
      </c>
      <c r="T63" s="110">
        <f>Table1[[#This Row],[Total in "Village" scene]]+Table1[[#This Row],[Total in "Castle" scene]]+Table1[[#This Row],[Total in "Dark" scene]]</f>
        <v>122</v>
      </c>
      <c r="U63" s="98">
        <f>ROUND((Table1[[#This Row],[Total in the game]]/SUM(Table1[Total in the game]))*100,1)</f>
        <v>2.1</v>
      </c>
      <c r="V63" s="153" t="str">
        <f>Table1[[#This Row],[Content Sku]]</f>
        <v>Ghost01</v>
      </c>
      <c r="W63" s="159" t="s">
        <v>2683</v>
      </c>
      <c r="X63" s="146" t="s">
        <v>327</v>
      </c>
      <c r="Y63" s="146" t="s">
        <v>327</v>
      </c>
      <c r="Z63" s="146" t="s">
        <v>327</v>
      </c>
    </row>
    <row r="64" spans="4:26" x14ac:dyDescent="0.25">
      <c r="D64" s="77" t="s">
        <v>256</v>
      </c>
      <c r="E64" s="77" t="s">
        <v>107</v>
      </c>
      <c r="F64" s="77" t="s">
        <v>260</v>
      </c>
      <c r="G64" s="102">
        <v>250</v>
      </c>
      <c r="H64" s="102">
        <v>250</v>
      </c>
      <c r="I64" s="107">
        <v>3</v>
      </c>
      <c r="J64" s="92">
        <v>143</v>
      </c>
      <c r="K64" s="92" t="s">
        <v>8</v>
      </c>
      <c r="L64" s="92">
        <v>3</v>
      </c>
      <c r="M64" s="92">
        <v>7</v>
      </c>
      <c r="N64" s="103">
        <f>COUNTIF(Table7[Spawner],Table1[[#This Row],[Spawner Prefab]])</f>
        <v>26</v>
      </c>
      <c r="O64" s="95">
        <f>ROUND((Table1[[#This Row],[Total in "Village" scene]]/SUM(Table1[Total in "Village" scene]))*100,1)</f>
        <v>1</v>
      </c>
      <c r="P64" s="109">
        <f>COUNTIF(Table15[Spawner],Table1[[#This Row],[Spawner Prefab]])</f>
        <v>0</v>
      </c>
      <c r="Q64" s="99">
        <f>ROUND((Table1[[#This Row],[Total in "Castle" scene]]/SUM(Table1[Total in "Castle" scene]))*100,1)</f>
        <v>0</v>
      </c>
      <c r="R64" s="104">
        <f>COUNTIF(Table20[Spawner],Table1[[#This Row],[Spawner Prefab]])</f>
        <v>10</v>
      </c>
      <c r="S64" s="96">
        <f>ROUND((Table1[[#This Row],[Total in "Dark" scene]]/SUM(Table1[Total in "Dark" scene]))*100,1)</f>
        <v>0.9</v>
      </c>
      <c r="T64" s="110">
        <f>Table1[[#This Row],[Total in "Village" scene]]+Table1[[#This Row],[Total in "Castle" scene]]+Table1[[#This Row],[Total in "Dark" scene]]</f>
        <v>36</v>
      </c>
      <c r="U64" s="98">
        <f>ROUND((Table1[[#This Row],[Total in the game]]/SUM(Table1[Total in the game]))*100,1)</f>
        <v>0.6</v>
      </c>
      <c r="V64" s="153" t="str">
        <f>Table1[[#This Row],[Content Sku]]</f>
        <v>Ghost01</v>
      </c>
      <c r="W64" s="157" t="s">
        <v>404</v>
      </c>
      <c r="X64" s="114" t="s">
        <v>327</v>
      </c>
      <c r="Y64" s="118" t="s">
        <v>327</v>
      </c>
      <c r="Z64" s="118" t="s">
        <v>327</v>
      </c>
    </row>
    <row r="65" spans="4:26" x14ac:dyDescent="0.25">
      <c r="D65" s="77" t="s">
        <v>40</v>
      </c>
      <c r="E65" s="77" t="s">
        <v>108</v>
      </c>
      <c r="F65" s="77" t="s">
        <v>34</v>
      </c>
      <c r="G65" s="102">
        <v>300</v>
      </c>
      <c r="H65" s="102">
        <v>300</v>
      </c>
      <c r="I65" s="107">
        <v>4</v>
      </c>
      <c r="J65" s="92">
        <v>195</v>
      </c>
      <c r="K65" s="92" t="s">
        <v>8</v>
      </c>
      <c r="L65" s="92">
        <v>4</v>
      </c>
      <c r="M65" s="92">
        <v>11</v>
      </c>
      <c r="N65" s="103">
        <f>COUNTIF(Table7[Spawner],Table1[[#This Row],[Spawner Prefab]])</f>
        <v>30</v>
      </c>
      <c r="O65" s="95">
        <f>ROUND((Table1[[#This Row],[Total in "Village" scene]]/SUM(Table1[Total in "Village" scene]))*100,1)</f>
        <v>1.2</v>
      </c>
      <c r="P65" s="109">
        <f>COUNTIF(Table15[Spawner],Table1[[#This Row],[Spawner Prefab]])</f>
        <v>6</v>
      </c>
      <c r="Q65" s="99">
        <f>ROUND((Table1[[#This Row],[Total in "Castle" scene]]/SUM(Table1[Total in "Castle" scene]))*100,1)</f>
        <v>0.3</v>
      </c>
      <c r="R65" s="104">
        <f>COUNTIF(Table20[Spawner],Table1[[#This Row],[Spawner Prefab]])</f>
        <v>18</v>
      </c>
      <c r="S65" s="96">
        <f>ROUND((Table1[[#This Row],[Total in "Dark" scene]]/SUM(Table1[Total in "Dark" scene]))*100,1)</f>
        <v>1.6</v>
      </c>
      <c r="T65" s="110">
        <f>Table1[[#This Row],[Total in "Village" scene]]+Table1[[#This Row],[Total in "Castle" scene]]+Table1[[#This Row],[Total in "Dark" scene]]</f>
        <v>54</v>
      </c>
      <c r="U65" s="98">
        <f>ROUND((Table1[[#This Row],[Total in the game]]/SUM(Table1[Total in the game]))*100,1)</f>
        <v>0.9</v>
      </c>
      <c r="V65" s="153" t="str">
        <f>Table1[[#This Row],[Content Sku]]</f>
        <v>Ghost02</v>
      </c>
      <c r="W65" s="157" t="s">
        <v>24</v>
      </c>
      <c r="X65" s="114" t="s">
        <v>327</v>
      </c>
      <c r="Y65" s="118" t="s">
        <v>327</v>
      </c>
      <c r="Z65" s="118" t="s">
        <v>327</v>
      </c>
    </row>
    <row r="66" spans="4:26" x14ac:dyDescent="0.25">
      <c r="D66" s="77" t="s">
        <v>257</v>
      </c>
      <c r="E66" s="77" t="s">
        <v>108</v>
      </c>
      <c r="F66" s="77" t="s">
        <v>261</v>
      </c>
      <c r="G66" s="102">
        <v>300</v>
      </c>
      <c r="H66" s="102">
        <v>300</v>
      </c>
      <c r="I66" s="107">
        <v>4</v>
      </c>
      <c r="J66" s="92">
        <v>195</v>
      </c>
      <c r="K66" s="92" t="s">
        <v>8</v>
      </c>
      <c r="L66" s="92">
        <v>4</v>
      </c>
      <c r="M66" s="92">
        <v>11</v>
      </c>
      <c r="N66" s="103">
        <f>COUNTIF(Table7[Spawner],Table1[[#This Row],[Spawner Prefab]])</f>
        <v>35</v>
      </c>
      <c r="O66" s="95">
        <f>ROUND((Table1[[#This Row],[Total in "Village" scene]]/SUM(Table1[Total in "Village" scene]))*100,1)</f>
        <v>1.4</v>
      </c>
      <c r="P66" s="109">
        <f>COUNTIF(Table15[Spawner],Table1[[#This Row],[Spawner Prefab]])</f>
        <v>0</v>
      </c>
      <c r="Q66" s="99">
        <f>ROUND((Table1[[#This Row],[Total in "Castle" scene]]/SUM(Table1[Total in "Castle" scene]))*100,1)</f>
        <v>0</v>
      </c>
      <c r="R66" s="104">
        <f>COUNTIF(Table20[Spawner],Table1[[#This Row],[Spawner Prefab]])</f>
        <v>9</v>
      </c>
      <c r="S66" s="96">
        <f>ROUND((Table1[[#This Row],[Total in "Dark" scene]]/SUM(Table1[Total in "Dark" scene]))*100,1)</f>
        <v>0.8</v>
      </c>
      <c r="T66" s="110">
        <f>Table1[[#This Row],[Total in "Village" scene]]+Table1[[#This Row],[Total in "Castle" scene]]+Table1[[#This Row],[Total in "Dark" scene]]</f>
        <v>44</v>
      </c>
      <c r="U66" s="98">
        <f>ROUND((Table1[[#This Row],[Total in the game]]/SUM(Table1[Total in the game]))*100,1)</f>
        <v>0.8</v>
      </c>
      <c r="V66" s="153" t="str">
        <f>Table1[[#This Row],[Content Sku]]</f>
        <v>Ghost02</v>
      </c>
      <c r="W66" s="157" t="s">
        <v>532</v>
      </c>
      <c r="X66" s="114" t="s">
        <v>327</v>
      </c>
      <c r="Y66" s="118" t="s">
        <v>327</v>
      </c>
      <c r="Z66" s="118" t="s">
        <v>327</v>
      </c>
    </row>
    <row r="67" spans="4:26" x14ac:dyDescent="0.25">
      <c r="D67" s="77" t="s">
        <v>41</v>
      </c>
      <c r="E67" s="77" t="s">
        <v>109</v>
      </c>
      <c r="F67" s="77" t="s">
        <v>35</v>
      </c>
      <c r="G67" s="102">
        <v>340</v>
      </c>
      <c r="H67" s="102">
        <v>340</v>
      </c>
      <c r="I67" s="107">
        <v>5</v>
      </c>
      <c r="J67" s="92">
        <v>263</v>
      </c>
      <c r="K67" s="92" t="s">
        <v>8</v>
      </c>
      <c r="L67" s="92">
        <v>5</v>
      </c>
      <c r="M67" s="92">
        <v>21</v>
      </c>
      <c r="N67" s="103">
        <f>COUNTIF(Table7[Spawner],Table1[[#This Row],[Spawner Prefab]])</f>
        <v>13</v>
      </c>
      <c r="O67" s="95">
        <f>ROUND((Table1[[#This Row],[Total in "Village" scene]]/SUM(Table1[Total in "Village" scene]))*100,1)</f>
        <v>0.5</v>
      </c>
      <c r="P67" s="109">
        <f>COUNTIF(Table15[Spawner],Table1[[#This Row],[Spawner Prefab]])</f>
        <v>5</v>
      </c>
      <c r="Q67" s="99">
        <f>ROUND((Table1[[#This Row],[Total in "Castle" scene]]/SUM(Table1[Total in "Castle" scene]))*100,1)</f>
        <v>0.2</v>
      </c>
      <c r="R67" s="104">
        <f>COUNTIF(Table20[Spawner],Table1[[#This Row],[Spawner Prefab]])</f>
        <v>17</v>
      </c>
      <c r="S67" s="96">
        <f>ROUND((Table1[[#This Row],[Total in "Dark" scene]]/SUM(Table1[Total in "Dark" scene]))*100,1)</f>
        <v>1.5</v>
      </c>
      <c r="T67" s="110">
        <f>Table1[[#This Row],[Total in "Village" scene]]+Table1[[#This Row],[Total in "Castle" scene]]+Table1[[#This Row],[Total in "Dark" scene]]</f>
        <v>35</v>
      </c>
      <c r="U67" s="98">
        <f>ROUND((Table1[[#This Row],[Total in the game]]/SUM(Table1[Total in the game]))*100,1)</f>
        <v>0.6</v>
      </c>
      <c r="V67" s="153" t="str">
        <f>Table1[[#This Row],[Content Sku]]</f>
        <v>Ghost03</v>
      </c>
      <c r="W67" s="157" t="s">
        <v>33</v>
      </c>
      <c r="X67" s="114" t="s">
        <v>328</v>
      </c>
      <c r="Y67" s="118" t="s">
        <v>328</v>
      </c>
      <c r="Z67" s="118" t="s">
        <v>328</v>
      </c>
    </row>
    <row r="68" spans="4:26" x14ac:dyDescent="0.25">
      <c r="D68" s="77" t="s">
        <v>258</v>
      </c>
      <c r="E68" s="77" t="s">
        <v>109</v>
      </c>
      <c r="F68" s="77" t="s">
        <v>262</v>
      </c>
      <c r="G68" s="102">
        <v>340</v>
      </c>
      <c r="H68" s="102">
        <v>340</v>
      </c>
      <c r="I68" s="107">
        <v>5</v>
      </c>
      <c r="J68" s="92">
        <v>263</v>
      </c>
      <c r="K68" s="92" t="s">
        <v>8</v>
      </c>
      <c r="L68" s="92">
        <v>5</v>
      </c>
      <c r="M68" s="92">
        <v>21</v>
      </c>
      <c r="N68" s="103">
        <f>COUNTIF(Table7[Spawner],Table1[[#This Row],[Spawner Prefab]])</f>
        <v>24</v>
      </c>
      <c r="O68" s="95">
        <f>ROUND((Table1[[#This Row],[Total in "Village" scene]]/SUM(Table1[Total in "Village" scene]))*100,1)</f>
        <v>0.9</v>
      </c>
      <c r="P68" s="109">
        <f>COUNTIF(Table15[Spawner],Table1[[#This Row],[Spawner Prefab]])</f>
        <v>8</v>
      </c>
      <c r="Q68" s="99">
        <f>ROUND((Table1[[#This Row],[Total in "Castle" scene]]/SUM(Table1[Total in "Castle" scene]))*100,1)</f>
        <v>0.4</v>
      </c>
      <c r="R68" s="104">
        <f>COUNTIF(Table20[Spawner],Table1[[#This Row],[Spawner Prefab]])</f>
        <v>21</v>
      </c>
      <c r="S68" s="96">
        <f>ROUND((Table1[[#This Row],[Total in "Dark" scene]]/SUM(Table1[Total in "Dark" scene]))*100,1)</f>
        <v>1.9</v>
      </c>
      <c r="T68" s="110">
        <f>Table1[[#This Row],[Total in "Village" scene]]+Table1[[#This Row],[Total in "Castle" scene]]+Table1[[#This Row],[Total in "Dark" scene]]</f>
        <v>53</v>
      </c>
      <c r="U68" s="98">
        <f>ROUND((Table1[[#This Row],[Total in the game]]/SUM(Table1[Total in the game]))*100,1)</f>
        <v>0.9</v>
      </c>
      <c r="V68" s="153" t="str">
        <f>Table1[[#This Row],[Content Sku]]</f>
        <v>Ghost03</v>
      </c>
      <c r="W68" s="157" t="s">
        <v>260</v>
      </c>
      <c r="X68" s="114" t="s">
        <v>328</v>
      </c>
      <c r="Y68" s="118" t="s">
        <v>328</v>
      </c>
      <c r="Z68" s="118" t="s">
        <v>328</v>
      </c>
    </row>
    <row r="69" spans="4:26" x14ac:dyDescent="0.25">
      <c r="D69" s="77" t="s">
        <v>264</v>
      </c>
      <c r="E69" s="77" t="s">
        <v>354</v>
      </c>
      <c r="F69" s="77" t="s">
        <v>272</v>
      </c>
      <c r="G69" s="102">
        <v>210</v>
      </c>
      <c r="H69" s="102">
        <v>210</v>
      </c>
      <c r="I69" s="107"/>
      <c r="J69" s="92" t="s">
        <v>8</v>
      </c>
      <c r="K69" s="92"/>
      <c r="L69" s="92"/>
      <c r="M69" s="92"/>
      <c r="N69" s="103">
        <f>COUNTIF(Table7[Spawner],Table1[[#This Row],[Spawner Prefab]])</f>
        <v>0</v>
      </c>
      <c r="O69" s="95">
        <f>ROUND((Table1[[#This Row],[Total in "Village" scene]]/SUM(Table1[Total in "Village" scene]))*100,1)</f>
        <v>0</v>
      </c>
      <c r="P69" s="109">
        <f>COUNTIF(Table15[Spawner],Table1[[#This Row],[Spawner Prefab]])</f>
        <v>0</v>
      </c>
      <c r="Q69" s="99">
        <f>ROUND((Table1[[#This Row],[Total in "Castle" scene]]/SUM(Table1[Total in "Castle" scene]))*100,1)</f>
        <v>0</v>
      </c>
      <c r="R69" s="104">
        <f>COUNTIF(Table20[Spawner],Table1[[#This Row],[Spawner Prefab]])</f>
        <v>0</v>
      </c>
      <c r="S69" s="96">
        <f>ROUND((Table1[[#This Row],[Total in "Dark" scene]]/SUM(Table1[Total in "Dark" scene]))*100,1)</f>
        <v>0</v>
      </c>
      <c r="T69" s="110">
        <f>Table1[[#This Row],[Total in "Village" scene]]+Table1[[#This Row],[Total in "Castle" scene]]+Table1[[#This Row],[Total in "Dark" scene]]</f>
        <v>0</v>
      </c>
      <c r="U69" s="98">
        <f>ROUND((Table1[[#This Row],[Total in the game]]/SUM(Table1[Total in the game]))*100,1)</f>
        <v>0</v>
      </c>
      <c r="V69" s="153" t="str">
        <f>Table1[[#This Row],[Content Sku]]</f>
        <v>GoblinBoat</v>
      </c>
      <c r="W69" s="157" t="s">
        <v>34</v>
      </c>
      <c r="X69" s="114" t="s">
        <v>328</v>
      </c>
      <c r="Y69" s="118" t="s">
        <v>328</v>
      </c>
      <c r="Z69" s="118" t="s">
        <v>328</v>
      </c>
    </row>
    <row r="70" spans="4:26" x14ac:dyDescent="0.25">
      <c r="D70" s="77" t="s">
        <v>550</v>
      </c>
      <c r="E70" s="77" t="s">
        <v>354</v>
      </c>
      <c r="F70" s="77" t="s">
        <v>551</v>
      </c>
      <c r="G70" s="102">
        <v>210</v>
      </c>
      <c r="H70" s="102">
        <v>210</v>
      </c>
      <c r="I70" s="107"/>
      <c r="J70" s="92" t="s">
        <v>8</v>
      </c>
      <c r="K70" s="92"/>
      <c r="L70" s="92"/>
      <c r="M70" s="92"/>
      <c r="N70" s="103">
        <f>COUNTIF(Table7[Spawner],Table1[[#This Row],[Spawner Prefab]])</f>
        <v>0</v>
      </c>
      <c r="O70" s="95">
        <f>ROUND((Table1[[#This Row],[Total in "Village" scene]]/SUM(Table1[Total in "Village" scene]))*100,1)</f>
        <v>0</v>
      </c>
      <c r="P70" s="109">
        <f>COUNTIF(Table15[Spawner],Table1[[#This Row],[Spawner Prefab]])</f>
        <v>0</v>
      </c>
      <c r="Q70" s="99">
        <f>ROUND((Table1[[#This Row],[Total in "Castle" scene]]/SUM(Table1[Total in "Castle" scene]))*100,1)</f>
        <v>0</v>
      </c>
      <c r="R70" s="104">
        <f>COUNTIF(Table20[Spawner],Table1[[#This Row],[Spawner Prefab]])</f>
        <v>0</v>
      </c>
      <c r="S70" s="96">
        <f>ROUND((Table1[[#This Row],[Total in "Dark" scene]]/SUM(Table1[Total in "Dark" scene]))*100,1)</f>
        <v>0</v>
      </c>
      <c r="T70" s="110">
        <f>Table1[[#This Row],[Total in "Village" scene]]+Table1[[#This Row],[Total in "Castle" scene]]+Table1[[#This Row],[Total in "Dark" scene]]</f>
        <v>0</v>
      </c>
      <c r="U70" s="98">
        <f>ROUND((Table1[[#This Row],[Total in the game]]/SUM(Table1[Total in the game]))*100,1)</f>
        <v>0</v>
      </c>
      <c r="V70" s="153" t="str">
        <f>Table1[[#This Row],[Content Sku]]</f>
        <v>GoblinBoat</v>
      </c>
      <c r="W70" s="157" t="s">
        <v>261</v>
      </c>
      <c r="X70" s="114" t="s">
        <v>328</v>
      </c>
      <c r="Y70" s="118" t="s">
        <v>328</v>
      </c>
      <c r="Z70" s="118" t="s">
        <v>328</v>
      </c>
    </row>
    <row r="71" spans="4:26" x14ac:dyDescent="0.25">
      <c r="D71" s="77" t="s">
        <v>2717</v>
      </c>
      <c r="E71" s="77" t="s">
        <v>2718</v>
      </c>
      <c r="F71" s="77" t="s">
        <v>2719</v>
      </c>
      <c r="G71" s="102">
        <v>180</v>
      </c>
      <c r="H71" s="102">
        <v>180</v>
      </c>
      <c r="I71" s="107">
        <v>100</v>
      </c>
      <c r="J71" s="92">
        <v>105</v>
      </c>
      <c r="K71" s="92" t="s">
        <v>8</v>
      </c>
      <c r="L71" s="92">
        <v>3</v>
      </c>
      <c r="M71" s="92">
        <v>25</v>
      </c>
      <c r="N71" s="103">
        <f>COUNTIF(Table7[Spawner],Table1[[#This Row],[Spawner Prefab]])</f>
        <v>0</v>
      </c>
      <c r="O71" s="95">
        <f>ROUND((Table1[[#This Row],[Total in "Village" scene]]/SUM(Table1[Total in "Village" scene]))*100,1)</f>
        <v>0</v>
      </c>
      <c r="P71" s="109">
        <f>COUNTIF(Table15[Spawner],Table1[[#This Row],[Spawner Prefab]])</f>
        <v>34</v>
      </c>
      <c r="Q71" s="99">
        <f>ROUND((Table1[[#This Row],[Total in "Castle" scene]]/SUM(Table1[Total in "Castle" scene]))*100,1)</f>
        <v>1.6</v>
      </c>
      <c r="R71" s="104">
        <f>COUNTIF(Table20[Spawner],Table1[[#This Row],[Spawner Prefab]])</f>
        <v>0</v>
      </c>
      <c r="S71" s="96">
        <f>ROUND((Table1[[#This Row],[Total in "Dark" scene]]/SUM(Table1[Total in "Dark" scene]))*100,1)</f>
        <v>0</v>
      </c>
      <c r="T71" s="110">
        <f>Table1[[#This Row],[Total in "Village" scene]]+Table1[[#This Row],[Total in "Castle" scene]]+Table1[[#This Row],[Total in "Dark" scene]]</f>
        <v>34</v>
      </c>
      <c r="U71" s="98">
        <f>ROUND((Table1[[#This Row],[Total in the game]]/SUM(Table1[Total in the game]))*100,1)</f>
        <v>0.6</v>
      </c>
      <c r="V71" s="153" t="str">
        <f>Table1[[#This Row],[Content Sku]]</f>
        <v>GoblinDrone</v>
      </c>
      <c r="W71" s="157" t="s">
        <v>35</v>
      </c>
      <c r="X71" s="114" t="s">
        <v>328</v>
      </c>
      <c r="Y71" s="118" t="s">
        <v>328</v>
      </c>
      <c r="Z71" s="118" t="s">
        <v>328</v>
      </c>
    </row>
    <row r="72" spans="4:26" x14ac:dyDescent="0.25">
      <c r="D72" s="77" t="s">
        <v>2720</v>
      </c>
      <c r="E72" s="77" t="s">
        <v>2721</v>
      </c>
      <c r="F72" s="77" t="s">
        <v>2722</v>
      </c>
      <c r="G72" s="102">
        <v>120</v>
      </c>
      <c r="H72" s="102">
        <v>120</v>
      </c>
      <c r="I72" s="107">
        <v>35</v>
      </c>
      <c r="J72" s="92">
        <v>45</v>
      </c>
      <c r="K72" s="92" t="s">
        <v>8</v>
      </c>
      <c r="L72" s="92">
        <v>2</v>
      </c>
      <c r="M72" s="92" t="s">
        <v>8</v>
      </c>
      <c r="N72" s="103">
        <f>COUNTIF(Table7[Spawner],Table1[[#This Row],[Spawner Prefab]])</f>
        <v>0</v>
      </c>
      <c r="O72" s="95">
        <f>ROUND((Table1[[#This Row],[Total in "Village" scene]]/SUM(Table1[Total in "Village" scene]))*100,1)</f>
        <v>0</v>
      </c>
      <c r="P72" s="109">
        <f>COUNTIF(Table15[Spawner],Table1[[#This Row],[Spawner Prefab]])</f>
        <v>74</v>
      </c>
      <c r="Q72" s="99">
        <f>ROUND((Table1[[#This Row],[Total in "Castle" scene]]/SUM(Table1[Total in "Castle" scene]))*100,1)</f>
        <v>3.6</v>
      </c>
      <c r="R72" s="104">
        <f>COUNTIF(Table20[Spawner],Table1[[#This Row],[Spawner Prefab]])</f>
        <v>0</v>
      </c>
      <c r="S72" s="96">
        <f>ROUND((Table1[[#This Row],[Total in "Dark" scene]]/SUM(Table1[Total in "Dark" scene]))*100,1)</f>
        <v>0</v>
      </c>
      <c r="T72" s="110">
        <f>Table1[[#This Row],[Total in "Village" scene]]+Table1[[#This Row],[Total in "Castle" scene]]+Table1[[#This Row],[Total in "Dark" scene]]</f>
        <v>74</v>
      </c>
      <c r="U72" s="98">
        <f>ROUND((Table1[[#This Row],[Total in the game]]/SUM(Table1[Total in the game]))*100,1)</f>
        <v>1.3</v>
      </c>
      <c r="V72" s="153" t="str">
        <f>Table1[[#This Row],[Content Sku]]</f>
        <v>GoblinDroneFood</v>
      </c>
      <c r="W72" s="157" t="s">
        <v>262</v>
      </c>
      <c r="X72" s="114" t="s">
        <v>328</v>
      </c>
      <c r="Y72" s="118" t="s">
        <v>328</v>
      </c>
      <c r="Z72" s="118" t="s">
        <v>328</v>
      </c>
    </row>
    <row r="73" spans="4:26" x14ac:dyDescent="0.25">
      <c r="D73" s="77" t="s">
        <v>475</v>
      </c>
      <c r="E73" s="77" t="s">
        <v>477</v>
      </c>
      <c r="F73" s="77" t="s">
        <v>478</v>
      </c>
      <c r="G73" s="102">
        <v>300</v>
      </c>
      <c r="H73" s="102">
        <v>300</v>
      </c>
      <c r="I73" s="107">
        <v>200</v>
      </c>
      <c r="J73" s="92">
        <v>83</v>
      </c>
      <c r="K73" s="92" t="s">
        <v>8</v>
      </c>
      <c r="L73" s="92">
        <v>1</v>
      </c>
      <c r="M73" s="92">
        <v>25</v>
      </c>
      <c r="N73" s="103">
        <f>COUNTIF(Table7[Spawner],Table1[[#This Row],[Spawner Prefab]])</f>
        <v>1</v>
      </c>
      <c r="O73" s="95">
        <f>ROUND((Table1[[#This Row],[Total in "Village" scene]]/SUM(Table1[Total in "Village" scene]))*100,1)</f>
        <v>0</v>
      </c>
      <c r="P73" s="109">
        <f>COUNTIF(Table15[Spawner],Table1[[#This Row],[Spawner Prefab]])</f>
        <v>3</v>
      </c>
      <c r="Q73" s="99">
        <f>ROUND((Table1[[#This Row],[Total in "Castle" scene]]/SUM(Table1[Total in "Castle" scene]))*100,1)</f>
        <v>0.1</v>
      </c>
      <c r="R73" s="104">
        <f>COUNTIF(Table20[Spawner],Table1[[#This Row],[Spawner Prefab]])</f>
        <v>0</v>
      </c>
      <c r="S73" s="96">
        <f>ROUND((Table1[[#This Row],[Total in "Dark" scene]]/SUM(Table1[Total in "Dark" scene]))*100,1)</f>
        <v>0</v>
      </c>
      <c r="T73" s="110">
        <f>Table1[[#This Row],[Total in "Village" scene]]+Table1[[#This Row],[Total in "Castle" scene]]+Table1[[#This Row],[Total in "Dark" scene]]</f>
        <v>4</v>
      </c>
      <c r="U73" s="98">
        <f>ROUND((Table1[[#This Row],[Total in the game]]/SUM(Table1[Total in the game]))*100,1)</f>
        <v>0.1</v>
      </c>
      <c r="V73" s="153" t="str">
        <f>Table1[[#This Row],[Content Sku]]</f>
        <v>GoblinWarMachine</v>
      </c>
      <c r="W73" s="157" t="s">
        <v>272</v>
      </c>
      <c r="X73" s="114" t="s">
        <v>327</v>
      </c>
      <c r="Y73" s="118" t="s">
        <v>327</v>
      </c>
      <c r="Z73" s="118" t="s">
        <v>327</v>
      </c>
    </row>
    <row r="74" spans="4:26" x14ac:dyDescent="0.25">
      <c r="D74" s="77" t="s">
        <v>2766</v>
      </c>
      <c r="E74" s="77" t="s">
        <v>477</v>
      </c>
      <c r="F74" s="77" t="s">
        <v>2765</v>
      </c>
      <c r="G74" s="102">
        <v>300</v>
      </c>
      <c r="H74" s="102">
        <v>300</v>
      </c>
      <c r="I74" s="107">
        <v>200</v>
      </c>
      <c r="J74" s="92">
        <v>83</v>
      </c>
      <c r="K74" s="92" t="s">
        <v>8</v>
      </c>
      <c r="L74" s="92">
        <v>1</v>
      </c>
      <c r="M74" s="92">
        <v>25</v>
      </c>
      <c r="N74" s="103">
        <f>COUNTIF(Table7[Spawner],Table1[[#This Row],[Spawner Prefab]])</f>
        <v>13</v>
      </c>
      <c r="O74" s="95">
        <f>ROUND((Table1[[#This Row],[Total in "Village" scene]]/SUM(Table1[Total in "Village" scene]))*100,1)</f>
        <v>0.5</v>
      </c>
      <c r="P74" s="109">
        <f>COUNTIF(Table15[Spawner],Table1[[#This Row],[Spawner Prefab]])</f>
        <v>6</v>
      </c>
      <c r="Q74" s="99">
        <f>ROUND((Table1[[#This Row],[Total in "Castle" scene]]/SUM(Table1[Total in "Castle" scene]))*100,1)</f>
        <v>0.3</v>
      </c>
      <c r="R74" s="104">
        <f>COUNTIF(Table20[Spawner],Table1[[#This Row],[Spawner Prefab]])</f>
        <v>2</v>
      </c>
      <c r="S74" s="96">
        <f>ROUND((Table1[[#This Row],[Total in "Dark" scene]]/SUM(Table1[Total in "Dark" scene]))*100,1)</f>
        <v>0.2</v>
      </c>
      <c r="T74" s="110">
        <f>Table1[[#This Row],[Total in "Village" scene]]+Table1[[#This Row],[Total in "Castle" scene]]+Table1[[#This Row],[Total in "Dark" scene]]</f>
        <v>21</v>
      </c>
      <c r="U74" s="98">
        <f>ROUND((Table1[[#This Row],[Total in the game]]/SUM(Table1[Total in the game]))*100,1)</f>
        <v>0.4</v>
      </c>
      <c r="V74" s="153" t="str">
        <f>Table1[[#This Row],[Content Sku]]</f>
        <v>GoblinWarMachine</v>
      </c>
      <c r="W74" s="157" t="s">
        <v>551</v>
      </c>
      <c r="X74" s="114" t="s">
        <v>327</v>
      </c>
      <c r="Y74" s="118" t="s">
        <v>327</v>
      </c>
      <c r="Z74" s="118" t="s">
        <v>327</v>
      </c>
    </row>
    <row r="75" spans="4:26" x14ac:dyDescent="0.25">
      <c r="D75" s="77" t="s">
        <v>2723</v>
      </c>
      <c r="E75" s="77" t="s">
        <v>2724</v>
      </c>
      <c r="F75" s="77" t="s">
        <v>2725</v>
      </c>
      <c r="G75" s="102">
        <v>500</v>
      </c>
      <c r="H75" s="102">
        <v>500</v>
      </c>
      <c r="I75" s="107">
        <v>0</v>
      </c>
      <c r="J75" s="92">
        <v>10</v>
      </c>
      <c r="K75" s="92" t="s">
        <v>8</v>
      </c>
      <c r="L75" s="92">
        <v>0</v>
      </c>
      <c r="M75" s="92" t="s">
        <v>8</v>
      </c>
      <c r="N75" s="103">
        <f>COUNTIF(Table7[Spawner],Table1[[#This Row],[Spawner Prefab]])</f>
        <v>10</v>
      </c>
      <c r="O75" s="95">
        <f>ROUND((Table1[[#This Row],[Total in "Village" scene]]/SUM(Table1[Total in "Village" scene]))*100,1)</f>
        <v>0.4</v>
      </c>
      <c r="P75" s="109">
        <f>COUNTIF(Table15[Spawner],Table1[[#This Row],[Spawner Prefab]])</f>
        <v>4</v>
      </c>
      <c r="Q75" s="99">
        <f>ROUND((Table1[[#This Row],[Total in "Castle" scene]]/SUM(Table1[Total in "Castle" scene]))*100,1)</f>
        <v>0.2</v>
      </c>
      <c r="R75" s="104">
        <f>COUNTIF(Table20[Spawner],Table1[[#This Row],[Spawner Prefab]])</f>
        <v>2</v>
      </c>
      <c r="S75" s="96">
        <f>ROUND((Table1[[#This Row],[Total in "Dark" scene]]/SUM(Table1[Total in "Dark" scene]))*100,1)</f>
        <v>0.2</v>
      </c>
      <c r="T75" s="110">
        <f>Table1[[#This Row],[Total in "Village" scene]]+Table1[[#This Row],[Total in "Castle" scene]]+Table1[[#This Row],[Total in "Dark" scene]]</f>
        <v>16</v>
      </c>
      <c r="U75" s="98">
        <f>ROUND((Table1[[#This Row],[Total in the game]]/SUM(Table1[Total in the game]))*100,1)</f>
        <v>0.3</v>
      </c>
      <c r="V75" s="153" t="str">
        <f>Table1[[#This Row],[Content Sku]]</f>
        <v>Boost</v>
      </c>
      <c r="W75" s="160" t="s">
        <v>2719</v>
      </c>
      <c r="X75" s="114" t="s">
        <v>328</v>
      </c>
      <c r="Y75" s="118" t="s">
        <v>328</v>
      </c>
      <c r="Z75" s="118" t="s">
        <v>328</v>
      </c>
    </row>
    <row r="76" spans="4:26" x14ac:dyDescent="0.25">
      <c r="D76" s="77" t="s">
        <v>122</v>
      </c>
      <c r="E76" s="77" t="s">
        <v>79</v>
      </c>
      <c r="F76" s="77" t="s">
        <v>18</v>
      </c>
      <c r="G76" s="102">
        <v>500</v>
      </c>
      <c r="H76" s="102">
        <v>500</v>
      </c>
      <c r="I76" s="107">
        <v>0</v>
      </c>
      <c r="J76" s="92">
        <v>25</v>
      </c>
      <c r="K76" s="92" t="s">
        <v>8</v>
      </c>
      <c r="L76" s="92">
        <v>0</v>
      </c>
      <c r="M76" s="92" t="s">
        <v>8</v>
      </c>
      <c r="N76" s="103">
        <f>COUNTIF(Table7[Spawner],Table1[[#This Row],[Spawner Prefab]])</f>
        <v>26</v>
      </c>
      <c r="O76" s="95">
        <f>ROUND((Table1[[#This Row],[Total in "Village" scene]]/SUM(Table1[Total in "Village" scene]))*100,1)</f>
        <v>1</v>
      </c>
      <c r="P76" s="109">
        <f>COUNTIF(Table15[Spawner],Table1[[#This Row],[Spawner Prefab]])</f>
        <v>58</v>
      </c>
      <c r="Q76" s="99">
        <f>ROUND((Table1[[#This Row],[Total in "Castle" scene]]/SUM(Table1[Total in "Castle" scene]))*100,1)</f>
        <v>2.8</v>
      </c>
      <c r="R76" s="104">
        <f>COUNTIF(Table20[Spawner],Table1[[#This Row],[Spawner Prefab]])</f>
        <v>24</v>
      </c>
      <c r="S76" s="96">
        <f>ROUND((Table1[[#This Row],[Total in "Dark" scene]]/SUM(Table1[Total in "Dark" scene]))*100,1)</f>
        <v>2.2000000000000002</v>
      </c>
      <c r="T76" s="110">
        <f>Table1[[#This Row],[Total in "Village" scene]]+Table1[[#This Row],[Total in "Castle" scene]]+Table1[[#This Row],[Total in "Dark" scene]]</f>
        <v>108</v>
      </c>
      <c r="U76" s="98">
        <f>ROUND((Table1[[#This Row],[Total in the game]]/SUM(Table1[Total in the game]))*100,1)</f>
        <v>1.9</v>
      </c>
      <c r="V76" s="153" t="str">
        <f>Table1[[#This Row],[Content Sku]]</f>
        <v>GoodJunkBottle</v>
      </c>
      <c r="W76" s="160" t="s">
        <v>2722</v>
      </c>
      <c r="X76" s="114" t="s">
        <v>327</v>
      </c>
      <c r="Y76" s="118" t="s">
        <v>327</v>
      </c>
      <c r="Z76" s="118" t="s">
        <v>327</v>
      </c>
    </row>
    <row r="77" spans="4:26" x14ac:dyDescent="0.25">
      <c r="D77" s="77" t="s">
        <v>2726</v>
      </c>
      <c r="E77" s="77" t="s">
        <v>2727</v>
      </c>
      <c r="F77" s="77" t="s">
        <v>2728</v>
      </c>
      <c r="G77" s="102">
        <v>180</v>
      </c>
      <c r="H77" s="102">
        <v>180</v>
      </c>
      <c r="I77" s="107">
        <v>0</v>
      </c>
      <c r="J77" s="92">
        <v>10</v>
      </c>
      <c r="K77" s="92" t="s">
        <v>8</v>
      </c>
      <c r="L77" s="92">
        <v>0</v>
      </c>
      <c r="M77" s="92" t="s">
        <v>8</v>
      </c>
      <c r="N77" s="103">
        <f>COUNTIF(Table7[Spawner],Table1[[#This Row],[Spawner Prefab]])</f>
        <v>12</v>
      </c>
      <c r="O77" s="95">
        <f>ROUND((Table1[[#This Row],[Total in "Village" scene]]/SUM(Table1[Total in "Village" scene]))*100,1)</f>
        <v>0.5</v>
      </c>
      <c r="P77" s="109">
        <f>COUNTIF(Table15[Spawner],Table1[[#This Row],[Spawner Prefab]])</f>
        <v>6</v>
      </c>
      <c r="Q77" s="99">
        <f>ROUND((Table1[[#This Row],[Total in "Castle" scene]]/SUM(Table1[Total in "Castle" scene]))*100,1)</f>
        <v>0.3</v>
      </c>
      <c r="R77" s="104">
        <f>COUNTIF(Table20[Spawner],Table1[[#This Row],[Spawner Prefab]])</f>
        <v>5</v>
      </c>
      <c r="S77" s="96">
        <f>ROUND((Table1[[#This Row],[Total in "Dark" scene]]/SUM(Table1[Total in "Dark" scene]))*100,1)</f>
        <v>0.5</v>
      </c>
      <c r="T77" s="110">
        <f>Table1[[#This Row],[Total in "Village" scene]]+Table1[[#This Row],[Total in "Castle" scene]]+Table1[[#This Row],[Total in "Dark" scene]]</f>
        <v>23</v>
      </c>
      <c r="U77" s="98">
        <f>ROUND((Table1[[#This Row],[Total in the game]]/SUM(Table1[Total in the game]))*100,1)</f>
        <v>0.4</v>
      </c>
      <c r="V77" s="153" t="str">
        <f>Table1[[#This Row],[Content Sku]]</f>
        <v>GoodJunkRandomCoins</v>
      </c>
      <c r="W77" s="157" t="s">
        <v>478</v>
      </c>
      <c r="X77" s="114" t="s">
        <v>328</v>
      </c>
      <c r="Y77" s="118" t="s">
        <v>328</v>
      </c>
      <c r="Z77" s="118" t="s">
        <v>328</v>
      </c>
    </row>
    <row r="78" spans="4:26" x14ac:dyDescent="0.25">
      <c r="D78" s="77" t="s">
        <v>2729</v>
      </c>
      <c r="E78" s="77" t="s">
        <v>2730</v>
      </c>
      <c r="F78" s="77" t="s">
        <v>2731</v>
      </c>
      <c r="G78" s="102">
        <v>240</v>
      </c>
      <c r="H78" s="102">
        <v>240</v>
      </c>
      <c r="I78" s="107">
        <v>0</v>
      </c>
      <c r="J78" s="92">
        <v>10</v>
      </c>
      <c r="K78" s="92" t="s">
        <v>8</v>
      </c>
      <c r="L78" s="92">
        <v>0</v>
      </c>
      <c r="M78" s="92" t="s">
        <v>8</v>
      </c>
      <c r="N78" s="103">
        <f>COUNTIF(Table7[Spawner],Table1[[#This Row],[Spawner Prefab]])</f>
        <v>3</v>
      </c>
      <c r="O78" s="95">
        <f>ROUND((Table1[[#This Row],[Total in "Village" scene]]/SUM(Table1[Total in "Village" scene]))*100,1)</f>
        <v>0.1</v>
      </c>
      <c r="P78" s="109">
        <f>COUNTIF(Table15[Spawner],Table1[[#This Row],[Spawner Prefab]])</f>
        <v>4</v>
      </c>
      <c r="Q78" s="99">
        <f>ROUND((Table1[[#This Row],[Total in "Castle" scene]]/SUM(Table1[Total in "Castle" scene]))*100,1)</f>
        <v>0.2</v>
      </c>
      <c r="R78" s="104">
        <f>COUNTIF(Table20[Spawner],Table1[[#This Row],[Spawner Prefab]])</f>
        <v>0</v>
      </c>
      <c r="S78" s="96">
        <f>ROUND((Table1[[#This Row],[Total in "Dark" scene]]/SUM(Table1[Total in "Dark" scene]))*100,1)</f>
        <v>0</v>
      </c>
      <c r="T78" s="110">
        <f>Table1[[#This Row],[Total in "Village" scene]]+Table1[[#This Row],[Total in "Castle" scene]]+Table1[[#This Row],[Total in "Dark" scene]]</f>
        <v>7</v>
      </c>
      <c r="U78" s="98">
        <f>ROUND((Table1[[#This Row],[Total in the game]]/SUM(Table1[Total in the game]))*100,1)</f>
        <v>0.1</v>
      </c>
      <c r="V78" s="153" t="str">
        <f>Table1[[#This Row],[Content Sku]]</f>
        <v>Ring</v>
      </c>
      <c r="W78" s="160" t="s">
        <v>2765</v>
      </c>
      <c r="X78" s="114" t="s">
        <v>328</v>
      </c>
      <c r="Y78" s="118" t="s">
        <v>328</v>
      </c>
      <c r="Z78" s="118" t="s">
        <v>328</v>
      </c>
    </row>
    <row r="79" spans="4:26" x14ac:dyDescent="0.25">
      <c r="D79" s="77" t="s">
        <v>2732</v>
      </c>
      <c r="E79" s="77" t="s">
        <v>2730</v>
      </c>
      <c r="F79" s="77" t="s">
        <v>2733</v>
      </c>
      <c r="G79" s="102">
        <v>240</v>
      </c>
      <c r="H79" s="102">
        <v>240</v>
      </c>
      <c r="I79" s="107">
        <v>0</v>
      </c>
      <c r="J79" s="92">
        <v>10</v>
      </c>
      <c r="K79" s="92" t="s">
        <v>8</v>
      </c>
      <c r="L79" s="92">
        <v>0</v>
      </c>
      <c r="M79" s="92" t="s">
        <v>8</v>
      </c>
      <c r="N79" s="103">
        <f>COUNTIF(Table7[Spawner],Table1[[#This Row],[Spawner Prefab]])</f>
        <v>20</v>
      </c>
      <c r="O79" s="95">
        <f>ROUND((Table1[[#This Row],[Total in "Village" scene]]/SUM(Table1[Total in "Village" scene]))*100,1)</f>
        <v>0.8</v>
      </c>
      <c r="P79" s="109">
        <f>COUNTIF(Table15[Spawner],Table1[[#This Row],[Spawner Prefab]])</f>
        <v>4</v>
      </c>
      <c r="Q79" s="99">
        <f>ROUND((Table1[[#This Row],[Total in "Castle" scene]]/SUM(Table1[Total in "Castle" scene]))*100,1)</f>
        <v>0.2</v>
      </c>
      <c r="R79" s="104">
        <f>COUNTIF(Table20[Spawner],Table1[[#This Row],[Spawner Prefab]])</f>
        <v>1</v>
      </c>
      <c r="S79" s="96">
        <f>ROUND((Table1[[#This Row],[Total in "Dark" scene]]/SUM(Table1[Total in "Dark" scene]))*100,1)</f>
        <v>0.1</v>
      </c>
      <c r="T79" s="110">
        <f>Table1[[#This Row],[Total in "Village" scene]]+Table1[[#This Row],[Total in "Castle" scene]]+Table1[[#This Row],[Total in "Dark" scene]]</f>
        <v>25</v>
      </c>
      <c r="U79" s="98">
        <f>ROUND((Table1[[#This Row],[Total in the game]]/SUM(Table1[Total in the game]))*100,1)</f>
        <v>0.4</v>
      </c>
      <c r="V79" s="153" t="str">
        <f>Table1[[#This Row],[Content Sku]]</f>
        <v>Ring</v>
      </c>
      <c r="W79" s="157" t="s">
        <v>18</v>
      </c>
      <c r="X79" s="114" t="s">
        <v>327</v>
      </c>
      <c r="Y79" s="118" t="s">
        <v>327</v>
      </c>
      <c r="Z79" s="118" t="s">
        <v>327</v>
      </c>
    </row>
    <row r="80" spans="4:26" x14ac:dyDescent="0.25">
      <c r="D80" s="77" t="s">
        <v>2734</v>
      </c>
      <c r="E80" s="77" t="s">
        <v>2730</v>
      </c>
      <c r="F80" s="77" t="s">
        <v>2735</v>
      </c>
      <c r="G80" s="102">
        <v>240</v>
      </c>
      <c r="H80" s="102">
        <v>240</v>
      </c>
      <c r="I80" s="107">
        <v>0</v>
      </c>
      <c r="J80" s="92">
        <v>10</v>
      </c>
      <c r="K80" s="92" t="s">
        <v>8</v>
      </c>
      <c r="L80" s="92">
        <v>0</v>
      </c>
      <c r="M80" s="92" t="s">
        <v>8</v>
      </c>
      <c r="N80" s="103">
        <f>COUNTIF(Table7[Spawner],Table1[[#This Row],[Spawner Prefab]])</f>
        <v>5</v>
      </c>
      <c r="O80" s="95">
        <f>ROUND((Table1[[#This Row],[Total in "Village" scene]]/SUM(Table1[Total in "Village" scene]))*100,1)</f>
        <v>0.2</v>
      </c>
      <c r="P80" s="109">
        <f>COUNTIF(Table15[Spawner],Table1[[#This Row],[Spawner Prefab]])</f>
        <v>1</v>
      </c>
      <c r="Q80" s="99">
        <f>ROUND((Table1[[#This Row],[Total in "Castle" scene]]/SUM(Table1[Total in "Castle" scene]))*100,1)</f>
        <v>0</v>
      </c>
      <c r="R80" s="104">
        <f>COUNTIF(Table20[Spawner],Table1[[#This Row],[Spawner Prefab]])</f>
        <v>1</v>
      </c>
      <c r="S80" s="96">
        <f>ROUND((Table1[[#This Row],[Total in "Dark" scene]]/SUM(Table1[Total in "Dark" scene]))*100,1)</f>
        <v>0.1</v>
      </c>
      <c r="T80" s="110">
        <f>Table1[[#This Row],[Total in "Village" scene]]+Table1[[#This Row],[Total in "Castle" scene]]+Table1[[#This Row],[Total in "Dark" scene]]</f>
        <v>7</v>
      </c>
      <c r="U80" s="98">
        <f>ROUND((Table1[[#This Row],[Total in the game]]/SUM(Table1[Total in the game]))*100,1)</f>
        <v>0.1</v>
      </c>
      <c r="V80" s="153" t="str">
        <f>Table1[[#This Row],[Content Sku]]</f>
        <v>Ring</v>
      </c>
      <c r="W80" s="160" t="s">
        <v>2728</v>
      </c>
      <c r="X80" s="114" t="s">
        <v>327</v>
      </c>
      <c r="Y80" s="118" t="s">
        <v>327</v>
      </c>
      <c r="Z80" s="118" t="s">
        <v>327</v>
      </c>
    </row>
    <row r="81" spans="4:26" x14ac:dyDescent="0.25">
      <c r="D81" s="77" t="s">
        <v>2736</v>
      </c>
      <c r="E81" s="77" t="s">
        <v>2730</v>
      </c>
      <c r="F81" s="77" t="s">
        <v>2737</v>
      </c>
      <c r="G81" s="102">
        <v>240</v>
      </c>
      <c r="H81" s="102">
        <v>240</v>
      </c>
      <c r="I81" s="107">
        <v>0</v>
      </c>
      <c r="J81" s="92">
        <v>10</v>
      </c>
      <c r="K81" s="92" t="s">
        <v>8</v>
      </c>
      <c r="L81" s="92">
        <v>0</v>
      </c>
      <c r="M81" s="92" t="s">
        <v>8</v>
      </c>
      <c r="N81" s="103">
        <f>COUNTIF(Table7[Spawner],Table1[[#This Row],[Spawner Prefab]])</f>
        <v>9</v>
      </c>
      <c r="O81" s="95">
        <f>ROUND((Table1[[#This Row],[Total in "Village" scene]]/SUM(Table1[Total in "Village" scene]))*100,1)</f>
        <v>0.4</v>
      </c>
      <c r="P81" s="109">
        <f>COUNTIF(Table15[Spawner],Table1[[#This Row],[Spawner Prefab]])</f>
        <v>14</v>
      </c>
      <c r="Q81" s="99">
        <f>ROUND((Table1[[#This Row],[Total in "Castle" scene]]/SUM(Table1[Total in "Castle" scene]))*100,1)</f>
        <v>0.7</v>
      </c>
      <c r="R81" s="104">
        <f>COUNTIF(Table20[Spawner],Table1[[#This Row],[Spawner Prefab]])</f>
        <v>10</v>
      </c>
      <c r="S81" s="96">
        <f>ROUND((Table1[[#This Row],[Total in "Dark" scene]]/SUM(Table1[Total in "Dark" scene]))*100,1)</f>
        <v>0.9</v>
      </c>
      <c r="T81" s="110">
        <f>Table1[[#This Row],[Total in "Village" scene]]+Table1[[#This Row],[Total in "Castle" scene]]+Table1[[#This Row],[Total in "Dark" scene]]</f>
        <v>33</v>
      </c>
      <c r="U81" s="98">
        <f>ROUND((Table1[[#This Row],[Total in the game]]/SUM(Table1[Total in the game]))*100,1)</f>
        <v>0.6</v>
      </c>
      <c r="V81" s="153" t="str">
        <f>Table1[[#This Row],[Content Sku]]</f>
        <v>Ring</v>
      </c>
      <c r="W81" s="160" t="s">
        <v>2757</v>
      </c>
      <c r="X81" s="114" t="s">
        <v>327</v>
      </c>
      <c r="Y81" s="118" t="s">
        <v>327</v>
      </c>
      <c r="Z81" s="118" t="s">
        <v>327</v>
      </c>
    </row>
    <row r="82" spans="4:26" x14ac:dyDescent="0.25">
      <c r="D82" s="77" t="s">
        <v>2738</v>
      </c>
      <c r="E82" s="77" t="s">
        <v>2739</v>
      </c>
      <c r="F82" s="77" t="s">
        <v>2740</v>
      </c>
      <c r="G82" s="102">
        <v>240</v>
      </c>
      <c r="H82" s="102">
        <v>240</v>
      </c>
      <c r="I82" s="107">
        <v>0</v>
      </c>
      <c r="J82" s="92">
        <v>10</v>
      </c>
      <c r="K82" s="92" t="s">
        <v>8</v>
      </c>
      <c r="L82" s="92">
        <v>0</v>
      </c>
      <c r="M82" s="92" t="s">
        <v>8</v>
      </c>
      <c r="N82" s="103">
        <f>COUNTIF(Table7[Spawner],Table1[[#This Row],[Spawner Prefab]])</f>
        <v>13</v>
      </c>
      <c r="O82" s="95">
        <f>ROUND((Table1[[#This Row],[Total in "Village" scene]]/SUM(Table1[Total in "Village" scene]))*100,1)</f>
        <v>0.5</v>
      </c>
      <c r="P82" s="109">
        <f>COUNTIF(Table15[Spawner],Table1[[#This Row],[Spawner Prefab]])</f>
        <v>2</v>
      </c>
      <c r="Q82" s="99">
        <f>ROUND((Table1[[#This Row],[Total in "Castle" scene]]/SUM(Table1[Total in "Castle" scene]))*100,1)</f>
        <v>0.1</v>
      </c>
      <c r="R82" s="104">
        <f>COUNTIF(Table20[Spawner],Table1[[#This Row],[Spawner Prefab]])</f>
        <v>7</v>
      </c>
      <c r="S82" s="96">
        <f>ROUND((Table1[[#This Row],[Total in "Dark" scene]]/SUM(Table1[Total in "Dark" scene]))*100,1)</f>
        <v>0.6</v>
      </c>
      <c r="T82" s="110">
        <f>Table1[[#This Row],[Total in "Village" scene]]+Table1[[#This Row],[Total in "Castle" scene]]+Table1[[#This Row],[Total in "Dark" scene]]</f>
        <v>22</v>
      </c>
      <c r="U82" s="98">
        <f>ROUND((Table1[[#This Row],[Total in the game]]/SUM(Table1[Total in the game]))*100,1)</f>
        <v>0.4</v>
      </c>
      <c r="V82" s="153" t="str">
        <f>Table1[[#This Row],[Content Sku]]</f>
        <v>RouletteCoins</v>
      </c>
      <c r="W82" s="160" t="s">
        <v>2758</v>
      </c>
      <c r="X82" s="114" t="s">
        <v>327</v>
      </c>
      <c r="Y82" s="118" t="s">
        <v>327</v>
      </c>
      <c r="Z82" s="118" t="s">
        <v>327</v>
      </c>
    </row>
    <row r="83" spans="4:26" x14ac:dyDescent="0.25">
      <c r="D83" s="77" t="s">
        <v>548</v>
      </c>
      <c r="E83" s="77" t="s">
        <v>547</v>
      </c>
      <c r="F83" s="77" t="s">
        <v>549</v>
      </c>
      <c r="G83" s="102">
        <v>500</v>
      </c>
      <c r="H83" s="102">
        <v>500</v>
      </c>
      <c r="I83" s="107">
        <v>0</v>
      </c>
      <c r="J83" s="92">
        <v>50</v>
      </c>
      <c r="K83" s="92" t="s">
        <v>8</v>
      </c>
      <c r="L83" s="92">
        <v>0</v>
      </c>
      <c r="M83" s="92" t="s">
        <v>8</v>
      </c>
      <c r="N83" s="103">
        <f>COUNTIF(Table7[Spawner],Table1[[#This Row],[Spawner Prefab]])</f>
        <v>38</v>
      </c>
      <c r="O83" s="95">
        <f>ROUND((Table1[[#This Row],[Total in "Village" scene]]/SUM(Table1[Total in "Village" scene]))*100,1)</f>
        <v>1.5</v>
      </c>
      <c r="P83" s="109">
        <f>COUNTIF(Table15[Spawner],Table1[[#This Row],[Spawner Prefab]])</f>
        <v>42</v>
      </c>
      <c r="Q83" s="99">
        <f>ROUND((Table1[[#This Row],[Total in "Castle" scene]]/SUM(Table1[Total in "Castle" scene]))*100,1)</f>
        <v>2</v>
      </c>
      <c r="R83" s="104">
        <f>COUNTIF(Table20[Spawner],Table1[[#This Row],[Spawner Prefab]])</f>
        <v>28</v>
      </c>
      <c r="S83" s="96">
        <f>ROUND((Table1[[#This Row],[Total in "Dark" scene]]/SUM(Table1[Total in "Dark" scene]))*100,1)</f>
        <v>2.5</v>
      </c>
      <c r="T83" s="110">
        <f>Table1[[#This Row],[Total in "Village" scene]]+Table1[[#This Row],[Total in "Castle" scene]]+Table1[[#This Row],[Total in "Dark" scene]]</f>
        <v>108</v>
      </c>
      <c r="U83" s="98">
        <f>ROUND((Table1[[#This Row],[Total in the game]]/SUM(Table1[Total in the game]))*100,1)</f>
        <v>1.9</v>
      </c>
      <c r="V83" s="153" t="str">
        <f>Table1[[#This Row],[Content Sku]]</f>
        <v>GoodJunkScore</v>
      </c>
      <c r="W83" s="160" t="s">
        <v>2759</v>
      </c>
      <c r="X83" s="114" t="s">
        <v>327</v>
      </c>
      <c r="Y83" s="118" t="s">
        <v>327</v>
      </c>
      <c r="Z83" s="118" t="s">
        <v>327</v>
      </c>
    </row>
    <row r="84" spans="4:26" x14ac:dyDescent="0.25">
      <c r="D84" s="77" t="s">
        <v>2741</v>
      </c>
      <c r="E84" s="77" t="s">
        <v>3853</v>
      </c>
      <c r="F84" s="77" t="s">
        <v>2742</v>
      </c>
      <c r="G84" s="102">
        <v>500</v>
      </c>
      <c r="H84" s="102">
        <v>500</v>
      </c>
      <c r="I84" s="107">
        <v>0</v>
      </c>
      <c r="J84" s="92">
        <v>50</v>
      </c>
      <c r="K84" s="92" t="s">
        <v>8</v>
      </c>
      <c r="L84" s="92">
        <v>0</v>
      </c>
      <c r="M84" s="92" t="s">
        <v>8</v>
      </c>
      <c r="N84" s="103">
        <f>COUNTIF(Table7[Spawner],Table1[[#This Row],[Spawner Prefab]])</f>
        <v>143</v>
      </c>
      <c r="O84" s="95">
        <f>ROUND((Table1[[#This Row],[Total in "Village" scene]]/SUM(Table1[Total in "Village" scene]))*100,1)</f>
        <v>5.6</v>
      </c>
      <c r="P84" s="109">
        <f>COUNTIF(Table15[Spawner],Table1[[#This Row],[Spawner Prefab]])</f>
        <v>18</v>
      </c>
      <c r="Q84" s="99">
        <f>ROUND((Table1[[#This Row],[Total in "Castle" scene]]/SUM(Table1[Total in "Castle" scene]))*100,1)</f>
        <v>0.9</v>
      </c>
      <c r="R84" s="104">
        <f>COUNTIF(Table20[Spawner],Table1[[#This Row],[Spawner Prefab]])</f>
        <v>101</v>
      </c>
      <c r="S84" s="96">
        <f>ROUND((Table1[[#This Row],[Total in "Dark" scene]]/SUM(Table1[Total in "Dark" scene]))*100,1)</f>
        <v>9.1</v>
      </c>
      <c r="T84" s="110">
        <f>Table1[[#This Row],[Total in "Village" scene]]+Table1[[#This Row],[Total in "Castle" scene]]+Table1[[#This Row],[Total in "Dark" scene]]</f>
        <v>262</v>
      </c>
      <c r="U84" s="98">
        <f>ROUND((Table1[[#This Row],[Total in the game]]/SUM(Table1[Total in the game]))*100,1)</f>
        <v>4.5999999999999996</v>
      </c>
      <c r="V84" s="153" t="str">
        <f>Table1[[#This Row],[Content Sku]]</f>
        <v>StarSky</v>
      </c>
      <c r="W84" s="158" t="s">
        <v>549</v>
      </c>
      <c r="X84" s="145" t="s">
        <v>327</v>
      </c>
      <c r="Y84" s="146" t="s">
        <v>327</v>
      </c>
      <c r="Z84" s="146" t="s">
        <v>327</v>
      </c>
    </row>
    <row r="85" spans="4:26" x14ac:dyDescent="0.25">
      <c r="D85" s="77" t="s">
        <v>8106</v>
      </c>
      <c r="E85" s="77" t="s">
        <v>3853</v>
      </c>
      <c r="F85" s="77" t="s">
        <v>2742</v>
      </c>
      <c r="G85" s="102">
        <v>500</v>
      </c>
      <c r="H85" s="102">
        <v>500</v>
      </c>
      <c r="I85" s="107">
        <v>0</v>
      </c>
      <c r="J85" s="92">
        <v>50</v>
      </c>
      <c r="K85" s="92" t="s">
        <v>8</v>
      </c>
      <c r="L85" s="92">
        <v>0</v>
      </c>
      <c r="M85" s="92" t="s">
        <v>8</v>
      </c>
      <c r="N85" s="103">
        <f>COUNTIF(Table7[Spawner],Table1[[#This Row],[Spawner Prefab]])</f>
        <v>1</v>
      </c>
      <c r="O85" s="95">
        <f>ROUND((Table1[[#This Row],[Total in "Village" scene]]/SUM(Table1[Total in "Village" scene]))*100,1)</f>
        <v>0</v>
      </c>
      <c r="P85" s="109">
        <f>COUNTIF(Table15[Spawner],Table1[[#This Row],[Spawner Prefab]])</f>
        <v>0</v>
      </c>
      <c r="Q85" s="99">
        <f>ROUND((Table1[[#This Row],[Total in "Castle" scene]]/SUM(Table1[Total in "Castle" scene]))*100,1)</f>
        <v>0</v>
      </c>
      <c r="R85" s="104">
        <f>COUNTIF(Table20[Spawner],Table1[[#This Row],[Spawner Prefab]])</f>
        <v>0</v>
      </c>
      <c r="S85" s="96">
        <f>ROUND((Table1[[#This Row],[Total in "Dark" scene]]/SUM(Table1[Total in "Dark" scene]))*100,1)</f>
        <v>0</v>
      </c>
      <c r="T85" s="110">
        <f>Table1[[#This Row],[Total in "Village" scene]]+Table1[[#This Row],[Total in "Castle" scene]]+Table1[[#This Row],[Total in "Dark" scene]]</f>
        <v>1</v>
      </c>
      <c r="U85" s="98">
        <f>ROUND((Table1[[#This Row],[Total in the game]]/SUM(Table1[Total in the game]))*100,1)</f>
        <v>0</v>
      </c>
      <c r="V85" s="153" t="str">
        <f>Table1[[#This Row],[Content Sku]]</f>
        <v>StarSky</v>
      </c>
      <c r="W85" s="157" t="s">
        <v>451</v>
      </c>
      <c r="X85" s="114" t="s">
        <v>328</v>
      </c>
      <c r="Y85" s="118" t="s">
        <v>328</v>
      </c>
      <c r="Z85" s="118" t="s">
        <v>328</v>
      </c>
    </row>
    <row r="86" spans="4:26" x14ac:dyDescent="0.25">
      <c r="D86" s="77" t="s">
        <v>8100</v>
      </c>
      <c r="E86" s="77" t="s">
        <v>3853</v>
      </c>
      <c r="F86" s="77" t="s">
        <v>2742</v>
      </c>
      <c r="G86" s="102">
        <v>500</v>
      </c>
      <c r="H86" s="102">
        <v>500</v>
      </c>
      <c r="I86" s="107">
        <v>0</v>
      </c>
      <c r="J86" s="92">
        <v>50</v>
      </c>
      <c r="K86" s="92" t="s">
        <v>8</v>
      </c>
      <c r="L86" s="92">
        <v>0</v>
      </c>
      <c r="M86" s="92" t="s">
        <v>8</v>
      </c>
      <c r="N86" s="103">
        <f>COUNTIF(Table7[Spawner],Table1[[#This Row],[Spawner Prefab]])</f>
        <v>1</v>
      </c>
      <c r="O86" s="95">
        <f>ROUND((Table1[[#This Row],[Total in "Village" scene]]/SUM(Table1[Total in "Village" scene]))*100,1)</f>
        <v>0</v>
      </c>
      <c r="P86" s="109">
        <f>COUNTIF(Table15[Spawner],Table1[[#This Row],[Spawner Prefab]])</f>
        <v>0</v>
      </c>
      <c r="Q86" s="99">
        <f>ROUND((Table1[[#This Row],[Total in "Castle" scene]]/SUM(Table1[Total in "Castle" scene]))*100,1)</f>
        <v>0</v>
      </c>
      <c r="R86" s="104">
        <f>COUNTIF(Table20[Spawner],Table1[[#This Row],[Spawner Prefab]])</f>
        <v>0</v>
      </c>
      <c r="S86" s="96">
        <f>ROUND((Table1[[#This Row],[Total in "Dark" scene]]/SUM(Table1[Total in "Dark" scene]))*100,1)</f>
        <v>0</v>
      </c>
      <c r="T86" s="110">
        <f>Table1[[#This Row],[Total in "Village" scene]]+Table1[[#This Row],[Total in "Castle" scene]]+Table1[[#This Row],[Total in "Dark" scene]]</f>
        <v>1</v>
      </c>
      <c r="U86" s="98">
        <f>ROUND((Table1[[#This Row],[Total in the game]]/SUM(Table1[Total in the game]))*100,1)</f>
        <v>0</v>
      </c>
      <c r="V86" s="153" t="str">
        <f>Table1[[#This Row],[Content Sku]]</f>
        <v>StarSky</v>
      </c>
      <c r="W86" s="158" t="s">
        <v>23</v>
      </c>
      <c r="X86" s="145" t="s">
        <v>327</v>
      </c>
      <c r="Y86" s="146" t="s">
        <v>327</v>
      </c>
      <c r="Z86" s="146" t="s">
        <v>327</v>
      </c>
    </row>
    <row r="87" spans="4:26" x14ac:dyDescent="0.25">
      <c r="D87" s="77" t="s">
        <v>8104</v>
      </c>
      <c r="E87" s="77" t="s">
        <v>3853</v>
      </c>
      <c r="F87" s="77" t="s">
        <v>2742</v>
      </c>
      <c r="G87" s="102">
        <v>500</v>
      </c>
      <c r="H87" s="102">
        <v>500</v>
      </c>
      <c r="I87" s="107">
        <v>0</v>
      </c>
      <c r="J87" s="92">
        <v>50</v>
      </c>
      <c r="K87" s="92" t="s">
        <v>8</v>
      </c>
      <c r="L87" s="92">
        <v>0</v>
      </c>
      <c r="M87" s="92" t="s">
        <v>8</v>
      </c>
      <c r="N87" s="103">
        <f>COUNTIF(Table7[Spawner],Table1[[#This Row],[Spawner Prefab]])</f>
        <v>1</v>
      </c>
      <c r="O87" s="95">
        <f>ROUND((Table1[[#This Row],[Total in "Village" scene]]/SUM(Table1[Total in "Village" scene]))*100,1)</f>
        <v>0</v>
      </c>
      <c r="P87" s="109">
        <f>COUNTIF(Table15[Spawner],Table1[[#This Row],[Spawner Prefab]])</f>
        <v>0</v>
      </c>
      <c r="Q87" s="99">
        <f>ROUND((Table1[[#This Row],[Total in "Castle" scene]]/SUM(Table1[Total in "Castle" scene]))*100,1)</f>
        <v>0</v>
      </c>
      <c r="R87" s="104">
        <f>COUNTIF(Table20[Spawner],Table1[[#This Row],[Spawner Prefab]])</f>
        <v>0</v>
      </c>
      <c r="S87" s="96">
        <f>ROUND((Table1[[#This Row],[Total in "Dark" scene]]/SUM(Table1[Total in "Dark" scene]))*100,1)</f>
        <v>0</v>
      </c>
      <c r="T87" s="110">
        <f>Table1[[#This Row],[Total in "Village" scene]]+Table1[[#This Row],[Total in "Castle" scene]]+Table1[[#This Row],[Total in "Dark" scene]]</f>
        <v>1</v>
      </c>
      <c r="U87" s="98">
        <f>ROUND((Table1[[#This Row],[Total in the game]]/SUM(Table1[Total in the game]))*100,1)</f>
        <v>0</v>
      </c>
      <c r="V87" s="153" t="str">
        <f>Table1[[#This Row],[Content Sku]]</f>
        <v>StarSky</v>
      </c>
      <c r="W87" s="157" t="s">
        <v>25</v>
      </c>
      <c r="X87" s="114" t="s">
        <v>328</v>
      </c>
      <c r="Y87" s="118" t="s">
        <v>328</v>
      </c>
      <c r="Z87" s="118" t="s">
        <v>328</v>
      </c>
    </row>
    <row r="88" spans="4:26" x14ac:dyDescent="0.25">
      <c r="D88" s="77" t="s">
        <v>8105</v>
      </c>
      <c r="E88" s="77" t="s">
        <v>3853</v>
      </c>
      <c r="F88" s="77" t="s">
        <v>2742</v>
      </c>
      <c r="G88" s="102">
        <v>500</v>
      </c>
      <c r="H88" s="102">
        <v>500</v>
      </c>
      <c r="I88" s="107">
        <v>0</v>
      </c>
      <c r="J88" s="92">
        <v>50</v>
      </c>
      <c r="K88" s="92" t="s">
        <v>8</v>
      </c>
      <c r="L88" s="92">
        <v>0</v>
      </c>
      <c r="M88" s="92" t="s">
        <v>8</v>
      </c>
      <c r="N88" s="103">
        <f>COUNTIF(Table7[Spawner],Table1[[#This Row],[Spawner Prefab]])</f>
        <v>1</v>
      </c>
      <c r="O88" s="95">
        <f>ROUND((Table1[[#This Row],[Total in "Village" scene]]/SUM(Table1[Total in "Village" scene]))*100,1)</f>
        <v>0</v>
      </c>
      <c r="P88" s="109">
        <f>COUNTIF(Table15[Spawner],Table1[[#This Row],[Spawner Prefab]])</f>
        <v>0</v>
      </c>
      <c r="Q88" s="99">
        <f>ROUND((Table1[[#This Row],[Total in "Castle" scene]]/SUM(Table1[Total in "Castle" scene]))*100,1)</f>
        <v>0</v>
      </c>
      <c r="R88" s="104">
        <f>COUNTIF(Table20[Spawner],Table1[[#This Row],[Spawner Prefab]])</f>
        <v>0</v>
      </c>
      <c r="S88" s="96">
        <f>ROUND((Table1[[#This Row],[Total in "Dark" scene]]/SUM(Table1[Total in "Dark" scene]))*100,1)</f>
        <v>0</v>
      </c>
      <c r="T88" s="110">
        <f>Table1[[#This Row],[Total in "Village" scene]]+Table1[[#This Row],[Total in "Castle" scene]]+Table1[[#This Row],[Total in "Dark" scene]]</f>
        <v>1</v>
      </c>
      <c r="U88" s="98">
        <f>ROUND((Table1[[#This Row],[Total in the game]]/SUM(Table1[Total in the game]))*100,1)</f>
        <v>0</v>
      </c>
      <c r="V88" s="153" t="str">
        <f>Table1[[#This Row],[Content Sku]]</f>
        <v>StarSky</v>
      </c>
      <c r="W88" s="157" t="s">
        <v>2656</v>
      </c>
      <c r="X88" s="114" t="s">
        <v>327</v>
      </c>
      <c r="Y88" s="118" t="s">
        <v>327</v>
      </c>
      <c r="Z88" s="118" t="s">
        <v>327</v>
      </c>
    </row>
    <row r="89" spans="4:26" x14ac:dyDescent="0.25">
      <c r="D89" s="77" t="s">
        <v>8108</v>
      </c>
      <c r="E89" s="77" t="s">
        <v>3853</v>
      </c>
      <c r="F89" s="77" t="s">
        <v>2742</v>
      </c>
      <c r="G89" s="102">
        <v>500</v>
      </c>
      <c r="H89" s="102">
        <v>500</v>
      </c>
      <c r="I89" s="107">
        <v>0</v>
      </c>
      <c r="J89" s="92">
        <v>50</v>
      </c>
      <c r="K89" s="92" t="s">
        <v>8</v>
      </c>
      <c r="L89" s="92">
        <v>0</v>
      </c>
      <c r="M89" s="92" t="s">
        <v>8</v>
      </c>
      <c r="N89" s="103">
        <f>COUNTIF(Table7[Spawner],Table1[[#This Row],[Spawner Prefab]])</f>
        <v>1</v>
      </c>
      <c r="O89" s="95">
        <f>ROUND((Table1[[#This Row],[Total in "Village" scene]]/SUM(Table1[Total in "Village" scene]))*100,1)</f>
        <v>0</v>
      </c>
      <c r="P89" s="109">
        <f>COUNTIF(Table15[Spawner],Table1[[#This Row],[Spawner Prefab]])</f>
        <v>0</v>
      </c>
      <c r="Q89" s="99">
        <f>ROUND((Table1[[#This Row],[Total in "Castle" scene]]/SUM(Table1[Total in "Castle" scene]))*100,1)</f>
        <v>0</v>
      </c>
      <c r="R89" s="104">
        <f>COUNTIF(Table20[Spawner],Table1[[#This Row],[Spawner Prefab]])</f>
        <v>0</v>
      </c>
      <c r="S89" s="96">
        <f>ROUND((Table1[[#This Row],[Total in "Dark" scene]]/SUM(Table1[Total in "Dark" scene]))*100,1)</f>
        <v>0</v>
      </c>
      <c r="T89" s="110">
        <f>Table1[[#This Row],[Total in "Village" scene]]+Table1[[#This Row],[Total in "Castle" scene]]+Table1[[#This Row],[Total in "Dark" scene]]</f>
        <v>1</v>
      </c>
      <c r="U89" s="98">
        <f>ROUND((Table1[[#This Row],[Total in the game]]/SUM(Table1[Total in the game]))*100,1)</f>
        <v>0</v>
      </c>
      <c r="V89" s="153" t="str">
        <f>Table1[[#This Row],[Content Sku]]</f>
        <v>StarSky</v>
      </c>
      <c r="W89" s="159" t="s">
        <v>2655</v>
      </c>
      <c r="X89" s="146" t="s">
        <v>327</v>
      </c>
      <c r="Y89" s="146" t="s">
        <v>327</v>
      </c>
      <c r="Z89" s="146" t="s">
        <v>327</v>
      </c>
    </row>
    <row r="90" spans="4:26" x14ac:dyDescent="0.25">
      <c r="D90" s="77" t="s">
        <v>8107</v>
      </c>
      <c r="E90" s="77" t="s">
        <v>3853</v>
      </c>
      <c r="F90" s="77" t="s">
        <v>2742</v>
      </c>
      <c r="G90" s="102">
        <v>500</v>
      </c>
      <c r="H90" s="102">
        <v>500</v>
      </c>
      <c r="I90" s="107">
        <v>0</v>
      </c>
      <c r="J90" s="92">
        <v>50</v>
      </c>
      <c r="K90" s="92" t="s">
        <v>8</v>
      </c>
      <c r="L90" s="92">
        <v>0</v>
      </c>
      <c r="M90" s="92" t="s">
        <v>8</v>
      </c>
      <c r="N90" s="103">
        <f>COUNTIF(Table7[Spawner],Table1[[#This Row],[Spawner Prefab]])</f>
        <v>1</v>
      </c>
      <c r="O90" s="95">
        <f>ROUND((Table1[[#This Row],[Total in "Village" scene]]/SUM(Table1[Total in "Village" scene]))*100,1)</f>
        <v>0</v>
      </c>
      <c r="P90" s="109">
        <f>COUNTIF(Table15[Spawner],Table1[[#This Row],[Spawner Prefab]])</f>
        <v>0</v>
      </c>
      <c r="Q90" s="99">
        <f>ROUND((Table1[[#This Row],[Total in "Castle" scene]]/SUM(Table1[Total in "Castle" scene]))*100,1)</f>
        <v>0</v>
      </c>
      <c r="R90" s="104">
        <f>COUNTIF(Table20[Spawner],Table1[[#This Row],[Spawner Prefab]])</f>
        <v>0</v>
      </c>
      <c r="S90" s="96">
        <f>ROUND((Table1[[#This Row],[Total in "Dark" scene]]/SUM(Table1[Total in "Dark" scene]))*100,1)</f>
        <v>0</v>
      </c>
      <c r="T90" s="110">
        <f>Table1[[#This Row],[Total in "Village" scene]]+Table1[[#This Row],[Total in "Castle" scene]]+Table1[[#This Row],[Total in "Dark" scene]]</f>
        <v>1</v>
      </c>
      <c r="U90" s="98">
        <f>ROUND((Table1[[#This Row],[Total in the game]]/SUM(Table1[Total in the game]))*100,1)</f>
        <v>0</v>
      </c>
      <c r="V90" s="153" t="str">
        <f>Table1[[#This Row],[Content Sku]]</f>
        <v>StarSky</v>
      </c>
      <c r="W90" s="159" t="s">
        <v>2654</v>
      </c>
      <c r="X90" s="146" t="s">
        <v>327</v>
      </c>
      <c r="Y90" s="146" t="s">
        <v>327</v>
      </c>
      <c r="Z90" s="146" t="s">
        <v>327</v>
      </c>
    </row>
    <row r="91" spans="4:26" x14ac:dyDescent="0.25">
      <c r="D91" s="77" t="s">
        <v>416</v>
      </c>
      <c r="E91" s="77" t="s">
        <v>415</v>
      </c>
      <c r="F91" s="77" t="s">
        <v>515</v>
      </c>
      <c r="G91" s="102">
        <v>200</v>
      </c>
      <c r="H91" s="102">
        <v>200</v>
      </c>
      <c r="I91" s="107">
        <v>20</v>
      </c>
      <c r="J91" s="92">
        <v>25</v>
      </c>
      <c r="K91" s="92" t="s">
        <v>8</v>
      </c>
      <c r="L91" s="92">
        <v>0</v>
      </c>
      <c r="M91" s="92" t="s">
        <v>8</v>
      </c>
      <c r="N91" s="103">
        <f>COUNTIF(Table7[Spawner],Table1[[#This Row],[Spawner Prefab]])</f>
        <v>5</v>
      </c>
      <c r="O91" s="95">
        <f>ROUND((Table1[[#This Row],[Total in "Village" scene]]/SUM(Table1[Total in "Village" scene]))*100,1)</f>
        <v>0.2</v>
      </c>
      <c r="P91" s="109">
        <f>COUNTIF(Table15[Spawner],Table1[[#This Row],[Spawner Prefab]])</f>
        <v>0</v>
      </c>
      <c r="Q91" s="99">
        <f>ROUND((Table1[[#This Row],[Total in "Castle" scene]]/SUM(Table1[Total in "Castle" scene]))*100,1)</f>
        <v>0</v>
      </c>
      <c r="R91" s="104">
        <f>COUNTIF(Table20[Spawner],Table1[[#This Row],[Spawner Prefab]])</f>
        <v>11</v>
      </c>
      <c r="S91" s="96">
        <f>ROUND((Table1[[#This Row],[Total in "Dark" scene]]/SUM(Table1[Total in "Dark" scene]))*100,1)</f>
        <v>1</v>
      </c>
      <c r="T91" s="110">
        <f>Table1[[#This Row],[Total in "Village" scene]]+Table1[[#This Row],[Total in "Castle" scene]]+Table1[[#This Row],[Total in "Dark" scene]]</f>
        <v>16</v>
      </c>
      <c r="U91" s="98">
        <f>ROUND((Table1[[#This Row],[Total in the game]]/SUM(Table1[Total in the game]))*100,1)</f>
        <v>0.3</v>
      </c>
      <c r="V91" s="153" t="s">
        <v>415</v>
      </c>
      <c r="W91" s="159" t="s">
        <v>2684</v>
      </c>
      <c r="X91" s="146" t="s">
        <v>328</v>
      </c>
      <c r="Y91" s="146" t="s">
        <v>328</v>
      </c>
      <c r="Z91" s="146" t="s">
        <v>328</v>
      </c>
    </row>
    <row r="92" spans="4:26" x14ac:dyDescent="0.25">
      <c r="D92" s="77" t="s">
        <v>553</v>
      </c>
      <c r="E92" s="77" t="s">
        <v>415</v>
      </c>
      <c r="F92" s="77" t="s">
        <v>515</v>
      </c>
      <c r="G92" s="102">
        <v>200</v>
      </c>
      <c r="H92" s="102">
        <v>200</v>
      </c>
      <c r="I92" s="107">
        <v>20</v>
      </c>
      <c r="J92" s="92">
        <v>25</v>
      </c>
      <c r="K92" s="92" t="s">
        <v>8</v>
      </c>
      <c r="L92" s="92">
        <v>0</v>
      </c>
      <c r="M92" s="92" t="s">
        <v>8</v>
      </c>
      <c r="N92" s="103">
        <f>COUNTIF(Table7[Spawner],Table1[[#This Row],[Spawner Prefab]])</f>
        <v>0</v>
      </c>
      <c r="O92" s="95">
        <f>ROUND((Table1[[#This Row],[Total in "Village" scene]]/SUM(Table1[Total in "Village" scene]))*100,1)</f>
        <v>0</v>
      </c>
      <c r="P92" s="109">
        <f>COUNTIF(Table15[Spawner],Table1[[#This Row],[Spawner Prefab]])</f>
        <v>0</v>
      </c>
      <c r="Q92" s="99">
        <f>ROUND((Table1[[#This Row],[Total in "Castle" scene]]/SUM(Table1[Total in "Castle" scene]))*100,1)</f>
        <v>0</v>
      </c>
      <c r="R92" s="104">
        <f>COUNTIF(Table20[Spawner],Table1[[#This Row],[Spawner Prefab]])</f>
        <v>9</v>
      </c>
      <c r="S92" s="96">
        <f>ROUND((Table1[[#This Row],[Total in "Dark" scene]]/SUM(Table1[Total in "Dark" scene]))*100,1)</f>
        <v>0.8</v>
      </c>
      <c r="T92" s="110">
        <f>Table1[[#This Row],[Total in "Village" scene]]+Table1[[#This Row],[Total in "Castle" scene]]+Table1[[#This Row],[Total in "Dark" scene]]</f>
        <v>9</v>
      </c>
      <c r="U92" s="98">
        <f>ROUND((Table1[[#This Row],[Total in the game]]/SUM(Table1[Total in the game]))*100,1)</f>
        <v>0.2</v>
      </c>
      <c r="V92" s="153" t="s">
        <v>415</v>
      </c>
      <c r="W92" s="158" t="s">
        <v>7</v>
      </c>
      <c r="X92" s="145" t="s">
        <v>327</v>
      </c>
      <c r="Y92" s="146" t="s">
        <v>327</v>
      </c>
      <c r="Z92" s="146" t="s">
        <v>327</v>
      </c>
    </row>
    <row r="93" spans="4:26" x14ac:dyDescent="0.25">
      <c r="D93" s="77" t="s">
        <v>534</v>
      </c>
      <c r="E93" s="77" t="s">
        <v>533</v>
      </c>
      <c r="F93" s="77" t="s">
        <v>535</v>
      </c>
      <c r="G93" s="102">
        <v>200</v>
      </c>
      <c r="H93" s="102">
        <v>200</v>
      </c>
      <c r="I93" s="107">
        <v>15</v>
      </c>
      <c r="J93" s="92">
        <v>95</v>
      </c>
      <c r="K93" s="92" t="s">
        <v>8</v>
      </c>
      <c r="L93" s="92">
        <v>0</v>
      </c>
      <c r="M93" s="92" t="s">
        <v>8</v>
      </c>
      <c r="N93" s="103">
        <f>COUNTIF(Table7[Spawner],Table1[[#This Row],[Spawner Prefab]])</f>
        <v>0</v>
      </c>
      <c r="O93" s="95">
        <f>ROUND((Table1[[#This Row],[Total in "Village" scene]]/SUM(Table1[Total in "Village" scene]))*100,1)</f>
        <v>0</v>
      </c>
      <c r="P93" s="109">
        <f>COUNTIF(Table15[Spawner],Table1[[#This Row],[Spawner Prefab]])</f>
        <v>0</v>
      </c>
      <c r="Q93" s="99">
        <f>ROUND((Table1[[#This Row],[Total in "Castle" scene]]/SUM(Table1[Total in "Castle" scene]))*100,1)</f>
        <v>0</v>
      </c>
      <c r="R93" s="104">
        <f>COUNTIF(Table20[Spawner],Table1[[#This Row],[Spawner Prefab]])</f>
        <v>0</v>
      </c>
      <c r="S93" s="96">
        <f>ROUND((Table1[[#This Row],[Total in "Dark" scene]]/SUM(Table1[Total in "Dark" scene]))*100,1)</f>
        <v>0</v>
      </c>
      <c r="T93" s="110">
        <f>Table1[[#This Row],[Total in "Village" scene]]+Table1[[#This Row],[Total in "Castle" scene]]+Table1[[#This Row],[Total in "Dark" scene]]</f>
        <v>0</v>
      </c>
      <c r="U93" s="98">
        <f>ROUND((Table1[[#This Row],[Total in the game]]/SUM(Table1[Total in the game]))*100,1)</f>
        <v>0</v>
      </c>
      <c r="V93" s="153" t="s">
        <v>415</v>
      </c>
      <c r="W93" s="157" t="s">
        <v>16</v>
      </c>
      <c r="X93" s="114" t="s">
        <v>327</v>
      </c>
      <c r="Y93" s="118" t="s">
        <v>327</v>
      </c>
      <c r="Z93" s="118" t="s">
        <v>327</v>
      </c>
    </row>
    <row r="94" spans="4:26" x14ac:dyDescent="0.25">
      <c r="D94" s="77" t="s">
        <v>450</v>
      </c>
      <c r="E94" s="77" t="s">
        <v>479</v>
      </c>
      <c r="F94" s="77" t="s">
        <v>451</v>
      </c>
      <c r="G94" s="102">
        <v>310</v>
      </c>
      <c r="H94" s="102">
        <v>310</v>
      </c>
      <c r="I94" s="107">
        <v>400</v>
      </c>
      <c r="J94" s="92">
        <v>103</v>
      </c>
      <c r="K94" s="92" t="s">
        <v>8</v>
      </c>
      <c r="L94" s="92">
        <v>2</v>
      </c>
      <c r="M94" s="92">
        <v>60</v>
      </c>
      <c r="N94" s="103">
        <f>COUNTIF(Table7[Spawner],Table1[[#This Row],[Spawner Prefab]])</f>
        <v>0</v>
      </c>
      <c r="O94" s="95">
        <f>ROUND((Table1[[#This Row],[Total in "Village" scene]]/SUM(Table1[Total in "Village" scene]))*100,1)</f>
        <v>0</v>
      </c>
      <c r="P94" s="109">
        <f>COUNTIF(Table15[Spawner],Table1[[#This Row],[Spawner Prefab]])</f>
        <v>13</v>
      </c>
      <c r="Q94" s="99">
        <f>ROUND((Table1[[#This Row],[Total in "Castle" scene]]/SUM(Table1[Total in "Castle" scene]))*100,1)</f>
        <v>0.6</v>
      </c>
      <c r="R94" s="104">
        <f>COUNTIF(Table20[Spawner],Table1[[#This Row],[Spawner Prefab]])</f>
        <v>0</v>
      </c>
      <c r="S94" s="96">
        <f>ROUND((Table1[[#This Row],[Total in "Dark" scene]]/SUM(Table1[Total in "Dark" scene]))*100,1)</f>
        <v>0</v>
      </c>
      <c r="T94" s="110">
        <f>Table1[[#This Row],[Total in "Village" scene]]+Table1[[#This Row],[Total in "Castle" scene]]+Table1[[#This Row],[Total in "Dark" scene]]</f>
        <v>13</v>
      </c>
      <c r="U94" s="98">
        <f>ROUND((Table1[[#This Row],[Total in the game]]/SUM(Table1[Total in the game]))*100,1)</f>
        <v>0.2</v>
      </c>
      <c r="V94" s="153" t="str">
        <f>Table1[[#This Row],[Content Sku]]</f>
        <v>Guardian</v>
      </c>
      <c r="W94" s="159" t="s">
        <v>2653</v>
      </c>
      <c r="X94" s="146" t="s">
        <v>328</v>
      </c>
      <c r="Y94" s="146" t="s">
        <v>328</v>
      </c>
      <c r="Z94" s="146" t="s">
        <v>328</v>
      </c>
    </row>
    <row r="95" spans="4:26" x14ac:dyDescent="0.25">
      <c r="D95" s="77" t="s">
        <v>137</v>
      </c>
      <c r="E95" s="77" t="s">
        <v>8</v>
      </c>
      <c r="F95" s="77" t="s">
        <v>23</v>
      </c>
      <c r="G95" s="102">
        <v>450</v>
      </c>
      <c r="H95" s="102">
        <v>450</v>
      </c>
      <c r="I95" s="107" t="s">
        <v>8</v>
      </c>
      <c r="J95" s="92"/>
      <c r="K95" s="92"/>
      <c r="L95" s="92"/>
      <c r="M95" s="92"/>
      <c r="N95" s="103">
        <f>COUNTIF(Table7[Spawner],Table1[[#This Row],[Spawner Prefab]])</f>
        <v>6</v>
      </c>
      <c r="O95" s="95">
        <f>ROUND((Table1[[#This Row],[Total in "Village" scene]]/SUM(Table1[Total in "Village" scene]))*100,1)</f>
        <v>0.2</v>
      </c>
      <c r="P95" s="109">
        <f>COUNTIF(Table15[Spawner],Table1[[#This Row],[Spawner Prefab]])</f>
        <v>7</v>
      </c>
      <c r="Q95" s="99">
        <f>ROUND((Table1[[#This Row],[Total in "Castle" scene]]/SUM(Table1[Total in "Castle" scene]))*100,1)</f>
        <v>0.3</v>
      </c>
      <c r="R95" s="104">
        <f>COUNTIF(Table20[Spawner],Table1[[#This Row],[Spawner Prefab]])</f>
        <v>7</v>
      </c>
      <c r="S95" s="96">
        <f>ROUND((Table1[[#This Row],[Total in "Dark" scene]]/SUM(Table1[Total in "Dark" scene]))*100,1)</f>
        <v>0.6</v>
      </c>
      <c r="T95" s="110">
        <f>Table1[[#This Row],[Total in "Village" scene]]+Table1[[#This Row],[Total in "Castle" scene]]+Table1[[#This Row],[Total in "Dark" scene]]</f>
        <v>20</v>
      </c>
      <c r="U95" s="98">
        <f>ROUND((Table1[[#This Row],[Total in the game]]/SUM(Table1[Total in the game]))*100,1)</f>
        <v>0.3</v>
      </c>
      <c r="V95" s="153" t="str">
        <f>Table1[[#This Row],[Content Sku]]</f>
        <v>-</v>
      </c>
      <c r="W95" s="159" t="s">
        <v>2685</v>
      </c>
      <c r="X95" s="146" t="s">
        <v>328</v>
      </c>
      <c r="Y95" s="146" t="s">
        <v>328</v>
      </c>
      <c r="Z95" s="146" t="s">
        <v>328</v>
      </c>
    </row>
    <row r="96" spans="4:26" x14ac:dyDescent="0.25">
      <c r="D96" s="77" t="s">
        <v>45</v>
      </c>
      <c r="E96" s="77" t="s">
        <v>110</v>
      </c>
      <c r="F96" s="77" t="s">
        <v>25</v>
      </c>
      <c r="G96" s="102">
        <v>180</v>
      </c>
      <c r="H96" s="102">
        <v>180</v>
      </c>
      <c r="I96" s="107">
        <v>20</v>
      </c>
      <c r="J96" s="92">
        <v>25</v>
      </c>
      <c r="K96" s="92" t="s">
        <v>8</v>
      </c>
      <c r="L96" s="92">
        <v>0</v>
      </c>
      <c r="M96" s="92">
        <v>25</v>
      </c>
      <c r="N96" s="103">
        <f>COUNTIF(Table7[Spawner],Table1[[#This Row],[Spawner Prefab]])</f>
        <v>17</v>
      </c>
      <c r="O96" s="95">
        <f>ROUND((Table1[[#This Row],[Total in "Village" scene]]/SUM(Table1[Total in "Village" scene]))*100,1)</f>
        <v>0.7</v>
      </c>
      <c r="P96" s="109">
        <f>COUNTIF(Table15[Spawner],Table1[[#This Row],[Spawner Prefab]])</f>
        <v>8</v>
      </c>
      <c r="Q96" s="99">
        <f>ROUND((Table1[[#This Row],[Total in "Castle" scene]]/SUM(Table1[Total in "Castle" scene]))*100,1)</f>
        <v>0.4</v>
      </c>
      <c r="R96" s="104">
        <f>COUNTIF(Table20[Spawner],Table1[[#This Row],[Spawner Prefab]])</f>
        <v>0</v>
      </c>
      <c r="S96" s="96">
        <f>ROUND((Table1[[#This Row],[Total in "Dark" scene]]/SUM(Table1[Total in "Dark" scene]))*100,1)</f>
        <v>0</v>
      </c>
      <c r="T96" s="110">
        <f>Table1[[#This Row],[Total in "Village" scene]]+Table1[[#This Row],[Total in "Castle" scene]]+Table1[[#This Row],[Total in "Dark" scene]]</f>
        <v>25</v>
      </c>
      <c r="U96" s="98">
        <f>ROUND((Table1[[#This Row],[Total in the game]]/SUM(Table1[Total in the game]))*100,1)</f>
        <v>0.4</v>
      </c>
      <c r="V96" s="153" t="str">
        <f>Table1[[#This Row],[Content Sku]]</f>
        <v>Hawk</v>
      </c>
      <c r="W96" s="159" t="s">
        <v>2652</v>
      </c>
      <c r="X96" s="146" t="s">
        <v>328</v>
      </c>
      <c r="Y96" s="146" t="s">
        <v>328</v>
      </c>
      <c r="Z96" s="146" t="s">
        <v>328</v>
      </c>
    </row>
    <row r="97" spans="4:26" x14ac:dyDescent="0.25">
      <c r="D97" s="77" t="s">
        <v>2680</v>
      </c>
      <c r="E97" s="77" t="s">
        <v>2638</v>
      </c>
      <c r="F97" s="77" t="s">
        <v>2656</v>
      </c>
      <c r="G97" s="102">
        <v>90</v>
      </c>
      <c r="H97" s="102">
        <v>90</v>
      </c>
      <c r="I97" s="107">
        <v>18</v>
      </c>
      <c r="J97" s="92">
        <v>25</v>
      </c>
      <c r="K97" s="92" t="s">
        <v>8</v>
      </c>
      <c r="L97" s="92">
        <v>2</v>
      </c>
      <c r="M97" s="92" t="s">
        <v>8</v>
      </c>
      <c r="N97" s="103">
        <f>COUNTIF(Table7[Spawner],Table1[[#This Row],[Spawner Prefab]])</f>
        <v>0</v>
      </c>
      <c r="O97" s="95">
        <f>ROUND((Table1[[#This Row],[Total in "Village" scene]]/SUM(Table1[Total in "Village" scene]))*100,1)</f>
        <v>0</v>
      </c>
      <c r="P97" s="109">
        <f>COUNTIF(Table15[Spawner],Table1[[#This Row],[Spawner Prefab]])</f>
        <v>0</v>
      </c>
      <c r="Q97" s="99">
        <f>ROUND((Table1[[#This Row],[Total in "Castle" scene]]/SUM(Table1[Total in "Castle" scene]))*100,1)</f>
        <v>0</v>
      </c>
      <c r="R97" s="104">
        <f>COUNTIF(Table20[Spawner],Table1[[#This Row],[Spawner Prefab]])</f>
        <v>17</v>
      </c>
      <c r="S97" s="96">
        <f>ROUND((Table1[[#This Row],[Total in "Dark" scene]]/SUM(Table1[Total in "Dark" scene]))*100,1)</f>
        <v>1.5</v>
      </c>
      <c r="T97" s="110">
        <f>Table1[[#This Row],[Total in "Village" scene]]+Table1[[#This Row],[Total in "Castle" scene]]+Table1[[#This Row],[Total in "Dark" scene]]</f>
        <v>17</v>
      </c>
      <c r="U97" s="98">
        <f>ROUND((Table1[[#This Row],[Total in the game]]/SUM(Table1[Total in the game]))*100,1)</f>
        <v>0.3</v>
      </c>
      <c r="V97" s="153" t="s">
        <v>8139</v>
      </c>
      <c r="W97" s="159" t="s">
        <v>2687</v>
      </c>
      <c r="X97" s="146" t="s">
        <v>328</v>
      </c>
      <c r="Y97" s="146" t="s">
        <v>328</v>
      </c>
      <c r="Z97" s="146" t="s">
        <v>328</v>
      </c>
    </row>
    <row r="98" spans="4:26" x14ac:dyDescent="0.25">
      <c r="D98" s="77" t="s">
        <v>2667</v>
      </c>
      <c r="E98" s="77" t="s">
        <v>2639</v>
      </c>
      <c r="F98" s="77" t="s">
        <v>2655</v>
      </c>
      <c r="G98" s="102">
        <v>80</v>
      </c>
      <c r="H98" s="102">
        <v>80</v>
      </c>
      <c r="I98" s="107">
        <v>13</v>
      </c>
      <c r="J98" s="92">
        <v>25</v>
      </c>
      <c r="K98" s="92" t="s">
        <v>8</v>
      </c>
      <c r="L98" s="92">
        <v>2</v>
      </c>
      <c r="M98" s="92" t="s">
        <v>8</v>
      </c>
      <c r="N98" s="103">
        <f>COUNTIF(Table7[Spawner],Table1[[#This Row],[Spawner Prefab]])</f>
        <v>0</v>
      </c>
      <c r="O98" s="95">
        <f>ROUND((Table1[[#This Row],[Total in "Village" scene]]/SUM(Table1[Total in "Village" scene]))*100,1)</f>
        <v>0</v>
      </c>
      <c r="P98" s="109">
        <f>COUNTIF(Table15[Spawner],Table1[[#This Row],[Spawner Prefab]])</f>
        <v>0</v>
      </c>
      <c r="Q98" s="99">
        <f>ROUND((Table1[[#This Row],[Total in "Castle" scene]]/SUM(Table1[Total in "Castle" scene]))*100,1)</f>
        <v>0</v>
      </c>
      <c r="R98" s="104">
        <f>COUNTIF(Table20[Spawner],Table1[[#This Row],[Spawner Prefab]])</f>
        <v>39</v>
      </c>
      <c r="S98" s="96">
        <f>ROUND((Table1[[#This Row],[Total in "Dark" scene]]/SUM(Table1[Total in "Dark" scene]))*100,1)</f>
        <v>3.5</v>
      </c>
      <c r="T98" s="110">
        <f>Table1[[#This Row],[Total in "Village" scene]]+Table1[[#This Row],[Total in "Castle" scene]]+Table1[[#This Row],[Total in "Dark" scene]]</f>
        <v>39</v>
      </c>
      <c r="U98" s="98">
        <f>ROUND((Table1[[#This Row],[Total in the game]]/SUM(Table1[Total in the game]))*100,1)</f>
        <v>0.7</v>
      </c>
      <c r="V98" s="153" t="s">
        <v>8139</v>
      </c>
      <c r="W98" s="157" t="s">
        <v>20</v>
      </c>
      <c r="X98" s="114" t="s">
        <v>328</v>
      </c>
      <c r="Y98" s="118" t="s">
        <v>328</v>
      </c>
      <c r="Z98" s="118" t="s">
        <v>328</v>
      </c>
    </row>
    <row r="99" spans="4:26" ht="15" customHeight="1" x14ac:dyDescent="0.25">
      <c r="D99" s="77" t="s">
        <v>2664</v>
      </c>
      <c r="E99" s="77" t="s">
        <v>2640</v>
      </c>
      <c r="F99" s="77" t="s">
        <v>2654</v>
      </c>
      <c r="G99" s="102">
        <v>80</v>
      </c>
      <c r="H99" s="102">
        <v>80</v>
      </c>
      <c r="I99" s="107">
        <v>13</v>
      </c>
      <c r="J99" s="92">
        <v>25</v>
      </c>
      <c r="K99" s="92" t="s">
        <v>8</v>
      </c>
      <c r="L99" s="92">
        <v>2</v>
      </c>
      <c r="M99" s="92" t="s">
        <v>8</v>
      </c>
      <c r="N99" s="103">
        <f>COUNTIF(Table7[Spawner],Table1[[#This Row],[Spawner Prefab]])</f>
        <v>0</v>
      </c>
      <c r="O99" s="95">
        <f>ROUND((Table1[[#This Row],[Total in "Village" scene]]/SUM(Table1[Total in "Village" scene]))*100,1)</f>
        <v>0</v>
      </c>
      <c r="P99" s="109">
        <f>COUNTIF(Table15[Spawner],Table1[[#This Row],[Spawner Prefab]])</f>
        <v>0</v>
      </c>
      <c r="Q99" s="99">
        <f>ROUND((Table1[[#This Row],[Total in "Castle" scene]]/SUM(Table1[Total in "Castle" scene]))*100,1)</f>
        <v>0</v>
      </c>
      <c r="R99" s="104">
        <f>COUNTIF(Table20[Spawner],Table1[[#This Row],[Spawner Prefab]])</f>
        <v>17</v>
      </c>
      <c r="S99" s="96">
        <f>ROUND((Table1[[#This Row],[Total in "Dark" scene]]/SUM(Table1[Total in "Dark" scene]))*100,1)</f>
        <v>1.5</v>
      </c>
      <c r="T99" s="110">
        <f>Table1[[#This Row],[Total in "Village" scene]]+Table1[[#This Row],[Total in "Castle" scene]]+Table1[[#This Row],[Total in "Dark" scene]]</f>
        <v>17</v>
      </c>
      <c r="U99" s="98">
        <f>ROUND((Table1[[#This Row],[Total in the game]]/SUM(Table1[Total in the game]))*100,1)</f>
        <v>0.3</v>
      </c>
      <c r="V99" s="153" t="s">
        <v>8139</v>
      </c>
      <c r="W99" s="157" t="s">
        <v>26</v>
      </c>
      <c r="X99" s="114" t="s">
        <v>328</v>
      </c>
      <c r="Y99" s="118" t="s">
        <v>327</v>
      </c>
      <c r="Z99" s="118" t="s">
        <v>327</v>
      </c>
    </row>
    <row r="100" spans="4:26" ht="15.75" customHeight="1" x14ac:dyDescent="0.25">
      <c r="D100" s="77" t="s">
        <v>2677</v>
      </c>
      <c r="E100" s="77" t="s">
        <v>2641</v>
      </c>
      <c r="F100" s="77" t="s">
        <v>2684</v>
      </c>
      <c r="G100" s="102">
        <v>150</v>
      </c>
      <c r="H100" s="102">
        <v>150</v>
      </c>
      <c r="I100" s="107">
        <v>18</v>
      </c>
      <c r="J100" s="92">
        <v>55</v>
      </c>
      <c r="K100" s="92" t="s">
        <v>8</v>
      </c>
      <c r="L100" s="92">
        <v>2</v>
      </c>
      <c r="M100" s="92">
        <v>10</v>
      </c>
      <c r="N100" s="103">
        <f>COUNTIF(Table7[Spawner],Table1[[#This Row],[Spawner Prefab]])</f>
        <v>0</v>
      </c>
      <c r="O100" s="95">
        <f>ROUND((Table1[[#This Row],[Total in "Village" scene]]/SUM(Table1[Total in "Village" scene]))*100,1)</f>
        <v>0</v>
      </c>
      <c r="P100" s="109">
        <f>COUNTIF(Table15[Spawner],Table1[[#This Row],[Spawner Prefab]])</f>
        <v>0</v>
      </c>
      <c r="Q100" s="99">
        <f>ROUND((Table1[[#This Row],[Total in "Castle" scene]]/SUM(Table1[Total in "Castle" scene]))*100,1)</f>
        <v>0</v>
      </c>
      <c r="R100" s="104">
        <f>COUNTIF(Table20[Spawner],Table1[[#This Row],[Spawner Prefab]])</f>
        <v>7</v>
      </c>
      <c r="S100" s="96">
        <f>ROUND((Table1[[#This Row],[Total in "Dark" scene]]/SUM(Table1[Total in "Dark" scene]))*100,1)</f>
        <v>0.6</v>
      </c>
      <c r="T100" s="110">
        <f>Table1[[#This Row],[Total in "Village" scene]]+Table1[[#This Row],[Total in "Castle" scene]]+Table1[[#This Row],[Total in "Dark" scene]]</f>
        <v>7</v>
      </c>
      <c r="U100" s="98">
        <f>ROUND((Table1[[#This Row],[Total in the game]]/SUM(Table1[Total in the game]))*100,1)</f>
        <v>0.1</v>
      </c>
      <c r="V100" s="153" t="s">
        <v>8139</v>
      </c>
      <c r="W100" s="157" t="s">
        <v>27</v>
      </c>
      <c r="X100" s="114" t="s">
        <v>328</v>
      </c>
      <c r="Y100" s="118" t="s">
        <v>328</v>
      </c>
      <c r="Z100" s="118" t="s">
        <v>328</v>
      </c>
    </row>
    <row r="101" spans="4:26" x14ac:dyDescent="0.25">
      <c r="D101" s="77" t="s">
        <v>15</v>
      </c>
      <c r="E101" s="77" t="s">
        <v>71</v>
      </c>
      <c r="F101" s="77" t="s">
        <v>7</v>
      </c>
      <c r="G101" s="102">
        <v>220</v>
      </c>
      <c r="H101" s="102">
        <v>220</v>
      </c>
      <c r="I101" s="107">
        <v>25</v>
      </c>
      <c r="J101" s="92">
        <v>83</v>
      </c>
      <c r="K101" s="92" t="s">
        <v>8</v>
      </c>
      <c r="L101" s="92">
        <v>1</v>
      </c>
      <c r="M101" s="92" t="s">
        <v>8</v>
      </c>
      <c r="N101" s="103">
        <f>COUNTIF(Table7[Spawner],Table1[[#This Row],[Spawner Prefab]])</f>
        <v>4</v>
      </c>
      <c r="O101" s="95">
        <f>ROUND((Table1[[#This Row],[Total in "Village" scene]]/SUM(Table1[Total in "Village" scene]))*100,1)</f>
        <v>0.2</v>
      </c>
      <c r="P101" s="109">
        <f>COUNTIF(Table15[Spawner],Table1[[#This Row],[Spawner Prefab]])</f>
        <v>0</v>
      </c>
      <c r="Q101" s="99">
        <f>ROUND((Table1[[#This Row],[Total in "Castle" scene]]/SUM(Table1[Total in "Castle" scene]))*100,1)</f>
        <v>0</v>
      </c>
      <c r="R101" s="104">
        <f>COUNTIF(Table20[Spawner],Table1[[#This Row],[Spawner Prefab]])</f>
        <v>0</v>
      </c>
      <c r="S101" s="96">
        <f>ROUND((Table1[[#This Row],[Total in "Dark" scene]]/SUM(Table1[Total in "Dark" scene]))*100,1)</f>
        <v>0</v>
      </c>
      <c r="T101" s="110">
        <f>Table1[[#This Row],[Total in "Village" scene]]+Table1[[#This Row],[Total in "Castle" scene]]+Table1[[#This Row],[Total in "Dark" scene]]</f>
        <v>4</v>
      </c>
      <c r="U101" s="98">
        <f>ROUND((Table1[[#This Row],[Total in the game]]/SUM(Table1[Total in the game]))*100,1)</f>
        <v>0.1</v>
      </c>
      <c r="V101" s="153" t="str">
        <f>Table1[[#This Row],[Content Sku]]</f>
        <v>Horse</v>
      </c>
      <c r="W101" s="157" t="s">
        <v>28</v>
      </c>
      <c r="X101" s="114" t="s">
        <v>328</v>
      </c>
      <c r="Y101" s="118" t="s">
        <v>328</v>
      </c>
      <c r="Z101" s="118" t="s">
        <v>328</v>
      </c>
    </row>
    <row r="102" spans="4:26" x14ac:dyDescent="0.25">
      <c r="D102" s="77" t="s">
        <v>17</v>
      </c>
      <c r="E102" s="77" t="s">
        <v>71</v>
      </c>
      <c r="F102" s="77" t="s">
        <v>16</v>
      </c>
      <c r="G102" s="102">
        <v>220</v>
      </c>
      <c r="H102" s="102">
        <v>220</v>
      </c>
      <c r="I102" s="107">
        <v>25</v>
      </c>
      <c r="J102" s="92">
        <v>83</v>
      </c>
      <c r="K102" s="92" t="s">
        <v>8</v>
      </c>
      <c r="L102" s="92">
        <v>1</v>
      </c>
      <c r="M102" s="92" t="s">
        <v>8</v>
      </c>
      <c r="N102" s="103">
        <f>COUNTIF(Table7[Spawner],Table1[[#This Row],[Spawner Prefab]])</f>
        <v>5</v>
      </c>
      <c r="O102" s="95">
        <f>ROUND((Table1[[#This Row],[Total in "Village" scene]]/SUM(Table1[Total in "Village" scene]))*100,1)</f>
        <v>0.2</v>
      </c>
      <c r="P102" s="109">
        <f>COUNTIF(Table15[Spawner],Table1[[#This Row],[Spawner Prefab]])</f>
        <v>3</v>
      </c>
      <c r="Q102" s="99">
        <f>ROUND((Table1[[#This Row],[Total in "Castle" scene]]/SUM(Table1[Total in "Castle" scene]))*100,1)</f>
        <v>0.1</v>
      </c>
      <c r="R102" s="104">
        <f>COUNTIF(Table20[Spawner],Table1[[#This Row],[Spawner Prefab]])</f>
        <v>0</v>
      </c>
      <c r="S102" s="96">
        <f>ROUND((Table1[[#This Row],[Total in "Dark" scene]]/SUM(Table1[Total in "Dark" scene]))*100,1)</f>
        <v>0</v>
      </c>
      <c r="T102" s="110">
        <f>Table1[[#This Row],[Total in "Village" scene]]+Table1[[#This Row],[Total in "Castle" scene]]+Table1[[#This Row],[Total in "Dark" scene]]</f>
        <v>8</v>
      </c>
      <c r="U102" s="98">
        <f>ROUND((Table1[[#This Row],[Total in the game]]/SUM(Table1[Total in the game]))*100,1)</f>
        <v>0.1</v>
      </c>
      <c r="V102" s="153" t="str">
        <f>Table1[[#This Row],[Content Sku]]</f>
        <v>Horse</v>
      </c>
      <c r="W102" s="157" t="s">
        <v>29</v>
      </c>
      <c r="X102" s="114" t="s">
        <v>328</v>
      </c>
      <c r="Y102" s="118" t="s">
        <v>328</v>
      </c>
      <c r="Z102" s="118" t="s">
        <v>328</v>
      </c>
    </row>
    <row r="103" spans="4:26" x14ac:dyDescent="0.25">
      <c r="D103" s="77" t="s">
        <v>2673</v>
      </c>
      <c r="E103" s="77" t="s">
        <v>2642</v>
      </c>
      <c r="F103" s="77" t="s">
        <v>2653</v>
      </c>
      <c r="G103" s="102">
        <v>200</v>
      </c>
      <c r="H103" s="102">
        <v>200</v>
      </c>
      <c r="I103" s="107">
        <v>10</v>
      </c>
      <c r="J103" s="92">
        <v>130</v>
      </c>
      <c r="K103" s="92" t="s">
        <v>8</v>
      </c>
      <c r="L103" s="92">
        <v>4</v>
      </c>
      <c r="M103" s="92">
        <v>21</v>
      </c>
      <c r="N103" s="103">
        <f>COUNTIF(Table7[Spawner],Table1[[#This Row],[Spawner Prefab]])</f>
        <v>0</v>
      </c>
      <c r="O103" s="95">
        <f>ROUND((Table1[[#This Row],[Total in "Village" scene]]/SUM(Table1[Total in "Village" scene]))*100,1)</f>
        <v>0</v>
      </c>
      <c r="P103" s="109">
        <f>COUNTIF(Table15[Spawner],Table1[[#This Row],[Spawner Prefab]])</f>
        <v>0</v>
      </c>
      <c r="Q103" s="99">
        <f>ROUND((Table1[[#This Row],[Total in "Castle" scene]]/SUM(Table1[Total in "Castle" scene]))*100,1)</f>
        <v>0</v>
      </c>
      <c r="R103" s="104">
        <f>COUNTIF(Table20[Spawner],Table1[[#This Row],[Spawner Prefab]])</f>
        <v>25</v>
      </c>
      <c r="S103" s="96">
        <f>ROUND((Table1[[#This Row],[Total in "Dark" scene]]/SUM(Table1[Total in "Dark" scene]))*100,1)</f>
        <v>2.2999999999999998</v>
      </c>
      <c r="T103" s="110">
        <f>Table1[[#This Row],[Total in "Village" scene]]+Table1[[#This Row],[Total in "Castle" scene]]+Table1[[#This Row],[Total in "Dark" scene]]</f>
        <v>25</v>
      </c>
      <c r="U103" s="98">
        <f>ROUND((Table1[[#This Row],[Total in the game]]/SUM(Table1[Total in the game]))*100,1)</f>
        <v>0.4</v>
      </c>
      <c r="V103" s="153" t="str">
        <f>Table1[[#This Row],[Content Sku]]</f>
        <v>JellyfishBlue</v>
      </c>
      <c r="W103" s="157" t="s">
        <v>274</v>
      </c>
      <c r="X103" s="114" t="s">
        <v>328</v>
      </c>
      <c r="Y103" s="118" t="s">
        <v>328</v>
      </c>
      <c r="Z103" s="118" t="s">
        <v>328</v>
      </c>
    </row>
    <row r="104" spans="4:26" x14ac:dyDescent="0.25">
      <c r="D104" s="77" t="s">
        <v>2665</v>
      </c>
      <c r="E104" s="77" t="s">
        <v>2642</v>
      </c>
      <c r="F104" s="77" t="s">
        <v>2685</v>
      </c>
      <c r="G104" s="102">
        <v>200</v>
      </c>
      <c r="H104" s="102">
        <v>200</v>
      </c>
      <c r="I104" s="107">
        <v>10</v>
      </c>
      <c r="J104" s="92">
        <v>130</v>
      </c>
      <c r="K104" s="92" t="s">
        <v>8</v>
      </c>
      <c r="L104" s="92">
        <v>4</v>
      </c>
      <c r="M104" s="92">
        <v>21</v>
      </c>
      <c r="N104" s="103">
        <f>COUNTIF(Table7[Spawner],Table1[[#This Row],[Spawner Prefab]])</f>
        <v>0</v>
      </c>
      <c r="O104" s="95">
        <f>ROUND((Table1[[#This Row],[Total in "Village" scene]]/SUM(Table1[Total in "Village" scene]))*100,1)</f>
        <v>0</v>
      </c>
      <c r="P104" s="109">
        <f>COUNTIF(Table15[Spawner],Table1[[#This Row],[Spawner Prefab]])</f>
        <v>0</v>
      </c>
      <c r="Q104" s="99">
        <f>ROUND((Table1[[#This Row],[Total in "Castle" scene]]/SUM(Table1[Total in "Castle" scene]))*100,1)</f>
        <v>0</v>
      </c>
      <c r="R104" s="104">
        <f>COUNTIF(Table20[Spawner],Table1[[#This Row],[Spawner Prefab]])</f>
        <v>7</v>
      </c>
      <c r="S104" s="96">
        <f>ROUND((Table1[[#This Row],[Total in "Dark" scene]]/SUM(Table1[Total in "Dark" scene]))*100,1)</f>
        <v>0.6</v>
      </c>
      <c r="T104" s="110">
        <f>Table1[[#This Row],[Total in "Village" scene]]+Table1[[#This Row],[Total in "Castle" scene]]+Table1[[#This Row],[Total in "Dark" scene]]</f>
        <v>7</v>
      </c>
      <c r="U104" s="98">
        <f>ROUND((Table1[[#This Row],[Total in the game]]/SUM(Table1[Total in the game]))*100,1)</f>
        <v>0.1</v>
      </c>
      <c r="V104" s="153" t="str">
        <f>Table1[[#This Row],[Content Sku]]</f>
        <v>JellyfishBlue</v>
      </c>
      <c r="W104" s="157" t="s">
        <v>277</v>
      </c>
      <c r="X104" s="114" t="s">
        <v>328</v>
      </c>
      <c r="Y104" s="118" t="s">
        <v>328</v>
      </c>
      <c r="Z104" s="118" t="s">
        <v>328</v>
      </c>
    </row>
    <row r="105" spans="4:26" x14ac:dyDescent="0.25">
      <c r="D105" s="77" t="s">
        <v>2672</v>
      </c>
      <c r="E105" s="77" t="s">
        <v>2643</v>
      </c>
      <c r="F105" s="77" t="s">
        <v>2652</v>
      </c>
      <c r="G105" s="102">
        <v>250</v>
      </c>
      <c r="H105" s="102">
        <v>250</v>
      </c>
      <c r="I105" s="107">
        <v>12</v>
      </c>
      <c r="J105" s="92">
        <v>263</v>
      </c>
      <c r="K105" s="92" t="s">
        <v>8</v>
      </c>
      <c r="L105" s="92">
        <v>5</v>
      </c>
      <c r="M105" s="92">
        <v>25</v>
      </c>
      <c r="N105" s="103">
        <f>COUNTIF(Table7[Spawner],Table1[[#This Row],[Spawner Prefab]])</f>
        <v>0</v>
      </c>
      <c r="O105" s="95">
        <f>ROUND((Table1[[#This Row],[Total in "Village" scene]]/SUM(Table1[Total in "Village" scene]))*100,1)</f>
        <v>0</v>
      </c>
      <c r="P105" s="109">
        <f>COUNTIF(Table15[Spawner],Table1[[#This Row],[Spawner Prefab]])</f>
        <v>0</v>
      </c>
      <c r="Q105" s="99">
        <f>ROUND((Table1[[#This Row],[Total in "Castle" scene]]/SUM(Table1[Total in "Castle" scene]))*100,1)</f>
        <v>0</v>
      </c>
      <c r="R105" s="104">
        <f>COUNTIF(Table20[Spawner],Table1[[#This Row],[Spawner Prefab]])</f>
        <v>18</v>
      </c>
      <c r="S105" s="96">
        <f>ROUND((Table1[[#This Row],[Total in "Dark" scene]]/SUM(Table1[Total in "Dark" scene]))*100,1)</f>
        <v>1.6</v>
      </c>
      <c r="T105" s="110">
        <f>Table1[[#This Row],[Total in "Village" scene]]+Table1[[#This Row],[Total in "Castle" scene]]+Table1[[#This Row],[Total in "Dark" scene]]</f>
        <v>18</v>
      </c>
      <c r="U105" s="98">
        <f>ROUND((Table1[[#This Row],[Total in the game]]/SUM(Table1[Total in the game]))*100,1)</f>
        <v>0.3</v>
      </c>
      <c r="V105" s="153" t="str">
        <f>Table1[[#This Row],[Content Sku]]</f>
        <v>JellyfishRed</v>
      </c>
      <c r="W105" s="157" t="s">
        <v>279</v>
      </c>
      <c r="X105" s="114" t="s">
        <v>328</v>
      </c>
      <c r="Y105" s="118" t="s">
        <v>328</v>
      </c>
      <c r="Z105" s="118" t="s">
        <v>328</v>
      </c>
    </row>
    <row r="106" spans="4:26" x14ac:dyDescent="0.25">
      <c r="D106" s="77" t="s">
        <v>2686</v>
      </c>
      <c r="E106" s="77" t="s">
        <v>2643</v>
      </c>
      <c r="F106" s="77" t="s">
        <v>2687</v>
      </c>
      <c r="G106" s="102">
        <v>250</v>
      </c>
      <c r="H106" s="102">
        <v>250</v>
      </c>
      <c r="I106" s="107">
        <v>12</v>
      </c>
      <c r="J106" s="92">
        <v>263</v>
      </c>
      <c r="K106" s="92" t="s">
        <v>8</v>
      </c>
      <c r="L106" s="92">
        <v>5</v>
      </c>
      <c r="M106" s="92">
        <v>25</v>
      </c>
      <c r="N106" s="103">
        <f>COUNTIF(Table7[Spawner],Table1[[#This Row],[Spawner Prefab]])</f>
        <v>0</v>
      </c>
      <c r="O106" s="95">
        <f>ROUND((Table1[[#This Row],[Total in "Village" scene]]/SUM(Table1[Total in "Village" scene]))*100,1)</f>
        <v>0</v>
      </c>
      <c r="P106" s="109">
        <f>COUNTIF(Table15[Spawner],Table1[[#This Row],[Spawner Prefab]])</f>
        <v>0</v>
      </c>
      <c r="Q106" s="99">
        <f>ROUND((Table1[[#This Row],[Total in "Castle" scene]]/SUM(Table1[Total in "Castle" scene]))*100,1)</f>
        <v>0</v>
      </c>
      <c r="R106" s="104">
        <f>COUNTIF(Table20[Spawner],Table1[[#This Row],[Spawner Prefab]])</f>
        <v>6</v>
      </c>
      <c r="S106" s="96">
        <f>ROUND((Table1[[#This Row],[Total in "Dark" scene]]/SUM(Table1[Total in "Dark" scene]))*100,1)</f>
        <v>0.5</v>
      </c>
      <c r="T106" s="110">
        <f>Table1[[#This Row],[Total in "Village" scene]]+Table1[[#This Row],[Total in "Castle" scene]]+Table1[[#This Row],[Total in "Dark" scene]]</f>
        <v>6</v>
      </c>
      <c r="U106" s="98">
        <f>ROUND((Table1[[#This Row],[Total in the game]]/SUM(Table1[Total in the game]))*100,1)</f>
        <v>0.1</v>
      </c>
      <c r="V106" s="153" t="str">
        <f>Table1[[#This Row],[Content Sku]]</f>
        <v>JellyfishRed</v>
      </c>
      <c r="W106" s="157" t="s">
        <v>538</v>
      </c>
      <c r="X106" s="114" t="s">
        <v>328</v>
      </c>
      <c r="Y106" s="118" t="s">
        <v>328</v>
      </c>
      <c r="Z106" s="118" t="s">
        <v>328</v>
      </c>
    </row>
    <row r="107" spans="4:26" x14ac:dyDescent="0.25">
      <c r="D107" s="77" t="s">
        <v>22</v>
      </c>
      <c r="E107" s="77" t="s">
        <v>81</v>
      </c>
      <c r="F107" s="77" t="s">
        <v>20</v>
      </c>
      <c r="G107" s="102">
        <v>200</v>
      </c>
      <c r="H107" s="102">
        <v>200</v>
      </c>
      <c r="I107" s="107">
        <v>32</v>
      </c>
      <c r="J107" s="92">
        <v>75</v>
      </c>
      <c r="K107" s="92" t="s">
        <v>8</v>
      </c>
      <c r="L107" s="92">
        <v>0</v>
      </c>
      <c r="M107" s="92">
        <v>40</v>
      </c>
      <c r="N107" s="103">
        <f>COUNTIF(Table7[Spawner],Table1[[#This Row],[Spawner Prefab]])</f>
        <v>0</v>
      </c>
      <c r="O107" s="95">
        <f>ROUND((Table1[[#This Row],[Total in "Village" scene]]/SUM(Table1[Total in "Village" scene]))*100,1)</f>
        <v>0</v>
      </c>
      <c r="P107" s="109">
        <f>COUNTIF(Table15[Spawner],Table1[[#This Row],[Spawner Prefab]])</f>
        <v>26</v>
      </c>
      <c r="Q107" s="99">
        <f>ROUND((Table1[[#This Row],[Total in "Castle" scene]]/SUM(Table1[Total in "Castle" scene]))*100,1)</f>
        <v>1.3</v>
      </c>
      <c r="R107" s="104">
        <f>COUNTIF(Table20[Spawner],Table1[[#This Row],[Spawner Prefab]])</f>
        <v>0</v>
      </c>
      <c r="S107" s="96">
        <f>ROUND((Table1[[#This Row],[Total in "Dark" scene]]/SUM(Table1[Total in "Dark" scene]))*100,1)</f>
        <v>0</v>
      </c>
      <c r="T107" s="110">
        <f>Table1[[#This Row],[Total in "Village" scene]]+Table1[[#This Row],[Total in "Castle" scene]]+Table1[[#This Row],[Total in "Dark" scene]]</f>
        <v>26</v>
      </c>
      <c r="U107" s="98">
        <f>ROUND((Table1[[#This Row],[Total in the game]]/SUM(Table1[Total in the game]))*100,1)</f>
        <v>0.5</v>
      </c>
      <c r="V107" s="153" t="str">
        <f>Table1[[#This Row],[Content Sku]]</f>
        <v>Kamikaze</v>
      </c>
      <c r="W107" s="160" t="s">
        <v>2744</v>
      </c>
      <c r="X107" s="114" t="s">
        <v>328</v>
      </c>
      <c r="Y107" s="118" t="s">
        <v>328</v>
      </c>
      <c r="Z107" s="118" t="s">
        <v>328</v>
      </c>
    </row>
    <row r="108" spans="4:26" x14ac:dyDescent="0.25">
      <c r="D108" s="77" t="s">
        <v>123</v>
      </c>
      <c r="E108" s="77" t="s">
        <v>111</v>
      </c>
      <c r="F108" s="77" t="s">
        <v>26</v>
      </c>
      <c r="G108" s="102">
        <v>170</v>
      </c>
      <c r="H108" s="102">
        <v>170</v>
      </c>
      <c r="I108" s="107">
        <v>10</v>
      </c>
      <c r="J108" s="92">
        <v>70</v>
      </c>
      <c r="K108" s="92" t="s">
        <v>8</v>
      </c>
      <c r="L108" s="92">
        <v>2</v>
      </c>
      <c r="M108" s="92">
        <v>5</v>
      </c>
      <c r="N108" s="103">
        <f>COUNTIF(Table7[Spawner],Table1[[#This Row],[Spawner Prefab]])</f>
        <v>34</v>
      </c>
      <c r="O108" s="95">
        <f>ROUND((Table1[[#This Row],[Total in "Village" scene]]/SUM(Table1[Total in "Village" scene]))*100,1)</f>
        <v>1.3</v>
      </c>
      <c r="P108" s="109">
        <f>COUNTIF(Table15[Spawner],Table1[[#This Row],[Spawner Prefab]])</f>
        <v>49</v>
      </c>
      <c r="Q108" s="99">
        <f>ROUND((Table1[[#This Row],[Total in "Castle" scene]]/SUM(Table1[Total in "Castle" scene]))*100,1)</f>
        <v>2.4</v>
      </c>
      <c r="R108" s="104">
        <f>COUNTIF(Table20[Spawner],Table1[[#This Row],[Spawner Prefab]])</f>
        <v>0</v>
      </c>
      <c r="S108" s="96">
        <f>ROUND((Table1[[#This Row],[Total in "Dark" scene]]/SUM(Table1[Total in "Dark" scene]))*100,1)</f>
        <v>0</v>
      </c>
      <c r="T108" s="110">
        <f>Table1[[#This Row],[Total in "Village" scene]]+Table1[[#This Row],[Total in "Castle" scene]]+Table1[[#This Row],[Total in "Dark" scene]]</f>
        <v>83</v>
      </c>
      <c r="U108" s="98">
        <f>ROUND((Table1[[#This Row],[Total in the game]]/SUM(Table1[Total in the game]))*100,1)</f>
        <v>1.4</v>
      </c>
      <c r="V108" s="153" t="str">
        <f>Table1[[#This Row],[Content Sku]]</f>
        <v>LionBird</v>
      </c>
      <c r="W108" s="159" t="s">
        <v>2651</v>
      </c>
      <c r="X108" s="146" t="s">
        <v>327</v>
      </c>
      <c r="Y108" s="146" t="s">
        <v>327</v>
      </c>
      <c r="Z108" s="146" t="s">
        <v>327</v>
      </c>
    </row>
    <row r="109" spans="4:26" x14ac:dyDescent="0.25">
      <c r="D109" s="77" t="s">
        <v>4430</v>
      </c>
      <c r="E109" s="77" t="s">
        <v>4457</v>
      </c>
      <c r="F109" s="77" t="s">
        <v>4458</v>
      </c>
      <c r="G109" s="102">
        <v>5000</v>
      </c>
      <c r="H109" s="102">
        <v>5000</v>
      </c>
      <c r="I109" s="107">
        <v>1</v>
      </c>
      <c r="J109" s="92">
        <v>25</v>
      </c>
      <c r="K109" s="92" t="s">
        <v>8</v>
      </c>
      <c r="L109" s="92">
        <v>0</v>
      </c>
      <c r="M109" s="92" t="s">
        <v>8</v>
      </c>
      <c r="N109" s="103">
        <f>COUNTIF(Table7[Spawner],Table1[[#This Row],[Spawner Prefab]])</f>
        <v>22</v>
      </c>
      <c r="O109" s="95">
        <f>ROUND((Table1[[#This Row],[Total in "Village" scene]]/SUM(Table1[Total in "Village" scene]))*100,1)</f>
        <v>0.9</v>
      </c>
      <c r="P109" s="109">
        <f>COUNTIF(Table15[Spawner],Table1[[#This Row],[Spawner Prefab]])</f>
        <v>13</v>
      </c>
      <c r="Q109" s="99">
        <f>ROUND((Table1[[#This Row],[Total in "Castle" scene]]/SUM(Table1[Total in "Castle" scene]))*100,1)</f>
        <v>0.6</v>
      </c>
      <c r="R109" s="104">
        <f>COUNTIF(Table20[Spawner],Table1[[#This Row],[Spawner Prefab]])</f>
        <v>12</v>
      </c>
      <c r="S109" s="96">
        <f>ROUND((Table1[[#This Row],[Total in "Dark" scene]]/SUM(Table1[Total in "Dark" scene]))*100,1)</f>
        <v>1.1000000000000001</v>
      </c>
      <c r="T109" s="110">
        <f>Table1[[#This Row],[Total in "Village" scene]]+Table1[[#This Row],[Total in "Castle" scene]]+Table1[[#This Row],[Total in "Dark" scene]]</f>
        <v>47</v>
      </c>
      <c r="U109" s="98">
        <f>ROUND((Table1[[#This Row],[Total in the game]]/SUM(Table1[Total in the game]))*100,1)</f>
        <v>0.8</v>
      </c>
      <c r="V109" s="153" t="str">
        <f>Table1[[#This Row],[Content Sku]]</f>
        <v>MexicanPepper</v>
      </c>
      <c r="W109" s="157" t="s">
        <v>281</v>
      </c>
      <c r="X109" s="114" t="s">
        <v>327</v>
      </c>
      <c r="Y109" s="118" t="s">
        <v>327</v>
      </c>
      <c r="Z109" s="118" t="s">
        <v>327</v>
      </c>
    </row>
    <row r="110" spans="4:26" x14ac:dyDescent="0.25">
      <c r="D110" s="77" t="s">
        <v>42</v>
      </c>
      <c r="E110" s="77" t="s">
        <v>112</v>
      </c>
      <c r="F110" s="77" t="s">
        <v>27</v>
      </c>
      <c r="G110" s="102">
        <v>2500</v>
      </c>
      <c r="H110" s="102">
        <v>2500</v>
      </c>
      <c r="I110" s="107">
        <v>0</v>
      </c>
      <c r="J110" s="92">
        <v>263</v>
      </c>
      <c r="K110" s="92" t="s">
        <v>8</v>
      </c>
      <c r="L110" s="92" t="s">
        <v>8</v>
      </c>
      <c r="M110" s="92">
        <v>350</v>
      </c>
      <c r="N110" s="103">
        <f>COUNTIF(Table7[Spawner],Table1[[#This Row],[Spawner Prefab]])</f>
        <v>15</v>
      </c>
      <c r="O110" s="95">
        <f>ROUND((Table1[[#This Row],[Total in "Village" scene]]/SUM(Table1[Total in "Village" scene]))*100,1)</f>
        <v>0.6</v>
      </c>
      <c r="P110" s="109">
        <f>COUNTIF(Table15[Spawner],Table1[[#This Row],[Spawner Prefab]])</f>
        <v>6</v>
      </c>
      <c r="Q110" s="99">
        <f>ROUND((Table1[[#This Row],[Total in "Castle" scene]]/SUM(Table1[Total in "Castle" scene]))*100,1)</f>
        <v>0.3</v>
      </c>
      <c r="R110" s="104">
        <f>COUNTIF(Table20[Spawner],Table1[[#This Row],[Spawner Prefab]])</f>
        <v>0</v>
      </c>
      <c r="S110" s="96">
        <f>ROUND((Table1[[#This Row],[Total in "Dark" scene]]/SUM(Table1[Total in "Dark" scene]))*100,1)</f>
        <v>0</v>
      </c>
      <c r="T110" s="110">
        <f>Table1[[#This Row],[Total in "Village" scene]]+Table1[[#This Row],[Total in "Castle" scene]]+Table1[[#This Row],[Total in "Dark" scene]]</f>
        <v>21</v>
      </c>
      <c r="U110" s="98">
        <f>ROUND((Table1[[#This Row],[Total in the game]]/SUM(Table1[Total in the game]))*100,1)</f>
        <v>0.4</v>
      </c>
      <c r="V110" s="153" t="str">
        <f>Table1[[#This Row],[Content Sku]]</f>
        <v>MineBig</v>
      </c>
      <c r="W110" s="160" t="s">
        <v>2746</v>
      </c>
      <c r="X110" s="114" t="s">
        <v>327</v>
      </c>
      <c r="Y110" s="118" t="s">
        <v>327</v>
      </c>
      <c r="Z110" s="118" t="s">
        <v>327</v>
      </c>
    </row>
    <row r="111" spans="4:26" x14ac:dyDescent="0.25">
      <c r="D111" s="77" t="s">
        <v>43</v>
      </c>
      <c r="E111" s="77" t="s">
        <v>112</v>
      </c>
      <c r="F111" s="77" t="s">
        <v>28</v>
      </c>
      <c r="G111" s="102">
        <v>2500</v>
      </c>
      <c r="H111" s="102">
        <v>2500</v>
      </c>
      <c r="I111" s="107">
        <v>0</v>
      </c>
      <c r="J111" s="92">
        <v>263</v>
      </c>
      <c r="K111" s="92" t="s">
        <v>8</v>
      </c>
      <c r="L111" s="92" t="s">
        <v>8</v>
      </c>
      <c r="M111" s="92">
        <v>350</v>
      </c>
      <c r="N111" s="103">
        <f>COUNTIF(Table7[Spawner],Table1[[#This Row],[Spawner Prefab]])</f>
        <v>11</v>
      </c>
      <c r="O111" s="95">
        <f>ROUND((Table1[[#This Row],[Total in "Village" scene]]/SUM(Table1[Total in "Village" scene]))*100,1)</f>
        <v>0.4</v>
      </c>
      <c r="P111" s="109">
        <f>COUNTIF(Table15[Spawner],Table1[[#This Row],[Spawner Prefab]])</f>
        <v>10</v>
      </c>
      <c r="Q111" s="99">
        <f>ROUND((Table1[[#This Row],[Total in "Castle" scene]]/SUM(Table1[Total in "Castle" scene]))*100,1)</f>
        <v>0.5</v>
      </c>
      <c r="R111" s="104">
        <f>COUNTIF(Table20[Spawner],Table1[[#This Row],[Spawner Prefab]])</f>
        <v>0</v>
      </c>
      <c r="S111" s="96">
        <f>ROUND((Table1[[#This Row],[Total in "Dark" scene]]/SUM(Table1[Total in "Dark" scene]))*100,1)</f>
        <v>0</v>
      </c>
      <c r="T111" s="110">
        <f>Table1[[#This Row],[Total in "Village" scene]]+Table1[[#This Row],[Total in "Castle" scene]]+Table1[[#This Row],[Total in "Dark" scene]]</f>
        <v>21</v>
      </c>
      <c r="U111" s="98">
        <f>ROUND((Table1[[#This Row],[Total in the game]]/SUM(Table1[Total in the game]))*100,1)</f>
        <v>0.4</v>
      </c>
      <c r="V111" s="153" t="str">
        <f>Table1[[#This Row],[Content Sku]]</f>
        <v>MineBig</v>
      </c>
      <c r="W111" s="157" t="s">
        <v>284</v>
      </c>
      <c r="X111" s="114" t="s">
        <v>328</v>
      </c>
      <c r="Y111" s="118" t="s">
        <v>328</v>
      </c>
      <c r="Z111" s="118" t="s">
        <v>328</v>
      </c>
    </row>
    <row r="112" spans="4:26" x14ac:dyDescent="0.25">
      <c r="D112" s="77" t="s">
        <v>44</v>
      </c>
      <c r="E112" s="77" t="s">
        <v>113</v>
      </c>
      <c r="F112" s="77" t="s">
        <v>29</v>
      </c>
      <c r="G112" s="102">
        <v>2000</v>
      </c>
      <c r="H112" s="102">
        <v>2000</v>
      </c>
      <c r="I112" s="107">
        <v>0</v>
      </c>
      <c r="J112" s="92">
        <v>175</v>
      </c>
      <c r="K112" s="92" t="s">
        <v>8</v>
      </c>
      <c r="L112" s="92">
        <v>5</v>
      </c>
      <c r="M112" s="92">
        <v>150</v>
      </c>
      <c r="N112" s="103">
        <f>COUNTIF(Table7[Spawner],Table1[[#This Row],[Spawner Prefab]])</f>
        <v>11</v>
      </c>
      <c r="O112" s="95">
        <f>ROUND((Table1[[#This Row],[Total in "Village" scene]]/SUM(Table1[Total in "Village" scene]))*100,1)</f>
        <v>0.4</v>
      </c>
      <c r="P112" s="109">
        <f>COUNTIF(Table15[Spawner],Table1[[#This Row],[Spawner Prefab]])</f>
        <v>9</v>
      </c>
      <c r="Q112" s="99">
        <f>ROUND((Table1[[#This Row],[Total in "Castle" scene]]/SUM(Table1[Total in "Castle" scene]))*100,1)</f>
        <v>0.4</v>
      </c>
      <c r="R112" s="104">
        <f>COUNTIF(Table20[Spawner],Table1[[#This Row],[Spawner Prefab]])</f>
        <v>0</v>
      </c>
      <c r="S112" s="96">
        <f>ROUND((Table1[[#This Row],[Total in "Dark" scene]]/SUM(Table1[Total in "Dark" scene]))*100,1)</f>
        <v>0</v>
      </c>
      <c r="T112" s="110">
        <f>Table1[[#This Row],[Total in "Village" scene]]+Table1[[#This Row],[Total in "Castle" scene]]+Table1[[#This Row],[Total in "Dark" scene]]</f>
        <v>20</v>
      </c>
      <c r="U112" s="98">
        <f>ROUND((Table1[[#This Row],[Total in the game]]/SUM(Table1[Total in the game]))*100,1)</f>
        <v>0.3</v>
      </c>
      <c r="V112" s="153" t="str">
        <f>Table1[[#This Row],[Content Sku]]</f>
        <v>MineMedium</v>
      </c>
      <c r="W112" s="159" t="s">
        <v>2648</v>
      </c>
      <c r="X112" s="146" t="s">
        <v>328</v>
      </c>
      <c r="Y112" s="146" t="s">
        <v>328</v>
      </c>
      <c r="Z112" s="146" t="s">
        <v>328</v>
      </c>
    </row>
    <row r="113" spans="4:26" x14ac:dyDescent="0.25">
      <c r="D113" s="77" t="s">
        <v>273</v>
      </c>
      <c r="E113" s="77" t="s">
        <v>113</v>
      </c>
      <c r="F113" s="77" t="s">
        <v>274</v>
      </c>
      <c r="G113" s="102">
        <v>2000</v>
      </c>
      <c r="H113" s="102">
        <v>2000</v>
      </c>
      <c r="I113" s="107">
        <v>0</v>
      </c>
      <c r="J113" s="92">
        <v>175</v>
      </c>
      <c r="K113" s="92" t="s">
        <v>8</v>
      </c>
      <c r="L113" s="92">
        <v>5</v>
      </c>
      <c r="M113" s="92">
        <v>150</v>
      </c>
      <c r="N113" s="103">
        <f>COUNTIF(Table7[Spawner],Table1[[#This Row],[Spawner Prefab]])</f>
        <v>17</v>
      </c>
      <c r="O113" s="95">
        <f>ROUND((Table1[[#This Row],[Total in "Village" scene]]/SUM(Table1[Total in "Village" scene]))*100,1)</f>
        <v>0.7</v>
      </c>
      <c r="P113" s="109">
        <f>COUNTIF(Table15[Spawner],Table1[[#This Row],[Spawner Prefab]])</f>
        <v>9</v>
      </c>
      <c r="Q113" s="99">
        <f>ROUND((Table1[[#This Row],[Total in "Castle" scene]]/SUM(Table1[Total in "Castle" scene]))*100,1)</f>
        <v>0.4</v>
      </c>
      <c r="R113" s="104">
        <f>COUNTIF(Table20[Spawner],Table1[[#This Row],[Spawner Prefab]])</f>
        <v>0</v>
      </c>
      <c r="S113" s="96">
        <f>ROUND((Table1[[#This Row],[Total in "Dark" scene]]/SUM(Table1[Total in "Dark" scene]))*100,1)</f>
        <v>0</v>
      </c>
      <c r="T113" s="110">
        <f>Table1[[#This Row],[Total in "Village" scene]]+Table1[[#This Row],[Total in "Castle" scene]]+Table1[[#This Row],[Total in "Dark" scene]]</f>
        <v>26</v>
      </c>
      <c r="U113" s="98">
        <f>ROUND((Table1[[#This Row],[Total in the game]]/SUM(Table1[Total in the game]))*100,1)</f>
        <v>0.5</v>
      </c>
      <c r="V113" s="153" t="str">
        <f>Table1[[#This Row],[Content Sku]]</f>
        <v>MineMedium</v>
      </c>
      <c r="W113" s="157" t="s">
        <v>287</v>
      </c>
      <c r="X113" s="114" t="s">
        <v>328</v>
      </c>
      <c r="Y113" s="118" t="s">
        <v>327</v>
      </c>
      <c r="Z113" s="118" t="s">
        <v>327</v>
      </c>
    </row>
    <row r="114" spans="4:26" x14ac:dyDescent="0.25">
      <c r="D114" s="77" t="s">
        <v>457</v>
      </c>
      <c r="E114" s="77" t="s">
        <v>5001</v>
      </c>
      <c r="F114" s="77" t="s">
        <v>458</v>
      </c>
      <c r="G114" s="102">
        <v>200</v>
      </c>
      <c r="H114" s="102">
        <v>200</v>
      </c>
      <c r="I114" s="107">
        <v>12</v>
      </c>
      <c r="J114" s="92">
        <v>90</v>
      </c>
      <c r="K114" s="92" t="s">
        <v>8</v>
      </c>
      <c r="L114" s="92">
        <v>0</v>
      </c>
      <c r="M114" s="92" t="s">
        <v>8</v>
      </c>
      <c r="N114" s="103">
        <f>COUNTIF(Table7[Spawner],Table1[[#This Row],[Spawner Prefab]])</f>
        <v>0</v>
      </c>
      <c r="O114" s="95">
        <f>ROUND((Table1[[#This Row],[Total in "Village" scene]]/SUM(Table1[Total in "Village" scene]))*100,1)</f>
        <v>0</v>
      </c>
      <c r="P114" s="109">
        <f>COUNTIF(Table15[Spawner],Table1[[#This Row],[Spawner Prefab]])</f>
        <v>155</v>
      </c>
      <c r="Q114" s="99">
        <f>ROUND((Table1[[#This Row],[Total in "Castle" scene]]/SUM(Table1[Total in "Castle" scene]))*100,1)</f>
        <v>7.5</v>
      </c>
      <c r="R114" s="104">
        <f>COUNTIF(Table20[Spawner],Table1[[#This Row],[Spawner Prefab]])</f>
        <v>0</v>
      </c>
      <c r="S114" s="96">
        <f>ROUND((Table1[[#This Row],[Total in "Dark" scene]]/SUM(Table1[Total in "Dark" scene]))*100,1)</f>
        <v>0</v>
      </c>
      <c r="T114" s="110">
        <f>Table1[[#This Row],[Total in "Village" scene]]+Table1[[#This Row],[Total in "Castle" scene]]+Table1[[#This Row],[Total in "Dark" scene]]</f>
        <v>155</v>
      </c>
      <c r="U114" s="98">
        <f>ROUND((Table1[[#This Row],[Total in the game]]/SUM(Table1[Total in the game]))*100,1)</f>
        <v>2.7</v>
      </c>
      <c r="V114" s="153" t="str">
        <f>Table1[[#This Row],[Content Sku]]</f>
        <v>Miner</v>
      </c>
      <c r="W114" s="157" t="s">
        <v>290</v>
      </c>
      <c r="X114" s="114" t="s">
        <v>327</v>
      </c>
      <c r="Y114" s="118" t="s">
        <v>327</v>
      </c>
      <c r="Z114" s="118" t="s">
        <v>327</v>
      </c>
    </row>
    <row r="115" spans="4:26" x14ac:dyDescent="0.25">
      <c r="D115" s="77" t="s">
        <v>459</v>
      </c>
      <c r="E115" s="77" t="s">
        <v>5001</v>
      </c>
      <c r="F115" s="77" t="s">
        <v>458</v>
      </c>
      <c r="G115" s="102">
        <v>200</v>
      </c>
      <c r="H115" s="102">
        <v>200</v>
      </c>
      <c r="I115" s="107">
        <v>12</v>
      </c>
      <c r="J115" s="92">
        <v>90</v>
      </c>
      <c r="K115" s="92" t="s">
        <v>8</v>
      </c>
      <c r="L115" s="92">
        <v>0</v>
      </c>
      <c r="M115" s="92" t="s">
        <v>8</v>
      </c>
      <c r="N115" s="103">
        <f>COUNTIF(Table7[Spawner],Table1[[#This Row],[Spawner Prefab]])</f>
        <v>0</v>
      </c>
      <c r="O115" s="95">
        <f>ROUND((Table1[[#This Row],[Total in "Village" scene]]/SUM(Table1[Total in "Village" scene]))*100,1)</f>
        <v>0</v>
      </c>
      <c r="P115" s="109">
        <f>COUNTIF(Table15[Spawner],Table1[[#This Row],[Spawner Prefab]])</f>
        <v>15</v>
      </c>
      <c r="Q115" s="99">
        <f>ROUND((Table1[[#This Row],[Total in "Castle" scene]]/SUM(Table1[Total in "Castle" scene]))*100,1)</f>
        <v>0.7</v>
      </c>
      <c r="R115" s="104">
        <f>COUNTIF(Table20[Spawner],Table1[[#This Row],[Spawner Prefab]])</f>
        <v>0</v>
      </c>
      <c r="S115" s="96">
        <f>ROUND((Table1[[#This Row],[Total in "Dark" scene]]/SUM(Table1[Total in "Dark" scene]))*100,1)</f>
        <v>0</v>
      </c>
      <c r="T115" s="110">
        <f>Table1[[#This Row],[Total in "Village" scene]]+Table1[[#This Row],[Total in "Castle" scene]]+Table1[[#This Row],[Total in "Dark" scene]]</f>
        <v>15</v>
      </c>
      <c r="U115" s="98">
        <f>ROUND((Table1[[#This Row],[Total in the game]]/SUM(Table1[Total in the game]))*100,1)</f>
        <v>0.3</v>
      </c>
      <c r="V115" s="153" t="str">
        <f>Table1[[#This Row],[Content Sku]]</f>
        <v>Miner</v>
      </c>
      <c r="W115" s="157" t="s">
        <v>582</v>
      </c>
      <c r="X115" s="114" t="s">
        <v>327</v>
      </c>
      <c r="Y115" s="118" t="s">
        <v>327</v>
      </c>
      <c r="Z115" s="118" t="s">
        <v>327</v>
      </c>
    </row>
    <row r="116" spans="4:26" x14ac:dyDescent="0.25">
      <c r="D116" s="77" t="s">
        <v>460</v>
      </c>
      <c r="E116" s="77" t="s">
        <v>5001</v>
      </c>
      <c r="F116" s="77" t="s">
        <v>458</v>
      </c>
      <c r="G116" s="102">
        <v>200</v>
      </c>
      <c r="H116" s="102">
        <v>200</v>
      </c>
      <c r="I116" s="107">
        <v>12</v>
      </c>
      <c r="J116" s="92">
        <v>90</v>
      </c>
      <c r="K116" s="92" t="s">
        <v>8</v>
      </c>
      <c r="L116" s="92">
        <v>0</v>
      </c>
      <c r="M116" s="92" t="s">
        <v>8</v>
      </c>
      <c r="N116" s="103">
        <f>COUNTIF(Table7[Spawner],Table1[[#This Row],[Spawner Prefab]])</f>
        <v>0</v>
      </c>
      <c r="O116" s="95">
        <f>ROUND((Table1[[#This Row],[Total in "Village" scene]]/SUM(Table1[Total in "Village" scene]))*100,1)</f>
        <v>0</v>
      </c>
      <c r="P116" s="109">
        <f>COUNTIF(Table15[Spawner],Table1[[#This Row],[Spawner Prefab]])</f>
        <v>43</v>
      </c>
      <c r="Q116" s="99">
        <f>ROUND((Table1[[#This Row],[Total in "Castle" scene]]/SUM(Table1[Total in "Castle" scene]))*100,1)</f>
        <v>2.1</v>
      </c>
      <c r="R116" s="104">
        <f>COUNTIF(Table20[Spawner],Table1[[#This Row],[Spawner Prefab]])</f>
        <v>0</v>
      </c>
      <c r="S116" s="96">
        <f>ROUND((Table1[[#This Row],[Total in "Dark" scene]]/SUM(Table1[Total in "Dark" scene]))*100,1)</f>
        <v>0</v>
      </c>
      <c r="T116" s="110">
        <f>Table1[[#This Row],[Total in "Village" scene]]+Table1[[#This Row],[Total in "Castle" scene]]+Table1[[#This Row],[Total in "Dark" scene]]</f>
        <v>43</v>
      </c>
      <c r="U116" s="98">
        <f>ROUND((Table1[[#This Row],[Total in the game]]/SUM(Table1[Total in the game]))*100,1)</f>
        <v>0.8</v>
      </c>
      <c r="V116" s="153" t="str">
        <f>Table1[[#This Row],[Content Sku]]</f>
        <v>Miner</v>
      </c>
      <c r="W116" s="157" t="s">
        <v>517</v>
      </c>
      <c r="X116" s="114" t="s">
        <v>327</v>
      </c>
      <c r="Y116" s="118" t="s">
        <v>327</v>
      </c>
      <c r="Z116" s="118" t="s">
        <v>327</v>
      </c>
    </row>
    <row r="117" spans="4:26" x14ac:dyDescent="0.25">
      <c r="D117" s="77" t="s">
        <v>276</v>
      </c>
      <c r="E117" s="77" t="s">
        <v>275</v>
      </c>
      <c r="F117" s="77" t="s">
        <v>277</v>
      </c>
      <c r="G117" s="102">
        <v>1500</v>
      </c>
      <c r="H117" s="102">
        <v>1500</v>
      </c>
      <c r="I117" s="107">
        <v>2</v>
      </c>
      <c r="J117" s="92">
        <v>130</v>
      </c>
      <c r="K117" s="92" t="s">
        <v>8</v>
      </c>
      <c r="L117" s="92">
        <v>4</v>
      </c>
      <c r="M117" s="92">
        <v>25</v>
      </c>
      <c r="N117" s="103">
        <f>COUNTIF(Table7[Spawner],Table1[[#This Row],[Spawner Prefab]])</f>
        <v>25</v>
      </c>
      <c r="O117" s="95">
        <f>ROUND((Table1[[#This Row],[Total in "Village" scene]]/SUM(Table1[Total in "Village" scene]))*100,1)</f>
        <v>1</v>
      </c>
      <c r="P117" s="109">
        <f>COUNTIF(Table15[Spawner],Table1[[#This Row],[Spawner Prefab]])</f>
        <v>6</v>
      </c>
      <c r="Q117" s="99">
        <f>ROUND((Table1[[#This Row],[Total in "Castle" scene]]/SUM(Table1[Total in "Castle" scene]))*100,1)</f>
        <v>0.3</v>
      </c>
      <c r="R117" s="104">
        <f>COUNTIF(Table20[Spawner],Table1[[#This Row],[Spawner Prefab]])</f>
        <v>0</v>
      </c>
      <c r="S117" s="96">
        <f>ROUND((Table1[[#This Row],[Total in "Dark" scene]]/SUM(Table1[Total in "Dark" scene]))*100,1)</f>
        <v>0</v>
      </c>
      <c r="T117" s="110">
        <f>Table1[[#This Row],[Total in "Village" scene]]+Table1[[#This Row],[Total in "Castle" scene]]+Table1[[#This Row],[Total in "Dark" scene]]</f>
        <v>31</v>
      </c>
      <c r="U117" s="98">
        <f>ROUND((Table1[[#This Row],[Total in the game]]/SUM(Table1[Total in the game]))*100,1)</f>
        <v>0.5</v>
      </c>
      <c r="V117" s="153" t="str">
        <f>Table1[[#This Row],[Content Sku]]</f>
        <v>MineSmall</v>
      </c>
      <c r="W117" s="172" t="s">
        <v>4429</v>
      </c>
      <c r="X117" s="114" t="s">
        <v>327</v>
      </c>
      <c r="Y117" s="114" t="s">
        <v>327</v>
      </c>
      <c r="Z117" s="114" t="s">
        <v>327</v>
      </c>
    </row>
    <row r="118" spans="4:26" x14ac:dyDescent="0.25">
      <c r="D118" s="77" t="s">
        <v>278</v>
      </c>
      <c r="E118" s="77" t="s">
        <v>275</v>
      </c>
      <c r="F118" s="77" t="s">
        <v>279</v>
      </c>
      <c r="G118" s="102">
        <v>1500</v>
      </c>
      <c r="H118" s="102">
        <v>1500</v>
      </c>
      <c r="I118" s="107">
        <v>2</v>
      </c>
      <c r="J118" s="92">
        <v>130</v>
      </c>
      <c r="K118" s="92" t="s">
        <v>8</v>
      </c>
      <c r="L118" s="92">
        <v>4</v>
      </c>
      <c r="M118" s="92">
        <v>25</v>
      </c>
      <c r="N118" s="103">
        <f>COUNTIF(Table7[Spawner],Table1[[#This Row],[Spawner Prefab]])</f>
        <v>31</v>
      </c>
      <c r="O118" s="95">
        <f>ROUND((Table1[[#This Row],[Total in "Village" scene]]/SUM(Table1[Total in "Village" scene]))*100,1)</f>
        <v>1.2</v>
      </c>
      <c r="P118" s="109">
        <f>COUNTIF(Table15[Spawner],Table1[[#This Row],[Spawner Prefab]])</f>
        <v>22</v>
      </c>
      <c r="Q118" s="99">
        <f>ROUND((Table1[[#This Row],[Total in "Castle" scene]]/SUM(Table1[Total in "Castle" scene]))*100,1)</f>
        <v>1.1000000000000001</v>
      </c>
      <c r="R118" s="104">
        <f>COUNTIF(Table20[Spawner],Table1[[#This Row],[Spawner Prefab]])</f>
        <v>0</v>
      </c>
      <c r="S118" s="96">
        <f>ROUND((Table1[[#This Row],[Total in "Dark" scene]]/SUM(Table1[Total in "Dark" scene]))*100,1)</f>
        <v>0</v>
      </c>
      <c r="T118" s="110">
        <f>Table1[[#This Row],[Total in "Village" scene]]+Table1[[#This Row],[Total in "Castle" scene]]+Table1[[#This Row],[Total in "Dark" scene]]</f>
        <v>53</v>
      </c>
      <c r="U118" s="98">
        <f>ROUND((Table1[[#This Row],[Total in the game]]/SUM(Table1[Total in the game]))*100,1)</f>
        <v>0.9</v>
      </c>
      <c r="V118" s="153" t="str">
        <f>Table1[[#This Row],[Content Sku]]</f>
        <v>MineSmall</v>
      </c>
      <c r="W118" s="157" t="s">
        <v>419</v>
      </c>
      <c r="X118" s="114" t="s">
        <v>328</v>
      </c>
      <c r="Y118" s="118" t="s">
        <v>328</v>
      </c>
      <c r="Z118" s="118" t="s">
        <v>328</v>
      </c>
    </row>
    <row r="119" spans="4:26" x14ac:dyDescent="0.25">
      <c r="D119" s="77" t="s">
        <v>537</v>
      </c>
      <c r="E119" s="77" t="s">
        <v>536</v>
      </c>
      <c r="F119" s="77" t="s">
        <v>538</v>
      </c>
      <c r="G119" s="102">
        <v>210</v>
      </c>
      <c r="H119" s="102">
        <v>210</v>
      </c>
      <c r="I119" s="107">
        <v>15</v>
      </c>
      <c r="J119" s="92">
        <v>65</v>
      </c>
      <c r="K119" s="92" t="s">
        <v>8</v>
      </c>
      <c r="L119" s="92">
        <v>4</v>
      </c>
      <c r="M119" s="92">
        <v>15</v>
      </c>
      <c r="N119" s="103">
        <f>COUNTIF(Table7[Spawner],Table1[[#This Row],[Spawner Prefab]])</f>
        <v>0</v>
      </c>
      <c r="O119" s="95">
        <f>ROUND((Table1[[#This Row],[Total in "Village" scene]]/SUM(Table1[Total in "Village" scene]))*100,1)</f>
        <v>0</v>
      </c>
      <c r="P119" s="109">
        <f>COUNTIF(Table15[Spawner],Table1[[#This Row],[Spawner Prefab]])</f>
        <v>0</v>
      </c>
      <c r="Q119" s="99">
        <f>ROUND((Table1[[#This Row],[Total in "Castle" scene]]/SUM(Table1[Total in "Castle" scene]))*100,1)</f>
        <v>0</v>
      </c>
      <c r="R119" s="104">
        <f>COUNTIF(Table20[Spawner],Table1[[#This Row],[Spawner Prefab]])</f>
        <v>5</v>
      </c>
      <c r="S119" s="96">
        <f>ROUND((Table1[[#This Row],[Total in "Dark" scene]]/SUM(Table1[Total in "Dark" scene]))*100,1)</f>
        <v>0.5</v>
      </c>
      <c r="T119" s="110">
        <f>Table1[[#This Row],[Total in "Village" scene]]+Table1[[#This Row],[Total in "Castle" scene]]+Table1[[#This Row],[Total in "Dark" scene]]</f>
        <v>5</v>
      </c>
      <c r="U119" s="98">
        <f>ROUND((Table1[[#This Row],[Total in the game]]/SUM(Table1[Total in the game]))*100,1)</f>
        <v>0.1</v>
      </c>
      <c r="V119" s="153" t="s">
        <v>536</v>
      </c>
      <c r="W119" s="159" t="s">
        <v>2445</v>
      </c>
      <c r="X119" s="146" t="s">
        <v>327</v>
      </c>
      <c r="Y119" s="146" t="s">
        <v>327</v>
      </c>
      <c r="Z119" s="146" t="s">
        <v>327</v>
      </c>
    </row>
    <row r="120" spans="4:26" x14ac:dyDescent="0.25">
      <c r="D120" s="77" t="s">
        <v>2743</v>
      </c>
      <c r="E120" s="77" t="s">
        <v>536</v>
      </c>
      <c r="F120" s="77" t="s">
        <v>2744</v>
      </c>
      <c r="G120" s="102">
        <v>210</v>
      </c>
      <c r="H120" s="102">
        <v>210</v>
      </c>
      <c r="I120" s="107">
        <v>15</v>
      </c>
      <c r="J120" s="92">
        <v>65</v>
      </c>
      <c r="K120" s="92" t="s">
        <v>8</v>
      </c>
      <c r="L120" s="92">
        <v>4</v>
      </c>
      <c r="M120" s="92">
        <v>15</v>
      </c>
      <c r="N120" s="103">
        <f>COUNTIF(Table7[Spawner],Table1[[#This Row],[Spawner Prefab]])</f>
        <v>0</v>
      </c>
      <c r="O120" s="95">
        <f>ROUND((Table1[[#This Row],[Total in "Village" scene]]/SUM(Table1[Total in "Village" scene]))*100,1)</f>
        <v>0</v>
      </c>
      <c r="P120" s="109">
        <f>COUNTIF(Table15[Spawner],Table1[[#This Row],[Spawner Prefab]])</f>
        <v>0</v>
      </c>
      <c r="Q120" s="99">
        <f>ROUND((Table1[[#This Row],[Total in "Castle" scene]]/SUM(Table1[Total in "Castle" scene]))*100,1)</f>
        <v>0</v>
      </c>
      <c r="R120" s="104">
        <f>COUNTIF(Table20[Spawner],Table1[[#This Row],[Spawner Prefab]])</f>
        <v>3</v>
      </c>
      <c r="S120" s="96">
        <f>ROUND((Table1[[#This Row],[Total in "Dark" scene]]/SUM(Table1[Total in "Dark" scene]))*100,1)</f>
        <v>0.3</v>
      </c>
      <c r="T120" s="110">
        <f>Table1[[#This Row],[Total in "Village" scene]]+Table1[[#This Row],[Total in "Castle" scene]]+Table1[[#This Row],[Total in "Dark" scene]]</f>
        <v>3</v>
      </c>
      <c r="U120" s="98">
        <f>ROUND((Table1[[#This Row],[Total in the game]]/SUM(Table1[Total in the game]))*100,1)</f>
        <v>0.1</v>
      </c>
      <c r="V120" s="153" t="s">
        <v>536</v>
      </c>
      <c r="W120" s="157" t="s">
        <v>292</v>
      </c>
      <c r="X120" s="114" t="s">
        <v>327</v>
      </c>
      <c r="Y120" s="118" t="s">
        <v>327</v>
      </c>
      <c r="Z120" s="118" t="s">
        <v>327</v>
      </c>
    </row>
    <row r="121" spans="4:26" x14ac:dyDescent="0.25">
      <c r="D121" s="77" t="s">
        <v>2675</v>
      </c>
      <c r="E121" s="77" t="s">
        <v>2644</v>
      </c>
      <c r="F121" s="77" t="s">
        <v>2651</v>
      </c>
      <c r="G121" s="102">
        <v>210</v>
      </c>
      <c r="H121" s="102">
        <v>210</v>
      </c>
      <c r="I121" s="107">
        <v>14</v>
      </c>
      <c r="J121" s="92">
        <v>50</v>
      </c>
      <c r="K121" s="92" t="s">
        <v>8</v>
      </c>
      <c r="L121" s="92">
        <v>2</v>
      </c>
      <c r="M121" s="92">
        <v>15</v>
      </c>
      <c r="N121" s="103">
        <f>COUNTIF(Table7[Spawner],Table1[[#This Row],[Spawner Prefab]])</f>
        <v>0</v>
      </c>
      <c r="O121" s="95">
        <f>ROUND((Table1[[#This Row],[Total in "Village" scene]]/SUM(Table1[Total in "Village" scene]))*100,1)</f>
        <v>0</v>
      </c>
      <c r="P121" s="109">
        <f>COUNTIF(Table15[Spawner],Table1[[#This Row],[Spawner Prefab]])</f>
        <v>0</v>
      </c>
      <c r="Q121" s="99">
        <f>ROUND((Table1[[#This Row],[Total in "Castle" scene]]/SUM(Table1[Total in "Castle" scene]))*100,1)</f>
        <v>0</v>
      </c>
      <c r="R121" s="104">
        <f>COUNTIF(Table20[Spawner],Table1[[#This Row],[Spawner Prefab]])</f>
        <v>7</v>
      </c>
      <c r="S121" s="96">
        <f>ROUND((Table1[[#This Row],[Total in "Dark" scene]]/SUM(Table1[Total in "Dark" scene]))*100,1)</f>
        <v>0.6</v>
      </c>
      <c r="T121" s="110">
        <f>Table1[[#This Row],[Total in "Village" scene]]+Table1[[#This Row],[Total in "Castle" scene]]+Table1[[#This Row],[Total in "Dark" scene]]</f>
        <v>7</v>
      </c>
      <c r="U121" s="98">
        <f>ROUND((Table1[[#This Row],[Total in the game]]/SUM(Table1[Total in the game]))*100,1)</f>
        <v>0.1</v>
      </c>
      <c r="V121" s="153" t="s">
        <v>536</v>
      </c>
      <c r="W121" s="157" t="s">
        <v>294</v>
      </c>
      <c r="X121" s="114" t="s">
        <v>327</v>
      </c>
      <c r="Y121" s="118" t="s">
        <v>327</v>
      </c>
      <c r="Z121" s="118" t="s">
        <v>327</v>
      </c>
    </row>
    <row r="122" spans="4:26" x14ac:dyDescent="0.25">
      <c r="D122" s="77" t="s">
        <v>280</v>
      </c>
      <c r="E122" s="77" t="s">
        <v>115</v>
      </c>
      <c r="F122" s="77" t="s">
        <v>281</v>
      </c>
      <c r="G122" s="102">
        <v>200</v>
      </c>
      <c r="H122" s="102">
        <v>200</v>
      </c>
      <c r="I122" s="107">
        <v>10</v>
      </c>
      <c r="J122" s="92">
        <v>28</v>
      </c>
      <c r="K122" s="92" t="s">
        <v>8</v>
      </c>
      <c r="L122" s="92">
        <v>1</v>
      </c>
      <c r="M122" s="92" t="s">
        <v>8</v>
      </c>
      <c r="N122" s="103">
        <f>COUNTIF(Table7[Spawner],Table1[[#This Row],[Spawner Prefab]])</f>
        <v>32</v>
      </c>
      <c r="O122" s="95">
        <f>ROUND((Table1[[#This Row],[Total in "Village" scene]]/SUM(Table1[Total in "Village" scene]))*100,1)</f>
        <v>1.3</v>
      </c>
      <c r="P122" s="109">
        <f>COUNTIF(Table15[Spawner],Table1[[#This Row],[Spawner Prefab]])</f>
        <v>28</v>
      </c>
      <c r="Q122" s="99">
        <f>ROUND((Table1[[#This Row],[Total in "Castle" scene]]/SUM(Table1[Total in "Castle" scene]))*100,1)</f>
        <v>1.3</v>
      </c>
      <c r="R122" s="104">
        <f>COUNTIF(Table20[Spawner],Table1[[#This Row],[Spawner Prefab]])</f>
        <v>0</v>
      </c>
      <c r="S122" s="96">
        <f>ROUND((Table1[[#This Row],[Total in "Dark" scene]]/SUM(Table1[Total in "Dark" scene]))*100,1)</f>
        <v>0</v>
      </c>
      <c r="T122" s="110">
        <f>Table1[[#This Row],[Total in "Village" scene]]+Table1[[#This Row],[Total in "Castle" scene]]+Table1[[#This Row],[Total in "Dark" scene]]</f>
        <v>60</v>
      </c>
      <c r="U122" s="98">
        <f>ROUND((Table1[[#This Row],[Total in the game]]/SUM(Table1[Total in the game]))*100,1)</f>
        <v>1</v>
      </c>
      <c r="V122" s="153" t="s">
        <v>8140</v>
      </c>
      <c r="W122" s="160" t="s">
        <v>2731</v>
      </c>
      <c r="X122" s="114" t="s">
        <v>327</v>
      </c>
      <c r="Y122" s="118" t="s">
        <v>327</v>
      </c>
      <c r="Z122" s="118" t="s">
        <v>327</v>
      </c>
    </row>
    <row r="123" spans="4:26" x14ac:dyDescent="0.25">
      <c r="D123" s="77" t="s">
        <v>2745</v>
      </c>
      <c r="E123" s="77" t="s">
        <v>3852</v>
      </c>
      <c r="F123" s="77" t="s">
        <v>2746</v>
      </c>
      <c r="G123" s="102">
        <v>150</v>
      </c>
      <c r="H123" s="102">
        <v>150</v>
      </c>
      <c r="I123" s="107">
        <v>14</v>
      </c>
      <c r="J123" s="92">
        <v>50</v>
      </c>
      <c r="K123" s="92" t="s">
        <v>8</v>
      </c>
      <c r="L123" s="92">
        <v>0</v>
      </c>
      <c r="M123" s="92" t="s">
        <v>8</v>
      </c>
      <c r="N123" s="103">
        <f>COUNTIF(Table7[Spawner],Table1[[#This Row],[Spawner Prefab]])</f>
        <v>0</v>
      </c>
      <c r="O123" s="95">
        <f>ROUND((Table1[[#This Row],[Total in "Village" scene]]/SUM(Table1[Total in "Village" scene]))*100,1)</f>
        <v>0</v>
      </c>
      <c r="P123" s="109">
        <f>COUNTIF(Table15[Spawner],Table1[[#This Row],[Spawner Prefab]])</f>
        <v>0</v>
      </c>
      <c r="Q123" s="99">
        <f>ROUND((Table1[[#This Row],[Total in "Castle" scene]]/SUM(Table1[Total in "Castle" scene]))*100,1)</f>
        <v>0</v>
      </c>
      <c r="R123" s="104">
        <f>COUNTIF(Table20[Spawner],Table1[[#This Row],[Spawner Prefab]])</f>
        <v>21</v>
      </c>
      <c r="S123" s="96">
        <f>ROUND((Table1[[#This Row],[Total in "Dark" scene]]/SUM(Table1[Total in "Dark" scene]))*100,1)</f>
        <v>1.9</v>
      </c>
      <c r="T123" s="110">
        <f>Table1[[#This Row],[Total in "Village" scene]]+Table1[[#This Row],[Total in "Castle" scene]]+Table1[[#This Row],[Total in "Dark" scene]]</f>
        <v>21</v>
      </c>
      <c r="U123" s="98">
        <f>ROUND((Table1[[#This Row],[Total in the game]]/SUM(Table1[Total in the game]))*100,1)</f>
        <v>0.4</v>
      </c>
      <c r="V123" s="153" t="s">
        <v>8140</v>
      </c>
      <c r="W123" s="160" t="s">
        <v>2733</v>
      </c>
      <c r="X123" s="114" t="s">
        <v>327</v>
      </c>
      <c r="Y123" s="118" t="s">
        <v>327</v>
      </c>
      <c r="Z123" s="118" t="s">
        <v>327</v>
      </c>
    </row>
    <row r="124" spans="4:26" x14ac:dyDescent="0.25">
      <c r="D124" s="77" t="s">
        <v>283</v>
      </c>
      <c r="E124" s="77" t="s">
        <v>282</v>
      </c>
      <c r="F124" s="77" t="s">
        <v>284</v>
      </c>
      <c r="G124" s="102">
        <v>170</v>
      </c>
      <c r="H124" s="102">
        <v>170</v>
      </c>
      <c r="I124" s="107">
        <v>5</v>
      </c>
      <c r="J124" s="92">
        <v>28</v>
      </c>
      <c r="K124" s="92" t="s">
        <v>8</v>
      </c>
      <c r="L124" s="92">
        <v>1</v>
      </c>
      <c r="M124" s="92">
        <v>2</v>
      </c>
      <c r="N124" s="103">
        <f>COUNTIF(Table7[Spawner],Table1[[#This Row],[Spawner Prefab]])</f>
        <v>18</v>
      </c>
      <c r="O124" s="95">
        <f>ROUND((Table1[[#This Row],[Total in "Village" scene]]/SUM(Table1[Total in "Village" scene]))*100,1)</f>
        <v>0.7</v>
      </c>
      <c r="P124" s="109">
        <f>COUNTIF(Table15[Spawner],Table1[[#This Row],[Spawner Prefab]])</f>
        <v>18</v>
      </c>
      <c r="Q124" s="99">
        <f>ROUND((Table1[[#This Row],[Total in "Castle" scene]]/SUM(Table1[Total in "Castle" scene]))*100,1)</f>
        <v>0.9</v>
      </c>
      <c r="R124" s="104">
        <f>COUNTIF(Table20[Spawner],Table1[[#This Row],[Spawner Prefab]])</f>
        <v>0</v>
      </c>
      <c r="S124" s="96">
        <f>ROUND((Table1[[#This Row],[Total in "Dark" scene]]/SUM(Table1[Total in "Dark" scene]))*100,1)</f>
        <v>0</v>
      </c>
      <c r="T124" s="110">
        <f>Table1[[#This Row],[Total in "Village" scene]]+Table1[[#This Row],[Total in "Castle" scene]]+Table1[[#This Row],[Total in "Dark" scene]]</f>
        <v>36</v>
      </c>
      <c r="U124" s="98">
        <f>ROUND((Table1[[#This Row],[Total in the game]]/SUM(Table1[Total in the game]))*100,1)</f>
        <v>0.6</v>
      </c>
      <c r="V124" s="153" t="s">
        <v>282</v>
      </c>
      <c r="W124" s="160" t="s">
        <v>2735</v>
      </c>
      <c r="X124" s="114" t="s">
        <v>327</v>
      </c>
      <c r="Y124" s="118" t="s">
        <v>327</v>
      </c>
      <c r="Z124" s="118" t="s">
        <v>327</v>
      </c>
    </row>
    <row r="125" spans="4:26" x14ac:dyDescent="0.25">
      <c r="D125" s="77" t="s">
        <v>2666</v>
      </c>
      <c r="E125" s="77" t="s">
        <v>2645</v>
      </c>
      <c r="F125" s="77" t="s">
        <v>2648</v>
      </c>
      <c r="G125" s="102">
        <v>170</v>
      </c>
      <c r="H125" s="102">
        <v>170</v>
      </c>
      <c r="I125" s="107">
        <v>10</v>
      </c>
      <c r="J125" s="92">
        <v>70</v>
      </c>
      <c r="K125" s="92" t="s">
        <v>8</v>
      </c>
      <c r="L125" s="92">
        <v>2</v>
      </c>
      <c r="M125" s="92">
        <v>2</v>
      </c>
      <c r="N125" s="103">
        <f>COUNTIF(Table7[Spawner],Table1[[#This Row],[Spawner Prefab]])</f>
        <v>0</v>
      </c>
      <c r="O125" s="95">
        <f>ROUND((Table1[[#This Row],[Total in "Village" scene]]/SUM(Table1[Total in "Village" scene]))*100,1)</f>
        <v>0</v>
      </c>
      <c r="P125" s="109">
        <f>COUNTIF(Table15[Spawner],Table1[[#This Row],[Spawner Prefab]])</f>
        <v>0</v>
      </c>
      <c r="Q125" s="99">
        <f>ROUND((Table1[[#This Row],[Total in "Castle" scene]]/SUM(Table1[Total in "Castle" scene]))*100,1)</f>
        <v>0</v>
      </c>
      <c r="R125" s="104">
        <f>COUNTIF(Table20[Spawner],Table1[[#This Row],[Spawner Prefab]])</f>
        <v>5</v>
      </c>
      <c r="S125" s="96">
        <f>ROUND((Table1[[#This Row],[Total in "Dark" scene]]/SUM(Table1[Total in "Dark" scene]))*100,1)</f>
        <v>0.5</v>
      </c>
      <c r="T125" s="110">
        <f>Table1[[#This Row],[Total in "Village" scene]]+Table1[[#This Row],[Total in "Castle" scene]]+Table1[[#This Row],[Total in "Dark" scene]]</f>
        <v>5</v>
      </c>
      <c r="U125" s="98">
        <f>ROUND((Table1[[#This Row],[Total in the game]]/SUM(Table1[Total in the game]))*100,1)</f>
        <v>0.1</v>
      </c>
      <c r="V125" s="153" t="s">
        <v>282</v>
      </c>
      <c r="W125" s="160" t="s">
        <v>2737</v>
      </c>
      <c r="X125" s="114" t="s">
        <v>327</v>
      </c>
      <c r="Y125" s="118" t="s">
        <v>327</v>
      </c>
      <c r="Z125" s="118" t="s">
        <v>327</v>
      </c>
    </row>
    <row r="126" spans="4:26" x14ac:dyDescent="0.25">
      <c r="D126" s="77" t="s">
        <v>286</v>
      </c>
      <c r="E126" s="77" t="s">
        <v>285</v>
      </c>
      <c r="F126" s="77" t="s">
        <v>287</v>
      </c>
      <c r="G126" s="102">
        <v>220</v>
      </c>
      <c r="H126" s="102">
        <v>220</v>
      </c>
      <c r="I126" s="107">
        <v>8</v>
      </c>
      <c r="J126" s="92">
        <v>25</v>
      </c>
      <c r="K126" s="92" t="s">
        <v>8</v>
      </c>
      <c r="L126" s="92">
        <v>0</v>
      </c>
      <c r="M126" s="92">
        <v>8</v>
      </c>
      <c r="N126" s="103">
        <f>COUNTIF(Table7[Spawner],Table1[[#This Row],[Spawner Prefab]])</f>
        <v>30</v>
      </c>
      <c r="O126" s="95">
        <f>ROUND((Table1[[#This Row],[Total in "Village" scene]]/SUM(Table1[Total in "Village" scene]))*100,1)</f>
        <v>1.2</v>
      </c>
      <c r="P126" s="109">
        <f>COUNTIF(Table15[Spawner],Table1[[#This Row],[Spawner Prefab]])</f>
        <v>23</v>
      </c>
      <c r="Q126" s="99">
        <f>ROUND((Table1[[#This Row],[Total in "Castle" scene]]/SUM(Table1[Total in "Castle" scene]))*100,1)</f>
        <v>1.1000000000000001</v>
      </c>
      <c r="R126" s="104">
        <f>COUNTIF(Table20[Spawner],Table1[[#This Row],[Spawner Prefab]])</f>
        <v>0</v>
      </c>
      <c r="S126" s="96">
        <f>ROUND((Table1[[#This Row],[Total in "Dark" scene]]/SUM(Table1[Total in "Dark" scene]))*100,1)</f>
        <v>0</v>
      </c>
      <c r="T126" s="110">
        <f>Table1[[#This Row],[Total in "Village" scene]]+Table1[[#This Row],[Total in "Castle" scene]]+Table1[[#This Row],[Total in "Dark" scene]]</f>
        <v>53</v>
      </c>
      <c r="U126" s="98">
        <f>ROUND((Table1[[#This Row],[Total in the game]]/SUM(Table1[Total in the game]))*100,1)</f>
        <v>0.9</v>
      </c>
      <c r="V126" s="153" t="str">
        <f>Table1[[#This Row],[Content Sku]]</f>
        <v>PufferBird</v>
      </c>
      <c r="W126" s="160" t="s">
        <v>2740</v>
      </c>
      <c r="X126" s="114" t="s">
        <v>327</v>
      </c>
      <c r="Y126" s="118" t="s">
        <v>327</v>
      </c>
      <c r="Z126" s="118" t="s">
        <v>327</v>
      </c>
    </row>
    <row r="127" spans="4:26" x14ac:dyDescent="0.25">
      <c r="D127" s="77" t="s">
        <v>289</v>
      </c>
      <c r="E127" s="77" t="s">
        <v>288</v>
      </c>
      <c r="F127" s="77" t="s">
        <v>290</v>
      </c>
      <c r="G127" s="102">
        <v>120</v>
      </c>
      <c r="H127" s="102">
        <v>120</v>
      </c>
      <c r="I127" s="107">
        <v>2</v>
      </c>
      <c r="J127" s="92">
        <v>25</v>
      </c>
      <c r="K127" s="92" t="s">
        <v>8</v>
      </c>
      <c r="L127" s="92">
        <v>0</v>
      </c>
      <c r="M127" s="92" t="s">
        <v>8</v>
      </c>
      <c r="N127" s="103">
        <f>COUNTIF(Table7[Spawner],Table1[[#This Row],[Spawner Prefab]])</f>
        <v>49</v>
      </c>
      <c r="O127" s="95">
        <f>ROUND((Table1[[#This Row],[Total in "Village" scene]]/SUM(Table1[Total in "Village" scene]))*100,1)</f>
        <v>1.9</v>
      </c>
      <c r="P127" s="109">
        <f>COUNTIF(Table15[Spawner],Table1[[#This Row],[Spawner Prefab]])</f>
        <v>54</v>
      </c>
      <c r="Q127" s="99">
        <f>ROUND((Table1[[#This Row],[Total in "Castle" scene]]/SUM(Table1[Total in "Castle" scene]))*100,1)</f>
        <v>2.6</v>
      </c>
      <c r="R127" s="104">
        <f>COUNTIF(Table20[Spawner],Table1[[#This Row],[Spawner Prefab]])</f>
        <v>0</v>
      </c>
      <c r="S127" s="96">
        <f>ROUND((Table1[[#This Row],[Total in "Dark" scene]]/SUM(Table1[Total in "Dark" scene]))*100,1)</f>
        <v>0</v>
      </c>
      <c r="T127" s="110">
        <f>Table1[[#This Row],[Total in "Village" scene]]+Table1[[#This Row],[Total in "Castle" scene]]+Table1[[#This Row],[Total in "Dark" scene]]</f>
        <v>103</v>
      </c>
      <c r="U127" s="98">
        <f>ROUND((Table1[[#This Row],[Total in the game]]/SUM(Table1[Total in the game]))*100,1)</f>
        <v>1.8</v>
      </c>
      <c r="V127" s="153" t="s">
        <v>288</v>
      </c>
      <c r="W127" s="160" t="s">
        <v>2760</v>
      </c>
      <c r="X127" s="146" t="s">
        <v>328</v>
      </c>
      <c r="Y127" s="146" t="s">
        <v>328</v>
      </c>
      <c r="Z127" s="146" t="s">
        <v>328</v>
      </c>
    </row>
    <row r="128" spans="4:26" x14ac:dyDescent="0.25">
      <c r="D128" s="77" t="s">
        <v>580</v>
      </c>
      <c r="E128" s="77" t="s">
        <v>288</v>
      </c>
      <c r="F128" s="77" t="s">
        <v>582</v>
      </c>
      <c r="G128" s="102">
        <v>120</v>
      </c>
      <c r="H128" s="102">
        <v>120</v>
      </c>
      <c r="I128" s="107">
        <v>2</v>
      </c>
      <c r="J128" s="92">
        <v>25</v>
      </c>
      <c r="K128" s="92" t="s">
        <v>8</v>
      </c>
      <c r="L128" s="92">
        <v>0</v>
      </c>
      <c r="M128" s="92" t="s">
        <v>8</v>
      </c>
      <c r="N128" s="103">
        <f>COUNTIF(Table7[Spawner],Table1[[#This Row],[Spawner Prefab]])</f>
        <v>0</v>
      </c>
      <c r="O128" s="95">
        <f>ROUND((Table1[[#This Row],[Total in "Village" scene]]/SUM(Table1[Total in "Village" scene]))*100,1)</f>
        <v>0</v>
      </c>
      <c r="P128" s="109">
        <f>COUNTIF(Table15[Spawner],Table1[[#This Row],[Spawner Prefab]])</f>
        <v>0</v>
      </c>
      <c r="Q128" s="99">
        <f>ROUND((Table1[[#This Row],[Total in "Castle" scene]]/SUM(Table1[Total in "Castle" scene]))*100,1)</f>
        <v>0</v>
      </c>
      <c r="R128" s="104">
        <f>COUNTIF(Table20[Spawner],Table1[[#This Row],[Spawner Prefab]])</f>
        <v>0</v>
      </c>
      <c r="S128" s="96">
        <f>ROUND((Table1[[#This Row],[Total in "Dark" scene]]/SUM(Table1[Total in "Dark" scene]))*100,1)</f>
        <v>0</v>
      </c>
      <c r="T128" s="110">
        <f>Table1[[#This Row],[Total in "Village" scene]]+Table1[[#This Row],[Total in "Castle" scene]]+Table1[[#This Row],[Total in "Dark" scene]]</f>
        <v>0</v>
      </c>
      <c r="U128" s="98">
        <f>ROUND((Table1[[#This Row],[Total in the game]]/SUM(Table1[Total in the game]))*100,1)</f>
        <v>0</v>
      </c>
      <c r="V128" s="153" t="s">
        <v>288</v>
      </c>
      <c r="W128" s="160" t="s">
        <v>2761</v>
      </c>
      <c r="X128" s="114" t="s">
        <v>327</v>
      </c>
      <c r="Y128" s="118" t="s">
        <v>327</v>
      </c>
      <c r="Z128" s="118" t="s">
        <v>327</v>
      </c>
    </row>
    <row r="129" spans="4:26" x14ac:dyDescent="0.25">
      <c r="D129" s="77" t="s">
        <v>4428</v>
      </c>
      <c r="E129" s="77" t="s">
        <v>4459</v>
      </c>
      <c r="F129" s="77" t="s">
        <v>4429</v>
      </c>
      <c r="G129" s="102">
        <v>120</v>
      </c>
      <c r="H129" s="102">
        <v>120</v>
      </c>
      <c r="I129" s="107">
        <v>5</v>
      </c>
      <c r="J129" s="92">
        <v>40</v>
      </c>
      <c r="K129" s="92" t="s">
        <v>8</v>
      </c>
      <c r="L129" s="92">
        <v>0</v>
      </c>
      <c r="M129" s="92" t="s">
        <v>8</v>
      </c>
      <c r="N129" s="103">
        <f>COUNTIF(Table7[Spawner],Table1[[#This Row],[Spawner Prefab]])</f>
        <v>0</v>
      </c>
      <c r="O129" s="95">
        <f>ROUND((Table1[[#This Row],[Total in "Village" scene]]/SUM(Table1[Total in "Village" scene]))*100,1)</f>
        <v>0</v>
      </c>
      <c r="P129" s="109">
        <f>COUNTIF(Table15[Spawner],Table1[[#This Row],[Spawner Prefab]])</f>
        <v>0</v>
      </c>
      <c r="Q129" s="99">
        <f>ROUND((Table1[[#This Row],[Total in "Castle" scene]]/SUM(Table1[Total in "Castle" scene]))*100,1)</f>
        <v>0</v>
      </c>
      <c r="R129" s="104">
        <f>COUNTIF(Table20[Spawner],Table1[[#This Row],[Spawner Prefab]])</f>
        <v>12</v>
      </c>
      <c r="S129" s="96">
        <f>ROUND((Table1[[#This Row],[Total in "Dark" scene]]/SUM(Table1[Total in "Dark" scene]))*100,1)</f>
        <v>1.1000000000000001</v>
      </c>
      <c r="T129" s="110">
        <f>Table1[[#This Row],[Total in "Village" scene]]+Table1[[#This Row],[Total in "Castle" scene]]+Table1[[#This Row],[Total in "Dark" scene]]</f>
        <v>12</v>
      </c>
      <c r="U129" s="98">
        <f>ROUND((Table1[[#This Row],[Total in the game]]/SUM(Table1[Total in the game]))*100,1)</f>
        <v>0.2</v>
      </c>
      <c r="V129" s="153" t="s">
        <v>288</v>
      </c>
      <c r="W129" s="160" t="s">
        <v>2762</v>
      </c>
      <c r="X129" s="114" t="s">
        <v>327</v>
      </c>
      <c r="Y129" s="118" t="s">
        <v>327</v>
      </c>
      <c r="Z129" s="118" t="s">
        <v>327</v>
      </c>
    </row>
    <row r="130" spans="4:26" x14ac:dyDescent="0.25">
      <c r="D130" s="77" t="s">
        <v>516</v>
      </c>
      <c r="E130" s="77" t="s">
        <v>288</v>
      </c>
      <c r="F130" s="77" t="s">
        <v>517</v>
      </c>
      <c r="G130" s="102">
        <v>120</v>
      </c>
      <c r="H130" s="102">
        <v>120</v>
      </c>
      <c r="I130" s="107">
        <v>2</v>
      </c>
      <c r="J130" s="92">
        <v>25</v>
      </c>
      <c r="K130" s="92" t="s">
        <v>8</v>
      </c>
      <c r="L130" s="92">
        <v>0</v>
      </c>
      <c r="M130" s="92" t="s">
        <v>8</v>
      </c>
      <c r="N130" s="103">
        <f>COUNTIF(Table7[Spawner],Table1[[#This Row],[Spawner Prefab]])</f>
        <v>3</v>
      </c>
      <c r="O130" s="95">
        <f>ROUND((Table1[[#This Row],[Total in "Village" scene]]/SUM(Table1[Total in "Village" scene]))*100,1)</f>
        <v>0.1</v>
      </c>
      <c r="P130" s="109">
        <f>COUNTIF(Table15[Spawner],Table1[[#This Row],[Spawner Prefab]])</f>
        <v>0</v>
      </c>
      <c r="Q130" s="99">
        <f>ROUND((Table1[[#This Row],[Total in "Castle" scene]]/SUM(Table1[Total in "Castle" scene]))*100,1)</f>
        <v>0</v>
      </c>
      <c r="R130" s="104">
        <f>COUNTIF(Table20[Spawner],Table1[[#This Row],[Spawner Prefab]])</f>
        <v>0</v>
      </c>
      <c r="S130" s="96">
        <f>ROUND((Table1[[#This Row],[Total in "Dark" scene]]/SUM(Table1[Total in "Dark" scene]))*100,1)</f>
        <v>0</v>
      </c>
      <c r="T130" s="110">
        <f>Table1[[#This Row],[Total in "Village" scene]]+Table1[[#This Row],[Total in "Castle" scene]]+Table1[[#This Row],[Total in "Dark" scene]]</f>
        <v>3</v>
      </c>
      <c r="U130" s="98">
        <f>ROUND((Table1[[#This Row],[Total in the game]]/SUM(Table1[Total in the game]))*100,1)</f>
        <v>0.1</v>
      </c>
      <c r="V130" s="153" t="s">
        <v>288</v>
      </c>
      <c r="W130" s="159" t="s">
        <v>2649</v>
      </c>
      <c r="X130" s="146" t="s">
        <v>327</v>
      </c>
      <c r="Y130" s="146" t="s">
        <v>327</v>
      </c>
      <c r="Z130" s="146" t="s">
        <v>327</v>
      </c>
    </row>
    <row r="131" spans="4:26" x14ac:dyDescent="0.25">
      <c r="D131" s="77" t="s">
        <v>418</v>
      </c>
      <c r="E131" s="77" t="s">
        <v>417</v>
      </c>
      <c r="F131" s="77" t="s">
        <v>419</v>
      </c>
      <c r="G131" s="102">
        <v>280</v>
      </c>
      <c r="H131" s="102">
        <v>280</v>
      </c>
      <c r="I131" s="107">
        <v>20</v>
      </c>
      <c r="J131" s="92">
        <v>70</v>
      </c>
      <c r="K131" s="92" t="s">
        <v>8</v>
      </c>
      <c r="L131" s="92">
        <v>2</v>
      </c>
      <c r="M131" s="92" t="s">
        <v>8</v>
      </c>
      <c r="N131" s="103">
        <f>COUNTIF(Table7[Spawner],Table1[[#This Row],[Spawner Prefab]])</f>
        <v>12</v>
      </c>
      <c r="O131" s="95">
        <f>ROUND((Table1[[#This Row],[Total in "Village" scene]]/SUM(Table1[Total in "Village" scene]))*100,1)</f>
        <v>0.5</v>
      </c>
      <c r="P131" s="109">
        <f>COUNTIF(Table15[Spawner],Table1[[#This Row],[Spawner Prefab]])</f>
        <v>6</v>
      </c>
      <c r="Q131" s="99">
        <f>ROUND((Table1[[#This Row],[Total in "Castle" scene]]/SUM(Table1[Total in "Castle" scene]))*100,1)</f>
        <v>0.3</v>
      </c>
      <c r="R131" s="104">
        <f>COUNTIF(Table20[Spawner],Table1[[#This Row],[Spawner Prefab]])</f>
        <v>5</v>
      </c>
      <c r="S131" s="96">
        <f>ROUND((Table1[[#This Row],[Total in "Dark" scene]]/SUM(Table1[Total in "Dark" scene]))*100,1)</f>
        <v>0.5</v>
      </c>
      <c r="T131" s="110">
        <f>Table1[[#This Row],[Total in "Village" scene]]+Table1[[#This Row],[Total in "Castle" scene]]+Table1[[#This Row],[Total in "Dark" scene]]</f>
        <v>23</v>
      </c>
      <c r="U131" s="98">
        <f>ROUND((Table1[[#This Row],[Total in the game]]/SUM(Table1[Total in the game]))*100,1)</f>
        <v>0.4</v>
      </c>
      <c r="V131" s="153" t="s">
        <v>417</v>
      </c>
      <c r="W131" s="157" t="s">
        <v>334</v>
      </c>
      <c r="X131" s="114" t="s">
        <v>327</v>
      </c>
      <c r="Y131" s="118" t="s">
        <v>327</v>
      </c>
      <c r="Z131" s="118" t="s">
        <v>327</v>
      </c>
    </row>
    <row r="132" spans="4:26" x14ac:dyDescent="0.25">
      <c r="D132" s="77" t="s">
        <v>2443</v>
      </c>
      <c r="E132" s="77" t="s">
        <v>2444</v>
      </c>
      <c r="F132" s="77" t="s">
        <v>2445</v>
      </c>
      <c r="G132" s="102">
        <v>240</v>
      </c>
      <c r="H132" s="102">
        <v>240</v>
      </c>
      <c r="I132" s="107">
        <v>12</v>
      </c>
      <c r="J132" s="92">
        <v>75</v>
      </c>
      <c r="K132" s="92" t="s">
        <v>8</v>
      </c>
      <c r="L132" s="92">
        <v>0</v>
      </c>
      <c r="M132" s="92" t="s">
        <v>8</v>
      </c>
      <c r="N132" s="103">
        <f>COUNTIF(Table7[Spawner],Table1[[#This Row],[Spawner Prefab]])</f>
        <v>6</v>
      </c>
      <c r="O132" s="95">
        <f>ROUND((Table1[[#This Row],[Total in "Village" scene]]/SUM(Table1[Total in "Village" scene]))*100,1)</f>
        <v>0.2</v>
      </c>
      <c r="P132" s="109">
        <f>COUNTIF(Table15[Spawner],Table1[[#This Row],[Spawner Prefab]])</f>
        <v>0</v>
      </c>
      <c r="Q132" s="99">
        <f>ROUND((Table1[[#This Row],[Total in "Castle" scene]]/SUM(Table1[Total in "Castle" scene]))*100,1)</f>
        <v>0</v>
      </c>
      <c r="R132" s="104">
        <f>COUNTIF(Table20[Spawner],Table1[[#This Row],[Spawner Prefab]])</f>
        <v>0</v>
      </c>
      <c r="S132" s="96">
        <f>ROUND((Table1[[#This Row],[Total in "Dark" scene]]/SUM(Table1[Total in "Dark" scene]))*100,1)</f>
        <v>0</v>
      </c>
      <c r="T132" s="110">
        <f>Table1[[#This Row],[Total in "Village" scene]]+Table1[[#This Row],[Total in "Castle" scene]]+Table1[[#This Row],[Total in "Dark" scene]]</f>
        <v>6</v>
      </c>
      <c r="U132" s="98">
        <f>ROUND((Table1[[#This Row],[Total in the game]]/SUM(Table1[Total in the game]))*100,1)</f>
        <v>0.1</v>
      </c>
      <c r="V132" s="153" t="s">
        <v>417</v>
      </c>
      <c r="W132" s="160" t="s">
        <v>2764</v>
      </c>
      <c r="X132" s="114" t="s">
        <v>327</v>
      </c>
      <c r="Y132" s="118" t="s">
        <v>327</v>
      </c>
      <c r="Z132" s="118" t="s">
        <v>327</v>
      </c>
    </row>
    <row r="133" spans="4:26" x14ac:dyDescent="0.25">
      <c r="D133" s="77" t="s">
        <v>291</v>
      </c>
      <c r="E133" s="77" t="s">
        <v>72</v>
      </c>
      <c r="F133" s="77" t="s">
        <v>292</v>
      </c>
      <c r="G133" s="102">
        <v>260</v>
      </c>
      <c r="H133" s="102">
        <v>260</v>
      </c>
      <c r="I133" s="107">
        <v>15</v>
      </c>
      <c r="J133" s="92">
        <v>50</v>
      </c>
      <c r="K133" s="92" t="s">
        <v>8</v>
      </c>
      <c r="L133" s="92">
        <v>0</v>
      </c>
      <c r="M133" s="92" t="s">
        <v>8</v>
      </c>
      <c r="N133" s="103">
        <f>COUNTIF(Table7[Spawner],Table1[[#This Row],[Spawner Prefab]])</f>
        <v>0</v>
      </c>
      <c r="O133" s="95">
        <f>ROUND((Table1[[#This Row],[Total in "Village" scene]]/SUM(Table1[Total in "Village" scene]))*100,1)</f>
        <v>0</v>
      </c>
      <c r="P133" s="109">
        <f>COUNTIF(Table15[Spawner],Table1[[#This Row],[Spawner Prefab]])</f>
        <v>7</v>
      </c>
      <c r="Q133" s="99">
        <f>ROUND((Table1[[#This Row],[Total in "Castle" scene]]/SUM(Table1[Total in "Castle" scene]))*100,1)</f>
        <v>0.3</v>
      </c>
      <c r="R133" s="104">
        <f>COUNTIF(Table20[Spawner],Table1[[#This Row],[Spawner Prefab]])</f>
        <v>0</v>
      </c>
      <c r="S133" s="96">
        <f>ROUND((Table1[[#This Row],[Total in "Dark" scene]]/SUM(Table1[Total in "Dark" scene]))*100,1)</f>
        <v>0</v>
      </c>
      <c r="T133" s="110">
        <f>Table1[[#This Row],[Total in "Village" scene]]+Table1[[#This Row],[Total in "Castle" scene]]+Table1[[#This Row],[Total in "Dark" scene]]</f>
        <v>7</v>
      </c>
      <c r="U133" s="98">
        <f>ROUND((Table1[[#This Row],[Total in the game]]/SUM(Table1[Total in the game]))*100,1)</f>
        <v>0.1</v>
      </c>
      <c r="V133" s="153" t="str">
        <f>Table1[[#This Row],[Content Sku]]</f>
        <v>RichMan</v>
      </c>
      <c r="W133" s="159" t="s">
        <v>2650</v>
      </c>
      <c r="X133" s="146" t="s">
        <v>328</v>
      </c>
      <c r="Y133" s="146" t="s">
        <v>328</v>
      </c>
      <c r="Z133" s="146" t="s">
        <v>328</v>
      </c>
    </row>
    <row r="134" spans="4:26" x14ac:dyDescent="0.25">
      <c r="D134" s="77" t="s">
        <v>293</v>
      </c>
      <c r="E134" s="77" t="s">
        <v>72</v>
      </c>
      <c r="F134" s="77" t="s">
        <v>294</v>
      </c>
      <c r="G134" s="102">
        <v>260</v>
      </c>
      <c r="H134" s="102">
        <v>260</v>
      </c>
      <c r="I134" s="107">
        <v>15</v>
      </c>
      <c r="J134" s="92">
        <v>50</v>
      </c>
      <c r="K134" s="92" t="s">
        <v>8</v>
      </c>
      <c r="L134" s="92">
        <v>0</v>
      </c>
      <c r="M134" s="92" t="s">
        <v>8</v>
      </c>
      <c r="N134" s="103">
        <f>COUNTIF(Table7[Spawner],Table1[[#This Row],[Spawner Prefab]])</f>
        <v>0</v>
      </c>
      <c r="O134" s="95">
        <f>ROUND((Table1[[#This Row],[Total in "Village" scene]]/SUM(Table1[Total in "Village" scene]))*100,1)</f>
        <v>0</v>
      </c>
      <c r="P134" s="109">
        <f>COUNTIF(Table15[Spawner],Table1[[#This Row],[Spawner Prefab]])</f>
        <v>18</v>
      </c>
      <c r="Q134" s="99">
        <f>ROUND((Table1[[#This Row],[Total in "Castle" scene]]/SUM(Table1[Total in "Castle" scene]))*100,1)</f>
        <v>0.9</v>
      </c>
      <c r="R134" s="104">
        <f>COUNTIF(Table20[Spawner],Table1[[#This Row],[Spawner Prefab]])</f>
        <v>0</v>
      </c>
      <c r="S134" s="96">
        <f>ROUND((Table1[[#This Row],[Total in "Dark" scene]]/SUM(Table1[Total in "Dark" scene]))*100,1)</f>
        <v>0</v>
      </c>
      <c r="T134" s="110">
        <f>Table1[[#This Row],[Total in "Village" scene]]+Table1[[#This Row],[Total in "Castle" scene]]+Table1[[#This Row],[Total in "Dark" scene]]</f>
        <v>18</v>
      </c>
      <c r="U134" s="98">
        <f>ROUND((Table1[[#This Row],[Total in the game]]/SUM(Table1[Total in the game]))*100,1)</f>
        <v>0.3</v>
      </c>
      <c r="V134" s="153" t="str">
        <f>Table1[[#This Row],[Content Sku]]</f>
        <v>RichMan</v>
      </c>
      <c r="W134" s="186" t="s">
        <v>8096</v>
      </c>
      <c r="X134" s="187" t="s">
        <v>328</v>
      </c>
      <c r="Y134" s="187" t="s">
        <v>328</v>
      </c>
      <c r="Z134" s="187" t="s">
        <v>328</v>
      </c>
    </row>
    <row r="135" spans="4:26" x14ac:dyDescent="0.25">
      <c r="D135" s="77" t="s">
        <v>2663</v>
      </c>
      <c r="E135" s="77" t="s">
        <v>2646</v>
      </c>
      <c r="F135" s="77" t="s">
        <v>2649</v>
      </c>
      <c r="G135" s="102">
        <v>110</v>
      </c>
      <c r="H135" s="102">
        <v>110</v>
      </c>
      <c r="I135" s="107">
        <v>20</v>
      </c>
      <c r="J135" s="92">
        <v>105</v>
      </c>
      <c r="K135" s="92" t="s">
        <v>8</v>
      </c>
      <c r="L135" s="92">
        <v>2</v>
      </c>
      <c r="M135" s="92" t="s">
        <v>8</v>
      </c>
      <c r="N135" s="103">
        <f>COUNTIF(Table7[Spawner],Table1[[#This Row],[Spawner Prefab]])</f>
        <v>0</v>
      </c>
      <c r="O135" s="95">
        <f>ROUND((Table1[[#This Row],[Total in "Village" scene]]/SUM(Table1[Total in "Village" scene]))*100,1)</f>
        <v>0</v>
      </c>
      <c r="P135" s="109">
        <f>COUNTIF(Table15[Spawner],Table1[[#This Row],[Spawner Prefab]])</f>
        <v>0</v>
      </c>
      <c r="Q135" s="99">
        <f>ROUND((Table1[[#This Row],[Total in "Castle" scene]]/SUM(Table1[Total in "Castle" scene]))*100,1)</f>
        <v>0</v>
      </c>
      <c r="R135" s="104">
        <f>COUNTIF(Table20[Spawner],Table1[[#This Row],[Spawner Prefab]])</f>
        <v>16</v>
      </c>
      <c r="S135" s="96">
        <f>ROUND((Table1[[#This Row],[Total in "Dark" scene]]/SUM(Table1[Total in "Dark" scene]))*100,1)</f>
        <v>1.4</v>
      </c>
      <c r="T135" s="110">
        <f>Table1[[#This Row],[Total in "Village" scene]]+Table1[[#This Row],[Total in "Castle" scene]]+Table1[[#This Row],[Total in "Dark" scene]]</f>
        <v>16</v>
      </c>
      <c r="U135" s="98">
        <f>ROUND((Table1[[#This Row],[Total in the game]]/SUM(Table1[Total in the game]))*100,1)</f>
        <v>0.3</v>
      </c>
      <c r="V135" s="153" t="str">
        <f>Table1[[#This Row],[Content Sku]]</f>
        <v>Scarab</v>
      </c>
      <c r="W135" s="157" t="s">
        <v>296</v>
      </c>
      <c r="X135" s="114" t="s">
        <v>327</v>
      </c>
      <c r="Y135" s="118" t="s">
        <v>327</v>
      </c>
      <c r="Z135" s="118" t="s">
        <v>327</v>
      </c>
    </row>
    <row r="136" spans="4:26" x14ac:dyDescent="0.25">
      <c r="D136" s="77" t="s">
        <v>333</v>
      </c>
      <c r="E136" s="77" t="s">
        <v>69</v>
      </c>
      <c r="F136" s="77" t="s">
        <v>334</v>
      </c>
      <c r="G136" s="102">
        <v>130</v>
      </c>
      <c r="H136" s="102">
        <v>130</v>
      </c>
      <c r="I136" s="107">
        <v>15</v>
      </c>
      <c r="J136" s="92">
        <v>50</v>
      </c>
      <c r="K136" s="92" t="s">
        <v>8</v>
      </c>
      <c r="L136" s="92">
        <v>0</v>
      </c>
      <c r="M136" s="92" t="s">
        <v>8</v>
      </c>
      <c r="N136" s="103">
        <f>COUNTIF(Table7[Spawner],Table1[[#This Row],[Spawner Prefab]])</f>
        <v>2</v>
      </c>
      <c r="O136" s="95">
        <f>ROUND((Table1[[#This Row],[Total in "Village" scene]]/SUM(Table1[Total in "Village" scene]))*100,1)</f>
        <v>0.1</v>
      </c>
      <c r="P136" s="109">
        <f>COUNTIF(Table15[Spawner],Table1[[#This Row],[Spawner Prefab]])</f>
        <v>0</v>
      </c>
      <c r="Q136" s="99">
        <f>ROUND((Table1[[#This Row],[Total in "Castle" scene]]/SUM(Table1[Total in "Castle" scene]))*100,1)</f>
        <v>0</v>
      </c>
      <c r="R136" s="104">
        <f>COUNTIF(Table20[Spawner],Table1[[#This Row],[Spawner Prefab]])</f>
        <v>0</v>
      </c>
      <c r="S136" s="96">
        <f>ROUND((Table1[[#This Row],[Total in "Dark" scene]]/SUM(Table1[Total in "Dark" scene]))*100,1)</f>
        <v>0</v>
      </c>
      <c r="T136" s="110">
        <f>Table1[[#This Row],[Total in "Village" scene]]+Table1[[#This Row],[Total in "Castle" scene]]+Table1[[#This Row],[Total in "Dark" scene]]</f>
        <v>2</v>
      </c>
      <c r="U136" s="98">
        <f>ROUND((Table1[[#This Row],[Total in the game]]/SUM(Table1[Total in the game]))*100,1)</f>
        <v>0</v>
      </c>
      <c r="V136" s="153" t="str">
        <f>Table1[[#This Row],[Content Sku]]</f>
        <v>BoatFisher</v>
      </c>
      <c r="W136" s="157" t="s">
        <v>298</v>
      </c>
      <c r="X136" s="114" t="s">
        <v>327</v>
      </c>
      <c r="Y136" s="118" t="s">
        <v>327</v>
      </c>
      <c r="Z136" s="118" t="s">
        <v>327</v>
      </c>
    </row>
    <row r="137" spans="4:26" x14ac:dyDescent="0.25">
      <c r="D137" s="77" t="s">
        <v>2669</v>
      </c>
      <c r="E137" s="77" t="s">
        <v>2647</v>
      </c>
      <c r="F137" s="77" t="s">
        <v>2650</v>
      </c>
      <c r="G137" s="102">
        <v>180</v>
      </c>
      <c r="H137" s="102">
        <v>180</v>
      </c>
      <c r="I137" s="107">
        <v>150</v>
      </c>
      <c r="J137" s="92">
        <v>195</v>
      </c>
      <c r="K137" s="92" t="s">
        <v>8</v>
      </c>
      <c r="L137" s="92">
        <v>4</v>
      </c>
      <c r="M137" s="92" t="s">
        <v>8</v>
      </c>
      <c r="N137" s="103">
        <f>COUNTIF(Table7[Spawner],Table1[[#This Row],[Spawner Prefab]])</f>
        <v>0</v>
      </c>
      <c r="O137" s="95">
        <f>ROUND((Table1[[#This Row],[Total in "Village" scene]]/SUM(Table1[Total in "Village" scene]))*100,1)</f>
        <v>0</v>
      </c>
      <c r="P137" s="109">
        <f>COUNTIF(Table15[Spawner],Table1[[#This Row],[Spawner Prefab]])</f>
        <v>0</v>
      </c>
      <c r="Q137" s="99">
        <f>ROUND((Table1[[#This Row],[Total in "Castle" scene]]/SUM(Table1[Total in "Castle" scene]))*100,1)</f>
        <v>0</v>
      </c>
      <c r="R137" s="104">
        <f>COUNTIF(Table20[Spawner],Table1[[#This Row],[Spawner Prefab]])</f>
        <v>8</v>
      </c>
      <c r="S137" s="96">
        <f>ROUND((Table1[[#This Row],[Total in "Dark" scene]]/SUM(Table1[Total in "Dark" scene]))*100,1)</f>
        <v>0.7</v>
      </c>
      <c r="T137" s="110">
        <f>Table1[[#This Row],[Total in "Village" scene]]+Table1[[#This Row],[Total in "Castle" scene]]+Table1[[#This Row],[Total in "Dark" scene]]</f>
        <v>8</v>
      </c>
      <c r="U137" s="98">
        <f>ROUND((Table1[[#This Row],[Total in the game]]/SUM(Table1[Total in the game]))*100,1)</f>
        <v>0.1</v>
      </c>
      <c r="V137" s="153" t="str">
        <f>Table1[[#This Row],[Content Sku]]</f>
        <v>Shark</v>
      </c>
      <c r="W137" s="157" t="s">
        <v>301</v>
      </c>
      <c r="X137" s="114" t="s">
        <v>327</v>
      </c>
      <c r="Y137" s="118" t="s">
        <v>327</v>
      </c>
      <c r="Z137" s="118" t="s">
        <v>327</v>
      </c>
    </row>
    <row r="138" spans="4:26" x14ac:dyDescent="0.25">
      <c r="D138" s="77" t="s">
        <v>295</v>
      </c>
      <c r="E138" s="77" t="s">
        <v>73</v>
      </c>
      <c r="F138" s="77" t="s">
        <v>296</v>
      </c>
      <c r="G138" s="102">
        <v>200</v>
      </c>
      <c r="H138" s="102">
        <v>200</v>
      </c>
      <c r="I138" s="107">
        <v>7</v>
      </c>
      <c r="J138" s="92">
        <v>75</v>
      </c>
      <c r="K138" s="92" t="s">
        <v>8</v>
      </c>
      <c r="L138" s="92">
        <v>0</v>
      </c>
      <c r="M138" s="92" t="s">
        <v>8</v>
      </c>
      <c r="N138" s="103">
        <f>COUNTIF(Table7[Spawner],Table1[[#This Row],[Spawner Prefab]])</f>
        <v>44</v>
      </c>
      <c r="O138" s="95">
        <f>ROUND((Table1[[#This Row],[Total in "Village" scene]]/SUM(Table1[Total in "Village" scene]))*100,1)</f>
        <v>1.7</v>
      </c>
      <c r="P138" s="109">
        <f>COUNTIF(Table15[Spawner],Table1[[#This Row],[Spawner Prefab]])</f>
        <v>0</v>
      </c>
      <c r="Q138" s="99">
        <f>ROUND((Table1[[#This Row],[Total in "Castle" scene]]/SUM(Table1[Total in "Castle" scene]))*100,1)</f>
        <v>0</v>
      </c>
      <c r="R138" s="104">
        <f>COUNTIF(Table20[Spawner],Table1[[#This Row],[Spawner Prefab]])</f>
        <v>0</v>
      </c>
      <c r="S138" s="96">
        <f>ROUND((Table1[[#This Row],[Total in "Dark" scene]]/SUM(Table1[Total in "Dark" scene]))*100,1)</f>
        <v>0</v>
      </c>
      <c r="T138" s="110">
        <f>Table1[[#This Row],[Total in "Village" scene]]+Table1[[#This Row],[Total in "Castle" scene]]+Table1[[#This Row],[Total in "Dark" scene]]</f>
        <v>44</v>
      </c>
      <c r="U138" s="98">
        <f>ROUND((Table1[[#This Row],[Total in the game]]/SUM(Table1[Total in the game]))*100,1)</f>
        <v>0.8</v>
      </c>
      <c r="V138" s="153" t="str">
        <f>Table1[[#This Row],[Content Sku]]</f>
        <v>Sheep</v>
      </c>
      <c r="W138" s="157" t="s">
        <v>541</v>
      </c>
      <c r="X138" s="114" t="s">
        <v>327</v>
      </c>
      <c r="Y138" s="118" t="s">
        <v>327</v>
      </c>
      <c r="Z138" s="118" t="s">
        <v>327</v>
      </c>
    </row>
    <row r="139" spans="4:26" x14ac:dyDescent="0.25">
      <c r="D139" s="77" t="s">
        <v>297</v>
      </c>
      <c r="E139" s="77" t="s">
        <v>73</v>
      </c>
      <c r="F139" s="77" t="s">
        <v>298</v>
      </c>
      <c r="G139" s="102">
        <v>200</v>
      </c>
      <c r="H139" s="102">
        <v>200</v>
      </c>
      <c r="I139" s="107">
        <v>7</v>
      </c>
      <c r="J139" s="92">
        <v>75</v>
      </c>
      <c r="K139" s="92" t="s">
        <v>8</v>
      </c>
      <c r="L139" s="92">
        <v>0</v>
      </c>
      <c r="M139" s="92" t="s">
        <v>8</v>
      </c>
      <c r="N139" s="103">
        <f>COUNTIF(Table7[Spawner],Table1[[#This Row],[Spawner Prefab]])</f>
        <v>2</v>
      </c>
      <c r="O139" s="95">
        <f>ROUND((Table1[[#This Row],[Total in "Village" scene]]/SUM(Table1[Total in "Village" scene]))*100,1)</f>
        <v>0.1</v>
      </c>
      <c r="P139" s="109">
        <f>COUNTIF(Table15[Spawner],Table1[[#This Row],[Spawner Prefab]])</f>
        <v>0</v>
      </c>
      <c r="Q139" s="99">
        <f>ROUND((Table1[[#This Row],[Total in "Castle" scene]]/SUM(Table1[Total in "Castle" scene]))*100,1)</f>
        <v>0</v>
      </c>
      <c r="R139" s="104">
        <f>COUNTIF(Table20[Spawner],Table1[[#This Row],[Spawner Prefab]])</f>
        <v>0</v>
      </c>
      <c r="S139" s="96">
        <f>ROUND((Table1[[#This Row],[Total in "Dark" scene]]/SUM(Table1[Total in "Dark" scene]))*100,1)</f>
        <v>0</v>
      </c>
      <c r="T139" s="110">
        <f>Table1[[#This Row],[Total in "Village" scene]]+Table1[[#This Row],[Total in "Castle" scene]]+Table1[[#This Row],[Total in "Dark" scene]]</f>
        <v>2</v>
      </c>
      <c r="U139" s="98">
        <f>ROUND((Table1[[#This Row],[Total in the game]]/SUM(Table1[Total in the game]))*100,1)</f>
        <v>0</v>
      </c>
      <c r="V139" s="153" t="str">
        <f>Table1[[#This Row],[Content Sku]]</f>
        <v>Sheep</v>
      </c>
      <c r="W139" s="158" t="s">
        <v>544</v>
      </c>
      <c r="X139" s="145" t="s">
        <v>328</v>
      </c>
      <c r="Y139" s="146" t="s">
        <v>328</v>
      </c>
      <c r="Z139" s="146" t="s">
        <v>328</v>
      </c>
    </row>
    <row r="140" spans="4:26" x14ac:dyDescent="0.25">
      <c r="D140" s="77" t="s">
        <v>300</v>
      </c>
      <c r="E140" s="77" t="s">
        <v>299</v>
      </c>
      <c r="F140" s="77" t="s">
        <v>301</v>
      </c>
      <c r="G140" s="102">
        <v>300</v>
      </c>
      <c r="H140" s="102">
        <v>300</v>
      </c>
      <c r="I140" s="107">
        <v>30</v>
      </c>
      <c r="J140" s="92">
        <v>105</v>
      </c>
      <c r="K140" s="92" t="s">
        <v>8</v>
      </c>
      <c r="L140" s="92">
        <v>2</v>
      </c>
      <c r="M140" s="92" t="s">
        <v>8</v>
      </c>
      <c r="N140" s="103">
        <f>COUNTIF(Table7[Spawner],Table1[[#This Row],[Spawner Prefab]])</f>
        <v>0</v>
      </c>
      <c r="O140" s="95">
        <f>ROUND((Table1[[#This Row],[Total in "Village" scene]]/SUM(Table1[Total in "Village" scene]))*100,1)</f>
        <v>0</v>
      </c>
      <c r="P140" s="109">
        <f>COUNTIF(Table15[Spawner],Table1[[#This Row],[Spawner Prefab]])</f>
        <v>6</v>
      </c>
      <c r="Q140" s="99">
        <f>ROUND((Table1[[#This Row],[Total in "Castle" scene]]/SUM(Table1[Total in "Castle" scene]))*100,1)</f>
        <v>0.3</v>
      </c>
      <c r="R140" s="104">
        <f>COUNTIF(Table20[Spawner],Table1[[#This Row],[Spawner Prefab]])</f>
        <v>0</v>
      </c>
      <c r="S140" s="96">
        <f>ROUND((Table1[[#This Row],[Total in "Dark" scene]]/SUM(Table1[Total in "Dark" scene]))*100,1)</f>
        <v>0</v>
      </c>
      <c r="T140" s="110">
        <f>Table1[[#This Row],[Total in "Village" scene]]+Table1[[#This Row],[Total in "Castle" scene]]+Table1[[#This Row],[Total in "Dark" scene]]</f>
        <v>6</v>
      </c>
      <c r="U140" s="98">
        <f>ROUND((Table1[[#This Row],[Total in the game]]/SUM(Table1[Total in the game]))*100,1)</f>
        <v>0.1</v>
      </c>
      <c r="V140" s="153" t="str">
        <f>Table1[[#This Row],[Content Sku]]</f>
        <v>ShieldMan</v>
      </c>
      <c r="W140" s="157" t="s">
        <v>577</v>
      </c>
      <c r="X140" s="114" t="s">
        <v>327</v>
      </c>
      <c r="Y140" s="118" t="s">
        <v>327</v>
      </c>
      <c r="Z140" s="118" t="s">
        <v>327</v>
      </c>
    </row>
    <row r="141" spans="4:26" x14ac:dyDescent="0.25">
      <c r="D141" s="77" t="s">
        <v>540</v>
      </c>
      <c r="E141" s="77" t="s">
        <v>539</v>
      </c>
      <c r="F141" s="77" t="s">
        <v>541</v>
      </c>
      <c r="G141" s="102">
        <v>120</v>
      </c>
      <c r="H141" s="102">
        <v>120</v>
      </c>
      <c r="I141" s="107">
        <v>5</v>
      </c>
      <c r="J141" s="92">
        <v>35</v>
      </c>
      <c r="K141" s="92" t="s">
        <v>8</v>
      </c>
      <c r="L141" s="92">
        <v>2</v>
      </c>
      <c r="M141" s="92" t="s">
        <v>8</v>
      </c>
      <c r="N141" s="103">
        <f>COUNTIF(Table7[Spawner],Table1[[#This Row],[Spawner Prefab]])</f>
        <v>0</v>
      </c>
      <c r="O141" s="95">
        <f>ROUND((Table1[[#This Row],[Total in "Village" scene]]/SUM(Table1[Total in "Village" scene]))*100,1)</f>
        <v>0</v>
      </c>
      <c r="P141" s="109">
        <f>COUNTIF(Table15[Spawner],Table1[[#This Row],[Spawner Prefab]])</f>
        <v>0</v>
      </c>
      <c r="Q141" s="99">
        <f>ROUND((Table1[[#This Row],[Total in "Castle" scene]]/SUM(Table1[Total in "Castle" scene]))*100,1)</f>
        <v>0</v>
      </c>
      <c r="R141" s="104">
        <f>COUNTIF(Table20[Spawner],Table1[[#This Row],[Spawner Prefab]])</f>
        <v>21</v>
      </c>
      <c r="S141" s="96">
        <f>ROUND((Table1[[#This Row],[Total in "Dark" scene]]/SUM(Table1[Total in "Dark" scene]))*100,1)</f>
        <v>1.9</v>
      </c>
      <c r="T141" s="110">
        <f>Table1[[#This Row],[Total in "Village" scene]]+Table1[[#This Row],[Total in "Castle" scene]]+Table1[[#This Row],[Total in "Dark" scene]]</f>
        <v>21</v>
      </c>
      <c r="U141" s="98">
        <f>ROUND((Table1[[#This Row],[Total in the game]]/SUM(Table1[Total in the game]))*100,1)</f>
        <v>0.4</v>
      </c>
      <c r="V141" s="153" t="str">
        <f>Table1[[#This Row],[Content Sku]]</f>
        <v>Slime</v>
      </c>
      <c r="W141" s="158" t="s">
        <v>303</v>
      </c>
      <c r="X141" s="145" t="s">
        <v>328</v>
      </c>
      <c r="Y141" s="146" t="s">
        <v>328</v>
      </c>
      <c r="Z141" s="146" t="s">
        <v>328</v>
      </c>
    </row>
    <row r="142" spans="4:26" x14ac:dyDescent="0.25">
      <c r="D142" s="77" t="s">
        <v>543</v>
      </c>
      <c r="E142" s="77" t="s">
        <v>542</v>
      </c>
      <c r="F142" s="77" t="s">
        <v>544</v>
      </c>
      <c r="G142" s="102">
        <v>120</v>
      </c>
      <c r="H142" s="102">
        <v>120</v>
      </c>
      <c r="I142" s="107">
        <v>35</v>
      </c>
      <c r="J142" s="92">
        <v>130</v>
      </c>
      <c r="K142" s="92" t="s">
        <v>8</v>
      </c>
      <c r="L142" s="92">
        <v>4</v>
      </c>
      <c r="M142" s="92">
        <v>50</v>
      </c>
      <c r="N142" s="103">
        <f>COUNTIF(Table7[Spawner],Table1[[#This Row],[Spawner Prefab]])</f>
        <v>0</v>
      </c>
      <c r="O142" s="95">
        <f>ROUND((Table1[[#This Row],[Total in "Village" scene]]/SUM(Table1[Total in "Village" scene]))*100,1)</f>
        <v>0</v>
      </c>
      <c r="P142" s="109">
        <f>COUNTIF(Table15[Spawner],Table1[[#This Row],[Spawner Prefab]])</f>
        <v>0</v>
      </c>
      <c r="Q142" s="99">
        <f>ROUND((Table1[[#This Row],[Total in "Castle" scene]]/SUM(Table1[Total in "Castle" scene]))*100,1)</f>
        <v>0</v>
      </c>
      <c r="R142" s="104">
        <f>COUNTIF(Table20[Spawner],Table1[[#This Row],[Spawner Prefab]])</f>
        <v>7</v>
      </c>
      <c r="S142" s="96">
        <f>ROUND((Table1[[#This Row],[Total in "Dark" scene]]/SUM(Table1[Total in "Dark" scene]))*100,1)</f>
        <v>0.6</v>
      </c>
      <c r="T142" s="110">
        <f>Table1[[#This Row],[Total in "Village" scene]]+Table1[[#This Row],[Total in "Castle" scene]]+Table1[[#This Row],[Total in "Dark" scene]]</f>
        <v>7</v>
      </c>
      <c r="U142" s="98">
        <f>ROUND((Table1[[#This Row],[Total in the game]]/SUM(Table1[Total in the game]))*100,1)</f>
        <v>0.1</v>
      </c>
      <c r="V142" s="153" t="str">
        <f>Table1[[#This Row],[Content Sku]]</f>
        <v>SlimePoison</v>
      </c>
      <c r="W142" s="157" t="s">
        <v>305</v>
      </c>
      <c r="X142" s="114" t="s">
        <v>328</v>
      </c>
      <c r="Y142" s="118" t="s">
        <v>328</v>
      </c>
      <c r="Z142" s="118" t="s">
        <v>328</v>
      </c>
    </row>
    <row r="143" spans="4:26" x14ac:dyDescent="0.25">
      <c r="D143" s="77" t="s">
        <v>576</v>
      </c>
      <c r="E143" s="77" t="s">
        <v>2405</v>
      </c>
      <c r="F143" s="77" t="s">
        <v>577</v>
      </c>
      <c r="G143" s="102">
        <v>120</v>
      </c>
      <c r="H143" s="102">
        <v>120</v>
      </c>
      <c r="I143" s="107">
        <v>40</v>
      </c>
      <c r="J143" s="92">
        <v>48</v>
      </c>
      <c r="K143" s="92" t="s">
        <v>8</v>
      </c>
      <c r="L143" s="92">
        <v>3</v>
      </c>
      <c r="M143" s="92" t="s">
        <v>8</v>
      </c>
      <c r="N143" s="103">
        <f>COUNTIF(Table7[Spawner],Table1[[#This Row],[Spawner Prefab]])</f>
        <v>0</v>
      </c>
      <c r="O143" s="95">
        <f>ROUND((Table1[[#This Row],[Total in "Village" scene]]/SUM(Table1[Total in "Village" scene]))*100,1)</f>
        <v>0</v>
      </c>
      <c r="P143" s="109">
        <f>COUNTIF(Table15[Spawner],Table1[[#This Row],[Spawner Prefab]])</f>
        <v>0</v>
      </c>
      <c r="Q143" s="99">
        <f>ROUND((Table1[[#This Row],[Total in "Castle" scene]]/SUM(Table1[Total in "Castle" scene]))*100,1)</f>
        <v>0</v>
      </c>
      <c r="R143" s="104">
        <f>COUNTIF(Table20[Spawner],Table1[[#This Row],[Spawner Prefab]])</f>
        <v>7</v>
      </c>
      <c r="S143" s="96">
        <f>ROUND((Table1[[#This Row],[Total in "Dark" scene]]/SUM(Table1[Total in "Dark" scene]))*100,1)</f>
        <v>0.6</v>
      </c>
      <c r="T143" s="110">
        <f>Table1[[#This Row],[Total in "Village" scene]]+Table1[[#This Row],[Total in "Castle" scene]]+Table1[[#This Row],[Total in "Dark" scene]]</f>
        <v>7</v>
      </c>
      <c r="U143" s="98">
        <f>ROUND((Table1[[#This Row],[Total in the game]]/SUM(Table1[Total in the game]))*100,1)</f>
        <v>0.1</v>
      </c>
      <c r="V143" s="153" t="str">
        <f>Table1[[#This Row],[Content Sku]]</f>
        <v>SnailUnka</v>
      </c>
      <c r="W143" s="157" t="s">
        <v>307</v>
      </c>
      <c r="X143" s="114" t="s">
        <v>328</v>
      </c>
      <c r="Y143" s="118" t="s">
        <v>328</v>
      </c>
      <c r="Z143" s="118" t="s">
        <v>328</v>
      </c>
    </row>
    <row r="144" spans="4:26" x14ac:dyDescent="0.25">
      <c r="D144" s="77" t="s">
        <v>302</v>
      </c>
      <c r="E144" s="77" t="s">
        <v>74</v>
      </c>
      <c r="F144" s="77" t="s">
        <v>303</v>
      </c>
      <c r="G144" s="102">
        <v>310</v>
      </c>
      <c r="H144" s="102">
        <v>310</v>
      </c>
      <c r="I144" s="107">
        <v>50</v>
      </c>
      <c r="J144" s="92">
        <v>70</v>
      </c>
      <c r="K144" s="92" t="s">
        <v>8</v>
      </c>
      <c r="L144" s="92">
        <v>1</v>
      </c>
      <c r="M144" s="92">
        <v>55</v>
      </c>
      <c r="N144" s="103">
        <f>COUNTIF(Table7[Spawner],Table1[[#This Row],[Spawner Prefab]])</f>
        <v>0</v>
      </c>
      <c r="O144" s="95">
        <f>ROUND((Table1[[#This Row],[Total in "Village" scene]]/SUM(Table1[Total in "Village" scene]))*100,1)</f>
        <v>0</v>
      </c>
      <c r="P144" s="109">
        <f>COUNTIF(Table15[Spawner],Table1[[#This Row],[Spawner Prefab]])</f>
        <v>5</v>
      </c>
      <c r="Q144" s="99">
        <f>ROUND((Table1[[#This Row],[Total in "Castle" scene]]/SUM(Table1[Total in "Castle" scene]))*100,1)</f>
        <v>0.2</v>
      </c>
      <c r="R144" s="104">
        <f>COUNTIF(Table20[Spawner],Table1[[#This Row],[Spawner Prefab]])</f>
        <v>0</v>
      </c>
      <c r="S144" s="96">
        <f>ROUND((Table1[[#This Row],[Total in "Dark" scene]]/SUM(Table1[Total in "Dark" scene]))*100,1)</f>
        <v>0</v>
      </c>
      <c r="T144" s="110">
        <f>Table1[[#This Row],[Total in "Village" scene]]+Table1[[#This Row],[Total in "Castle" scene]]+Table1[[#This Row],[Total in "Dark" scene]]</f>
        <v>5</v>
      </c>
      <c r="U144" s="98">
        <f>ROUND((Table1[[#This Row],[Total in the game]]/SUM(Table1[Total in the game]))*100,1)</f>
        <v>0.1</v>
      </c>
      <c r="V144" s="153" t="str">
        <f>Table1[[#This Row],[Content Sku]]</f>
        <v>Soldier</v>
      </c>
      <c r="W144" s="158" t="s">
        <v>310</v>
      </c>
      <c r="X144" s="145" t="s">
        <v>328</v>
      </c>
      <c r="Y144" s="146" t="s">
        <v>328</v>
      </c>
      <c r="Z144" s="146" t="s">
        <v>328</v>
      </c>
    </row>
    <row r="145" spans="4:26" x14ac:dyDescent="0.25">
      <c r="D145" s="77" t="s">
        <v>304</v>
      </c>
      <c r="E145" s="77" t="s">
        <v>74</v>
      </c>
      <c r="F145" s="77" t="s">
        <v>305</v>
      </c>
      <c r="G145" s="102">
        <v>310</v>
      </c>
      <c r="H145" s="102">
        <v>310</v>
      </c>
      <c r="I145" s="107">
        <v>50</v>
      </c>
      <c r="J145" s="92">
        <v>70</v>
      </c>
      <c r="K145" s="92" t="s">
        <v>8</v>
      </c>
      <c r="L145" s="92">
        <v>1</v>
      </c>
      <c r="M145" s="92">
        <v>55</v>
      </c>
      <c r="N145" s="103">
        <f>COUNTIF(Table7[Spawner],Table1[[#This Row],[Spawner Prefab]])</f>
        <v>0</v>
      </c>
      <c r="O145" s="95">
        <f>ROUND((Table1[[#This Row],[Total in "Village" scene]]/SUM(Table1[Total in "Village" scene]))*100,1)</f>
        <v>0</v>
      </c>
      <c r="P145" s="109">
        <f>COUNTIF(Table15[Spawner],Table1[[#This Row],[Spawner Prefab]])</f>
        <v>7</v>
      </c>
      <c r="Q145" s="99">
        <f>ROUND((Table1[[#This Row],[Total in "Castle" scene]]/SUM(Table1[Total in "Castle" scene]))*100,1)</f>
        <v>0.3</v>
      </c>
      <c r="R145" s="104">
        <f>COUNTIF(Table20[Spawner],Table1[[#This Row],[Spawner Prefab]])</f>
        <v>0</v>
      </c>
      <c r="S145" s="96">
        <f>ROUND((Table1[[#This Row],[Total in "Dark" scene]]/SUM(Table1[Total in "Dark" scene]))*100,1)</f>
        <v>0</v>
      </c>
      <c r="T145" s="110">
        <f>Table1[[#This Row],[Total in "Village" scene]]+Table1[[#This Row],[Total in "Castle" scene]]+Table1[[#This Row],[Total in "Dark" scene]]</f>
        <v>7</v>
      </c>
      <c r="U145" s="98">
        <f>ROUND((Table1[[#This Row],[Total in the game]]/SUM(Table1[Total in the game]))*100,1)</f>
        <v>0.1</v>
      </c>
      <c r="V145" s="153" t="str">
        <f>Table1[[#This Row],[Content Sku]]</f>
        <v>Soldier</v>
      </c>
      <c r="W145" s="157" t="s">
        <v>312</v>
      </c>
      <c r="X145" s="114" t="s">
        <v>328</v>
      </c>
      <c r="Y145" s="118" t="s">
        <v>328</v>
      </c>
      <c r="Z145" s="118" t="s">
        <v>328</v>
      </c>
    </row>
    <row r="146" spans="4:26" x14ac:dyDescent="0.25">
      <c r="D146" s="77" t="s">
        <v>306</v>
      </c>
      <c r="E146" s="77" t="s">
        <v>82</v>
      </c>
      <c r="F146" s="77" t="s">
        <v>307</v>
      </c>
      <c r="G146" s="102">
        <v>180</v>
      </c>
      <c r="H146" s="102">
        <v>180</v>
      </c>
      <c r="I146" s="107">
        <v>30</v>
      </c>
      <c r="J146" s="92">
        <v>75</v>
      </c>
      <c r="K146" s="92" t="s">
        <v>8</v>
      </c>
      <c r="L146" s="92">
        <v>0</v>
      </c>
      <c r="M146" s="92">
        <v>5</v>
      </c>
      <c r="N146" s="103">
        <f>COUNTIF(Table7[Spawner],Table1[[#This Row],[Spawner Prefab]])</f>
        <v>14</v>
      </c>
      <c r="O146" s="95">
        <f>ROUND((Table1[[#This Row],[Total in "Village" scene]]/SUM(Table1[Total in "Village" scene]))*100,1)</f>
        <v>0.5</v>
      </c>
      <c r="P146" s="109">
        <f>COUNTIF(Table15[Spawner],Table1[[#This Row],[Spawner Prefab]])</f>
        <v>17</v>
      </c>
      <c r="Q146" s="99">
        <f>ROUND((Table1[[#This Row],[Total in "Castle" scene]]/SUM(Table1[Total in "Castle" scene]))*100,1)</f>
        <v>0.8</v>
      </c>
      <c r="R146" s="104">
        <f>COUNTIF(Table20[Spawner],Table1[[#This Row],[Spawner Prefab]])</f>
        <v>0</v>
      </c>
      <c r="S146" s="96">
        <f>ROUND((Table1[[#This Row],[Total in "Dark" scene]]/SUM(Table1[Total in "Dark" scene]))*100,1)</f>
        <v>0</v>
      </c>
      <c r="T146" s="110">
        <f>Table1[[#This Row],[Total in "Village" scene]]+Table1[[#This Row],[Total in "Castle" scene]]+Table1[[#This Row],[Total in "Dark" scene]]</f>
        <v>31</v>
      </c>
      <c r="U146" s="98">
        <f>ROUND((Table1[[#This Row],[Total in the game]]/SUM(Table1[Total in the game]))*100,1)</f>
        <v>0.5</v>
      </c>
      <c r="V146" s="153" t="str">
        <f>Table1[[#This Row],[Content Sku]]</f>
        <v>Spartakus</v>
      </c>
      <c r="W146" s="158" t="s">
        <v>314</v>
      </c>
      <c r="X146" s="145" t="s">
        <v>327</v>
      </c>
      <c r="Y146" s="146" t="s">
        <v>327</v>
      </c>
      <c r="Z146" s="146" t="s">
        <v>327</v>
      </c>
    </row>
    <row r="147" spans="4:26" x14ac:dyDescent="0.25">
      <c r="D147" s="77" t="s">
        <v>309</v>
      </c>
      <c r="E147" s="77" t="s">
        <v>308</v>
      </c>
      <c r="F147" s="77" t="s">
        <v>310</v>
      </c>
      <c r="G147" s="102">
        <v>170</v>
      </c>
      <c r="H147" s="102">
        <v>170</v>
      </c>
      <c r="I147" s="107">
        <v>20</v>
      </c>
      <c r="J147" s="92">
        <v>70</v>
      </c>
      <c r="K147" s="92" t="s">
        <v>8</v>
      </c>
      <c r="L147" s="92">
        <v>2</v>
      </c>
      <c r="M147" s="92">
        <v>10</v>
      </c>
      <c r="N147" s="103">
        <f>COUNTIF(Table7[Spawner],Table1[[#This Row],[Spawner Prefab]])</f>
        <v>10</v>
      </c>
      <c r="O147" s="95">
        <f>ROUND((Table1[[#This Row],[Total in "Village" scene]]/SUM(Table1[Total in "Village" scene]))*100,1)</f>
        <v>0.4</v>
      </c>
      <c r="P147" s="109">
        <f>COUNTIF(Table15[Spawner],Table1[[#This Row],[Spawner Prefab]])</f>
        <v>22</v>
      </c>
      <c r="Q147" s="99">
        <f>ROUND((Table1[[#This Row],[Total in "Castle" scene]]/SUM(Table1[Total in "Castle" scene]))*100,1)</f>
        <v>1.1000000000000001</v>
      </c>
      <c r="R147" s="104">
        <f>COUNTIF(Table20[Spawner],Table1[[#This Row],[Spawner Prefab]])</f>
        <v>2</v>
      </c>
      <c r="S147" s="96">
        <f>ROUND((Table1[[#This Row],[Total in "Dark" scene]]/SUM(Table1[Total in "Dark" scene]))*100,1)</f>
        <v>0.2</v>
      </c>
      <c r="T147" s="110">
        <f>Table1[[#This Row],[Total in "Village" scene]]+Table1[[#This Row],[Total in "Castle" scene]]+Table1[[#This Row],[Total in "Dark" scene]]</f>
        <v>34</v>
      </c>
      <c r="U147" s="98">
        <f>ROUND((Table1[[#This Row],[Total in the game]]/SUM(Table1[Total in the game]))*100,1)</f>
        <v>0.6</v>
      </c>
      <c r="V147" s="153" t="str">
        <f>Table1[[#This Row],[Content Sku]]</f>
        <v>SpiderGreenTurret</v>
      </c>
      <c r="W147" s="157" t="s">
        <v>316</v>
      </c>
      <c r="X147" s="114" t="s">
        <v>327</v>
      </c>
      <c r="Y147" s="118" t="s">
        <v>327</v>
      </c>
      <c r="Z147" s="118" t="s">
        <v>327</v>
      </c>
    </row>
    <row r="148" spans="4:26" x14ac:dyDescent="0.25">
      <c r="D148" s="77" t="s">
        <v>311</v>
      </c>
      <c r="E148" s="77" t="s">
        <v>75</v>
      </c>
      <c r="F148" s="77" t="s">
        <v>312</v>
      </c>
      <c r="G148" s="102">
        <v>170</v>
      </c>
      <c r="H148" s="102">
        <v>170</v>
      </c>
      <c r="I148" s="107">
        <v>20</v>
      </c>
      <c r="J148" s="92">
        <v>70</v>
      </c>
      <c r="K148" s="92" t="s">
        <v>8</v>
      </c>
      <c r="L148" s="92">
        <v>2</v>
      </c>
      <c r="M148" s="92">
        <v>25</v>
      </c>
      <c r="N148" s="103">
        <f>COUNTIF(Table7[Spawner],Table1[[#This Row],[Spawner Prefab]])</f>
        <v>66</v>
      </c>
      <c r="O148" s="95">
        <f>ROUND((Table1[[#This Row],[Total in "Village" scene]]/SUM(Table1[Total in "Village" scene]))*100,1)</f>
        <v>2.6</v>
      </c>
      <c r="P148" s="109">
        <f>COUNTIF(Table15[Spawner],Table1[[#This Row],[Spawner Prefab]])</f>
        <v>39</v>
      </c>
      <c r="Q148" s="99">
        <f>ROUND((Table1[[#This Row],[Total in "Castle" scene]]/SUM(Table1[Total in "Castle" scene]))*100,1)</f>
        <v>1.9</v>
      </c>
      <c r="R148" s="104">
        <f>COUNTIF(Table20[Spawner],Table1[[#This Row],[Spawner Prefab]])</f>
        <v>9</v>
      </c>
      <c r="S148" s="96">
        <f>ROUND((Table1[[#This Row],[Total in "Dark" scene]]/SUM(Table1[Total in "Dark" scene]))*100,1)</f>
        <v>0.8</v>
      </c>
      <c r="T148" s="110">
        <f>Table1[[#This Row],[Total in "Village" scene]]+Table1[[#This Row],[Total in "Castle" scene]]+Table1[[#This Row],[Total in "Dark" scene]]</f>
        <v>114</v>
      </c>
      <c r="U148" s="98">
        <f>ROUND((Table1[[#This Row],[Total in the game]]/SUM(Table1[Total in the game]))*100,1)</f>
        <v>2</v>
      </c>
      <c r="V148" s="153" t="str">
        <f>Table1[[#This Row],[Content Sku]]</f>
        <v>SpiderRed</v>
      </c>
      <c r="W148" s="160" t="s">
        <v>2742</v>
      </c>
      <c r="X148" s="114" t="s">
        <v>327</v>
      </c>
      <c r="Y148" s="118" t="s">
        <v>327</v>
      </c>
      <c r="Z148" s="118" t="s">
        <v>327</v>
      </c>
    </row>
    <row r="149" spans="4:26" x14ac:dyDescent="0.25">
      <c r="D149" s="77" t="s">
        <v>313</v>
      </c>
      <c r="E149" s="77" t="s">
        <v>76</v>
      </c>
      <c r="F149" s="77" t="s">
        <v>314</v>
      </c>
      <c r="G149" s="102">
        <v>150</v>
      </c>
      <c r="H149" s="102">
        <v>150</v>
      </c>
      <c r="I149" s="107">
        <v>4</v>
      </c>
      <c r="J149" s="92">
        <v>25</v>
      </c>
      <c r="K149" s="92" t="s">
        <v>8</v>
      </c>
      <c r="L149" s="92">
        <v>0</v>
      </c>
      <c r="M149" s="92" t="s">
        <v>8</v>
      </c>
      <c r="N149" s="103">
        <f>COUNTIF(Table7[Spawner],Table1[[#This Row],[Spawner Prefab]])</f>
        <v>254</v>
      </c>
      <c r="O149" s="95">
        <f>ROUND((Table1[[#This Row],[Total in "Village" scene]]/SUM(Table1[Total in "Village" scene]))*100,1)</f>
        <v>9.9</v>
      </c>
      <c r="P149" s="109">
        <f>COUNTIF(Table15[Spawner],Table1[[#This Row],[Spawner Prefab]])</f>
        <v>186</v>
      </c>
      <c r="Q149" s="99">
        <f>ROUND((Table1[[#This Row],[Total in "Castle" scene]]/SUM(Table1[Total in "Castle" scene]))*100,1)</f>
        <v>9</v>
      </c>
      <c r="R149" s="104">
        <f>COUNTIF(Table20[Spawner],Table1[[#This Row],[Spawner Prefab]])</f>
        <v>34</v>
      </c>
      <c r="S149" s="96">
        <f>ROUND((Table1[[#This Row],[Total in "Dark" scene]]/SUM(Table1[Total in "Dark" scene]))*100,1)</f>
        <v>3.1</v>
      </c>
      <c r="T149" s="110">
        <f>Table1[[#This Row],[Total in "Village" scene]]+Table1[[#This Row],[Total in "Castle" scene]]+Table1[[#This Row],[Total in "Dark" scene]]</f>
        <v>474</v>
      </c>
      <c r="U149" s="98">
        <f>ROUND((Table1[[#This Row],[Total in the game]]/SUM(Table1[Total in the game]))*100,1)</f>
        <v>8.3000000000000007</v>
      </c>
      <c r="V149" s="153" t="str">
        <f>Table1[[#This Row],[Content Sku]]</f>
        <v>SpiderSmall</v>
      </c>
      <c r="W149" s="158" t="s">
        <v>317</v>
      </c>
      <c r="X149" s="145" t="s">
        <v>327</v>
      </c>
      <c r="Y149" s="146" t="s">
        <v>327</v>
      </c>
      <c r="Z149" s="146" t="s">
        <v>327</v>
      </c>
    </row>
    <row r="150" spans="4:26" x14ac:dyDescent="0.25">
      <c r="D150" s="77" t="s">
        <v>315</v>
      </c>
      <c r="E150" s="77" t="s">
        <v>76</v>
      </c>
      <c r="F150" s="77" t="s">
        <v>316</v>
      </c>
      <c r="G150" s="102">
        <v>150</v>
      </c>
      <c r="H150" s="102">
        <v>150</v>
      </c>
      <c r="I150" s="107">
        <v>4</v>
      </c>
      <c r="J150" s="92">
        <v>25</v>
      </c>
      <c r="K150" s="92" t="s">
        <v>8</v>
      </c>
      <c r="L150" s="92">
        <v>0</v>
      </c>
      <c r="M150" s="92" t="s">
        <v>8</v>
      </c>
      <c r="N150" s="103">
        <f>COUNTIF(Table7[Spawner],Table1[[#This Row],[Spawner Prefab]])</f>
        <v>39</v>
      </c>
      <c r="O150" s="95">
        <f>ROUND((Table1[[#This Row],[Total in "Village" scene]]/SUM(Table1[Total in "Village" scene]))*100,1)</f>
        <v>1.5</v>
      </c>
      <c r="P150" s="109">
        <f>COUNTIF(Table15[Spawner],Table1[[#This Row],[Spawner Prefab]])</f>
        <v>68</v>
      </c>
      <c r="Q150" s="99">
        <f>ROUND((Table1[[#This Row],[Total in "Castle" scene]]/SUM(Table1[Total in "Castle" scene]))*100,1)</f>
        <v>3.3</v>
      </c>
      <c r="R150" s="104">
        <f>COUNTIF(Table20[Spawner],Table1[[#This Row],[Spawner Prefab]])</f>
        <v>5</v>
      </c>
      <c r="S150" s="96">
        <f>ROUND((Table1[[#This Row],[Total in "Dark" scene]]/SUM(Table1[Total in "Dark" scene]))*100,1)</f>
        <v>0.5</v>
      </c>
      <c r="T150" s="110">
        <f>Table1[[#This Row],[Total in "Village" scene]]+Table1[[#This Row],[Total in "Castle" scene]]+Table1[[#This Row],[Total in "Dark" scene]]</f>
        <v>112</v>
      </c>
      <c r="U150" s="98">
        <f>ROUND((Table1[[#This Row],[Total in the game]]/SUM(Table1[Total in the game]))*100,1)</f>
        <v>2</v>
      </c>
      <c r="V150" s="153" t="str">
        <f>Table1[[#This Row],[Content Sku]]</f>
        <v>SpiderSmall</v>
      </c>
      <c r="W150" s="157" t="s">
        <v>481</v>
      </c>
      <c r="X150" s="114" t="s">
        <v>328</v>
      </c>
      <c r="Y150" s="118" t="s">
        <v>328</v>
      </c>
      <c r="Z150" s="118" t="s">
        <v>328</v>
      </c>
    </row>
    <row r="151" spans="4:26" x14ac:dyDescent="0.25">
      <c r="D151" s="77" t="s">
        <v>318</v>
      </c>
      <c r="E151" s="77" t="s">
        <v>116</v>
      </c>
      <c r="F151" s="77" t="s">
        <v>317</v>
      </c>
      <c r="G151" s="102">
        <v>180</v>
      </c>
      <c r="H151" s="102">
        <v>180</v>
      </c>
      <c r="I151" s="107">
        <v>3</v>
      </c>
      <c r="J151" s="92">
        <v>25</v>
      </c>
      <c r="K151" s="92" t="s">
        <v>8</v>
      </c>
      <c r="L151" s="92">
        <v>0</v>
      </c>
      <c r="M151" s="92" t="s">
        <v>8</v>
      </c>
      <c r="N151" s="103">
        <f>COUNTIF(Table7[Spawner],Table1[[#This Row],[Spawner Prefab]])</f>
        <v>49</v>
      </c>
      <c r="O151" s="95">
        <f>ROUND((Table1[[#This Row],[Total in "Village" scene]]/SUM(Table1[Total in "Village" scene]))*100,1)</f>
        <v>1.9</v>
      </c>
      <c r="P151" s="109">
        <f>COUNTIF(Table15[Spawner],Table1[[#This Row],[Spawner Prefab]])</f>
        <v>8</v>
      </c>
      <c r="Q151" s="99">
        <f>ROUND((Table1[[#This Row],[Total in "Castle" scene]]/SUM(Table1[Total in "Castle" scene]))*100,1)</f>
        <v>0.4</v>
      </c>
      <c r="R151" s="104">
        <f>COUNTIF(Table20[Spawner],Table1[[#This Row],[Spawner Prefab]])</f>
        <v>0</v>
      </c>
      <c r="S151" s="96">
        <f>ROUND((Table1[[#This Row],[Total in "Dark" scene]]/SUM(Table1[Total in "Dark" scene]))*100,1)</f>
        <v>0</v>
      </c>
      <c r="T151" s="110">
        <f>Table1[[#This Row],[Total in "Village" scene]]+Table1[[#This Row],[Total in "Castle" scene]]+Table1[[#This Row],[Total in "Dark" scene]]</f>
        <v>57</v>
      </c>
      <c r="U151" s="98">
        <f>ROUND((Table1[[#This Row],[Total in the game]]/SUM(Table1[Total in the game]))*100,1)</f>
        <v>1</v>
      </c>
      <c r="V151" s="153" t="str">
        <f>Table1[[#This Row],[Content Sku]]</f>
        <v>Starling_Flock</v>
      </c>
      <c r="W151" s="158" t="s">
        <v>483</v>
      </c>
      <c r="X151" s="145" t="s">
        <v>327</v>
      </c>
      <c r="Y151" s="146" t="s">
        <v>327</v>
      </c>
      <c r="Z151" s="146" t="s">
        <v>327</v>
      </c>
    </row>
    <row r="152" spans="4:26" x14ac:dyDescent="0.25">
      <c r="D152" s="77" t="s">
        <v>480</v>
      </c>
      <c r="E152" s="77" t="s">
        <v>518</v>
      </c>
      <c r="F152" s="77" t="s">
        <v>481</v>
      </c>
      <c r="G152" s="102">
        <v>180</v>
      </c>
      <c r="H152" s="102">
        <v>180</v>
      </c>
      <c r="I152" s="107">
        <v>100</v>
      </c>
      <c r="J152" s="92">
        <v>95</v>
      </c>
      <c r="K152" s="92" t="s">
        <v>8</v>
      </c>
      <c r="L152" s="92">
        <v>3</v>
      </c>
      <c r="M152" s="92">
        <v>25</v>
      </c>
      <c r="N152" s="103">
        <f>COUNTIF(Table7[Spawner],Table1[[#This Row],[Spawner Prefab]])</f>
        <v>0</v>
      </c>
      <c r="O152" s="95">
        <f>ROUND((Table1[[#This Row],[Total in "Village" scene]]/SUM(Table1[Total in "Village" scene]))*100,1)</f>
        <v>0</v>
      </c>
      <c r="P152" s="109">
        <f>COUNTIF(Table15[Spawner],Table1[[#This Row],[Spawner Prefab]])</f>
        <v>0</v>
      </c>
      <c r="Q152" s="99">
        <f>ROUND((Table1[[#This Row],[Total in "Castle" scene]]/SUM(Table1[Total in "Castle" scene]))*100,1)</f>
        <v>0</v>
      </c>
      <c r="R152" s="104">
        <f>COUNTIF(Table20[Spawner],Table1[[#This Row],[Spawner Prefab]])</f>
        <v>7</v>
      </c>
      <c r="S152" s="96">
        <f>ROUND((Table1[[#This Row],[Total in "Dark" scene]]/SUM(Table1[Total in "Dark" scene]))*100,1)</f>
        <v>0.6</v>
      </c>
      <c r="T152" s="110">
        <f>Table1[[#This Row],[Total in "Village" scene]]+Table1[[#This Row],[Total in "Castle" scene]]+Table1[[#This Row],[Total in "Dark" scene]]</f>
        <v>7</v>
      </c>
      <c r="U152" s="98">
        <f>ROUND((Table1[[#This Row],[Total in the game]]/SUM(Table1[Total in the game]))*100,1)</f>
        <v>0.1</v>
      </c>
      <c r="V152" s="153" t="s">
        <v>8141</v>
      </c>
      <c r="W152" s="157" t="s">
        <v>337</v>
      </c>
      <c r="X152" s="114" t="s">
        <v>328</v>
      </c>
      <c r="Y152" s="118" t="s">
        <v>328</v>
      </c>
      <c r="Z152" s="118" t="s">
        <v>328</v>
      </c>
    </row>
    <row r="153" spans="4:26" x14ac:dyDescent="0.25">
      <c r="D153" s="77" t="s">
        <v>482</v>
      </c>
      <c r="E153" s="77" t="s">
        <v>519</v>
      </c>
      <c r="F153" s="77" t="s">
        <v>483</v>
      </c>
      <c r="G153" s="102">
        <v>120</v>
      </c>
      <c r="H153" s="102">
        <v>120</v>
      </c>
      <c r="I153" s="107">
        <v>35</v>
      </c>
      <c r="J153" s="92">
        <v>35</v>
      </c>
      <c r="K153" s="92" t="s">
        <v>8</v>
      </c>
      <c r="L153" s="92">
        <v>2</v>
      </c>
      <c r="M153" s="92" t="s">
        <v>8</v>
      </c>
      <c r="N153" s="103">
        <f>COUNTIF(Table7[Spawner],Table1[[#This Row],[Spawner Prefab]])</f>
        <v>0</v>
      </c>
      <c r="O153" s="95">
        <f>ROUND((Table1[[#This Row],[Total in "Village" scene]]/SUM(Table1[Total in "Village" scene]))*100,1)</f>
        <v>0</v>
      </c>
      <c r="P153" s="109">
        <f>COUNTIF(Table15[Spawner],Table1[[#This Row],[Spawner Prefab]])</f>
        <v>0</v>
      </c>
      <c r="Q153" s="99">
        <f>ROUND((Table1[[#This Row],[Total in "Castle" scene]]/SUM(Table1[Total in "Castle" scene]))*100,1)</f>
        <v>0</v>
      </c>
      <c r="R153" s="104">
        <f>COUNTIF(Table20[Spawner],Table1[[#This Row],[Spawner Prefab]])</f>
        <v>35</v>
      </c>
      <c r="S153" s="96">
        <f>ROUND((Table1[[#This Row],[Total in "Dark" scene]]/SUM(Table1[Total in "Dark" scene]))*100,1)</f>
        <v>3.2</v>
      </c>
      <c r="T153" s="110">
        <f>Table1[[#This Row],[Total in "Village" scene]]+Table1[[#This Row],[Total in "Castle" scene]]+Table1[[#This Row],[Total in "Dark" scene]]</f>
        <v>35</v>
      </c>
      <c r="U153" s="98">
        <f>ROUND((Table1[[#This Row],[Total in the game]]/SUM(Table1[Total in the game]))*100,1)</f>
        <v>0.6</v>
      </c>
      <c r="V153" s="153" t="s">
        <v>8141</v>
      </c>
      <c r="W153" s="161" t="s">
        <v>579</v>
      </c>
      <c r="X153" s="115" t="s">
        <v>327</v>
      </c>
      <c r="Y153" s="119" t="s">
        <v>327</v>
      </c>
      <c r="Z153" s="119" t="s">
        <v>327</v>
      </c>
    </row>
    <row r="154" spans="4:26" x14ac:dyDescent="0.25">
      <c r="D154" s="77" t="s">
        <v>336</v>
      </c>
      <c r="E154" s="77" t="s">
        <v>335</v>
      </c>
      <c r="F154" s="77" t="s">
        <v>337</v>
      </c>
      <c r="G154" s="102">
        <v>420</v>
      </c>
      <c r="H154" s="102">
        <v>420</v>
      </c>
      <c r="I154" s="107">
        <v>300</v>
      </c>
      <c r="J154" s="92">
        <v>83</v>
      </c>
      <c r="K154" s="92" t="s">
        <v>8</v>
      </c>
      <c r="L154" s="92">
        <v>1</v>
      </c>
      <c r="M154" s="92">
        <v>60</v>
      </c>
      <c r="N154" s="103">
        <f>COUNTIF(Table7[Spawner],Table1[[#This Row],[Spawner Prefab]])</f>
        <v>15</v>
      </c>
      <c r="O154" s="95">
        <f>ROUND((Table1[[#This Row],[Total in "Village" scene]]/SUM(Table1[Total in "Village" scene]))*100,1)</f>
        <v>0.6</v>
      </c>
      <c r="P154" s="109">
        <f>COUNTIF(Table15[Spawner],Table1[[#This Row],[Spawner Prefab]])</f>
        <v>0</v>
      </c>
      <c r="Q154" s="99">
        <f>ROUND((Table1[[#This Row],[Total in "Castle" scene]]/SUM(Table1[Total in "Castle" scene]))*100,1)</f>
        <v>0</v>
      </c>
      <c r="R154" s="104">
        <f>COUNTIF(Table20[Spawner],Table1[[#This Row],[Spawner Prefab]])</f>
        <v>3</v>
      </c>
      <c r="S154" s="96">
        <f>ROUND((Table1[[#This Row],[Total in "Dark" scene]]/SUM(Table1[Total in "Dark" scene]))*100,1)</f>
        <v>0.3</v>
      </c>
      <c r="T154" s="110">
        <f>Table1[[#This Row],[Total in "Village" scene]]+Table1[[#This Row],[Total in "Castle" scene]]+Table1[[#This Row],[Total in "Dark" scene]]</f>
        <v>18</v>
      </c>
      <c r="U154" s="98">
        <f>ROUND((Table1[[#This Row],[Total in the game]]/SUM(Table1[Total in the game]))*100,1)</f>
        <v>0.3</v>
      </c>
      <c r="V154" s="153" t="str">
        <f>Table1[[#This Row],[Content Sku]]</f>
        <v>Troll</v>
      </c>
      <c r="W154" s="161" t="s">
        <v>2751</v>
      </c>
      <c r="X154" s="115" t="s">
        <v>327</v>
      </c>
      <c r="Y154" s="119" t="s">
        <v>327</v>
      </c>
      <c r="Z154" s="119" t="s">
        <v>327</v>
      </c>
    </row>
    <row r="155" spans="4:26" x14ac:dyDescent="0.25">
      <c r="D155" s="77" t="s">
        <v>7991</v>
      </c>
      <c r="E155" s="77" t="s">
        <v>77</v>
      </c>
      <c r="F155" s="77" t="s">
        <v>7992</v>
      </c>
      <c r="G155" s="102">
        <v>150</v>
      </c>
      <c r="H155" s="102">
        <v>150</v>
      </c>
      <c r="I155" s="107">
        <v>15</v>
      </c>
      <c r="J155" s="92">
        <v>50</v>
      </c>
      <c r="K155" s="92" t="s">
        <v>8</v>
      </c>
      <c r="L155" s="92">
        <v>0</v>
      </c>
      <c r="M155" s="92" t="s">
        <v>8</v>
      </c>
      <c r="N155" s="103">
        <f>COUNTIF(Table7[Spawner],Table1[[#This Row],[Spawner Prefab]])</f>
        <v>0</v>
      </c>
      <c r="O155" s="95">
        <f>ROUND((Table1[[#This Row],[Total in "Village" scene]]/SUM(Table1[Total in "Village" scene]))*100,1)</f>
        <v>0</v>
      </c>
      <c r="P155" s="109">
        <f>COUNTIF(Table15[Spawner],Table1[[#This Row],[Spawner Prefab]])</f>
        <v>10</v>
      </c>
      <c r="Q155" s="99">
        <f>ROUND((Table1[[#This Row],[Total in "Castle" scene]]/SUM(Table1[Total in "Castle" scene]))*100,1)</f>
        <v>0.5</v>
      </c>
      <c r="R155" s="104">
        <f>COUNTIF(Table20[Spawner],Table1[[#This Row],[Spawner Prefab]])</f>
        <v>0</v>
      </c>
      <c r="S155" s="96">
        <f>ROUND((Table1[[#This Row],[Total in "Dark" scene]]/SUM(Table1[Total in "Dark" scene]))*100,1)</f>
        <v>0</v>
      </c>
      <c r="T155" s="110">
        <f>Table1[[#This Row],[Total in "Village" scene]]+Table1[[#This Row],[Total in "Castle" scene]]+Table1[[#This Row],[Total in "Dark" scene]]</f>
        <v>10</v>
      </c>
      <c r="U155" s="98">
        <f>ROUND((Table1[[#This Row],[Total in the game]]/SUM(Table1[Total in the game]))*100,1)</f>
        <v>0.2</v>
      </c>
      <c r="V155" s="153" t="s">
        <v>3842</v>
      </c>
      <c r="W155" s="161" t="s">
        <v>2752</v>
      </c>
      <c r="X155" s="115" t="s">
        <v>327</v>
      </c>
      <c r="Y155" s="119" t="s">
        <v>327</v>
      </c>
      <c r="Z155" s="119" t="s">
        <v>327</v>
      </c>
    </row>
    <row r="156" spans="4:26" x14ac:dyDescent="0.25">
      <c r="D156" s="77" t="s">
        <v>578</v>
      </c>
      <c r="E156" s="77" t="s">
        <v>3841</v>
      </c>
      <c r="F156" s="77" t="s">
        <v>579</v>
      </c>
      <c r="G156" s="102">
        <v>120</v>
      </c>
      <c r="H156" s="102">
        <v>120</v>
      </c>
      <c r="I156" s="107">
        <v>40</v>
      </c>
      <c r="J156" s="92">
        <v>48</v>
      </c>
      <c r="K156" s="92" t="s">
        <v>8</v>
      </c>
      <c r="L156" s="92">
        <v>3</v>
      </c>
      <c r="M156" s="92" t="s">
        <v>8</v>
      </c>
      <c r="N156" s="103">
        <f>COUNTIF(Table7[Spawner],Table1[[#This Row],[Spawner Prefab]])</f>
        <v>0</v>
      </c>
      <c r="O156" s="95">
        <f>ROUND((Table1[[#This Row],[Total in "Village" scene]]/SUM(Table1[Total in "Village" scene]))*100,1)</f>
        <v>0</v>
      </c>
      <c r="P156" s="109">
        <f>COUNTIF(Table15[Spawner],Table1[[#This Row],[Spawner Prefab]])</f>
        <v>0</v>
      </c>
      <c r="Q156" s="99">
        <f>ROUND((Table1[[#This Row],[Total in "Castle" scene]]/SUM(Table1[Total in "Castle" scene]))*100,1)</f>
        <v>0</v>
      </c>
      <c r="R156" s="104">
        <f>COUNTIF(Table20[Spawner],Table1[[#This Row],[Spawner Prefab]])</f>
        <v>27</v>
      </c>
      <c r="S156" s="96">
        <f>ROUND((Table1[[#This Row],[Total in "Dark" scene]]/SUM(Table1[Total in "Dark" scene]))*100,1)</f>
        <v>2.4</v>
      </c>
      <c r="T156" s="110">
        <f>Table1[[#This Row],[Total in "Village" scene]]+Table1[[#This Row],[Total in "Castle" scene]]+Table1[[#This Row],[Total in "Dark" scene]]</f>
        <v>27</v>
      </c>
      <c r="U156" s="98">
        <f>ROUND((Table1[[#This Row],[Total in the game]]/SUM(Table1[Total in the game]))*100,1)</f>
        <v>0.5</v>
      </c>
      <c r="V156" s="153" t="str">
        <f>Table1[[#This Row],[Content Sku]]</f>
        <v>Unka</v>
      </c>
      <c r="W156" s="161" t="s">
        <v>339</v>
      </c>
      <c r="X156" s="115" t="s">
        <v>327</v>
      </c>
      <c r="Y156" s="119" t="s">
        <v>327</v>
      </c>
      <c r="Z156" s="119" t="s">
        <v>327</v>
      </c>
    </row>
    <row r="157" spans="4:26" x14ac:dyDescent="0.25">
      <c r="D157" s="77" t="s">
        <v>392</v>
      </c>
      <c r="E157" s="77" t="s">
        <v>77</v>
      </c>
      <c r="F157" s="77" t="s">
        <v>339</v>
      </c>
      <c r="G157" s="102">
        <v>120</v>
      </c>
      <c r="H157" s="102">
        <v>120</v>
      </c>
      <c r="I157" s="107">
        <v>15</v>
      </c>
      <c r="J157" s="92">
        <v>50</v>
      </c>
      <c r="K157" s="92" t="s">
        <v>8</v>
      </c>
      <c r="L157" s="92">
        <v>0</v>
      </c>
      <c r="M157" s="92" t="s">
        <v>8</v>
      </c>
      <c r="N157" s="103">
        <f>COUNTIF(Table7[Spawner],Table1[[#This Row],[Spawner Prefab]])</f>
        <v>12</v>
      </c>
      <c r="O157" s="95">
        <f>ROUND((Table1[[#This Row],[Total in "Village" scene]]/SUM(Table1[Total in "Village" scene]))*100,1)</f>
        <v>0.5</v>
      </c>
      <c r="P157" s="109">
        <f>COUNTIF(Table15[Spawner],Table1[[#This Row],[Spawner Prefab]])</f>
        <v>45</v>
      </c>
      <c r="Q157" s="99">
        <f>ROUND((Table1[[#This Row],[Total in "Castle" scene]]/SUM(Table1[Total in "Castle" scene]))*100,1)</f>
        <v>2.2000000000000002</v>
      </c>
      <c r="R157" s="104">
        <f>COUNTIF(Table20[Spawner],Table1[[#This Row],[Spawner Prefab]])</f>
        <v>0</v>
      </c>
      <c r="S157" s="96">
        <f>ROUND((Table1[[#This Row],[Total in "Dark" scene]]/SUM(Table1[Total in "Dark" scene]))*100,1)</f>
        <v>0</v>
      </c>
      <c r="T157" s="110">
        <f>Table1[[#This Row],[Total in "Village" scene]]+Table1[[#This Row],[Total in "Castle" scene]]+Table1[[#This Row],[Total in "Dark" scene]]</f>
        <v>57</v>
      </c>
      <c r="U157" s="98">
        <f>ROUND((Table1[[#This Row],[Total in the game]]/SUM(Table1[Total in the game]))*100,1)</f>
        <v>1</v>
      </c>
      <c r="V157" s="153" t="s">
        <v>3842</v>
      </c>
      <c r="W157" s="157" t="s">
        <v>341</v>
      </c>
      <c r="X157" s="115" t="s">
        <v>327</v>
      </c>
      <c r="Y157" s="119" t="s">
        <v>327</v>
      </c>
      <c r="Z157" s="119" t="s">
        <v>327</v>
      </c>
    </row>
    <row r="158" spans="4:26" x14ac:dyDescent="0.25">
      <c r="D158" s="77" t="s">
        <v>338</v>
      </c>
      <c r="E158" s="77" t="s">
        <v>77</v>
      </c>
      <c r="F158" s="77" t="s">
        <v>339</v>
      </c>
      <c r="G158" s="102">
        <v>220</v>
      </c>
      <c r="H158" s="102">
        <v>220</v>
      </c>
      <c r="I158" s="107">
        <v>15</v>
      </c>
      <c r="J158" s="92">
        <v>50</v>
      </c>
      <c r="K158" s="92" t="s">
        <v>8</v>
      </c>
      <c r="L158" s="92">
        <v>0</v>
      </c>
      <c r="M158" s="92" t="s">
        <v>8</v>
      </c>
      <c r="N158" s="103">
        <f>COUNTIF(Table7[Spawner],Table1[[#This Row],[Spawner Prefab]])</f>
        <v>34</v>
      </c>
      <c r="O158" s="95">
        <f>ROUND((Table1[[#This Row],[Total in "Village" scene]]/SUM(Table1[Total in "Village" scene]))*100,1)</f>
        <v>1.3</v>
      </c>
      <c r="P158" s="109">
        <f>COUNTIF(Table15[Spawner],Table1[[#This Row],[Spawner Prefab]])</f>
        <v>5</v>
      </c>
      <c r="Q158" s="99">
        <f>ROUND((Table1[[#This Row],[Total in "Castle" scene]]/SUM(Table1[Total in "Castle" scene]))*100,1)</f>
        <v>0.2</v>
      </c>
      <c r="R158" s="104">
        <f>COUNTIF(Table20[Spawner],Table1[[#This Row],[Spawner Prefab]])</f>
        <v>0</v>
      </c>
      <c r="S158" s="96">
        <f>ROUND((Table1[[#This Row],[Total in "Dark" scene]]/SUM(Table1[Total in "Dark" scene]))*100,1)</f>
        <v>0</v>
      </c>
      <c r="T158" s="110">
        <f>Table1[[#This Row],[Total in "Village" scene]]+Table1[[#This Row],[Total in "Castle" scene]]+Table1[[#This Row],[Total in "Dark" scene]]</f>
        <v>39</v>
      </c>
      <c r="U158" s="98">
        <f>ROUND((Table1[[#This Row],[Total in the game]]/SUM(Table1[Total in the game]))*100,1)</f>
        <v>0.7</v>
      </c>
      <c r="V158" s="153" t="s">
        <v>3842</v>
      </c>
      <c r="W158" s="161" t="s">
        <v>343</v>
      </c>
      <c r="X158" s="115" t="s">
        <v>327</v>
      </c>
      <c r="Y158" s="119" t="s">
        <v>327</v>
      </c>
      <c r="Z158" s="119" t="s">
        <v>327</v>
      </c>
    </row>
    <row r="159" spans="4:26" x14ac:dyDescent="0.25">
      <c r="D159" s="77" t="s">
        <v>340</v>
      </c>
      <c r="E159" s="77" t="s">
        <v>77</v>
      </c>
      <c r="F159" s="77" t="s">
        <v>341</v>
      </c>
      <c r="G159" s="102">
        <v>220</v>
      </c>
      <c r="H159" s="102">
        <v>220</v>
      </c>
      <c r="I159" s="107">
        <v>15</v>
      </c>
      <c r="J159" s="92">
        <v>50</v>
      </c>
      <c r="K159" s="92" t="s">
        <v>8</v>
      </c>
      <c r="L159" s="92">
        <v>0</v>
      </c>
      <c r="M159" s="92" t="s">
        <v>8</v>
      </c>
      <c r="N159" s="103">
        <f>COUNTIF(Table7[Spawner],Table1[[#This Row],[Spawner Prefab]])</f>
        <v>15</v>
      </c>
      <c r="O159" s="95">
        <f>ROUND((Table1[[#This Row],[Total in "Village" scene]]/SUM(Table1[Total in "Village" scene]))*100,1)</f>
        <v>0.6</v>
      </c>
      <c r="P159" s="109">
        <f>COUNTIF(Table15[Spawner],Table1[[#This Row],[Spawner Prefab]])</f>
        <v>3</v>
      </c>
      <c r="Q159" s="99">
        <f>ROUND((Table1[[#This Row],[Total in "Castle" scene]]/SUM(Table1[Total in "Castle" scene]))*100,1)</f>
        <v>0.1</v>
      </c>
      <c r="R159" s="104">
        <f>COUNTIF(Table20[Spawner],Table1[[#This Row],[Spawner Prefab]])</f>
        <v>0</v>
      </c>
      <c r="S159" s="96">
        <f>ROUND((Table1[[#This Row],[Total in "Dark" scene]]/SUM(Table1[Total in "Dark" scene]))*100,1)</f>
        <v>0</v>
      </c>
      <c r="T159" s="110">
        <f>Table1[[#This Row],[Total in "Village" scene]]+Table1[[#This Row],[Total in "Castle" scene]]+Table1[[#This Row],[Total in "Dark" scene]]</f>
        <v>18</v>
      </c>
      <c r="U159" s="98">
        <f>ROUND((Table1[[#This Row],[Total in the game]]/SUM(Table1[Total in the game]))*100,1)</f>
        <v>0.3</v>
      </c>
      <c r="V159" s="153" t="s">
        <v>3842</v>
      </c>
      <c r="W159" s="161" t="s">
        <v>345</v>
      </c>
      <c r="X159" s="115" t="s">
        <v>327</v>
      </c>
      <c r="Y159" s="119" t="s">
        <v>327</v>
      </c>
      <c r="Z159" s="119" t="s">
        <v>327</v>
      </c>
    </row>
    <row r="160" spans="4:26" x14ac:dyDescent="0.25">
      <c r="D160" s="77" t="s">
        <v>342</v>
      </c>
      <c r="E160" s="77" t="s">
        <v>78</v>
      </c>
      <c r="F160" s="77" t="s">
        <v>343</v>
      </c>
      <c r="G160" s="102">
        <v>220</v>
      </c>
      <c r="H160" s="102">
        <v>220</v>
      </c>
      <c r="I160" s="107">
        <v>15</v>
      </c>
      <c r="J160" s="92">
        <v>50</v>
      </c>
      <c r="K160" s="92" t="s">
        <v>8</v>
      </c>
      <c r="L160" s="92">
        <v>0</v>
      </c>
      <c r="M160" s="92" t="s">
        <v>8</v>
      </c>
      <c r="N160" s="103">
        <f>COUNTIF(Table7[Spawner],Table1[[#This Row],[Spawner Prefab]])</f>
        <v>3</v>
      </c>
      <c r="O160" s="95">
        <f>ROUND((Table1[[#This Row],[Total in "Village" scene]]/SUM(Table1[Total in "Village" scene]))*100,1)</f>
        <v>0.1</v>
      </c>
      <c r="P160" s="109">
        <f>COUNTIF(Table15[Spawner],Table1[[#This Row],[Spawner Prefab]])</f>
        <v>0</v>
      </c>
      <c r="Q160" s="99">
        <f>ROUND((Table1[[#This Row],[Total in "Castle" scene]]/SUM(Table1[Total in "Castle" scene]))*100,1)</f>
        <v>0</v>
      </c>
      <c r="R160" s="104">
        <f>COUNTIF(Table20[Spawner],Table1[[#This Row],[Spawner Prefab]])</f>
        <v>0</v>
      </c>
      <c r="S160" s="96">
        <f>ROUND((Table1[[#This Row],[Total in "Dark" scene]]/SUM(Table1[Total in "Dark" scene]))*100,1)</f>
        <v>0</v>
      </c>
      <c r="T160" s="110">
        <f>Table1[[#This Row],[Total in "Village" scene]]+Table1[[#This Row],[Total in "Castle" scene]]+Table1[[#This Row],[Total in "Dark" scene]]</f>
        <v>3</v>
      </c>
      <c r="U160" s="98">
        <f>ROUND((Table1[[#This Row],[Total in the game]]/SUM(Table1[Total in the game]))*100,1)</f>
        <v>0.1</v>
      </c>
      <c r="V160" s="153" t="s">
        <v>3842</v>
      </c>
      <c r="W160" s="161" t="s">
        <v>421</v>
      </c>
      <c r="X160" s="115" t="s">
        <v>327</v>
      </c>
      <c r="Y160" s="119" t="s">
        <v>327</v>
      </c>
      <c r="Z160" s="119" t="s">
        <v>327</v>
      </c>
    </row>
    <row r="161" spans="4:26" x14ac:dyDescent="0.25">
      <c r="D161" s="77" t="s">
        <v>344</v>
      </c>
      <c r="E161" s="77" t="s">
        <v>78</v>
      </c>
      <c r="F161" s="77" t="s">
        <v>345</v>
      </c>
      <c r="G161" s="102">
        <v>220</v>
      </c>
      <c r="H161" s="102">
        <v>220</v>
      </c>
      <c r="I161" s="107">
        <v>15</v>
      </c>
      <c r="J161" s="92">
        <v>50</v>
      </c>
      <c r="K161" s="92" t="s">
        <v>8</v>
      </c>
      <c r="L161" s="92">
        <v>0</v>
      </c>
      <c r="M161" s="92" t="s">
        <v>8</v>
      </c>
      <c r="N161" s="103">
        <f>COUNTIF(Table7[Spawner],Table1[[#This Row],[Spawner Prefab]])</f>
        <v>2</v>
      </c>
      <c r="O161" s="95">
        <f>ROUND((Table1[[#This Row],[Total in "Village" scene]]/SUM(Table1[Total in "Village" scene]))*100,1)</f>
        <v>0.1</v>
      </c>
      <c r="P161" s="109">
        <f>COUNTIF(Table15[Spawner],Table1[[#This Row],[Spawner Prefab]])</f>
        <v>0</v>
      </c>
      <c r="Q161" s="99">
        <f>ROUND((Table1[[#This Row],[Total in "Castle" scene]]/SUM(Table1[Total in "Castle" scene]))*100,1)</f>
        <v>0</v>
      </c>
      <c r="R161" s="104">
        <f>COUNTIF(Table20[Spawner],Table1[[#This Row],[Spawner Prefab]])</f>
        <v>0</v>
      </c>
      <c r="S161" s="96">
        <f>ROUND((Table1[[#This Row],[Total in "Dark" scene]]/SUM(Table1[Total in "Dark" scene]))*100,1)</f>
        <v>0</v>
      </c>
      <c r="T161" s="110">
        <f>Table1[[#This Row],[Total in "Village" scene]]+Table1[[#This Row],[Total in "Castle" scene]]+Table1[[#This Row],[Total in "Dark" scene]]</f>
        <v>2</v>
      </c>
      <c r="U161" s="98">
        <f>ROUND((Table1[[#This Row],[Total in the game]]/SUM(Table1[Total in the game]))*100,1)</f>
        <v>0</v>
      </c>
      <c r="V161" s="153" t="s">
        <v>3842</v>
      </c>
      <c r="W161" s="161" t="s">
        <v>442</v>
      </c>
      <c r="X161" s="115" t="s">
        <v>327</v>
      </c>
      <c r="Y161" s="119" t="s">
        <v>327</v>
      </c>
      <c r="Z161" s="119" t="s">
        <v>327</v>
      </c>
    </row>
    <row r="162" spans="4:26" x14ac:dyDescent="0.25">
      <c r="D162" s="77" t="s">
        <v>420</v>
      </c>
      <c r="E162" s="77" t="s">
        <v>410</v>
      </c>
      <c r="F162" s="77" t="s">
        <v>421</v>
      </c>
      <c r="G162" s="102">
        <v>220</v>
      </c>
      <c r="H162" s="102">
        <v>220</v>
      </c>
      <c r="I162" s="107">
        <v>-10</v>
      </c>
      <c r="J162" s="92">
        <v>0</v>
      </c>
      <c r="K162" s="92" t="s">
        <v>8</v>
      </c>
      <c r="L162" s="92">
        <v>0</v>
      </c>
      <c r="M162" s="92" t="s">
        <v>8</v>
      </c>
      <c r="N162" s="103">
        <f>COUNTIF(Table7[Spawner],Table1[[#This Row],[Spawner Prefab]])</f>
        <v>0</v>
      </c>
      <c r="O162" s="95">
        <f>ROUND((Table1[[#This Row],[Total in "Village" scene]]/SUM(Table1[Total in "Village" scene]))*100,1)</f>
        <v>0</v>
      </c>
      <c r="P162" s="109">
        <f>COUNTIF(Table15[Spawner],Table1[[#This Row],[Spawner Prefab]])</f>
        <v>0</v>
      </c>
      <c r="Q162" s="99">
        <f>ROUND((Table1[[#This Row],[Total in "Castle" scene]]/SUM(Table1[Total in "Castle" scene]))*100,1)</f>
        <v>0</v>
      </c>
      <c r="R162" s="104">
        <f>COUNTIF(Table20[Spawner],Table1[[#This Row],[Spawner Prefab]])</f>
        <v>0</v>
      </c>
      <c r="S162" s="96">
        <f>ROUND((Table1[[#This Row],[Total in "Dark" scene]]/SUM(Table1[Total in "Dark" scene]))*100,1)</f>
        <v>0</v>
      </c>
      <c r="T162" s="110">
        <f>Table1[[#This Row],[Total in "Village" scene]]+Table1[[#This Row],[Total in "Castle" scene]]+Table1[[#This Row],[Total in "Dark" scene]]</f>
        <v>0</v>
      </c>
      <c r="U162" s="98">
        <f>ROUND((Table1[[#This Row],[Total in the game]]/SUM(Table1[Total in the game]))*100,1)</f>
        <v>0</v>
      </c>
      <c r="V162" s="153" t="str">
        <f>Table1[[#This Row],[Content Sku]]</f>
        <v>BadJunk</v>
      </c>
      <c r="W162" s="161" t="s">
        <v>2748</v>
      </c>
      <c r="X162" s="115" t="s">
        <v>327</v>
      </c>
      <c r="Y162" s="119" t="s">
        <v>327</v>
      </c>
      <c r="Z162" s="119" t="s">
        <v>327</v>
      </c>
    </row>
    <row r="163" spans="4:26" x14ac:dyDescent="0.25">
      <c r="D163" s="77" t="s">
        <v>422</v>
      </c>
      <c r="E163" s="77" t="s">
        <v>410</v>
      </c>
      <c r="F163" s="77" t="s">
        <v>442</v>
      </c>
      <c r="G163" s="102">
        <v>220</v>
      </c>
      <c r="H163" s="102">
        <v>220</v>
      </c>
      <c r="I163" s="107">
        <v>-10</v>
      </c>
      <c r="J163" s="92">
        <v>0</v>
      </c>
      <c r="K163" s="92" t="s">
        <v>8</v>
      </c>
      <c r="L163" s="92">
        <v>0</v>
      </c>
      <c r="M163" s="92" t="s">
        <v>8</v>
      </c>
      <c r="N163" s="103">
        <f>COUNTIF(Table7[Spawner],Table1[[#This Row],[Spawner Prefab]])</f>
        <v>8</v>
      </c>
      <c r="O163" s="95">
        <f>ROUND((Table1[[#This Row],[Total in "Village" scene]]/SUM(Table1[Total in "Village" scene]))*100,1)</f>
        <v>0.3</v>
      </c>
      <c r="P163" s="109">
        <f>COUNTIF(Table15[Spawner],Table1[[#This Row],[Spawner Prefab]])</f>
        <v>0</v>
      </c>
      <c r="Q163" s="99">
        <f>ROUND((Table1[[#This Row],[Total in "Castle" scene]]/SUM(Table1[Total in "Castle" scene]))*100,1)</f>
        <v>0</v>
      </c>
      <c r="R163" s="104">
        <f>COUNTIF(Table20[Spawner],Table1[[#This Row],[Spawner Prefab]])</f>
        <v>0</v>
      </c>
      <c r="S163" s="96">
        <f>ROUND((Table1[[#This Row],[Total in "Dark" scene]]/SUM(Table1[Total in "Dark" scene]))*100,1)</f>
        <v>0</v>
      </c>
      <c r="T163" s="110">
        <f>Table1[[#This Row],[Total in "Village" scene]]+Table1[[#This Row],[Total in "Castle" scene]]+Table1[[#This Row],[Total in "Dark" scene]]</f>
        <v>8</v>
      </c>
      <c r="U163" s="98">
        <f>ROUND((Table1[[#This Row],[Total in the game]]/SUM(Table1[Total in the game]))*100,1)</f>
        <v>0.1</v>
      </c>
      <c r="V163" s="153" t="str">
        <f>Table1[[#This Row],[Content Sku]]</f>
        <v>BadJunk</v>
      </c>
      <c r="W163" s="162" t="s">
        <v>2750</v>
      </c>
      <c r="X163" s="115" t="s">
        <v>327</v>
      </c>
      <c r="Y163" s="119" t="s">
        <v>327</v>
      </c>
      <c r="Z163" s="119" t="s">
        <v>327</v>
      </c>
    </row>
    <row r="164" spans="4:26" x14ac:dyDescent="0.25">
      <c r="D164" s="77" t="s">
        <v>2747</v>
      </c>
      <c r="E164" s="77" t="s">
        <v>410</v>
      </c>
      <c r="F164" s="77" t="s">
        <v>2748</v>
      </c>
      <c r="G164" s="102">
        <v>220</v>
      </c>
      <c r="H164" s="102">
        <v>220</v>
      </c>
      <c r="I164" s="107">
        <v>-10</v>
      </c>
      <c r="J164" s="92">
        <v>0</v>
      </c>
      <c r="K164" s="92" t="s">
        <v>8</v>
      </c>
      <c r="L164" s="92">
        <v>0</v>
      </c>
      <c r="M164" s="92" t="s">
        <v>8</v>
      </c>
      <c r="N164" s="103">
        <f>COUNTIF(Table7[Spawner],Table1[[#This Row],[Spawner Prefab]])</f>
        <v>0</v>
      </c>
      <c r="O164" s="95">
        <f>ROUND((Table1[[#This Row],[Total in "Village" scene]]/SUM(Table1[Total in "Village" scene]))*100,1)</f>
        <v>0</v>
      </c>
      <c r="P164" s="109">
        <f>COUNTIF(Table15[Spawner],Table1[[#This Row],[Spawner Prefab]])</f>
        <v>5</v>
      </c>
      <c r="Q164" s="99">
        <f>ROUND((Table1[[#This Row],[Total in "Castle" scene]]/SUM(Table1[Total in "Castle" scene]))*100,1)</f>
        <v>0.2</v>
      </c>
      <c r="R164" s="104">
        <f>COUNTIF(Table20[Spawner],Table1[[#This Row],[Spawner Prefab]])</f>
        <v>5</v>
      </c>
      <c r="S164" s="96">
        <f>ROUND((Table1[[#This Row],[Total in "Dark" scene]]/SUM(Table1[Total in "Dark" scene]))*100,1)</f>
        <v>0.5</v>
      </c>
      <c r="T164" s="110">
        <f>Table1[[#This Row],[Total in "Village" scene]]+Table1[[#This Row],[Total in "Castle" scene]]+Table1[[#This Row],[Total in "Dark" scene]]</f>
        <v>10</v>
      </c>
      <c r="U164" s="98">
        <f>ROUND((Table1[[#This Row],[Total in the game]]/SUM(Table1[Total in the game]))*100,1)</f>
        <v>0.2</v>
      </c>
      <c r="V164" s="153" t="str">
        <f>Table1[[#This Row],[Content Sku]]</f>
        <v>BadJunk</v>
      </c>
      <c r="W164" s="161" t="s">
        <v>462</v>
      </c>
      <c r="X164" s="115" t="s">
        <v>327</v>
      </c>
      <c r="Y164" s="119" t="s">
        <v>327</v>
      </c>
      <c r="Z164" s="119" t="s">
        <v>327</v>
      </c>
    </row>
    <row r="165" spans="4:26" x14ac:dyDescent="0.25">
      <c r="D165" s="77" t="s">
        <v>2749</v>
      </c>
      <c r="E165" s="77" t="s">
        <v>410</v>
      </c>
      <c r="F165" s="77" t="s">
        <v>2750</v>
      </c>
      <c r="G165" s="102">
        <v>220</v>
      </c>
      <c r="H165" s="102">
        <v>220</v>
      </c>
      <c r="I165" s="107">
        <v>-10</v>
      </c>
      <c r="J165" s="92">
        <v>0</v>
      </c>
      <c r="K165" s="92" t="s">
        <v>8</v>
      </c>
      <c r="L165" s="92">
        <v>0</v>
      </c>
      <c r="M165" s="92" t="s">
        <v>8</v>
      </c>
      <c r="N165" s="103">
        <f>COUNTIF(Table7[Spawner],Table1[[#This Row],[Spawner Prefab]])</f>
        <v>1</v>
      </c>
      <c r="O165" s="95">
        <f>ROUND((Table1[[#This Row],[Total in "Village" scene]]/SUM(Table1[Total in "Village" scene]))*100,1)</f>
        <v>0</v>
      </c>
      <c r="P165" s="109">
        <f>COUNTIF(Table15[Spawner],Table1[[#This Row],[Spawner Prefab]])</f>
        <v>0</v>
      </c>
      <c r="Q165" s="99">
        <f>ROUND((Table1[[#This Row],[Total in "Castle" scene]]/SUM(Table1[Total in "Castle" scene]))*100,1)</f>
        <v>0</v>
      </c>
      <c r="R165" s="104">
        <f>COUNTIF(Table20[Spawner],Table1[[#This Row],[Spawner Prefab]])</f>
        <v>0</v>
      </c>
      <c r="S165" s="96">
        <f>ROUND((Table1[[#This Row],[Total in "Dark" scene]]/SUM(Table1[Total in "Dark" scene]))*100,1)</f>
        <v>0</v>
      </c>
      <c r="T165" s="110">
        <f>Table1[[#This Row],[Total in "Village" scene]]+Table1[[#This Row],[Total in "Castle" scene]]+Table1[[#This Row],[Total in "Dark" scene]]</f>
        <v>1</v>
      </c>
      <c r="U165" s="98">
        <f>ROUND((Table1[[#This Row],[Total in the game]]/SUM(Table1[Total in the game]))*100,1)</f>
        <v>0</v>
      </c>
      <c r="V165" s="153" t="str">
        <f>Table1[[#This Row],[Content Sku]]</f>
        <v>BadJunk</v>
      </c>
      <c r="W165" s="161" t="s">
        <v>484</v>
      </c>
      <c r="X165" s="115" t="s">
        <v>327</v>
      </c>
      <c r="Y165" s="119" t="s">
        <v>327</v>
      </c>
      <c r="Z165" s="119" t="s">
        <v>327</v>
      </c>
    </row>
    <row r="166" spans="4:26" x14ac:dyDescent="0.25">
      <c r="D166" s="77" t="s">
        <v>461</v>
      </c>
      <c r="E166" s="77" t="s">
        <v>410</v>
      </c>
      <c r="F166" s="77" t="s">
        <v>462</v>
      </c>
      <c r="G166" s="102">
        <v>220</v>
      </c>
      <c r="H166" s="102">
        <v>220</v>
      </c>
      <c r="I166" s="107">
        <v>-10</v>
      </c>
      <c r="J166" s="92">
        <v>0</v>
      </c>
      <c r="K166" s="92" t="s">
        <v>8</v>
      </c>
      <c r="L166" s="92">
        <v>0</v>
      </c>
      <c r="M166" s="92" t="s">
        <v>8</v>
      </c>
      <c r="N166" s="103">
        <f>COUNTIF(Table7[Spawner],Table1[[#This Row],[Spawner Prefab]])</f>
        <v>2</v>
      </c>
      <c r="O166" s="95">
        <f>ROUND((Table1[[#This Row],[Total in "Village" scene]]/SUM(Table1[Total in "Village" scene]))*100,1)</f>
        <v>0.1</v>
      </c>
      <c r="P166" s="109">
        <f>COUNTIF(Table15[Spawner],Table1[[#This Row],[Spawner Prefab]])</f>
        <v>0</v>
      </c>
      <c r="Q166" s="99">
        <f>ROUND((Table1[[#This Row],[Total in "Castle" scene]]/SUM(Table1[Total in "Castle" scene]))*100,1)</f>
        <v>0</v>
      </c>
      <c r="R166" s="104">
        <f>COUNTIF(Table20[Spawner],Table1[[#This Row],[Spawner Prefab]])</f>
        <v>0</v>
      </c>
      <c r="S166" s="96">
        <f>ROUND((Table1[[#This Row],[Total in "Dark" scene]]/SUM(Table1[Total in "Dark" scene]))*100,1)</f>
        <v>0</v>
      </c>
      <c r="T166" s="110">
        <f>Table1[[#This Row],[Total in "Village" scene]]+Table1[[#This Row],[Total in "Castle" scene]]+Table1[[#This Row],[Total in "Dark" scene]]</f>
        <v>2</v>
      </c>
      <c r="U166" s="98">
        <f>ROUND((Table1[[#This Row],[Total in the game]]/SUM(Table1[Total in the game]))*100,1)</f>
        <v>0</v>
      </c>
      <c r="V166" s="153" t="str">
        <f>Table1[[#This Row],[Content Sku]]</f>
        <v>BadJunk</v>
      </c>
      <c r="W166" s="161" t="s">
        <v>546</v>
      </c>
      <c r="X166" s="115" t="s">
        <v>327</v>
      </c>
      <c r="Y166" s="119" t="s">
        <v>327</v>
      </c>
      <c r="Z166" s="119" t="s">
        <v>327</v>
      </c>
    </row>
    <row r="167" spans="4:26" x14ac:dyDescent="0.25">
      <c r="D167" s="77" t="s">
        <v>463</v>
      </c>
      <c r="E167" s="77" t="s">
        <v>410</v>
      </c>
      <c r="F167" s="77" t="s">
        <v>484</v>
      </c>
      <c r="G167" s="102">
        <v>220</v>
      </c>
      <c r="H167" s="102">
        <v>220</v>
      </c>
      <c r="I167" s="107">
        <v>-10</v>
      </c>
      <c r="J167" s="92">
        <v>0</v>
      </c>
      <c r="K167" s="92" t="s">
        <v>8</v>
      </c>
      <c r="L167" s="92">
        <v>0</v>
      </c>
      <c r="M167" s="92" t="s">
        <v>8</v>
      </c>
      <c r="N167" s="103">
        <f>COUNTIF(Table7[Spawner],Table1[[#This Row],[Spawner Prefab]])</f>
        <v>13</v>
      </c>
      <c r="O167" s="95">
        <f>ROUND((Table1[[#This Row],[Total in "Village" scene]]/SUM(Table1[Total in "Village" scene]))*100,1)</f>
        <v>0.5</v>
      </c>
      <c r="P167" s="109">
        <f>COUNTIF(Table15[Spawner],Table1[[#This Row],[Spawner Prefab]])</f>
        <v>0</v>
      </c>
      <c r="Q167" s="99">
        <f>ROUND((Table1[[#This Row],[Total in "Castle" scene]]/SUM(Table1[Total in "Castle" scene]))*100,1)</f>
        <v>0</v>
      </c>
      <c r="R167" s="104">
        <f>COUNTIF(Table20[Spawner],Table1[[#This Row],[Spawner Prefab]])</f>
        <v>0</v>
      </c>
      <c r="S167" s="96">
        <f>ROUND((Table1[[#This Row],[Total in "Dark" scene]]/SUM(Table1[Total in "Dark" scene]))*100,1)</f>
        <v>0</v>
      </c>
      <c r="T167" s="110">
        <f>Table1[[#This Row],[Total in "Village" scene]]+Table1[[#This Row],[Total in "Castle" scene]]+Table1[[#This Row],[Total in "Dark" scene]]</f>
        <v>13</v>
      </c>
      <c r="U167" s="98">
        <f>ROUND((Table1[[#This Row],[Total in the game]]/SUM(Table1[Total in the game]))*100,1)</f>
        <v>0.2</v>
      </c>
      <c r="V167" s="153" t="str">
        <f>Table1[[#This Row],[Content Sku]]</f>
        <v>BadJunk</v>
      </c>
      <c r="W167" s="161" t="s">
        <v>520</v>
      </c>
      <c r="X167" s="115" t="s">
        <v>328</v>
      </c>
      <c r="Y167" s="119" t="s">
        <v>328</v>
      </c>
      <c r="Z167" s="119" t="s">
        <v>328</v>
      </c>
    </row>
    <row r="168" spans="4:26" x14ac:dyDescent="0.25">
      <c r="D168" s="77" t="s">
        <v>545</v>
      </c>
      <c r="E168" s="77" t="s">
        <v>552</v>
      </c>
      <c r="F168" s="77" t="s">
        <v>546</v>
      </c>
      <c r="G168" s="102">
        <v>120</v>
      </c>
      <c r="H168" s="102">
        <v>120</v>
      </c>
      <c r="I168" s="107">
        <v>15</v>
      </c>
      <c r="J168" s="92">
        <v>50</v>
      </c>
      <c r="K168" s="92" t="s">
        <v>8</v>
      </c>
      <c r="L168" s="92">
        <v>0</v>
      </c>
      <c r="M168" s="92" t="s">
        <v>8</v>
      </c>
      <c r="N168" s="103">
        <f>COUNTIF(Table7[Spawner],Table1[[#This Row],[Spawner Prefab]])</f>
        <v>45</v>
      </c>
      <c r="O168" s="95">
        <f>ROUND((Table1[[#This Row],[Total in "Village" scene]]/SUM(Table1[Total in "Village" scene]))*100,1)</f>
        <v>1.8</v>
      </c>
      <c r="P168" s="109">
        <f>COUNTIF(Table15[Spawner],Table1[[#This Row],[Spawner Prefab]])</f>
        <v>45</v>
      </c>
      <c r="Q168" s="99">
        <f>ROUND((Table1[[#This Row],[Total in "Castle" scene]]/SUM(Table1[Total in "Castle" scene]))*100,1)</f>
        <v>2.2000000000000002</v>
      </c>
      <c r="R168" s="104">
        <f>COUNTIF(Table20[Spawner],Table1[[#This Row],[Spawner Prefab]])</f>
        <v>14</v>
      </c>
      <c r="S168" s="96">
        <f>ROUND((Table1[[#This Row],[Total in "Dark" scene]]/SUM(Table1[Total in "Dark" scene]))*100,1)</f>
        <v>1.3</v>
      </c>
      <c r="T168" s="110">
        <f>Table1[[#This Row],[Total in "Village" scene]]+Table1[[#This Row],[Total in "Castle" scene]]+Table1[[#This Row],[Total in "Dark" scene]]</f>
        <v>104</v>
      </c>
      <c r="U168" s="98">
        <f>ROUND((Table1[[#This Row],[Total in the game]]/SUM(Table1[Total in the game]))*100,1)</f>
        <v>1.8</v>
      </c>
      <c r="V168" s="153" t="str">
        <f>Table1[[#This Row],[Content Sku]]</f>
        <v>Vulture</v>
      </c>
      <c r="W168" s="161" t="s">
        <v>514</v>
      </c>
      <c r="X168" s="115" t="s">
        <v>328</v>
      </c>
      <c r="Y168" s="119" t="s">
        <v>328</v>
      </c>
      <c r="Z168" s="119" t="s">
        <v>328</v>
      </c>
    </row>
    <row r="169" spans="4:26" x14ac:dyDescent="0.25">
      <c r="D169" s="77" t="s">
        <v>346</v>
      </c>
      <c r="E169" s="77" t="s">
        <v>117</v>
      </c>
      <c r="F169" s="77" t="s">
        <v>520</v>
      </c>
      <c r="G169" s="102">
        <v>300</v>
      </c>
      <c r="H169" s="102">
        <v>300</v>
      </c>
      <c r="I169" s="107">
        <v>20</v>
      </c>
      <c r="J169" s="92">
        <v>50</v>
      </c>
      <c r="K169" s="92" t="s">
        <v>8</v>
      </c>
      <c r="L169" s="92">
        <v>0</v>
      </c>
      <c r="M169" s="92">
        <v>32</v>
      </c>
      <c r="N169" s="103">
        <f>COUNTIF(Table7[Spawner],Table1[[#This Row],[Spawner Prefab]])</f>
        <v>20</v>
      </c>
      <c r="O169" s="95">
        <f>ROUND((Table1[[#This Row],[Total in "Village" scene]]/SUM(Table1[Total in "Village" scene]))*100,1)</f>
        <v>0.8</v>
      </c>
      <c r="P169" s="109">
        <f>COUNTIF(Table15[Spawner],Table1[[#This Row],[Spawner Prefab]])</f>
        <v>0</v>
      </c>
      <c r="Q169" s="99">
        <f>ROUND((Table1[[#This Row],[Total in "Castle" scene]]/SUM(Table1[Total in "Castle" scene]))*100,1)</f>
        <v>0</v>
      </c>
      <c r="R169" s="104">
        <f>COUNTIF(Table20[Spawner],Table1[[#This Row],[Spawner Prefab]])</f>
        <v>10</v>
      </c>
      <c r="S169" s="96">
        <f>ROUND((Table1[[#This Row],[Total in "Dark" scene]]/SUM(Table1[Total in "Dark" scene]))*100,1)</f>
        <v>0.9</v>
      </c>
      <c r="T169" s="110">
        <f>Table1[[#This Row],[Total in "Village" scene]]+Table1[[#This Row],[Total in "Castle" scene]]+Table1[[#This Row],[Total in "Dark" scene]]</f>
        <v>30</v>
      </c>
      <c r="U169" s="98">
        <f>ROUND((Table1[[#This Row],[Total in the game]]/SUM(Table1[Total in the game]))*100,1)</f>
        <v>0.5</v>
      </c>
      <c r="V169" s="153" t="str">
        <f>Table1[[#This Row],[Content Sku]]</f>
        <v>Witch</v>
      </c>
      <c r="W169" s="161" t="s">
        <v>515</v>
      </c>
      <c r="X169" s="115" t="s">
        <v>327</v>
      </c>
      <c r="Y169" s="119" t="s">
        <v>327</v>
      </c>
      <c r="Z169" s="119" t="s">
        <v>327</v>
      </c>
    </row>
    <row r="170" spans="4:26" x14ac:dyDescent="0.25">
      <c r="D170" s="77" t="s">
        <v>393</v>
      </c>
      <c r="E170" s="77" t="s">
        <v>83</v>
      </c>
      <c r="F170" s="77" t="s">
        <v>348</v>
      </c>
      <c r="G170" s="102">
        <v>200</v>
      </c>
      <c r="H170" s="102">
        <v>200</v>
      </c>
      <c r="I170" s="107">
        <v>8</v>
      </c>
      <c r="J170" s="92">
        <v>75</v>
      </c>
      <c r="K170" s="92" t="s">
        <v>8</v>
      </c>
      <c r="L170" s="92">
        <v>0</v>
      </c>
      <c r="M170" s="92" t="s">
        <v>8</v>
      </c>
      <c r="N170" s="103">
        <f>COUNTIF(Table7[Spawner],Table1[[#This Row],[Spawner Prefab]])</f>
        <v>79</v>
      </c>
      <c r="O170" s="95">
        <f>ROUND((Table1[[#This Row],[Total in "Village" scene]]/SUM(Table1[Total in "Village" scene]))*100,1)</f>
        <v>3.1</v>
      </c>
      <c r="P170" s="109">
        <f>COUNTIF(Table15[Spawner],Table1[[#This Row],[Spawner Prefab]])</f>
        <v>16</v>
      </c>
      <c r="Q170" s="99">
        <f>ROUND((Table1[[#This Row],[Total in "Castle" scene]]/SUM(Table1[Total in "Castle" scene]))*100,1)</f>
        <v>0.8</v>
      </c>
      <c r="R170" s="104">
        <f>COUNTIF(Table20[Spawner],Table1[[#This Row],[Spawner Prefab]])</f>
        <v>0</v>
      </c>
      <c r="S170" s="96">
        <f>ROUND((Table1[[#This Row],[Total in "Dark" scene]]/SUM(Table1[Total in "Dark" scene]))*100,1)</f>
        <v>0</v>
      </c>
      <c r="T170" s="110">
        <f>Table1[[#This Row],[Total in "Village" scene]]+Table1[[#This Row],[Total in "Castle" scene]]+Table1[[#This Row],[Total in "Dark" scene]]</f>
        <v>95</v>
      </c>
      <c r="U170" s="98">
        <f>ROUND((Table1[[#This Row],[Total in the game]]/SUM(Table1[Total in the game]))*100,1)</f>
        <v>1.7</v>
      </c>
      <c r="V170" s="153" t="str">
        <f>Table1[[#This Row],[Content Sku]]</f>
        <v>Worker</v>
      </c>
      <c r="W170" s="161" t="s">
        <v>535</v>
      </c>
      <c r="X170" s="115" t="s">
        <v>327</v>
      </c>
      <c r="Y170" s="119" t="s">
        <v>327</v>
      </c>
      <c r="Z170" s="119" t="s">
        <v>327</v>
      </c>
    </row>
    <row r="171" spans="4:26" x14ac:dyDescent="0.25">
      <c r="D171" s="77" t="s">
        <v>347</v>
      </c>
      <c r="E171" s="77" t="s">
        <v>83</v>
      </c>
      <c r="F171" s="77" t="s">
        <v>348</v>
      </c>
      <c r="G171" s="102">
        <v>200</v>
      </c>
      <c r="H171" s="102">
        <v>200</v>
      </c>
      <c r="I171" s="107">
        <v>8</v>
      </c>
      <c r="J171" s="92">
        <v>75</v>
      </c>
      <c r="K171" s="92" t="s">
        <v>8</v>
      </c>
      <c r="L171" s="92">
        <v>0</v>
      </c>
      <c r="M171" s="92" t="s">
        <v>8</v>
      </c>
      <c r="N171" s="103">
        <f>COUNTIF(Table7[Spawner],Table1[[#This Row],[Spawner Prefab]])</f>
        <v>4</v>
      </c>
      <c r="O171" s="95">
        <f>ROUND((Table1[[#This Row],[Total in "Village" scene]]/SUM(Table1[Total in "Village" scene]))*100,1)</f>
        <v>0.2</v>
      </c>
      <c r="P171" s="109">
        <f>COUNTIF(Table15[Spawner],Table1[[#This Row],[Spawner Prefab]])</f>
        <v>0</v>
      </c>
      <c r="Q171" s="99">
        <f>ROUND((Table1[[#This Row],[Total in "Castle" scene]]/SUM(Table1[Total in "Castle" scene]))*100,1)</f>
        <v>0</v>
      </c>
      <c r="R171" s="104">
        <f>COUNTIF(Table20[Spawner],Table1[[#This Row],[Spawner Prefab]])</f>
        <v>0</v>
      </c>
      <c r="S171" s="96">
        <f>ROUND((Table1[[#This Row],[Total in "Dark" scene]]/SUM(Table1[Total in "Dark" scene]))*100,1)</f>
        <v>0</v>
      </c>
      <c r="T171" s="110">
        <f>Table1[[#This Row],[Total in "Village" scene]]+Table1[[#This Row],[Total in "Castle" scene]]+Table1[[#This Row],[Total in "Dark" scene]]</f>
        <v>4</v>
      </c>
      <c r="U171" s="98">
        <f>ROUND((Table1[[#This Row],[Total in the game]]/SUM(Table1[Total in the game]))*100,1)</f>
        <v>0.1</v>
      </c>
      <c r="V171" s="153" t="str">
        <f>Table1[[#This Row],[Content Sku]]</f>
        <v>Worker</v>
      </c>
      <c r="W171" s="161" t="s">
        <v>348</v>
      </c>
      <c r="X171" s="115" t="s">
        <v>327</v>
      </c>
      <c r="Y171" s="119" t="s">
        <v>327</v>
      </c>
      <c r="Z171" s="119" t="s">
        <v>327</v>
      </c>
    </row>
    <row r="172" spans="4:26" x14ac:dyDescent="0.25">
      <c r="D172" s="77" t="s">
        <v>349</v>
      </c>
      <c r="E172" s="77" t="s">
        <v>83</v>
      </c>
      <c r="F172" s="77" t="s">
        <v>350</v>
      </c>
      <c r="G172" s="102">
        <v>200</v>
      </c>
      <c r="H172" s="102">
        <v>200</v>
      </c>
      <c r="I172" s="107">
        <v>8</v>
      </c>
      <c r="J172" s="92">
        <v>75</v>
      </c>
      <c r="K172" s="92" t="s">
        <v>8</v>
      </c>
      <c r="L172" s="92">
        <v>0</v>
      </c>
      <c r="M172" s="92" t="s">
        <v>8</v>
      </c>
      <c r="N172" s="103">
        <f>COUNTIF(Table7[Spawner],Table1[[#This Row],[Spawner Prefab]])</f>
        <v>0</v>
      </c>
      <c r="O172" s="95">
        <f>ROUND((Table1[[#This Row],[Total in "Village" scene]]/SUM(Table1[Total in "Village" scene]))*100,1)</f>
        <v>0</v>
      </c>
      <c r="P172" s="109">
        <f>COUNTIF(Table15[Spawner],Table1[[#This Row],[Spawner Prefab]])</f>
        <v>0</v>
      </c>
      <c r="Q172" s="99">
        <f>ROUND((Table1[[#This Row],[Total in "Castle" scene]]/SUM(Table1[Total in "Castle" scene]))*100,1)</f>
        <v>0</v>
      </c>
      <c r="R172" s="104">
        <f>COUNTIF(Table20[Spawner],Table1[[#This Row],[Spawner Prefab]])</f>
        <v>0</v>
      </c>
      <c r="S172" s="96">
        <f>ROUND((Table1[[#This Row],[Total in "Dark" scene]]/SUM(Table1[Total in "Dark" scene]))*100,1)</f>
        <v>0</v>
      </c>
      <c r="T172" s="110">
        <f>Table1[[#This Row],[Total in "Village" scene]]+Table1[[#This Row],[Total in "Castle" scene]]+Table1[[#This Row],[Total in "Dark" scene]]</f>
        <v>0</v>
      </c>
      <c r="U172" s="98">
        <f>ROUND((Table1[[#This Row],[Total in the game]]/SUM(Table1[Total in the game]))*100,1)</f>
        <v>0</v>
      </c>
      <c r="V172" s="153" t="str">
        <f>Table1[[#This Row],[Content Sku]]</f>
        <v>Worker</v>
      </c>
      <c r="W172" s="161" t="s">
        <v>350</v>
      </c>
      <c r="X172" s="115" t="s">
        <v>327</v>
      </c>
      <c r="Y172" s="119" t="s">
        <v>327</v>
      </c>
      <c r="Z172" s="119" t="s">
        <v>327</v>
      </c>
    </row>
    <row r="173" spans="4:26" x14ac:dyDescent="0.25">
      <c r="D173" s="77" t="s">
        <v>8133</v>
      </c>
      <c r="E173" s="77" t="s">
        <v>8135</v>
      </c>
      <c r="F173" s="77" t="s">
        <v>8136</v>
      </c>
      <c r="G173" s="102">
        <v>200</v>
      </c>
      <c r="H173" s="102">
        <v>200</v>
      </c>
      <c r="I173" s="107">
        <v>8</v>
      </c>
      <c r="J173" s="92">
        <v>75</v>
      </c>
      <c r="K173" s="92" t="s">
        <v>8</v>
      </c>
      <c r="L173" s="92">
        <v>0</v>
      </c>
      <c r="M173" s="92" t="s">
        <v>8</v>
      </c>
      <c r="N173" s="103">
        <f>COUNTIF(Table7[Spawner],Table1[[#This Row],[Spawner Prefab]])</f>
        <v>86</v>
      </c>
      <c r="O173" s="95">
        <f>ROUND((Table1[[#This Row],[Total in "Village" scene]]/SUM(Table1[Total in "Village" scene]))*100,1)</f>
        <v>3.4</v>
      </c>
      <c r="P173" s="109">
        <f>COUNTIF(Table15[Spawner],Table1[[#This Row],[Spawner Prefab]])</f>
        <v>43</v>
      </c>
      <c r="Q173" s="99">
        <f>ROUND((Table1[[#This Row],[Total in "Castle" scene]]/SUM(Table1[Total in "Castle" scene]))*100,1)</f>
        <v>2.1</v>
      </c>
      <c r="R173" s="104">
        <f>COUNTIF(Table20[Spawner],Table1[[#This Row],[Spawner Prefab]])</f>
        <v>0</v>
      </c>
      <c r="S173" s="96">
        <f>ROUND((Table1[[#This Row],[Total in "Dark" scene]]/SUM(Table1[Total in "Dark" scene]))*100,1)</f>
        <v>0</v>
      </c>
      <c r="T173" s="110">
        <f>Table1[[#This Row],[Total in "Village" scene]]+Table1[[#This Row],[Total in "Castle" scene]]+Table1[[#This Row],[Total in "Dark" scene]]</f>
        <v>129</v>
      </c>
      <c r="U173" s="98">
        <f>ROUND((Table1[[#This Row],[Total in the game]]/SUM(Table1[Total in the game]))*100,1)</f>
        <v>2.2999999999999998</v>
      </c>
      <c r="V173" s="153" t="str">
        <f>Table1[[#This Row],[Content Sku]]</f>
        <v>WorkerSpace</v>
      </c>
      <c r="W173" s="161" t="s">
        <v>458</v>
      </c>
      <c r="X173" s="115" t="s">
        <v>327</v>
      </c>
      <c r="Y173" s="119" t="s">
        <v>327</v>
      </c>
      <c r="Z173" s="119" t="s">
        <v>327</v>
      </c>
    </row>
    <row r="174" spans="4:26" x14ac:dyDescent="0.25">
      <c r="D174" s="77" t="s">
        <v>8134</v>
      </c>
      <c r="E174" s="77" t="s">
        <v>8135</v>
      </c>
      <c r="F174" s="77" t="s">
        <v>8137</v>
      </c>
      <c r="G174" s="102">
        <v>200</v>
      </c>
      <c r="H174" s="102">
        <v>200</v>
      </c>
      <c r="I174" s="107">
        <v>8</v>
      </c>
      <c r="J174" s="92">
        <v>75</v>
      </c>
      <c r="K174" s="92" t="s">
        <v>8</v>
      </c>
      <c r="L174" s="92">
        <v>0</v>
      </c>
      <c r="M174" s="92" t="s">
        <v>8</v>
      </c>
      <c r="N174" s="103">
        <f>COUNTIF(Table7[Spawner],Table1[[#This Row],[Spawner Prefab]])</f>
        <v>9</v>
      </c>
      <c r="O174" s="95">
        <f>ROUND((Table1[[#This Row],[Total in "Village" scene]]/SUM(Table1[Total in "Village" scene]))*100,1)</f>
        <v>0.4</v>
      </c>
      <c r="P174" s="109">
        <f>COUNTIF(Table15[Spawner],Table1[[#This Row],[Spawner Prefab]])</f>
        <v>3</v>
      </c>
      <c r="Q174" s="99">
        <f>ROUND((Table1[[#This Row],[Total in "Castle" scene]]/SUM(Table1[Total in "Castle" scene]))*100,1)</f>
        <v>0.1</v>
      </c>
      <c r="R174" s="104">
        <f>COUNTIF(Table20[Spawner],Table1[[#This Row],[Spawner Prefab]])</f>
        <v>0</v>
      </c>
      <c r="S174" s="96">
        <f>ROUND((Table1[[#This Row],[Total in "Dark" scene]]/SUM(Table1[Total in "Dark" scene]))*100,1)</f>
        <v>0</v>
      </c>
      <c r="T174" s="110">
        <f>Table1[[#This Row],[Total in "Village" scene]]+Table1[[#This Row],[Total in "Castle" scene]]+Table1[[#This Row],[Total in "Dark" scene]]</f>
        <v>12</v>
      </c>
      <c r="U174" s="98">
        <f>ROUND((Table1[[#This Row],[Total in the game]]/SUM(Table1[Total in the game]))*100,1)</f>
        <v>0.2</v>
      </c>
      <c r="V174" s="153" t="str">
        <f>Table1[[#This Row],[Content Sku]]</f>
        <v>WorkerSpace</v>
      </c>
      <c r="W174" s="161" t="s">
        <v>352</v>
      </c>
      <c r="X174" s="115" t="s">
        <v>327</v>
      </c>
      <c r="Y174" s="119" t="s">
        <v>327</v>
      </c>
      <c r="Z174" s="119" t="s">
        <v>327</v>
      </c>
    </row>
    <row r="175" spans="4:26" x14ac:dyDescent="0.25">
      <c r="D175" s="77" t="s">
        <v>351</v>
      </c>
      <c r="E175" s="77" t="s">
        <v>83</v>
      </c>
      <c r="F175" s="77" t="s">
        <v>352</v>
      </c>
      <c r="G175" s="102">
        <v>200</v>
      </c>
      <c r="H175" s="102">
        <v>200</v>
      </c>
      <c r="I175" s="107">
        <v>8</v>
      </c>
      <c r="J175" s="92">
        <v>75</v>
      </c>
      <c r="K175" s="92" t="s">
        <v>8</v>
      </c>
      <c r="L175" s="92">
        <v>0</v>
      </c>
      <c r="M175" s="92" t="s">
        <v>8</v>
      </c>
      <c r="N175" s="103">
        <f>COUNTIF(Table7[Spawner],Table1[[#This Row],[Spawner Prefab]])</f>
        <v>1</v>
      </c>
      <c r="O175" s="95">
        <f>ROUND((Table1[[#This Row],[Total in "Village" scene]]/SUM(Table1[Total in "Village" scene]))*100,1)</f>
        <v>0</v>
      </c>
      <c r="P175" s="109">
        <f>COUNTIF(Table15[Spawner],Table1[[#This Row],[Spawner Prefab]])</f>
        <v>0</v>
      </c>
      <c r="Q175" s="99">
        <f>ROUND((Table1[[#This Row],[Total in "Castle" scene]]/SUM(Table1[Total in "Castle" scene]))*100,1)</f>
        <v>0</v>
      </c>
      <c r="R175" s="104">
        <f>COUNTIF(Table20[Spawner],Table1[[#This Row],[Spawner Prefab]])</f>
        <v>0</v>
      </c>
      <c r="S175" s="96">
        <f>ROUND((Table1[[#This Row],[Total in "Dark" scene]]/SUM(Table1[Total in "Dark" scene]))*100,1)</f>
        <v>0</v>
      </c>
      <c r="T175" s="110">
        <f>Table1[[#This Row],[Total in "Village" scene]]+Table1[[#This Row],[Total in "Castle" scene]]+Table1[[#This Row],[Total in "Dark" scene]]</f>
        <v>1</v>
      </c>
      <c r="U175" s="98">
        <f>ROUND((Table1[[#This Row],[Total in the game]]/SUM(Table1[Total in the game]))*100,1)</f>
        <v>0</v>
      </c>
      <c r="V175" s="153" t="str">
        <f>Table1[[#This Row],[Content Sku]]</f>
        <v>Worker</v>
      </c>
      <c r="W175" s="190" t="s">
        <v>8136</v>
      </c>
      <c r="X175" s="191" t="s">
        <v>327</v>
      </c>
      <c r="Y175" s="191" t="s">
        <v>327</v>
      </c>
      <c r="Z175" s="191" t="s">
        <v>327</v>
      </c>
    </row>
    <row r="176" spans="4:26" x14ac:dyDescent="0.25">
      <c r="W176" s="190" t="s">
        <v>8137</v>
      </c>
      <c r="X176" s="191" t="s">
        <v>327</v>
      </c>
      <c r="Y176" s="191" t="s">
        <v>327</v>
      </c>
      <c r="Z176" s="191" t="s">
        <v>327</v>
      </c>
    </row>
    <row r="177" spans="23:26" x14ac:dyDescent="0.25">
      <c r="W177" s="161" t="s">
        <v>4458</v>
      </c>
      <c r="X177" s="115" t="s">
        <v>327</v>
      </c>
      <c r="Y177" s="119" t="s">
        <v>327</v>
      </c>
      <c r="Z177" s="119" t="s">
        <v>327</v>
      </c>
    </row>
    <row r="178" spans="23:26" x14ac:dyDescent="0.25">
      <c r="W178" s="178" t="s">
        <v>7993</v>
      </c>
      <c r="X178" s="179" t="s">
        <v>327</v>
      </c>
      <c r="Y178" s="179" t="s">
        <v>327</v>
      </c>
      <c r="Z178" s="179" t="s">
        <v>327</v>
      </c>
    </row>
  </sheetData>
  <pageMargins left="0.7" right="0.7" top="0.75" bottom="0.75" header="0.3" footer="0.3"/>
  <pageSetup paperSize="9"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6" tint="-0.249977111117893"/>
  </sheetPr>
  <dimension ref="B1:V441"/>
  <sheetViews>
    <sheetView tabSelected="1" topLeftCell="A201" workbookViewId="0">
      <selection activeCell="U217" sqref="U217"/>
    </sheetView>
  </sheetViews>
  <sheetFormatPr defaultRowHeight="15" x14ac:dyDescent="0.25"/>
  <cols>
    <col min="2" max="2" width="30.5703125" customWidth="1"/>
    <col min="3" max="3" width="16.28515625" customWidth="1"/>
    <col min="4" max="4" width="10.42578125" customWidth="1"/>
    <col min="5" max="5" width="11" customWidth="1"/>
    <col min="6" max="6" width="9.7109375" customWidth="1"/>
    <col min="7" max="7" width="12.7109375" customWidth="1"/>
    <col min="8" max="8" width="10.5703125" customWidth="1"/>
    <col min="10" max="10" width="19.7109375" customWidth="1"/>
    <col min="11" max="11" width="12.85546875" customWidth="1"/>
    <col min="12" max="12" width="14.42578125" customWidth="1"/>
    <col min="13" max="13" width="12.140625" customWidth="1"/>
    <col min="14" max="14" width="10.28515625" customWidth="1"/>
    <col min="15" max="15" width="12.42578125" customWidth="1"/>
    <col min="16" max="16" width="13.42578125" customWidth="1"/>
  </cols>
  <sheetData>
    <row r="1" spans="2:10" ht="15.75" thickBot="1" x14ac:dyDescent="0.3">
      <c r="I1" s="27"/>
    </row>
    <row r="2" spans="2:10" ht="16.5" thickTop="1" thickBot="1" x14ac:dyDescent="0.3">
      <c r="C2" s="32" t="s">
        <v>154</v>
      </c>
      <c r="I2" s="27"/>
      <c r="J2" s="32" t="s">
        <v>152</v>
      </c>
    </row>
    <row r="3" spans="2:10" ht="16.5" thickTop="1" thickBot="1" x14ac:dyDescent="0.3">
      <c r="I3" s="27"/>
    </row>
    <row r="4" spans="2:10" ht="15.75" thickTop="1" x14ac:dyDescent="0.25">
      <c r="C4" s="25"/>
      <c r="D4" s="24"/>
      <c r="E4" s="24"/>
      <c r="F4" s="24"/>
      <c r="G4" s="26"/>
      <c r="I4" s="27"/>
    </row>
    <row r="5" spans="2:10" x14ac:dyDescent="0.25">
      <c r="C5" s="27"/>
      <c r="D5" s="22"/>
      <c r="E5" s="18">
        <f>(COUNTIF(G71:G330,"&gt;0"))+1</f>
        <v>83</v>
      </c>
      <c r="F5" s="22">
        <f>MOD(E5,60)</f>
        <v>23</v>
      </c>
      <c r="G5" s="28"/>
      <c r="I5" s="27"/>
    </row>
    <row r="6" spans="2:10" x14ac:dyDescent="0.25">
      <c r="C6" s="27"/>
      <c r="D6" s="22"/>
      <c r="E6" s="22"/>
      <c r="F6" s="22">
        <f>ROUNDDOWN(E5/60,0)</f>
        <v>1</v>
      </c>
      <c r="G6" s="28"/>
      <c r="I6" s="27"/>
    </row>
    <row r="7" spans="2:10" ht="19.5" customHeight="1" x14ac:dyDescent="0.35">
      <c r="C7" s="27"/>
      <c r="D7" s="23" t="s">
        <v>145</v>
      </c>
      <c r="E7" s="22"/>
      <c r="F7" s="20" t="str">
        <f>IF(F5&gt;9,CONCATENATE(F6,":",F5),CONCATENATE(F6,":0",F5))</f>
        <v>1:23</v>
      </c>
      <c r="G7" s="28"/>
      <c r="I7" s="27"/>
    </row>
    <row r="8" spans="2:10" ht="18" customHeight="1" x14ac:dyDescent="0.35">
      <c r="C8" s="27"/>
      <c r="D8" s="22"/>
      <c r="E8" s="22"/>
      <c r="F8" s="21"/>
      <c r="G8" s="28"/>
      <c r="I8" s="27"/>
    </row>
    <row r="9" spans="2:10" x14ac:dyDescent="0.25">
      <c r="C9" s="27"/>
      <c r="D9" s="22"/>
      <c r="E9" s="18">
        <f>E5+C14</f>
        <v>83</v>
      </c>
      <c r="F9" s="22">
        <f>MOD(E9,60)</f>
        <v>23</v>
      </c>
      <c r="G9" s="28"/>
      <c r="I9" s="27"/>
    </row>
    <row r="10" spans="2:10" x14ac:dyDescent="0.25">
      <c r="C10" s="27"/>
      <c r="D10" s="22"/>
      <c r="E10" s="22"/>
      <c r="F10" s="22">
        <f>ROUNDDOWN(E9/60,0)</f>
        <v>1</v>
      </c>
      <c r="G10" s="28"/>
      <c r="I10" s="27"/>
    </row>
    <row r="11" spans="2:10" ht="23.25" x14ac:dyDescent="0.35">
      <c r="C11" s="27"/>
      <c r="D11" s="23" t="s">
        <v>146</v>
      </c>
      <c r="E11" s="22"/>
      <c r="F11" s="20" t="str">
        <f>IF(F9&gt;9,CONCATENATE(F10,":",F9),CONCATENATE(F10,":0",F9))</f>
        <v>1:23</v>
      </c>
      <c r="G11" s="28"/>
      <c r="I11" s="27"/>
    </row>
    <row r="12" spans="2:10" ht="15.75" thickBot="1" x14ac:dyDescent="0.3">
      <c r="C12" s="29"/>
      <c r="D12" s="30"/>
      <c r="E12" s="30"/>
      <c r="F12" s="30"/>
      <c r="G12" s="31"/>
      <c r="I12" s="27"/>
    </row>
    <row r="13" spans="2:10" ht="15.75" thickTop="1" x14ac:dyDescent="0.25">
      <c r="I13" s="27"/>
    </row>
    <row r="14" spans="2:10" x14ac:dyDescent="0.25">
      <c r="B14" t="s">
        <v>147</v>
      </c>
      <c r="C14" s="41">
        <v>0</v>
      </c>
      <c r="E14" t="s">
        <v>138</v>
      </c>
      <c r="F14" s="41">
        <v>425</v>
      </c>
      <c r="I14" s="27"/>
    </row>
    <row r="15" spans="2:10" x14ac:dyDescent="0.25">
      <c r="B15" t="s">
        <v>138</v>
      </c>
      <c r="C15" s="43">
        <v>95</v>
      </c>
      <c r="E15" t="s">
        <v>172</v>
      </c>
      <c r="F15" s="42">
        <v>0.05</v>
      </c>
      <c r="I15" s="27"/>
    </row>
    <row r="16" spans="2:10" x14ac:dyDescent="0.25">
      <c r="B16" t="s">
        <v>139</v>
      </c>
      <c r="C16" s="43">
        <v>1.05</v>
      </c>
      <c r="E16" t="s">
        <v>173</v>
      </c>
      <c r="F16">
        <f>ROUND(F14*F15,2)</f>
        <v>21.25</v>
      </c>
      <c r="I16" s="27"/>
    </row>
    <row r="17" spans="2:20" x14ac:dyDescent="0.25">
      <c r="B17" t="s">
        <v>140</v>
      </c>
      <c r="C17" s="43">
        <v>7.4999999999999997E-3</v>
      </c>
      <c r="I17" s="27"/>
    </row>
    <row r="18" spans="2:20" x14ac:dyDescent="0.25">
      <c r="B18" t="s">
        <v>148</v>
      </c>
      <c r="C18" s="43">
        <v>30</v>
      </c>
      <c r="E18" t="s">
        <v>174</v>
      </c>
      <c r="F18" s="41">
        <v>10</v>
      </c>
      <c r="I18" s="27"/>
    </row>
    <row r="19" spans="2:20" x14ac:dyDescent="0.25">
      <c r="B19" t="s">
        <v>149</v>
      </c>
      <c r="C19" s="42">
        <v>0.5</v>
      </c>
      <c r="E19" t="s">
        <v>175</v>
      </c>
      <c r="F19" s="42">
        <v>0.4</v>
      </c>
      <c r="I19" s="27"/>
    </row>
    <row r="20" spans="2:20" x14ac:dyDescent="0.25">
      <c r="E20" t="s">
        <v>176</v>
      </c>
      <c r="F20">
        <f>F18*F19</f>
        <v>4</v>
      </c>
      <c r="I20" s="27"/>
    </row>
    <row r="21" spans="2:20" x14ac:dyDescent="0.25">
      <c r="I21" s="27"/>
    </row>
    <row r="22" spans="2:20" x14ac:dyDescent="0.25">
      <c r="I22" s="27"/>
    </row>
    <row r="23" spans="2:20" x14ac:dyDescent="0.25">
      <c r="I23" s="27"/>
    </row>
    <row r="24" spans="2:20" x14ac:dyDescent="0.25">
      <c r="I24" s="27"/>
    </row>
    <row r="25" spans="2:20" x14ac:dyDescent="0.25">
      <c r="I25" s="27"/>
    </row>
    <row r="26" spans="2:20" x14ac:dyDescent="0.25">
      <c r="I26" s="27"/>
    </row>
    <row r="27" spans="2:20" x14ac:dyDescent="0.25">
      <c r="I27" s="27"/>
    </row>
    <row r="28" spans="2:20" x14ac:dyDescent="0.25">
      <c r="I28" s="27"/>
    </row>
    <row r="29" spans="2:20" x14ac:dyDescent="0.25">
      <c r="I29" s="27"/>
      <c r="K29" s="2" t="s">
        <v>2411</v>
      </c>
      <c r="L29" s="2" t="s">
        <v>2412</v>
      </c>
      <c r="M29" t="s">
        <v>151</v>
      </c>
      <c r="N29" s="121" t="s">
        <v>2416</v>
      </c>
      <c r="O29" t="s">
        <v>157</v>
      </c>
      <c r="P29" t="s">
        <v>153</v>
      </c>
      <c r="R29" s="1" t="s">
        <v>159</v>
      </c>
    </row>
    <row r="30" spans="2:20" x14ac:dyDescent="0.25">
      <c r="I30" s="27"/>
      <c r="J30" s="3" t="s">
        <v>125</v>
      </c>
      <c r="K30" s="10">
        <f>DATA_DRAGONS_CONTENT!H5</f>
        <v>75</v>
      </c>
      <c r="L30" s="10">
        <f>DATA_DRAGONS_CONTENT!I5</f>
        <v>105</v>
      </c>
      <c r="M30">
        <f>L30-K30</f>
        <v>30</v>
      </c>
      <c r="N30" s="122">
        <f>DATA_DRAGONS_CONTENT!U5</f>
        <v>8</v>
      </c>
      <c r="O30">
        <f>M30/N30</f>
        <v>3.75</v>
      </c>
      <c r="P30">
        <f>(K30+L30)/2</f>
        <v>90</v>
      </c>
      <c r="R30" s="33">
        <v>0</v>
      </c>
      <c r="T30" t="s">
        <v>2432</v>
      </c>
    </row>
    <row r="31" spans="2:20" x14ac:dyDescent="0.25">
      <c r="I31" s="27"/>
      <c r="J31" s="5" t="s">
        <v>126</v>
      </c>
      <c r="K31" s="11">
        <f>DATA_DRAGONS_CONTENT!H6</f>
        <v>95</v>
      </c>
      <c r="L31" s="11">
        <f>DATA_DRAGONS_CONTENT!I6</f>
        <v>145</v>
      </c>
      <c r="M31">
        <f t="shared" ref="M31:M37" si="0">L31-K31</f>
        <v>50</v>
      </c>
      <c r="N31" s="123">
        <f>DATA_DRAGONS_CONTENT!U6</f>
        <v>10</v>
      </c>
      <c r="O31">
        <f t="shared" ref="O31:O37" si="1">M31/N31</f>
        <v>5</v>
      </c>
      <c r="P31">
        <f t="shared" ref="P31:P37" si="2">(K31+L31)/2</f>
        <v>120</v>
      </c>
      <c r="R31" s="34">
        <f>K31-L30</f>
        <v>-10</v>
      </c>
      <c r="T31" t="s">
        <v>2433</v>
      </c>
    </row>
    <row r="32" spans="2:20" x14ac:dyDescent="0.25">
      <c r="I32" s="27"/>
      <c r="J32" s="6" t="s">
        <v>128</v>
      </c>
      <c r="K32" s="12">
        <f>DATA_DRAGONS_CONTENT!H7</f>
        <v>140</v>
      </c>
      <c r="L32" s="12">
        <f>DATA_DRAGONS_CONTENT!I7</f>
        <v>200</v>
      </c>
      <c r="M32">
        <f t="shared" si="0"/>
        <v>60</v>
      </c>
      <c r="N32" s="124">
        <f>DATA_DRAGONS_CONTENT!U7</f>
        <v>10</v>
      </c>
      <c r="O32">
        <f t="shared" si="1"/>
        <v>6</v>
      </c>
      <c r="P32">
        <f t="shared" si="2"/>
        <v>170</v>
      </c>
      <c r="R32" s="34">
        <f t="shared" ref="R32:R37" si="3">K32-L31</f>
        <v>-5</v>
      </c>
      <c r="T32" t="s">
        <v>2434</v>
      </c>
    </row>
    <row r="33" spans="9:20" x14ac:dyDescent="0.25">
      <c r="I33" s="27"/>
      <c r="J33" s="7" t="s">
        <v>127</v>
      </c>
      <c r="K33" s="13">
        <f>DATA_DRAGONS_CONTENT!H8</f>
        <v>190</v>
      </c>
      <c r="L33" s="13">
        <f>DATA_DRAGONS_CONTENT!I8</f>
        <v>240</v>
      </c>
      <c r="M33">
        <f t="shared" si="0"/>
        <v>50</v>
      </c>
      <c r="N33" s="125">
        <f>DATA_DRAGONS_CONTENT!U8</f>
        <v>10</v>
      </c>
      <c r="O33">
        <f t="shared" si="1"/>
        <v>5</v>
      </c>
      <c r="P33">
        <f t="shared" si="2"/>
        <v>215</v>
      </c>
      <c r="R33" s="34">
        <f t="shared" si="3"/>
        <v>-10</v>
      </c>
      <c r="T33" t="s">
        <v>2435</v>
      </c>
    </row>
    <row r="34" spans="9:20" x14ac:dyDescent="0.25">
      <c r="I34" s="27"/>
      <c r="J34" s="7" t="s">
        <v>130</v>
      </c>
      <c r="K34" s="13">
        <f>DATA_DRAGONS_CONTENT!H9</f>
        <v>210</v>
      </c>
      <c r="L34" s="13">
        <f>DATA_DRAGONS_CONTENT!I9</f>
        <v>270</v>
      </c>
      <c r="M34">
        <f>L34-K34</f>
        <v>60</v>
      </c>
      <c r="N34" s="125">
        <f>DATA_DRAGONS_CONTENT!U9</f>
        <v>15</v>
      </c>
      <c r="O34">
        <f>M34/N34</f>
        <v>4</v>
      </c>
      <c r="P34">
        <f t="shared" si="2"/>
        <v>240</v>
      </c>
      <c r="R34" s="34">
        <f t="shared" si="3"/>
        <v>-30</v>
      </c>
      <c r="T34" t="s">
        <v>2436</v>
      </c>
    </row>
    <row r="35" spans="9:20" x14ac:dyDescent="0.25">
      <c r="I35" s="27"/>
      <c r="J35" s="7" t="s">
        <v>129</v>
      </c>
      <c r="K35" s="13">
        <f>DATA_DRAGONS_CONTENT!H10</f>
        <v>250</v>
      </c>
      <c r="L35" s="13">
        <f>DATA_DRAGONS_CONTENT!I10</f>
        <v>310</v>
      </c>
      <c r="M35">
        <f t="shared" si="0"/>
        <v>60</v>
      </c>
      <c r="N35" s="125">
        <f>DATA_DRAGONS_CONTENT!U10</f>
        <v>15</v>
      </c>
      <c r="O35">
        <f t="shared" si="1"/>
        <v>4</v>
      </c>
      <c r="P35">
        <f t="shared" si="2"/>
        <v>280</v>
      </c>
      <c r="R35" s="34">
        <f t="shared" si="3"/>
        <v>-20</v>
      </c>
      <c r="T35" t="s">
        <v>2437</v>
      </c>
    </row>
    <row r="36" spans="9:20" x14ac:dyDescent="0.25">
      <c r="I36" s="27"/>
      <c r="J36" s="9" t="s">
        <v>131</v>
      </c>
      <c r="K36" s="15">
        <f>DATA_DRAGONS_CONTENT!H11</f>
        <v>290</v>
      </c>
      <c r="L36" s="15">
        <f>DATA_DRAGONS_CONTENT!I11</f>
        <v>350</v>
      </c>
      <c r="M36">
        <f t="shared" si="0"/>
        <v>60</v>
      </c>
      <c r="N36" s="126">
        <f>DATA_DRAGONS_CONTENT!U11</f>
        <v>15</v>
      </c>
      <c r="O36">
        <f t="shared" si="1"/>
        <v>4</v>
      </c>
      <c r="P36">
        <f t="shared" si="2"/>
        <v>320</v>
      </c>
      <c r="R36" s="34">
        <f t="shared" si="3"/>
        <v>-20</v>
      </c>
      <c r="T36" t="s">
        <v>2438</v>
      </c>
    </row>
    <row r="37" spans="9:20" x14ac:dyDescent="0.25">
      <c r="I37" s="27"/>
      <c r="J37" s="9" t="s">
        <v>133</v>
      </c>
      <c r="K37" s="15">
        <f>DATA_DRAGONS_CONTENT!H12</f>
        <v>330</v>
      </c>
      <c r="L37" s="15">
        <f>DATA_DRAGONS_CONTENT!I12</f>
        <v>400</v>
      </c>
      <c r="M37">
        <f t="shared" si="0"/>
        <v>70</v>
      </c>
      <c r="N37" s="126">
        <f>DATA_DRAGONS_CONTENT!U12</f>
        <v>20</v>
      </c>
      <c r="O37">
        <f t="shared" si="1"/>
        <v>3.5</v>
      </c>
      <c r="P37">
        <f t="shared" si="2"/>
        <v>365</v>
      </c>
      <c r="R37" s="34">
        <f t="shared" si="3"/>
        <v>-20</v>
      </c>
      <c r="T37" t="s">
        <v>2439</v>
      </c>
    </row>
    <row r="38" spans="9:20" x14ac:dyDescent="0.25">
      <c r="I38" s="27"/>
      <c r="J38" s="9" t="s">
        <v>2431</v>
      </c>
      <c r="K38" s="15">
        <f>DATA_DRAGONS_CONTENT!H13</f>
        <v>360</v>
      </c>
      <c r="L38" s="15">
        <f>DATA_DRAGONS_CONTENT!I13</f>
        <v>430</v>
      </c>
      <c r="M38">
        <f t="shared" ref="M38" si="4">L38-K38</f>
        <v>70</v>
      </c>
      <c r="N38" s="126">
        <f>DATA_DRAGONS_CONTENT!U13</f>
        <v>20</v>
      </c>
      <c r="O38">
        <f t="shared" ref="O38" si="5">M38/N38</f>
        <v>3.5</v>
      </c>
      <c r="P38">
        <f t="shared" ref="P38" si="6">(K38+L38)/2</f>
        <v>395</v>
      </c>
      <c r="R38" s="34">
        <f t="shared" ref="R38" si="7">K38-L37</f>
        <v>-40</v>
      </c>
      <c r="T38" t="s">
        <v>2440</v>
      </c>
    </row>
    <row r="39" spans="9:20" x14ac:dyDescent="0.25">
      <c r="I39" s="27"/>
      <c r="J39" s="4" t="s">
        <v>132</v>
      </c>
      <c r="K39" s="16">
        <f>DATA_DRAGONS_CONTENT!H14</f>
        <v>375</v>
      </c>
      <c r="L39" s="16">
        <f>DATA_DRAGONS_CONTENT!I14</f>
        <v>445</v>
      </c>
      <c r="M39">
        <f t="shared" ref="M39:M45" si="8">L39-K39</f>
        <v>70</v>
      </c>
      <c r="N39" s="127">
        <f>DATA_DRAGONS_CONTENT!U14</f>
        <v>20</v>
      </c>
      <c r="O39">
        <f t="shared" ref="O39:O45" si="9">M39/N39</f>
        <v>3.5</v>
      </c>
      <c r="P39">
        <f t="shared" ref="P39:P45" si="10">(K39+L39)/2</f>
        <v>410</v>
      </c>
      <c r="R39" s="34">
        <f t="shared" ref="R39:R45" si="11">K39-L38</f>
        <v>-55</v>
      </c>
      <c r="T39" t="s">
        <v>2441</v>
      </c>
    </row>
    <row r="40" spans="9:20" x14ac:dyDescent="0.25">
      <c r="I40" s="27"/>
      <c r="J40" s="4" t="s">
        <v>134</v>
      </c>
      <c r="K40" s="16">
        <f>DATA_DRAGONS_CONTENT!H15</f>
        <v>425</v>
      </c>
      <c r="L40" s="16">
        <f>DATA_DRAGONS_CONTENT!I15</f>
        <v>500</v>
      </c>
      <c r="M40">
        <f t="shared" si="8"/>
        <v>75</v>
      </c>
      <c r="N40" s="127">
        <f>DATA_DRAGONS_CONTENT!U15</f>
        <v>20</v>
      </c>
      <c r="O40">
        <f t="shared" si="9"/>
        <v>3.75</v>
      </c>
      <c r="P40">
        <f t="shared" si="10"/>
        <v>462.5</v>
      </c>
      <c r="R40" s="34">
        <f t="shared" si="11"/>
        <v>-20</v>
      </c>
      <c r="T40" t="s">
        <v>2442</v>
      </c>
    </row>
    <row r="41" spans="9:20" x14ac:dyDescent="0.25">
      <c r="I41" s="27"/>
      <c r="J41" s="4" t="s">
        <v>7989</v>
      </c>
      <c r="K41" s="16">
        <f>DATA_DRAGONS_CONTENT!H16</f>
        <v>1000</v>
      </c>
      <c r="L41" s="16">
        <f>DATA_DRAGONS_CONTENT!I16</f>
        <v>1500</v>
      </c>
      <c r="M41">
        <f t="shared" si="8"/>
        <v>500</v>
      </c>
      <c r="N41" s="127">
        <f>DATA_DRAGONS_CONTENT!U16</f>
        <v>20</v>
      </c>
      <c r="O41">
        <f t="shared" si="9"/>
        <v>25</v>
      </c>
      <c r="P41">
        <f t="shared" si="10"/>
        <v>1250</v>
      </c>
      <c r="R41" s="34">
        <f t="shared" si="11"/>
        <v>500</v>
      </c>
      <c r="T41" t="s">
        <v>7990</v>
      </c>
    </row>
    <row r="42" spans="9:20" x14ac:dyDescent="0.25">
      <c r="I42" s="27"/>
      <c r="J42" s="183" t="s">
        <v>8102</v>
      </c>
      <c r="K42" s="183">
        <f>DATA_DRAGONS_CONTENT!H17</f>
        <v>500</v>
      </c>
      <c r="L42" s="183">
        <f>DATA_DRAGONS_CONTENT!I17</f>
        <v>600</v>
      </c>
      <c r="M42" s="91">
        <f t="shared" si="8"/>
        <v>100</v>
      </c>
      <c r="N42" s="193">
        <f>DATA_DRAGONS_CONTENT!U17</f>
        <v>20</v>
      </c>
      <c r="O42" s="91">
        <f t="shared" si="9"/>
        <v>5</v>
      </c>
      <c r="P42" s="91">
        <f t="shared" si="10"/>
        <v>550</v>
      </c>
      <c r="Q42" s="91"/>
      <c r="R42" s="189">
        <f t="shared" si="11"/>
        <v>-1000</v>
      </c>
      <c r="T42" t="s">
        <v>569</v>
      </c>
    </row>
    <row r="43" spans="9:20" x14ac:dyDescent="0.25">
      <c r="I43" s="27"/>
      <c r="J43" s="183" t="s">
        <v>8131</v>
      </c>
      <c r="K43" s="183">
        <f>DATA_DRAGONS_CONTENT!H18</f>
        <v>550</v>
      </c>
      <c r="L43" s="183">
        <f>DATA_DRAGONS_CONTENT!I18</f>
        <v>650</v>
      </c>
      <c r="M43" s="91">
        <f t="shared" si="8"/>
        <v>100</v>
      </c>
      <c r="N43" s="193">
        <f>DATA_DRAGONS_CONTENT!U18</f>
        <v>20</v>
      </c>
      <c r="O43" s="91">
        <f t="shared" si="9"/>
        <v>5</v>
      </c>
      <c r="P43" s="91">
        <f t="shared" si="10"/>
        <v>600</v>
      </c>
      <c r="Q43" s="91"/>
      <c r="R43" s="189">
        <f t="shared" si="11"/>
        <v>-50</v>
      </c>
      <c r="T43" t="s">
        <v>8132</v>
      </c>
    </row>
    <row r="44" spans="9:20" x14ac:dyDescent="0.25">
      <c r="I44" s="27"/>
      <c r="J44" s="183" t="s">
        <v>8165</v>
      </c>
      <c r="K44" s="183">
        <f>DATA_DRAGONS_CONTENT!H19</f>
        <v>550</v>
      </c>
      <c r="L44" s="183">
        <f>DATA_DRAGONS_CONTENT!I19</f>
        <v>650</v>
      </c>
      <c r="M44" s="91">
        <f t="shared" si="8"/>
        <v>100</v>
      </c>
      <c r="N44" s="193">
        <f>DATA_DRAGONS_CONTENT!U19</f>
        <v>20</v>
      </c>
      <c r="O44" s="91">
        <f t="shared" si="9"/>
        <v>5</v>
      </c>
      <c r="P44" s="91">
        <f t="shared" si="10"/>
        <v>600</v>
      </c>
      <c r="Q44" s="91"/>
      <c r="R44" s="189">
        <f t="shared" si="11"/>
        <v>-100</v>
      </c>
      <c r="T44" t="s">
        <v>8167</v>
      </c>
    </row>
    <row r="45" spans="9:20" x14ac:dyDescent="0.25">
      <c r="I45" s="27"/>
      <c r="J45" s="183" t="s">
        <v>8166</v>
      </c>
      <c r="K45" s="183">
        <f>DATA_DRAGONS_CONTENT!H20</f>
        <v>550</v>
      </c>
      <c r="L45" s="183">
        <f>DATA_DRAGONS_CONTENT!I20</f>
        <v>650</v>
      </c>
      <c r="M45" s="91">
        <f t="shared" si="8"/>
        <v>100</v>
      </c>
      <c r="N45" s="193">
        <f>DATA_DRAGONS_CONTENT!U20</f>
        <v>20</v>
      </c>
      <c r="O45" s="91">
        <f t="shared" si="9"/>
        <v>5</v>
      </c>
      <c r="P45" s="91">
        <f t="shared" si="10"/>
        <v>600</v>
      </c>
      <c r="Q45" s="91"/>
      <c r="R45" s="184">
        <f t="shared" si="11"/>
        <v>-100</v>
      </c>
      <c r="T45" t="s">
        <v>189</v>
      </c>
    </row>
    <row r="46" spans="9:20" ht="15.75" thickBot="1" x14ac:dyDescent="0.3">
      <c r="I46" s="27"/>
    </row>
    <row r="47" spans="9:20" ht="16.5" thickTop="1" thickBot="1" x14ac:dyDescent="0.3">
      <c r="I47" s="27"/>
      <c r="J47" s="32" t="s">
        <v>155</v>
      </c>
    </row>
    <row r="48" spans="9:20" ht="15.75" thickTop="1" x14ac:dyDescent="0.25">
      <c r="I48" s="27"/>
    </row>
    <row r="49" spans="9:9" x14ac:dyDescent="0.25">
      <c r="I49" s="27"/>
    </row>
    <row r="50" spans="9:9" x14ac:dyDescent="0.25">
      <c r="I50" s="27"/>
    </row>
    <row r="51" spans="9:9" x14ac:dyDescent="0.25">
      <c r="I51" s="27"/>
    </row>
    <row r="52" spans="9:9" x14ac:dyDescent="0.25">
      <c r="I52" s="27"/>
    </row>
    <row r="53" spans="9:9" x14ac:dyDescent="0.25">
      <c r="I53" s="27"/>
    </row>
    <row r="54" spans="9:9" x14ac:dyDescent="0.25">
      <c r="I54" s="27"/>
    </row>
    <row r="55" spans="9:9" x14ac:dyDescent="0.25">
      <c r="I55" s="27"/>
    </row>
    <row r="56" spans="9:9" x14ac:dyDescent="0.25">
      <c r="I56" s="27"/>
    </row>
    <row r="57" spans="9:9" x14ac:dyDescent="0.25">
      <c r="I57" s="27"/>
    </row>
    <row r="58" spans="9:9" x14ac:dyDescent="0.25">
      <c r="I58" s="27"/>
    </row>
    <row r="59" spans="9:9" x14ac:dyDescent="0.25">
      <c r="I59" s="27"/>
    </row>
    <row r="60" spans="9:9" x14ac:dyDescent="0.25">
      <c r="I60" s="27"/>
    </row>
    <row r="61" spans="9:9" x14ac:dyDescent="0.25">
      <c r="I61" s="27"/>
    </row>
    <row r="62" spans="9:9" x14ac:dyDescent="0.25">
      <c r="I62" s="27"/>
    </row>
    <row r="63" spans="9:9" x14ac:dyDescent="0.25">
      <c r="I63" s="27"/>
    </row>
    <row r="64" spans="9:9" x14ac:dyDescent="0.25">
      <c r="I64" s="27"/>
    </row>
    <row r="65" spans="2:15" x14ac:dyDescent="0.25">
      <c r="I65" s="27"/>
    </row>
    <row r="66" spans="2:15" x14ac:dyDescent="0.25">
      <c r="I66" s="27"/>
    </row>
    <row r="67" spans="2:15" x14ac:dyDescent="0.25">
      <c r="I67" s="27"/>
    </row>
    <row r="68" spans="2:15" x14ac:dyDescent="0.25">
      <c r="I68" s="27"/>
    </row>
    <row r="69" spans="2:15" x14ac:dyDescent="0.25">
      <c r="I69" s="27"/>
    </row>
    <row r="70" spans="2:15" x14ac:dyDescent="0.25">
      <c r="C70" s="1" t="s">
        <v>150</v>
      </c>
      <c r="E70" s="1" t="s">
        <v>124</v>
      </c>
      <c r="G70" s="19" t="s">
        <v>138</v>
      </c>
      <c r="I70" s="27"/>
      <c r="O70" s="18"/>
    </row>
    <row r="71" spans="2:15" x14ac:dyDescent="0.25">
      <c r="B71" t="s">
        <v>142</v>
      </c>
      <c r="C71">
        <f>C14</f>
        <v>0</v>
      </c>
      <c r="E71">
        <f>C17*C71</f>
        <v>0</v>
      </c>
      <c r="G71">
        <f>C15</f>
        <v>95</v>
      </c>
      <c r="I71" s="27"/>
    </row>
    <row r="72" spans="2:15" x14ac:dyDescent="0.25">
      <c r="B72" s="1" t="s">
        <v>141</v>
      </c>
      <c r="C72">
        <f>C71+1</f>
        <v>1</v>
      </c>
      <c r="E72">
        <f>IF(C72&gt;$C$18,$C$16+(C72*$C$17),(($C$16)*$C$19)+(C72*$C$17))</f>
        <v>0.53249999999999997</v>
      </c>
      <c r="G72">
        <f>G71-E72</f>
        <v>94.467500000000001</v>
      </c>
      <c r="I72" s="27"/>
    </row>
    <row r="73" spans="2:15" x14ac:dyDescent="0.25">
      <c r="B73" s="1" t="s">
        <v>143</v>
      </c>
      <c r="C73">
        <f>C72+1</f>
        <v>2</v>
      </c>
      <c r="E73">
        <f t="shared" ref="E73:E142" si="12">IF(C73&gt;$C$18,$C$16+(C73*$C$17),(($C$16)*$C$19)+(C73*$C$17))</f>
        <v>0.54</v>
      </c>
      <c r="G73">
        <f>G72-E73</f>
        <v>93.927499999999995</v>
      </c>
      <c r="I73" s="27"/>
    </row>
    <row r="74" spans="2:15" x14ac:dyDescent="0.25">
      <c r="B74" s="1" t="s">
        <v>144</v>
      </c>
      <c r="C74">
        <f t="shared" ref="C74:C142" si="13">C73+1</f>
        <v>3</v>
      </c>
      <c r="E74">
        <f t="shared" si="12"/>
        <v>0.54749999999999999</v>
      </c>
      <c r="G74">
        <f t="shared" ref="G74:G143" si="14">G73-E74</f>
        <v>93.38</v>
      </c>
      <c r="I74" s="27"/>
    </row>
    <row r="75" spans="2:15" x14ac:dyDescent="0.25">
      <c r="C75">
        <f t="shared" si="13"/>
        <v>4</v>
      </c>
      <c r="E75">
        <f t="shared" si="12"/>
        <v>0.55500000000000005</v>
      </c>
      <c r="G75">
        <f t="shared" si="14"/>
        <v>92.824999999999989</v>
      </c>
      <c r="I75" s="27"/>
      <c r="K75" s="2" t="s">
        <v>3861</v>
      </c>
      <c r="L75" s="2" t="s">
        <v>3862</v>
      </c>
      <c r="M75" s="1" t="s">
        <v>151</v>
      </c>
    </row>
    <row r="76" spans="2:15" x14ac:dyDescent="0.25">
      <c r="C76">
        <f t="shared" si="13"/>
        <v>5</v>
      </c>
      <c r="E76">
        <f t="shared" si="12"/>
        <v>0.5625</v>
      </c>
      <c r="G76">
        <f t="shared" si="14"/>
        <v>92.262499999999989</v>
      </c>
      <c r="I76" s="27"/>
      <c r="J76" s="3" t="s">
        <v>125</v>
      </c>
      <c r="K76" s="10">
        <f>ROUND((DATA_DRAGONS_CONTENT!J5/DATA_DRAGONS_CONTENT!M5)/DATA_DRAGONS_CONTENT!L5,1)</f>
        <v>9.1999999999999993</v>
      </c>
      <c r="L76" s="10">
        <f>ROUND((DATA_DRAGONS_CONTENT!K5/DATA_DRAGONS_CONTENT!M5)/DATA_DRAGONS_CONTENT!L5,1)</f>
        <v>10.5</v>
      </c>
      <c r="M76" s="33">
        <f>L76-K76</f>
        <v>1.3000000000000007</v>
      </c>
    </row>
    <row r="77" spans="2:15" x14ac:dyDescent="0.25">
      <c r="C77">
        <f t="shared" si="13"/>
        <v>6</v>
      </c>
      <c r="E77">
        <f t="shared" si="12"/>
        <v>0.57000000000000006</v>
      </c>
      <c r="G77">
        <f t="shared" si="14"/>
        <v>91.692499999999995</v>
      </c>
      <c r="I77" s="27"/>
      <c r="J77" s="5" t="s">
        <v>126</v>
      </c>
      <c r="K77" s="11">
        <f>ROUND((DATA_DRAGONS_CONTENT!J6/DATA_DRAGONS_CONTENT!M6)/DATA_DRAGONS_CONTENT!L6,1)</f>
        <v>10.5</v>
      </c>
      <c r="L77" s="11">
        <f>ROUND((DATA_DRAGONS_CONTENT!K6/DATA_DRAGONS_CONTENT!M6)/DATA_DRAGONS_CONTENT!L6,1)</f>
        <v>11.8</v>
      </c>
      <c r="M77" s="33">
        <f t="shared" ref="M77:M91" si="15">L77-K77</f>
        <v>1.3000000000000007</v>
      </c>
    </row>
    <row r="78" spans="2:15" x14ac:dyDescent="0.25">
      <c r="C78">
        <f t="shared" si="13"/>
        <v>7</v>
      </c>
      <c r="E78">
        <f t="shared" si="12"/>
        <v>0.57750000000000001</v>
      </c>
      <c r="G78">
        <f t="shared" si="14"/>
        <v>91.114999999999995</v>
      </c>
      <c r="I78" s="27"/>
      <c r="J78" s="6" t="s">
        <v>128</v>
      </c>
      <c r="K78" s="12">
        <f>ROUND((DATA_DRAGONS_CONTENT!J7/DATA_DRAGONS_CONTENT!M7)/DATA_DRAGONS_CONTENT!L7,1)</f>
        <v>11.5</v>
      </c>
      <c r="L78" s="12">
        <f>ROUND((DATA_DRAGONS_CONTENT!K7/DATA_DRAGONS_CONTENT!M7)/DATA_DRAGONS_CONTENT!L7,1)</f>
        <v>13.4</v>
      </c>
      <c r="M78" s="33">
        <f t="shared" si="15"/>
        <v>1.9000000000000004</v>
      </c>
    </row>
    <row r="79" spans="2:15" x14ac:dyDescent="0.25">
      <c r="C79">
        <f t="shared" si="13"/>
        <v>8</v>
      </c>
      <c r="E79">
        <f t="shared" si="12"/>
        <v>0.58499999999999996</v>
      </c>
      <c r="G79">
        <f t="shared" si="14"/>
        <v>90.53</v>
      </c>
      <c r="I79" s="27"/>
      <c r="J79" s="7" t="s">
        <v>127</v>
      </c>
      <c r="K79" s="13">
        <f>ROUND((DATA_DRAGONS_CONTENT!J8/DATA_DRAGONS_CONTENT!M8)/DATA_DRAGONS_CONTENT!L8,1)</f>
        <v>13.3</v>
      </c>
      <c r="L79" s="13">
        <f>ROUND((DATA_DRAGONS_CONTENT!K8/DATA_DRAGONS_CONTENT!M8)/DATA_DRAGONS_CONTENT!L8,1)</f>
        <v>14.2</v>
      </c>
      <c r="M79" s="33">
        <f t="shared" si="15"/>
        <v>0.89999999999999858</v>
      </c>
    </row>
    <row r="80" spans="2:15" x14ac:dyDescent="0.25">
      <c r="C80">
        <f t="shared" si="13"/>
        <v>9</v>
      </c>
      <c r="E80">
        <f t="shared" si="12"/>
        <v>0.59250000000000003</v>
      </c>
      <c r="G80">
        <f t="shared" si="14"/>
        <v>89.9375</v>
      </c>
      <c r="I80" s="27"/>
      <c r="J80" s="7" t="s">
        <v>130</v>
      </c>
      <c r="K80" s="13">
        <f>ROUND((DATA_DRAGONS_CONTENT!J9/DATA_DRAGONS_CONTENT!M9)/DATA_DRAGONS_CONTENT!L9,1)</f>
        <v>13.6</v>
      </c>
      <c r="L80" s="13">
        <f>ROUND((DATA_DRAGONS_CONTENT!K9/DATA_DRAGONS_CONTENT!M9)/DATA_DRAGONS_CONTENT!L9,1)</f>
        <v>14.7</v>
      </c>
      <c r="M80" s="33">
        <f t="shared" si="15"/>
        <v>1.0999999999999996</v>
      </c>
    </row>
    <row r="81" spans="3:13" x14ac:dyDescent="0.25">
      <c r="C81">
        <f t="shared" si="13"/>
        <v>10</v>
      </c>
      <c r="E81">
        <f t="shared" si="12"/>
        <v>0.6</v>
      </c>
      <c r="G81">
        <f t="shared" si="14"/>
        <v>89.337500000000006</v>
      </c>
      <c r="I81" s="27"/>
      <c r="J81" s="7" t="s">
        <v>129</v>
      </c>
      <c r="K81" s="13">
        <f>ROUND((DATA_DRAGONS_CONTENT!J10/DATA_DRAGONS_CONTENT!M10)/DATA_DRAGONS_CONTENT!L10,1)</f>
        <v>13.6</v>
      </c>
      <c r="L81" s="13">
        <f>ROUND((DATA_DRAGONS_CONTENT!K10/DATA_DRAGONS_CONTENT!M10)/DATA_DRAGONS_CONTENT!L10,1)</f>
        <v>14.6</v>
      </c>
      <c r="M81" s="33">
        <f t="shared" si="15"/>
        <v>1</v>
      </c>
    </row>
    <row r="82" spans="3:13" x14ac:dyDescent="0.25">
      <c r="C82">
        <f t="shared" si="13"/>
        <v>11</v>
      </c>
      <c r="E82">
        <f t="shared" si="12"/>
        <v>0.60750000000000004</v>
      </c>
      <c r="G82">
        <f t="shared" si="14"/>
        <v>88.73</v>
      </c>
      <c r="I82" s="27"/>
      <c r="J82" s="9" t="s">
        <v>131</v>
      </c>
      <c r="K82" s="15">
        <f>ROUND((DATA_DRAGONS_CONTENT!J11/DATA_DRAGONS_CONTENT!M11)/DATA_DRAGONS_CONTENT!L11,1)</f>
        <v>13.9</v>
      </c>
      <c r="L82" s="15">
        <f>ROUND((DATA_DRAGONS_CONTENT!K11/DATA_DRAGONS_CONTENT!M11)/DATA_DRAGONS_CONTENT!L11,1)</f>
        <v>15.1</v>
      </c>
      <c r="M82" s="33">
        <f t="shared" si="15"/>
        <v>1.1999999999999993</v>
      </c>
    </row>
    <row r="83" spans="3:13" x14ac:dyDescent="0.25">
      <c r="C83">
        <f t="shared" si="13"/>
        <v>12</v>
      </c>
      <c r="E83">
        <f t="shared" si="12"/>
        <v>0.61499999999999999</v>
      </c>
      <c r="G83">
        <f t="shared" si="14"/>
        <v>88.115000000000009</v>
      </c>
      <c r="I83" s="27"/>
      <c r="J83" s="9" t="s">
        <v>133</v>
      </c>
      <c r="K83" s="15">
        <f>ROUND((DATA_DRAGONS_CONTENT!J12/DATA_DRAGONS_CONTENT!M12)/DATA_DRAGONS_CONTENT!L12,1)</f>
        <v>14.3</v>
      </c>
      <c r="L83" s="15">
        <f>ROUND((DATA_DRAGONS_CONTENT!K12/DATA_DRAGONS_CONTENT!M12)/DATA_DRAGONS_CONTENT!L12,1)</f>
        <v>15.3</v>
      </c>
      <c r="M83" s="33">
        <f t="shared" si="15"/>
        <v>1</v>
      </c>
    </row>
    <row r="84" spans="3:13" x14ac:dyDescent="0.25">
      <c r="C84">
        <f t="shared" si="13"/>
        <v>13</v>
      </c>
      <c r="E84">
        <f t="shared" si="12"/>
        <v>0.62250000000000005</v>
      </c>
      <c r="G84">
        <f t="shared" si="14"/>
        <v>87.492500000000007</v>
      </c>
      <c r="I84" s="27"/>
      <c r="J84" s="9" t="s">
        <v>2431</v>
      </c>
      <c r="K84" s="15">
        <f>ROUND((DATA_DRAGONS_CONTENT!J13/DATA_DRAGONS_CONTENT!M13)/DATA_DRAGONS_CONTENT!L13,1)</f>
        <v>13.9</v>
      </c>
      <c r="L84" s="15">
        <f>ROUND((DATA_DRAGONS_CONTENT!K13/DATA_DRAGONS_CONTENT!M13)/DATA_DRAGONS_CONTENT!L13,1)</f>
        <v>15.6</v>
      </c>
      <c r="M84" s="33">
        <f t="shared" si="15"/>
        <v>1.6999999999999993</v>
      </c>
    </row>
    <row r="85" spans="3:13" x14ac:dyDescent="0.25">
      <c r="C85">
        <f t="shared" si="13"/>
        <v>14</v>
      </c>
      <c r="E85">
        <f t="shared" si="12"/>
        <v>0.63</v>
      </c>
      <c r="G85">
        <f t="shared" si="14"/>
        <v>86.862500000000011</v>
      </c>
      <c r="I85" s="27"/>
      <c r="J85" s="4" t="s">
        <v>132</v>
      </c>
      <c r="K85" s="16">
        <f>ROUND((DATA_DRAGONS_CONTENT!J14/DATA_DRAGONS_CONTENT!M14)/DATA_DRAGONS_CONTENT!L14,1)</f>
        <v>14.6</v>
      </c>
      <c r="L85" s="16">
        <f>ROUND((DATA_DRAGONS_CONTENT!K14/DATA_DRAGONS_CONTENT!M14)/DATA_DRAGONS_CONTENT!L14,1)</f>
        <v>15.9</v>
      </c>
      <c r="M85" s="33">
        <f t="shared" si="15"/>
        <v>1.3000000000000007</v>
      </c>
    </row>
    <row r="86" spans="3:13" x14ac:dyDescent="0.25">
      <c r="C86">
        <f t="shared" si="13"/>
        <v>15</v>
      </c>
      <c r="E86">
        <f t="shared" si="12"/>
        <v>0.63749999999999996</v>
      </c>
      <c r="G86">
        <f t="shared" si="14"/>
        <v>86.225000000000009</v>
      </c>
      <c r="I86" s="27"/>
      <c r="J86" s="4" t="s">
        <v>134</v>
      </c>
      <c r="K86" s="16">
        <f>ROUND((DATA_DRAGONS_CONTENT!J15/DATA_DRAGONS_CONTENT!M15)/DATA_DRAGONS_CONTENT!L15,1)</f>
        <v>15.2</v>
      </c>
      <c r="L86" s="16">
        <f>ROUND((DATA_DRAGONS_CONTENT!K15/DATA_DRAGONS_CONTENT!M15)/DATA_DRAGONS_CONTENT!L15,1)</f>
        <v>16.3</v>
      </c>
      <c r="M86" s="2">
        <f t="shared" si="15"/>
        <v>1.1000000000000014</v>
      </c>
    </row>
    <row r="87" spans="3:13" x14ac:dyDescent="0.25">
      <c r="C87">
        <f t="shared" si="13"/>
        <v>16</v>
      </c>
      <c r="E87">
        <f t="shared" si="12"/>
        <v>0.64500000000000002</v>
      </c>
      <c r="G87">
        <f t="shared" si="14"/>
        <v>85.580000000000013</v>
      </c>
      <c r="I87" s="27"/>
      <c r="J87" s="4" t="s">
        <v>7989</v>
      </c>
      <c r="K87" s="16">
        <f>ROUND((DATA_DRAGONS_CONTENT!J16/DATA_DRAGONS_CONTENT!M16)/DATA_DRAGONS_CONTENT!L16,1)</f>
        <v>15.2</v>
      </c>
      <c r="L87" s="16">
        <f>ROUND((DATA_DRAGONS_CONTENT!K16/DATA_DRAGONS_CONTENT!M16)/DATA_DRAGONS_CONTENT!L16,1)</f>
        <v>16.3</v>
      </c>
      <c r="M87" s="2">
        <f t="shared" si="15"/>
        <v>1.1000000000000014</v>
      </c>
    </row>
    <row r="88" spans="3:13" x14ac:dyDescent="0.25">
      <c r="C88">
        <f t="shared" si="13"/>
        <v>17</v>
      </c>
      <c r="E88">
        <f t="shared" si="12"/>
        <v>0.65250000000000008</v>
      </c>
      <c r="G88">
        <f t="shared" si="14"/>
        <v>84.927500000000009</v>
      </c>
      <c r="I88" s="27"/>
      <c r="J88" s="183" t="s">
        <v>8102</v>
      </c>
      <c r="K88" s="183">
        <f>ROUND((DATA_DRAGONS_CONTENT!J17/DATA_DRAGONS_CONTENT!M17)/DATA_DRAGONS_CONTENT!L17,1)</f>
        <v>15</v>
      </c>
      <c r="L88" s="183">
        <f>ROUND((DATA_DRAGONS_CONTENT!K17/DATA_DRAGONS_CONTENT!M17)/DATA_DRAGONS_CONTENT!L17,1)</f>
        <v>16.100000000000001</v>
      </c>
      <c r="M88" s="2">
        <f t="shared" si="15"/>
        <v>1.1000000000000014</v>
      </c>
    </row>
    <row r="89" spans="3:13" x14ac:dyDescent="0.25">
      <c r="C89">
        <f t="shared" si="13"/>
        <v>18</v>
      </c>
      <c r="E89">
        <f t="shared" si="12"/>
        <v>0.66</v>
      </c>
      <c r="G89">
        <f t="shared" si="14"/>
        <v>84.267500000000013</v>
      </c>
      <c r="I89" s="27"/>
      <c r="J89" s="183" t="s">
        <v>8131</v>
      </c>
      <c r="K89" s="183">
        <f>ROUND((DATA_DRAGONS_CONTENT!J18/DATA_DRAGONS_CONTENT!M18)/DATA_DRAGONS_CONTENT!L18,1)</f>
        <v>15</v>
      </c>
      <c r="L89" s="183">
        <f>ROUND((DATA_DRAGONS_CONTENT!K18/DATA_DRAGONS_CONTENT!M18)/DATA_DRAGONS_CONTENT!L18,1)</f>
        <v>16.100000000000001</v>
      </c>
      <c r="M89" s="2">
        <f t="shared" si="15"/>
        <v>1.1000000000000014</v>
      </c>
    </row>
    <row r="90" spans="3:13" x14ac:dyDescent="0.25">
      <c r="C90">
        <f t="shared" si="13"/>
        <v>19</v>
      </c>
      <c r="E90">
        <f t="shared" si="12"/>
        <v>0.66749999999999998</v>
      </c>
      <c r="G90">
        <f t="shared" si="14"/>
        <v>83.600000000000009</v>
      </c>
      <c r="I90" s="27"/>
      <c r="J90" s="183" t="s">
        <v>8165</v>
      </c>
      <c r="K90" s="183">
        <f>ROUND((DATA_DRAGONS_CONTENT!J19/DATA_DRAGONS_CONTENT!M19)/DATA_DRAGONS_CONTENT!L19,1)</f>
        <v>15</v>
      </c>
      <c r="L90" s="183">
        <f>ROUND((DATA_DRAGONS_CONTENT!K19/DATA_DRAGONS_CONTENT!M19)/DATA_DRAGONS_CONTENT!L19,1)</f>
        <v>16.100000000000001</v>
      </c>
      <c r="M90" s="2">
        <f t="shared" si="15"/>
        <v>1.1000000000000014</v>
      </c>
    </row>
    <row r="91" spans="3:13" x14ac:dyDescent="0.25">
      <c r="C91">
        <f t="shared" si="13"/>
        <v>20</v>
      </c>
      <c r="E91">
        <f t="shared" si="12"/>
        <v>0.67500000000000004</v>
      </c>
      <c r="G91">
        <f t="shared" si="14"/>
        <v>82.925000000000011</v>
      </c>
      <c r="I91" s="27"/>
      <c r="J91" s="183" t="s">
        <v>8166</v>
      </c>
      <c r="K91" s="183">
        <f>ROUND((DATA_DRAGONS_CONTENT!J20/DATA_DRAGONS_CONTENT!M20)/DATA_DRAGONS_CONTENT!L20,1)</f>
        <v>15</v>
      </c>
      <c r="L91" s="183">
        <f>ROUND((DATA_DRAGONS_CONTENT!K20/DATA_DRAGONS_CONTENT!M20)/DATA_DRAGONS_CONTENT!L20,1)</f>
        <v>16.100000000000001</v>
      </c>
      <c r="M91" s="2">
        <f t="shared" si="15"/>
        <v>1.1000000000000014</v>
      </c>
    </row>
    <row r="92" spans="3:13" ht="15.75" thickBot="1" x14ac:dyDescent="0.3">
      <c r="C92">
        <f t="shared" si="13"/>
        <v>21</v>
      </c>
      <c r="E92">
        <f t="shared" si="12"/>
        <v>0.6825</v>
      </c>
      <c r="G92">
        <f t="shared" si="14"/>
        <v>82.242500000000007</v>
      </c>
      <c r="I92" s="27"/>
    </row>
    <row r="93" spans="3:13" ht="16.5" thickTop="1" thickBot="1" x14ac:dyDescent="0.3">
      <c r="C93">
        <f t="shared" si="13"/>
        <v>22</v>
      </c>
      <c r="E93">
        <f t="shared" si="12"/>
        <v>0.69</v>
      </c>
      <c r="G93">
        <f t="shared" si="14"/>
        <v>81.552500000000009</v>
      </c>
      <c r="I93" s="27"/>
      <c r="J93" s="32" t="s">
        <v>160</v>
      </c>
    </row>
    <row r="94" spans="3:13" ht="15.75" thickTop="1" x14ac:dyDescent="0.25">
      <c r="C94">
        <f t="shared" si="13"/>
        <v>23</v>
      </c>
      <c r="E94">
        <f t="shared" si="12"/>
        <v>0.69750000000000001</v>
      </c>
      <c r="G94">
        <f t="shared" si="14"/>
        <v>80.855000000000004</v>
      </c>
      <c r="I94" s="27"/>
    </row>
    <row r="95" spans="3:13" x14ac:dyDescent="0.25">
      <c r="C95">
        <f t="shared" si="13"/>
        <v>24</v>
      </c>
      <c r="E95">
        <f t="shared" si="12"/>
        <v>0.70500000000000007</v>
      </c>
      <c r="G95">
        <f t="shared" si="14"/>
        <v>80.150000000000006</v>
      </c>
      <c r="I95" s="27"/>
    </row>
    <row r="96" spans="3:13" x14ac:dyDescent="0.25">
      <c r="C96">
        <f t="shared" si="13"/>
        <v>25</v>
      </c>
      <c r="E96">
        <f t="shared" si="12"/>
        <v>0.71250000000000002</v>
      </c>
      <c r="G96">
        <f t="shared" si="14"/>
        <v>79.4375</v>
      </c>
      <c r="I96" s="27"/>
    </row>
    <row r="97" spans="3:9" x14ac:dyDescent="0.25">
      <c r="C97">
        <f t="shared" si="13"/>
        <v>26</v>
      </c>
      <c r="E97">
        <f t="shared" si="12"/>
        <v>0.72</v>
      </c>
      <c r="G97">
        <f t="shared" si="14"/>
        <v>78.717500000000001</v>
      </c>
      <c r="I97" s="27"/>
    </row>
    <row r="98" spans="3:9" x14ac:dyDescent="0.25">
      <c r="C98">
        <f t="shared" si="13"/>
        <v>27</v>
      </c>
      <c r="E98">
        <f t="shared" si="12"/>
        <v>0.72750000000000004</v>
      </c>
      <c r="G98">
        <f t="shared" si="14"/>
        <v>77.989999999999995</v>
      </c>
      <c r="I98" s="27"/>
    </row>
    <row r="99" spans="3:9" x14ac:dyDescent="0.25">
      <c r="C99">
        <f t="shared" si="13"/>
        <v>28</v>
      </c>
      <c r="E99">
        <f t="shared" si="12"/>
        <v>0.73499999999999999</v>
      </c>
      <c r="G99">
        <f t="shared" si="14"/>
        <v>77.254999999999995</v>
      </c>
      <c r="I99" s="27"/>
    </row>
    <row r="100" spans="3:9" x14ac:dyDescent="0.25">
      <c r="C100">
        <f t="shared" si="13"/>
        <v>29</v>
      </c>
      <c r="E100">
        <f t="shared" si="12"/>
        <v>0.74250000000000005</v>
      </c>
      <c r="G100">
        <f t="shared" si="14"/>
        <v>76.512499999999989</v>
      </c>
      <c r="I100" s="27"/>
    </row>
    <row r="101" spans="3:9" x14ac:dyDescent="0.25">
      <c r="C101">
        <f t="shared" si="13"/>
        <v>30</v>
      </c>
      <c r="E101">
        <f t="shared" si="12"/>
        <v>0.75</v>
      </c>
      <c r="G101">
        <f t="shared" si="14"/>
        <v>75.762499999999989</v>
      </c>
      <c r="I101" s="27"/>
    </row>
    <row r="102" spans="3:9" x14ac:dyDescent="0.25">
      <c r="C102">
        <f t="shared" si="13"/>
        <v>31</v>
      </c>
      <c r="E102">
        <f t="shared" si="12"/>
        <v>1.2825</v>
      </c>
      <c r="G102">
        <f t="shared" si="14"/>
        <v>74.47999999999999</v>
      </c>
      <c r="I102" s="27"/>
    </row>
    <row r="103" spans="3:9" x14ac:dyDescent="0.25">
      <c r="C103">
        <f t="shared" si="13"/>
        <v>32</v>
      </c>
      <c r="E103">
        <f t="shared" si="12"/>
        <v>1.29</v>
      </c>
      <c r="G103">
        <f t="shared" si="14"/>
        <v>73.189999999999984</v>
      </c>
      <c r="I103" s="27"/>
    </row>
    <row r="104" spans="3:9" x14ac:dyDescent="0.25">
      <c r="C104">
        <f t="shared" si="13"/>
        <v>33</v>
      </c>
      <c r="E104">
        <f t="shared" si="12"/>
        <v>1.2975000000000001</v>
      </c>
      <c r="G104">
        <f t="shared" si="14"/>
        <v>71.892499999999984</v>
      </c>
      <c r="I104" s="27"/>
    </row>
    <row r="105" spans="3:9" x14ac:dyDescent="0.25">
      <c r="C105">
        <f t="shared" si="13"/>
        <v>34</v>
      </c>
      <c r="E105">
        <f t="shared" si="12"/>
        <v>1.3050000000000002</v>
      </c>
      <c r="G105">
        <f t="shared" si="14"/>
        <v>70.587499999999977</v>
      </c>
      <c r="I105" s="27"/>
    </row>
    <row r="106" spans="3:9" x14ac:dyDescent="0.25">
      <c r="C106">
        <f t="shared" si="13"/>
        <v>35</v>
      </c>
      <c r="E106">
        <f t="shared" si="12"/>
        <v>1.3125</v>
      </c>
      <c r="G106">
        <f t="shared" si="14"/>
        <v>69.274999999999977</v>
      </c>
      <c r="I106" s="27"/>
    </row>
    <row r="107" spans="3:9" x14ac:dyDescent="0.25">
      <c r="C107">
        <f t="shared" si="13"/>
        <v>36</v>
      </c>
      <c r="E107">
        <f t="shared" si="12"/>
        <v>1.32</v>
      </c>
      <c r="G107">
        <f t="shared" si="14"/>
        <v>67.954999999999984</v>
      </c>
      <c r="I107" s="27"/>
    </row>
    <row r="108" spans="3:9" x14ac:dyDescent="0.25">
      <c r="C108">
        <f t="shared" si="13"/>
        <v>37</v>
      </c>
      <c r="E108">
        <f t="shared" si="12"/>
        <v>1.3275000000000001</v>
      </c>
      <c r="G108">
        <f t="shared" si="14"/>
        <v>66.627499999999984</v>
      </c>
      <c r="I108" s="27"/>
    </row>
    <row r="109" spans="3:9" x14ac:dyDescent="0.25">
      <c r="C109">
        <f t="shared" si="13"/>
        <v>38</v>
      </c>
      <c r="E109">
        <f t="shared" si="12"/>
        <v>1.335</v>
      </c>
      <c r="G109">
        <f t="shared" si="14"/>
        <v>65.29249999999999</v>
      </c>
      <c r="I109" s="27"/>
    </row>
    <row r="110" spans="3:9" x14ac:dyDescent="0.25">
      <c r="C110">
        <f t="shared" si="13"/>
        <v>39</v>
      </c>
      <c r="E110">
        <f t="shared" si="12"/>
        <v>1.3425</v>
      </c>
      <c r="G110">
        <f t="shared" si="14"/>
        <v>63.949999999999989</v>
      </c>
      <c r="I110" s="27"/>
    </row>
    <row r="111" spans="3:9" x14ac:dyDescent="0.25">
      <c r="C111">
        <f t="shared" si="13"/>
        <v>40</v>
      </c>
      <c r="E111">
        <f t="shared" si="12"/>
        <v>1.35</v>
      </c>
      <c r="G111">
        <f t="shared" si="14"/>
        <v>62.599999999999987</v>
      </c>
      <c r="I111" s="27"/>
    </row>
    <row r="112" spans="3:9" x14ac:dyDescent="0.25">
      <c r="C112">
        <f t="shared" si="13"/>
        <v>41</v>
      </c>
      <c r="E112">
        <f t="shared" si="12"/>
        <v>1.3574999999999999</v>
      </c>
      <c r="G112">
        <f t="shared" si="14"/>
        <v>61.242499999999986</v>
      </c>
      <c r="I112" s="27"/>
    </row>
    <row r="113" spans="3:21" x14ac:dyDescent="0.25">
      <c r="C113">
        <f t="shared" si="13"/>
        <v>42</v>
      </c>
      <c r="E113">
        <f t="shared" si="12"/>
        <v>1.365</v>
      </c>
      <c r="G113">
        <f t="shared" si="14"/>
        <v>59.877499999999984</v>
      </c>
      <c r="I113" s="27"/>
    </row>
    <row r="114" spans="3:21" x14ac:dyDescent="0.25">
      <c r="C114">
        <f t="shared" si="13"/>
        <v>43</v>
      </c>
      <c r="E114">
        <f t="shared" si="12"/>
        <v>1.3725000000000001</v>
      </c>
      <c r="G114">
        <f t="shared" si="14"/>
        <v>58.504999999999981</v>
      </c>
      <c r="I114" s="27"/>
    </row>
    <row r="115" spans="3:21" x14ac:dyDescent="0.25">
      <c r="C115">
        <f t="shared" si="13"/>
        <v>44</v>
      </c>
      <c r="E115">
        <f t="shared" si="12"/>
        <v>1.38</v>
      </c>
      <c r="G115">
        <f t="shared" si="14"/>
        <v>57.124999999999979</v>
      </c>
      <c r="I115" s="27"/>
    </row>
    <row r="116" spans="3:21" x14ac:dyDescent="0.25">
      <c r="C116">
        <f t="shared" si="13"/>
        <v>45</v>
      </c>
      <c r="E116">
        <f t="shared" si="12"/>
        <v>1.3875</v>
      </c>
      <c r="G116">
        <f t="shared" si="14"/>
        <v>55.737499999999976</v>
      </c>
      <c r="I116" s="27"/>
    </row>
    <row r="117" spans="3:21" x14ac:dyDescent="0.25">
      <c r="C117">
        <f t="shared" si="13"/>
        <v>46</v>
      </c>
      <c r="E117">
        <f t="shared" si="12"/>
        <v>1.395</v>
      </c>
      <c r="G117">
        <f t="shared" si="14"/>
        <v>54.342499999999973</v>
      </c>
      <c r="I117" s="27"/>
    </row>
    <row r="118" spans="3:21" x14ac:dyDescent="0.25">
      <c r="C118">
        <f t="shared" si="13"/>
        <v>47</v>
      </c>
      <c r="E118">
        <f t="shared" si="12"/>
        <v>1.4025000000000001</v>
      </c>
      <c r="G118">
        <f t="shared" si="14"/>
        <v>52.939999999999969</v>
      </c>
      <c r="I118" s="27"/>
    </row>
    <row r="119" spans="3:21" x14ac:dyDescent="0.25">
      <c r="C119">
        <f t="shared" si="13"/>
        <v>48</v>
      </c>
      <c r="E119">
        <f t="shared" si="12"/>
        <v>1.4100000000000001</v>
      </c>
      <c r="G119">
        <f t="shared" si="14"/>
        <v>51.529999999999973</v>
      </c>
      <c r="I119" s="27"/>
    </row>
    <row r="120" spans="3:21" x14ac:dyDescent="0.25">
      <c r="C120">
        <f t="shared" si="13"/>
        <v>49</v>
      </c>
      <c r="E120">
        <f t="shared" si="12"/>
        <v>1.4175</v>
      </c>
      <c r="G120">
        <f t="shared" si="14"/>
        <v>50.112499999999976</v>
      </c>
      <c r="I120" s="27"/>
    </row>
    <row r="121" spans="3:21" x14ac:dyDescent="0.25">
      <c r="C121">
        <f t="shared" si="13"/>
        <v>50</v>
      </c>
      <c r="E121">
        <f t="shared" si="12"/>
        <v>1.425</v>
      </c>
      <c r="G121">
        <f t="shared" si="14"/>
        <v>48.687499999999979</v>
      </c>
      <c r="I121" s="27"/>
      <c r="N121" s="1" t="s">
        <v>2417</v>
      </c>
    </row>
    <row r="122" spans="3:21" x14ac:dyDescent="0.25">
      <c r="C122">
        <f t="shared" si="13"/>
        <v>51</v>
      </c>
      <c r="E122">
        <f t="shared" si="12"/>
        <v>1.4325000000000001</v>
      </c>
      <c r="G122">
        <f t="shared" si="14"/>
        <v>47.254999999999981</v>
      </c>
      <c r="I122" s="27"/>
      <c r="K122" s="2" t="s">
        <v>2399</v>
      </c>
      <c r="L122" s="2" t="s">
        <v>3858</v>
      </c>
      <c r="M122" s="2" t="s">
        <v>3859</v>
      </c>
      <c r="N122" s="2" t="s">
        <v>3860</v>
      </c>
      <c r="O122" s="2" t="s">
        <v>164</v>
      </c>
      <c r="P122" s="2" t="s">
        <v>2398</v>
      </c>
      <c r="R122" s="17" t="s">
        <v>177</v>
      </c>
      <c r="U122" s="1" t="s">
        <v>151</v>
      </c>
    </row>
    <row r="123" spans="3:21" x14ac:dyDescent="0.25">
      <c r="C123">
        <f t="shared" si="13"/>
        <v>52</v>
      </c>
      <c r="E123">
        <f t="shared" si="12"/>
        <v>1.44</v>
      </c>
      <c r="G123">
        <f t="shared" si="14"/>
        <v>45.814999999999984</v>
      </c>
      <c r="I123" s="27"/>
      <c r="J123" s="3" t="s">
        <v>125</v>
      </c>
      <c r="K123" s="10">
        <f>DATA_DRAGONS_CONTENT!N5</f>
        <v>2.1</v>
      </c>
      <c r="L123" s="10">
        <f>ROUND(((DATA_DRAGONS_CONTENT!J5*K123)/DATA_DRAGONS_CONTENT!M5)/DATA_DRAGONS_CONTENT!L5,1)</f>
        <v>19.3</v>
      </c>
      <c r="M123" s="10">
        <f>ROUND(((DATA_DRAGONS_CONTENT!K5*K123)/DATA_DRAGONS_CONTENT!M5)/DATA_DRAGONS_CONTENT!L5,1)</f>
        <v>22.1</v>
      </c>
      <c r="N123" s="129">
        <v>4</v>
      </c>
      <c r="O123" s="129">
        <v>3.6</v>
      </c>
      <c r="P123" s="10">
        <f>DATA_DRAGONS_CONTENT!O5</f>
        <v>100</v>
      </c>
      <c r="R123" s="33">
        <f t="shared" ref="R123:R138" si="16">ROUND(N123/O123,1)</f>
        <v>1.1000000000000001</v>
      </c>
      <c r="U123" s="33">
        <f t="shared" ref="U123:U138" si="17">M123-L123</f>
        <v>2.8000000000000007</v>
      </c>
    </row>
    <row r="124" spans="3:21" x14ac:dyDescent="0.25">
      <c r="C124">
        <f t="shared" si="13"/>
        <v>53</v>
      </c>
      <c r="E124">
        <f t="shared" si="12"/>
        <v>1.4475</v>
      </c>
      <c r="G124">
        <f t="shared" si="14"/>
        <v>44.367499999999986</v>
      </c>
      <c r="I124" s="27"/>
      <c r="J124" s="5" t="s">
        <v>126</v>
      </c>
      <c r="K124" s="11">
        <f>DATA_DRAGONS_CONTENT!N6</f>
        <v>1.75</v>
      </c>
      <c r="L124" s="11">
        <f>ROUND(((DATA_DRAGONS_CONTENT!J6*K124)/DATA_DRAGONS_CONTENT!M6)/DATA_DRAGONS_CONTENT!L6,1)</f>
        <v>18.399999999999999</v>
      </c>
      <c r="M124" s="11">
        <f>ROUND(((DATA_DRAGONS_CONTENT!K6*K124)/DATA_DRAGONS_CONTENT!M6)/DATA_DRAGONS_CONTENT!L6,1)</f>
        <v>20.6</v>
      </c>
      <c r="N124" s="130">
        <v>5</v>
      </c>
      <c r="O124" s="130">
        <v>10</v>
      </c>
      <c r="P124" s="11">
        <f>DATA_DRAGONS_CONTENT!O6</f>
        <v>100</v>
      </c>
      <c r="R124" s="34">
        <f t="shared" si="16"/>
        <v>0.5</v>
      </c>
      <c r="U124" s="33">
        <f t="shared" si="17"/>
        <v>2.2000000000000028</v>
      </c>
    </row>
    <row r="125" spans="3:21" x14ac:dyDescent="0.25">
      <c r="C125">
        <f t="shared" si="13"/>
        <v>54</v>
      </c>
      <c r="E125">
        <f t="shared" si="12"/>
        <v>1.4550000000000001</v>
      </c>
      <c r="G125">
        <f t="shared" si="14"/>
        <v>42.912499999999987</v>
      </c>
      <c r="I125" s="27"/>
      <c r="J125" s="6" t="s">
        <v>128</v>
      </c>
      <c r="K125" s="12">
        <f>DATA_DRAGONS_CONTENT!N7</f>
        <v>2.0099999999999998</v>
      </c>
      <c r="L125" s="12">
        <f>ROUND(((DATA_DRAGONS_CONTENT!J7*K125)/DATA_DRAGONS_CONTENT!M7)/DATA_DRAGONS_CONTENT!L7,1)</f>
        <v>23.1</v>
      </c>
      <c r="M125" s="12">
        <f>ROUND(((DATA_DRAGONS_CONTENT!K7*K125)/DATA_DRAGONS_CONTENT!M7)/DATA_DRAGONS_CONTENT!L7,1)</f>
        <v>26.9</v>
      </c>
      <c r="N125" s="129">
        <v>2.5</v>
      </c>
      <c r="O125" s="129">
        <v>7.1</v>
      </c>
      <c r="P125" s="12">
        <f>DATA_DRAGONS_CONTENT!O7</f>
        <v>100</v>
      </c>
      <c r="R125" s="34">
        <f t="shared" si="16"/>
        <v>0.4</v>
      </c>
      <c r="U125" s="33">
        <f t="shared" si="17"/>
        <v>3.7999999999999972</v>
      </c>
    </row>
    <row r="126" spans="3:21" x14ac:dyDescent="0.25">
      <c r="C126">
        <f t="shared" si="13"/>
        <v>55</v>
      </c>
      <c r="E126">
        <f t="shared" si="12"/>
        <v>1.4624999999999999</v>
      </c>
      <c r="G126">
        <f t="shared" si="14"/>
        <v>41.449999999999989</v>
      </c>
      <c r="I126" s="27"/>
      <c r="J126" s="7" t="s">
        <v>127</v>
      </c>
      <c r="K126" s="13">
        <v>1.3</v>
      </c>
      <c r="L126" s="13">
        <f>ROUND(((DATA_DRAGONS_CONTENT!J8*K126)/DATA_DRAGONS_CONTENT!M8)/DATA_DRAGONS_CONTENT!L8,1)</f>
        <v>17.3</v>
      </c>
      <c r="M126" s="13">
        <f>ROUND(((DATA_DRAGONS_CONTENT!K8*K126)/DATA_DRAGONS_CONTENT!M8)/DATA_DRAGONS_CONTENT!L8,1)</f>
        <v>18.399999999999999</v>
      </c>
      <c r="N126" s="129">
        <v>5.6</v>
      </c>
      <c r="O126" s="129">
        <v>4.5</v>
      </c>
      <c r="P126" s="13">
        <f>DATA_DRAGONS_CONTENT!O8</f>
        <v>100</v>
      </c>
      <c r="R126" s="34">
        <f t="shared" si="16"/>
        <v>1.2</v>
      </c>
      <c r="U126" s="33">
        <f t="shared" si="17"/>
        <v>1.0999999999999979</v>
      </c>
    </row>
    <row r="127" spans="3:21" x14ac:dyDescent="0.25">
      <c r="C127">
        <f t="shared" si="13"/>
        <v>56</v>
      </c>
      <c r="E127">
        <f t="shared" si="12"/>
        <v>1.47</v>
      </c>
      <c r="G127">
        <f t="shared" si="14"/>
        <v>39.97999999999999</v>
      </c>
      <c r="I127" s="27"/>
      <c r="J127" s="7" t="s">
        <v>130</v>
      </c>
      <c r="K127" s="13">
        <f>DATA_DRAGONS_CONTENT!N9</f>
        <v>1.4</v>
      </c>
      <c r="L127" s="13">
        <f>ROUND(((DATA_DRAGONS_CONTENT!J9*K127)/DATA_DRAGONS_CONTENT!M9)/DATA_DRAGONS_CONTENT!L9,1)</f>
        <v>19</v>
      </c>
      <c r="M127" s="13">
        <f>ROUND(((DATA_DRAGONS_CONTENT!K9*K127)/DATA_DRAGONS_CONTENT!M9)/DATA_DRAGONS_CONTENT!L9,1)</f>
        <v>20.6</v>
      </c>
      <c r="N127" s="129">
        <v>3.2</v>
      </c>
      <c r="O127" s="129">
        <v>2.9</v>
      </c>
      <c r="P127" s="13">
        <f>DATA_DRAGONS_CONTENT!O9</f>
        <v>100</v>
      </c>
      <c r="R127" s="34">
        <f t="shared" si="16"/>
        <v>1.1000000000000001</v>
      </c>
      <c r="U127" s="33">
        <f t="shared" si="17"/>
        <v>1.6000000000000014</v>
      </c>
    </row>
    <row r="128" spans="3:21" x14ac:dyDescent="0.25">
      <c r="C128">
        <f t="shared" si="13"/>
        <v>57</v>
      </c>
      <c r="E128">
        <f t="shared" si="12"/>
        <v>1.4775</v>
      </c>
      <c r="G128">
        <f t="shared" si="14"/>
        <v>38.502499999999991</v>
      </c>
      <c r="I128" s="27"/>
      <c r="J128" s="7" t="s">
        <v>129</v>
      </c>
      <c r="K128" s="13">
        <f>DATA_DRAGONS_CONTENT!N10</f>
        <v>2.0099999999999998</v>
      </c>
      <c r="L128" s="13">
        <f>ROUND(((DATA_DRAGONS_CONTENT!J10*K128)/DATA_DRAGONS_CONTENT!M10)/DATA_DRAGONS_CONTENT!L10,1)</f>
        <v>27.3</v>
      </c>
      <c r="M128" s="13">
        <f>ROUND(((DATA_DRAGONS_CONTENT!K10*K128)/DATA_DRAGONS_CONTENT!M10)/DATA_DRAGONS_CONTENT!L10,1)</f>
        <v>29.4</v>
      </c>
      <c r="N128" s="129">
        <v>2</v>
      </c>
      <c r="O128" s="129">
        <v>7.1</v>
      </c>
      <c r="P128" s="13">
        <f>DATA_DRAGONS_CONTENT!O10</f>
        <v>100</v>
      </c>
      <c r="R128" s="34">
        <f t="shared" si="16"/>
        <v>0.3</v>
      </c>
      <c r="U128" s="33">
        <f t="shared" si="17"/>
        <v>2.0999999999999979</v>
      </c>
    </row>
    <row r="129" spans="3:22" x14ac:dyDescent="0.25">
      <c r="C129">
        <f t="shared" si="13"/>
        <v>58</v>
      </c>
      <c r="E129">
        <f t="shared" si="12"/>
        <v>1.4850000000000001</v>
      </c>
      <c r="G129">
        <f t="shared" si="14"/>
        <v>37.017499999999991</v>
      </c>
      <c r="I129" s="27"/>
      <c r="J129" s="9" t="s">
        <v>131</v>
      </c>
      <c r="K129" s="15">
        <f>DATA_DRAGONS_CONTENT!N11</f>
        <v>1.5</v>
      </c>
      <c r="L129" s="15">
        <f>ROUND(((DATA_DRAGONS_CONTENT!J11*K129)/DATA_DRAGONS_CONTENT!M11)/DATA_DRAGONS_CONTENT!L11,1)</f>
        <v>20.8</v>
      </c>
      <c r="M129" s="15">
        <f>ROUND(((DATA_DRAGONS_CONTENT!K11*K129)/DATA_DRAGONS_CONTENT!M11)/DATA_DRAGONS_CONTENT!L11,1)</f>
        <v>22.6</v>
      </c>
      <c r="N129" s="130">
        <v>3.4</v>
      </c>
      <c r="O129" s="130">
        <v>5.9</v>
      </c>
      <c r="P129" s="15">
        <f>DATA_DRAGONS_CONTENT!O11</f>
        <v>100</v>
      </c>
      <c r="R129" s="34">
        <f t="shared" si="16"/>
        <v>0.6</v>
      </c>
      <c r="U129" s="33">
        <f t="shared" si="17"/>
        <v>1.8000000000000007</v>
      </c>
    </row>
    <row r="130" spans="3:22" x14ac:dyDescent="0.25">
      <c r="C130">
        <f t="shared" si="13"/>
        <v>59</v>
      </c>
      <c r="E130">
        <f t="shared" si="12"/>
        <v>1.4925000000000002</v>
      </c>
      <c r="G130">
        <f t="shared" si="14"/>
        <v>35.524999999999991</v>
      </c>
      <c r="I130" s="27"/>
      <c r="J130" s="9" t="s">
        <v>133</v>
      </c>
      <c r="K130" s="15">
        <f>DATA_DRAGONS_CONTENT!N12</f>
        <v>1.4</v>
      </c>
      <c r="L130" s="15">
        <f>ROUND(((DATA_DRAGONS_CONTENT!J12*K130)/DATA_DRAGONS_CONTENT!M12)/DATA_DRAGONS_CONTENT!L12,1)</f>
        <v>20</v>
      </c>
      <c r="M130" s="15">
        <f>ROUND(((DATA_DRAGONS_CONTENT!K12*K130)/DATA_DRAGONS_CONTENT!M12)/DATA_DRAGONS_CONTENT!L12,1)</f>
        <v>21.4</v>
      </c>
      <c r="N130" s="130">
        <v>5</v>
      </c>
      <c r="O130" s="130">
        <v>5.6</v>
      </c>
      <c r="P130" s="15">
        <f>DATA_DRAGONS_CONTENT!O12</f>
        <v>100</v>
      </c>
      <c r="R130" s="34">
        <f t="shared" si="16"/>
        <v>0.9</v>
      </c>
      <c r="U130" s="33">
        <f t="shared" si="17"/>
        <v>1.3999999999999986</v>
      </c>
    </row>
    <row r="131" spans="3:22" x14ac:dyDescent="0.25">
      <c r="C131">
        <f t="shared" si="13"/>
        <v>60</v>
      </c>
      <c r="E131">
        <f t="shared" si="12"/>
        <v>1.5</v>
      </c>
      <c r="G131">
        <f t="shared" si="14"/>
        <v>34.024999999999991</v>
      </c>
      <c r="I131" s="27"/>
      <c r="J131" s="9" t="s">
        <v>2431</v>
      </c>
      <c r="K131" s="15">
        <f>DATA_DRAGONS_CONTENT!N13</f>
        <v>1.8</v>
      </c>
      <c r="L131" s="15">
        <f>ROUND(((DATA_DRAGONS_CONTENT!J13*K131)/DATA_DRAGONS_CONTENT!M13)/DATA_DRAGONS_CONTENT!L13,1)</f>
        <v>25.1</v>
      </c>
      <c r="M131" s="15">
        <f>ROUND(((DATA_DRAGONS_CONTENT!K13*K131)/DATA_DRAGONS_CONTENT!M13)/DATA_DRAGONS_CONTENT!L13,1)</f>
        <v>28.1</v>
      </c>
      <c r="N131" s="130">
        <v>2.5</v>
      </c>
      <c r="O131" s="130">
        <v>7.1</v>
      </c>
      <c r="P131" s="15">
        <f>DATA_DRAGONS_CONTENT!O13</f>
        <v>100</v>
      </c>
      <c r="R131" s="34">
        <f t="shared" si="16"/>
        <v>0.4</v>
      </c>
      <c r="U131" s="33">
        <f t="shared" si="17"/>
        <v>3</v>
      </c>
    </row>
    <row r="132" spans="3:22" x14ac:dyDescent="0.25">
      <c r="C132">
        <f t="shared" si="13"/>
        <v>61</v>
      </c>
      <c r="E132">
        <f t="shared" si="12"/>
        <v>1.5075000000000001</v>
      </c>
      <c r="G132">
        <f t="shared" si="14"/>
        <v>32.517499999999991</v>
      </c>
      <c r="I132" s="27"/>
      <c r="J132" s="4" t="s">
        <v>132</v>
      </c>
      <c r="K132" s="16">
        <f>DATA_DRAGONS_CONTENT!N14</f>
        <v>1.6</v>
      </c>
      <c r="L132" s="16">
        <f>ROUND(((DATA_DRAGONS_CONTENT!J14*K132)/DATA_DRAGONS_CONTENT!M14)/DATA_DRAGONS_CONTENT!L14,1)</f>
        <v>23.3</v>
      </c>
      <c r="M132" s="16">
        <f>ROUND(((DATA_DRAGONS_CONTENT!K14*K132)/DATA_DRAGONS_CONTENT!M14)/DATA_DRAGONS_CONTENT!L14,1)</f>
        <v>25.5</v>
      </c>
      <c r="N132" s="129">
        <v>2</v>
      </c>
      <c r="O132" s="129">
        <v>2.9</v>
      </c>
      <c r="P132" s="16">
        <f>DATA_DRAGONS_CONTENT!O14</f>
        <v>100</v>
      </c>
      <c r="R132" s="34">
        <f t="shared" si="16"/>
        <v>0.7</v>
      </c>
      <c r="U132" s="33">
        <f t="shared" si="17"/>
        <v>2.1999999999999993</v>
      </c>
    </row>
    <row r="133" spans="3:22" x14ac:dyDescent="0.25">
      <c r="C133">
        <f t="shared" si="13"/>
        <v>62</v>
      </c>
      <c r="E133">
        <f t="shared" si="12"/>
        <v>1.5150000000000001</v>
      </c>
      <c r="G133">
        <f t="shared" si="14"/>
        <v>31.002499999999991</v>
      </c>
      <c r="I133" s="27"/>
      <c r="J133" s="4" t="s">
        <v>134</v>
      </c>
      <c r="K133" s="16">
        <f>DATA_DRAGONS_CONTENT!N15</f>
        <v>1.9</v>
      </c>
      <c r="L133" s="16">
        <f>ROUND(((DATA_DRAGONS_CONTENT!J15*K133)/DATA_DRAGONS_CONTENT!M15)/DATA_DRAGONS_CONTENT!L15,1)</f>
        <v>28.9</v>
      </c>
      <c r="M133" s="16">
        <f>ROUND(((DATA_DRAGONS_CONTENT!K15*K133)/DATA_DRAGONS_CONTENT!M15)/DATA_DRAGONS_CONTENT!L15,1)</f>
        <v>31.1</v>
      </c>
      <c r="N133" s="129">
        <v>5.2</v>
      </c>
      <c r="O133" s="129">
        <v>8.5</v>
      </c>
      <c r="P133" s="16">
        <f>DATA_DRAGONS_CONTENT!O15</f>
        <v>100</v>
      </c>
      <c r="R133" s="34">
        <f t="shared" si="16"/>
        <v>0.6</v>
      </c>
      <c r="U133" s="2">
        <f t="shared" si="17"/>
        <v>2.2000000000000028</v>
      </c>
    </row>
    <row r="134" spans="3:22" x14ac:dyDescent="0.25">
      <c r="C134">
        <f t="shared" si="13"/>
        <v>63</v>
      </c>
      <c r="E134">
        <f t="shared" si="12"/>
        <v>1.5225</v>
      </c>
      <c r="G134">
        <f t="shared" si="14"/>
        <v>29.47999999999999</v>
      </c>
      <c r="I134" s="27"/>
      <c r="J134" s="4" t="s">
        <v>7989</v>
      </c>
      <c r="K134" s="16">
        <f>DATA_DRAGONS_CONTENT!N16</f>
        <v>1.9</v>
      </c>
      <c r="L134" s="16">
        <f>ROUND(((DATA_DRAGONS_CONTENT!J16*K134)/DATA_DRAGONS_CONTENT!M16)/DATA_DRAGONS_CONTENT!L16,1)</f>
        <v>28.9</v>
      </c>
      <c r="M134" s="16">
        <f>ROUND(((DATA_DRAGONS_CONTENT!K16*K134)/DATA_DRAGONS_CONTENT!M16)/DATA_DRAGONS_CONTENT!L16,1)</f>
        <v>31.1</v>
      </c>
      <c r="N134" s="129">
        <v>5.2</v>
      </c>
      <c r="O134" s="129">
        <v>5.2</v>
      </c>
      <c r="P134" s="16">
        <f>DATA_DRAGONS_CONTENT!O16</f>
        <v>100</v>
      </c>
      <c r="R134" s="34">
        <f t="shared" si="16"/>
        <v>1</v>
      </c>
      <c r="U134" s="2">
        <f t="shared" si="17"/>
        <v>2.2000000000000028</v>
      </c>
    </row>
    <row r="135" spans="3:22" x14ac:dyDescent="0.25">
      <c r="C135">
        <f t="shared" si="13"/>
        <v>64</v>
      </c>
      <c r="E135">
        <f t="shared" si="12"/>
        <v>1.53</v>
      </c>
      <c r="G135">
        <f t="shared" si="14"/>
        <v>27.949999999999989</v>
      </c>
      <c r="I135" s="27"/>
      <c r="J135" s="183" t="s">
        <v>8102</v>
      </c>
      <c r="K135" s="183">
        <f>DATA_DRAGONS_CONTENT!N17</f>
        <v>2.0099999999999998</v>
      </c>
      <c r="L135" s="183">
        <f>ROUND(((DATA_DRAGONS_CONTENT!J17*K135)/DATA_DRAGONS_CONTENT!M17)/DATA_DRAGONS_CONTENT!L17,1)</f>
        <v>30.2</v>
      </c>
      <c r="M135" s="183">
        <f>ROUND(((DATA_DRAGONS_CONTENT!K17*K135)/DATA_DRAGONS_CONTENT!M17)/DATA_DRAGONS_CONTENT!L17,1)</f>
        <v>32.4</v>
      </c>
      <c r="N135" s="129">
        <v>5.0999999999999996</v>
      </c>
      <c r="O135" s="129">
        <v>7</v>
      </c>
      <c r="P135" s="183">
        <f>DATA_DRAGONS_CONTENT!O17</f>
        <v>100</v>
      </c>
      <c r="R135" s="34">
        <f t="shared" si="16"/>
        <v>0.7</v>
      </c>
      <c r="U135" s="2">
        <f t="shared" si="17"/>
        <v>2.1999999999999993</v>
      </c>
    </row>
    <row r="136" spans="3:22" x14ac:dyDescent="0.25">
      <c r="C136">
        <f t="shared" si="13"/>
        <v>65</v>
      </c>
      <c r="E136">
        <f t="shared" si="12"/>
        <v>1.5375000000000001</v>
      </c>
      <c r="G136">
        <f t="shared" si="14"/>
        <v>26.412499999999987</v>
      </c>
      <c r="I136" s="27"/>
      <c r="J136" s="183" t="s">
        <v>8131</v>
      </c>
      <c r="K136" s="183">
        <f>DATA_DRAGONS_CONTENT!N18</f>
        <v>2</v>
      </c>
      <c r="L136" s="183">
        <f>ROUND(((DATA_DRAGONS_CONTENT!J18*K136)/DATA_DRAGONS_CONTENT!M18)/DATA_DRAGONS_CONTENT!L18,1)</f>
        <v>30.1</v>
      </c>
      <c r="M136" s="183">
        <f>ROUND(((DATA_DRAGONS_CONTENT!K18*K136)/DATA_DRAGONS_CONTENT!M18)/DATA_DRAGONS_CONTENT!L18,1)</f>
        <v>32.200000000000003</v>
      </c>
      <c r="N136" s="129">
        <v>5.0999999999999996</v>
      </c>
      <c r="O136" s="129">
        <v>7</v>
      </c>
      <c r="P136" s="183">
        <f>DATA_DRAGONS_CONTENT!O18</f>
        <v>100</v>
      </c>
      <c r="R136" s="34">
        <f t="shared" si="16"/>
        <v>0.7</v>
      </c>
      <c r="U136" s="2">
        <f t="shared" si="17"/>
        <v>2.1000000000000014</v>
      </c>
    </row>
    <row r="137" spans="3:22" x14ac:dyDescent="0.25">
      <c r="C137">
        <f t="shared" si="13"/>
        <v>66</v>
      </c>
      <c r="E137">
        <f t="shared" si="12"/>
        <v>1.5449999999999999</v>
      </c>
      <c r="G137">
        <f t="shared" si="14"/>
        <v>24.867499999999986</v>
      </c>
      <c r="I137" s="27"/>
      <c r="J137" s="183" t="s">
        <v>8165</v>
      </c>
      <c r="K137" s="183">
        <f>DATA_DRAGONS_CONTENT!N19</f>
        <v>2</v>
      </c>
      <c r="L137" s="183">
        <f>ROUND(((DATA_DRAGONS_CONTENT!J19*K137)/DATA_DRAGONS_CONTENT!M19)/DATA_DRAGONS_CONTENT!L19,1)</f>
        <v>30.1</v>
      </c>
      <c r="M137" s="183">
        <f>ROUND(((DATA_DRAGONS_CONTENT!K19*K137)/DATA_DRAGONS_CONTENT!M19)/DATA_DRAGONS_CONTENT!L19,1)</f>
        <v>32.200000000000003</v>
      </c>
      <c r="N137" s="129">
        <v>5.0999999999999996</v>
      </c>
      <c r="O137" s="129">
        <v>7</v>
      </c>
      <c r="P137" s="183">
        <f>DATA_DRAGONS_CONTENT!O19</f>
        <v>100</v>
      </c>
      <c r="R137" s="34">
        <f t="shared" si="16"/>
        <v>0.7</v>
      </c>
      <c r="U137" s="2">
        <f t="shared" si="17"/>
        <v>2.1000000000000014</v>
      </c>
    </row>
    <row r="138" spans="3:22" x14ac:dyDescent="0.25">
      <c r="C138">
        <f t="shared" si="13"/>
        <v>67</v>
      </c>
      <c r="E138">
        <f t="shared" si="12"/>
        <v>1.5525</v>
      </c>
      <c r="G138">
        <f t="shared" si="14"/>
        <v>23.314999999999987</v>
      </c>
      <c r="I138" s="27"/>
      <c r="J138" s="183" t="s">
        <v>8166</v>
      </c>
      <c r="K138" s="183">
        <f>DATA_DRAGONS_CONTENT!N20</f>
        <v>2</v>
      </c>
      <c r="L138" s="183">
        <f>ROUND(((DATA_DRAGONS_CONTENT!J20*K138)/DATA_DRAGONS_CONTENT!M20)/DATA_DRAGONS_CONTENT!L20,1)</f>
        <v>30.1</v>
      </c>
      <c r="M138" s="183">
        <f>ROUND(((DATA_DRAGONS_CONTENT!K20*K138)/DATA_DRAGONS_CONTENT!M20)/DATA_DRAGONS_CONTENT!L20,1)</f>
        <v>32.200000000000003</v>
      </c>
      <c r="N138" s="129">
        <v>5.0999999999999996</v>
      </c>
      <c r="O138" s="129">
        <v>7</v>
      </c>
      <c r="P138" s="183">
        <f>DATA_DRAGONS_CONTENT!O20</f>
        <v>100</v>
      </c>
      <c r="R138" s="185">
        <f t="shared" si="16"/>
        <v>0.7</v>
      </c>
      <c r="U138" s="2">
        <f t="shared" si="17"/>
        <v>2.1000000000000014</v>
      </c>
    </row>
    <row r="139" spans="3:22" x14ac:dyDescent="0.25">
      <c r="C139">
        <f t="shared" si="13"/>
        <v>68</v>
      </c>
      <c r="E139">
        <f t="shared" si="12"/>
        <v>1.56</v>
      </c>
      <c r="G139">
        <f t="shared" si="14"/>
        <v>21.754999999999988</v>
      </c>
      <c r="I139" s="27"/>
    </row>
    <row r="140" spans="3:22" x14ac:dyDescent="0.25">
      <c r="C140">
        <f t="shared" si="13"/>
        <v>69</v>
      </c>
      <c r="E140">
        <f t="shared" si="12"/>
        <v>1.5674999999999999</v>
      </c>
      <c r="G140">
        <f t="shared" si="14"/>
        <v>20.187499999999989</v>
      </c>
      <c r="I140" s="27"/>
      <c r="K140" s="1" t="s">
        <v>2381</v>
      </c>
      <c r="M140" s="1" t="s">
        <v>3863</v>
      </c>
      <c r="N140" s="1" t="s">
        <v>2392</v>
      </c>
      <c r="P140" s="1" t="s">
        <v>2396</v>
      </c>
      <c r="R140" s="1" t="s">
        <v>2397</v>
      </c>
      <c r="T140" s="64" t="s">
        <v>2384</v>
      </c>
      <c r="U140" s="83"/>
      <c r="V140" s="84"/>
    </row>
    <row r="141" spans="3:22" x14ac:dyDescent="0.25">
      <c r="C141">
        <f t="shared" si="13"/>
        <v>70</v>
      </c>
      <c r="E141">
        <f t="shared" si="12"/>
        <v>1.5750000000000002</v>
      </c>
      <c r="G141">
        <f t="shared" si="14"/>
        <v>18.61249999999999</v>
      </c>
      <c r="I141" s="27"/>
      <c r="J141" s="3" t="s">
        <v>125</v>
      </c>
      <c r="K141" t="s">
        <v>2382</v>
      </c>
      <c r="M141" t="s">
        <v>2383</v>
      </c>
      <c r="N141" t="s">
        <v>2383</v>
      </c>
      <c r="P141" s="10">
        <f t="shared" ref="P141:P156" si="18">ROUND(P123/N123,0)</f>
        <v>25</v>
      </c>
      <c r="R141" s="10">
        <f t="shared" ref="R141:R156" si="19">ROUND(P123/O123,0)</f>
        <v>28</v>
      </c>
      <c r="T141" s="112"/>
      <c r="U141" s="22" t="s">
        <v>2387</v>
      </c>
      <c r="V141" s="86"/>
    </row>
    <row r="142" spans="3:22" x14ac:dyDescent="0.25">
      <c r="C142">
        <f t="shared" si="13"/>
        <v>71</v>
      </c>
      <c r="E142">
        <f t="shared" si="12"/>
        <v>1.5825</v>
      </c>
      <c r="G142">
        <f t="shared" si="14"/>
        <v>17.02999999999999</v>
      </c>
      <c r="I142" s="27"/>
      <c r="J142" s="5" t="s">
        <v>126</v>
      </c>
      <c r="K142" t="s">
        <v>2383</v>
      </c>
      <c r="M142" t="s">
        <v>2383</v>
      </c>
      <c r="N142" s="111" t="s">
        <v>581</v>
      </c>
      <c r="P142" s="11">
        <f t="shared" si="18"/>
        <v>20</v>
      </c>
      <c r="R142" s="11">
        <f t="shared" si="19"/>
        <v>10</v>
      </c>
      <c r="S142" s="1"/>
      <c r="T142" s="85"/>
      <c r="U142" s="22" t="s">
        <v>2386</v>
      </c>
      <c r="V142" s="86"/>
    </row>
    <row r="143" spans="3:22" x14ac:dyDescent="0.25">
      <c r="C143">
        <f t="shared" ref="C143:C208" si="20">C142+1</f>
        <v>72</v>
      </c>
      <c r="E143">
        <f t="shared" ref="E143:E208" si="21">IF(C143&gt;$C$18,$C$16+(C143*$C$17),(($C$16)*$C$19)+(C143*$C$17))</f>
        <v>1.59</v>
      </c>
      <c r="G143">
        <f t="shared" si="14"/>
        <v>15.439999999999991</v>
      </c>
      <c r="I143" s="27"/>
      <c r="J143" s="6" t="s">
        <v>128</v>
      </c>
      <c r="K143" t="s">
        <v>2382</v>
      </c>
      <c r="M143" t="s">
        <v>2383</v>
      </c>
      <c r="N143" s="111" t="s">
        <v>581</v>
      </c>
      <c r="P143" s="12">
        <f t="shared" si="18"/>
        <v>40</v>
      </c>
      <c r="R143" s="12">
        <f t="shared" si="19"/>
        <v>14</v>
      </c>
      <c r="T143" s="85"/>
      <c r="U143" s="22" t="s">
        <v>2385</v>
      </c>
      <c r="V143" s="86"/>
    </row>
    <row r="144" spans="3:22" x14ac:dyDescent="0.25">
      <c r="C144">
        <f t="shared" si="20"/>
        <v>73</v>
      </c>
      <c r="E144">
        <f t="shared" si="21"/>
        <v>1.5975000000000001</v>
      </c>
      <c r="G144">
        <f t="shared" ref="G144:G209" si="22">G143-E144</f>
        <v>13.84249999999999</v>
      </c>
      <c r="I144" s="27"/>
      <c r="J144" s="7" t="s">
        <v>127</v>
      </c>
      <c r="K144" t="s">
        <v>581</v>
      </c>
      <c r="M144" t="s">
        <v>2382</v>
      </c>
      <c r="N144" s="111" t="s">
        <v>2383</v>
      </c>
      <c r="P144" s="13">
        <f t="shared" si="18"/>
        <v>18</v>
      </c>
      <c r="R144" s="13">
        <f t="shared" si="19"/>
        <v>22</v>
      </c>
      <c r="T144" s="85"/>
      <c r="U144" s="22"/>
      <c r="V144" s="86"/>
    </row>
    <row r="145" spans="3:22" x14ac:dyDescent="0.25">
      <c r="C145">
        <f t="shared" si="20"/>
        <v>74</v>
      </c>
      <c r="E145">
        <f t="shared" si="21"/>
        <v>1.605</v>
      </c>
      <c r="G145">
        <f t="shared" si="22"/>
        <v>12.23749999999999</v>
      </c>
      <c r="I145" s="27"/>
      <c r="J145" s="7" t="s">
        <v>130</v>
      </c>
      <c r="K145" t="s">
        <v>581</v>
      </c>
      <c r="M145" t="s">
        <v>2383</v>
      </c>
      <c r="N145" s="111" t="s">
        <v>2382</v>
      </c>
      <c r="P145" s="13">
        <f t="shared" si="18"/>
        <v>31</v>
      </c>
      <c r="R145" s="13">
        <f t="shared" si="19"/>
        <v>34</v>
      </c>
      <c r="T145" s="112" t="s">
        <v>3864</v>
      </c>
      <c r="U145" s="22"/>
      <c r="V145" s="86"/>
    </row>
    <row r="146" spans="3:22" x14ac:dyDescent="0.25">
      <c r="C146">
        <f t="shared" si="20"/>
        <v>75</v>
      </c>
      <c r="E146">
        <f t="shared" si="21"/>
        <v>1.6125</v>
      </c>
      <c r="G146">
        <f t="shared" si="22"/>
        <v>10.624999999999989</v>
      </c>
      <c r="I146" s="27"/>
      <c r="J146" s="7" t="s">
        <v>129</v>
      </c>
      <c r="K146" t="s">
        <v>2382</v>
      </c>
      <c r="M146" t="s">
        <v>581</v>
      </c>
      <c r="N146" s="111" t="s">
        <v>581</v>
      </c>
      <c r="P146" s="13">
        <f t="shared" si="18"/>
        <v>50</v>
      </c>
      <c r="R146" s="13">
        <f t="shared" si="19"/>
        <v>14</v>
      </c>
      <c r="T146" s="85"/>
      <c r="U146" s="22" t="s">
        <v>2388</v>
      </c>
      <c r="V146" s="86"/>
    </row>
    <row r="147" spans="3:22" x14ac:dyDescent="0.25">
      <c r="C147">
        <f t="shared" si="20"/>
        <v>76</v>
      </c>
      <c r="E147">
        <f t="shared" si="21"/>
        <v>1.62</v>
      </c>
      <c r="G147">
        <f t="shared" si="22"/>
        <v>9.0049999999999883</v>
      </c>
      <c r="I147" s="27"/>
      <c r="J147" s="9" t="s">
        <v>131</v>
      </c>
      <c r="K147" t="s">
        <v>2383</v>
      </c>
      <c r="M147" t="s">
        <v>2383</v>
      </c>
      <c r="N147" s="111" t="s">
        <v>2383</v>
      </c>
      <c r="P147" s="15">
        <f t="shared" si="18"/>
        <v>29</v>
      </c>
      <c r="R147" s="15">
        <f t="shared" si="19"/>
        <v>17</v>
      </c>
      <c r="T147" s="85"/>
      <c r="U147" s="22" t="s">
        <v>2389</v>
      </c>
      <c r="V147" s="86"/>
    </row>
    <row r="148" spans="3:22" x14ac:dyDescent="0.25">
      <c r="C148">
        <f t="shared" si="20"/>
        <v>77</v>
      </c>
      <c r="E148">
        <f t="shared" si="21"/>
        <v>1.6274999999999999</v>
      </c>
      <c r="G148">
        <f t="shared" si="22"/>
        <v>7.3774999999999888</v>
      </c>
      <c r="I148" s="27"/>
      <c r="J148" s="9" t="s">
        <v>133</v>
      </c>
      <c r="K148" t="s">
        <v>581</v>
      </c>
      <c r="M148" t="s">
        <v>2383</v>
      </c>
      <c r="N148" s="111" t="s">
        <v>2383</v>
      </c>
      <c r="P148" s="15">
        <f t="shared" si="18"/>
        <v>20</v>
      </c>
      <c r="R148" s="15">
        <f t="shared" si="19"/>
        <v>18</v>
      </c>
      <c r="T148" s="85"/>
      <c r="U148" s="22" t="s">
        <v>2390</v>
      </c>
      <c r="V148" s="86"/>
    </row>
    <row r="149" spans="3:22" x14ac:dyDescent="0.25">
      <c r="C149">
        <f t="shared" si="20"/>
        <v>78</v>
      </c>
      <c r="E149">
        <f t="shared" si="21"/>
        <v>1.635</v>
      </c>
      <c r="G149">
        <f t="shared" si="22"/>
        <v>5.7424999999999891</v>
      </c>
      <c r="I149" s="27"/>
      <c r="J149" s="9" t="s">
        <v>2431</v>
      </c>
      <c r="K149" t="s">
        <v>2383</v>
      </c>
      <c r="M149" t="s">
        <v>2383</v>
      </c>
      <c r="N149" s="111" t="s">
        <v>581</v>
      </c>
      <c r="P149" s="15">
        <f t="shared" si="18"/>
        <v>40</v>
      </c>
      <c r="R149" s="15">
        <f t="shared" si="19"/>
        <v>14</v>
      </c>
      <c r="T149" s="85"/>
      <c r="U149" s="22"/>
      <c r="V149" s="86"/>
    </row>
    <row r="150" spans="3:22" x14ac:dyDescent="0.25">
      <c r="C150">
        <f t="shared" si="20"/>
        <v>79</v>
      </c>
      <c r="E150">
        <f t="shared" si="21"/>
        <v>1.6425000000000001</v>
      </c>
      <c r="G150">
        <f t="shared" si="22"/>
        <v>4.099999999999989</v>
      </c>
      <c r="I150" s="27"/>
      <c r="J150" s="4" t="s">
        <v>132</v>
      </c>
      <c r="K150" t="s">
        <v>2383</v>
      </c>
      <c r="M150" t="s">
        <v>581</v>
      </c>
      <c r="N150" s="111" t="s">
        <v>2382</v>
      </c>
      <c r="P150" s="16">
        <f t="shared" si="18"/>
        <v>50</v>
      </c>
      <c r="R150" s="16">
        <f t="shared" si="19"/>
        <v>34</v>
      </c>
      <c r="T150" s="112" t="s">
        <v>2391</v>
      </c>
      <c r="U150" s="22"/>
      <c r="V150" s="86"/>
    </row>
    <row r="151" spans="3:22" x14ac:dyDescent="0.25">
      <c r="C151">
        <f t="shared" si="20"/>
        <v>80</v>
      </c>
      <c r="E151">
        <f t="shared" si="21"/>
        <v>1.65</v>
      </c>
      <c r="G151">
        <f t="shared" si="22"/>
        <v>2.4499999999999891</v>
      </c>
      <c r="I151" s="27"/>
      <c r="J151" s="4" t="s">
        <v>134</v>
      </c>
      <c r="K151" t="s">
        <v>2383</v>
      </c>
      <c r="M151" t="s">
        <v>2382</v>
      </c>
      <c r="N151" s="111" t="s">
        <v>581</v>
      </c>
      <c r="P151" s="16">
        <f t="shared" si="18"/>
        <v>19</v>
      </c>
      <c r="R151" s="16">
        <f t="shared" si="19"/>
        <v>12</v>
      </c>
      <c r="T151" s="85"/>
      <c r="U151" s="22" t="s">
        <v>2393</v>
      </c>
      <c r="V151" s="86"/>
    </row>
    <row r="152" spans="3:22" x14ac:dyDescent="0.25">
      <c r="C152">
        <f t="shared" si="20"/>
        <v>81</v>
      </c>
      <c r="E152">
        <f t="shared" si="21"/>
        <v>1.6575</v>
      </c>
      <c r="G152">
        <f t="shared" si="22"/>
        <v>0.7924999999999891</v>
      </c>
      <c r="I152" s="27"/>
      <c r="J152" s="4" t="s">
        <v>7989</v>
      </c>
      <c r="K152" t="s">
        <v>2383</v>
      </c>
      <c r="M152" t="s">
        <v>2382</v>
      </c>
      <c r="N152" s="111" t="s">
        <v>2383</v>
      </c>
      <c r="P152" s="16">
        <f t="shared" si="18"/>
        <v>19</v>
      </c>
      <c r="R152" s="16">
        <f t="shared" si="19"/>
        <v>19</v>
      </c>
      <c r="T152" s="85"/>
      <c r="U152" s="22" t="s">
        <v>2394</v>
      </c>
      <c r="V152" s="86"/>
    </row>
    <row r="153" spans="3:22" x14ac:dyDescent="0.25">
      <c r="C153">
        <f t="shared" si="20"/>
        <v>82</v>
      </c>
      <c r="E153">
        <f t="shared" si="21"/>
        <v>1.665</v>
      </c>
      <c r="G153">
        <f t="shared" si="22"/>
        <v>-0.87250000000001093</v>
      </c>
      <c r="I153" s="27"/>
      <c r="J153" s="183" t="s">
        <v>8102</v>
      </c>
      <c r="K153" s="91" t="s">
        <v>2382</v>
      </c>
      <c r="M153" s="91" t="s">
        <v>2382</v>
      </c>
      <c r="N153" s="148" t="s">
        <v>2383</v>
      </c>
      <c r="P153" s="183">
        <f t="shared" si="18"/>
        <v>20</v>
      </c>
      <c r="R153" s="183">
        <f t="shared" si="19"/>
        <v>14</v>
      </c>
      <c r="T153" s="87"/>
      <c r="U153" s="88" t="s">
        <v>2395</v>
      </c>
      <c r="V153" s="89"/>
    </row>
    <row r="154" spans="3:22" x14ac:dyDescent="0.25">
      <c r="C154">
        <f t="shared" si="20"/>
        <v>83</v>
      </c>
      <c r="E154">
        <f t="shared" si="21"/>
        <v>1.6724999999999999</v>
      </c>
      <c r="G154">
        <f t="shared" si="22"/>
        <v>-2.5450000000000106</v>
      </c>
      <c r="I154" s="27"/>
      <c r="J154" s="183" t="s">
        <v>8131</v>
      </c>
      <c r="K154" s="91" t="s">
        <v>2382</v>
      </c>
      <c r="M154" s="91" t="s">
        <v>2382</v>
      </c>
      <c r="N154" s="148" t="s">
        <v>2383</v>
      </c>
      <c r="P154" s="183">
        <f t="shared" si="18"/>
        <v>20</v>
      </c>
      <c r="R154" s="183">
        <f t="shared" si="19"/>
        <v>14</v>
      </c>
      <c r="T154" s="22"/>
      <c r="U154" s="22"/>
      <c r="V154" s="22"/>
    </row>
    <row r="155" spans="3:22" x14ac:dyDescent="0.25">
      <c r="C155">
        <f t="shared" si="20"/>
        <v>84</v>
      </c>
      <c r="E155">
        <f t="shared" si="21"/>
        <v>1.6800000000000002</v>
      </c>
      <c r="G155">
        <f t="shared" si="22"/>
        <v>-4.2250000000000103</v>
      </c>
      <c r="I155" s="27"/>
      <c r="J155" s="183" t="s">
        <v>8165</v>
      </c>
      <c r="K155" s="91" t="s">
        <v>2382</v>
      </c>
      <c r="M155" s="91" t="s">
        <v>2382</v>
      </c>
      <c r="N155" s="148" t="s">
        <v>2383</v>
      </c>
      <c r="P155" s="183">
        <f t="shared" si="18"/>
        <v>20</v>
      </c>
      <c r="R155" s="183">
        <f t="shared" si="19"/>
        <v>14</v>
      </c>
      <c r="T155" s="22"/>
      <c r="U155" s="22"/>
      <c r="V155" s="22"/>
    </row>
    <row r="156" spans="3:22" x14ac:dyDescent="0.25">
      <c r="C156">
        <f t="shared" si="20"/>
        <v>85</v>
      </c>
      <c r="E156">
        <f t="shared" si="21"/>
        <v>1.6875</v>
      </c>
      <c r="G156">
        <f t="shared" si="22"/>
        <v>-5.9125000000000103</v>
      </c>
      <c r="I156" s="27"/>
      <c r="J156" s="194" t="s">
        <v>8166</v>
      </c>
      <c r="K156" s="91" t="s">
        <v>2382</v>
      </c>
      <c r="M156" s="91" t="s">
        <v>2382</v>
      </c>
      <c r="N156" s="148" t="s">
        <v>2383</v>
      </c>
      <c r="P156" s="183">
        <f t="shared" si="18"/>
        <v>20</v>
      </c>
      <c r="R156" s="183">
        <f t="shared" si="19"/>
        <v>14</v>
      </c>
    </row>
    <row r="157" spans="3:22" ht="15.75" thickBot="1" x14ac:dyDescent="0.3">
      <c r="C157">
        <f t="shared" si="20"/>
        <v>86</v>
      </c>
      <c r="E157">
        <f t="shared" si="21"/>
        <v>1.6950000000000001</v>
      </c>
      <c r="G157">
        <f t="shared" si="22"/>
        <v>-7.6075000000000106</v>
      </c>
      <c r="I157" s="27"/>
    </row>
    <row r="158" spans="3:22" ht="16.5" thickTop="1" thickBot="1" x14ac:dyDescent="0.3">
      <c r="C158">
        <f t="shared" si="20"/>
        <v>87</v>
      </c>
      <c r="E158">
        <f t="shared" si="21"/>
        <v>1.7025000000000001</v>
      </c>
      <c r="G158">
        <f t="shared" si="22"/>
        <v>-9.3100000000000112</v>
      </c>
      <c r="I158" s="27"/>
      <c r="J158" s="32" t="s">
        <v>2713</v>
      </c>
    </row>
    <row r="159" spans="3:22" ht="15.75" thickTop="1" x14ac:dyDescent="0.25">
      <c r="C159">
        <f t="shared" si="20"/>
        <v>88</v>
      </c>
      <c r="E159">
        <f t="shared" si="21"/>
        <v>1.71</v>
      </c>
      <c r="G159">
        <f t="shared" si="22"/>
        <v>-11.02000000000001</v>
      </c>
      <c r="I159" s="27"/>
    </row>
    <row r="160" spans="3:22" x14ac:dyDescent="0.25">
      <c r="C160">
        <f t="shared" si="20"/>
        <v>89</v>
      </c>
      <c r="E160">
        <f t="shared" si="21"/>
        <v>1.7175</v>
      </c>
      <c r="G160">
        <f t="shared" si="22"/>
        <v>-12.73750000000001</v>
      </c>
      <c r="I160" s="27"/>
    </row>
    <row r="161" spans="3:12" x14ac:dyDescent="0.25">
      <c r="C161">
        <f t="shared" si="20"/>
        <v>90</v>
      </c>
      <c r="E161">
        <f t="shared" si="21"/>
        <v>1.7250000000000001</v>
      </c>
      <c r="G161">
        <f t="shared" si="22"/>
        <v>-14.462500000000009</v>
      </c>
      <c r="I161" s="27"/>
    </row>
    <row r="162" spans="3:12" x14ac:dyDescent="0.25">
      <c r="C162">
        <f t="shared" si="20"/>
        <v>91</v>
      </c>
      <c r="E162">
        <f t="shared" si="21"/>
        <v>1.7324999999999999</v>
      </c>
      <c r="G162">
        <f t="shared" si="22"/>
        <v>-16.195000000000007</v>
      </c>
      <c r="I162" s="27"/>
    </row>
    <row r="163" spans="3:12" x14ac:dyDescent="0.25">
      <c r="C163">
        <f t="shared" si="20"/>
        <v>92</v>
      </c>
      <c r="E163">
        <f t="shared" si="21"/>
        <v>1.74</v>
      </c>
      <c r="G163">
        <f t="shared" si="22"/>
        <v>-17.935000000000006</v>
      </c>
      <c r="I163" s="27"/>
    </row>
    <row r="164" spans="3:12" x14ac:dyDescent="0.25">
      <c r="C164">
        <f t="shared" si="20"/>
        <v>93</v>
      </c>
      <c r="E164">
        <f t="shared" si="21"/>
        <v>1.7475000000000001</v>
      </c>
      <c r="G164">
        <f t="shared" si="22"/>
        <v>-19.682500000000005</v>
      </c>
      <c r="I164" s="27"/>
    </row>
    <row r="165" spans="3:12" x14ac:dyDescent="0.25">
      <c r="C165">
        <f t="shared" si="20"/>
        <v>94</v>
      </c>
      <c r="E165">
        <f t="shared" si="21"/>
        <v>1.7549999999999999</v>
      </c>
      <c r="G165">
        <f t="shared" si="22"/>
        <v>-21.437500000000004</v>
      </c>
      <c r="I165" s="27"/>
    </row>
    <row r="166" spans="3:12" x14ac:dyDescent="0.25">
      <c r="C166">
        <f t="shared" si="20"/>
        <v>95</v>
      </c>
      <c r="E166">
        <f t="shared" si="21"/>
        <v>1.7625000000000002</v>
      </c>
      <c r="G166">
        <f t="shared" si="22"/>
        <v>-23.200000000000003</v>
      </c>
      <c r="I166" s="27"/>
    </row>
    <row r="167" spans="3:12" x14ac:dyDescent="0.25">
      <c r="C167">
        <f t="shared" si="20"/>
        <v>96</v>
      </c>
      <c r="E167">
        <f t="shared" si="21"/>
        <v>1.77</v>
      </c>
      <c r="G167">
        <f t="shared" si="22"/>
        <v>-24.970000000000002</v>
      </c>
      <c r="I167" s="27"/>
    </row>
    <row r="168" spans="3:12" x14ac:dyDescent="0.25">
      <c r="C168">
        <f t="shared" si="20"/>
        <v>97</v>
      </c>
      <c r="E168">
        <f t="shared" si="21"/>
        <v>1.7774999999999999</v>
      </c>
      <c r="G168">
        <f t="shared" si="22"/>
        <v>-26.747500000000002</v>
      </c>
      <c r="I168" s="27"/>
    </row>
    <row r="169" spans="3:12" x14ac:dyDescent="0.25">
      <c r="C169">
        <f t="shared" si="20"/>
        <v>98</v>
      </c>
      <c r="E169">
        <f t="shared" si="21"/>
        <v>1.7850000000000001</v>
      </c>
      <c r="G169">
        <f t="shared" si="22"/>
        <v>-28.532500000000002</v>
      </c>
      <c r="I169" s="27"/>
    </row>
    <row r="170" spans="3:12" x14ac:dyDescent="0.25">
      <c r="C170">
        <f t="shared" si="20"/>
        <v>99</v>
      </c>
      <c r="E170">
        <f t="shared" si="21"/>
        <v>1.7925</v>
      </c>
      <c r="G170">
        <f t="shared" si="22"/>
        <v>-30.325000000000003</v>
      </c>
      <c r="I170" s="27"/>
    </row>
    <row r="171" spans="3:12" x14ac:dyDescent="0.25">
      <c r="C171">
        <f t="shared" si="20"/>
        <v>100</v>
      </c>
      <c r="E171">
        <f t="shared" si="21"/>
        <v>1.8</v>
      </c>
      <c r="G171">
        <f t="shared" si="22"/>
        <v>-32.125</v>
      </c>
      <c r="I171" s="27"/>
    </row>
    <row r="172" spans="3:12" x14ac:dyDescent="0.25">
      <c r="C172">
        <f t="shared" si="20"/>
        <v>101</v>
      </c>
      <c r="E172">
        <f t="shared" si="21"/>
        <v>1.8075000000000001</v>
      </c>
      <c r="G172">
        <f t="shared" si="22"/>
        <v>-33.932499999999997</v>
      </c>
      <c r="I172" s="27"/>
    </row>
    <row r="173" spans="3:12" x14ac:dyDescent="0.25">
      <c r="C173">
        <f t="shared" si="20"/>
        <v>102</v>
      </c>
      <c r="E173">
        <f t="shared" si="21"/>
        <v>1.8149999999999999</v>
      </c>
      <c r="G173">
        <f t="shared" si="22"/>
        <v>-35.747499999999995</v>
      </c>
      <c r="I173" s="27"/>
    </row>
    <row r="174" spans="3:12" x14ac:dyDescent="0.25">
      <c r="C174">
        <f t="shared" si="20"/>
        <v>103</v>
      </c>
      <c r="E174">
        <f t="shared" si="21"/>
        <v>1.8225</v>
      </c>
      <c r="G174">
        <f t="shared" si="22"/>
        <v>-37.569999999999993</v>
      </c>
      <c r="I174" s="27"/>
    </row>
    <row r="175" spans="3:12" x14ac:dyDescent="0.25">
      <c r="C175">
        <f t="shared" si="20"/>
        <v>104</v>
      </c>
      <c r="E175">
        <f t="shared" si="21"/>
        <v>1.83</v>
      </c>
      <c r="G175">
        <f t="shared" si="22"/>
        <v>-39.399999999999991</v>
      </c>
      <c r="I175" s="27"/>
    </row>
    <row r="176" spans="3:12" x14ac:dyDescent="0.25">
      <c r="C176">
        <f t="shared" si="20"/>
        <v>105</v>
      </c>
      <c r="E176">
        <f t="shared" si="21"/>
        <v>1.8374999999999999</v>
      </c>
      <c r="G176">
        <f t="shared" si="22"/>
        <v>-41.23749999999999</v>
      </c>
      <c r="I176" s="27"/>
      <c r="K176" s="1" t="s">
        <v>2714</v>
      </c>
      <c r="L176" s="1" t="s">
        <v>2715</v>
      </c>
    </row>
    <row r="177" spans="3:14" x14ac:dyDescent="0.25">
      <c r="C177">
        <f t="shared" si="20"/>
        <v>106</v>
      </c>
      <c r="E177">
        <f t="shared" si="21"/>
        <v>1.845</v>
      </c>
      <c r="G177">
        <f t="shared" si="22"/>
        <v>-43.082499999999989</v>
      </c>
      <c r="I177" s="27"/>
      <c r="J177" s="3" t="s">
        <v>125</v>
      </c>
      <c r="K177" s="10">
        <v>8.9</v>
      </c>
      <c r="L177" s="10">
        <v>16.100000000000001</v>
      </c>
    </row>
    <row r="178" spans="3:14" x14ac:dyDescent="0.25">
      <c r="C178">
        <f t="shared" si="20"/>
        <v>107</v>
      </c>
      <c r="E178">
        <f t="shared" si="21"/>
        <v>1.8525</v>
      </c>
      <c r="G178">
        <f t="shared" si="22"/>
        <v>-44.934999999999988</v>
      </c>
      <c r="I178" s="27"/>
      <c r="J178" s="5" t="s">
        <v>126</v>
      </c>
      <c r="K178" s="11">
        <v>10.1</v>
      </c>
      <c r="L178" s="11">
        <v>19.8</v>
      </c>
    </row>
    <row r="179" spans="3:14" x14ac:dyDescent="0.25">
      <c r="C179">
        <f t="shared" si="20"/>
        <v>108</v>
      </c>
      <c r="E179">
        <f t="shared" si="21"/>
        <v>1.8599999999999999</v>
      </c>
      <c r="G179">
        <f t="shared" si="22"/>
        <v>-46.794999999999987</v>
      </c>
      <c r="I179" s="27"/>
      <c r="J179" s="6" t="s">
        <v>128</v>
      </c>
      <c r="K179" s="12">
        <v>12.4</v>
      </c>
      <c r="L179" s="12">
        <v>19.600000000000001</v>
      </c>
    </row>
    <row r="180" spans="3:14" x14ac:dyDescent="0.25">
      <c r="C180">
        <f t="shared" si="20"/>
        <v>109</v>
      </c>
      <c r="E180">
        <f t="shared" si="21"/>
        <v>1.8675000000000002</v>
      </c>
      <c r="G180">
        <f t="shared" si="22"/>
        <v>-48.662499999999987</v>
      </c>
      <c r="I180" s="27"/>
      <c r="J180" s="7" t="s">
        <v>127</v>
      </c>
      <c r="K180" s="13">
        <v>21.7</v>
      </c>
      <c r="L180" s="13">
        <v>27.9</v>
      </c>
    </row>
    <row r="181" spans="3:14" x14ac:dyDescent="0.25">
      <c r="C181">
        <f t="shared" si="20"/>
        <v>110</v>
      </c>
      <c r="E181">
        <f t="shared" si="21"/>
        <v>1.875</v>
      </c>
      <c r="G181">
        <f t="shared" si="22"/>
        <v>-50.537499999999987</v>
      </c>
      <c r="I181" s="27"/>
      <c r="J181" s="7" t="s">
        <v>130</v>
      </c>
      <c r="K181" s="13">
        <v>19.8</v>
      </c>
      <c r="L181" s="13">
        <v>27.1</v>
      </c>
    </row>
    <row r="182" spans="3:14" x14ac:dyDescent="0.25">
      <c r="C182">
        <f t="shared" si="20"/>
        <v>111</v>
      </c>
      <c r="E182">
        <f t="shared" si="21"/>
        <v>1.8825000000000001</v>
      </c>
      <c r="G182">
        <f t="shared" si="22"/>
        <v>-52.419999999999987</v>
      </c>
      <c r="I182" s="27"/>
      <c r="J182" s="7" t="s">
        <v>129</v>
      </c>
      <c r="K182" s="13">
        <v>19.899999999999999</v>
      </c>
      <c r="L182" s="13">
        <v>27.6</v>
      </c>
    </row>
    <row r="183" spans="3:14" x14ac:dyDescent="0.25">
      <c r="C183">
        <f t="shared" si="20"/>
        <v>112</v>
      </c>
      <c r="E183">
        <f t="shared" si="21"/>
        <v>1.8900000000000001</v>
      </c>
      <c r="G183">
        <f t="shared" si="22"/>
        <v>-54.309999999999988</v>
      </c>
      <c r="I183" s="27"/>
      <c r="J183" s="9" t="s">
        <v>131</v>
      </c>
      <c r="K183" s="15">
        <v>30.6</v>
      </c>
      <c r="L183" s="15">
        <v>38.6</v>
      </c>
      <c r="M183" s="163"/>
    </row>
    <row r="184" spans="3:14" x14ac:dyDescent="0.25">
      <c r="C184">
        <f t="shared" si="20"/>
        <v>113</v>
      </c>
      <c r="E184">
        <f t="shared" si="21"/>
        <v>1.8975</v>
      </c>
      <c r="G184">
        <f t="shared" si="22"/>
        <v>-56.207499999999989</v>
      </c>
      <c r="I184" s="27"/>
      <c r="J184" s="9" t="s">
        <v>133</v>
      </c>
      <c r="K184" s="15">
        <v>30.2</v>
      </c>
      <c r="L184" s="15">
        <v>36.700000000000003</v>
      </c>
      <c r="N184" s="81"/>
    </row>
    <row r="185" spans="3:14" x14ac:dyDescent="0.25">
      <c r="C185">
        <f t="shared" si="20"/>
        <v>114</v>
      </c>
      <c r="E185">
        <f t="shared" si="21"/>
        <v>1.905</v>
      </c>
      <c r="G185">
        <f t="shared" si="22"/>
        <v>-58.11249999999999</v>
      </c>
      <c r="I185" s="27"/>
      <c r="J185" s="9" t="s">
        <v>2431</v>
      </c>
      <c r="K185" s="15">
        <v>29.4</v>
      </c>
      <c r="L185" s="15">
        <v>38.299999999999997</v>
      </c>
    </row>
    <row r="186" spans="3:14" x14ac:dyDescent="0.25">
      <c r="C186">
        <f t="shared" si="20"/>
        <v>115</v>
      </c>
      <c r="E186">
        <f t="shared" si="21"/>
        <v>1.9125000000000001</v>
      </c>
      <c r="G186">
        <f t="shared" si="22"/>
        <v>-60.024999999999991</v>
      </c>
      <c r="I186" s="27"/>
      <c r="J186" s="4" t="s">
        <v>132</v>
      </c>
      <c r="K186" s="16">
        <v>39.200000000000003</v>
      </c>
      <c r="L186" s="16">
        <v>47.2</v>
      </c>
    </row>
    <row r="187" spans="3:14" x14ac:dyDescent="0.25">
      <c r="C187">
        <f t="shared" si="20"/>
        <v>116</v>
      </c>
      <c r="E187">
        <f t="shared" si="21"/>
        <v>1.92</v>
      </c>
      <c r="G187">
        <f t="shared" si="22"/>
        <v>-61.944999999999993</v>
      </c>
      <c r="I187" s="27"/>
      <c r="J187" s="4" t="s">
        <v>134</v>
      </c>
      <c r="K187" s="16">
        <v>38.700000000000003</v>
      </c>
      <c r="L187" s="16">
        <v>51.2</v>
      </c>
    </row>
    <row r="188" spans="3:14" x14ac:dyDescent="0.25">
      <c r="C188">
        <f t="shared" si="20"/>
        <v>117</v>
      </c>
      <c r="E188">
        <f t="shared" si="21"/>
        <v>1.9275</v>
      </c>
      <c r="G188">
        <f t="shared" si="22"/>
        <v>-63.872499999999995</v>
      </c>
      <c r="I188" s="27"/>
      <c r="J188" s="4" t="s">
        <v>7989</v>
      </c>
      <c r="K188" s="16">
        <v>38.700000000000003</v>
      </c>
      <c r="L188" s="16">
        <v>51.2</v>
      </c>
      <c r="M188" s="75"/>
    </row>
    <row r="189" spans="3:14" x14ac:dyDescent="0.25">
      <c r="C189">
        <f t="shared" si="20"/>
        <v>118</v>
      </c>
      <c r="E189">
        <f t="shared" si="21"/>
        <v>1.9350000000000001</v>
      </c>
      <c r="G189">
        <f t="shared" si="22"/>
        <v>-65.80749999999999</v>
      </c>
      <c r="I189" s="27"/>
      <c r="J189" s="183" t="s">
        <v>8102</v>
      </c>
      <c r="K189" s="183">
        <v>40</v>
      </c>
      <c r="L189" s="183">
        <v>50</v>
      </c>
    </row>
    <row r="190" spans="3:14" x14ac:dyDescent="0.25">
      <c r="C190">
        <f t="shared" si="20"/>
        <v>119</v>
      </c>
      <c r="E190">
        <f t="shared" si="21"/>
        <v>1.9424999999999999</v>
      </c>
      <c r="G190">
        <f t="shared" si="22"/>
        <v>-67.749999999999986</v>
      </c>
      <c r="I190" s="27"/>
      <c r="J190" s="183" t="s">
        <v>8131</v>
      </c>
      <c r="K190" s="183">
        <v>40</v>
      </c>
      <c r="L190" s="183">
        <v>50</v>
      </c>
    </row>
    <row r="191" spans="3:14" x14ac:dyDescent="0.25">
      <c r="C191">
        <f t="shared" si="20"/>
        <v>120</v>
      </c>
      <c r="E191">
        <f t="shared" si="21"/>
        <v>1.95</v>
      </c>
      <c r="G191">
        <f t="shared" si="22"/>
        <v>-69.699999999999989</v>
      </c>
      <c r="I191" s="27"/>
      <c r="J191" s="183" t="s">
        <v>8165</v>
      </c>
      <c r="K191" s="183">
        <v>40</v>
      </c>
      <c r="L191" s="183">
        <v>50</v>
      </c>
    </row>
    <row r="192" spans="3:14" x14ac:dyDescent="0.25">
      <c r="C192">
        <f t="shared" si="20"/>
        <v>121</v>
      </c>
      <c r="E192">
        <f t="shared" si="21"/>
        <v>1.9575</v>
      </c>
      <c r="G192">
        <f t="shared" si="22"/>
        <v>-71.657499999999985</v>
      </c>
      <c r="I192" s="27"/>
      <c r="J192" s="183" t="s">
        <v>8166</v>
      </c>
      <c r="K192" s="183">
        <v>40</v>
      </c>
      <c r="L192" s="183">
        <v>50</v>
      </c>
    </row>
    <row r="193" spans="3:10" ht="15.75" thickBot="1" x14ac:dyDescent="0.3">
      <c r="C193">
        <f t="shared" si="20"/>
        <v>122</v>
      </c>
      <c r="E193">
        <f t="shared" si="21"/>
        <v>1.9649999999999999</v>
      </c>
      <c r="G193">
        <f t="shared" si="22"/>
        <v>-73.622499999999988</v>
      </c>
      <c r="I193" s="27"/>
    </row>
    <row r="194" spans="3:10" ht="16.5" thickTop="1" thickBot="1" x14ac:dyDescent="0.3">
      <c r="C194">
        <f t="shared" si="20"/>
        <v>123</v>
      </c>
      <c r="E194">
        <f t="shared" si="21"/>
        <v>1.9725000000000001</v>
      </c>
      <c r="G194">
        <f t="shared" si="22"/>
        <v>-75.594999999999985</v>
      </c>
      <c r="I194" s="27"/>
      <c r="J194" s="32" t="s">
        <v>2716</v>
      </c>
    </row>
    <row r="195" spans="3:10" ht="15.75" thickTop="1" x14ac:dyDescent="0.25">
      <c r="C195">
        <f t="shared" si="20"/>
        <v>124</v>
      </c>
      <c r="E195">
        <f t="shared" si="21"/>
        <v>1.98</v>
      </c>
      <c r="G195">
        <f t="shared" si="22"/>
        <v>-77.574999999999989</v>
      </c>
      <c r="I195" s="27"/>
    </row>
    <row r="196" spans="3:10" x14ac:dyDescent="0.25">
      <c r="C196">
        <f t="shared" si="20"/>
        <v>125</v>
      </c>
      <c r="E196">
        <f t="shared" si="21"/>
        <v>1.9875</v>
      </c>
      <c r="G196">
        <f t="shared" si="22"/>
        <v>-79.562499999999986</v>
      </c>
      <c r="I196" s="27"/>
    </row>
    <row r="197" spans="3:10" x14ac:dyDescent="0.25">
      <c r="C197">
        <f t="shared" si="20"/>
        <v>126</v>
      </c>
      <c r="E197">
        <f t="shared" si="21"/>
        <v>1.9950000000000001</v>
      </c>
      <c r="G197">
        <f t="shared" si="22"/>
        <v>-81.55749999999999</v>
      </c>
      <c r="I197" s="27"/>
    </row>
    <row r="198" spans="3:10" x14ac:dyDescent="0.25">
      <c r="C198">
        <f t="shared" si="20"/>
        <v>127</v>
      </c>
      <c r="E198">
        <f t="shared" si="21"/>
        <v>2.0024999999999999</v>
      </c>
      <c r="G198">
        <f t="shared" si="22"/>
        <v>-83.559999999999988</v>
      </c>
      <c r="I198" s="27"/>
    </row>
    <row r="199" spans="3:10" x14ac:dyDescent="0.25">
      <c r="C199">
        <f t="shared" si="20"/>
        <v>128</v>
      </c>
      <c r="E199">
        <f t="shared" si="21"/>
        <v>2.0099999999999998</v>
      </c>
      <c r="G199">
        <f t="shared" si="22"/>
        <v>-85.57</v>
      </c>
      <c r="I199" s="27"/>
    </row>
    <row r="200" spans="3:10" x14ac:dyDescent="0.25">
      <c r="C200">
        <f t="shared" si="20"/>
        <v>129</v>
      </c>
      <c r="E200">
        <f t="shared" si="21"/>
        <v>2.0175000000000001</v>
      </c>
      <c r="G200">
        <f t="shared" si="22"/>
        <v>-87.587499999999991</v>
      </c>
      <c r="I200" s="27"/>
    </row>
    <row r="201" spans="3:10" x14ac:dyDescent="0.25">
      <c r="C201">
        <f t="shared" si="20"/>
        <v>130</v>
      </c>
      <c r="E201">
        <f t="shared" si="21"/>
        <v>2.0249999999999999</v>
      </c>
      <c r="G201">
        <f t="shared" si="22"/>
        <v>-89.612499999999997</v>
      </c>
      <c r="I201" s="27"/>
    </row>
    <row r="202" spans="3:10" x14ac:dyDescent="0.25">
      <c r="C202">
        <f t="shared" si="20"/>
        <v>131</v>
      </c>
      <c r="E202">
        <f t="shared" si="21"/>
        <v>2.0324999999999998</v>
      </c>
      <c r="G202">
        <f t="shared" si="22"/>
        <v>-91.644999999999996</v>
      </c>
      <c r="I202" s="27"/>
    </row>
    <row r="203" spans="3:10" x14ac:dyDescent="0.25">
      <c r="C203">
        <f t="shared" si="20"/>
        <v>132</v>
      </c>
      <c r="E203">
        <f t="shared" si="21"/>
        <v>2.04</v>
      </c>
      <c r="G203">
        <f t="shared" si="22"/>
        <v>-93.685000000000002</v>
      </c>
      <c r="I203" s="27"/>
    </row>
    <row r="204" spans="3:10" x14ac:dyDescent="0.25">
      <c r="C204">
        <f t="shared" si="20"/>
        <v>133</v>
      </c>
      <c r="E204">
        <f t="shared" si="21"/>
        <v>2.0474999999999999</v>
      </c>
      <c r="G204">
        <f t="shared" si="22"/>
        <v>-95.732500000000002</v>
      </c>
      <c r="I204" s="27"/>
    </row>
    <row r="205" spans="3:10" x14ac:dyDescent="0.25">
      <c r="C205">
        <f t="shared" si="20"/>
        <v>134</v>
      </c>
      <c r="E205">
        <f t="shared" si="21"/>
        <v>2.0549999999999997</v>
      </c>
      <c r="G205">
        <f t="shared" si="22"/>
        <v>-97.787499999999994</v>
      </c>
      <c r="I205" s="27"/>
    </row>
    <row r="206" spans="3:10" x14ac:dyDescent="0.25">
      <c r="C206">
        <f t="shared" si="20"/>
        <v>135</v>
      </c>
      <c r="E206">
        <f t="shared" si="21"/>
        <v>2.0625</v>
      </c>
      <c r="G206">
        <f t="shared" si="22"/>
        <v>-99.85</v>
      </c>
      <c r="I206" s="27"/>
    </row>
    <row r="207" spans="3:10" x14ac:dyDescent="0.25">
      <c r="C207">
        <f t="shared" si="20"/>
        <v>136</v>
      </c>
      <c r="E207">
        <f t="shared" si="21"/>
        <v>2.0700000000000003</v>
      </c>
      <c r="G207">
        <f t="shared" si="22"/>
        <v>-101.91999999999999</v>
      </c>
      <c r="I207" s="27"/>
    </row>
    <row r="208" spans="3:10" x14ac:dyDescent="0.25">
      <c r="C208">
        <f t="shared" si="20"/>
        <v>137</v>
      </c>
      <c r="E208">
        <f t="shared" si="21"/>
        <v>2.0774999999999997</v>
      </c>
      <c r="G208">
        <f t="shared" si="22"/>
        <v>-103.99749999999999</v>
      </c>
      <c r="I208" s="27"/>
    </row>
    <row r="209" spans="3:13" x14ac:dyDescent="0.25">
      <c r="C209">
        <f t="shared" ref="C209:C272" si="23">C208+1</f>
        <v>138</v>
      </c>
      <c r="E209">
        <f t="shared" ref="E209:E272" si="24">IF(C209&gt;$C$18,$C$16+(C209*$C$17),(($C$16)*$C$19)+(C209*$C$17))</f>
        <v>2.085</v>
      </c>
      <c r="G209">
        <f t="shared" si="22"/>
        <v>-106.08249999999998</v>
      </c>
      <c r="I209" s="27"/>
    </row>
    <row r="210" spans="3:13" x14ac:dyDescent="0.25">
      <c r="C210">
        <f t="shared" si="23"/>
        <v>139</v>
      </c>
      <c r="E210">
        <f t="shared" si="24"/>
        <v>2.0925000000000002</v>
      </c>
      <c r="G210">
        <f t="shared" ref="G210:G273" si="25">G209-E210</f>
        <v>-108.17499999999998</v>
      </c>
      <c r="I210" s="27"/>
    </row>
    <row r="211" spans="3:13" x14ac:dyDescent="0.25">
      <c r="C211">
        <f t="shared" si="23"/>
        <v>140</v>
      </c>
      <c r="E211">
        <f t="shared" si="24"/>
        <v>2.1</v>
      </c>
      <c r="G211">
        <f t="shared" si="25"/>
        <v>-110.27499999999998</v>
      </c>
      <c r="I211" s="27"/>
      <c r="K211" s="1" t="s">
        <v>2714</v>
      </c>
      <c r="L211" s="1" t="s">
        <v>2715</v>
      </c>
      <c r="M211" t="s">
        <v>3865</v>
      </c>
    </row>
    <row r="212" spans="3:13" x14ac:dyDescent="0.25">
      <c r="C212">
        <f t="shared" si="23"/>
        <v>141</v>
      </c>
      <c r="E212">
        <f t="shared" si="24"/>
        <v>2.1074999999999999</v>
      </c>
      <c r="G212">
        <f t="shared" si="25"/>
        <v>-112.38249999999998</v>
      </c>
      <c r="I212" s="27"/>
      <c r="J212" s="3" t="s">
        <v>125</v>
      </c>
      <c r="K212" s="10">
        <v>18.3</v>
      </c>
      <c r="L212" s="10">
        <v>31.8</v>
      </c>
      <c r="M212">
        <v>95</v>
      </c>
    </row>
    <row r="213" spans="3:13" x14ac:dyDescent="0.25">
      <c r="C213">
        <f t="shared" si="23"/>
        <v>142</v>
      </c>
      <c r="E213">
        <f t="shared" si="24"/>
        <v>2.1150000000000002</v>
      </c>
      <c r="G213">
        <f t="shared" si="25"/>
        <v>-114.49749999999997</v>
      </c>
      <c r="I213" s="27"/>
      <c r="J213" s="5" t="s">
        <v>126</v>
      </c>
      <c r="K213" s="11">
        <v>20.7</v>
      </c>
      <c r="L213" s="11">
        <v>61.5</v>
      </c>
      <c r="M213">
        <v>143.1</v>
      </c>
    </row>
    <row r="214" spans="3:13" x14ac:dyDescent="0.25">
      <c r="C214">
        <f t="shared" si="23"/>
        <v>143</v>
      </c>
      <c r="E214">
        <f t="shared" si="24"/>
        <v>2.1225000000000001</v>
      </c>
      <c r="G214">
        <f t="shared" si="25"/>
        <v>-116.61999999999998</v>
      </c>
      <c r="I214" s="27"/>
      <c r="J214" s="6" t="s">
        <v>128</v>
      </c>
      <c r="K214" s="12">
        <v>28.1</v>
      </c>
      <c r="L214" s="12">
        <v>101.1</v>
      </c>
      <c r="M214">
        <v>141</v>
      </c>
    </row>
    <row r="215" spans="3:13" x14ac:dyDescent="0.25">
      <c r="C215">
        <f t="shared" si="23"/>
        <v>144</v>
      </c>
      <c r="E215">
        <f t="shared" si="24"/>
        <v>2.13</v>
      </c>
      <c r="G215">
        <f t="shared" si="25"/>
        <v>-118.74999999999997</v>
      </c>
      <c r="I215" s="27"/>
      <c r="J215" s="6" t="s">
        <v>127</v>
      </c>
      <c r="K215" s="12">
        <v>22.2</v>
      </c>
      <c r="L215" s="12">
        <v>52.1</v>
      </c>
      <c r="M215">
        <v>205</v>
      </c>
    </row>
    <row r="216" spans="3:13" x14ac:dyDescent="0.25">
      <c r="C216">
        <f t="shared" si="23"/>
        <v>145</v>
      </c>
      <c r="E216">
        <f t="shared" si="24"/>
        <v>2.1375000000000002</v>
      </c>
      <c r="G216">
        <f t="shared" si="25"/>
        <v>-120.88749999999997</v>
      </c>
      <c r="I216" s="27"/>
      <c r="J216" s="7" t="s">
        <v>130</v>
      </c>
      <c r="K216" s="13">
        <v>32.6</v>
      </c>
      <c r="L216" s="13">
        <v>83.6</v>
      </c>
      <c r="M216">
        <v>204.2</v>
      </c>
    </row>
    <row r="217" spans="3:13" x14ac:dyDescent="0.25">
      <c r="C217">
        <f t="shared" si="23"/>
        <v>146</v>
      </c>
      <c r="E217">
        <f t="shared" si="24"/>
        <v>2.145</v>
      </c>
      <c r="G217">
        <f t="shared" si="25"/>
        <v>-123.03249999999997</v>
      </c>
      <c r="I217" s="27"/>
      <c r="J217" s="7" t="s">
        <v>129</v>
      </c>
      <c r="K217" s="13">
        <v>33.6</v>
      </c>
      <c r="L217" s="13">
        <v>135.1</v>
      </c>
      <c r="M217">
        <v>199.8</v>
      </c>
    </row>
    <row r="218" spans="3:13" x14ac:dyDescent="0.25">
      <c r="C218">
        <f t="shared" si="23"/>
        <v>147</v>
      </c>
      <c r="E218">
        <f t="shared" si="24"/>
        <v>2.1524999999999999</v>
      </c>
      <c r="G218">
        <f t="shared" si="25"/>
        <v>-125.18499999999997</v>
      </c>
      <c r="I218" s="27"/>
      <c r="J218" s="8" t="s">
        <v>131</v>
      </c>
      <c r="K218" s="14">
        <v>29.8</v>
      </c>
      <c r="L218" s="14">
        <v>133.80000000000001</v>
      </c>
      <c r="M218">
        <v>199.9</v>
      </c>
    </row>
    <row r="219" spans="3:13" x14ac:dyDescent="0.25">
      <c r="C219">
        <f t="shared" si="23"/>
        <v>148</v>
      </c>
      <c r="E219">
        <f t="shared" si="24"/>
        <v>2.16</v>
      </c>
      <c r="G219">
        <f t="shared" si="25"/>
        <v>-127.34499999999997</v>
      </c>
      <c r="I219" s="27"/>
      <c r="J219" s="9" t="s">
        <v>133</v>
      </c>
      <c r="K219" s="15">
        <v>36.9</v>
      </c>
      <c r="L219" s="15">
        <v>183.6</v>
      </c>
      <c r="M219">
        <v>205</v>
      </c>
    </row>
    <row r="220" spans="3:13" x14ac:dyDescent="0.25">
      <c r="C220">
        <f t="shared" si="23"/>
        <v>149</v>
      </c>
      <c r="E220">
        <f t="shared" si="24"/>
        <v>2.1675</v>
      </c>
      <c r="G220">
        <f t="shared" si="25"/>
        <v>-129.51249999999996</v>
      </c>
      <c r="I220" s="27"/>
      <c r="J220" s="9" t="s">
        <v>2431</v>
      </c>
      <c r="K220" s="15">
        <v>40.299999999999997</v>
      </c>
      <c r="L220" s="15">
        <v>177.5</v>
      </c>
      <c r="M220">
        <v>205</v>
      </c>
    </row>
    <row r="221" spans="3:13" x14ac:dyDescent="0.25">
      <c r="C221">
        <f t="shared" si="23"/>
        <v>150</v>
      </c>
      <c r="E221">
        <f t="shared" si="24"/>
        <v>2.1749999999999998</v>
      </c>
      <c r="G221">
        <f t="shared" si="25"/>
        <v>-131.68749999999997</v>
      </c>
      <c r="I221" s="27"/>
      <c r="J221" s="9" t="s">
        <v>132</v>
      </c>
      <c r="K221" s="15">
        <v>38</v>
      </c>
      <c r="L221" s="15">
        <v>163.30000000000001</v>
      </c>
      <c r="M221">
        <v>205</v>
      </c>
    </row>
    <row r="222" spans="3:13" x14ac:dyDescent="0.25">
      <c r="C222">
        <f t="shared" si="23"/>
        <v>151</v>
      </c>
      <c r="E222">
        <f t="shared" si="24"/>
        <v>2.1825000000000001</v>
      </c>
      <c r="G222">
        <f t="shared" si="25"/>
        <v>-133.86999999999998</v>
      </c>
      <c r="I222" s="27"/>
      <c r="J222" s="4" t="s">
        <v>134</v>
      </c>
      <c r="K222" s="16">
        <v>38.4</v>
      </c>
      <c r="L222" s="16">
        <v>204.3</v>
      </c>
      <c r="M222">
        <v>205</v>
      </c>
    </row>
    <row r="223" spans="3:13" x14ac:dyDescent="0.25">
      <c r="C223">
        <f t="shared" si="23"/>
        <v>152</v>
      </c>
      <c r="E223">
        <f t="shared" si="24"/>
        <v>2.19</v>
      </c>
      <c r="G223">
        <f t="shared" si="25"/>
        <v>-136.05999999999997</v>
      </c>
      <c r="I223" s="27"/>
      <c r="J223" s="181" t="s">
        <v>7989</v>
      </c>
      <c r="K223" s="182">
        <v>38.4</v>
      </c>
      <c r="L223" s="182">
        <v>204.3</v>
      </c>
      <c r="M223">
        <v>205</v>
      </c>
    </row>
    <row r="224" spans="3:13" x14ac:dyDescent="0.25">
      <c r="C224">
        <f t="shared" si="23"/>
        <v>153</v>
      </c>
      <c r="E224">
        <f t="shared" si="24"/>
        <v>2.1974999999999998</v>
      </c>
      <c r="G224">
        <f t="shared" si="25"/>
        <v>-138.25749999999996</v>
      </c>
      <c r="I224" s="27"/>
      <c r="J224" s="183" t="s">
        <v>8102</v>
      </c>
      <c r="K224" s="183">
        <v>40</v>
      </c>
      <c r="L224" s="183">
        <v>250</v>
      </c>
      <c r="M224" s="91">
        <v>210</v>
      </c>
    </row>
    <row r="225" spans="3:13" x14ac:dyDescent="0.25">
      <c r="C225">
        <f t="shared" si="23"/>
        <v>154</v>
      </c>
      <c r="E225">
        <f t="shared" si="24"/>
        <v>2.2050000000000001</v>
      </c>
      <c r="G225">
        <f t="shared" si="25"/>
        <v>-140.46249999999998</v>
      </c>
      <c r="I225" s="27"/>
      <c r="J225" s="183" t="s">
        <v>8131</v>
      </c>
      <c r="K225" s="183">
        <v>40</v>
      </c>
      <c r="L225" s="183">
        <v>250</v>
      </c>
      <c r="M225" s="91">
        <v>210</v>
      </c>
    </row>
    <row r="226" spans="3:13" x14ac:dyDescent="0.25">
      <c r="C226">
        <f t="shared" si="23"/>
        <v>155</v>
      </c>
      <c r="E226">
        <f t="shared" si="24"/>
        <v>2.2124999999999999</v>
      </c>
      <c r="G226">
        <f t="shared" si="25"/>
        <v>-142.67499999999998</v>
      </c>
      <c r="I226" s="27"/>
      <c r="J226" s="183" t="s">
        <v>8165</v>
      </c>
      <c r="K226" s="183">
        <v>40</v>
      </c>
      <c r="L226" s="183">
        <v>250</v>
      </c>
      <c r="M226" s="91">
        <v>210</v>
      </c>
    </row>
    <row r="227" spans="3:13" x14ac:dyDescent="0.25">
      <c r="C227">
        <f t="shared" si="23"/>
        <v>156</v>
      </c>
      <c r="E227">
        <f t="shared" si="24"/>
        <v>2.2199999999999998</v>
      </c>
      <c r="G227">
        <f t="shared" si="25"/>
        <v>-144.89499999999998</v>
      </c>
      <c r="I227" s="27"/>
      <c r="J227" s="194" t="s">
        <v>8166</v>
      </c>
      <c r="K227" s="194">
        <v>40</v>
      </c>
      <c r="L227" s="194">
        <v>250</v>
      </c>
      <c r="M227" s="91">
        <v>210</v>
      </c>
    </row>
    <row r="228" spans="3:13" x14ac:dyDescent="0.25">
      <c r="C228">
        <f t="shared" si="23"/>
        <v>157</v>
      </c>
      <c r="E228">
        <f t="shared" si="24"/>
        <v>2.2275</v>
      </c>
      <c r="G228">
        <f t="shared" si="25"/>
        <v>-147.12249999999997</v>
      </c>
      <c r="I228" s="27"/>
    </row>
    <row r="229" spans="3:13" x14ac:dyDescent="0.25">
      <c r="C229">
        <f t="shared" si="23"/>
        <v>158</v>
      </c>
      <c r="E229">
        <f t="shared" si="24"/>
        <v>2.2350000000000003</v>
      </c>
      <c r="G229">
        <f t="shared" si="25"/>
        <v>-149.35749999999999</v>
      </c>
      <c r="I229" s="27"/>
    </row>
    <row r="230" spans="3:13" x14ac:dyDescent="0.25">
      <c r="C230">
        <f t="shared" si="23"/>
        <v>159</v>
      </c>
      <c r="E230">
        <f t="shared" si="24"/>
        <v>2.2424999999999997</v>
      </c>
      <c r="G230">
        <f t="shared" si="25"/>
        <v>-151.6</v>
      </c>
      <c r="I230" s="27"/>
    </row>
    <row r="231" spans="3:13" x14ac:dyDescent="0.25">
      <c r="C231">
        <f t="shared" si="23"/>
        <v>160</v>
      </c>
      <c r="E231">
        <f t="shared" si="24"/>
        <v>2.25</v>
      </c>
      <c r="G231">
        <f t="shared" si="25"/>
        <v>-153.85</v>
      </c>
      <c r="I231" s="27"/>
    </row>
    <row r="232" spans="3:13" x14ac:dyDescent="0.25">
      <c r="C232">
        <f t="shared" si="23"/>
        <v>161</v>
      </c>
      <c r="E232">
        <f t="shared" si="24"/>
        <v>2.2575000000000003</v>
      </c>
      <c r="G232">
        <f t="shared" si="25"/>
        <v>-156.10749999999999</v>
      </c>
      <c r="I232" s="27"/>
    </row>
    <row r="233" spans="3:13" x14ac:dyDescent="0.25">
      <c r="C233">
        <f t="shared" si="23"/>
        <v>162</v>
      </c>
      <c r="E233">
        <f t="shared" si="24"/>
        <v>2.2649999999999997</v>
      </c>
      <c r="G233">
        <f t="shared" si="25"/>
        <v>-158.37249999999997</v>
      </c>
      <c r="I233" s="27"/>
    </row>
    <row r="234" spans="3:13" x14ac:dyDescent="0.25">
      <c r="C234">
        <f t="shared" si="23"/>
        <v>163</v>
      </c>
      <c r="E234">
        <f t="shared" si="24"/>
        <v>2.2725</v>
      </c>
      <c r="G234">
        <f t="shared" si="25"/>
        <v>-160.64499999999998</v>
      </c>
      <c r="I234" s="27"/>
    </row>
    <row r="235" spans="3:13" x14ac:dyDescent="0.25">
      <c r="C235">
        <f t="shared" si="23"/>
        <v>164</v>
      </c>
      <c r="E235">
        <f t="shared" si="24"/>
        <v>2.2800000000000002</v>
      </c>
      <c r="G235">
        <f t="shared" si="25"/>
        <v>-162.92499999999998</v>
      </c>
      <c r="I235" s="27"/>
    </row>
    <row r="236" spans="3:13" x14ac:dyDescent="0.25">
      <c r="C236">
        <f t="shared" si="23"/>
        <v>165</v>
      </c>
      <c r="E236">
        <f t="shared" si="24"/>
        <v>2.2875000000000001</v>
      </c>
      <c r="G236">
        <f t="shared" si="25"/>
        <v>-165.21249999999998</v>
      </c>
      <c r="I236" s="27"/>
    </row>
    <row r="237" spans="3:13" x14ac:dyDescent="0.25">
      <c r="C237">
        <f t="shared" si="23"/>
        <v>166</v>
      </c>
      <c r="E237">
        <f t="shared" si="24"/>
        <v>2.2949999999999999</v>
      </c>
      <c r="G237">
        <f t="shared" si="25"/>
        <v>-167.50749999999996</v>
      </c>
      <c r="I237" s="27"/>
    </row>
    <row r="238" spans="3:13" x14ac:dyDescent="0.25">
      <c r="C238">
        <f t="shared" si="23"/>
        <v>167</v>
      </c>
      <c r="E238">
        <f t="shared" si="24"/>
        <v>2.3025000000000002</v>
      </c>
      <c r="G238">
        <f t="shared" si="25"/>
        <v>-169.80999999999997</v>
      </c>
      <c r="I238" s="27"/>
    </row>
    <row r="239" spans="3:13" x14ac:dyDescent="0.25">
      <c r="C239">
        <f t="shared" si="23"/>
        <v>168</v>
      </c>
      <c r="E239">
        <f t="shared" si="24"/>
        <v>2.31</v>
      </c>
      <c r="G239">
        <f t="shared" si="25"/>
        <v>-172.11999999999998</v>
      </c>
      <c r="I239" s="27"/>
    </row>
    <row r="240" spans="3:13" x14ac:dyDescent="0.25">
      <c r="C240">
        <f t="shared" si="23"/>
        <v>169</v>
      </c>
      <c r="E240">
        <f t="shared" si="24"/>
        <v>2.3174999999999999</v>
      </c>
      <c r="G240">
        <f t="shared" si="25"/>
        <v>-174.43749999999997</v>
      </c>
      <c r="I240" s="27"/>
    </row>
    <row r="241" spans="3:9" x14ac:dyDescent="0.25">
      <c r="C241">
        <f t="shared" si="23"/>
        <v>170</v>
      </c>
      <c r="E241">
        <f t="shared" si="24"/>
        <v>2.3250000000000002</v>
      </c>
      <c r="G241">
        <f t="shared" si="25"/>
        <v>-176.76249999999996</v>
      </c>
      <c r="I241" s="27"/>
    </row>
    <row r="242" spans="3:9" x14ac:dyDescent="0.25">
      <c r="C242">
        <f t="shared" si="23"/>
        <v>171</v>
      </c>
      <c r="E242">
        <f t="shared" si="24"/>
        <v>2.3325</v>
      </c>
      <c r="G242">
        <f t="shared" si="25"/>
        <v>-179.09499999999997</v>
      </c>
      <c r="I242" s="27"/>
    </row>
    <row r="243" spans="3:9" x14ac:dyDescent="0.25">
      <c r="C243">
        <f t="shared" si="23"/>
        <v>172</v>
      </c>
      <c r="E243">
        <f t="shared" si="24"/>
        <v>2.34</v>
      </c>
      <c r="G243">
        <f t="shared" si="25"/>
        <v>-181.43499999999997</v>
      </c>
      <c r="I243" s="27"/>
    </row>
    <row r="244" spans="3:9" x14ac:dyDescent="0.25">
      <c r="C244">
        <f t="shared" si="23"/>
        <v>173</v>
      </c>
      <c r="E244">
        <f t="shared" si="24"/>
        <v>2.3475000000000001</v>
      </c>
      <c r="G244">
        <f t="shared" si="25"/>
        <v>-183.78249999999997</v>
      </c>
      <c r="I244" s="27"/>
    </row>
    <row r="245" spans="3:9" x14ac:dyDescent="0.25">
      <c r="C245">
        <f t="shared" si="23"/>
        <v>174</v>
      </c>
      <c r="E245">
        <f t="shared" si="24"/>
        <v>2.355</v>
      </c>
      <c r="G245">
        <f t="shared" si="25"/>
        <v>-186.13749999999996</v>
      </c>
      <c r="I245" s="27"/>
    </row>
    <row r="246" spans="3:9" x14ac:dyDescent="0.25">
      <c r="C246">
        <f t="shared" si="23"/>
        <v>175</v>
      </c>
      <c r="E246">
        <f t="shared" si="24"/>
        <v>2.3624999999999998</v>
      </c>
      <c r="G246">
        <f t="shared" si="25"/>
        <v>-188.49999999999997</v>
      </c>
      <c r="I246" s="27"/>
    </row>
    <row r="247" spans="3:9" x14ac:dyDescent="0.25">
      <c r="C247">
        <f t="shared" si="23"/>
        <v>176</v>
      </c>
      <c r="E247">
        <f t="shared" si="24"/>
        <v>2.37</v>
      </c>
      <c r="G247">
        <f t="shared" si="25"/>
        <v>-190.86999999999998</v>
      </c>
      <c r="I247" s="27"/>
    </row>
    <row r="248" spans="3:9" x14ac:dyDescent="0.25">
      <c r="C248">
        <f t="shared" si="23"/>
        <v>177</v>
      </c>
      <c r="E248">
        <f t="shared" si="24"/>
        <v>2.3774999999999999</v>
      </c>
      <c r="G248">
        <f t="shared" si="25"/>
        <v>-193.24749999999997</v>
      </c>
      <c r="I248" s="27"/>
    </row>
    <row r="249" spans="3:9" x14ac:dyDescent="0.25">
      <c r="C249">
        <f t="shared" si="23"/>
        <v>178</v>
      </c>
      <c r="E249">
        <f t="shared" si="24"/>
        <v>2.3849999999999998</v>
      </c>
      <c r="G249">
        <f t="shared" si="25"/>
        <v>-195.63249999999996</v>
      </c>
      <c r="I249" s="27"/>
    </row>
    <row r="250" spans="3:9" x14ac:dyDescent="0.25">
      <c r="C250">
        <f t="shared" si="23"/>
        <v>179</v>
      </c>
      <c r="E250">
        <f t="shared" si="24"/>
        <v>2.3925000000000001</v>
      </c>
      <c r="G250">
        <f t="shared" si="25"/>
        <v>-198.02499999999998</v>
      </c>
      <c r="I250" s="27"/>
    </row>
    <row r="251" spans="3:9" x14ac:dyDescent="0.25">
      <c r="C251">
        <f t="shared" si="23"/>
        <v>180</v>
      </c>
      <c r="E251">
        <f t="shared" si="24"/>
        <v>2.4</v>
      </c>
      <c r="G251">
        <f t="shared" si="25"/>
        <v>-200.42499999999998</v>
      </c>
      <c r="I251" s="27"/>
    </row>
    <row r="252" spans="3:9" x14ac:dyDescent="0.25">
      <c r="C252">
        <f t="shared" si="23"/>
        <v>181</v>
      </c>
      <c r="E252">
        <f t="shared" si="24"/>
        <v>2.4074999999999998</v>
      </c>
      <c r="G252">
        <f t="shared" si="25"/>
        <v>-202.83249999999998</v>
      </c>
    </row>
    <row r="253" spans="3:9" x14ac:dyDescent="0.25">
      <c r="C253">
        <f t="shared" si="23"/>
        <v>182</v>
      </c>
      <c r="E253">
        <f t="shared" si="24"/>
        <v>2.415</v>
      </c>
      <c r="G253">
        <f t="shared" si="25"/>
        <v>-205.24749999999997</v>
      </c>
    </row>
    <row r="254" spans="3:9" x14ac:dyDescent="0.25">
      <c r="C254">
        <f t="shared" si="23"/>
        <v>183</v>
      </c>
      <c r="E254">
        <f t="shared" si="24"/>
        <v>2.4225000000000003</v>
      </c>
      <c r="G254">
        <f t="shared" si="25"/>
        <v>-207.67</v>
      </c>
    </row>
    <row r="255" spans="3:9" x14ac:dyDescent="0.25">
      <c r="C255">
        <f t="shared" si="23"/>
        <v>184</v>
      </c>
      <c r="E255">
        <f t="shared" si="24"/>
        <v>2.4299999999999997</v>
      </c>
      <c r="G255">
        <f t="shared" si="25"/>
        <v>-210.1</v>
      </c>
    </row>
    <row r="256" spans="3:9" x14ac:dyDescent="0.25">
      <c r="C256">
        <f t="shared" si="23"/>
        <v>185</v>
      </c>
      <c r="E256">
        <f t="shared" si="24"/>
        <v>2.4375</v>
      </c>
      <c r="G256">
        <f t="shared" si="25"/>
        <v>-212.53749999999999</v>
      </c>
    </row>
    <row r="257" spans="3:7" x14ac:dyDescent="0.25">
      <c r="C257">
        <f t="shared" si="23"/>
        <v>186</v>
      </c>
      <c r="E257">
        <f t="shared" si="24"/>
        <v>2.4450000000000003</v>
      </c>
      <c r="G257">
        <f t="shared" si="25"/>
        <v>-214.98249999999999</v>
      </c>
    </row>
    <row r="258" spans="3:7" x14ac:dyDescent="0.25">
      <c r="C258">
        <f t="shared" si="23"/>
        <v>187</v>
      </c>
      <c r="E258">
        <f t="shared" si="24"/>
        <v>2.4524999999999997</v>
      </c>
      <c r="G258">
        <f t="shared" si="25"/>
        <v>-217.43499999999997</v>
      </c>
    </row>
    <row r="259" spans="3:7" x14ac:dyDescent="0.25">
      <c r="C259">
        <f t="shared" si="23"/>
        <v>188</v>
      </c>
      <c r="E259">
        <f t="shared" si="24"/>
        <v>2.46</v>
      </c>
      <c r="G259">
        <f t="shared" si="25"/>
        <v>-219.89499999999998</v>
      </c>
    </row>
    <row r="260" spans="3:7" x14ac:dyDescent="0.25">
      <c r="C260">
        <f t="shared" si="23"/>
        <v>189</v>
      </c>
      <c r="E260">
        <f t="shared" si="24"/>
        <v>2.4675000000000002</v>
      </c>
      <c r="G260">
        <f t="shared" si="25"/>
        <v>-222.36249999999998</v>
      </c>
    </row>
    <row r="261" spans="3:7" x14ac:dyDescent="0.25">
      <c r="C261">
        <f t="shared" si="23"/>
        <v>190</v>
      </c>
      <c r="E261">
        <f t="shared" si="24"/>
        <v>2.4750000000000001</v>
      </c>
      <c r="G261">
        <f t="shared" si="25"/>
        <v>-224.83749999999998</v>
      </c>
    </row>
    <row r="262" spans="3:7" x14ac:dyDescent="0.25">
      <c r="C262">
        <f t="shared" si="23"/>
        <v>191</v>
      </c>
      <c r="E262">
        <f t="shared" si="24"/>
        <v>2.4824999999999999</v>
      </c>
      <c r="G262">
        <f t="shared" si="25"/>
        <v>-227.31999999999996</v>
      </c>
    </row>
    <row r="263" spans="3:7" x14ac:dyDescent="0.25">
      <c r="C263">
        <f t="shared" si="23"/>
        <v>192</v>
      </c>
      <c r="E263">
        <f t="shared" si="24"/>
        <v>2.4900000000000002</v>
      </c>
      <c r="G263">
        <f t="shared" si="25"/>
        <v>-229.80999999999997</v>
      </c>
    </row>
    <row r="264" spans="3:7" x14ac:dyDescent="0.25">
      <c r="C264">
        <f t="shared" si="23"/>
        <v>193</v>
      </c>
      <c r="E264">
        <f t="shared" si="24"/>
        <v>2.4975000000000001</v>
      </c>
      <c r="G264">
        <f t="shared" si="25"/>
        <v>-232.30749999999998</v>
      </c>
    </row>
    <row r="265" spans="3:7" x14ac:dyDescent="0.25">
      <c r="C265">
        <f t="shared" si="23"/>
        <v>194</v>
      </c>
      <c r="E265">
        <f t="shared" si="24"/>
        <v>2.5049999999999999</v>
      </c>
      <c r="G265">
        <f t="shared" si="25"/>
        <v>-234.81249999999997</v>
      </c>
    </row>
    <row r="266" spans="3:7" x14ac:dyDescent="0.25">
      <c r="C266">
        <f t="shared" si="23"/>
        <v>195</v>
      </c>
      <c r="E266">
        <f t="shared" si="24"/>
        <v>2.5125000000000002</v>
      </c>
      <c r="G266">
        <f t="shared" si="25"/>
        <v>-237.32499999999996</v>
      </c>
    </row>
    <row r="267" spans="3:7" x14ac:dyDescent="0.25">
      <c r="C267">
        <f t="shared" si="23"/>
        <v>196</v>
      </c>
      <c r="E267">
        <f t="shared" si="24"/>
        <v>2.52</v>
      </c>
      <c r="G267">
        <f t="shared" si="25"/>
        <v>-239.84499999999997</v>
      </c>
    </row>
    <row r="268" spans="3:7" x14ac:dyDescent="0.25">
      <c r="C268">
        <f t="shared" si="23"/>
        <v>197</v>
      </c>
      <c r="E268">
        <f t="shared" si="24"/>
        <v>2.5274999999999999</v>
      </c>
      <c r="G268">
        <f t="shared" si="25"/>
        <v>-242.37249999999997</v>
      </c>
    </row>
    <row r="269" spans="3:7" x14ac:dyDescent="0.25">
      <c r="C269">
        <f t="shared" si="23"/>
        <v>198</v>
      </c>
      <c r="E269">
        <f t="shared" si="24"/>
        <v>2.5350000000000001</v>
      </c>
      <c r="G269">
        <f t="shared" si="25"/>
        <v>-244.90749999999997</v>
      </c>
    </row>
    <row r="270" spans="3:7" x14ac:dyDescent="0.25">
      <c r="C270">
        <f t="shared" si="23"/>
        <v>199</v>
      </c>
      <c r="E270">
        <f t="shared" si="24"/>
        <v>2.5425</v>
      </c>
      <c r="G270">
        <f t="shared" si="25"/>
        <v>-247.44999999999996</v>
      </c>
    </row>
    <row r="271" spans="3:7" x14ac:dyDescent="0.25">
      <c r="C271">
        <f t="shared" si="23"/>
        <v>200</v>
      </c>
      <c r="E271">
        <f t="shared" si="24"/>
        <v>2.5499999999999998</v>
      </c>
      <c r="G271">
        <f t="shared" si="25"/>
        <v>-249.99999999999997</v>
      </c>
    </row>
    <row r="272" spans="3:7" x14ac:dyDescent="0.25">
      <c r="C272">
        <f t="shared" si="23"/>
        <v>201</v>
      </c>
      <c r="E272">
        <f t="shared" si="24"/>
        <v>2.5575000000000001</v>
      </c>
      <c r="G272">
        <f t="shared" si="25"/>
        <v>-252.55749999999998</v>
      </c>
    </row>
    <row r="273" spans="3:7" x14ac:dyDescent="0.25">
      <c r="C273">
        <f t="shared" ref="C273:C336" si="26">C272+1</f>
        <v>202</v>
      </c>
      <c r="E273">
        <f t="shared" ref="E273:E336" si="27">IF(C273&gt;$C$18,$C$16+(C273*$C$17),(($C$16)*$C$19)+(C273*$C$17))</f>
        <v>2.5649999999999999</v>
      </c>
      <c r="G273">
        <f t="shared" si="25"/>
        <v>-255.12249999999997</v>
      </c>
    </row>
    <row r="274" spans="3:7" x14ac:dyDescent="0.25">
      <c r="C274">
        <f t="shared" si="26"/>
        <v>203</v>
      </c>
      <c r="E274">
        <f t="shared" si="27"/>
        <v>2.5724999999999998</v>
      </c>
      <c r="G274">
        <f t="shared" ref="G274:G337" si="28">G273-E274</f>
        <v>-257.69499999999999</v>
      </c>
    </row>
    <row r="275" spans="3:7" x14ac:dyDescent="0.25">
      <c r="C275">
        <f t="shared" si="26"/>
        <v>204</v>
      </c>
      <c r="E275">
        <f t="shared" si="27"/>
        <v>2.58</v>
      </c>
      <c r="G275">
        <f t="shared" si="28"/>
        <v>-260.27499999999998</v>
      </c>
    </row>
    <row r="276" spans="3:7" x14ac:dyDescent="0.25">
      <c r="C276">
        <f t="shared" si="26"/>
        <v>205</v>
      </c>
      <c r="E276">
        <f t="shared" si="27"/>
        <v>2.5874999999999999</v>
      </c>
      <c r="G276">
        <f t="shared" si="28"/>
        <v>-262.86249999999995</v>
      </c>
    </row>
    <row r="277" spans="3:7" x14ac:dyDescent="0.25">
      <c r="C277">
        <f t="shared" si="26"/>
        <v>206</v>
      </c>
      <c r="E277">
        <f t="shared" si="27"/>
        <v>2.5949999999999998</v>
      </c>
      <c r="G277">
        <f t="shared" si="28"/>
        <v>-265.45749999999998</v>
      </c>
    </row>
    <row r="278" spans="3:7" x14ac:dyDescent="0.25">
      <c r="C278">
        <f t="shared" si="26"/>
        <v>207</v>
      </c>
      <c r="E278">
        <f t="shared" si="27"/>
        <v>2.6025</v>
      </c>
      <c r="G278">
        <f t="shared" si="28"/>
        <v>-268.06</v>
      </c>
    </row>
    <row r="279" spans="3:7" x14ac:dyDescent="0.25">
      <c r="C279">
        <f t="shared" si="26"/>
        <v>208</v>
      </c>
      <c r="E279">
        <f t="shared" si="27"/>
        <v>2.6100000000000003</v>
      </c>
      <c r="G279">
        <f t="shared" si="28"/>
        <v>-270.67</v>
      </c>
    </row>
    <row r="280" spans="3:7" x14ac:dyDescent="0.25">
      <c r="C280">
        <f t="shared" si="26"/>
        <v>209</v>
      </c>
      <c r="E280">
        <f t="shared" si="27"/>
        <v>2.6174999999999997</v>
      </c>
      <c r="G280">
        <f t="shared" si="28"/>
        <v>-273.28750000000002</v>
      </c>
    </row>
    <row r="281" spans="3:7" x14ac:dyDescent="0.25">
      <c r="C281">
        <f t="shared" si="26"/>
        <v>210</v>
      </c>
      <c r="E281">
        <f t="shared" si="27"/>
        <v>2.625</v>
      </c>
      <c r="G281">
        <f t="shared" si="28"/>
        <v>-275.91250000000002</v>
      </c>
    </row>
    <row r="282" spans="3:7" x14ac:dyDescent="0.25">
      <c r="C282">
        <f t="shared" si="26"/>
        <v>211</v>
      </c>
      <c r="E282">
        <f t="shared" si="27"/>
        <v>2.6325000000000003</v>
      </c>
      <c r="G282">
        <f t="shared" si="28"/>
        <v>-278.54500000000002</v>
      </c>
    </row>
    <row r="283" spans="3:7" x14ac:dyDescent="0.25">
      <c r="C283">
        <f t="shared" si="26"/>
        <v>212</v>
      </c>
      <c r="E283">
        <f t="shared" si="27"/>
        <v>2.6399999999999997</v>
      </c>
      <c r="G283">
        <f t="shared" si="28"/>
        <v>-281.185</v>
      </c>
    </row>
    <row r="284" spans="3:7" x14ac:dyDescent="0.25">
      <c r="C284">
        <f t="shared" si="26"/>
        <v>213</v>
      </c>
      <c r="E284">
        <f t="shared" si="27"/>
        <v>2.6475</v>
      </c>
      <c r="G284">
        <f t="shared" si="28"/>
        <v>-283.83249999999998</v>
      </c>
    </row>
    <row r="285" spans="3:7" x14ac:dyDescent="0.25">
      <c r="C285">
        <f t="shared" si="26"/>
        <v>214</v>
      </c>
      <c r="E285">
        <f t="shared" si="27"/>
        <v>2.6550000000000002</v>
      </c>
      <c r="G285">
        <f t="shared" si="28"/>
        <v>-286.48749999999995</v>
      </c>
    </row>
    <row r="286" spans="3:7" x14ac:dyDescent="0.25">
      <c r="C286">
        <f t="shared" si="26"/>
        <v>215</v>
      </c>
      <c r="E286">
        <f t="shared" si="27"/>
        <v>2.6625000000000001</v>
      </c>
      <c r="G286">
        <f t="shared" si="28"/>
        <v>-289.14999999999998</v>
      </c>
    </row>
    <row r="287" spans="3:7" x14ac:dyDescent="0.25">
      <c r="C287">
        <f t="shared" si="26"/>
        <v>216</v>
      </c>
      <c r="E287">
        <f t="shared" si="27"/>
        <v>2.67</v>
      </c>
      <c r="G287">
        <f t="shared" si="28"/>
        <v>-291.82</v>
      </c>
    </row>
    <row r="288" spans="3:7" x14ac:dyDescent="0.25">
      <c r="C288">
        <f t="shared" si="26"/>
        <v>217</v>
      </c>
      <c r="E288">
        <f t="shared" si="27"/>
        <v>2.6775000000000002</v>
      </c>
      <c r="G288">
        <f t="shared" si="28"/>
        <v>-294.4975</v>
      </c>
    </row>
    <row r="289" spans="3:7" x14ac:dyDescent="0.25">
      <c r="C289">
        <f t="shared" si="26"/>
        <v>218</v>
      </c>
      <c r="E289">
        <f t="shared" si="27"/>
        <v>2.6850000000000001</v>
      </c>
      <c r="G289">
        <f t="shared" si="28"/>
        <v>-297.1825</v>
      </c>
    </row>
    <row r="290" spans="3:7" x14ac:dyDescent="0.25">
      <c r="C290">
        <f t="shared" si="26"/>
        <v>219</v>
      </c>
      <c r="E290">
        <f t="shared" si="27"/>
        <v>2.6924999999999999</v>
      </c>
      <c r="G290">
        <f t="shared" si="28"/>
        <v>-299.875</v>
      </c>
    </row>
    <row r="291" spans="3:7" x14ac:dyDescent="0.25">
      <c r="C291">
        <f t="shared" si="26"/>
        <v>220</v>
      </c>
      <c r="E291">
        <f t="shared" si="27"/>
        <v>2.7</v>
      </c>
      <c r="G291">
        <f t="shared" si="28"/>
        <v>-302.57499999999999</v>
      </c>
    </row>
    <row r="292" spans="3:7" x14ac:dyDescent="0.25">
      <c r="C292">
        <f t="shared" si="26"/>
        <v>221</v>
      </c>
      <c r="E292">
        <f t="shared" si="27"/>
        <v>2.7075</v>
      </c>
      <c r="G292">
        <f t="shared" si="28"/>
        <v>-305.28249999999997</v>
      </c>
    </row>
    <row r="293" spans="3:7" x14ac:dyDescent="0.25">
      <c r="C293">
        <f t="shared" si="26"/>
        <v>222</v>
      </c>
      <c r="E293">
        <f t="shared" si="27"/>
        <v>2.7149999999999999</v>
      </c>
      <c r="G293">
        <f t="shared" si="28"/>
        <v>-307.99749999999995</v>
      </c>
    </row>
    <row r="294" spans="3:7" x14ac:dyDescent="0.25">
      <c r="C294">
        <f t="shared" si="26"/>
        <v>223</v>
      </c>
      <c r="E294">
        <f t="shared" si="27"/>
        <v>2.7225000000000001</v>
      </c>
      <c r="G294">
        <f t="shared" si="28"/>
        <v>-310.71999999999997</v>
      </c>
    </row>
    <row r="295" spans="3:7" x14ac:dyDescent="0.25">
      <c r="C295">
        <f t="shared" si="26"/>
        <v>224</v>
      </c>
      <c r="E295">
        <f t="shared" si="27"/>
        <v>2.73</v>
      </c>
      <c r="G295">
        <f t="shared" si="28"/>
        <v>-313.45</v>
      </c>
    </row>
    <row r="296" spans="3:7" x14ac:dyDescent="0.25">
      <c r="C296">
        <f t="shared" si="26"/>
        <v>225</v>
      </c>
      <c r="E296">
        <f t="shared" si="27"/>
        <v>2.7374999999999998</v>
      </c>
      <c r="G296">
        <f t="shared" si="28"/>
        <v>-316.1875</v>
      </c>
    </row>
    <row r="297" spans="3:7" x14ac:dyDescent="0.25">
      <c r="C297">
        <f t="shared" si="26"/>
        <v>226</v>
      </c>
      <c r="E297">
        <f t="shared" si="27"/>
        <v>2.7450000000000001</v>
      </c>
      <c r="G297">
        <f t="shared" si="28"/>
        <v>-318.9325</v>
      </c>
    </row>
    <row r="298" spans="3:7" x14ac:dyDescent="0.25">
      <c r="C298">
        <f t="shared" si="26"/>
        <v>227</v>
      </c>
      <c r="E298">
        <f t="shared" si="27"/>
        <v>2.7524999999999999</v>
      </c>
      <c r="G298">
        <f t="shared" si="28"/>
        <v>-321.685</v>
      </c>
    </row>
    <row r="299" spans="3:7" x14ac:dyDescent="0.25">
      <c r="C299">
        <f t="shared" si="26"/>
        <v>228</v>
      </c>
      <c r="E299">
        <f t="shared" si="27"/>
        <v>2.76</v>
      </c>
      <c r="G299">
        <f t="shared" si="28"/>
        <v>-324.44499999999999</v>
      </c>
    </row>
    <row r="300" spans="3:7" x14ac:dyDescent="0.25">
      <c r="C300">
        <f t="shared" si="26"/>
        <v>229</v>
      </c>
      <c r="E300">
        <f t="shared" si="27"/>
        <v>2.7675000000000001</v>
      </c>
      <c r="G300">
        <f t="shared" si="28"/>
        <v>-327.21249999999998</v>
      </c>
    </row>
    <row r="301" spans="3:7" x14ac:dyDescent="0.25">
      <c r="C301">
        <f t="shared" si="26"/>
        <v>230</v>
      </c>
      <c r="E301">
        <f t="shared" si="27"/>
        <v>2.7749999999999999</v>
      </c>
      <c r="G301">
        <f t="shared" si="28"/>
        <v>-329.98749999999995</v>
      </c>
    </row>
    <row r="302" spans="3:7" x14ac:dyDescent="0.25">
      <c r="C302">
        <f t="shared" si="26"/>
        <v>231</v>
      </c>
      <c r="E302">
        <f t="shared" si="27"/>
        <v>2.7824999999999998</v>
      </c>
      <c r="G302">
        <f t="shared" si="28"/>
        <v>-332.77</v>
      </c>
    </row>
    <row r="303" spans="3:7" x14ac:dyDescent="0.25">
      <c r="C303">
        <f t="shared" si="26"/>
        <v>232</v>
      </c>
      <c r="E303">
        <f t="shared" si="27"/>
        <v>2.79</v>
      </c>
      <c r="G303">
        <f t="shared" si="28"/>
        <v>-335.56</v>
      </c>
    </row>
    <row r="304" spans="3:7" x14ac:dyDescent="0.25">
      <c r="C304">
        <f t="shared" si="26"/>
        <v>233</v>
      </c>
      <c r="E304">
        <f t="shared" si="27"/>
        <v>2.7974999999999999</v>
      </c>
      <c r="G304">
        <f t="shared" si="28"/>
        <v>-338.35750000000002</v>
      </c>
    </row>
    <row r="305" spans="3:7" x14ac:dyDescent="0.25">
      <c r="C305">
        <f t="shared" si="26"/>
        <v>234</v>
      </c>
      <c r="E305">
        <f t="shared" si="27"/>
        <v>2.8049999999999997</v>
      </c>
      <c r="G305">
        <f t="shared" si="28"/>
        <v>-341.16250000000002</v>
      </c>
    </row>
    <row r="306" spans="3:7" x14ac:dyDescent="0.25">
      <c r="C306">
        <f t="shared" si="26"/>
        <v>235</v>
      </c>
      <c r="E306">
        <f t="shared" si="27"/>
        <v>2.8125</v>
      </c>
      <c r="G306">
        <f t="shared" si="28"/>
        <v>-343.97500000000002</v>
      </c>
    </row>
    <row r="307" spans="3:7" x14ac:dyDescent="0.25">
      <c r="C307">
        <f t="shared" si="26"/>
        <v>236</v>
      </c>
      <c r="E307">
        <f t="shared" si="27"/>
        <v>2.8200000000000003</v>
      </c>
      <c r="G307">
        <f t="shared" si="28"/>
        <v>-346.79500000000002</v>
      </c>
    </row>
    <row r="308" spans="3:7" x14ac:dyDescent="0.25">
      <c r="C308">
        <f t="shared" si="26"/>
        <v>237</v>
      </c>
      <c r="E308">
        <f t="shared" si="27"/>
        <v>2.8274999999999997</v>
      </c>
      <c r="G308">
        <f t="shared" si="28"/>
        <v>-349.6225</v>
      </c>
    </row>
    <row r="309" spans="3:7" x14ac:dyDescent="0.25">
      <c r="C309">
        <f t="shared" si="26"/>
        <v>238</v>
      </c>
      <c r="E309">
        <f t="shared" si="27"/>
        <v>2.835</v>
      </c>
      <c r="G309">
        <f t="shared" si="28"/>
        <v>-352.45749999999998</v>
      </c>
    </row>
    <row r="310" spans="3:7" x14ac:dyDescent="0.25">
      <c r="C310">
        <f t="shared" si="26"/>
        <v>239</v>
      </c>
      <c r="E310">
        <f t="shared" si="27"/>
        <v>2.8425000000000002</v>
      </c>
      <c r="G310">
        <f t="shared" si="28"/>
        <v>-355.29999999999995</v>
      </c>
    </row>
    <row r="311" spans="3:7" x14ac:dyDescent="0.25">
      <c r="C311">
        <f t="shared" si="26"/>
        <v>240</v>
      </c>
      <c r="E311">
        <f t="shared" si="27"/>
        <v>2.8499999999999996</v>
      </c>
      <c r="G311">
        <f t="shared" si="28"/>
        <v>-358.15</v>
      </c>
    </row>
    <row r="312" spans="3:7" x14ac:dyDescent="0.25">
      <c r="C312">
        <f t="shared" si="26"/>
        <v>241</v>
      </c>
      <c r="E312">
        <f t="shared" si="27"/>
        <v>2.8574999999999999</v>
      </c>
      <c r="G312">
        <f t="shared" si="28"/>
        <v>-361.00749999999999</v>
      </c>
    </row>
    <row r="313" spans="3:7" x14ac:dyDescent="0.25">
      <c r="C313">
        <f t="shared" si="26"/>
        <v>242</v>
      </c>
      <c r="E313">
        <f t="shared" si="27"/>
        <v>2.8650000000000002</v>
      </c>
      <c r="G313">
        <f t="shared" si="28"/>
        <v>-363.8725</v>
      </c>
    </row>
    <row r="314" spans="3:7" x14ac:dyDescent="0.25">
      <c r="C314">
        <f t="shared" si="26"/>
        <v>243</v>
      </c>
      <c r="E314">
        <f t="shared" si="27"/>
        <v>2.8725000000000001</v>
      </c>
      <c r="G314">
        <f t="shared" si="28"/>
        <v>-366.745</v>
      </c>
    </row>
    <row r="315" spans="3:7" x14ac:dyDescent="0.25">
      <c r="C315">
        <f t="shared" si="26"/>
        <v>244</v>
      </c>
      <c r="E315">
        <f t="shared" si="27"/>
        <v>2.88</v>
      </c>
      <c r="G315">
        <f t="shared" si="28"/>
        <v>-369.625</v>
      </c>
    </row>
    <row r="316" spans="3:7" x14ac:dyDescent="0.25">
      <c r="C316">
        <f t="shared" si="26"/>
        <v>245</v>
      </c>
      <c r="E316">
        <f t="shared" si="27"/>
        <v>2.8875000000000002</v>
      </c>
      <c r="G316">
        <f t="shared" si="28"/>
        <v>-372.51249999999999</v>
      </c>
    </row>
    <row r="317" spans="3:7" x14ac:dyDescent="0.25">
      <c r="C317">
        <f t="shared" si="26"/>
        <v>246</v>
      </c>
      <c r="E317">
        <f t="shared" si="27"/>
        <v>2.895</v>
      </c>
      <c r="G317">
        <f t="shared" si="28"/>
        <v>-375.40749999999997</v>
      </c>
    </row>
    <row r="318" spans="3:7" x14ac:dyDescent="0.25">
      <c r="C318">
        <f t="shared" si="26"/>
        <v>247</v>
      </c>
      <c r="E318">
        <f t="shared" si="27"/>
        <v>2.9024999999999999</v>
      </c>
      <c r="G318">
        <f t="shared" si="28"/>
        <v>-378.30999999999995</v>
      </c>
    </row>
    <row r="319" spans="3:7" x14ac:dyDescent="0.25">
      <c r="C319">
        <f t="shared" si="26"/>
        <v>248</v>
      </c>
      <c r="E319">
        <f t="shared" si="27"/>
        <v>2.91</v>
      </c>
      <c r="G319">
        <f t="shared" si="28"/>
        <v>-381.21999999999997</v>
      </c>
    </row>
    <row r="320" spans="3:7" x14ac:dyDescent="0.25">
      <c r="C320">
        <f t="shared" si="26"/>
        <v>249</v>
      </c>
      <c r="E320">
        <f t="shared" si="27"/>
        <v>2.9175</v>
      </c>
      <c r="G320">
        <f t="shared" si="28"/>
        <v>-384.13749999999999</v>
      </c>
    </row>
    <row r="321" spans="3:7" x14ac:dyDescent="0.25">
      <c r="C321">
        <f t="shared" si="26"/>
        <v>250</v>
      </c>
      <c r="E321">
        <f t="shared" si="27"/>
        <v>2.9249999999999998</v>
      </c>
      <c r="G321">
        <f t="shared" si="28"/>
        <v>-387.0625</v>
      </c>
    </row>
    <row r="322" spans="3:7" x14ac:dyDescent="0.25">
      <c r="C322">
        <f t="shared" si="26"/>
        <v>251</v>
      </c>
      <c r="E322">
        <f t="shared" si="27"/>
        <v>2.9325000000000001</v>
      </c>
      <c r="G322">
        <f t="shared" si="28"/>
        <v>-389.995</v>
      </c>
    </row>
    <row r="323" spans="3:7" x14ac:dyDescent="0.25">
      <c r="C323">
        <f t="shared" si="26"/>
        <v>252</v>
      </c>
      <c r="E323">
        <f t="shared" si="27"/>
        <v>2.94</v>
      </c>
      <c r="G323">
        <f t="shared" si="28"/>
        <v>-392.935</v>
      </c>
    </row>
    <row r="324" spans="3:7" x14ac:dyDescent="0.25">
      <c r="C324">
        <f t="shared" si="26"/>
        <v>253</v>
      </c>
      <c r="E324">
        <f t="shared" si="27"/>
        <v>2.9474999999999998</v>
      </c>
      <c r="G324">
        <f t="shared" si="28"/>
        <v>-395.88249999999999</v>
      </c>
    </row>
    <row r="325" spans="3:7" x14ac:dyDescent="0.25">
      <c r="C325">
        <f t="shared" si="26"/>
        <v>254</v>
      </c>
      <c r="E325">
        <f t="shared" si="27"/>
        <v>2.9550000000000001</v>
      </c>
      <c r="G325">
        <f t="shared" si="28"/>
        <v>-398.83749999999998</v>
      </c>
    </row>
    <row r="326" spans="3:7" x14ac:dyDescent="0.25">
      <c r="C326">
        <f t="shared" si="26"/>
        <v>255</v>
      </c>
      <c r="E326">
        <f t="shared" si="27"/>
        <v>2.9624999999999999</v>
      </c>
      <c r="G326">
        <f t="shared" si="28"/>
        <v>-401.79999999999995</v>
      </c>
    </row>
    <row r="327" spans="3:7" x14ac:dyDescent="0.25">
      <c r="C327">
        <f t="shared" si="26"/>
        <v>256</v>
      </c>
      <c r="E327">
        <f t="shared" si="27"/>
        <v>2.9699999999999998</v>
      </c>
      <c r="G327">
        <f t="shared" si="28"/>
        <v>-404.77</v>
      </c>
    </row>
    <row r="328" spans="3:7" x14ac:dyDescent="0.25">
      <c r="C328">
        <f t="shared" si="26"/>
        <v>257</v>
      </c>
      <c r="E328">
        <f t="shared" si="27"/>
        <v>2.9775</v>
      </c>
      <c r="G328">
        <f t="shared" si="28"/>
        <v>-407.7475</v>
      </c>
    </row>
    <row r="329" spans="3:7" x14ac:dyDescent="0.25">
      <c r="C329">
        <f t="shared" si="26"/>
        <v>258</v>
      </c>
      <c r="E329">
        <f t="shared" si="27"/>
        <v>2.9849999999999999</v>
      </c>
      <c r="G329">
        <f t="shared" si="28"/>
        <v>-410.73250000000002</v>
      </c>
    </row>
    <row r="330" spans="3:7" x14ac:dyDescent="0.25">
      <c r="C330">
        <f t="shared" si="26"/>
        <v>259</v>
      </c>
      <c r="E330">
        <f t="shared" si="27"/>
        <v>2.9924999999999997</v>
      </c>
      <c r="G330">
        <f t="shared" si="28"/>
        <v>-413.72500000000002</v>
      </c>
    </row>
    <row r="331" spans="3:7" x14ac:dyDescent="0.25">
      <c r="C331">
        <f t="shared" si="26"/>
        <v>260</v>
      </c>
      <c r="E331">
        <f t="shared" si="27"/>
        <v>3</v>
      </c>
      <c r="G331">
        <f t="shared" si="28"/>
        <v>-416.72500000000002</v>
      </c>
    </row>
    <row r="332" spans="3:7" x14ac:dyDescent="0.25">
      <c r="C332">
        <f t="shared" si="26"/>
        <v>261</v>
      </c>
      <c r="E332">
        <f t="shared" si="27"/>
        <v>3.0075000000000003</v>
      </c>
      <c r="G332">
        <f t="shared" si="28"/>
        <v>-419.73250000000002</v>
      </c>
    </row>
    <row r="333" spans="3:7" x14ac:dyDescent="0.25">
      <c r="C333">
        <f t="shared" si="26"/>
        <v>262</v>
      </c>
      <c r="E333">
        <f t="shared" si="27"/>
        <v>3.0149999999999997</v>
      </c>
      <c r="G333">
        <f t="shared" si="28"/>
        <v>-422.7475</v>
      </c>
    </row>
    <row r="334" spans="3:7" x14ac:dyDescent="0.25">
      <c r="C334">
        <f t="shared" si="26"/>
        <v>263</v>
      </c>
      <c r="E334">
        <f t="shared" si="27"/>
        <v>3.0225</v>
      </c>
      <c r="G334">
        <f t="shared" si="28"/>
        <v>-425.77</v>
      </c>
    </row>
    <row r="335" spans="3:7" x14ac:dyDescent="0.25">
      <c r="C335">
        <f t="shared" si="26"/>
        <v>264</v>
      </c>
      <c r="E335">
        <f t="shared" si="27"/>
        <v>3.0300000000000002</v>
      </c>
      <c r="G335">
        <f t="shared" si="28"/>
        <v>-428.79999999999995</v>
      </c>
    </row>
    <row r="336" spans="3:7" x14ac:dyDescent="0.25">
      <c r="C336">
        <f t="shared" si="26"/>
        <v>265</v>
      </c>
      <c r="E336">
        <f t="shared" si="27"/>
        <v>3.0374999999999996</v>
      </c>
      <c r="G336">
        <f t="shared" si="28"/>
        <v>-431.83749999999998</v>
      </c>
    </row>
    <row r="337" spans="3:7" x14ac:dyDescent="0.25">
      <c r="C337">
        <f t="shared" ref="C337:C400" si="29">C336+1</f>
        <v>266</v>
      </c>
      <c r="E337">
        <f t="shared" ref="E337:E400" si="30">IF(C337&gt;$C$18,$C$16+(C337*$C$17),(($C$16)*$C$19)+(C337*$C$17))</f>
        <v>3.0449999999999999</v>
      </c>
      <c r="G337">
        <f t="shared" si="28"/>
        <v>-434.88249999999999</v>
      </c>
    </row>
    <row r="338" spans="3:7" x14ac:dyDescent="0.25">
      <c r="C338">
        <f t="shared" si="29"/>
        <v>267</v>
      </c>
      <c r="E338">
        <f t="shared" si="30"/>
        <v>3.0525000000000002</v>
      </c>
      <c r="G338">
        <f t="shared" ref="G338:G401" si="31">G337-E338</f>
        <v>-437.935</v>
      </c>
    </row>
    <row r="339" spans="3:7" x14ac:dyDescent="0.25">
      <c r="C339">
        <f t="shared" si="29"/>
        <v>268</v>
      </c>
      <c r="E339">
        <f t="shared" si="30"/>
        <v>3.0599999999999996</v>
      </c>
      <c r="G339">
        <f t="shared" si="31"/>
        <v>-440.995</v>
      </c>
    </row>
    <row r="340" spans="3:7" x14ac:dyDescent="0.25">
      <c r="C340">
        <f t="shared" si="29"/>
        <v>269</v>
      </c>
      <c r="E340">
        <f t="shared" si="30"/>
        <v>3.0674999999999999</v>
      </c>
      <c r="G340">
        <f t="shared" si="31"/>
        <v>-444.0625</v>
      </c>
    </row>
    <row r="341" spans="3:7" x14ac:dyDescent="0.25">
      <c r="C341">
        <f t="shared" si="29"/>
        <v>270</v>
      </c>
      <c r="E341">
        <f t="shared" si="30"/>
        <v>3.0750000000000002</v>
      </c>
      <c r="G341">
        <f t="shared" si="31"/>
        <v>-447.13749999999999</v>
      </c>
    </row>
    <row r="342" spans="3:7" x14ac:dyDescent="0.25">
      <c r="C342">
        <f t="shared" si="29"/>
        <v>271</v>
      </c>
      <c r="E342">
        <f t="shared" si="30"/>
        <v>3.0824999999999996</v>
      </c>
      <c r="G342">
        <f t="shared" si="31"/>
        <v>-450.21999999999997</v>
      </c>
    </row>
    <row r="343" spans="3:7" x14ac:dyDescent="0.25">
      <c r="C343">
        <f t="shared" si="29"/>
        <v>272</v>
      </c>
      <c r="E343">
        <f t="shared" si="30"/>
        <v>3.09</v>
      </c>
      <c r="G343">
        <f t="shared" si="31"/>
        <v>-453.30999999999995</v>
      </c>
    </row>
    <row r="344" spans="3:7" x14ac:dyDescent="0.25">
      <c r="C344">
        <f t="shared" si="29"/>
        <v>273</v>
      </c>
      <c r="E344">
        <f t="shared" si="30"/>
        <v>3.0975000000000001</v>
      </c>
      <c r="G344">
        <f t="shared" si="31"/>
        <v>-456.40749999999997</v>
      </c>
    </row>
    <row r="345" spans="3:7" x14ac:dyDescent="0.25">
      <c r="C345">
        <f t="shared" si="29"/>
        <v>274</v>
      </c>
      <c r="E345">
        <f t="shared" si="30"/>
        <v>3.1049999999999995</v>
      </c>
      <c r="G345">
        <f t="shared" si="31"/>
        <v>-459.51249999999999</v>
      </c>
    </row>
    <row r="346" spans="3:7" x14ac:dyDescent="0.25">
      <c r="C346">
        <f t="shared" si="29"/>
        <v>275</v>
      </c>
      <c r="E346">
        <f t="shared" si="30"/>
        <v>3.1124999999999998</v>
      </c>
      <c r="G346">
        <f t="shared" si="31"/>
        <v>-462.625</v>
      </c>
    </row>
    <row r="347" spans="3:7" x14ac:dyDescent="0.25">
      <c r="C347">
        <f t="shared" si="29"/>
        <v>276</v>
      </c>
      <c r="E347">
        <f t="shared" si="30"/>
        <v>3.12</v>
      </c>
      <c r="G347">
        <f t="shared" si="31"/>
        <v>-465.745</v>
      </c>
    </row>
    <row r="348" spans="3:7" x14ac:dyDescent="0.25">
      <c r="C348">
        <f t="shared" si="29"/>
        <v>277</v>
      </c>
      <c r="E348">
        <f t="shared" si="30"/>
        <v>3.1275000000000004</v>
      </c>
      <c r="G348">
        <f t="shared" si="31"/>
        <v>-468.8725</v>
      </c>
    </row>
    <row r="349" spans="3:7" x14ac:dyDescent="0.25">
      <c r="C349">
        <f t="shared" si="29"/>
        <v>278</v>
      </c>
      <c r="E349">
        <f t="shared" si="30"/>
        <v>3.1349999999999998</v>
      </c>
      <c r="G349">
        <f t="shared" si="31"/>
        <v>-472.00749999999999</v>
      </c>
    </row>
    <row r="350" spans="3:7" x14ac:dyDescent="0.25">
      <c r="C350">
        <f t="shared" si="29"/>
        <v>279</v>
      </c>
      <c r="E350">
        <f t="shared" si="30"/>
        <v>3.1425000000000001</v>
      </c>
      <c r="G350">
        <f t="shared" si="31"/>
        <v>-475.15</v>
      </c>
    </row>
    <row r="351" spans="3:7" x14ac:dyDescent="0.25">
      <c r="C351">
        <f t="shared" si="29"/>
        <v>280</v>
      </c>
      <c r="E351">
        <f t="shared" si="30"/>
        <v>3.1500000000000004</v>
      </c>
      <c r="G351">
        <f t="shared" si="31"/>
        <v>-478.29999999999995</v>
      </c>
    </row>
    <row r="352" spans="3:7" x14ac:dyDescent="0.25">
      <c r="C352">
        <f t="shared" si="29"/>
        <v>281</v>
      </c>
      <c r="E352">
        <f t="shared" si="30"/>
        <v>3.1574999999999998</v>
      </c>
      <c r="G352">
        <f t="shared" si="31"/>
        <v>-481.45749999999998</v>
      </c>
    </row>
    <row r="353" spans="3:7" x14ac:dyDescent="0.25">
      <c r="C353">
        <f t="shared" si="29"/>
        <v>282</v>
      </c>
      <c r="E353">
        <f t="shared" si="30"/>
        <v>3.165</v>
      </c>
      <c r="G353">
        <f t="shared" si="31"/>
        <v>-484.6225</v>
      </c>
    </row>
    <row r="354" spans="3:7" x14ac:dyDescent="0.25">
      <c r="C354">
        <f t="shared" si="29"/>
        <v>283</v>
      </c>
      <c r="E354">
        <f t="shared" si="30"/>
        <v>3.1725000000000003</v>
      </c>
      <c r="G354">
        <f t="shared" si="31"/>
        <v>-487.79500000000002</v>
      </c>
    </row>
    <row r="355" spans="3:7" x14ac:dyDescent="0.25">
      <c r="C355">
        <f t="shared" si="29"/>
        <v>284</v>
      </c>
      <c r="E355">
        <f t="shared" si="30"/>
        <v>3.1799999999999997</v>
      </c>
      <c r="G355">
        <f t="shared" si="31"/>
        <v>-490.97500000000002</v>
      </c>
    </row>
    <row r="356" spans="3:7" x14ac:dyDescent="0.25">
      <c r="C356">
        <f t="shared" si="29"/>
        <v>285</v>
      </c>
      <c r="E356">
        <f t="shared" si="30"/>
        <v>3.1875</v>
      </c>
      <c r="G356">
        <f t="shared" si="31"/>
        <v>-494.16250000000002</v>
      </c>
    </row>
    <row r="357" spans="3:7" x14ac:dyDescent="0.25">
      <c r="C357">
        <f t="shared" si="29"/>
        <v>286</v>
      </c>
      <c r="E357">
        <f t="shared" si="30"/>
        <v>3.1950000000000003</v>
      </c>
      <c r="G357">
        <f t="shared" si="31"/>
        <v>-497.35750000000002</v>
      </c>
    </row>
    <row r="358" spans="3:7" x14ac:dyDescent="0.25">
      <c r="C358">
        <f t="shared" si="29"/>
        <v>287</v>
      </c>
      <c r="E358">
        <f t="shared" si="30"/>
        <v>3.2024999999999997</v>
      </c>
      <c r="G358">
        <f t="shared" si="31"/>
        <v>-500.56</v>
      </c>
    </row>
    <row r="359" spans="3:7" x14ac:dyDescent="0.25">
      <c r="C359">
        <f t="shared" si="29"/>
        <v>288</v>
      </c>
      <c r="E359">
        <f t="shared" si="30"/>
        <v>3.21</v>
      </c>
      <c r="G359">
        <f t="shared" si="31"/>
        <v>-503.77</v>
      </c>
    </row>
    <row r="360" spans="3:7" x14ac:dyDescent="0.25">
      <c r="C360">
        <f t="shared" si="29"/>
        <v>289</v>
      </c>
      <c r="E360">
        <f t="shared" si="30"/>
        <v>3.2175000000000002</v>
      </c>
      <c r="G360">
        <f t="shared" si="31"/>
        <v>-506.98749999999995</v>
      </c>
    </row>
    <row r="361" spans="3:7" x14ac:dyDescent="0.25">
      <c r="C361">
        <f t="shared" si="29"/>
        <v>290</v>
      </c>
      <c r="E361">
        <f t="shared" si="30"/>
        <v>3.2249999999999996</v>
      </c>
      <c r="G361">
        <f t="shared" si="31"/>
        <v>-510.21249999999998</v>
      </c>
    </row>
    <row r="362" spans="3:7" x14ac:dyDescent="0.25">
      <c r="C362">
        <f t="shared" si="29"/>
        <v>291</v>
      </c>
      <c r="E362">
        <f t="shared" si="30"/>
        <v>3.2324999999999999</v>
      </c>
      <c r="G362">
        <f t="shared" si="31"/>
        <v>-513.44499999999994</v>
      </c>
    </row>
    <row r="363" spans="3:7" x14ac:dyDescent="0.25">
      <c r="C363">
        <f t="shared" si="29"/>
        <v>292</v>
      </c>
      <c r="E363">
        <f t="shared" si="30"/>
        <v>3.24</v>
      </c>
      <c r="G363">
        <f t="shared" si="31"/>
        <v>-516.68499999999995</v>
      </c>
    </row>
    <row r="364" spans="3:7" x14ac:dyDescent="0.25">
      <c r="C364">
        <f t="shared" si="29"/>
        <v>293</v>
      </c>
      <c r="E364">
        <f t="shared" si="30"/>
        <v>3.2474999999999996</v>
      </c>
      <c r="G364">
        <f t="shared" si="31"/>
        <v>-519.93249999999989</v>
      </c>
    </row>
    <row r="365" spans="3:7" x14ac:dyDescent="0.25">
      <c r="C365">
        <f t="shared" si="29"/>
        <v>294</v>
      </c>
      <c r="E365">
        <f t="shared" si="30"/>
        <v>3.2549999999999999</v>
      </c>
      <c r="G365">
        <f t="shared" si="31"/>
        <v>-523.18749999999989</v>
      </c>
    </row>
    <row r="366" spans="3:7" x14ac:dyDescent="0.25">
      <c r="C366">
        <f t="shared" si="29"/>
        <v>295</v>
      </c>
      <c r="E366">
        <f t="shared" si="30"/>
        <v>3.2625000000000002</v>
      </c>
      <c r="G366">
        <f t="shared" si="31"/>
        <v>-526.44999999999993</v>
      </c>
    </row>
    <row r="367" spans="3:7" x14ac:dyDescent="0.25">
      <c r="C367">
        <f t="shared" si="29"/>
        <v>296</v>
      </c>
      <c r="E367">
        <f t="shared" si="30"/>
        <v>3.2699999999999996</v>
      </c>
      <c r="G367">
        <f t="shared" si="31"/>
        <v>-529.71999999999991</v>
      </c>
    </row>
    <row r="368" spans="3:7" x14ac:dyDescent="0.25">
      <c r="C368">
        <f t="shared" si="29"/>
        <v>297</v>
      </c>
      <c r="E368">
        <f t="shared" si="30"/>
        <v>3.2774999999999999</v>
      </c>
      <c r="G368">
        <f t="shared" si="31"/>
        <v>-532.99749999999995</v>
      </c>
    </row>
    <row r="369" spans="3:7" x14ac:dyDescent="0.25">
      <c r="C369">
        <f t="shared" si="29"/>
        <v>298</v>
      </c>
      <c r="E369">
        <f t="shared" si="30"/>
        <v>3.2850000000000001</v>
      </c>
      <c r="G369">
        <f t="shared" si="31"/>
        <v>-536.28249999999991</v>
      </c>
    </row>
    <row r="370" spans="3:7" x14ac:dyDescent="0.25">
      <c r="C370">
        <f t="shared" si="29"/>
        <v>299</v>
      </c>
      <c r="E370">
        <f t="shared" si="30"/>
        <v>3.2924999999999995</v>
      </c>
      <c r="G370">
        <f t="shared" si="31"/>
        <v>-539.57499999999993</v>
      </c>
    </row>
    <row r="371" spans="3:7" x14ac:dyDescent="0.25">
      <c r="C371">
        <f t="shared" si="29"/>
        <v>300</v>
      </c>
      <c r="E371">
        <f t="shared" si="30"/>
        <v>3.3</v>
      </c>
      <c r="G371">
        <f t="shared" si="31"/>
        <v>-542.87499999999989</v>
      </c>
    </row>
    <row r="372" spans="3:7" x14ac:dyDescent="0.25">
      <c r="C372">
        <f t="shared" si="29"/>
        <v>301</v>
      </c>
      <c r="E372">
        <f t="shared" si="30"/>
        <v>3.3075000000000001</v>
      </c>
      <c r="G372">
        <f t="shared" si="31"/>
        <v>-546.18249999999989</v>
      </c>
    </row>
    <row r="373" spans="3:7" x14ac:dyDescent="0.25">
      <c r="C373">
        <f t="shared" si="29"/>
        <v>302</v>
      </c>
      <c r="E373">
        <f t="shared" si="30"/>
        <v>3.3150000000000004</v>
      </c>
      <c r="G373">
        <f t="shared" si="31"/>
        <v>-549.49749999999995</v>
      </c>
    </row>
    <row r="374" spans="3:7" x14ac:dyDescent="0.25">
      <c r="C374">
        <f t="shared" si="29"/>
        <v>303</v>
      </c>
      <c r="E374">
        <f t="shared" si="30"/>
        <v>3.3224999999999998</v>
      </c>
      <c r="G374">
        <f t="shared" si="31"/>
        <v>-552.81999999999994</v>
      </c>
    </row>
    <row r="375" spans="3:7" x14ac:dyDescent="0.25">
      <c r="C375">
        <f t="shared" si="29"/>
        <v>304</v>
      </c>
      <c r="E375">
        <f t="shared" si="30"/>
        <v>3.33</v>
      </c>
      <c r="G375">
        <f t="shared" si="31"/>
        <v>-556.15</v>
      </c>
    </row>
    <row r="376" spans="3:7" x14ac:dyDescent="0.25">
      <c r="C376">
        <f t="shared" si="29"/>
        <v>305</v>
      </c>
      <c r="E376">
        <f t="shared" si="30"/>
        <v>3.3375000000000004</v>
      </c>
      <c r="G376">
        <f t="shared" si="31"/>
        <v>-559.48749999999995</v>
      </c>
    </row>
    <row r="377" spans="3:7" x14ac:dyDescent="0.25">
      <c r="C377">
        <f t="shared" si="29"/>
        <v>306</v>
      </c>
      <c r="E377">
        <f t="shared" si="30"/>
        <v>3.3449999999999998</v>
      </c>
      <c r="G377">
        <f t="shared" si="31"/>
        <v>-562.83249999999998</v>
      </c>
    </row>
    <row r="378" spans="3:7" x14ac:dyDescent="0.25">
      <c r="C378">
        <f t="shared" si="29"/>
        <v>307</v>
      </c>
      <c r="E378">
        <f t="shared" si="30"/>
        <v>3.3525</v>
      </c>
      <c r="G378">
        <f t="shared" si="31"/>
        <v>-566.18499999999995</v>
      </c>
    </row>
    <row r="379" spans="3:7" x14ac:dyDescent="0.25">
      <c r="C379">
        <f t="shared" si="29"/>
        <v>308</v>
      </c>
      <c r="E379">
        <f t="shared" si="30"/>
        <v>3.3600000000000003</v>
      </c>
      <c r="G379">
        <f t="shared" si="31"/>
        <v>-569.54499999999996</v>
      </c>
    </row>
    <row r="380" spans="3:7" x14ac:dyDescent="0.25">
      <c r="C380">
        <f t="shared" si="29"/>
        <v>309</v>
      </c>
      <c r="E380">
        <f t="shared" si="30"/>
        <v>3.3674999999999997</v>
      </c>
      <c r="G380">
        <f t="shared" si="31"/>
        <v>-572.91249999999991</v>
      </c>
    </row>
    <row r="381" spans="3:7" x14ac:dyDescent="0.25">
      <c r="C381">
        <f t="shared" si="29"/>
        <v>310</v>
      </c>
      <c r="E381">
        <f t="shared" si="30"/>
        <v>3.375</v>
      </c>
      <c r="G381">
        <f t="shared" si="31"/>
        <v>-576.28749999999991</v>
      </c>
    </row>
    <row r="382" spans="3:7" x14ac:dyDescent="0.25">
      <c r="C382">
        <f t="shared" si="29"/>
        <v>311</v>
      </c>
      <c r="E382">
        <f t="shared" si="30"/>
        <v>3.3825000000000003</v>
      </c>
      <c r="G382">
        <f t="shared" si="31"/>
        <v>-579.66999999999996</v>
      </c>
    </row>
    <row r="383" spans="3:7" x14ac:dyDescent="0.25">
      <c r="C383">
        <f t="shared" si="29"/>
        <v>312</v>
      </c>
      <c r="E383">
        <f t="shared" si="30"/>
        <v>3.3899999999999997</v>
      </c>
      <c r="G383">
        <f t="shared" si="31"/>
        <v>-583.05999999999995</v>
      </c>
    </row>
    <row r="384" spans="3:7" x14ac:dyDescent="0.25">
      <c r="C384">
        <f t="shared" si="29"/>
        <v>313</v>
      </c>
      <c r="E384">
        <f t="shared" si="30"/>
        <v>3.3975</v>
      </c>
      <c r="G384">
        <f t="shared" si="31"/>
        <v>-586.45749999999998</v>
      </c>
    </row>
    <row r="385" spans="3:7" x14ac:dyDescent="0.25">
      <c r="C385">
        <f t="shared" si="29"/>
        <v>314</v>
      </c>
      <c r="E385">
        <f t="shared" si="30"/>
        <v>3.4050000000000002</v>
      </c>
      <c r="G385">
        <f t="shared" si="31"/>
        <v>-589.86249999999995</v>
      </c>
    </row>
    <row r="386" spans="3:7" x14ac:dyDescent="0.25">
      <c r="C386">
        <f t="shared" si="29"/>
        <v>315</v>
      </c>
      <c r="E386">
        <f t="shared" si="30"/>
        <v>3.4124999999999996</v>
      </c>
      <c r="G386">
        <f t="shared" si="31"/>
        <v>-593.27499999999998</v>
      </c>
    </row>
    <row r="387" spans="3:7" x14ac:dyDescent="0.25">
      <c r="C387">
        <f t="shared" si="29"/>
        <v>316</v>
      </c>
      <c r="E387">
        <f t="shared" si="30"/>
        <v>3.42</v>
      </c>
      <c r="G387">
        <f t="shared" si="31"/>
        <v>-596.69499999999994</v>
      </c>
    </row>
    <row r="388" spans="3:7" x14ac:dyDescent="0.25">
      <c r="C388">
        <f t="shared" si="29"/>
        <v>317</v>
      </c>
      <c r="E388">
        <f t="shared" si="30"/>
        <v>3.4275000000000002</v>
      </c>
      <c r="G388">
        <f t="shared" si="31"/>
        <v>-600.12249999999995</v>
      </c>
    </row>
    <row r="389" spans="3:7" x14ac:dyDescent="0.25">
      <c r="C389">
        <f t="shared" si="29"/>
        <v>318</v>
      </c>
      <c r="E389">
        <f t="shared" si="30"/>
        <v>3.4349999999999996</v>
      </c>
      <c r="G389">
        <f t="shared" si="31"/>
        <v>-603.55749999999989</v>
      </c>
    </row>
    <row r="390" spans="3:7" x14ac:dyDescent="0.25">
      <c r="C390">
        <f t="shared" si="29"/>
        <v>319</v>
      </c>
      <c r="E390">
        <f t="shared" si="30"/>
        <v>3.4424999999999999</v>
      </c>
      <c r="G390">
        <f t="shared" si="31"/>
        <v>-606.99999999999989</v>
      </c>
    </row>
    <row r="391" spans="3:7" x14ac:dyDescent="0.25">
      <c r="C391">
        <f t="shared" si="29"/>
        <v>320</v>
      </c>
      <c r="E391">
        <f t="shared" si="30"/>
        <v>3.45</v>
      </c>
      <c r="G391">
        <f t="shared" si="31"/>
        <v>-610.44999999999993</v>
      </c>
    </row>
    <row r="392" spans="3:7" x14ac:dyDescent="0.25">
      <c r="C392">
        <f t="shared" si="29"/>
        <v>321</v>
      </c>
      <c r="E392">
        <f t="shared" si="30"/>
        <v>3.4574999999999996</v>
      </c>
      <c r="G392">
        <f t="shared" si="31"/>
        <v>-613.90749999999991</v>
      </c>
    </row>
    <row r="393" spans="3:7" x14ac:dyDescent="0.25">
      <c r="C393">
        <f t="shared" si="29"/>
        <v>322</v>
      </c>
      <c r="E393">
        <f t="shared" si="30"/>
        <v>3.4649999999999999</v>
      </c>
      <c r="G393">
        <f t="shared" si="31"/>
        <v>-617.37249999999995</v>
      </c>
    </row>
    <row r="394" spans="3:7" x14ac:dyDescent="0.25">
      <c r="C394">
        <f t="shared" si="29"/>
        <v>323</v>
      </c>
      <c r="E394">
        <f t="shared" si="30"/>
        <v>3.4725000000000001</v>
      </c>
      <c r="G394">
        <f t="shared" si="31"/>
        <v>-620.84499999999991</v>
      </c>
    </row>
    <row r="395" spans="3:7" x14ac:dyDescent="0.25">
      <c r="C395">
        <f t="shared" si="29"/>
        <v>324</v>
      </c>
      <c r="E395">
        <f t="shared" si="30"/>
        <v>3.4799999999999995</v>
      </c>
      <c r="G395">
        <f t="shared" si="31"/>
        <v>-624.32499999999993</v>
      </c>
    </row>
    <row r="396" spans="3:7" x14ac:dyDescent="0.25">
      <c r="C396">
        <f t="shared" si="29"/>
        <v>325</v>
      </c>
      <c r="E396">
        <f t="shared" si="30"/>
        <v>3.4874999999999998</v>
      </c>
      <c r="G396">
        <f t="shared" si="31"/>
        <v>-627.81249999999989</v>
      </c>
    </row>
    <row r="397" spans="3:7" x14ac:dyDescent="0.25">
      <c r="C397">
        <f t="shared" si="29"/>
        <v>326</v>
      </c>
      <c r="E397">
        <f t="shared" si="30"/>
        <v>3.4950000000000001</v>
      </c>
      <c r="G397">
        <f t="shared" si="31"/>
        <v>-631.30749999999989</v>
      </c>
    </row>
    <row r="398" spans="3:7" x14ac:dyDescent="0.25">
      <c r="C398">
        <f t="shared" si="29"/>
        <v>327</v>
      </c>
      <c r="E398">
        <f t="shared" si="30"/>
        <v>3.5025000000000004</v>
      </c>
      <c r="G398">
        <f t="shared" si="31"/>
        <v>-634.80999999999995</v>
      </c>
    </row>
    <row r="399" spans="3:7" x14ac:dyDescent="0.25">
      <c r="C399">
        <f t="shared" si="29"/>
        <v>328</v>
      </c>
      <c r="E399">
        <f t="shared" si="30"/>
        <v>3.51</v>
      </c>
      <c r="G399">
        <f t="shared" si="31"/>
        <v>-638.31999999999994</v>
      </c>
    </row>
    <row r="400" spans="3:7" x14ac:dyDescent="0.25">
      <c r="C400">
        <f t="shared" si="29"/>
        <v>329</v>
      </c>
      <c r="E400">
        <f t="shared" si="30"/>
        <v>3.5175000000000001</v>
      </c>
      <c r="G400">
        <f t="shared" si="31"/>
        <v>-641.83749999999998</v>
      </c>
    </row>
    <row r="401" spans="3:7" x14ac:dyDescent="0.25">
      <c r="C401">
        <f t="shared" ref="C401:C441" si="32">C400+1</f>
        <v>330</v>
      </c>
      <c r="E401">
        <f t="shared" ref="E401:E441" si="33">IF(C401&gt;$C$18,$C$16+(C401*$C$17),(($C$16)*$C$19)+(C401*$C$17))</f>
        <v>3.5250000000000004</v>
      </c>
      <c r="G401">
        <f t="shared" si="31"/>
        <v>-645.36249999999995</v>
      </c>
    </row>
    <row r="402" spans="3:7" x14ac:dyDescent="0.25">
      <c r="C402">
        <f t="shared" si="32"/>
        <v>331</v>
      </c>
      <c r="E402">
        <f t="shared" si="33"/>
        <v>3.5324999999999998</v>
      </c>
      <c r="G402">
        <f t="shared" ref="G402:G441" si="34">G401-E402</f>
        <v>-648.89499999999998</v>
      </c>
    </row>
    <row r="403" spans="3:7" x14ac:dyDescent="0.25">
      <c r="C403">
        <f t="shared" si="32"/>
        <v>332</v>
      </c>
      <c r="E403">
        <f t="shared" si="33"/>
        <v>3.54</v>
      </c>
      <c r="G403">
        <f t="shared" si="34"/>
        <v>-652.43499999999995</v>
      </c>
    </row>
    <row r="404" spans="3:7" x14ac:dyDescent="0.25">
      <c r="C404">
        <f t="shared" si="32"/>
        <v>333</v>
      </c>
      <c r="E404">
        <f t="shared" si="33"/>
        <v>3.5475000000000003</v>
      </c>
      <c r="G404">
        <f t="shared" si="34"/>
        <v>-655.98249999999996</v>
      </c>
    </row>
    <row r="405" spans="3:7" x14ac:dyDescent="0.25">
      <c r="C405">
        <f t="shared" si="32"/>
        <v>334</v>
      </c>
      <c r="E405">
        <f t="shared" si="33"/>
        <v>3.5549999999999997</v>
      </c>
      <c r="G405">
        <f t="shared" si="34"/>
        <v>-659.53749999999991</v>
      </c>
    </row>
    <row r="406" spans="3:7" x14ac:dyDescent="0.25">
      <c r="C406">
        <f t="shared" si="32"/>
        <v>335</v>
      </c>
      <c r="E406">
        <f t="shared" si="33"/>
        <v>3.5625</v>
      </c>
      <c r="G406">
        <f t="shared" si="34"/>
        <v>-663.09999999999991</v>
      </c>
    </row>
    <row r="407" spans="3:7" x14ac:dyDescent="0.25">
      <c r="C407">
        <f t="shared" si="32"/>
        <v>336</v>
      </c>
      <c r="E407">
        <f t="shared" si="33"/>
        <v>3.5700000000000003</v>
      </c>
      <c r="G407">
        <f t="shared" si="34"/>
        <v>-666.67</v>
      </c>
    </row>
    <row r="408" spans="3:7" x14ac:dyDescent="0.25">
      <c r="C408">
        <f t="shared" si="32"/>
        <v>337</v>
      </c>
      <c r="E408">
        <f t="shared" si="33"/>
        <v>3.5774999999999997</v>
      </c>
      <c r="G408">
        <f t="shared" si="34"/>
        <v>-670.24749999999995</v>
      </c>
    </row>
    <row r="409" spans="3:7" x14ac:dyDescent="0.25">
      <c r="C409">
        <f t="shared" si="32"/>
        <v>338</v>
      </c>
      <c r="E409">
        <f t="shared" si="33"/>
        <v>3.585</v>
      </c>
      <c r="G409">
        <f t="shared" si="34"/>
        <v>-673.83249999999998</v>
      </c>
    </row>
    <row r="410" spans="3:7" x14ac:dyDescent="0.25">
      <c r="C410">
        <f t="shared" si="32"/>
        <v>339</v>
      </c>
      <c r="E410">
        <f t="shared" si="33"/>
        <v>3.5925000000000002</v>
      </c>
      <c r="G410">
        <f t="shared" si="34"/>
        <v>-677.42499999999995</v>
      </c>
    </row>
    <row r="411" spans="3:7" x14ac:dyDescent="0.25">
      <c r="C411">
        <f t="shared" si="32"/>
        <v>340</v>
      </c>
      <c r="E411">
        <f t="shared" si="33"/>
        <v>3.5999999999999996</v>
      </c>
      <c r="G411">
        <f t="shared" si="34"/>
        <v>-681.02499999999998</v>
      </c>
    </row>
    <row r="412" spans="3:7" x14ac:dyDescent="0.25">
      <c r="C412">
        <f t="shared" si="32"/>
        <v>341</v>
      </c>
      <c r="E412">
        <f t="shared" si="33"/>
        <v>3.6074999999999999</v>
      </c>
      <c r="G412">
        <f t="shared" si="34"/>
        <v>-684.63249999999994</v>
      </c>
    </row>
    <row r="413" spans="3:7" x14ac:dyDescent="0.25">
      <c r="C413">
        <f t="shared" si="32"/>
        <v>342</v>
      </c>
      <c r="E413">
        <f t="shared" si="33"/>
        <v>3.6150000000000002</v>
      </c>
      <c r="G413">
        <f t="shared" si="34"/>
        <v>-688.24749999999995</v>
      </c>
    </row>
    <row r="414" spans="3:7" x14ac:dyDescent="0.25">
      <c r="C414">
        <f t="shared" si="32"/>
        <v>343</v>
      </c>
      <c r="E414">
        <f t="shared" si="33"/>
        <v>3.6224999999999996</v>
      </c>
      <c r="G414">
        <f t="shared" si="34"/>
        <v>-691.86999999999989</v>
      </c>
    </row>
    <row r="415" spans="3:7" x14ac:dyDescent="0.25">
      <c r="C415">
        <f t="shared" si="32"/>
        <v>344</v>
      </c>
      <c r="E415">
        <f t="shared" si="33"/>
        <v>3.63</v>
      </c>
      <c r="G415">
        <f t="shared" si="34"/>
        <v>-695.49999999999989</v>
      </c>
    </row>
    <row r="416" spans="3:7" x14ac:dyDescent="0.25">
      <c r="C416">
        <f t="shared" si="32"/>
        <v>345</v>
      </c>
      <c r="E416">
        <f t="shared" si="33"/>
        <v>3.6375000000000002</v>
      </c>
      <c r="G416">
        <f t="shared" si="34"/>
        <v>-699.13749999999993</v>
      </c>
    </row>
    <row r="417" spans="3:7" x14ac:dyDescent="0.25">
      <c r="C417">
        <f t="shared" si="32"/>
        <v>346</v>
      </c>
      <c r="E417">
        <f t="shared" si="33"/>
        <v>3.6449999999999996</v>
      </c>
      <c r="G417">
        <f t="shared" si="34"/>
        <v>-702.78249999999991</v>
      </c>
    </row>
    <row r="418" spans="3:7" x14ac:dyDescent="0.25">
      <c r="C418">
        <f t="shared" si="32"/>
        <v>347</v>
      </c>
      <c r="E418">
        <f t="shared" si="33"/>
        <v>3.6524999999999999</v>
      </c>
      <c r="G418">
        <f t="shared" si="34"/>
        <v>-706.43499999999995</v>
      </c>
    </row>
    <row r="419" spans="3:7" x14ac:dyDescent="0.25">
      <c r="C419">
        <f t="shared" si="32"/>
        <v>348</v>
      </c>
      <c r="E419">
        <f t="shared" si="33"/>
        <v>3.66</v>
      </c>
      <c r="G419">
        <f t="shared" si="34"/>
        <v>-710.09499999999991</v>
      </c>
    </row>
    <row r="420" spans="3:7" x14ac:dyDescent="0.25">
      <c r="C420">
        <f t="shared" si="32"/>
        <v>349</v>
      </c>
      <c r="E420">
        <f t="shared" si="33"/>
        <v>3.6674999999999995</v>
      </c>
      <c r="G420">
        <f t="shared" si="34"/>
        <v>-713.76249999999993</v>
      </c>
    </row>
    <row r="421" spans="3:7" x14ac:dyDescent="0.25">
      <c r="C421">
        <f t="shared" si="32"/>
        <v>350</v>
      </c>
      <c r="E421">
        <f t="shared" si="33"/>
        <v>3.6749999999999998</v>
      </c>
      <c r="G421">
        <f t="shared" si="34"/>
        <v>-717.43749999999989</v>
      </c>
    </row>
    <row r="422" spans="3:7" x14ac:dyDescent="0.25">
      <c r="C422">
        <f t="shared" si="32"/>
        <v>351</v>
      </c>
      <c r="E422">
        <f t="shared" si="33"/>
        <v>3.6825000000000001</v>
      </c>
      <c r="G422">
        <f t="shared" si="34"/>
        <v>-721.11999999999989</v>
      </c>
    </row>
    <row r="423" spans="3:7" x14ac:dyDescent="0.25">
      <c r="C423">
        <f t="shared" si="32"/>
        <v>352</v>
      </c>
      <c r="E423">
        <f t="shared" si="33"/>
        <v>3.6899999999999995</v>
      </c>
      <c r="G423">
        <f t="shared" si="34"/>
        <v>-724.81</v>
      </c>
    </row>
    <row r="424" spans="3:7" x14ac:dyDescent="0.25">
      <c r="C424">
        <f t="shared" si="32"/>
        <v>353</v>
      </c>
      <c r="E424">
        <f t="shared" si="33"/>
        <v>3.6974999999999998</v>
      </c>
      <c r="G424">
        <f t="shared" si="34"/>
        <v>-728.50749999999994</v>
      </c>
    </row>
    <row r="425" spans="3:7" x14ac:dyDescent="0.25">
      <c r="C425">
        <f t="shared" si="32"/>
        <v>354</v>
      </c>
      <c r="E425">
        <f t="shared" si="33"/>
        <v>3.7050000000000001</v>
      </c>
      <c r="G425">
        <f t="shared" si="34"/>
        <v>-732.21249999999998</v>
      </c>
    </row>
    <row r="426" spans="3:7" x14ac:dyDescent="0.25">
      <c r="C426">
        <f t="shared" si="32"/>
        <v>355</v>
      </c>
      <c r="E426">
        <f t="shared" si="33"/>
        <v>3.7125000000000004</v>
      </c>
      <c r="G426">
        <f t="shared" si="34"/>
        <v>-735.92499999999995</v>
      </c>
    </row>
    <row r="427" spans="3:7" x14ac:dyDescent="0.25">
      <c r="C427">
        <f t="shared" si="32"/>
        <v>356</v>
      </c>
      <c r="E427">
        <f t="shared" si="33"/>
        <v>3.7199999999999998</v>
      </c>
      <c r="G427">
        <f t="shared" si="34"/>
        <v>-739.64499999999998</v>
      </c>
    </row>
    <row r="428" spans="3:7" x14ac:dyDescent="0.25">
      <c r="C428">
        <f t="shared" si="32"/>
        <v>357</v>
      </c>
      <c r="E428">
        <f t="shared" si="33"/>
        <v>3.7275</v>
      </c>
      <c r="G428">
        <f t="shared" si="34"/>
        <v>-743.37249999999995</v>
      </c>
    </row>
    <row r="429" spans="3:7" x14ac:dyDescent="0.25">
      <c r="C429">
        <f t="shared" si="32"/>
        <v>358</v>
      </c>
      <c r="E429">
        <f t="shared" si="33"/>
        <v>3.7350000000000003</v>
      </c>
      <c r="G429">
        <f t="shared" si="34"/>
        <v>-747.10749999999996</v>
      </c>
    </row>
    <row r="430" spans="3:7" x14ac:dyDescent="0.25">
      <c r="C430">
        <f t="shared" si="32"/>
        <v>359</v>
      </c>
      <c r="E430">
        <f t="shared" si="33"/>
        <v>3.7424999999999997</v>
      </c>
      <c r="G430">
        <f t="shared" si="34"/>
        <v>-750.84999999999991</v>
      </c>
    </row>
    <row r="431" spans="3:7" x14ac:dyDescent="0.25">
      <c r="C431">
        <f t="shared" si="32"/>
        <v>360</v>
      </c>
      <c r="E431">
        <f t="shared" si="33"/>
        <v>3.75</v>
      </c>
      <c r="G431">
        <f t="shared" si="34"/>
        <v>-754.59999999999991</v>
      </c>
    </row>
    <row r="432" spans="3:7" x14ac:dyDescent="0.25">
      <c r="C432">
        <f t="shared" si="32"/>
        <v>361</v>
      </c>
      <c r="E432">
        <f t="shared" si="33"/>
        <v>3.7575000000000003</v>
      </c>
      <c r="G432">
        <f t="shared" si="34"/>
        <v>-758.35749999999996</v>
      </c>
    </row>
    <row r="433" spans="3:7" x14ac:dyDescent="0.25">
      <c r="C433">
        <f t="shared" si="32"/>
        <v>362</v>
      </c>
      <c r="E433">
        <f t="shared" si="33"/>
        <v>3.7649999999999997</v>
      </c>
      <c r="G433">
        <f t="shared" si="34"/>
        <v>-762.12249999999995</v>
      </c>
    </row>
    <row r="434" spans="3:7" x14ac:dyDescent="0.25">
      <c r="C434">
        <f t="shared" si="32"/>
        <v>363</v>
      </c>
      <c r="E434">
        <f t="shared" si="33"/>
        <v>3.7725</v>
      </c>
      <c r="G434">
        <f t="shared" si="34"/>
        <v>-765.89499999999998</v>
      </c>
    </row>
    <row r="435" spans="3:7" x14ac:dyDescent="0.25">
      <c r="C435">
        <f t="shared" si="32"/>
        <v>364</v>
      </c>
      <c r="E435">
        <f t="shared" si="33"/>
        <v>3.7800000000000002</v>
      </c>
      <c r="G435">
        <f t="shared" si="34"/>
        <v>-769.67499999999995</v>
      </c>
    </row>
    <row r="436" spans="3:7" x14ac:dyDescent="0.25">
      <c r="C436">
        <f t="shared" si="32"/>
        <v>365</v>
      </c>
      <c r="E436">
        <f t="shared" si="33"/>
        <v>3.7874999999999996</v>
      </c>
      <c r="G436">
        <f t="shared" si="34"/>
        <v>-773.46249999999998</v>
      </c>
    </row>
    <row r="437" spans="3:7" x14ac:dyDescent="0.25">
      <c r="C437">
        <f t="shared" si="32"/>
        <v>366</v>
      </c>
      <c r="E437">
        <f t="shared" si="33"/>
        <v>3.7949999999999999</v>
      </c>
      <c r="G437">
        <f t="shared" si="34"/>
        <v>-777.25749999999994</v>
      </c>
    </row>
    <row r="438" spans="3:7" x14ac:dyDescent="0.25">
      <c r="C438">
        <f t="shared" si="32"/>
        <v>367</v>
      </c>
      <c r="E438">
        <f t="shared" si="33"/>
        <v>3.8025000000000002</v>
      </c>
      <c r="G438">
        <f t="shared" si="34"/>
        <v>-781.06</v>
      </c>
    </row>
    <row r="439" spans="3:7" x14ac:dyDescent="0.25">
      <c r="C439">
        <f t="shared" si="32"/>
        <v>368</v>
      </c>
      <c r="E439">
        <f t="shared" si="33"/>
        <v>3.8099999999999996</v>
      </c>
      <c r="G439">
        <f t="shared" si="34"/>
        <v>-784.86999999999989</v>
      </c>
    </row>
    <row r="440" spans="3:7" x14ac:dyDescent="0.25">
      <c r="C440">
        <f t="shared" si="32"/>
        <v>369</v>
      </c>
      <c r="E440">
        <f t="shared" si="33"/>
        <v>3.8174999999999999</v>
      </c>
      <c r="G440">
        <f t="shared" si="34"/>
        <v>-788.68749999999989</v>
      </c>
    </row>
    <row r="441" spans="3:7" x14ac:dyDescent="0.25">
      <c r="C441">
        <f t="shared" si="32"/>
        <v>370</v>
      </c>
      <c r="E441">
        <f t="shared" si="33"/>
        <v>3.8250000000000002</v>
      </c>
      <c r="G441">
        <f t="shared" si="34"/>
        <v>-792.51249999999993</v>
      </c>
    </row>
  </sheetData>
  <conditionalFormatting sqref="K141:K153">
    <cfRule type="expression" dxfId="24" priority="22">
      <formula>K141="vvv"</formula>
    </cfRule>
    <cfRule type="expression" dxfId="23" priority="23">
      <formula>K141="vv"</formula>
    </cfRule>
    <cfRule type="expression" dxfId="22" priority="24">
      <formula>K141="v"</formula>
    </cfRule>
  </conditionalFormatting>
  <conditionalFormatting sqref="M141:N153">
    <cfRule type="expression" dxfId="21" priority="21">
      <formula>M141="v"</formula>
    </cfRule>
  </conditionalFormatting>
  <conditionalFormatting sqref="M141:N153">
    <cfRule type="expression" dxfId="20" priority="19">
      <formula>M141="vvv"</formula>
    </cfRule>
  </conditionalFormatting>
  <conditionalFormatting sqref="M141:N153">
    <cfRule type="expression" dxfId="19" priority="20">
      <formula>M141="vv"</formula>
    </cfRule>
  </conditionalFormatting>
  <conditionalFormatting sqref="K154:K155">
    <cfRule type="expression" dxfId="18" priority="10">
      <formula>K154="vvv"</formula>
    </cfRule>
    <cfRule type="expression" dxfId="17" priority="11">
      <formula>K154="vv"</formula>
    </cfRule>
    <cfRule type="expression" dxfId="16" priority="12">
      <formula>K154="v"</formula>
    </cfRule>
  </conditionalFormatting>
  <conditionalFormatting sqref="M154:N155">
    <cfRule type="expression" dxfId="15" priority="9">
      <formula>M154="v"</formula>
    </cfRule>
  </conditionalFormatting>
  <conditionalFormatting sqref="M154:N155">
    <cfRule type="expression" dxfId="14" priority="7">
      <formula>M154="vvv"</formula>
    </cfRule>
  </conditionalFormatting>
  <conditionalFormatting sqref="M154:N155">
    <cfRule type="expression" dxfId="13" priority="8">
      <formula>M154="vv"</formula>
    </cfRule>
  </conditionalFormatting>
  <conditionalFormatting sqref="K156">
    <cfRule type="expression" dxfId="12" priority="4">
      <formula>K156="vvv"</formula>
    </cfRule>
    <cfRule type="expression" dxfId="11" priority="5">
      <formula>K156="vv"</formula>
    </cfRule>
    <cfRule type="expression" dxfId="10" priority="6">
      <formula>K156="v"</formula>
    </cfRule>
  </conditionalFormatting>
  <conditionalFormatting sqref="M156:N156">
    <cfRule type="expression" dxfId="9" priority="3">
      <formula>M156="v"</formula>
    </cfRule>
  </conditionalFormatting>
  <conditionalFormatting sqref="M156:N156">
    <cfRule type="expression" dxfId="8" priority="1">
      <formula>M156="vvv"</formula>
    </cfRule>
  </conditionalFormatting>
  <conditionalFormatting sqref="M156:N156">
    <cfRule type="expression" dxfId="7" priority="2">
      <formula>M156="vv"</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249977111117893"/>
  </sheetPr>
  <dimension ref="B3:M140"/>
  <sheetViews>
    <sheetView topLeftCell="A4" zoomScaleNormal="100" workbookViewId="0">
      <selection activeCell="E117" sqref="E117"/>
    </sheetView>
  </sheetViews>
  <sheetFormatPr defaultRowHeight="15" x14ac:dyDescent="0.25"/>
  <cols>
    <col min="3" max="4" width="29.85546875" customWidth="1"/>
    <col min="5" max="5" width="18.42578125" customWidth="1"/>
    <col min="6" max="6" width="17.7109375" customWidth="1"/>
    <col min="7" max="7" width="16.28515625" customWidth="1"/>
    <col min="8" max="8" width="12.85546875" customWidth="1"/>
    <col min="9" max="9" width="18.140625" customWidth="1"/>
    <col min="10" max="10" width="12.42578125" customWidth="1"/>
    <col min="11" max="11" width="13" customWidth="1"/>
    <col min="12" max="12" width="12.140625" customWidth="1"/>
    <col min="13" max="13" width="8.85546875" customWidth="1"/>
  </cols>
  <sheetData>
    <row r="3" spans="2:13" x14ac:dyDescent="0.25">
      <c r="K3" s="1"/>
      <c r="L3" s="1"/>
      <c r="M3" s="1"/>
    </row>
    <row r="4" spans="2:13" x14ac:dyDescent="0.25">
      <c r="K4" s="1"/>
      <c r="L4" s="1"/>
      <c r="M4" s="70"/>
    </row>
    <row r="6" spans="2:13" x14ac:dyDescent="0.25">
      <c r="C6" s="1"/>
      <c r="D6" s="1"/>
      <c r="K6" t="s">
        <v>7962</v>
      </c>
      <c r="L6" t="s">
        <v>7964</v>
      </c>
    </row>
    <row r="7" spans="2:13" x14ac:dyDescent="0.25">
      <c r="C7" t="s">
        <v>248</v>
      </c>
      <c r="D7" t="s">
        <v>245</v>
      </c>
      <c r="E7" t="s">
        <v>246</v>
      </c>
      <c r="F7" t="s">
        <v>526</v>
      </c>
      <c r="G7" t="s">
        <v>528</v>
      </c>
      <c r="H7" t="s">
        <v>527</v>
      </c>
      <c r="I7" t="s">
        <v>529</v>
      </c>
      <c r="J7" t="s">
        <v>7960</v>
      </c>
      <c r="K7" t="s">
        <v>7961</v>
      </c>
      <c r="L7" t="s">
        <v>7963</v>
      </c>
    </row>
    <row r="8" spans="2:13" x14ac:dyDescent="0.25">
      <c r="B8" t="s">
        <v>530</v>
      </c>
      <c r="C8" t="s">
        <v>249</v>
      </c>
      <c r="D8" t="s">
        <v>525</v>
      </c>
      <c r="E8">
        <f ca="1">DATA_SCENES_UNITY_1!C6+DATA_SCENES_UNITY_1!N6+DATA_SCENES_UNITY_1!Y6+DATA_SCENES_UNITY_1!AJ6+DATA_SCENES_UNITY_1!AU6+DATA_SCENES_UNITY_1!BF6+DATA_SCENES_UNITY_1!BQ6+DATA_SCENES_UNITY_1!CB6</f>
        <v>198993</v>
      </c>
      <c r="F8">
        <f>DATA_SCENES_UNITY_1!C7+DATA_SCENES_UNITY_1!N7+DATA_SCENES_UNITY_1!Y7+DATA_SCENES_UNITY_1!AJ7+DATA_SCENES_UNITY_1!AU7+DATA_SCENES_UNITY_1!BF7+DATA_SCENES_UNITY_1!BQ7+DATA_SCENES_UNITY_1!CB7</f>
        <v>2490</v>
      </c>
      <c r="G8">
        <f ca="1">DATA_SCENES_UNITY_1!C8+DATA_SCENES_UNITY_1!N8+DATA_SCENES_UNITY_1!Y8+DATA_SCENES_UNITY_1!AJ8+DATA_SCENES_UNITY_1!AU8+DATA_SCENES_UNITY_1!BF8+DATA_SCENES_UNITY_1!BQ8+DATA_SCENES_UNITY_1!CB8</f>
        <v>809</v>
      </c>
      <c r="H8">
        <f ca="1">DATA_SCENES_UNITY_1!C9+DATA_SCENES_UNITY_1!N9+DATA_SCENES_UNITY_1!Y9+DATA_SCENES_UNITY_1!AJ9+DATA_SCENES_UNITY_1!AU9+DATA_SCENES_UNITY_1!BF9+DATA_SCENES_UNITY_1!BQ9++DATA_SCENES_UNITY_1!CB9</f>
        <v>1681</v>
      </c>
      <c r="I8" s="74">
        <f>DATA_SCENES_UNITY_1!C11+DATA_SCENES_UNITY_1!N11+DATA_SCENES_UNITY_1!Y11+DATA_SCENES_UNITY_1!AJ11+DATA_SCENES_UNITY_1!AU11+DATA_SCENES_UNITY_1!BF11+DATA_SCENES_UNITY_1!BQ11++DATA_SCENES_UNITY_1!CB11</f>
        <v>4545</v>
      </c>
      <c r="J8" s="74">
        <f>(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f>
        <v>2211325</v>
      </c>
      <c r="K8" s="177">
        <f ca="1">ROUND(Table51718[[#This Row],[Total xp available]]/Table51718[[#This Row],[Size]],2)</f>
        <v>0.09</v>
      </c>
      <c r="L8" s="177">
        <f ca="1">ROUND(Table51718[[#This Row],[Size]]/Table51718[[#This Row],[Total xp available]],2)</f>
        <v>11.11</v>
      </c>
    </row>
    <row r="9" spans="2:13" x14ac:dyDescent="0.25">
      <c r="B9" t="s">
        <v>531</v>
      </c>
      <c r="C9" t="s">
        <v>488</v>
      </c>
      <c r="D9" t="s">
        <v>525</v>
      </c>
      <c r="E9">
        <f ca="1">DATA_SCENES_UNITY_1!CM6+DATA_SCENES_UNITY_1!CX6+DATA_SCENES_UNITY_1!DI6+DATA_SCENES_UNITY_1!DT6+DATA_SCENES_UNITY_1!EE6</f>
        <v>146915</v>
      </c>
      <c r="F9">
        <f>DATA_SCENES_UNITY_1!CM7+DATA_SCENES_UNITY_1!CX7+DATA_SCENES_UNITY_1!DI7+DATA_SCENES_UNITY_1!DT7+DATA_SCENES_UNITY_1!EE7</f>
        <v>2026</v>
      </c>
      <c r="G9">
        <f ca="1">DATA_SCENES_UNITY_1!CM8+DATA_SCENES_UNITY_1!CX8+DATA_SCENES_UNITY_1!DI8+DATA_SCENES_UNITY_1!DT8+DATA_SCENES_UNITY_1!EE8</f>
        <v>524</v>
      </c>
      <c r="H9">
        <f ca="1">DATA_SCENES_UNITY_1!CM9+DATA_SCENES_UNITY_1!CX9+DATA_SCENES_UNITY_1!DI9+DATA_SCENES_UNITY_1!DT9+DATA_SCENES_UNITY_1!EE9</f>
        <v>1502</v>
      </c>
      <c r="I9" s="74">
        <f>DATA_SCENES_UNITY_1!CM11+DATA_SCENES_UNITY_1!CX11+DATA_SCENES_UNITY_1!DI11+DATA_SCENES_UNITY_1!DT11+DATA_SCENES_UNITY_1!EE11</f>
        <v>3757</v>
      </c>
      <c r="J9" s="74">
        <f>(DATA_SCENES_UNITY_1!CP5+DATA_SCENES_UNITY_1!DA5+DATA_SCENES_UNITY_1!DL5+DATA_SCENES_UNITY_1!DW5+DATA_SCENES_UNITY_1!EH5)*(DATA_SCENES_UNITY_1!CQ5+DATA_SCENES_UNITY_1!DB5+DATA_SCENES_UNITY_1!DM5+DATA_SCENES_UNITY_1!DX5+DATA_SCENES_UNITY_1!EI5)</f>
        <v>1164500</v>
      </c>
      <c r="K9" s="177">
        <f ca="1">ROUND(Table51718[[#This Row],[Total xp available]]/Table51718[[#This Row],[Size]],2)</f>
        <v>0.13</v>
      </c>
      <c r="L9" s="177">
        <f ca="1">ROUND(Table51718[[#This Row],[Size]]/Table51718[[#This Row],[Total xp available]],2)</f>
        <v>7.93</v>
      </c>
    </row>
    <row r="10" spans="2:13" x14ac:dyDescent="0.25">
      <c r="B10" t="s">
        <v>569</v>
      </c>
      <c r="C10" t="s">
        <v>524</v>
      </c>
      <c r="D10" t="s">
        <v>525</v>
      </c>
      <c r="E10">
        <f ca="1">DATA_SCENES_UNITY_1!EP6+DATA_SCENES_UNITY_1!FA6+DATA_SCENES_UNITY_1!FL6+DATA_SCENES_UNITY_1!FW6+DATA_SCENES_UNITY_1!GH6</f>
        <v>133602</v>
      </c>
      <c r="F10">
        <f>DATA_SCENES_UNITY_1!EP7+DATA_SCENES_UNITY_1!FA7+DATA_SCENES_UNITY_1!FL7+DATA_SCENES_UNITY_1!FW7+DATA_SCENES_UNITY_1!GH7</f>
        <v>1032</v>
      </c>
      <c r="G10">
        <f ca="1">DATA_SCENES_UNITY_1!EP8+DATA_SCENES_UNITY_1!FA8+DATA_SCENES_UNITY_1!FL8+DATA_SCENES_UNITY_1!FW8+DATA_SCENES_UNITY_1!GH8</f>
        <v>356</v>
      </c>
      <c r="H10">
        <f ca="1">DATA_SCENES_UNITY_1!EP9+DATA_SCENES_UNITY_1!FA9+DATA_SCENES_UNITY_1!FL9+DATA_SCENES_UNITY_1!FW9+DATA_SCENES_UNITY_1!GH9</f>
        <v>736</v>
      </c>
      <c r="I10" s="74">
        <f>DATA_SCENES_UNITY_1!EP11+DATA_SCENES_UNITY_1!FA11+DATA_SCENES_UNITY_1!FL11+DATA_SCENES_UNITY_1!FW11+DATA_SCENES_UNITY_1!GH11</f>
        <v>2459.5</v>
      </c>
      <c r="J10" s="74">
        <f>(DATA_SCENES_UNITY_1!ES5+DATA_SCENES_UNITY_1!FD5+DATA_SCENES_UNITY_1!FO5+DATA_SCENES_UNITY_1!FZ5+DATA_SCENES_UNITY_1!GK5)*(DATA_SCENES_UNITY_1!ET5+DATA_SCENES_UNITY_1!FE5+DATA_SCENES_UNITY_1!FP5+DATA_SCENES_UNITY_1!GA5+DATA_SCENES_UNITY_1!GL5)</f>
        <v>1312425</v>
      </c>
      <c r="K10" s="177">
        <f ca="1">ROUND(Table51718[[#This Row],[Total xp available]]/Table51718[[#This Row],[Size]],2)</f>
        <v>0.1</v>
      </c>
      <c r="L10" s="177">
        <f ca="1">ROUND(Table51718[[#This Row],[Size]]/Table51718[[#This Row],[Total xp available]],2)</f>
        <v>9.82</v>
      </c>
    </row>
    <row r="16" spans="2:13" x14ac:dyDescent="0.25">
      <c r="I16" s="141" t="s">
        <v>2424</v>
      </c>
      <c r="J16" s="142"/>
      <c r="K16" s="143"/>
    </row>
    <row r="17" spans="9:11" x14ac:dyDescent="0.25">
      <c r="I17" s="131" t="s">
        <v>2426</v>
      </c>
      <c r="J17" s="132">
        <f ca="1">SUM(Table51718[Total xp available])</f>
        <v>479510</v>
      </c>
      <c r="K17" s="133"/>
    </row>
    <row r="18" spans="9:11" x14ac:dyDescent="0.25">
      <c r="I18" s="131" t="s">
        <v>2425</v>
      </c>
      <c r="J18" s="132">
        <f>SUM(Table51718[Total spawners])</f>
        <v>5548</v>
      </c>
      <c r="K18" s="133"/>
    </row>
    <row r="19" spans="9:11" x14ac:dyDescent="0.25">
      <c r="I19" s="131" t="s">
        <v>2427</v>
      </c>
      <c r="J19" s="132">
        <f ca="1">SUM(Table51718[Total enemies])</f>
        <v>1689</v>
      </c>
      <c r="K19" s="134" t="str">
        <f ca="1">CONCATENATE(ROUND((J19/J18)*100,0),"%")</f>
        <v>30%</v>
      </c>
    </row>
    <row r="20" spans="9:11" x14ac:dyDescent="0.25">
      <c r="I20" s="131" t="s">
        <v>2428</v>
      </c>
      <c r="J20" s="132">
        <f ca="1">SUM(Table51718[Total preys])</f>
        <v>3919</v>
      </c>
      <c r="K20" s="134" t="str">
        <f ca="1">CONCATENATE(ROUND((J20/J18)*100,0),"%")</f>
        <v>71%</v>
      </c>
    </row>
    <row r="21" spans="9:11" x14ac:dyDescent="0.25">
      <c r="I21" s="131" t="s">
        <v>2429</v>
      </c>
      <c r="J21" s="132">
        <f>ROUND(SUM(Table51718[Total entities]),0)</f>
        <v>10762</v>
      </c>
      <c r="K21" s="133"/>
    </row>
    <row r="22" spans="9:11" x14ac:dyDescent="0.25">
      <c r="I22" s="135"/>
      <c r="J22" s="136"/>
      <c r="K22" s="133"/>
    </row>
    <row r="23" spans="9:11" x14ac:dyDescent="0.25">
      <c r="I23" s="135"/>
      <c r="J23" s="136"/>
      <c r="K23" s="133"/>
    </row>
    <row r="24" spans="9:11" x14ac:dyDescent="0.25">
      <c r="I24" s="131" t="s">
        <v>497</v>
      </c>
      <c r="J24" s="137" t="str">
        <f>CONCATENATE(ROUND(((COUNTIF(Table245[activating_chance],"=100") + COUNTIF(Table3[activating_chance],"=100") + COUNTIF(Table39[activating_chance],"=100") + COUNTIF(Table2[activating_chance],"=100") + COUNTIF(Table6[activating_chance],"=100") + COUNTIF(Table610[activating_chance],"=100") + COUNTIF(Table61011[activating_chance],"=100") + COUNTIF(Table11[activating_chance],"=100") + COUNTIF(Table12[activating_chance],"=100") + COUNTIF(Table13[activating_chance],"=100") + COUNTIF(Table14[activating_chance],"=100") + COUNTIF(Table18[activating_chance],"=100") + COUNTIF(Table1820[activating_chance],"=100") + COUNTIF(Table182023[activating_chance],"=100") + COUNTIF(Table18202324[activating_chance],"=100")+ COUNTIF(Table35[activating_chance],"=100")+ COUNTIF(Table36[activating_chance],"=100")+ COUNTIF(Table37[activating_chance],"=100"))/J18)*100,0),"%")</f>
        <v>79%</v>
      </c>
      <c r="K24" s="133"/>
    </row>
    <row r="25" spans="9:11" x14ac:dyDescent="0.25">
      <c r="I25" s="131" t="s">
        <v>498</v>
      </c>
      <c r="J25" s="137" t="str">
        <f>CONCATENATE(ROUND(((COUNTIFS(Table245[activating_chance],"&lt;100",Table245[activating_chance],"&gt;=75") + COUNTIFS(Table3[activating_chance],"&lt;100",Table3[activating_chance],"&gt;=75") + COUNTIFS(Table39[activating_chance],"&lt;100",Table39[activating_chance],"&gt;=75") + COUNTIFS(Table2[activating_chance],"&lt;100",Table2[activating_chance],"&gt;=75") + COUNTIFS(Table6[activating_chance],"&lt;100",Table6[activating_chance],"&gt;=75") + COUNTIFS(Table610[activating_chance],"&lt;100",Table610[activating_chance],"&gt;=75") + COUNTIFS(Table61011[activating_chance],"&lt;100",Table61011[activating_chance],"&gt;=75") + COUNTIFS(Table11[activating_chance],"&lt;100",Table11[activating_chance],"&gt;=75") + COUNTIFS(Table12[activating_chance],"&lt;100",Table12[activating_chance],"&gt;=75") + COUNTIFS(Table13[activating_chance],"&lt;100",Table13[activating_chance],"&gt;=75") + COUNTIFS(Table14[activating_chance],"&lt;100",Table14[activating_chance],"&gt;=75") + COUNTIFS(Table18[activating_chance],"&lt;100",Table18[activating_chance],"&gt;=75") + COUNTIFS(Table1820[activating_chance],"&lt;100",Table1820[activating_chance],"&gt;=75") + COUNTIFS(Table182023[activating_chance],"&lt;100",Table182023[activating_chance],"&gt;=75") + COUNTIFS(Table18202324[activating_chance],"&lt;100",Table18202324[activating_chance],"&gt;=75") + COUNTIFS(Table35[activating_chance],"&lt;100",Table35[activating_chance],"&gt;=75") + COUNTIFS(Table36[activating_chance],"&lt;100",Table36[activating_chance],"&gt;=75") + COUNTIFS(Table37[activating_chance],"&lt;100",Table37[activating_chance],"&gt;=75"))/J18)*100,0),"%")</f>
        <v>12%</v>
      </c>
      <c r="K25" s="133"/>
    </row>
    <row r="26" spans="9:11" x14ac:dyDescent="0.25">
      <c r="I26" s="131" t="s">
        <v>499</v>
      </c>
      <c r="J26" s="137" t="str">
        <f>CONCATENATE(ROUND(((COUNTIFS(Table245[activating_chance],"&lt;75",Table245[activating_chance],"&gt;=25") + COUNTIFS(Table3[activating_chance],"&lt;75",Table3[activating_chance],"&gt;=25") + COUNTIFS(Table39[activating_chance],"&lt;75",Table39[activating_chance],"&gt;=25") + COUNTIFS(Table2[activating_chance],"&lt;75",Table2[activating_chance],"&gt;=25") + COUNTIFS(Table6[activating_chance],"&lt;75",Table6[activating_chance],"&gt;=25") + COUNTIFS(Table610[activating_chance],"&lt;75",Table610[activating_chance],"&gt;=25") + COUNTIFS(Table61011[activating_chance],"&lt;75",Table61011[activating_chance],"&gt;=25") + COUNTIFS(Table11[activating_chance],"&lt;75",Table11[activating_chance],"&gt;=25") + COUNTIFS(Table12[activating_chance],"&lt;75",Table12[activating_chance],"&gt;=25") + COUNTIFS(Table13[activating_chance],"&lt;75",Table13[activating_chance],"&gt;=25") + COUNTIFS(Table14[activating_chance],"&lt;75",Table14[activating_chance],"&gt;=25") + COUNTIFS(Table18[activating_chance],"&lt;75",Table18[activating_chance],"&gt;=25") + COUNTIFS(Table1820[activating_chance],"&lt;75",Table1820[activating_chance],"&gt;=25") + COUNTIFS(Table182023[activating_chance],"&lt;75",Table182023[activating_chance],"&gt;=25") + COUNTIFS(Table18202324[activating_chance],"&lt;75",Table18202324[activating_chance],"&gt;=25")+ COUNTIFS(Table35[activating_chance],"&lt;75",Table35[activating_chance],"&gt;=25")+ COUNTIFS(Table36[activating_chance],"&lt;75",Table36[activating_chance],"&gt;=25")+ COUNTIFS(Table37[activating_chance],"&lt;75",Table37[activating_chance],"&gt;=25"))/J18)*100,0),"%")</f>
        <v>8%</v>
      </c>
      <c r="K26" s="133"/>
    </row>
    <row r="27" spans="9:11" x14ac:dyDescent="0.25">
      <c r="I27" s="131" t="s">
        <v>500</v>
      </c>
      <c r="J27" s="137" t="str">
        <f>CONCATENATE(ROUND(((COUNTIFS(Table245[activating_chance],"&gt;1",Table245[activating_chance],"&lt;25") + COUNTIFS(Table3[activating_chance],"&gt;1",Table3[activating_chance],"&lt;25") + COUNTIFS(Table39[activating_chance],"&gt;1",Table39[activating_chance],"&lt;25") + COUNTIFS(Table2[activating_chance],"&gt;1",Table2[activating_chance],"&lt;25") + COUNTIFS(Table6[activating_chance],"&gt;1",Table6[activating_chance],"&lt;25") + COUNTIFS(Table610[activating_chance],"&gt;1",Table610[activating_chance],"&lt;25") + COUNTIFS(Table61011[activating_chance],"&gt;1",Table61011[activating_chance],"&lt;25") + COUNTIFS(Table11[activating_chance],"&gt;1",Table11[activating_chance],"&lt;25") + COUNTIFS(Table12[activating_chance],"&gt;1",Table12[activating_chance],"&lt;25") + COUNTIFS(Table13[activating_chance],"&gt;1",Table13[activating_chance],"&lt;25") + COUNTIFS(Table14[activating_chance],"&gt;1",Table14[activating_chance],"&lt;25") + COUNTIFS(Table18[activating_chance],"&gt;1",Table18[activating_chance],"&lt;25") + COUNTIFS(Table1820[activating_chance],"&gt;1",Table1820[activating_chance],"&lt;25") + COUNTIFS(Table182023[activating_chance],"&gt;1",Table182023[activating_chance],"&lt;25") + COUNTIFS(Table18202324[activating_chance],"&gt;1",Table18202324[activating_chance],"&lt;25")+ COUNTIFS(Table35[activating_chance],"&gt;1",Table35[activating_chance],"&lt;25")+ COUNTIFS(Table36[activating_chance],"&gt;1",Table36[activating_chance],"&lt;25")+ COUNTIFS(Table37[activating_chance],"&gt;1",Table37[activating_chance],"&lt;25"))/J18)*100,0),"%")</f>
        <v>1%</v>
      </c>
      <c r="K27" s="133"/>
    </row>
    <row r="28" spans="9:11" x14ac:dyDescent="0.25">
      <c r="I28" s="135"/>
      <c r="J28" s="136"/>
      <c r="K28" s="133"/>
    </row>
    <row r="29" spans="9:11" x14ac:dyDescent="0.25">
      <c r="I29" s="135"/>
      <c r="J29" s="136"/>
      <c r="K29" s="133"/>
    </row>
    <row r="30" spans="9:11" x14ac:dyDescent="0.25">
      <c r="I30" s="138" t="s">
        <v>2403</v>
      </c>
      <c r="J30" s="139" t="str">
        <f>CONCATENATE(ROUND(((COUNTIF(Table245[hasBonus],"TRUE") + COUNTIF(Table3[hasBonus],"TRUE") + COUNTIF(Table39[hasBonus],"TRUE") + COUNTIF(Table2[hasBonus],"TRUE") + COUNTIF(Table6[hasBonus],"TRUE") + COUNTIF(Table610[hasBonus],"TRUE") + COUNTIF(Table61011[hasBonus],"TRUE") + COUNTIF(Table11[hasBonus],"TRUE") + COUNTIF(Table12[hasBonus],"TRUE") + COUNTIF(Table13[hasBonus],"TRUE") + COUNTIF(Table14[hasBonus],"TRUE") + COUNTIF(Table18[hasBonus],"TRUE") + COUNTIF(Table1820[hasBonus],"TRUE") + COUNTIF(Table182023[hasBonus],"TRUE") + COUNTIF(Table18202324[hasBonus],"TRUE"))/J18)*100,2),"%")</f>
        <v>8,56%</v>
      </c>
      <c r="K30" s="140"/>
    </row>
    <row r="108" spans="4:6" x14ac:dyDescent="0.25">
      <c r="D108" s="1" t="s">
        <v>2419</v>
      </c>
    </row>
    <row r="110" spans="4:6" x14ac:dyDescent="0.25">
      <c r="D110" t="s">
        <v>265</v>
      </c>
      <c r="E110" t="s">
        <v>2420</v>
      </c>
      <c r="F110" t="s">
        <v>2421</v>
      </c>
    </row>
    <row r="111" spans="4:6" x14ac:dyDescent="0.25">
      <c r="D111" t="str">
        <f ca="1">INDIRECT(ADDRESS((1+MATCH(E111,'PROG. SPAWNERS'!$E$2:$E$92,0)),1,1,1,"Prog. Spawners"))</f>
        <v>SpiderSmall</v>
      </c>
      <c r="E111">
        <f>LARGE('PROG. SPAWNERS'!$E$2:$E$87,1)</f>
        <v>586</v>
      </c>
      <c r="F111">
        <f>ROUND((Table27[[#This Row],[Total in game]]/SUM(Table27[Total in game]))*100,2)</f>
        <v>10.220000000000001</v>
      </c>
    </row>
    <row r="112" spans="4:6" x14ac:dyDescent="0.25">
      <c r="D112" t="str">
        <f ca="1">INDIRECT(ADDRESS((1+MATCH(E112,'PROG. SPAWNERS'!$E$2:$E$92,0)),1,1,1,"Prog. Spawners"))</f>
        <v>Canary</v>
      </c>
      <c r="E112">
        <f>LARGE('PROG. SPAWNERS'!$E$2:$E$87,2)</f>
        <v>495</v>
      </c>
      <c r="F112">
        <f>LARGE(Table1[Percentage4],2)</f>
        <v>5.0999999999999996</v>
      </c>
    </row>
    <row r="113" spans="4:6" x14ac:dyDescent="0.25">
      <c r="D113" t="str">
        <f ca="1">INDIRECT(ADDRESS((1+MATCH(E113,'PROG. SPAWNERS'!$E$2:$E$92,0)),1,1,1,"Prog. Spawners"))</f>
        <v>BatSmall_Flock</v>
      </c>
      <c r="E113">
        <f>LARGE('PROG. SPAWNERS'!$E$2:$E$87,3)</f>
        <v>286</v>
      </c>
      <c r="F113">
        <f>LARGE(Table1[Percentage4],3)</f>
        <v>4.9000000000000004</v>
      </c>
    </row>
    <row r="114" spans="4:6" x14ac:dyDescent="0.25">
      <c r="D114" t="str">
        <f ca="1">INDIRECT(ADDRESS((1+MATCH(E114,'PROG. SPAWNERS'!$E$2:$E$92,0)),1,1,1,"Prog. Spawners"))</f>
        <v>StarSky</v>
      </c>
      <c r="E114">
        <f>LARGE('PROG. SPAWNERS'!$E$2:$E$87,4)</f>
        <v>268</v>
      </c>
      <c r="F114">
        <f>LARGE(Table1[Percentage4],4)</f>
        <v>4.5999999999999996</v>
      </c>
    </row>
    <row r="115" spans="4:6" x14ac:dyDescent="0.25">
      <c r="D115" t="str">
        <f ca="1">INDIRECT(ADDRESS((1+MATCH(E115,'PROG. SPAWNERS'!$E$2:$E$92,0)),1,1,1,"Prog. Spawners"))</f>
        <v>Miner</v>
      </c>
      <c r="E115">
        <f>LARGE('PROG. SPAWNERS'!$E$2:$E$87,5)</f>
        <v>213</v>
      </c>
      <c r="F115">
        <f>LARGE(Table1[Percentage4],5)</f>
        <v>2.7</v>
      </c>
    </row>
    <row r="116" spans="4:6" x14ac:dyDescent="0.25">
      <c r="D116" t="s">
        <v>2422</v>
      </c>
      <c r="E116">
        <f>GETPIVOTDATA("Sum of Total in the game",'PROG. SPAWNERS'!$A$1) - SUM(E111:E115)</f>
        <v>3884</v>
      </c>
      <c r="F116">
        <f>100-SUM(F111:F115)</f>
        <v>72.48</v>
      </c>
    </row>
    <row r="120" spans="4:6" x14ac:dyDescent="0.25">
      <c r="D120" s="1" t="s">
        <v>3851</v>
      </c>
    </row>
    <row r="122" spans="4:6" x14ac:dyDescent="0.25">
      <c r="D122" t="s">
        <v>3849</v>
      </c>
      <c r="E122" t="s">
        <v>245</v>
      </c>
      <c r="F122" t="s">
        <v>3850</v>
      </c>
    </row>
    <row r="123" spans="4:6" x14ac:dyDescent="0.25">
      <c r="D123" t="s">
        <v>530</v>
      </c>
      <c r="E123" t="str">
        <f>DATA_SCENES_UNITY_1!N18</f>
        <v>Waterfall</v>
      </c>
      <c r="F123" s="147">
        <f>DATA_SCENES_UNITY_1!Q11</f>
        <v>3.8199999999999998E-2</v>
      </c>
    </row>
    <row r="124" spans="4:6" x14ac:dyDescent="0.25">
      <c r="D124" t="s">
        <v>530</v>
      </c>
      <c r="E124" t="str">
        <f>DATA_SCENES_UNITY_1!C18</f>
        <v>Human Village</v>
      </c>
      <c r="F124" s="147">
        <f>DATA_SCENES_UNITY_1!F11</f>
        <v>3.5700000000000003E-2</v>
      </c>
    </row>
    <row r="125" spans="4:6" x14ac:dyDescent="0.25">
      <c r="D125" t="s">
        <v>530</v>
      </c>
      <c r="E125" t="str">
        <f>DATA_SCENES_UNITY_1!AJ18</f>
        <v>Goblin city</v>
      </c>
      <c r="F125" s="147">
        <f>DATA_SCENES_UNITY_1!AM11</f>
        <v>3.2199999999999999E-2</v>
      </c>
    </row>
    <row r="126" spans="4:6" x14ac:dyDescent="0.25">
      <c r="D126" t="s">
        <v>531</v>
      </c>
      <c r="E126" t="str">
        <f>DATA_SCENES_UNITY_1!DI18</f>
        <v>Big caves</v>
      </c>
      <c r="F126" s="147">
        <f>DATA_SCENES_UNITY_1!DL11</f>
        <v>3.1E-2</v>
      </c>
    </row>
    <row r="127" spans="4:6" x14ac:dyDescent="0.25">
      <c r="D127" t="s">
        <v>569</v>
      </c>
      <c r="E127" t="str">
        <f>DATA_SCENES_UNITY_1!EP18</f>
        <v>Tree</v>
      </c>
      <c r="F127" s="147">
        <f>DATA_SCENES_UNITY_1!ES11</f>
        <v>2.8400000000000002E-2</v>
      </c>
    </row>
    <row r="128" spans="4:6" x14ac:dyDescent="0.25">
      <c r="D128" t="s">
        <v>531</v>
      </c>
      <c r="E128" t="str">
        <f>DATA_SCENES_UNITY_1!CX18</f>
        <v>Small caves</v>
      </c>
      <c r="F128" s="147">
        <f>DATA_SCENES_UNITY_1!DA11</f>
        <v>3.0599999999999999E-2</v>
      </c>
    </row>
    <row r="129" spans="4:6" x14ac:dyDescent="0.25">
      <c r="D129" t="s">
        <v>530</v>
      </c>
      <c r="E129" t="str">
        <f>DATA_SCENES_UNITY_1!Y18</f>
        <v>Cave</v>
      </c>
      <c r="F129" s="147">
        <f>DATA_SCENES_UNITY_1!AB11</f>
        <v>2.5700000000000001E-2</v>
      </c>
    </row>
    <row r="130" spans="4:6" x14ac:dyDescent="0.25">
      <c r="D130" t="s">
        <v>530</v>
      </c>
      <c r="E130" t="str">
        <f>DATA_SCENES_UNITY_1!AU18</f>
        <v>Witch forest</v>
      </c>
      <c r="F130" s="147">
        <f>DATA_SCENES_UNITY_1!AX11</f>
        <v>2.4799999999999999E-2</v>
      </c>
    </row>
    <row r="131" spans="4:6" x14ac:dyDescent="0.25">
      <c r="D131" t="s">
        <v>530</v>
      </c>
      <c r="E131" t="str">
        <f>DATA_SCENES_UNITY_1!BQ18</f>
        <v>Human forest</v>
      </c>
      <c r="F131" s="147">
        <f>DATA_SCENES_UNITY_1!BT11</f>
        <v>2.3900000000000001E-2</v>
      </c>
    </row>
    <row r="132" spans="4:6" x14ac:dyDescent="0.25">
      <c r="D132" t="s">
        <v>569</v>
      </c>
      <c r="E132" t="str">
        <f>DATA_SCENES_UNITY_1!FA18</f>
        <v>Underground</v>
      </c>
      <c r="F132" s="147">
        <f>DATA_SCENES_UNITY_1!FD11</f>
        <v>2.2200000000000001E-2</v>
      </c>
    </row>
    <row r="133" spans="4:6" x14ac:dyDescent="0.25">
      <c r="D133" t="s">
        <v>531</v>
      </c>
      <c r="E133" t="str">
        <f>DATA_SCENES_UNITY_1!CM18</f>
        <v>Market</v>
      </c>
      <c r="F133" s="147">
        <f>DATA_SCENES_UNITY_1!CP11</f>
        <v>2.18E-2</v>
      </c>
    </row>
    <row r="134" spans="4:6" x14ac:dyDescent="0.25">
      <c r="D134" t="s">
        <v>530</v>
      </c>
      <c r="E134" t="str">
        <f>DATA_SCENES_UNITY_1!BF18</f>
        <v>Big caves</v>
      </c>
      <c r="F134" s="147">
        <f>DATA_SCENES_UNITY_1!BI11</f>
        <v>1.9800000000000002E-2</v>
      </c>
    </row>
    <row r="135" spans="4:6" x14ac:dyDescent="0.25">
      <c r="D135" t="s">
        <v>531</v>
      </c>
      <c r="E135" t="str">
        <f>DATA_SCENES_UNITY_1!DT18</f>
        <v>Mines</v>
      </c>
      <c r="F135" s="147">
        <f>DATA_SCENES_UNITY_1!DW11</f>
        <v>1.7500000000000002E-2</v>
      </c>
    </row>
    <row r="136" spans="4:6" x14ac:dyDescent="0.25">
      <c r="D136" t="s">
        <v>569</v>
      </c>
      <c r="E136" t="str">
        <f>DATA_SCENES_UNITY_1!FW18</f>
        <v>Lower Part</v>
      </c>
      <c r="F136" s="147">
        <f>DATA_SCENES_UNITY_1!FZ11</f>
        <v>8.8999999999999999E-3</v>
      </c>
    </row>
    <row r="137" spans="4:6" x14ac:dyDescent="0.25">
      <c r="D137" t="s">
        <v>569</v>
      </c>
      <c r="E137" t="str">
        <f>DATA_SCENES_UNITY_1!FL18</f>
        <v>Upper Part</v>
      </c>
      <c r="F137" s="147">
        <f>DATA_SCENES_UNITY_1!FO11</f>
        <v>5.7000000000000002E-3</v>
      </c>
    </row>
    <row r="138" spans="4:6" x14ac:dyDescent="0.25">
      <c r="D138" t="s">
        <v>531</v>
      </c>
      <c r="E138" t="str">
        <f>DATA_SCENES_UNITY_1!EE18</f>
        <v>Sky castle</v>
      </c>
      <c r="F138" s="147">
        <f>DATA_SCENES_UNITY_1!EH11</f>
        <v>2.8999999999999998E-3</v>
      </c>
    </row>
    <row r="139" spans="4:6" x14ac:dyDescent="0.25">
      <c r="D139" t="s">
        <v>530</v>
      </c>
      <c r="E139" t="str">
        <f>DATA_SCENES_UNITY_1!CB18</f>
        <v>Sky village</v>
      </c>
      <c r="F139" s="147">
        <f>DATA_SCENES_UNITY_1!CE11</f>
        <v>2.0999999999999999E-3</v>
      </c>
    </row>
    <row r="140" spans="4:6" x14ac:dyDescent="0.25">
      <c r="D140" t="s">
        <v>569</v>
      </c>
      <c r="E140" t="str">
        <f>DATA_SCENES_UNITY_1!GH18</f>
        <v>Sky dark</v>
      </c>
      <c r="F140" s="147">
        <f>DATA_SCENES_UNITY_1!GK11</f>
        <v>1.6999999999999999E-3</v>
      </c>
    </row>
  </sheetData>
  <pageMargins left="0.7" right="0.7" top="0.75" bottom="0.75" header="0.3" footer="0.3"/>
  <pageSetup paperSize="9" orientation="portrait" r:id="rId1"/>
  <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C3:M101"/>
  <sheetViews>
    <sheetView topLeftCell="A73" zoomScaleNormal="100" workbookViewId="0">
      <selection activeCell="E101" sqref="E101"/>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249</v>
      </c>
      <c r="D8" t="s">
        <v>379</v>
      </c>
      <c r="E8">
        <f ca="1">DATA_SCENES_UNITY_1!C6</f>
        <v>51107</v>
      </c>
      <c r="F8">
        <v>0</v>
      </c>
      <c r="M8" s="1"/>
    </row>
    <row r="9" spans="3:13" x14ac:dyDescent="0.25">
      <c r="C9" t="s">
        <v>249</v>
      </c>
      <c r="D9" t="s">
        <v>251</v>
      </c>
      <c r="E9">
        <f ca="1">DATA_SCENES_UNITY_1!N6</f>
        <v>17186</v>
      </c>
      <c r="F9">
        <f ca="1">ROUNDUP(E8*0.1,0)</f>
        <v>5111</v>
      </c>
    </row>
    <row r="10" spans="3:13" x14ac:dyDescent="0.25">
      <c r="C10" t="s">
        <v>249</v>
      </c>
      <c r="D10" t="s">
        <v>435</v>
      </c>
      <c r="E10">
        <f ca="1">DATA_SCENES_UNITY_1!Y6</f>
        <v>4981</v>
      </c>
      <c r="F10">
        <f ca="1">ROUNDUP(E9*0.1,0)</f>
        <v>1719</v>
      </c>
    </row>
    <row r="11" spans="3:13" x14ac:dyDescent="0.25">
      <c r="C11" t="s">
        <v>249</v>
      </c>
      <c r="D11" t="s">
        <v>441</v>
      </c>
      <c r="E11">
        <f ca="1">DATA_SCENES_UNITY_1!BF6</f>
        <v>22939</v>
      </c>
      <c r="F11">
        <f t="shared" ref="F11:F13" ca="1" si="0">ROUNDUP(E10*0.1,0)</f>
        <v>499</v>
      </c>
    </row>
    <row r="12" spans="3:13" x14ac:dyDescent="0.25">
      <c r="C12" t="s">
        <v>249</v>
      </c>
      <c r="D12" t="s">
        <v>250</v>
      </c>
      <c r="E12">
        <f ca="1">DATA_SCENES_UNITY_1!AJ6</f>
        <v>30887</v>
      </c>
      <c r="F12">
        <f t="shared" ca="1" si="0"/>
        <v>2294</v>
      </c>
    </row>
    <row r="13" spans="3:13" x14ac:dyDescent="0.25">
      <c r="C13" t="s">
        <v>249</v>
      </c>
      <c r="D13" t="s">
        <v>380</v>
      </c>
      <c r="E13">
        <f ca="1">DATA_SCENES_UNITY_1!AU6</f>
        <v>12429</v>
      </c>
      <c r="F13">
        <f t="shared" ca="1" si="0"/>
        <v>3089</v>
      </c>
    </row>
    <row r="14" spans="3:13" x14ac:dyDescent="0.25">
      <c r="C14" t="s">
        <v>249</v>
      </c>
      <c r="D14" t="s">
        <v>440</v>
      </c>
      <c r="E14">
        <f ca="1">DATA_SCENES_UNITY_1!BQ6</f>
        <v>39655</v>
      </c>
      <c r="F14">
        <f ca="1">ROUNDUP(E13*0.1,0)</f>
        <v>1243</v>
      </c>
    </row>
    <row r="15" spans="3:13" x14ac:dyDescent="0.25">
      <c r="C15" t="s">
        <v>249</v>
      </c>
      <c r="D15" t="s">
        <v>3814</v>
      </c>
      <c r="E15">
        <f ca="1">DATA_SCENES_UNITY_1!CB6</f>
        <v>19809</v>
      </c>
      <c r="F15">
        <v>0</v>
      </c>
    </row>
    <row r="93" spans="4:6" x14ac:dyDescent="0.25">
      <c r="D93" s="1" t="s">
        <v>2419</v>
      </c>
    </row>
    <row r="95" spans="4:6" x14ac:dyDescent="0.25">
      <c r="D95" t="s">
        <v>265</v>
      </c>
      <c r="E95" t="s">
        <v>2420</v>
      </c>
      <c r="F95" t="s">
        <v>2421</v>
      </c>
    </row>
    <row r="96" spans="4:6" x14ac:dyDescent="0.25">
      <c r="D96" t="str">
        <f ca="1">INDIRECT(ADDRESS((1+MATCH(E96,'PROG. SPAWNERS'!$B$2:$B$92,0)),1,1,1,"Prog. Spawners"))</f>
        <v>Canary</v>
      </c>
      <c r="E96">
        <f>LARGE('PROG. SPAWNERS'!$B$2:$B$87,1)</f>
        <v>384</v>
      </c>
      <c r="F96">
        <f>ROUND((Table2730[[#This Row],[Total in game]]/SUM(Table2730[Total in game]))*100,2)</f>
        <v>15.04</v>
      </c>
    </row>
    <row r="97" spans="4:6" x14ac:dyDescent="0.25">
      <c r="D97" t="str">
        <f ca="1">INDIRECT(ADDRESS((1+MATCH(E97,'PROG. SPAWNERS'!$B$2:$B$92,0)),1,1,1,"Prog. Spawners"))</f>
        <v>SpiderSmall</v>
      </c>
      <c r="E97">
        <f>LARGE('PROG. SPAWNERS'!$B$2:$B$87,2)</f>
        <v>293</v>
      </c>
      <c r="F97">
        <f>ROUND((Table2730[[#This Row],[Total in game]]/SUM(Table2730[Total in game]))*100,2)</f>
        <v>11.48</v>
      </c>
    </row>
    <row r="98" spans="4:6" x14ac:dyDescent="0.25">
      <c r="D98" t="str">
        <f ca="1">INDIRECT(ADDRESS((1+MATCH(E98,'PROG. SPAWNERS'!$B$2:$B$92,0)),1,1,1,"Prog. Spawners"))</f>
        <v>StarSky</v>
      </c>
      <c r="E98">
        <f>LARGE('PROG. SPAWNERS'!$B$2:$B$87,3)</f>
        <v>149</v>
      </c>
      <c r="F98">
        <f>ROUND((Table2730[[#This Row],[Total in game]]/SUM(Table2730[Total in game]))*100,2)</f>
        <v>5.84</v>
      </c>
    </row>
    <row r="99" spans="4:6" x14ac:dyDescent="0.25">
      <c r="D99" t="str">
        <f ca="1">INDIRECT(ADDRESS((1+MATCH(E99,'PROG. SPAWNERS'!$B$2:$B$92,0)),1,1,1,"Prog. Spawners"))</f>
        <v>Ghost01</v>
      </c>
      <c r="E99">
        <f>LARGE('PROG. SPAWNERS'!$B$2:$B$87,4)</f>
        <v>104</v>
      </c>
      <c r="F99">
        <f>ROUND((Table2730[[#This Row],[Total in game]]/SUM(Table2730[Total in game]))*100,2)</f>
        <v>4.07</v>
      </c>
    </row>
    <row r="100" spans="4:6" x14ac:dyDescent="0.25">
      <c r="D100" t="str">
        <f ca="1">INDIRECT(ADDRESS((1+MATCH(E100,'PROG. SPAWNERS'!$B$2:$B$92,0)),1,1,1,"Prog. Spawners"))</f>
        <v>WorkerSpace</v>
      </c>
      <c r="E100">
        <f>LARGE('PROG. SPAWNERS'!$B$2:$B$87,5)</f>
        <v>95</v>
      </c>
      <c r="F100">
        <f>ROUND((Table2730[[#This Row],[Total in game]]/SUM(Table2730[Total in game]))*100,2)</f>
        <v>3.72</v>
      </c>
    </row>
    <row r="101" spans="4:6" x14ac:dyDescent="0.25">
      <c r="D101" t="s">
        <v>2422</v>
      </c>
      <c r="E101">
        <f>GETPIVOTDATA("Sum of Total in ""Village"" scene",'PROG. SPAWNERS'!$A$1) - SUM(E96:E100)</f>
        <v>1528</v>
      </c>
      <c r="F101">
        <f>100-SUM(F96:F100)</f>
        <v>59.85</v>
      </c>
    </row>
  </sheetData>
  <pageMargins left="0.7" right="0.7" top="0.75" bottom="0.75" header="0.3" footer="0.3"/>
  <pageSetup paperSize="9"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249977111117893"/>
  </sheetPr>
  <dimension ref="C3:M87"/>
  <sheetViews>
    <sheetView topLeftCell="A61" zoomScaleNormal="100" workbookViewId="0">
      <selection activeCell="E87" sqref="E87"/>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488</v>
      </c>
      <c r="D8" t="s">
        <v>489</v>
      </c>
      <c r="E8">
        <f ca="1">DATA_SCENES_UNITY_1!CM6</f>
        <v>40897</v>
      </c>
      <c r="F8">
        <v>0</v>
      </c>
      <c r="M8" s="1"/>
    </row>
    <row r="9" spans="3:13" x14ac:dyDescent="0.25">
      <c r="C9" t="s">
        <v>488</v>
      </c>
      <c r="D9" t="s">
        <v>522</v>
      </c>
      <c r="E9">
        <f ca="1">DATA_SCENES_UNITY_1!CX6</f>
        <v>13841</v>
      </c>
      <c r="F9">
        <f ca="1">ROUNDUP(E8*0.1,0)</f>
        <v>4090</v>
      </c>
    </row>
    <row r="10" spans="3:13" x14ac:dyDescent="0.25">
      <c r="C10" t="s">
        <v>488</v>
      </c>
      <c r="D10" t="s">
        <v>523</v>
      </c>
      <c r="E10">
        <f ca="1">DATA_SCENES_UNITY_1!DI6</f>
        <v>25710</v>
      </c>
      <c r="F10">
        <f t="shared" ref="F10:F11" ca="1" si="0">ROUNDUP(E9*0.1,0)</f>
        <v>1385</v>
      </c>
    </row>
    <row r="11" spans="3:13" x14ac:dyDescent="0.25">
      <c r="C11" t="s">
        <v>488</v>
      </c>
      <c r="D11" t="s">
        <v>509</v>
      </c>
      <c r="E11">
        <f ca="1">DATA_SCENES_UNITY_1!DT6</f>
        <v>58557</v>
      </c>
      <c r="F11">
        <f t="shared" ca="1" si="0"/>
        <v>2571</v>
      </c>
    </row>
    <row r="12" spans="3:13" x14ac:dyDescent="0.25">
      <c r="C12" t="s">
        <v>488</v>
      </c>
      <c r="D12" t="s">
        <v>3828</v>
      </c>
      <c r="E12">
        <f ca="1">DATA_SCENES_UNITY_1!EE6</f>
        <v>7910</v>
      </c>
      <c r="F12">
        <v>0</v>
      </c>
    </row>
    <row r="79" spans="4:4" x14ac:dyDescent="0.25">
      <c r="D79" s="1" t="s">
        <v>2419</v>
      </c>
    </row>
    <row r="81" spans="4:6" x14ac:dyDescent="0.25">
      <c r="D81" t="s">
        <v>265</v>
      </c>
      <c r="E81" t="s">
        <v>2420</v>
      </c>
      <c r="F81" t="s">
        <v>2421</v>
      </c>
    </row>
    <row r="82" spans="4:6" x14ac:dyDescent="0.25">
      <c r="D82" t="str">
        <f ca="1">INDIRECT(ADDRESS((1+MATCH(E82,'PROG. SPAWNERS'!$C$2:$C$92,0)),1,1,1,"Prog. Spawners"))</f>
        <v>SpiderSmall</v>
      </c>
      <c r="E82">
        <f>LARGE('PROG. SPAWNERS'!$C$2:$C$87,1)</f>
        <v>254</v>
      </c>
      <c r="F82">
        <f>ROUND((Table273031[[#This Row],[Total in game]]/SUM(Table273031[Total in game]))*100,2)</f>
        <v>12.24</v>
      </c>
    </row>
    <row r="83" spans="4:6" x14ac:dyDescent="0.25">
      <c r="D83" t="str">
        <f ca="1">INDIRECT(ADDRESS((1+MATCH(E83,'PROG. SPAWNERS'!$C$2:$C$92,0)),1,1,1,"Prog. Spawners"))</f>
        <v>Miner</v>
      </c>
      <c r="E83">
        <f>LARGE('PROG. SPAWNERS'!$C$2:$C$87,2)</f>
        <v>213</v>
      </c>
      <c r="F83">
        <f>ROUND((Table273031[[#This Row],[Total in game]]/SUM(Table273031[Total in game]))*100,2)</f>
        <v>10.27</v>
      </c>
    </row>
    <row r="84" spans="4:6" x14ac:dyDescent="0.25">
      <c r="D84" t="str">
        <f ca="1">INDIRECT(ADDRESS((1+MATCH(E84,'PROG. SPAWNERS'!$C$2:$C$92,0)),1,1,1,"Prog. Spawners"))</f>
        <v>BatSmall_Flock</v>
      </c>
      <c r="E84">
        <f>LARGE('PROG. SPAWNERS'!$C$2:$C$87,3)</f>
        <v>138</v>
      </c>
      <c r="F84">
        <f>ROUND((Table273031[[#This Row],[Total in game]]/SUM(Table273031[Total in game]))*100,2)</f>
        <v>6.65</v>
      </c>
    </row>
    <row r="85" spans="4:6" x14ac:dyDescent="0.25">
      <c r="D85" t="str">
        <f ca="1">INDIRECT(ADDRESS((1+MATCH(E85,'PROG. SPAWNERS'!$C$2:$C$92,0)),1,1,1,"Prog. Spawners"))</f>
        <v>Canary</v>
      </c>
      <c r="E85">
        <f>LARGE('PROG. SPAWNERS'!$C$2:$C$87,4)</f>
        <v>111</v>
      </c>
      <c r="F85">
        <f>ROUND((Table273031[[#This Row],[Total in game]]/SUM(Table273031[Total in game]))*100,2)</f>
        <v>5.35</v>
      </c>
    </row>
    <row r="86" spans="4:6" x14ac:dyDescent="0.25">
      <c r="D86" t="str">
        <f ca="1">INDIRECT(ADDRESS((1+MATCH(E86,'PROG. SPAWNERS'!$C$2:$C$92,0)),1,1,1,"Prog. Spawners"))</f>
        <v>Fish</v>
      </c>
      <c r="E86">
        <f>LARGE('PROG. SPAWNERS'!$C$2:$C$87,5)</f>
        <v>91</v>
      </c>
      <c r="F86">
        <f>ROUND((Table273031[[#This Row],[Total in game]]/SUM(Table273031[Total in game]))*100,2)</f>
        <v>4.3899999999999997</v>
      </c>
    </row>
    <row r="87" spans="4:6" x14ac:dyDescent="0.25">
      <c r="D87" t="s">
        <v>2422</v>
      </c>
      <c r="E87">
        <f>GETPIVOTDATA("Sum of Total in ""Castle"" scene",'PROG. SPAWNERS'!$A$1) - SUM(E82:E86)</f>
        <v>1268</v>
      </c>
      <c r="F87">
        <f>100-SUM(F82:F86)</f>
        <v>61.1</v>
      </c>
    </row>
  </sheetData>
  <pageMargins left="0.7" right="0.7" top="0.75" bottom="0.75" header="0.3" footer="0.3"/>
  <pageSetup paperSize="9" orientation="portrait" r:id="rId1"/>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C3:M88"/>
  <sheetViews>
    <sheetView topLeftCell="A61" zoomScaleNormal="100" workbookViewId="0">
      <selection activeCell="E89" sqref="E89"/>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524</v>
      </c>
      <c r="D8" t="s">
        <v>561</v>
      </c>
      <c r="E8">
        <f ca="1">DATA_SCENES_UNITY_1!EP6</f>
        <v>43229</v>
      </c>
      <c r="F8">
        <v>0</v>
      </c>
      <c r="M8" s="1"/>
    </row>
    <row r="9" spans="3:13" x14ac:dyDescent="0.25">
      <c r="C9" t="s">
        <v>524</v>
      </c>
      <c r="D9" t="s">
        <v>562</v>
      </c>
      <c r="E9">
        <f ca="1">DATA_SCENES_UNITY_1!FA6</f>
        <v>26324</v>
      </c>
      <c r="F9">
        <f ca="1">ROUNDUP(E8*0.1,0)</f>
        <v>4323</v>
      </c>
    </row>
    <row r="10" spans="3:13" x14ac:dyDescent="0.25">
      <c r="C10" t="s">
        <v>524</v>
      </c>
      <c r="D10" s="91" t="s">
        <v>563</v>
      </c>
      <c r="E10" s="91">
        <f ca="1">DATA_SCENES_UNITY_1!FL6</f>
        <v>25323</v>
      </c>
      <c r="F10" s="91">
        <f t="shared" ref="F10:F11" ca="1" si="0">ROUNDUP(E9*0.1,0)</f>
        <v>2633</v>
      </c>
    </row>
    <row r="11" spans="3:13" x14ac:dyDescent="0.25">
      <c r="C11" t="s">
        <v>524</v>
      </c>
      <c r="D11" s="91" t="s">
        <v>564</v>
      </c>
      <c r="E11" s="91">
        <f ca="1">DATA_SCENES_UNITY_1!FW6</f>
        <v>31805</v>
      </c>
      <c r="F11" s="91">
        <f t="shared" ca="1" si="0"/>
        <v>2533</v>
      </c>
    </row>
    <row r="12" spans="3:13" x14ac:dyDescent="0.25">
      <c r="C12" t="s">
        <v>524</v>
      </c>
      <c r="D12" t="s">
        <v>3831</v>
      </c>
      <c r="E12">
        <f ca="1">DATA_SCENES_UNITY_1!GH6</f>
        <v>6921</v>
      </c>
      <c r="F12">
        <v>0</v>
      </c>
    </row>
    <row r="80" spans="4:4" x14ac:dyDescent="0.25">
      <c r="D80" s="1" t="s">
        <v>2419</v>
      </c>
    </row>
    <row r="82" spans="4:6" x14ac:dyDescent="0.25">
      <c r="D82" t="s">
        <v>265</v>
      </c>
      <c r="E82" t="s">
        <v>2420</v>
      </c>
      <c r="F82" t="s">
        <v>2421</v>
      </c>
    </row>
    <row r="83" spans="4:6" x14ac:dyDescent="0.25">
      <c r="D83" t="str">
        <f ca="1">INDIRECT(ADDRESS((1+MATCH(E83,'PROG. SPAWNERS'!$D$2:$D$92,0)),1,1,1,"Prog. Spawners"))</f>
        <v>BatSmall_Flock</v>
      </c>
      <c r="E83">
        <f>LARGE('PROG. SPAWNERS'!$D$2:$D$87,1)</f>
        <v>107</v>
      </c>
      <c r="F83">
        <f>ROUND((Table27303132[[#This Row],[Total in game]]/SUM(Table27303132[Total in game]))*100,2)</f>
        <v>9.69</v>
      </c>
    </row>
    <row r="84" spans="4:6" x14ac:dyDescent="0.25">
      <c r="D84" t="str">
        <f ca="1">INDIRECT(ADDRESS((1+MATCH(E84,'PROG. SPAWNERS'!$D$2:$D$92,0)),1,1,1,"Prog. Spawners"))</f>
        <v>StarSky</v>
      </c>
      <c r="E84">
        <f>LARGE('PROG. SPAWNERS'!$D$2:$D$87,2)</f>
        <v>101</v>
      </c>
      <c r="F84">
        <f>ROUND((Table27303132[[#This Row],[Total in game]]/SUM(Table27303132[Total in game]))*100,2)</f>
        <v>9.15</v>
      </c>
    </row>
    <row r="85" spans="4:6" x14ac:dyDescent="0.25">
      <c r="D85" t="str">
        <f ca="1">INDIRECT(ADDRESS((1+MATCH(E85,'PROG. SPAWNERS'!$D$2:$D$92,0)),1,1,1,"Prog. Spawners"))</f>
        <v>HermitCrab</v>
      </c>
      <c r="E85">
        <f>LARGE('PROG. SPAWNERS'!$D$2:$D$87,3)</f>
        <v>80</v>
      </c>
      <c r="F85">
        <f>ROUND((Table27303132[[#This Row],[Total in game]]/SUM(Table27303132[Total in game]))*100,2)</f>
        <v>7.25</v>
      </c>
    </row>
    <row r="86" spans="4:6" x14ac:dyDescent="0.25">
      <c r="D86" t="str">
        <f ca="1">INDIRECT(ADDRESS((1+MATCH(E86,'PROG. SPAWNERS'!$D$2:$D$92,0)),1,1,1,"Prog. Spawners"))</f>
        <v>Firefly</v>
      </c>
      <c r="E86">
        <f>LARGE('PROG. SPAWNERS'!$D$2:$D$87,4)</f>
        <v>43</v>
      </c>
      <c r="F86">
        <f>ROUND((Table27303132[[#This Row],[Total in game]]/SUM(Table27303132[Total in game]))*100,2)</f>
        <v>3.89</v>
      </c>
    </row>
    <row r="87" spans="4:6" x14ac:dyDescent="0.25">
      <c r="D87" t="str">
        <f ca="1">INDIRECT(ADDRESS((1+MATCH(E87,'PROG. SPAWNERS'!$D$2:$D$92,0)),1,1,1,"Prog. Spawners"))</f>
        <v>Crow_Flock</v>
      </c>
      <c r="E87">
        <f>LARGE('PROG. SPAWNERS'!$D$2:$D$87,5)</f>
        <v>42</v>
      </c>
      <c r="F87">
        <f>ROUND((Table27303132[[#This Row],[Total in game]]/SUM(Table27303132[Total in game]))*100,2)</f>
        <v>3.8</v>
      </c>
    </row>
    <row r="88" spans="4:6" x14ac:dyDescent="0.25">
      <c r="D88" t="s">
        <v>2422</v>
      </c>
      <c r="E88">
        <f>GETPIVOTDATA("Sum of Total in ""Dark"" scene",'PROG. SPAWNERS'!$A$1) - SUM(E83:E87)</f>
        <v>731</v>
      </c>
      <c r="F88">
        <f>100-SUM(F83:F87)</f>
        <v>66.22</v>
      </c>
    </row>
  </sheetData>
  <pageMargins left="0.7" right="0.7" top="0.75" bottom="0.75" header="0.3" footer="0.3"/>
  <pageSetup paperSize="9"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sheetPr>
  <dimension ref="A1:E88"/>
  <sheetViews>
    <sheetView workbookViewId="0">
      <selection activeCell="G67" sqref="G67"/>
    </sheetView>
  </sheetViews>
  <sheetFormatPr defaultRowHeight="15" x14ac:dyDescent="0.25"/>
  <cols>
    <col min="1" max="1" width="22.28515625" bestFit="1" customWidth="1"/>
    <col min="2" max="2" width="28.85546875" bestFit="1" customWidth="1"/>
    <col min="3" max="3" width="28.140625" bestFit="1" customWidth="1"/>
    <col min="4" max="4" width="26.7109375" bestFit="1" customWidth="1"/>
    <col min="5" max="5" width="23.28515625" bestFit="1" customWidth="1"/>
  </cols>
  <sheetData>
    <row r="1" spans="1:5" x14ac:dyDescent="0.25">
      <c r="A1" s="152" t="s">
        <v>3843</v>
      </c>
      <c r="B1" t="s">
        <v>3845</v>
      </c>
      <c r="C1" t="s">
        <v>3846</v>
      </c>
      <c r="D1" t="s">
        <v>3847</v>
      </c>
      <c r="E1" t="s">
        <v>3848</v>
      </c>
    </row>
    <row r="2" spans="1:5" x14ac:dyDescent="0.25">
      <c r="A2" s="147" t="s">
        <v>8</v>
      </c>
      <c r="B2" s="74">
        <v>9</v>
      </c>
      <c r="C2" s="74">
        <v>8</v>
      </c>
      <c r="D2" s="74">
        <v>7</v>
      </c>
      <c r="E2" s="74">
        <v>24</v>
      </c>
    </row>
    <row r="3" spans="1:5" x14ac:dyDescent="0.25">
      <c r="A3" s="147" t="s">
        <v>8111</v>
      </c>
      <c r="B3" s="74">
        <v>35</v>
      </c>
      <c r="C3" s="74">
        <v>43</v>
      </c>
      <c r="D3" s="74">
        <v>0</v>
      </c>
      <c r="E3" s="74">
        <v>78</v>
      </c>
    </row>
    <row r="4" spans="1:5" x14ac:dyDescent="0.25">
      <c r="A4" s="147" t="s">
        <v>405</v>
      </c>
      <c r="B4" s="74">
        <v>15</v>
      </c>
      <c r="C4" s="74">
        <v>0</v>
      </c>
      <c r="D4" s="74">
        <v>0</v>
      </c>
      <c r="E4" s="74">
        <v>15</v>
      </c>
    </row>
    <row r="5" spans="1:5" x14ac:dyDescent="0.25">
      <c r="A5" s="147" t="s">
        <v>410</v>
      </c>
      <c r="B5" s="74">
        <v>69</v>
      </c>
      <c r="C5" s="74">
        <v>40</v>
      </c>
      <c r="D5" s="74">
        <v>11</v>
      </c>
      <c r="E5" s="74">
        <v>120</v>
      </c>
    </row>
    <row r="6" spans="1:5" x14ac:dyDescent="0.25">
      <c r="A6" s="147" t="s">
        <v>411</v>
      </c>
      <c r="B6" s="74">
        <v>1</v>
      </c>
      <c r="C6" s="74">
        <v>0</v>
      </c>
      <c r="D6" s="74">
        <v>8</v>
      </c>
      <c r="E6" s="74">
        <v>9</v>
      </c>
    </row>
    <row r="7" spans="1:5" x14ac:dyDescent="0.25">
      <c r="A7" s="147" t="s">
        <v>68</v>
      </c>
      <c r="B7" s="74">
        <v>5</v>
      </c>
      <c r="C7" s="74">
        <v>0</v>
      </c>
      <c r="D7" s="74">
        <v>0</v>
      </c>
      <c r="E7" s="74">
        <v>5</v>
      </c>
    </row>
    <row r="8" spans="1:5" x14ac:dyDescent="0.25">
      <c r="A8" s="147" t="s">
        <v>84</v>
      </c>
      <c r="B8" s="74">
        <v>28</v>
      </c>
      <c r="C8" s="74">
        <v>30</v>
      </c>
      <c r="D8" s="74">
        <v>16</v>
      </c>
      <c r="E8" s="74">
        <v>74</v>
      </c>
    </row>
    <row r="9" spans="1:5" x14ac:dyDescent="0.25">
      <c r="A9" s="147" t="s">
        <v>85</v>
      </c>
      <c r="B9" s="74">
        <v>41</v>
      </c>
      <c r="C9" s="74">
        <v>138</v>
      </c>
      <c r="D9" s="74">
        <v>107</v>
      </c>
      <c r="E9" s="74">
        <v>286</v>
      </c>
    </row>
    <row r="10" spans="1:5" x14ac:dyDescent="0.25">
      <c r="A10" s="147" t="s">
        <v>69</v>
      </c>
      <c r="B10" s="74">
        <v>2</v>
      </c>
      <c r="C10" s="74">
        <v>5</v>
      </c>
      <c r="D10" s="74">
        <v>0</v>
      </c>
      <c r="E10" s="74">
        <v>7</v>
      </c>
    </row>
    <row r="11" spans="1:5" x14ac:dyDescent="0.25">
      <c r="A11" s="147" t="s">
        <v>80</v>
      </c>
      <c r="B11" s="74">
        <v>31</v>
      </c>
      <c r="C11" s="74">
        <v>20</v>
      </c>
      <c r="D11" s="74">
        <v>0</v>
      </c>
      <c r="E11" s="74">
        <v>51</v>
      </c>
    </row>
    <row r="12" spans="1:5" x14ac:dyDescent="0.25">
      <c r="A12" s="147" t="s">
        <v>2724</v>
      </c>
      <c r="B12" s="74">
        <v>10</v>
      </c>
      <c r="C12" s="74">
        <v>4</v>
      </c>
      <c r="D12" s="74">
        <v>2</v>
      </c>
      <c r="E12" s="74">
        <v>16</v>
      </c>
    </row>
    <row r="13" spans="1:5" x14ac:dyDescent="0.25">
      <c r="A13" s="147" t="s">
        <v>2632</v>
      </c>
      <c r="B13" s="74">
        <v>0</v>
      </c>
      <c r="C13" s="74">
        <v>0</v>
      </c>
      <c r="D13" s="74">
        <v>9</v>
      </c>
      <c r="E13" s="74">
        <v>9</v>
      </c>
    </row>
    <row r="14" spans="1:5" x14ac:dyDescent="0.25">
      <c r="A14" s="147" t="s">
        <v>3839</v>
      </c>
      <c r="B14" s="74">
        <v>384</v>
      </c>
      <c r="C14" s="74">
        <v>111</v>
      </c>
      <c r="D14" s="74">
        <v>0</v>
      </c>
      <c r="E14" s="74">
        <v>495</v>
      </c>
    </row>
    <row r="15" spans="1:5" x14ac:dyDescent="0.25">
      <c r="A15" s="147" t="s">
        <v>8138</v>
      </c>
      <c r="B15" s="74">
        <v>0</v>
      </c>
      <c r="C15" s="74">
        <v>0</v>
      </c>
      <c r="D15" s="74">
        <v>13</v>
      </c>
      <c r="E15" s="74">
        <v>13</v>
      </c>
    </row>
    <row r="16" spans="1:5" x14ac:dyDescent="0.25">
      <c r="A16" s="147" t="s">
        <v>2634</v>
      </c>
      <c r="B16" s="74">
        <v>0</v>
      </c>
      <c r="C16" s="74">
        <v>0</v>
      </c>
      <c r="D16" s="74">
        <v>26</v>
      </c>
      <c r="E16" s="74">
        <v>26</v>
      </c>
    </row>
    <row r="17" spans="1:5" x14ac:dyDescent="0.25">
      <c r="A17" s="147" t="s">
        <v>2635</v>
      </c>
      <c r="B17" s="74">
        <v>0</v>
      </c>
      <c r="C17" s="74">
        <v>0</v>
      </c>
      <c r="D17" s="74">
        <v>5</v>
      </c>
      <c r="E17" s="74">
        <v>5</v>
      </c>
    </row>
    <row r="18" spans="1:5" x14ac:dyDescent="0.25">
      <c r="A18" s="147" t="s">
        <v>70</v>
      </c>
      <c r="B18" s="74">
        <v>11</v>
      </c>
      <c r="C18" s="74">
        <v>0</v>
      </c>
      <c r="D18" s="74">
        <v>0</v>
      </c>
      <c r="E18" s="74">
        <v>11</v>
      </c>
    </row>
    <row r="19" spans="1:5" x14ac:dyDescent="0.25">
      <c r="A19" s="147" t="s">
        <v>118</v>
      </c>
      <c r="B19" s="74">
        <v>0</v>
      </c>
      <c r="C19" s="74">
        <v>15</v>
      </c>
      <c r="D19" s="74">
        <v>0</v>
      </c>
      <c r="E19" s="74">
        <v>15</v>
      </c>
    </row>
    <row r="20" spans="1:5" x14ac:dyDescent="0.25">
      <c r="A20" s="147" t="s">
        <v>100</v>
      </c>
      <c r="B20" s="74">
        <v>60</v>
      </c>
      <c r="C20" s="74">
        <v>39</v>
      </c>
      <c r="D20" s="74">
        <v>42</v>
      </c>
      <c r="E20" s="74">
        <v>141</v>
      </c>
    </row>
    <row r="21" spans="1:5" x14ac:dyDescent="0.25">
      <c r="A21" s="147" t="s">
        <v>476</v>
      </c>
      <c r="B21" s="74">
        <v>0</v>
      </c>
      <c r="C21" s="74">
        <v>13</v>
      </c>
      <c r="D21" s="74">
        <v>0</v>
      </c>
      <c r="E21" s="74">
        <v>13</v>
      </c>
    </row>
    <row r="22" spans="1:5" x14ac:dyDescent="0.25">
      <c r="A22" s="147" t="s">
        <v>101</v>
      </c>
      <c r="B22" s="74">
        <v>29</v>
      </c>
      <c r="C22" s="74">
        <v>10</v>
      </c>
      <c r="D22" s="74">
        <v>0</v>
      </c>
      <c r="E22" s="74">
        <v>39</v>
      </c>
    </row>
    <row r="23" spans="1:5" x14ac:dyDescent="0.25">
      <c r="A23" s="147" t="s">
        <v>102</v>
      </c>
      <c r="B23" s="74">
        <v>13</v>
      </c>
      <c r="C23" s="74">
        <v>6</v>
      </c>
      <c r="D23" s="74">
        <v>2</v>
      </c>
      <c r="E23" s="74">
        <v>21</v>
      </c>
    </row>
    <row r="24" spans="1:5" x14ac:dyDescent="0.25">
      <c r="A24" s="147" t="s">
        <v>103</v>
      </c>
      <c r="B24" s="74">
        <v>10</v>
      </c>
      <c r="C24" s="74">
        <v>15</v>
      </c>
      <c r="D24" s="74">
        <v>5</v>
      </c>
      <c r="E24" s="74">
        <v>30</v>
      </c>
    </row>
    <row r="25" spans="1:5" x14ac:dyDescent="0.25">
      <c r="A25" s="147" t="s">
        <v>104</v>
      </c>
      <c r="B25" s="74">
        <v>17</v>
      </c>
      <c r="C25" s="74">
        <v>14</v>
      </c>
      <c r="D25" s="74">
        <v>8</v>
      </c>
      <c r="E25" s="74">
        <v>39</v>
      </c>
    </row>
    <row r="26" spans="1:5" x14ac:dyDescent="0.25">
      <c r="A26" s="147" t="s">
        <v>105</v>
      </c>
      <c r="B26" s="74">
        <v>7</v>
      </c>
      <c r="C26" s="74">
        <v>6</v>
      </c>
      <c r="D26" s="74">
        <v>4</v>
      </c>
      <c r="E26" s="74">
        <v>17</v>
      </c>
    </row>
    <row r="27" spans="1:5" x14ac:dyDescent="0.25">
      <c r="A27" s="147" t="s">
        <v>8109</v>
      </c>
      <c r="B27" s="74">
        <v>10</v>
      </c>
      <c r="C27" s="74">
        <v>8</v>
      </c>
      <c r="D27" s="74">
        <v>7</v>
      </c>
      <c r="E27" s="74">
        <v>25</v>
      </c>
    </row>
    <row r="28" spans="1:5" x14ac:dyDescent="0.25">
      <c r="A28" s="147" t="s">
        <v>8101</v>
      </c>
      <c r="B28" s="74">
        <v>25</v>
      </c>
      <c r="C28" s="74">
        <v>45</v>
      </c>
      <c r="D28" s="74">
        <v>28</v>
      </c>
      <c r="E28" s="74">
        <v>98</v>
      </c>
    </row>
    <row r="29" spans="1:5" x14ac:dyDescent="0.25">
      <c r="A29" s="147" t="s">
        <v>2636</v>
      </c>
      <c r="B29" s="74">
        <v>0</v>
      </c>
      <c r="C29" s="74">
        <v>0</v>
      </c>
      <c r="D29" s="74">
        <v>43</v>
      </c>
      <c r="E29" s="74">
        <v>43</v>
      </c>
    </row>
    <row r="30" spans="1:5" x14ac:dyDescent="0.25">
      <c r="A30" s="147" t="s">
        <v>3840</v>
      </c>
      <c r="B30" s="74">
        <v>38</v>
      </c>
      <c r="C30" s="74">
        <v>91</v>
      </c>
      <c r="D30" s="74">
        <v>31</v>
      </c>
      <c r="E30" s="74">
        <v>160</v>
      </c>
    </row>
    <row r="31" spans="1:5" x14ac:dyDescent="0.25">
      <c r="A31" s="147" t="s">
        <v>402</v>
      </c>
      <c r="B31" s="74">
        <v>16</v>
      </c>
      <c r="C31" s="74">
        <v>14</v>
      </c>
      <c r="D31" s="74">
        <v>0</v>
      </c>
      <c r="E31" s="74">
        <v>30</v>
      </c>
    </row>
    <row r="32" spans="1:5" x14ac:dyDescent="0.25">
      <c r="A32" s="147" t="s">
        <v>106</v>
      </c>
      <c r="B32" s="74">
        <v>42</v>
      </c>
      <c r="C32" s="74">
        <v>20</v>
      </c>
      <c r="D32" s="74">
        <v>27</v>
      </c>
      <c r="E32" s="74">
        <v>89</v>
      </c>
    </row>
    <row r="33" spans="1:5" x14ac:dyDescent="0.25">
      <c r="A33" s="147" t="s">
        <v>107</v>
      </c>
      <c r="B33" s="74">
        <v>104</v>
      </c>
      <c r="C33" s="74">
        <v>26</v>
      </c>
      <c r="D33" s="74">
        <v>28</v>
      </c>
      <c r="E33" s="74">
        <v>158</v>
      </c>
    </row>
    <row r="34" spans="1:5" x14ac:dyDescent="0.25">
      <c r="A34" s="147" t="s">
        <v>108</v>
      </c>
      <c r="B34" s="74">
        <v>65</v>
      </c>
      <c r="C34" s="74">
        <v>6</v>
      </c>
      <c r="D34" s="74">
        <v>27</v>
      </c>
      <c r="E34" s="74">
        <v>98</v>
      </c>
    </row>
    <row r="35" spans="1:5" x14ac:dyDescent="0.25">
      <c r="A35" s="147" t="s">
        <v>109</v>
      </c>
      <c r="B35" s="74">
        <v>37</v>
      </c>
      <c r="C35" s="74">
        <v>13</v>
      </c>
      <c r="D35" s="74">
        <v>38</v>
      </c>
      <c r="E35" s="74">
        <v>88</v>
      </c>
    </row>
    <row r="36" spans="1:5" x14ac:dyDescent="0.25">
      <c r="A36" s="147" t="s">
        <v>354</v>
      </c>
      <c r="B36" s="74">
        <v>0</v>
      </c>
      <c r="C36" s="74">
        <v>0</v>
      </c>
      <c r="D36" s="74">
        <v>0</v>
      </c>
      <c r="E36" s="74">
        <v>0</v>
      </c>
    </row>
    <row r="37" spans="1:5" x14ac:dyDescent="0.25">
      <c r="A37" s="147" t="s">
        <v>2718</v>
      </c>
      <c r="B37" s="74">
        <v>0</v>
      </c>
      <c r="C37" s="74">
        <v>34</v>
      </c>
      <c r="D37" s="74">
        <v>0</v>
      </c>
      <c r="E37" s="74">
        <v>34</v>
      </c>
    </row>
    <row r="38" spans="1:5" x14ac:dyDescent="0.25">
      <c r="A38" s="147" t="s">
        <v>2721</v>
      </c>
      <c r="B38" s="74">
        <v>0</v>
      </c>
      <c r="C38" s="74">
        <v>74</v>
      </c>
      <c r="D38" s="74">
        <v>0</v>
      </c>
      <c r="E38" s="74">
        <v>74</v>
      </c>
    </row>
    <row r="39" spans="1:5" x14ac:dyDescent="0.25">
      <c r="A39" s="147" t="s">
        <v>477</v>
      </c>
      <c r="B39" s="74">
        <v>14</v>
      </c>
      <c r="C39" s="74">
        <v>9</v>
      </c>
      <c r="D39" s="74">
        <v>2</v>
      </c>
      <c r="E39" s="74">
        <v>25</v>
      </c>
    </row>
    <row r="40" spans="1:5" x14ac:dyDescent="0.25">
      <c r="A40" s="147" t="s">
        <v>79</v>
      </c>
      <c r="B40" s="74">
        <v>26</v>
      </c>
      <c r="C40" s="74">
        <v>58</v>
      </c>
      <c r="D40" s="74">
        <v>24</v>
      </c>
      <c r="E40" s="74">
        <v>108</v>
      </c>
    </row>
    <row r="41" spans="1:5" x14ac:dyDescent="0.25">
      <c r="A41" s="147" t="s">
        <v>2727</v>
      </c>
      <c r="B41" s="74">
        <v>12</v>
      </c>
      <c r="C41" s="74">
        <v>6</v>
      </c>
      <c r="D41" s="74">
        <v>5</v>
      </c>
      <c r="E41" s="74">
        <v>23</v>
      </c>
    </row>
    <row r="42" spans="1:5" x14ac:dyDescent="0.25">
      <c r="A42" s="147" t="s">
        <v>547</v>
      </c>
      <c r="B42" s="74">
        <v>38</v>
      </c>
      <c r="C42" s="74">
        <v>42</v>
      </c>
      <c r="D42" s="74">
        <v>28</v>
      </c>
      <c r="E42" s="74">
        <v>108</v>
      </c>
    </row>
    <row r="43" spans="1:5" x14ac:dyDescent="0.25">
      <c r="A43" s="147" t="s">
        <v>415</v>
      </c>
      <c r="B43" s="74">
        <v>5</v>
      </c>
      <c r="C43" s="74">
        <v>0</v>
      </c>
      <c r="D43" s="74">
        <v>20</v>
      </c>
      <c r="E43" s="74">
        <v>25</v>
      </c>
    </row>
    <row r="44" spans="1:5" x14ac:dyDescent="0.25">
      <c r="A44" s="147" t="s">
        <v>479</v>
      </c>
      <c r="B44" s="74">
        <v>0</v>
      </c>
      <c r="C44" s="74">
        <v>13</v>
      </c>
      <c r="D44" s="74">
        <v>0</v>
      </c>
      <c r="E44" s="74">
        <v>13</v>
      </c>
    </row>
    <row r="45" spans="1:5" x14ac:dyDescent="0.25">
      <c r="A45" s="147" t="s">
        <v>110</v>
      </c>
      <c r="B45" s="74">
        <v>17</v>
      </c>
      <c r="C45" s="74">
        <v>8</v>
      </c>
      <c r="D45" s="74">
        <v>0</v>
      </c>
      <c r="E45" s="74">
        <v>25</v>
      </c>
    </row>
    <row r="46" spans="1:5" x14ac:dyDescent="0.25">
      <c r="A46" s="147" t="s">
        <v>8139</v>
      </c>
      <c r="B46" s="74">
        <v>0</v>
      </c>
      <c r="C46" s="74">
        <v>0</v>
      </c>
      <c r="D46" s="74">
        <v>80</v>
      </c>
      <c r="E46" s="74">
        <v>80</v>
      </c>
    </row>
    <row r="47" spans="1:5" x14ac:dyDescent="0.25">
      <c r="A47" s="147" t="s">
        <v>71</v>
      </c>
      <c r="B47" s="74">
        <v>9</v>
      </c>
      <c r="C47" s="74">
        <v>3</v>
      </c>
      <c r="D47" s="74">
        <v>0</v>
      </c>
      <c r="E47" s="74">
        <v>12</v>
      </c>
    </row>
    <row r="48" spans="1:5" x14ac:dyDescent="0.25">
      <c r="A48" s="147" t="s">
        <v>2642</v>
      </c>
      <c r="B48" s="74">
        <v>0</v>
      </c>
      <c r="C48" s="74">
        <v>0</v>
      </c>
      <c r="D48" s="74">
        <v>32</v>
      </c>
      <c r="E48" s="74">
        <v>32</v>
      </c>
    </row>
    <row r="49" spans="1:5" x14ac:dyDescent="0.25">
      <c r="A49" s="147" t="s">
        <v>2643</v>
      </c>
      <c r="B49" s="74">
        <v>0</v>
      </c>
      <c r="C49" s="74">
        <v>0</v>
      </c>
      <c r="D49" s="74">
        <v>24</v>
      </c>
      <c r="E49" s="74">
        <v>24</v>
      </c>
    </row>
    <row r="50" spans="1:5" x14ac:dyDescent="0.25">
      <c r="A50" s="147" t="s">
        <v>81</v>
      </c>
      <c r="B50" s="74">
        <v>0</v>
      </c>
      <c r="C50" s="74">
        <v>26</v>
      </c>
      <c r="D50" s="74">
        <v>0</v>
      </c>
      <c r="E50" s="74">
        <v>26</v>
      </c>
    </row>
    <row r="51" spans="1:5" x14ac:dyDescent="0.25">
      <c r="A51" s="147" t="s">
        <v>111</v>
      </c>
      <c r="B51" s="74">
        <v>34</v>
      </c>
      <c r="C51" s="74">
        <v>49</v>
      </c>
      <c r="D51" s="74">
        <v>0</v>
      </c>
      <c r="E51" s="74">
        <v>83</v>
      </c>
    </row>
    <row r="52" spans="1:5" x14ac:dyDescent="0.25">
      <c r="A52" s="147" t="s">
        <v>4457</v>
      </c>
      <c r="B52" s="74">
        <v>22</v>
      </c>
      <c r="C52" s="74">
        <v>13</v>
      </c>
      <c r="D52" s="74">
        <v>12</v>
      </c>
      <c r="E52" s="74">
        <v>47</v>
      </c>
    </row>
    <row r="53" spans="1:5" x14ac:dyDescent="0.25">
      <c r="A53" s="147" t="s">
        <v>112</v>
      </c>
      <c r="B53" s="74">
        <v>26</v>
      </c>
      <c r="C53" s="74">
        <v>16</v>
      </c>
      <c r="D53" s="74">
        <v>0</v>
      </c>
      <c r="E53" s="74">
        <v>42</v>
      </c>
    </row>
    <row r="54" spans="1:5" x14ac:dyDescent="0.25">
      <c r="A54" s="147" t="s">
        <v>113</v>
      </c>
      <c r="B54" s="74">
        <v>28</v>
      </c>
      <c r="C54" s="74">
        <v>18</v>
      </c>
      <c r="D54" s="74">
        <v>0</v>
      </c>
      <c r="E54" s="74">
        <v>46</v>
      </c>
    </row>
    <row r="55" spans="1:5" x14ac:dyDescent="0.25">
      <c r="A55" s="147" t="s">
        <v>5001</v>
      </c>
      <c r="B55" s="74">
        <v>0</v>
      </c>
      <c r="C55" s="74">
        <v>213</v>
      </c>
      <c r="D55" s="74">
        <v>0</v>
      </c>
      <c r="E55" s="74">
        <v>213</v>
      </c>
    </row>
    <row r="56" spans="1:5" x14ac:dyDescent="0.25">
      <c r="A56" s="147" t="s">
        <v>275</v>
      </c>
      <c r="B56" s="74">
        <v>56</v>
      </c>
      <c r="C56" s="74">
        <v>28</v>
      </c>
      <c r="D56" s="74">
        <v>0</v>
      </c>
      <c r="E56" s="74">
        <v>84</v>
      </c>
    </row>
    <row r="57" spans="1:5" x14ac:dyDescent="0.25">
      <c r="A57" s="147" t="s">
        <v>536</v>
      </c>
      <c r="B57" s="74">
        <v>0</v>
      </c>
      <c r="C57" s="74">
        <v>0</v>
      </c>
      <c r="D57" s="74">
        <v>15</v>
      </c>
      <c r="E57" s="74">
        <v>15</v>
      </c>
    </row>
    <row r="58" spans="1:5" x14ac:dyDescent="0.25">
      <c r="A58" s="147" t="s">
        <v>8140</v>
      </c>
      <c r="B58" s="74">
        <v>32</v>
      </c>
      <c r="C58" s="74">
        <v>28</v>
      </c>
      <c r="D58" s="74">
        <v>21</v>
      </c>
      <c r="E58" s="74">
        <v>81</v>
      </c>
    </row>
    <row r="59" spans="1:5" x14ac:dyDescent="0.25">
      <c r="A59" s="147" t="s">
        <v>282</v>
      </c>
      <c r="B59" s="74">
        <v>18</v>
      </c>
      <c r="C59" s="74">
        <v>18</v>
      </c>
      <c r="D59" s="74">
        <v>5</v>
      </c>
      <c r="E59" s="74">
        <v>41</v>
      </c>
    </row>
    <row r="60" spans="1:5" x14ac:dyDescent="0.25">
      <c r="A60" s="147" t="s">
        <v>285</v>
      </c>
      <c r="B60" s="74">
        <v>30</v>
      </c>
      <c r="C60" s="74">
        <v>23</v>
      </c>
      <c r="D60" s="74">
        <v>0</v>
      </c>
      <c r="E60" s="74">
        <v>53</v>
      </c>
    </row>
    <row r="61" spans="1:5" x14ac:dyDescent="0.25">
      <c r="A61" s="147" t="s">
        <v>288</v>
      </c>
      <c r="B61" s="74">
        <v>52</v>
      </c>
      <c r="C61" s="74">
        <v>54</v>
      </c>
      <c r="D61" s="74">
        <v>12</v>
      </c>
      <c r="E61" s="74">
        <v>118</v>
      </c>
    </row>
    <row r="62" spans="1:5" x14ac:dyDescent="0.25">
      <c r="A62" s="147" t="s">
        <v>417</v>
      </c>
      <c r="B62" s="74">
        <v>18</v>
      </c>
      <c r="C62" s="74">
        <v>6</v>
      </c>
      <c r="D62" s="74">
        <v>5</v>
      </c>
      <c r="E62" s="74">
        <v>29</v>
      </c>
    </row>
    <row r="63" spans="1:5" x14ac:dyDescent="0.25">
      <c r="A63" s="147" t="s">
        <v>72</v>
      </c>
      <c r="B63" s="74">
        <v>0</v>
      </c>
      <c r="C63" s="74">
        <v>25</v>
      </c>
      <c r="D63" s="74">
        <v>0</v>
      </c>
      <c r="E63" s="74">
        <v>25</v>
      </c>
    </row>
    <row r="64" spans="1:5" x14ac:dyDescent="0.25">
      <c r="A64" s="147" t="s">
        <v>2730</v>
      </c>
      <c r="B64" s="74">
        <v>37</v>
      </c>
      <c r="C64" s="74">
        <v>23</v>
      </c>
      <c r="D64" s="74">
        <v>12</v>
      </c>
      <c r="E64" s="74">
        <v>72</v>
      </c>
    </row>
    <row r="65" spans="1:5" x14ac:dyDescent="0.25">
      <c r="A65" s="147" t="s">
        <v>2739</v>
      </c>
      <c r="B65" s="74">
        <v>13</v>
      </c>
      <c r="C65" s="74">
        <v>2</v>
      </c>
      <c r="D65" s="74">
        <v>7</v>
      </c>
      <c r="E65" s="74">
        <v>22</v>
      </c>
    </row>
    <row r="66" spans="1:5" x14ac:dyDescent="0.25">
      <c r="A66" s="147" t="s">
        <v>2646</v>
      </c>
      <c r="B66" s="74">
        <v>0</v>
      </c>
      <c r="C66" s="74">
        <v>0</v>
      </c>
      <c r="D66" s="74">
        <v>16</v>
      </c>
      <c r="E66" s="74">
        <v>16</v>
      </c>
    </row>
    <row r="67" spans="1:5" x14ac:dyDescent="0.25">
      <c r="A67" s="147" t="s">
        <v>2647</v>
      </c>
      <c r="B67" s="74">
        <v>0</v>
      </c>
      <c r="C67" s="74">
        <v>0</v>
      </c>
      <c r="D67" s="74">
        <v>8</v>
      </c>
      <c r="E67" s="74">
        <v>8</v>
      </c>
    </row>
    <row r="68" spans="1:5" x14ac:dyDescent="0.25">
      <c r="A68" s="147" t="s">
        <v>73</v>
      </c>
      <c r="B68" s="74">
        <v>46</v>
      </c>
      <c r="C68" s="74">
        <v>0</v>
      </c>
      <c r="D68" s="74">
        <v>0</v>
      </c>
      <c r="E68" s="74">
        <v>46</v>
      </c>
    </row>
    <row r="69" spans="1:5" x14ac:dyDescent="0.25">
      <c r="A69" s="147" t="s">
        <v>299</v>
      </c>
      <c r="B69" s="74">
        <v>0</v>
      </c>
      <c r="C69" s="74">
        <v>6</v>
      </c>
      <c r="D69" s="74">
        <v>0</v>
      </c>
      <c r="E69" s="74">
        <v>6</v>
      </c>
    </row>
    <row r="70" spans="1:5" x14ac:dyDescent="0.25">
      <c r="A70" s="147" t="s">
        <v>539</v>
      </c>
      <c r="B70" s="74">
        <v>0</v>
      </c>
      <c r="C70" s="74">
        <v>0</v>
      </c>
      <c r="D70" s="74">
        <v>21</v>
      </c>
      <c r="E70" s="74">
        <v>21</v>
      </c>
    </row>
    <row r="71" spans="1:5" x14ac:dyDescent="0.25">
      <c r="A71" s="147" t="s">
        <v>542</v>
      </c>
      <c r="B71" s="74">
        <v>0</v>
      </c>
      <c r="C71" s="74">
        <v>0</v>
      </c>
      <c r="D71" s="74">
        <v>7</v>
      </c>
      <c r="E71" s="74">
        <v>7</v>
      </c>
    </row>
    <row r="72" spans="1:5" x14ac:dyDescent="0.25">
      <c r="A72" s="147" t="s">
        <v>2405</v>
      </c>
      <c r="B72" s="74">
        <v>0</v>
      </c>
      <c r="C72" s="74">
        <v>0</v>
      </c>
      <c r="D72" s="74">
        <v>7</v>
      </c>
      <c r="E72" s="74">
        <v>7</v>
      </c>
    </row>
    <row r="73" spans="1:5" x14ac:dyDescent="0.25">
      <c r="A73" s="147" t="s">
        <v>74</v>
      </c>
      <c r="B73" s="74">
        <v>0</v>
      </c>
      <c r="C73" s="74">
        <v>12</v>
      </c>
      <c r="D73" s="74">
        <v>0</v>
      </c>
      <c r="E73" s="74">
        <v>12</v>
      </c>
    </row>
    <row r="74" spans="1:5" x14ac:dyDescent="0.25">
      <c r="A74" s="147" t="s">
        <v>82</v>
      </c>
      <c r="B74" s="74">
        <v>14</v>
      </c>
      <c r="C74" s="74">
        <v>17</v>
      </c>
      <c r="D74" s="74">
        <v>0</v>
      </c>
      <c r="E74" s="74">
        <v>31</v>
      </c>
    </row>
    <row r="75" spans="1:5" x14ac:dyDescent="0.25">
      <c r="A75" s="147" t="s">
        <v>308</v>
      </c>
      <c r="B75" s="74">
        <v>10</v>
      </c>
      <c r="C75" s="74">
        <v>22</v>
      </c>
      <c r="D75" s="74">
        <v>2</v>
      </c>
      <c r="E75" s="74">
        <v>34</v>
      </c>
    </row>
    <row r="76" spans="1:5" x14ac:dyDescent="0.25">
      <c r="A76" s="147" t="s">
        <v>75</v>
      </c>
      <c r="B76" s="74">
        <v>66</v>
      </c>
      <c r="C76" s="74">
        <v>39</v>
      </c>
      <c r="D76" s="74">
        <v>9</v>
      </c>
      <c r="E76" s="74">
        <v>114</v>
      </c>
    </row>
    <row r="77" spans="1:5" x14ac:dyDescent="0.25">
      <c r="A77" s="147" t="s">
        <v>76</v>
      </c>
      <c r="B77" s="74">
        <v>293</v>
      </c>
      <c r="C77" s="74">
        <v>254</v>
      </c>
      <c r="D77" s="74">
        <v>39</v>
      </c>
      <c r="E77" s="74">
        <v>586</v>
      </c>
    </row>
    <row r="78" spans="1:5" x14ac:dyDescent="0.25">
      <c r="A78" s="147" t="s">
        <v>116</v>
      </c>
      <c r="B78" s="74">
        <v>49</v>
      </c>
      <c r="C78" s="74">
        <v>8</v>
      </c>
      <c r="D78" s="74">
        <v>0</v>
      </c>
      <c r="E78" s="74">
        <v>57</v>
      </c>
    </row>
    <row r="79" spans="1:5" x14ac:dyDescent="0.25">
      <c r="A79" s="147" t="s">
        <v>3853</v>
      </c>
      <c r="B79" s="74">
        <v>149</v>
      </c>
      <c r="C79" s="74">
        <v>18</v>
      </c>
      <c r="D79" s="74">
        <v>101</v>
      </c>
      <c r="E79" s="74">
        <v>268</v>
      </c>
    </row>
    <row r="80" spans="1:5" x14ac:dyDescent="0.25">
      <c r="A80" s="147" t="s">
        <v>8141</v>
      </c>
      <c r="B80" s="74">
        <v>0</v>
      </c>
      <c r="C80" s="74">
        <v>0</v>
      </c>
      <c r="D80" s="74">
        <v>42</v>
      </c>
      <c r="E80" s="74">
        <v>42</v>
      </c>
    </row>
    <row r="81" spans="1:5" x14ac:dyDescent="0.25">
      <c r="A81" s="147" t="s">
        <v>335</v>
      </c>
      <c r="B81" s="74">
        <v>15</v>
      </c>
      <c r="C81" s="74">
        <v>0</v>
      </c>
      <c r="D81" s="74">
        <v>3</v>
      </c>
      <c r="E81" s="74">
        <v>18</v>
      </c>
    </row>
    <row r="82" spans="1:5" x14ac:dyDescent="0.25">
      <c r="A82" s="147" t="s">
        <v>3841</v>
      </c>
      <c r="B82" s="74">
        <v>0</v>
      </c>
      <c r="C82" s="74">
        <v>0</v>
      </c>
      <c r="D82" s="74">
        <v>27</v>
      </c>
      <c r="E82" s="74">
        <v>27</v>
      </c>
    </row>
    <row r="83" spans="1:5" x14ac:dyDescent="0.25">
      <c r="A83" s="147" t="s">
        <v>3842</v>
      </c>
      <c r="B83" s="74">
        <v>66</v>
      </c>
      <c r="C83" s="74">
        <v>63</v>
      </c>
      <c r="D83" s="74">
        <v>0</v>
      </c>
      <c r="E83" s="74">
        <v>129</v>
      </c>
    </row>
    <row r="84" spans="1:5" x14ac:dyDescent="0.25">
      <c r="A84" s="147" t="s">
        <v>552</v>
      </c>
      <c r="B84" s="74">
        <v>45</v>
      </c>
      <c r="C84" s="74">
        <v>45</v>
      </c>
      <c r="D84" s="74">
        <v>14</v>
      </c>
      <c r="E84" s="74">
        <v>104</v>
      </c>
    </row>
    <row r="85" spans="1:5" x14ac:dyDescent="0.25">
      <c r="A85" s="147" t="s">
        <v>117</v>
      </c>
      <c r="B85" s="74">
        <v>20</v>
      </c>
      <c r="C85" s="74">
        <v>0</v>
      </c>
      <c r="D85" s="74">
        <v>10</v>
      </c>
      <c r="E85" s="74">
        <v>30</v>
      </c>
    </row>
    <row r="86" spans="1:5" x14ac:dyDescent="0.25">
      <c r="A86" s="147" t="s">
        <v>83</v>
      </c>
      <c r="B86" s="74">
        <v>84</v>
      </c>
      <c r="C86" s="74">
        <v>16</v>
      </c>
      <c r="D86" s="74">
        <v>0</v>
      </c>
      <c r="E86" s="74">
        <v>100</v>
      </c>
    </row>
    <row r="87" spans="1:5" x14ac:dyDescent="0.25">
      <c r="A87" s="147" t="s">
        <v>8135</v>
      </c>
      <c r="B87" s="74">
        <v>95</v>
      </c>
      <c r="C87" s="74">
        <v>46</v>
      </c>
      <c r="D87" s="74">
        <v>0</v>
      </c>
      <c r="E87" s="74">
        <v>141</v>
      </c>
    </row>
    <row r="88" spans="1:5" x14ac:dyDescent="0.25">
      <c r="A88" s="147" t="s">
        <v>3844</v>
      </c>
      <c r="B88" s="74">
        <v>2553</v>
      </c>
      <c r="C88" s="74">
        <v>2075</v>
      </c>
      <c r="D88" s="74">
        <v>1104</v>
      </c>
      <c r="E88" s="74">
        <v>5732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U40"/>
  <sheetViews>
    <sheetView workbookViewId="0">
      <selection activeCell="E10" sqref="E10"/>
    </sheetView>
  </sheetViews>
  <sheetFormatPr defaultRowHeight="15" x14ac:dyDescent="0.25"/>
  <cols>
    <col min="7" max="7" width="24.28515625" customWidth="1"/>
    <col min="8" max="8" width="11.28515625" customWidth="1"/>
    <col min="9" max="9" width="10.28515625" customWidth="1"/>
    <col min="10" max="10" width="11.140625" customWidth="1"/>
    <col min="11" max="11" width="12.140625" customWidth="1"/>
    <col min="14" max="14" width="12.28515625" customWidth="1"/>
    <col min="15" max="15" width="18.140625" customWidth="1"/>
    <col min="16" max="16" width="14.7109375" customWidth="1"/>
    <col min="17" max="17" width="18.5703125" customWidth="1"/>
    <col min="18" max="18" width="11.28515625" customWidth="1"/>
    <col min="19" max="19" width="13.85546875" customWidth="1"/>
    <col min="20" max="20" width="14.42578125" customWidth="1"/>
    <col min="21" max="21" width="11.42578125" customWidth="1"/>
  </cols>
  <sheetData>
    <row r="2" spans="2:21" x14ac:dyDescent="0.25">
      <c r="B2" t="s">
        <v>2418</v>
      </c>
      <c r="G2" t="s">
        <v>165</v>
      </c>
    </row>
    <row r="4" spans="2:21" x14ac:dyDescent="0.25">
      <c r="H4" s="2" t="s">
        <v>135</v>
      </c>
      <c r="I4" s="2" t="s">
        <v>136</v>
      </c>
      <c r="J4" s="2" t="s">
        <v>3856</v>
      </c>
      <c r="K4" s="2" t="s">
        <v>3857</v>
      </c>
      <c r="L4" s="2" t="s">
        <v>156</v>
      </c>
      <c r="M4" s="2" t="s">
        <v>158</v>
      </c>
      <c r="N4" s="2" t="s">
        <v>161</v>
      </c>
      <c r="O4" s="2" t="s">
        <v>4456</v>
      </c>
      <c r="P4" s="2" t="s">
        <v>162</v>
      </c>
      <c r="Q4" s="2" t="s">
        <v>163</v>
      </c>
      <c r="R4" s="2" t="s">
        <v>178</v>
      </c>
      <c r="S4" s="2" t="s">
        <v>179</v>
      </c>
      <c r="T4" s="2" t="s">
        <v>180</v>
      </c>
      <c r="U4" s="2" t="s">
        <v>2410</v>
      </c>
    </row>
    <row r="5" spans="2:21" x14ac:dyDescent="0.25">
      <c r="G5" s="10" t="s">
        <v>125</v>
      </c>
      <c r="H5" s="10">
        <v>75</v>
      </c>
      <c r="I5" s="10">
        <v>105</v>
      </c>
      <c r="J5" s="10">
        <v>175</v>
      </c>
      <c r="K5" s="10">
        <v>200</v>
      </c>
      <c r="L5" s="10">
        <v>2</v>
      </c>
      <c r="M5" s="10">
        <v>9.5</v>
      </c>
      <c r="N5" s="10">
        <v>2.1</v>
      </c>
      <c r="O5" s="10">
        <v>100</v>
      </c>
      <c r="P5" s="10">
        <v>25</v>
      </c>
      <c r="Q5" s="10">
        <v>28</v>
      </c>
      <c r="R5" s="10">
        <v>1.1000000000000001</v>
      </c>
      <c r="S5" s="10">
        <v>8.0000000000000002E-3</v>
      </c>
      <c r="T5" s="10">
        <v>30</v>
      </c>
      <c r="U5" s="10">
        <v>8</v>
      </c>
    </row>
    <row r="6" spans="2:21" x14ac:dyDescent="0.25">
      <c r="G6" s="11" t="s">
        <v>126</v>
      </c>
      <c r="H6" s="11">
        <v>95</v>
      </c>
      <c r="I6" s="11">
        <v>145</v>
      </c>
      <c r="J6" s="11">
        <v>210</v>
      </c>
      <c r="K6" s="11">
        <v>235</v>
      </c>
      <c r="L6" s="11">
        <v>2.1</v>
      </c>
      <c r="M6" s="11">
        <v>9.5</v>
      </c>
      <c r="N6" s="11">
        <v>1.75</v>
      </c>
      <c r="O6" s="11">
        <v>100</v>
      </c>
      <c r="P6" s="11">
        <v>20</v>
      </c>
      <c r="Q6" s="11">
        <v>10</v>
      </c>
      <c r="R6" s="11">
        <v>1.1499999999999999</v>
      </c>
      <c r="S6" s="11">
        <v>8.5000000000000006E-3</v>
      </c>
      <c r="T6" s="11">
        <v>30</v>
      </c>
      <c r="U6" s="11">
        <v>10</v>
      </c>
    </row>
    <row r="7" spans="2:21" x14ac:dyDescent="0.25">
      <c r="G7" s="11" t="s">
        <v>128</v>
      </c>
      <c r="H7" s="12">
        <v>140</v>
      </c>
      <c r="I7" s="12">
        <v>200</v>
      </c>
      <c r="J7" s="12">
        <v>240</v>
      </c>
      <c r="K7" s="12">
        <v>280</v>
      </c>
      <c r="L7" s="12">
        <v>2.2000000000000002</v>
      </c>
      <c r="M7" s="12">
        <v>9.5</v>
      </c>
      <c r="N7" s="12">
        <v>2.0099999999999998</v>
      </c>
      <c r="O7" s="12">
        <v>100</v>
      </c>
      <c r="P7" s="12">
        <v>40</v>
      </c>
      <c r="Q7" s="12">
        <v>14</v>
      </c>
      <c r="R7" s="12">
        <v>1.5</v>
      </c>
      <c r="S7" s="12">
        <v>8.9999999999999993E-3</v>
      </c>
      <c r="T7" s="12">
        <v>30</v>
      </c>
      <c r="U7" s="12">
        <v>10</v>
      </c>
    </row>
    <row r="8" spans="2:21" x14ac:dyDescent="0.25">
      <c r="G8" s="13" t="s">
        <v>127</v>
      </c>
      <c r="H8" s="13">
        <v>190</v>
      </c>
      <c r="I8" s="13">
        <v>240</v>
      </c>
      <c r="J8" s="13">
        <v>290</v>
      </c>
      <c r="K8" s="13">
        <v>310</v>
      </c>
      <c r="L8" s="13">
        <v>2.2999999999999998</v>
      </c>
      <c r="M8" s="13">
        <v>9.5</v>
      </c>
      <c r="N8" s="13">
        <v>1.3</v>
      </c>
      <c r="O8" s="13">
        <v>100</v>
      </c>
      <c r="P8" s="13">
        <v>18</v>
      </c>
      <c r="Q8" s="13">
        <v>22</v>
      </c>
      <c r="R8" s="13">
        <v>1.44</v>
      </c>
      <c r="S8" s="13">
        <v>0.01</v>
      </c>
      <c r="T8" s="13">
        <v>30</v>
      </c>
      <c r="U8" s="13">
        <v>10</v>
      </c>
    </row>
    <row r="9" spans="2:21" x14ac:dyDescent="0.25">
      <c r="G9" s="13" t="s">
        <v>130</v>
      </c>
      <c r="H9" s="13">
        <v>210</v>
      </c>
      <c r="I9" s="13">
        <v>270</v>
      </c>
      <c r="J9" s="13">
        <v>310</v>
      </c>
      <c r="K9" s="13">
        <v>335</v>
      </c>
      <c r="L9" s="13">
        <v>2.4</v>
      </c>
      <c r="M9" s="13">
        <v>9.5</v>
      </c>
      <c r="N9" s="13">
        <v>1.4</v>
      </c>
      <c r="O9" s="13">
        <v>100</v>
      </c>
      <c r="P9" s="13">
        <v>31</v>
      </c>
      <c r="Q9" s="13">
        <v>34</v>
      </c>
      <c r="R9" s="13">
        <v>1.7</v>
      </c>
      <c r="S9" s="13">
        <v>1.2E-2</v>
      </c>
      <c r="T9" s="13">
        <v>30</v>
      </c>
      <c r="U9" s="13">
        <v>15</v>
      </c>
    </row>
    <row r="10" spans="2:21" x14ac:dyDescent="0.25">
      <c r="G10" s="13" t="s">
        <v>129</v>
      </c>
      <c r="H10" s="13">
        <v>250</v>
      </c>
      <c r="I10" s="13">
        <v>310</v>
      </c>
      <c r="J10" s="13">
        <v>322</v>
      </c>
      <c r="K10" s="13">
        <v>347</v>
      </c>
      <c r="L10" s="13">
        <v>2.5</v>
      </c>
      <c r="M10" s="13">
        <v>9.5</v>
      </c>
      <c r="N10" s="13">
        <v>2.0099999999999998</v>
      </c>
      <c r="O10" s="13">
        <v>100</v>
      </c>
      <c r="P10" s="13">
        <v>50</v>
      </c>
      <c r="Q10" s="13">
        <v>14</v>
      </c>
      <c r="R10" s="13">
        <v>1.9</v>
      </c>
      <c r="S10" s="13">
        <v>1.2E-2</v>
      </c>
      <c r="T10" s="13">
        <v>30</v>
      </c>
      <c r="U10" s="13">
        <v>15</v>
      </c>
    </row>
    <row r="11" spans="2:21" x14ac:dyDescent="0.25">
      <c r="G11" s="15" t="s">
        <v>131</v>
      </c>
      <c r="H11" s="15">
        <v>290</v>
      </c>
      <c r="I11" s="15">
        <v>350</v>
      </c>
      <c r="J11" s="15">
        <v>343</v>
      </c>
      <c r="K11" s="15">
        <v>372</v>
      </c>
      <c r="L11" s="15">
        <v>2.6</v>
      </c>
      <c r="M11" s="15">
        <v>9.5</v>
      </c>
      <c r="N11" s="15">
        <v>1.5</v>
      </c>
      <c r="O11" s="15">
        <v>100</v>
      </c>
      <c r="P11" s="15">
        <v>29</v>
      </c>
      <c r="Q11" s="15">
        <v>17</v>
      </c>
      <c r="R11" s="15">
        <v>2.1</v>
      </c>
      <c r="S11" s="15">
        <v>1.2999999999999999E-2</v>
      </c>
      <c r="T11" s="15">
        <v>25</v>
      </c>
      <c r="U11" s="15">
        <v>15</v>
      </c>
    </row>
    <row r="12" spans="2:21" x14ac:dyDescent="0.25">
      <c r="G12" s="15" t="s">
        <v>133</v>
      </c>
      <c r="H12" s="15">
        <v>330</v>
      </c>
      <c r="I12" s="15">
        <v>400</v>
      </c>
      <c r="J12" s="15">
        <v>435</v>
      </c>
      <c r="K12" s="15">
        <v>465</v>
      </c>
      <c r="L12" s="15">
        <v>3.2</v>
      </c>
      <c r="M12" s="15">
        <v>9.5</v>
      </c>
      <c r="N12" s="15">
        <v>1.4</v>
      </c>
      <c r="O12" s="15">
        <v>100</v>
      </c>
      <c r="P12" s="15">
        <v>20</v>
      </c>
      <c r="Q12" s="15">
        <v>18</v>
      </c>
      <c r="R12" s="15">
        <v>2.2999999999999998</v>
      </c>
      <c r="S12" s="15">
        <v>1.4E-2</v>
      </c>
      <c r="T12" s="15">
        <v>25</v>
      </c>
      <c r="U12" s="15">
        <v>20</v>
      </c>
    </row>
    <row r="13" spans="2:21" x14ac:dyDescent="0.25">
      <c r="G13" s="15" t="s">
        <v>2431</v>
      </c>
      <c r="H13" s="15">
        <v>360</v>
      </c>
      <c r="I13" s="15">
        <v>430</v>
      </c>
      <c r="J13" s="15">
        <v>450</v>
      </c>
      <c r="K13" s="15">
        <v>505</v>
      </c>
      <c r="L13" s="15">
        <v>3.4</v>
      </c>
      <c r="M13" s="15">
        <v>9.5</v>
      </c>
      <c r="N13" s="15">
        <v>1.8</v>
      </c>
      <c r="O13" s="15">
        <v>100</v>
      </c>
      <c r="P13" s="15">
        <v>40</v>
      </c>
      <c r="Q13" s="15">
        <v>14</v>
      </c>
      <c r="R13" s="15">
        <v>2.2999999999999998</v>
      </c>
      <c r="S13" s="15">
        <v>1.4E-2</v>
      </c>
      <c r="T13" s="15">
        <v>25</v>
      </c>
      <c r="U13" s="15">
        <v>20</v>
      </c>
    </row>
    <row r="14" spans="2:21" x14ac:dyDescent="0.25">
      <c r="G14" s="16" t="s">
        <v>132</v>
      </c>
      <c r="H14" s="16">
        <v>375</v>
      </c>
      <c r="I14" s="16">
        <v>445</v>
      </c>
      <c r="J14" s="16">
        <v>540</v>
      </c>
      <c r="K14" s="16">
        <v>590</v>
      </c>
      <c r="L14" s="16">
        <v>3.9</v>
      </c>
      <c r="M14" s="16">
        <v>9.5</v>
      </c>
      <c r="N14" s="16">
        <v>1.6</v>
      </c>
      <c r="O14" s="16">
        <v>100</v>
      </c>
      <c r="P14" s="16">
        <v>50</v>
      </c>
      <c r="Q14" s="16">
        <v>34</v>
      </c>
      <c r="R14" s="16">
        <v>2.2999999999999998</v>
      </c>
      <c r="S14" s="16">
        <v>1.4999999999999999E-2</v>
      </c>
      <c r="T14" s="16">
        <v>25</v>
      </c>
      <c r="U14" s="16">
        <v>20</v>
      </c>
    </row>
    <row r="15" spans="2:21" x14ac:dyDescent="0.25">
      <c r="G15" s="16" t="s">
        <v>134</v>
      </c>
      <c r="H15" s="16">
        <v>425</v>
      </c>
      <c r="I15" s="16">
        <v>500</v>
      </c>
      <c r="J15" s="16">
        <v>680</v>
      </c>
      <c r="K15" s="16">
        <v>730</v>
      </c>
      <c r="L15" s="16">
        <v>4.7</v>
      </c>
      <c r="M15" s="16">
        <v>9.5</v>
      </c>
      <c r="N15" s="16">
        <v>1.9</v>
      </c>
      <c r="O15" s="16">
        <v>100</v>
      </c>
      <c r="P15" s="16">
        <v>19</v>
      </c>
      <c r="Q15" s="16">
        <v>12</v>
      </c>
      <c r="R15" s="16">
        <v>2.4</v>
      </c>
      <c r="S15" s="16">
        <v>1.6E-2</v>
      </c>
      <c r="T15" s="16">
        <v>20</v>
      </c>
      <c r="U15" s="16">
        <v>20</v>
      </c>
    </row>
    <row r="16" spans="2:21" x14ac:dyDescent="0.25">
      <c r="G16" s="16" t="s">
        <v>7989</v>
      </c>
      <c r="H16" s="16">
        <v>1000</v>
      </c>
      <c r="I16" s="16">
        <v>1500</v>
      </c>
      <c r="J16" s="16">
        <v>680</v>
      </c>
      <c r="K16" s="16">
        <v>730</v>
      </c>
      <c r="L16" s="16">
        <v>4.7</v>
      </c>
      <c r="M16" s="16">
        <v>9.5</v>
      </c>
      <c r="N16" s="16">
        <v>1.9</v>
      </c>
      <c r="O16" s="16">
        <v>100</v>
      </c>
      <c r="P16" s="16">
        <v>19</v>
      </c>
      <c r="Q16" s="16">
        <v>19</v>
      </c>
      <c r="R16" s="16">
        <v>2.6</v>
      </c>
      <c r="S16" s="16">
        <v>3.2000000000000001E-2</v>
      </c>
      <c r="T16" s="16">
        <v>20</v>
      </c>
      <c r="U16" s="16">
        <v>20</v>
      </c>
    </row>
    <row r="17" spans="7:21" x14ac:dyDescent="0.25">
      <c r="G17" s="183" t="s">
        <v>8102</v>
      </c>
      <c r="H17" s="183">
        <v>500</v>
      </c>
      <c r="I17" s="183">
        <v>600</v>
      </c>
      <c r="J17" s="183">
        <v>700</v>
      </c>
      <c r="K17" s="183">
        <v>750</v>
      </c>
      <c r="L17" s="183">
        <v>4.9000000000000004</v>
      </c>
      <c r="M17" s="183">
        <v>9.5</v>
      </c>
      <c r="N17" s="183">
        <v>2.0099999999999998</v>
      </c>
      <c r="O17" s="183">
        <v>100</v>
      </c>
      <c r="P17" s="183">
        <v>19</v>
      </c>
      <c r="Q17" s="183">
        <v>19</v>
      </c>
      <c r="R17" s="183">
        <v>2.5</v>
      </c>
      <c r="S17" s="183">
        <v>0.02</v>
      </c>
      <c r="T17" s="183">
        <v>20</v>
      </c>
      <c r="U17" s="183">
        <v>20</v>
      </c>
    </row>
    <row r="18" spans="7:21" x14ac:dyDescent="0.25">
      <c r="G18" s="183" t="s">
        <v>8131</v>
      </c>
      <c r="H18" s="183">
        <v>550</v>
      </c>
      <c r="I18" s="183">
        <v>650</v>
      </c>
      <c r="J18" s="183">
        <v>700</v>
      </c>
      <c r="K18" s="183">
        <v>750</v>
      </c>
      <c r="L18" s="183">
        <v>4.9000000000000004</v>
      </c>
      <c r="M18" s="183">
        <v>9.5</v>
      </c>
      <c r="N18" s="183">
        <v>2</v>
      </c>
      <c r="O18" s="183">
        <v>100</v>
      </c>
      <c r="P18" s="183">
        <v>19</v>
      </c>
      <c r="Q18" s="183">
        <v>19</v>
      </c>
      <c r="R18" s="183">
        <v>2.6</v>
      </c>
      <c r="S18" s="183">
        <v>2.5000000000000001E-2</v>
      </c>
      <c r="T18" s="183">
        <v>20</v>
      </c>
      <c r="U18" s="183">
        <v>20</v>
      </c>
    </row>
    <row r="19" spans="7:21" x14ac:dyDescent="0.25">
      <c r="G19" s="183" t="s">
        <v>8165</v>
      </c>
      <c r="H19" s="183">
        <v>550</v>
      </c>
      <c r="I19" s="183">
        <v>650</v>
      </c>
      <c r="J19" s="183">
        <v>700</v>
      </c>
      <c r="K19" s="183">
        <v>750</v>
      </c>
      <c r="L19" s="183">
        <v>4.9000000000000004</v>
      </c>
      <c r="M19" s="183">
        <v>9.5</v>
      </c>
      <c r="N19" s="183">
        <v>2</v>
      </c>
      <c r="O19" s="183">
        <v>100</v>
      </c>
      <c r="P19" s="183">
        <v>19</v>
      </c>
      <c r="Q19" s="183">
        <v>19</v>
      </c>
      <c r="R19" s="183">
        <v>2.6</v>
      </c>
      <c r="S19" s="183">
        <v>2.5000000000000001E-2</v>
      </c>
      <c r="T19" s="183">
        <v>20</v>
      </c>
      <c r="U19" s="183">
        <v>20</v>
      </c>
    </row>
    <row r="20" spans="7:21" x14ac:dyDescent="0.25">
      <c r="G20" s="183" t="s">
        <v>8166</v>
      </c>
      <c r="H20" s="192">
        <v>550</v>
      </c>
      <c r="I20" s="192">
        <v>650</v>
      </c>
      <c r="J20" s="192">
        <v>700</v>
      </c>
      <c r="K20" s="192">
        <v>750</v>
      </c>
      <c r="L20" s="192">
        <v>4.9000000000000004</v>
      </c>
      <c r="M20" s="192">
        <v>9.5</v>
      </c>
      <c r="N20" s="192">
        <v>2</v>
      </c>
      <c r="O20" s="192">
        <v>100</v>
      </c>
      <c r="P20" s="192">
        <v>19</v>
      </c>
      <c r="Q20" s="192">
        <v>19</v>
      </c>
      <c r="R20" s="192">
        <v>2.6</v>
      </c>
      <c r="S20" s="192">
        <v>2.5000000000000001E-2</v>
      </c>
      <c r="T20" s="192">
        <v>20</v>
      </c>
      <c r="U20" s="183">
        <v>20</v>
      </c>
    </row>
    <row r="22" spans="7:21" x14ac:dyDescent="0.25">
      <c r="G22" t="s">
        <v>166</v>
      </c>
    </row>
    <row r="24" spans="7:21" x14ac:dyDescent="0.25">
      <c r="H24" s="40" t="s">
        <v>170</v>
      </c>
      <c r="I24" s="2" t="s">
        <v>171</v>
      </c>
    </row>
    <row r="25" spans="7:21" x14ac:dyDescent="0.25">
      <c r="G25" s="35" t="s">
        <v>167</v>
      </c>
      <c r="H25" s="37">
        <v>0.25</v>
      </c>
      <c r="I25" s="38">
        <v>1</v>
      </c>
    </row>
    <row r="26" spans="7:21" x14ac:dyDescent="0.25">
      <c r="G26" s="35" t="s">
        <v>168</v>
      </c>
      <c r="H26" s="36">
        <v>0.1</v>
      </c>
      <c r="I26" s="39">
        <v>0.7</v>
      </c>
    </row>
    <row r="27" spans="7:21" x14ac:dyDescent="0.25">
      <c r="G27" s="35" t="s">
        <v>169</v>
      </c>
      <c r="H27" s="36">
        <v>0.05</v>
      </c>
      <c r="I27" s="39">
        <v>0.4</v>
      </c>
    </row>
    <row r="36" spans="8:15" x14ac:dyDescent="0.25">
      <c r="O36" s="71"/>
    </row>
    <row r="38" spans="8:15" x14ac:dyDescent="0.25">
      <c r="M38" s="71"/>
    </row>
    <row r="40" spans="8:15" x14ac:dyDescent="0.25">
      <c r="H40" s="71"/>
      <c r="I40" s="71"/>
    </row>
  </sheetData>
  <dataValidations count="1">
    <dataValidation type="decimal" allowBlank="1" showInputMessage="1" showErrorMessage="1" prompt="percentage [0..1]" sqref="H25:H27">
      <formula1>0</formula1>
      <formula2>1</formula2>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GP866"/>
  <sheetViews>
    <sheetView topLeftCell="DM1" workbookViewId="0">
      <selection activeCell="DT6" sqref="DT6"/>
    </sheetView>
  </sheetViews>
  <sheetFormatPr defaultRowHeight="15" x14ac:dyDescent="0.25"/>
  <cols>
    <col min="2" max="2" width="27.85546875" customWidth="1"/>
    <col min="3" max="3" width="24" customWidth="1"/>
    <col min="4" max="4" width="17.28515625" customWidth="1"/>
    <col min="5" max="5" width="19.42578125" customWidth="1"/>
    <col min="6" max="6" width="8.140625" customWidth="1"/>
    <col min="7" max="7" width="11.140625" customWidth="1"/>
    <col min="8" max="8" width="12.42578125" customWidth="1"/>
    <col min="9" max="9" width="15.140625" customWidth="1"/>
    <col min="10" max="10" width="14.7109375" customWidth="1"/>
    <col min="11" max="11" width="12.42578125" customWidth="1"/>
    <col min="13" max="13" width="27.85546875" customWidth="1"/>
    <col min="14" max="14" width="23.140625" customWidth="1"/>
    <col min="15" max="15" width="15.7109375" customWidth="1"/>
    <col min="16" max="16" width="19.7109375" customWidth="1"/>
    <col min="17" max="17" width="7" customWidth="1"/>
    <col min="18" max="18" width="10.85546875" customWidth="1"/>
    <col min="19" max="19" width="12.85546875" customWidth="1"/>
    <col min="20" max="20" width="15.140625" customWidth="1"/>
    <col min="21" max="21" width="14.5703125" customWidth="1"/>
    <col min="22" max="23" width="12.85546875" customWidth="1"/>
    <col min="24" max="24" width="28.140625" customWidth="1"/>
    <col min="25" max="25" width="23.85546875" customWidth="1"/>
    <col min="26" max="26" width="16.28515625" customWidth="1"/>
    <col min="27" max="27" width="19.140625" customWidth="1"/>
    <col min="28" max="28" width="6.85546875" customWidth="1"/>
    <col min="29" max="30" width="12.85546875" customWidth="1"/>
    <col min="31" max="31" width="14.7109375" customWidth="1"/>
    <col min="32" max="32" width="15.140625" customWidth="1"/>
    <col min="33" max="33" width="12.85546875" customWidth="1"/>
    <col min="35" max="35" width="29.7109375" customWidth="1"/>
    <col min="36" max="36" width="23.140625" customWidth="1"/>
    <col min="37" max="37" width="15.7109375" customWidth="1"/>
    <col min="38" max="38" width="19.85546875" customWidth="1"/>
    <col min="39" max="39" width="8" customWidth="1"/>
    <col min="40" max="40" width="11.140625" customWidth="1"/>
    <col min="41" max="41" width="13.140625" customWidth="1"/>
    <col min="42" max="42" width="14.28515625" customWidth="1"/>
    <col min="43" max="43" width="15" customWidth="1"/>
    <col min="44" max="44" width="12.42578125" customWidth="1"/>
    <col min="46" max="46" width="29.28515625" customWidth="1"/>
    <col min="47" max="47" width="23.140625" customWidth="1"/>
    <col min="48" max="48" width="15.7109375" customWidth="1"/>
    <col min="49" max="49" width="19.85546875" customWidth="1"/>
    <col min="50" max="50" width="8" customWidth="1"/>
    <col min="51" max="51" width="11.42578125" customWidth="1"/>
    <col min="52" max="52" width="13.42578125" customWidth="1"/>
    <col min="53" max="53" width="15.42578125" customWidth="1"/>
    <col min="54" max="54" width="14.7109375" customWidth="1"/>
    <col min="55" max="55" width="13.140625" customWidth="1"/>
    <col min="57" max="57" width="28.7109375" customWidth="1"/>
    <col min="58" max="58" width="24" customWidth="1"/>
    <col min="59" max="59" width="17.28515625" customWidth="1"/>
    <col min="60" max="60" width="19.42578125" customWidth="1"/>
    <col min="62" max="62" width="10.5703125" customWidth="1"/>
    <col min="63" max="63" width="13.140625" customWidth="1"/>
    <col min="64" max="64" width="14.85546875" customWidth="1"/>
    <col min="65" max="65" width="15.140625" customWidth="1"/>
    <col min="66" max="66" width="13.140625" customWidth="1"/>
    <col min="68" max="68" width="27.28515625" customWidth="1"/>
    <col min="69" max="69" width="24.85546875" customWidth="1"/>
    <col min="70" max="70" width="16.42578125" customWidth="1"/>
    <col min="71" max="71" width="19.85546875" customWidth="1"/>
    <col min="73" max="73" width="10.85546875" customWidth="1"/>
    <col min="74" max="78" width="14.7109375" customWidth="1"/>
    <col min="79" max="79" width="36.85546875" customWidth="1"/>
    <col min="80" max="80" width="23.140625" customWidth="1"/>
    <col min="81" max="81" width="15.7109375" customWidth="1"/>
    <col min="82" max="82" width="18.7109375" customWidth="1"/>
    <col min="83" max="88" width="14.7109375" customWidth="1"/>
    <col min="89" max="89" width="9.140625" style="80"/>
    <col min="90" max="90" width="30" customWidth="1"/>
    <col min="91" max="91" width="23.85546875" customWidth="1"/>
    <col min="92" max="92" width="16.28515625" customWidth="1"/>
    <col min="93" max="93" width="21" customWidth="1"/>
    <col min="94" max="94" width="14.5703125" customWidth="1"/>
    <col min="95" max="95" width="13.85546875" customWidth="1"/>
    <col min="96" max="96" width="14.42578125" customWidth="1"/>
    <col min="97" max="97" width="15.7109375" customWidth="1"/>
    <col min="98" max="98" width="15.42578125" customWidth="1"/>
    <col min="99" max="99" width="14.42578125" customWidth="1"/>
    <col min="101" max="101" width="30.85546875" customWidth="1"/>
    <col min="102" max="102" width="23.7109375" customWidth="1"/>
    <col min="103" max="103" width="16.28515625" customWidth="1"/>
    <col min="104" max="104" width="22.42578125" customWidth="1"/>
    <col min="105" max="106" width="10.85546875" customWidth="1"/>
    <col min="107" max="107" width="13.5703125" customWidth="1"/>
    <col min="108" max="109" width="14.7109375" customWidth="1"/>
    <col min="110" max="110" width="13.5703125" customWidth="1"/>
    <col min="112" max="112" width="30.7109375" customWidth="1"/>
    <col min="113" max="113" width="25" customWidth="1"/>
    <col min="114" max="114" width="17.85546875" customWidth="1"/>
    <col min="115" max="115" width="23.28515625" customWidth="1"/>
    <col min="116" max="116" width="11" customWidth="1"/>
    <col min="117" max="117" width="12.140625" customWidth="1"/>
    <col min="118" max="118" width="13.85546875" customWidth="1"/>
    <col min="119" max="119" width="15.5703125" customWidth="1"/>
    <col min="120" max="120" width="15.140625" customWidth="1"/>
    <col min="121" max="121" width="13.85546875" customWidth="1"/>
    <col min="123" max="123" width="34.42578125" customWidth="1"/>
    <col min="124" max="124" width="25.5703125" customWidth="1"/>
    <col min="125" max="125" width="17.42578125" customWidth="1"/>
    <col min="126" max="126" width="21.42578125" customWidth="1"/>
    <col min="127" max="127" width="14" customWidth="1"/>
    <col min="128" max="128" width="11.7109375" customWidth="1"/>
    <col min="129" max="133" width="16.5703125" customWidth="1"/>
    <col min="134" max="134" width="35.7109375" customWidth="1"/>
    <col min="135" max="135" width="23.140625" customWidth="1"/>
    <col min="136" max="136" width="16.5703125" customWidth="1"/>
    <col min="137" max="137" width="19.28515625" customWidth="1"/>
    <col min="138" max="143" width="16.5703125" customWidth="1"/>
    <col min="144" max="144" width="9.140625" style="80"/>
    <col min="145" max="145" width="37.85546875" customWidth="1"/>
    <col min="146" max="146" width="25.85546875" customWidth="1"/>
    <col min="147" max="147" width="15.7109375" customWidth="1"/>
    <col min="148" max="148" width="20.140625" customWidth="1"/>
    <col min="150" max="150" width="9.7109375" customWidth="1"/>
    <col min="151" max="151" width="12.5703125" customWidth="1"/>
    <col min="152" max="152" width="15.7109375" customWidth="1"/>
    <col min="153" max="153" width="15" customWidth="1"/>
    <col min="154" max="154" width="12.5703125" customWidth="1"/>
    <col min="156" max="156" width="30.85546875" customWidth="1"/>
    <col min="157" max="157" width="24.140625" customWidth="1"/>
    <col min="158" max="158" width="17.5703125" customWidth="1"/>
    <col min="159" max="159" width="19.42578125" customWidth="1"/>
    <col min="161" max="161" width="12.42578125" customWidth="1"/>
    <col min="162" max="162" width="13.140625" customWidth="1"/>
    <col min="163" max="163" width="15" customWidth="1"/>
    <col min="164" max="164" width="15.140625" customWidth="1"/>
    <col min="165" max="165" width="13.140625" customWidth="1"/>
    <col min="167" max="167" width="34.5703125" customWidth="1"/>
    <col min="168" max="168" width="25.28515625" customWidth="1"/>
    <col min="169" max="169" width="16.42578125" customWidth="1"/>
    <col min="170" max="170" width="20.42578125" customWidth="1"/>
    <col min="172" max="172" width="12" customWidth="1"/>
    <col min="173" max="173" width="14" customWidth="1"/>
    <col min="174" max="174" width="15.42578125" customWidth="1"/>
    <col min="175" max="175" width="15.140625" customWidth="1"/>
    <col min="176" max="176" width="14" customWidth="1"/>
    <col min="178" max="178" width="36.42578125" customWidth="1"/>
    <col min="179" max="179" width="24.7109375" customWidth="1"/>
    <col min="180" max="180" width="17.5703125" customWidth="1"/>
    <col min="181" max="181" width="19.5703125" customWidth="1"/>
    <col min="183" max="183" width="11.7109375" customWidth="1"/>
    <col min="184" max="184" width="14" customWidth="1"/>
    <col min="185" max="185" width="15.7109375" customWidth="1"/>
    <col min="186" max="186" width="15.140625" customWidth="1"/>
    <col min="187" max="187" width="12.85546875" customWidth="1"/>
    <col min="189" max="189" width="20.140625" customWidth="1"/>
    <col min="190" max="190" width="23.140625" customWidth="1"/>
    <col min="191" max="191" width="15.7109375" customWidth="1"/>
    <col min="192" max="192" width="20.5703125" customWidth="1"/>
    <col min="194" max="194" width="9.7109375" customWidth="1"/>
    <col min="195" max="195" width="12.5703125" customWidth="1"/>
    <col min="196" max="196" width="14.28515625" customWidth="1"/>
    <col min="197" max="197" width="14.5703125" customWidth="1"/>
    <col min="198" max="198" width="11.42578125" customWidth="1"/>
  </cols>
  <sheetData>
    <row r="2" spans="2:195" x14ac:dyDescent="0.25">
      <c r="B2" t="s">
        <v>4465</v>
      </c>
      <c r="CX2" s="81"/>
    </row>
    <row r="4" spans="2:195" x14ac:dyDescent="0.25">
      <c r="B4" s="1" t="s">
        <v>252</v>
      </c>
      <c r="C4" s="1" t="s">
        <v>8130</v>
      </c>
      <c r="F4" s="79"/>
      <c r="G4" s="79"/>
      <c r="M4" s="1" t="s">
        <v>252</v>
      </c>
      <c r="N4" s="1" t="s">
        <v>8147</v>
      </c>
      <c r="Q4" s="79"/>
      <c r="R4" s="79"/>
      <c r="X4" s="1" t="s">
        <v>252</v>
      </c>
      <c r="Y4" s="1" t="s">
        <v>249</v>
      </c>
      <c r="AB4" s="79"/>
      <c r="AC4" s="79"/>
      <c r="AI4" s="1" t="s">
        <v>252</v>
      </c>
      <c r="AJ4" s="1" t="s">
        <v>249</v>
      </c>
      <c r="AM4" s="79"/>
      <c r="AN4" s="79"/>
      <c r="AT4" s="1" t="s">
        <v>252</v>
      </c>
      <c r="AU4" s="1" t="s">
        <v>249</v>
      </c>
      <c r="AX4" s="79"/>
      <c r="AY4" s="79"/>
      <c r="BE4" s="1" t="s">
        <v>252</v>
      </c>
      <c r="BF4" s="1" t="s">
        <v>249</v>
      </c>
      <c r="BI4" s="79"/>
      <c r="BJ4" s="79"/>
      <c r="BP4" s="1" t="s">
        <v>252</v>
      </c>
      <c r="BQ4" s="1" t="s">
        <v>8130</v>
      </c>
      <c r="BT4" s="79"/>
      <c r="BU4" s="79"/>
      <c r="CA4" s="1" t="s">
        <v>252</v>
      </c>
      <c r="CB4" s="1" t="s">
        <v>8130</v>
      </c>
      <c r="CE4" s="79"/>
      <c r="CF4" s="79"/>
      <c r="CL4" s="1" t="s">
        <v>252</v>
      </c>
      <c r="CM4" s="1" t="s">
        <v>8008</v>
      </c>
      <c r="CP4" s="79"/>
      <c r="CQ4" s="79"/>
      <c r="CW4" s="1" t="s">
        <v>252</v>
      </c>
      <c r="CX4" s="1" t="s">
        <v>8008</v>
      </c>
      <c r="DA4" s="79"/>
      <c r="DB4" s="79"/>
      <c r="DH4" s="1" t="s">
        <v>252</v>
      </c>
      <c r="DI4" s="1" t="s">
        <v>8008</v>
      </c>
      <c r="DL4" s="79"/>
      <c r="DM4" s="79"/>
      <c r="DS4" s="1" t="s">
        <v>252</v>
      </c>
      <c r="DT4" s="1" t="s">
        <v>8009</v>
      </c>
      <c r="DW4" s="79"/>
      <c r="DX4" s="79"/>
      <c r="ED4" s="1" t="s">
        <v>252</v>
      </c>
      <c r="EE4" s="1" t="s">
        <v>8008</v>
      </c>
      <c r="EH4" s="79"/>
      <c r="EI4" s="79"/>
      <c r="EO4" s="1" t="s">
        <v>252</v>
      </c>
      <c r="EP4" s="1" t="s">
        <v>524</v>
      </c>
      <c r="ES4" s="79"/>
      <c r="ET4" s="79"/>
      <c r="EZ4" s="1" t="s">
        <v>252</v>
      </c>
      <c r="FA4" s="1" t="s">
        <v>524</v>
      </c>
      <c r="FD4" s="79"/>
      <c r="FE4" s="79"/>
      <c r="FK4" s="1" t="s">
        <v>252</v>
      </c>
      <c r="FL4" s="1" t="s">
        <v>524</v>
      </c>
      <c r="FO4" s="79"/>
      <c r="FP4" s="79"/>
      <c r="FV4" s="1" t="s">
        <v>252</v>
      </c>
      <c r="FW4" s="1" t="s">
        <v>524</v>
      </c>
      <c r="FZ4" s="79"/>
      <c r="GA4" s="79"/>
      <c r="GG4" s="1" t="s">
        <v>252</v>
      </c>
      <c r="GH4" s="1" t="s">
        <v>524</v>
      </c>
      <c r="GK4" s="79"/>
      <c r="GL4" s="79"/>
    </row>
    <row r="5" spans="2:195" x14ac:dyDescent="0.25">
      <c r="B5" s="1" t="s">
        <v>206</v>
      </c>
      <c r="C5" s="1" t="s">
        <v>363</v>
      </c>
      <c r="E5" s="1" t="s">
        <v>467</v>
      </c>
      <c r="F5" s="1">
        <v>250</v>
      </c>
      <c r="G5" s="1">
        <v>130</v>
      </c>
      <c r="H5" s="1" t="s">
        <v>468</v>
      </c>
      <c r="I5" s="1"/>
      <c r="J5" s="1"/>
      <c r="K5" s="1"/>
      <c r="M5" s="1" t="s">
        <v>206</v>
      </c>
      <c r="N5" s="1" t="s">
        <v>8145</v>
      </c>
      <c r="P5" s="1" t="s">
        <v>467</v>
      </c>
      <c r="Q5" s="1">
        <v>105</v>
      </c>
      <c r="R5" s="1">
        <v>130</v>
      </c>
      <c r="S5" s="1" t="s">
        <v>468</v>
      </c>
      <c r="T5" s="1"/>
      <c r="U5" s="1"/>
      <c r="V5" s="1"/>
      <c r="X5" s="1" t="s">
        <v>206</v>
      </c>
      <c r="Y5" s="1" t="s">
        <v>8146</v>
      </c>
      <c r="AA5" s="1" t="s">
        <v>467</v>
      </c>
      <c r="AB5" s="1">
        <v>50</v>
      </c>
      <c r="AC5" s="1">
        <v>100</v>
      </c>
      <c r="AD5" s="1" t="s">
        <v>468</v>
      </c>
      <c r="AE5" s="1"/>
      <c r="AF5" s="1"/>
      <c r="AG5" s="1"/>
      <c r="AI5" s="1" t="s">
        <v>206</v>
      </c>
      <c r="AJ5" s="1" t="s">
        <v>373</v>
      </c>
      <c r="AL5" s="1" t="s">
        <v>467</v>
      </c>
      <c r="AM5" s="1">
        <v>215</v>
      </c>
      <c r="AN5" s="1">
        <v>100</v>
      </c>
      <c r="AO5" s="1" t="s">
        <v>468</v>
      </c>
      <c r="AP5" s="1"/>
      <c r="AQ5" s="1"/>
      <c r="AR5" s="1"/>
      <c r="AT5" s="1" t="s">
        <v>206</v>
      </c>
      <c r="AU5" s="1" t="s">
        <v>378</v>
      </c>
      <c r="AW5" s="1" t="s">
        <v>467</v>
      </c>
      <c r="AX5" s="1">
        <v>215</v>
      </c>
      <c r="AY5" s="1">
        <v>55</v>
      </c>
      <c r="AZ5" s="1" t="s">
        <v>468</v>
      </c>
      <c r="BA5" s="1"/>
      <c r="BB5" s="1"/>
      <c r="BC5" s="1"/>
      <c r="BE5" s="1" t="s">
        <v>206</v>
      </c>
      <c r="BF5" s="1" t="s">
        <v>557</v>
      </c>
      <c r="BH5" s="1" t="s">
        <v>467</v>
      </c>
      <c r="BI5" s="1">
        <v>245</v>
      </c>
      <c r="BJ5" s="1">
        <v>90</v>
      </c>
      <c r="BK5" s="1" t="s">
        <v>468</v>
      </c>
      <c r="BL5" s="1"/>
      <c r="BM5" s="1"/>
      <c r="BN5" s="1"/>
      <c r="BP5" s="1" t="s">
        <v>206</v>
      </c>
      <c r="BQ5" s="1" t="s">
        <v>558</v>
      </c>
      <c r="BS5" s="1" t="s">
        <v>467</v>
      </c>
      <c r="BT5" s="1">
        <v>270</v>
      </c>
      <c r="BU5" s="1">
        <v>130</v>
      </c>
      <c r="BV5" s="1" t="s">
        <v>468</v>
      </c>
      <c r="BW5" s="1"/>
      <c r="BX5" s="1"/>
      <c r="BY5" s="1"/>
      <c r="BZ5" s="1"/>
      <c r="CA5" s="1" t="s">
        <v>206</v>
      </c>
      <c r="CB5" s="1" t="s">
        <v>3813</v>
      </c>
      <c r="CD5" s="1" t="s">
        <v>467</v>
      </c>
      <c r="CE5" s="1">
        <v>895</v>
      </c>
      <c r="CF5" s="1">
        <v>250</v>
      </c>
      <c r="CG5" s="1" t="s">
        <v>468</v>
      </c>
      <c r="CH5" s="1"/>
      <c r="CI5" s="1"/>
      <c r="CJ5" s="1"/>
      <c r="CL5" s="1" t="s">
        <v>206</v>
      </c>
      <c r="CM5" s="1" t="s">
        <v>7994</v>
      </c>
      <c r="CO5" s="1" t="s">
        <v>467</v>
      </c>
      <c r="CP5" s="1">
        <v>300</v>
      </c>
      <c r="CQ5" s="1">
        <v>160</v>
      </c>
      <c r="CR5" s="1" t="s">
        <v>468</v>
      </c>
      <c r="CS5" s="1"/>
      <c r="CT5" s="1"/>
      <c r="CU5" s="1"/>
      <c r="CW5" s="1" t="s">
        <v>206</v>
      </c>
      <c r="CX5" s="1" t="s">
        <v>501</v>
      </c>
      <c r="CZ5" s="1" t="s">
        <v>467</v>
      </c>
      <c r="DA5" s="1">
        <v>190</v>
      </c>
      <c r="DB5" s="1">
        <v>75</v>
      </c>
      <c r="DC5" s="1" t="s">
        <v>468</v>
      </c>
      <c r="DD5" s="1"/>
      <c r="DE5" s="1"/>
      <c r="DF5" s="1"/>
      <c r="DH5" s="1" t="s">
        <v>206</v>
      </c>
      <c r="DI5" s="1" t="s">
        <v>505</v>
      </c>
      <c r="DK5" s="1" t="s">
        <v>467</v>
      </c>
      <c r="DL5" s="1">
        <v>320</v>
      </c>
      <c r="DM5" s="1">
        <v>70</v>
      </c>
      <c r="DN5" s="1" t="s">
        <v>468</v>
      </c>
      <c r="DO5" s="1"/>
      <c r="DP5" s="1"/>
      <c r="DQ5" s="1"/>
      <c r="DS5" s="1" t="s">
        <v>206</v>
      </c>
      <c r="DT5" s="1" t="s">
        <v>8162</v>
      </c>
      <c r="DV5" s="1" t="s">
        <v>467</v>
      </c>
      <c r="DW5" s="1">
        <v>600</v>
      </c>
      <c r="DX5" s="1">
        <v>130</v>
      </c>
      <c r="DY5" s="1" t="s">
        <v>468</v>
      </c>
      <c r="DZ5" s="1"/>
      <c r="EA5" s="1"/>
      <c r="EB5" s="1"/>
      <c r="EC5" s="1"/>
      <c r="ED5" s="1" t="s">
        <v>206</v>
      </c>
      <c r="EE5" s="1" t="s">
        <v>3826</v>
      </c>
      <c r="EG5" s="1" t="s">
        <v>467</v>
      </c>
      <c r="EH5" s="1">
        <v>290</v>
      </c>
      <c r="EI5" s="1">
        <v>250</v>
      </c>
      <c r="EJ5" s="1" t="s">
        <v>468</v>
      </c>
      <c r="EK5" s="1"/>
      <c r="EL5" s="1"/>
      <c r="EM5" s="1"/>
      <c r="EO5" s="1" t="s">
        <v>206</v>
      </c>
      <c r="EP5" s="1" t="s">
        <v>8158</v>
      </c>
      <c r="ER5" s="1" t="s">
        <v>467</v>
      </c>
      <c r="ES5" s="1">
        <v>315</v>
      </c>
      <c r="ET5" s="1">
        <v>95</v>
      </c>
      <c r="EU5" s="1" t="s">
        <v>468</v>
      </c>
      <c r="EV5" s="1"/>
      <c r="EW5" s="1"/>
      <c r="EX5" s="1"/>
      <c r="EZ5" s="1" t="s">
        <v>206</v>
      </c>
      <c r="FA5" s="1" t="s">
        <v>8159</v>
      </c>
      <c r="FC5" s="1" t="s">
        <v>467</v>
      </c>
      <c r="FD5" s="1">
        <v>230</v>
      </c>
      <c r="FE5" s="1">
        <v>110</v>
      </c>
      <c r="FF5" s="1" t="s">
        <v>468</v>
      </c>
      <c r="FG5" s="1"/>
      <c r="FH5" s="1"/>
      <c r="FI5" s="1"/>
      <c r="FK5" s="1" t="s">
        <v>206</v>
      </c>
      <c r="FL5" s="1" t="s">
        <v>8160</v>
      </c>
      <c r="FN5" s="1" t="s">
        <v>467</v>
      </c>
      <c r="FO5" s="1">
        <v>300</v>
      </c>
      <c r="FP5" s="1">
        <v>200</v>
      </c>
      <c r="FQ5" s="1" t="s">
        <v>468</v>
      </c>
      <c r="FR5" s="1"/>
      <c r="FS5" s="1"/>
      <c r="FT5" s="1"/>
      <c r="FV5" s="1" t="s">
        <v>206</v>
      </c>
      <c r="FW5" s="1" t="s">
        <v>8161</v>
      </c>
      <c r="FY5" s="1" t="s">
        <v>467</v>
      </c>
      <c r="FZ5" s="1">
        <v>300</v>
      </c>
      <c r="GA5" s="1">
        <v>200</v>
      </c>
      <c r="GB5" s="1" t="s">
        <v>468</v>
      </c>
      <c r="GG5" s="1" t="s">
        <v>206</v>
      </c>
      <c r="GH5" s="1" t="s">
        <v>3830</v>
      </c>
      <c r="GJ5" s="1" t="s">
        <v>467</v>
      </c>
      <c r="GK5" s="1">
        <v>390</v>
      </c>
      <c r="GL5" s="1">
        <v>250</v>
      </c>
      <c r="GM5" s="1" t="s">
        <v>468</v>
      </c>
    </row>
    <row r="6" spans="2:195" x14ac:dyDescent="0.25">
      <c r="B6" s="1" t="s">
        <v>207</v>
      </c>
      <c r="C6" s="70">
        <f ca="1">ROUNDUP(SUM(Table245[total xp]),0)</f>
        <v>51107</v>
      </c>
      <c r="E6" s="1" t="s">
        <v>469</v>
      </c>
      <c r="F6" s="1">
        <f ca="1">ROUND(C6/(F5*G5),1)</f>
        <v>1.6</v>
      </c>
      <c r="G6" s="1" t="s">
        <v>470</v>
      </c>
      <c r="M6" s="1" t="s">
        <v>207</v>
      </c>
      <c r="N6" s="70">
        <f ca="1">ROUNDUP(SUM(Table3[total xp]),0)</f>
        <v>17186</v>
      </c>
      <c r="P6" s="1" t="s">
        <v>469</v>
      </c>
      <c r="Q6" s="1">
        <f ca="1">ROUND(N6/(Q5*R5),1)</f>
        <v>1.3</v>
      </c>
      <c r="R6" s="1" t="s">
        <v>470</v>
      </c>
      <c r="X6" s="1" t="s">
        <v>207</v>
      </c>
      <c r="Y6" s="70">
        <f ca="1">ROUNDUP(SUM(Table39[total xp]),0)</f>
        <v>4981</v>
      </c>
      <c r="AA6" s="1" t="s">
        <v>469</v>
      </c>
      <c r="AB6" s="1">
        <f ca="1">ROUND(Y6/(AB5*AC5),1)</f>
        <v>1</v>
      </c>
      <c r="AC6" s="1" t="s">
        <v>470</v>
      </c>
      <c r="AI6" s="1" t="s">
        <v>207</v>
      </c>
      <c r="AJ6" s="70">
        <f ca="1">ROUNDUP(SUM(Table2[total xp]),0)</f>
        <v>30887</v>
      </c>
      <c r="AL6" s="1" t="s">
        <v>469</v>
      </c>
      <c r="AM6" s="1">
        <f ca="1">ROUND(AJ6/(AM5*AN5),1)</f>
        <v>1.4</v>
      </c>
      <c r="AN6" s="1" t="s">
        <v>470</v>
      </c>
      <c r="AT6" s="1" t="s">
        <v>207</v>
      </c>
      <c r="AU6" s="70">
        <f ca="1">ROUNDUP(SUM(Table6[total xp]),0)</f>
        <v>12429</v>
      </c>
      <c r="AW6" s="1" t="s">
        <v>469</v>
      </c>
      <c r="AX6" s="1">
        <f ca="1">ROUND(AU6/(AX5*AY5),1)</f>
        <v>1.1000000000000001</v>
      </c>
      <c r="AY6" s="1" t="s">
        <v>470</v>
      </c>
      <c r="BE6" s="1" t="s">
        <v>207</v>
      </c>
      <c r="BF6" s="70">
        <f ca="1">ROUNDUP(SUM(Table610[total xp]),0)</f>
        <v>22939</v>
      </c>
      <c r="BH6" s="1" t="s">
        <v>469</v>
      </c>
      <c r="BI6" s="1">
        <f ca="1">ROUND(BF6/(BI5*BJ5),1)</f>
        <v>1</v>
      </c>
      <c r="BJ6" s="1" t="s">
        <v>470</v>
      </c>
      <c r="BP6" s="1" t="s">
        <v>207</v>
      </c>
      <c r="BQ6" s="70">
        <f ca="1">ROUNDUP(SUM(Table61011[total xp]),0)</f>
        <v>39655</v>
      </c>
      <c r="BS6" s="1" t="s">
        <v>469</v>
      </c>
      <c r="BT6" s="1">
        <f ca="1">ROUND(BQ6/(BT5*BU5),1)</f>
        <v>1.1000000000000001</v>
      </c>
      <c r="BU6" s="1" t="s">
        <v>470</v>
      </c>
      <c r="CA6" s="1" t="s">
        <v>207</v>
      </c>
      <c r="CB6" s="70">
        <f ca="1">ROUNDUP(SUM(Table35[total xp]),0)</f>
        <v>19809</v>
      </c>
      <c r="CD6" s="1" t="s">
        <v>469</v>
      </c>
      <c r="CE6" s="1">
        <f ca="1">ROUND(CB6/(CE5*CF5),1)</f>
        <v>0.1</v>
      </c>
      <c r="CF6" s="1" t="s">
        <v>470</v>
      </c>
      <c r="CL6" s="1" t="s">
        <v>207</v>
      </c>
      <c r="CM6" s="70">
        <f ca="1">ROUNDUP(SUM(Table11[total xp]),0)</f>
        <v>40897</v>
      </c>
      <c r="CO6" s="1" t="s">
        <v>469</v>
      </c>
      <c r="CP6" s="1">
        <f ca="1">ROUND(CM6/(CP5*CQ5),1)</f>
        <v>0.9</v>
      </c>
      <c r="CQ6" s="1" t="s">
        <v>470</v>
      </c>
      <c r="CW6" s="1" t="s">
        <v>207</v>
      </c>
      <c r="CX6" s="70">
        <f ca="1">ROUNDUP(SUM(Table12[total xp]),0)</f>
        <v>13841</v>
      </c>
      <c r="CZ6" s="1" t="s">
        <v>469</v>
      </c>
      <c r="DA6" s="1">
        <f ca="1">ROUND(CX6/(DA5*DB5),1)</f>
        <v>1</v>
      </c>
      <c r="DB6" s="1" t="s">
        <v>470</v>
      </c>
      <c r="DH6" s="1" t="s">
        <v>207</v>
      </c>
      <c r="DI6" s="70">
        <f ca="1">ROUNDUP(SUM(Table13[total xp]),0)</f>
        <v>25710</v>
      </c>
      <c r="DK6" s="1" t="s">
        <v>469</v>
      </c>
      <c r="DL6" s="1">
        <f ca="1">ROUND(DI6/(DL5*DM5),1)</f>
        <v>1.1000000000000001</v>
      </c>
      <c r="DM6" s="1" t="s">
        <v>470</v>
      </c>
      <c r="DS6" s="1" t="s">
        <v>207</v>
      </c>
      <c r="DT6" s="70">
        <f ca="1">ROUNDUP(SUM(Table14[total xp]),0)</f>
        <v>58557</v>
      </c>
      <c r="DV6" s="1" t="s">
        <v>469</v>
      </c>
      <c r="DW6" s="1">
        <f ca="1">ROUND(DT6/(DW5*DX5),1)</f>
        <v>0.8</v>
      </c>
      <c r="DX6" s="1" t="s">
        <v>470</v>
      </c>
      <c r="ED6" s="1" t="s">
        <v>207</v>
      </c>
      <c r="EE6" s="70">
        <f ca="1">ROUNDUP(SUM(Table36[total xp]),0)</f>
        <v>7910</v>
      </c>
      <c r="EG6" s="1" t="s">
        <v>469</v>
      </c>
      <c r="EH6" s="1">
        <f ca="1">ROUND(EE6/(EH5*EI5),1)</f>
        <v>0.1</v>
      </c>
      <c r="EI6" s="1" t="s">
        <v>470</v>
      </c>
      <c r="EO6" s="1" t="s">
        <v>207</v>
      </c>
      <c r="EP6" s="70">
        <f ca="1">ROUNDUP(SUM(Table18[total xp]),0)</f>
        <v>43229</v>
      </c>
      <c r="ER6" s="1" t="s">
        <v>469</v>
      </c>
      <c r="ES6" s="1">
        <f ca="1">ROUND(EP6/(ES5*ET5),1)</f>
        <v>1.4</v>
      </c>
      <c r="ET6" s="1" t="s">
        <v>470</v>
      </c>
      <c r="EZ6" s="1" t="s">
        <v>207</v>
      </c>
      <c r="FA6" s="70">
        <f ca="1">ROUNDUP(SUM(Table1820[total xp]),0)</f>
        <v>26324</v>
      </c>
      <c r="FC6" s="1" t="s">
        <v>469</v>
      </c>
      <c r="FD6" s="1">
        <f ca="1">ROUND(FA6/(FD5*FE5),1)</f>
        <v>1</v>
      </c>
      <c r="FE6" s="1" t="s">
        <v>470</v>
      </c>
      <c r="FK6" s="1" t="s">
        <v>207</v>
      </c>
      <c r="FL6" s="70">
        <f ca="1">ROUNDUP(SUM(Table182023[total xp]),0)</f>
        <v>25323</v>
      </c>
      <c r="FN6" s="1" t="s">
        <v>469</v>
      </c>
      <c r="FO6" s="1">
        <f ca="1">ROUND(FL6/(FO5*FP5),1)</f>
        <v>0.4</v>
      </c>
      <c r="FP6" s="1" t="s">
        <v>470</v>
      </c>
      <c r="FV6" s="1" t="s">
        <v>207</v>
      </c>
      <c r="FW6" s="70">
        <f ca="1">ROUNDUP(SUM(Table18202324[total xp]),0)</f>
        <v>31805</v>
      </c>
      <c r="FY6" s="1" t="s">
        <v>469</v>
      </c>
      <c r="FZ6" s="1">
        <f ca="1">ROUND(FW6/(FZ5*GA5),1)</f>
        <v>0.5</v>
      </c>
      <c r="GA6" s="1" t="s">
        <v>470</v>
      </c>
      <c r="GG6" s="1" t="s">
        <v>207</v>
      </c>
      <c r="GH6" s="70">
        <f ca="1">ROUNDUP(SUM(Table37[total xp]),0)</f>
        <v>6921</v>
      </c>
      <c r="GJ6" s="1" t="s">
        <v>469</v>
      </c>
      <c r="GK6" s="1">
        <f ca="1">ROUND(GH6/(GK5*GL5),1)</f>
        <v>0.1</v>
      </c>
      <c r="GL6" s="1" t="s">
        <v>470</v>
      </c>
    </row>
    <row r="7" spans="2:195" x14ac:dyDescent="0.25">
      <c r="B7" s="1" t="s">
        <v>324</v>
      </c>
      <c r="C7" s="70">
        <f>COUNTA(Table245[spawner_sku])</f>
        <v>627</v>
      </c>
      <c r="E7" s="1" t="s">
        <v>471</v>
      </c>
      <c r="F7" s="1">
        <f>ROUND(C7/(F5*G5),4)</f>
        <v>1.9300000000000001E-2</v>
      </c>
      <c r="G7" s="1" t="s">
        <v>472</v>
      </c>
      <c r="M7" s="1" t="s">
        <v>324</v>
      </c>
      <c r="N7" s="70">
        <f>COUNTA(Table3[spawner_sku])</f>
        <v>236</v>
      </c>
      <c r="P7" s="1" t="s">
        <v>471</v>
      </c>
      <c r="Q7" s="1">
        <f>ROUND(N7/(Q5*R5),4)</f>
        <v>1.7299999999999999E-2</v>
      </c>
      <c r="R7" s="1" t="s">
        <v>472</v>
      </c>
      <c r="X7" s="1" t="s">
        <v>324</v>
      </c>
      <c r="Y7" s="70">
        <f>COUNTA(Table39[spawner_sku])</f>
        <v>73</v>
      </c>
      <c r="AA7" s="1" t="s">
        <v>471</v>
      </c>
      <c r="AB7" s="1">
        <f>ROUND(Y7/(AB5*AC5),4)</f>
        <v>1.46E-2</v>
      </c>
      <c r="AC7" s="1" t="s">
        <v>472</v>
      </c>
      <c r="AI7" s="1" t="s">
        <v>324</v>
      </c>
      <c r="AJ7" s="70">
        <f>COUNTA(Table2[spawner_sku])</f>
        <v>387</v>
      </c>
      <c r="AL7" s="1" t="s">
        <v>471</v>
      </c>
      <c r="AM7" s="1">
        <f>ROUND(AJ7/(AM5*AN5),4)</f>
        <v>1.7999999999999999E-2</v>
      </c>
      <c r="AN7" s="1" t="s">
        <v>472</v>
      </c>
      <c r="AT7" s="1" t="s">
        <v>324</v>
      </c>
      <c r="AU7" s="70">
        <f>COUNTA(Table6[spawner_sku])</f>
        <v>154</v>
      </c>
      <c r="AW7" s="1" t="s">
        <v>471</v>
      </c>
      <c r="AX7" s="1">
        <f>ROUND(AU7/(AX5*AY5),4)</f>
        <v>1.2999999999999999E-2</v>
      </c>
      <c r="AY7" s="1" t="s">
        <v>472</v>
      </c>
      <c r="BE7" s="1" t="s">
        <v>324</v>
      </c>
      <c r="BF7" s="70">
        <f>COUNTA(Table610[spawner_sku])</f>
        <v>226</v>
      </c>
      <c r="BH7" s="1" t="s">
        <v>471</v>
      </c>
      <c r="BI7" s="1">
        <f>ROUND(BF7/(BI5*BJ5),4)</f>
        <v>1.0200000000000001E-2</v>
      </c>
      <c r="BJ7" s="1" t="s">
        <v>472</v>
      </c>
      <c r="BP7" s="1" t="s">
        <v>324</v>
      </c>
      <c r="BQ7" s="70">
        <f>COUNTA(Table61011[spawner_sku])</f>
        <v>431</v>
      </c>
      <c r="BS7" s="1" t="s">
        <v>471</v>
      </c>
      <c r="BT7" s="1">
        <f>ROUND(BQ7/(BT5*BU5),4)</f>
        <v>1.23E-2</v>
      </c>
      <c r="BU7" s="1" t="s">
        <v>472</v>
      </c>
      <c r="CA7" s="1" t="s">
        <v>324</v>
      </c>
      <c r="CB7" s="70">
        <f>COUNTA(Table35[spawner_sku])</f>
        <v>356</v>
      </c>
      <c r="CD7" s="1" t="s">
        <v>471</v>
      </c>
      <c r="CE7" s="1">
        <f>ROUND(CB7/(CE5*CF5),4)</f>
        <v>1.6000000000000001E-3</v>
      </c>
      <c r="CF7" s="1" t="s">
        <v>472</v>
      </c>
      <c r="CL7" s="1" t="s">
        <v>324</v>
      </c>
      <c r="CM7" s="70">
        <f>COUNTA(Table11[spawner_sku])</f>
        <v>612</v>
      </c>
      <c r="CO7" s="1" t="s">
        <v>471</v>
      </c>
      <c r="CP7" s="1">
        <f>ROUND(CM7/(CP5*CQ5),4)</f>
        <v>1.2800000000000001E-2</v>
      </c>
      <c r="CQ7" s="1" t="s">
        <v>472</v>
      </c>
      <c r="CW7" s="1" t="s">
        <v>324</v>
      </c>
      <c r="CX7" s="70">
        <f>COUNTA(Table12[spawner_sku])</f>
        <v>227</v>
      </c>
      <c r="CZ7" s="1" t="s">
        <v>471</v>
      </c>
      <c r="DA7" s="1">
        <f>ROUND(CX7/(DA5*DB5),4)</f>
        <v>1.5900000000000001E-2</v>
      </c>
      <c r="DB7" s="1" t="s">
        <v>472</v>
      </c>
      <c r="DH7" s="1" t="s">
        <v>324</v>
      </c>
      <c r="DI7" s="70">
        <f>COUNTA(Table13[spawner_sku])</f>
        <v>312</v>
      </c>
      <c r="DK7" s="1" t="s">
        <v>471</v>
      </c>
      <c r="DL7" s="1">
        <f>ROUND(DI7/(DL5*DM5),4)</f>
        <v>1.3899999999999999E-2</v>
      </c>
      <c r="DM7" s="1" t="s">
        <v>472</v>
      </c>
      <c r="DS7" s="1" t="s">
        <v>324</v>
      </c>
      <c r="DT7" s="70">
        <f>COUNTA(Table14[spawner_sku])</f>
        <v>736</v>
      </c>
      <c r="DV7" s="1" t="s">
        <v>471</v>
      </c>
      <c r="DW7" s="1">
        <f>ROUND(DT7/(DW5*DX5),4)</f>
        <v>9.4000000000000004E-3</v>
      </c>
      <c r="DX7" s="1" t="s">
        <v>472</v>
      </c>
      <c r="ED7" s="1" t="s">
        <v>324</v>
      </c>
      <c r="EE7" s="70">
        <f>COUNTA(Table36[spawner_sku])</f>
        <v>139</v>
      </c>
      <c r="EG7" s="1" t="s">
        <v>471</v>
      </c>
      <c r="EH7" s="1">
        <f>ROUND(EE7/(EH5*EI5),4)</f>
        <v>1.9E-3</v>
      </c>
      <c r="EI7" s="1" t="s">
        <v>472</v>
      </c>
      <c r="EO7" s="1" t="s">
        <v>324</v>
      </c>
      <c r="EP7" s="70">
        <f>COUNTA(Table18[spawner_sku])</f>
        <v>316</v>
      </c>
      <c r="ER7" s="1" t="s">
        <v>471</v>
      </c>
      <c r="ES7" s="1">
        <f>ROUND(EP7/(ES5*ET5),4)</f>
        <v>1.06E-2</v>
      </c>
      <c r="ET7" s="1" t="s">
        <v>472</v>
      </c>
      <c r="EZ7" s="1" t="s">
        <v>324</v>
      </c>
      <c r="FA7" s="70">
        <f>COUNTA(Table1820[spawner_sku])</f>
        <v>222</v>
      </c>
      <c r="FC7" s="1" t="s">
        <v>471</v>
      </c>
      <c r="FD7" s="1">
        <f>ROUND(FA7/(FD5*FE5),4)</f>
        <v>8.8000000000000005E-3</v>
      </c>
      <c r="FE7" s="1" t="s">
        <v>472</v>
      </c>
      <c r="FK7" s="1" t="s">
        <v>324</v>
      </c>
      <c r="FL7" s="70">
        <f>COUNTA(Table182023[spawner_sku])</f>
        <v>155</v>
      </c>
      <c r="FN7" s="1" t="s">
        <v>471</v>
      </c>
      <c r="FO7" s="1">
        <f>ROUND(FL7/(FO5*FP5),4)</f>
        <v>2.5999999999999999E-3</v>
      </c>
      <c r="FP7" s="1" t="s">
        <v>472</v>
      </c>
      <c r="FV7" s="1" t="s">
        <v>324</v>
      </c>
      <c r="FW7" s="70">
        <f>COUNTA(Table18202324[spawner_sku])</f>
        <v>206</v>
      </c>
      <c r="FY7" s="1" t="s">
        <v>471</v>
      </c>
      <c r="FZ7" s="1">
        <f>ROUND(FW7/(FZ5*GA5),4)</f>
        <v>3.3999999999999998E-3</v>
      </c>
      <c r="GA7" s="1" t="s">
        <v>472</v>
      </c>
      <c r="GG7" s="1" t="s">
        <v>324</v>
      </c>
      <c r="GH7" s="70">
        <f>COUNTA(Table37[spawner_sku])</f>
        <v>133</v>
      </c>
      <c r="GJ7" s="1" t="s">
        <v>471</v>
      </c>
      <c r="GK7" s="1">
        <f>ROUND(GH7/(GK5*GL5),4)</f>
        <v>1.4E-3</v>
      </c>
      <c r="GL7" s="1" t="s">
        <v>472</v>
      </c>
    </row>
    <row r="8" spans="2:195" x14ac:dyDescent="0.25">
      <c r="B8" s="1" t="s">
        <v>329</v>
      </c>
      <c r="C8" s="73">
        <f ca="1">COUNTIF(Table245[Aggresive],"yes")</f>
        <v>228</v>
      </c>
      <c r="M8" s="1" t="s">
        <v>329</v>
      </c>
      <c r="N8" s="73">
        <f ca="1">COUNTIF(Table3[Aggressive],"yes")</f>
        <v>65</v>
      </c>
      <c r="X8" s="1" t="s">
        <v>329</v>
      </c>
      <c r="Y8" s="73">
        <f ca="1">COUNTIF(Table39[Aggressive],"yes")</f>
        <v>24</v>
      </c>
      <c r="AI8" s="1" t="s">
        <v>329</v>
      </c>
      <c r="AJ8" s="73">
        <f ca="1">COUNTIF(Table2[Aggressive],"yes")</f>
        <v>128</v>
      </c>
      <c r="AT8" s="1" t="s">
        <v>329</v>
      </c>
      <c r="AU8" s="73">
        <f ca="1">COUNTIF(Table6[Aggressive],"yes")</f>
        <v>63</v>
      </c>
      <c r="BE8" s="1" t="s">
        <v>329</v>
      </c>
      <c r="BF8" s="73">
        <f ca="1">COUNTIF(Table610[Aggressive],"yes")</f>
        <v>109</v>
      </c>
      <c r="BP8" s="1" t="s">
        <v>329</v>
      </c>
      <c r="BQ8" s="73">
        <f ca="1">COUNTIF(Table61011[Aggressive],"yes")</f>
        <v>179</v>
      </c>
      <c r="CA8" s="1" t="s">
        <v>329</v>
      </c>
      <c r="CB8" s="73">
        <f ca="1">COUNTIF(Table35[Aggressive],"yes")</f>
        <v>13</v>
      </c>
      <c r="CL8" s="1" t="s">
        <v>329</v>
      </c>
      <c r="CM8" s="73">
        <f ca="1">COUNTIF(Table11[Aggressive],"yes")</f>
        <v>167</v>
      </c>
      <c r="CW8" s="1" t="s">
        <v>329</v>
      </c>
      <c r="CX8" s="73">
        <f ca="1">COUNTIF(Table12[Aggressive],"yes")</f>
        <v>65</v>
      </c>
      <c r="DH8" s="1" t="s">
        <v>329</v>
      </c>
      <c r="DI8" s="73">
        <f ca="1">COUNTIF(Table13[Aggressive],"yes")</f>
        <v>103</v>
      </c>
      <c r="DS8" s="1" t="s">
        <v>329</v>
      </c>
      <c r="DT8" s="73">
        <f ca="1">COUNTIF(Table14[Aggressive],"yes")</f>
        <v>183</v>
      </c>
      <c r="ED8" s="1" t="s">
        <v>329</v>
      </c>
      <c r="EE8" s="73">
        <f ca="1">COUNTIF(Table36[Aggressive],"yes")</f>
        <v>6</v>
      </c>
      <c r="EO8" s="1" t="s">
        <v>329</v>
      </c>
      <c r="EP8" s="73">
        <f ca="1">COUNTIF(Table14[Aggressive],"yes")</f>
        <v>183</v>
      </c>
      <c r="EZ8" s="1" t="s">
        <v>329</v>
      </c>
      <c r="FA8" s="73">
        <f ca="1">COUNTIF(Table1820[Aggressive],"yes")</f>
        <v>64</v>
      </c>
      <c r="FK8" s="1" t="s">
        <v>329</v>
      </c>
      <c r="FL8" s="73">
        <f ca="1">COUNTIF(Table182023[Aggressive],"yes")</f>
        <v>49</v>
      </c>
      <c r="FV8" s="1" t="s">
        <v>329</v>
      </c>
      <c r="FW8" s="73">
        <f ca="1">COUNTIF(Table18202324[Aggressive],"yes")</f>
        <v>58</v>
      </c>
      <c r="GG8" s="1" t="s">
        <v>329</v>
      </c>
      <c r="GH8" s="73">
        <f ca="1">COUNTIF(Table37[Aggressive],"yes")</f>
        <v>2</v>
      </c>
    </row>
    <row r="9" spans="2:195" x14ac:dyDescent="0.25">
      <c r="B9" s="1" t="s">
        <v>330</v>
      </c>
      <c r="C9" s="73">
        <f ca="1">COUNTIF(Table245[Aggresive],"no")</f>
        <v>399</v>
      </c>
      <c r="E9" s="1" t="s">
        <v>2403</v>
      </c>
      <c r="F9" s="79" t="str">
        <f>CONCATENATE(ROUND((COUNTIF(Table245[hasBonus],"TRUE") /C7) * 100,2),"%")</f>
        <v>7,34%</v>
      </c>
      <c r="G9" s="128" t="s">
        <v>2413</v>
      </c>
      <c r="M9" s="1" t="s">
        <v>330</v>
      </c>
      <c r="N9" s="73">
        <f ca="1">COUNTIF(Table3[Aggressive],"no")</f>
        <v>171</v>
      </c>
      <c r="P9" s="1" t="s">
        <v>2403</v>
      </c>
      <c r="Q9" s="1" t="str">
        <f>CONCATENATE(ROUND((COUNTIF(Table3[hasBonus],"TRUE") /N7) * 100,2),"%")</f>
        <v>13,98%</v>
      </c>
      <c r="X9" s="1" t="s">
        <v>330</v>
      </c>
      <c r="Y9" s="73">
        <f ca="1">COUNTIF(Table39[Aggressive],"no")</f>
        <v>49</v>
      </c>
      <c r="AA9" s="1" t="s">
        <v>2403</v>
      </c>
      <c r="AB9" s="79" t="str">
        <f>CONCATENATE(ROUND((COUNTIF(Table39[hasBonus],"TRUE") /Y7) * 100,2),"%")</f>
        <v>6,85%</v>
      </c>
      <c r="AI9" s="1" t="s">
        <v>330</v>
      </c>
      <c r="AJ9" s="73">
        <f ca="1">COUNTIF(Table2[Aggressive],"no")</f>
        <v>259</v>
      </c>
      <c r="AL9" s="1" t="s">
        <v>2403</v>
      </c>
      <c r="AM9" s="79" t="str">
        <f>CONCATENATE(ROUND((COUNTIF(Table2[hasBonus],"TRUE") /AJ7) * 100,2),"%")</f>
        <v>7,24%</v>
      </c>
      <c r="AT9" s="1" t="s">
        <v>330</v>
      </c>
      <c r="AU9" s="73">
        <f ca="1">COUNTIF(Table6[Aggressive],"no")</f>
        <v>91</v>
      </c>
      <c r="AW9" s="1" t="s">
        <v>2403</v>
      </c>
      <c r="AX9" s="79" t="str">
        <f>CONCATENATE(ROUND((COUNTIF(Table6[hasBonus],"TRUE") /AU7) * 100,2),"%")</f>
        <v>8,44%</v>
      </c>
      <c r="BE9" s="1" t="s">
        <v>330</v>
      </c>
      <c r="BF9" s="73">
        <f ca="1">COUNTIF(Table610[Aggressive],"no")</f>
        <v>117</v>
      </c>
      <c r="BH9" s="1" t="s">
        <v>2403</v>
      </c>
      <c r="BI9" s="79" t="str">
        <f>CONCATENATE(ROUND((COUNTIF(Table610[hasBonus],"TRUE") /BF7) * 100,2),"%")</f>
        <v>8,85%</v>
      </c>
      <c r="BP9" s="1" t="s">
        <v>330</v>
      </c>
      <c r="BQ9" s="73">
        <f ca="1">COUNTIF(Table61011[Aggressive],"no")</f>
        <v>252</v>
      </c>
      <c r="BS9" s="1" t="s">
        <v>2403</v>
      </c>
      <c r="BT9" s="79" t="str">
        <f>CONCATENATE(ROUND((COUNTIF(Table61011[hasBonus],"TRUE") /BQ7) * 100,2),"%")</f>
        <v>11,37%</v>
      </c>
      <c r="CA9" s="1" t="s">
        <v>330</v>
      </c>
      <c r="CB9" s="73">
        <f ca="1">COUNTIF(Table35[Aggressive],"no")</f>
        <v>343</v>
      </c>
      <c r="CD9" s="1" t="s">
        <v>2403</v>
      </c>
      <c r="CE9" s="79" t="str">
        <f>CONCATENATE(ROUND((COUNTIF(Table35[hasBonus],"TRUE") /CB7) * 100,2),"%")</f>
        <v>5,62%</v>
      </c>
      <c r="CL9" s="1" t="s">
        <v>330</v>
      </c>
      <c r="CM9" s="73">
        <f ca="1">COUNTIF(Table11[Aggressive],"no")</f>
        <v>445</v>
      </c>
      <c r="CO9" s="1" t="s">
        <v>2403</v>
      </c>
      <c r="CP9" s="79" t="str">
        <f>CONCATENATE(ROUND((COUNTIF(Table11[hasBonus],"TRUE") /CM7) * 100,2),"%")</f>
        <v>7,52%</v>
      </c>
      <c r="CW9" s="1" t="s">
        <v>330</v>
      </c>
      <c r="CX9" s="73">
        <f ca="1">COUNTIF(Table12[Aggressive],"no")</f>
        <v>162</v>
      </c>
      <c r="CZ9" s="1" t="s">
        <v>2403</v>
      </c>
      <c r="DA9" s="79" t="str">
        <f>CONCATENATE(ROUND((COUNTIF(Table12[hasBonus],"TRUE") /CX7) * 100,2),"%")</f>
        <v>9,25%</v>
      </c>
      <c r="DH9" s="1" t="s">
        <v>330</v>
      </c>
      <c r="DI9" s="73">
        <f ca="1">COUNTIF(Table13[Aggressive],"no")</f>
        <v>209</v>
      </c>
      <c r="DK9" s="1" t="s">
        <v>2403</v>
      </c>
      <c r="DL9" s="79" t="str">
        <f>CONCATENATE(ROUND((COUNTIF(Table13[hasBonus],"TRUE") /DI7) * 100,2),"%")</f>
        <v>12,18%</v>
      </c>
      <c r="DS9" s="1" t="s">
        <v>330</v>
      </c>
      <c r="DT9" s="73">
        <f ca="1">COUNTIF(Table14[Aggressive],"no")</f>
        <v>553</v>
      </c>
      <c r="DV9" s="1" t="s">
        <v>2403</v>
      </c>
      <c r="DW9" s="79" t="str">
        <f>CONCATENATE(ROUND((COUNTIF(Table14[hasBonus],"TRUE") /DT7) * 100,2),"%")</f>
        <v>7,61%</v>
      </c>
      <c r="ED9" s="1" t="s">
        <v>330</v>
      </c>
      <c r="EE9" s="73">
        <f ca="1">COUNTIF(Table36[Aggressive],"no")</f>
        <v>133</v>
      </c>
      <c r="EG9" s="1" t="s">
        <v>2403</v>
      </c>
      <c r="EH9" s="79" t="str">
        <f>CONCATENATE(ROUND((COUNTIF(Table36[hasBonus],"TRUE") /EE7) * 100,2),"%")</f>
        <v>5,76%</v>
      </c>
      <c r="EO9" s="1" t="s">
        <v>330</v>
      </c>
      <c r="EP9" s="73">
        <f ca="1">COUNTIF(Table18[Aggressive],"no")</f>
        <v>193</v>
      </c>
      <c r="ER9" s="1" t="s">
        <v>2403</v>
      </c>
      <c r="ES9" s="79" t="str">
        <f>CONCATENATE(ROUND((COUNTIF(Table18[hasBonus],"TRUE") /EP7) * 100,2),"%")</f>
        <v>14,24%</v>
      </c>
      <c r="EZ9" s="1" t="s">
        <v>330</v>
      </c>
      <c r="FA9" s="73">
        <f ca="1">COUNTIF(Table1820[Aggressive],"no")</f>
        <v>158</v>
      </c>
      <c r="FC9" s="1" t="s">
        <v>2403</v>
      </c>
      <c r="FD9" s="79" t="str">
        <f>CONCATENATE(ROUND((COUNTIF(Table1820[hasBonus],"TRUE") /FA7) * 100,2),"%")</f>
        <v>12,61%</v>
      </c>
      <c r="FK9" s="1" t="s">
        <v>330</v>
      </c>
      <c r="FL9" s="73">
        <f ca="1">COUNTIF(Table182023[Aggressive],"no")</f>
        <v>106</v>
      </c>
      <c r="FN9" s="1" t="s">
        <v>2403</v>
      </c>
      <c r="FO9" s="79" t="str">
        <f>CONCATENATE(ROUND((COUNTIF(Table182023[hasBonus],"TRUE") /FL7) * 100,2),"%")</f>
        <v>9,68%</v>
      </c>
      <c r="FV9" s="1" t="s">
        <v>330</v>
      </c>
      <c r="FW9" s="73">
        <f ca="1">COUNTIF(Table18202324[Aggressive],"no")</f>
        <v>148</v>
      </c>
      <c r="FY9" s="1" t="s">
        <v>2403</v>
      </c>
      <c r="FZ9" s="79" t="str">
        <f>CONCATENATE(ROUND((COUNTIF(Table18202324[hasBonus],"TRUE") /FW7) * 100,2),"%")</f>
        <v>15,53%</v>
      </c>
      <c r="GG9" s="1" t="s">
        <v>330</v>
      </c>
      <c r="GH9" s="73">
        <f ca="1">COUNTIF(Table37[Aggressive],"no")</f>
        <v>131</v>
      </c>
      <c r="GJ9" s="1" t="s">
        <v>2403</v>
      </c>
      <c r="GK9" s="79" t="str">
        <f>CONCATENATE(ROUND((COUNTIF(Table37[hasBonus],"TRUE") /GH7) * 100,2),"%")</f>
        <v>3,01%</v>
      </c>
    </row>
    <row r="11" spans="2:195" x14ac:dyDescent="0.25">
      <c r="B11" s="1" t="s">
        <v>325</v>
      </c>
      <c r="C11" s="70">
        <f>SUM(Table245[entity_spawned (AVG)])</f>
        <v>1161.5</v>
      </c>
      <c r="E11" s="1" t="s">
        <v>473</v>
      </c>
      <c r="F11" s="1">
        <f>ROUND(C11/(F5*G5),4)</f>
        <v>3.5700000000000003E-2</v>
      </c>
      <c r="G11" s="1" t="s">
        <v>474</v>
      </c>
      <c r="M11" s="1" t="s">
        <v>325</v>
      </c>
      <c r="N11" s="70">
        <f>SUM(Table3[entity_spawned (AVG)])</f>
        <v>521.5</v>
      </c>
      <c r="P11" s="1" t="s">
        <v>473</v>
      </c>
      <c r="Q11" s="1">
        <f>ROUND(N11/(Q5*R5),4)</f>
        <v>3.8199999999999998E-2</v>
      </c>
      <c r="R11" s="1" t="s">
        <v>474</v>
      </c>
      <c r="X11" s="1" t="s">
        <v>325</v>
      </c>
      <c r="Y11" s="70">
        <f>SUM(Table39[entity_spawned (AVG)])</f>
        <v>128.5</v>
      </c>
      <c r="AA11" s="1" t="s">
        <v>473</v>
      </c>
      <c r="AB11" s="1">
        <f>ROUND(Y11/(AB5*AC5),4)</f>
        <v>2.5700000000000001E-2</v>
      </c>
      <c r="AC11" s="1" t="s">
        <v>474</v>
      </c>
      <c r="AI11" s="1" t="s">
        <v>325</v>
      </c>
      <c r="AJ11" s="70">
        <f>SUM(Table2[entity_spawned (AVG)])</f>
        <v>691.5</v>
      </c>
      <c r="AL11" s="1" t="s">
        <v>473</v>
      </c>
      <c r="AM11" s="1">
        <f>ROUND(AJ11/(AM5*AN5),4)</f>
        <v>3.2199999999999999E-2</v>
      </c>
      <c r="AN11" s="1" t="s">
        <v>474</v>
      </c>
      <c r="AT11" s="1" t="s">
        <v>325</v>
      </c>
      <c r="AU11" s="70">
        <f>SUM(Table6[entity_spawned (AVG)])</f>
        <v>293.5</v>
      </c>
      <c r="AW11" s="1" t="s">
        <v>473</v>
      </c>
      <c r="AX11" s="1">
        <f>ROUND(AU11/(AX5*AY5),4)</f>
        <v>2.4799999999999999E-2</v>
      </c>
      <c r="AY11" s="1" t="s">
        <v>474</v>
      </c>
      <c r="BE11" s="1" t="s">
        <v>325</v>
      </c>
      <c r="BF11" s="70">
        <f>SUM(Table610[entity_spawned (AVG)])</f>
        <v>437</v>
      </c>
      <c r="BH11" s="1" t="s">
        <v>473</v>
      </c>
      <c r="BI11" s="1">
        <f>ROUND(BF11/(BI5*BJ5),4)</f>
        <v>1.9800000000000002E-2</v>
      </c>
      <c r="BJ11" s="1" t="s">
        <v>474</v>
      </c>
      <c r="BP11" s="1" t="s">
        <v>325</v>
      </c>
      <c r="BQ11" s="70">
        <f>SUM(Table61011[entity_spawned (AVG)])</f>
        <v>840.5</v>
      </c>
      <c r="BS11" s="1" t="s">
        <v>473</v>
      </c>
      <c r="BT11" s="1">
        <f>ROUND(BQ11/(BT5*BU5),4)</f>
        <v>2.3900000000000001E-2</v>
      </c>
      <c r="BU11" s="1" t="s">
        <v>474</v>
      </c>
      <c r="CA11" s="1" t="s">
        <v>325</v>
      </c>
      <c r="CB11" s="70">
        <f>SUM(Table35[entity_spawned (AVG)])</f>
        <v>471</v>
      </c>
      <c r="CD11" s="1" t="s">
        <v>473</v>
      </c>
      <c r="CE11" s="1">
        <f>ROUND(CB11/(CE5*CF5),4)</f>
        <v>2.0999999999999999E-3</v>
      </c>
      <c r="CF11" s="1" t="s">
        <v>474</v>
      </c>
      <c r="CL11" s="1" t="s">
        <v>325</v>
      </c>
      <c r="CM11" s="70">
        <f>SUM(Table11[entity_spawned (AVG)])</f>
        <v>1047</v>
      </c>
      <c r="CO11" s="1" t="s">
        <v>473</v>
      </c>
      <c r="CP11" s="1">
        <f>ROUND(CM11/(CP5*CQ5),4)</f>
        <v>2.18E-2</v>
      </c>
      <c r="CQ11" s="1" t="s">
        <v>474</v>
      </c>
      <c r="CW11" s="1" t="s">
        <v>325</v>
      </c>
      <c r="CX11" s="70">
        <f>SUM(Table12[entity_spawned (AVG)])</f>
        <v>436.5</v>
      </c>
      <c r="CZ11" s="1" t="s">
        <v>473</v>
      </c>
      <c r="DA11" s="1">
        <f>ROUND(CX11/(DA5*DB5),4)</f>
        <v>3.0599999999999999E-2</v>
      </c>
      <c r="DB11" s="1" t="s">
        <v>474</v>
      </c>
      <c r="DH11" s="1" t="s">
        <v>325</v>
      </c>
      <c r="DI11" s="70">
        <f>SUM(Table13[entity_spawned (AVG)])</f>
        <v>694.5</v>
      </c>
      <c r="DK11" s="1" t="s">
        <v>473</v>
      </c>
      <c r="DL11" s="1">
        <f>ROUND(DI11/(DL5*DM5),4)</f>
        <v>3.1E-2</v>
      </c>
      <c r="DM11" s="1" t="s">
        <v>474</v>
      </c>
      <c r="DS11" s="1" t="s">
        <v>325</v>
      </c>
      <c r="DT11" s="70">
        <f>SUM(Table14[entity_spawned (AVG)])</f>
        <v>1368.5</v>
      </c>
      <c r="DV11" s="1" t="s">
        <v>473</v>
      </c>
      <c r="DW11" s="1">
        <f>ROUND(DT11/(DW5*DX5),4)</f>
        <v>1.7500000000000002E-2</v>
      </c>
      <c r="DX11" s="1" t="s">
        <v>474</v>
      </c>
      <c r="ED11" s="1" t="s">
        <v>325</v>
      </c>
      <c r="EE11" s="70">
        <f>SUM(Table36[entity_spawned (AVG)])</f>
        <v>210.5</v>
      </c>
      <c r="EG11" s="1" t="s">
        <v>473</v>
      </c>
      <c r="EH11" s="1">
        <f>ROUND(EE11/(EH5*EI5),4)</f>
        <v>2.8999999999999998E-3</v>
      </c>
      <c r="EI11" s="1" t="s">
        <v>474</v>
      </c>
      <c r="EO11" s="1" t="s">
        <v>325</v>
      </c>
      <c r="EP11" s="70">
        <f>SUM(Table18[entity_spawned (AVG)])</f>
        <v>850</v>
      </c>
      <c r="ER11" s="1" t="s">
        <v>473</v>
      </c>
      <c r="ES11" s="1">
        <f>ROUND(EP11/(ES5*ET5),4)</f>
        <v>2.8400000000000002E-2</v>
      </c>
      <c r="ET11" s="1" t="s">
        <v>474</v>
      </c>
      <c r="EZ11" s="1" t="s">
        <v>325</v>
      </c>
      <c r="FA11" s="70">
        <f>SUM(Table1820[entity_spawned (AVG)])</f>
        <v>562.5</v>
      </c>
      <c r="FC11" s="1" t="s">
        <v>473</v>
      </c>
      <c r="FD11" s="1">
        <f>ROUND(FA11/(FD5*FE5),4)</f>
        <v>2.2200000000000001E-2</v>
      </c>
      <c r="FE11" s="1" t="s">
        <v>474</v>
      </c>
      <c r="FK11" s="1" t="s">
        <v>325</v>
      </c>
      <c r="FL11" s="70">
        <f>SUM(Table182023[entity_spawned (AVG)])</f>
        <v>344</v>
      </c>
      <c r="FN11" s="1" t="s">
        <v>473</v>
      </c>
      <c r="FO11" s="1">
        <f>ROUND(FL11/(FO5*FP5),4)</f>
        <v>5.7000000000000002E-3</v>
      </c>
      <c r="FP11" s="1" t="s">
        <v>474</v>
      </c>
      <c r="FV11" s="1" t="s">
        <v>325</v>
      </c>
      <c r="FW11" s="70">
        <f>SUM(Table18202324[entity_spawned (AVG)])</f>
        <v>535</v>
      </c>
      <c r="FY11" s="1" t="s">
        <v>473</v>
      </c>
      <c r="FZ11" s="1">
        <f>ROUND(FW11/(FZ5*GA5),4)</f>
        <v>8.8999999999999999E-3</v>
      </c>
      <c r="GA11" s="1" t="s">
        <v>474</v>
      </c>
      <c r="GG11" s="1" t="s">
        <v>325</v>
      </c>
      <c r="GH11" s="70">
        <f>SUM(Table37[entity_spawned (AVG)])</f>
        <v>168</v>
      </c>
      <c r="GJ11" s="1" t="s">
        <v>473</v>
      </c>
      <c r="GK11" s="1">
        <f>ROUND(GH11/(GK5*GL5),4)</f>
        <v>1.6999999999999999E-3</v>
      </c>
      <c r="GL11" s="1" t="s">
        <v>474</v>
      </c>
    </row>
    <row r="12" spans="2:195" x14ac:dyDescent="0.25">
      <c r="B12" s="1"/>
      <c r="C12" s="70"/>
      <c r="M12" s="1"/>
      <c r="N12" s="70"/>
      <c r="X12" s="1"/>
      <c r="Y12" s="70"/>
      <c r="AI12" s="1"/>
      <c r="AJ12" s="70"/>
      <c r="AT12" s="1"/>
      <c r="AU12" s="70"/>
      <c r="BE12" s="1"/>
      <c r="BF12" s="70"/>
      <c r="BP12" s="1"/>
      <c r="BQ12" s="70"/>
      <c r="CA12" s="1"/>
      <c r="CB12" s="70"/>
      <c r="CL12" s="1"/>
      <c r="CM12" s="70"/>
      <c r="CW12" s="1"/>
      <c r="CX12" s="70"/>
      <c r="DH12" s="1"/>
      <c r="DI12" s="70"/>
      <c r="DS12" s="1"/>
      <c r="DT12" s="70"/>
      <c r="ED12" s="1"/>
      <c r="EE12" s="70"/>
      <c r="EO12" s="1"/>
      <c r="EP12" s="70"/>
      <c r="EZ12" s="1"/>
      <c r="FA12" s="70"/>
      <c r="FK12" s="1"/>
      <c r="FL12" s="70"/>
      <c r="FV12" s="1"/>
      <c r="FW12" s="70"/>
      <c r="GG12" s="1"/>
      <c r="GH12" s="70"/>
    </row>
    <row r="13" spans="2:195" x14ac:dyDescent="0.25">
      <c r="B13" s="1" t="s">
        <v>497</v>
      </c>
      <c r="C13" s="70" t="str">
        <f>CONCATENATE(ROUND(((COUNTIF(Table245[activating_chance],"=100"))/C7)*100,0),"%")</f>
        <v>76%</v>
      </c>
      <c r="M13" s="1" t="s">
        <v>497</v>
      </c>
      <c r="N13" s="70" t="str">
        <f>CONCATENATE(ROUND(((COUNTIF(Table3[activating_chance],"=100"))/N7)*100,0),"%")</f>
        <v>81%</v>
      </c>
      <c r="X13" s="1" t="s">
        <v>497</v>
      </c>
      <c r="Y13" s="70" t="str">
        <f>CONCATENATE(ROUND(((COUNTIF(Table39[activating_chance],"=100"))/Y7)*100,0),"%")</f>
        <v>81%</v>
      </c>
      <c r="AI13" s="1" t="s">
        <v>497</v>
      </c>
      <c r="AJ13" s="70" t="str">
        <f>CONCATENATE(ROUND(((COUNTIF(Table2[activating_chance],"=100"))/AJ7)*100,0),"%")</f>
        <v>82%</v>
      </c>
      <c r="AT13" s="1" t="s">
        <v>497</v>
      </c>
      <c r="AU13" s="70" t="str">
        <f>CONCATENATE(ROUND(((COUNTIF(Table6[activating_chance],"=100"))/AU7)*100,0),"%")</f>
        <v>86%</v>
      </c>
      <c r="BE13" s="1" t="s">
        <v>497</v>
      </c>
      <c r="BF13" s="70" t="str">
        <f>CONCATENATE(ROUND(((COUNTIF(Table610[activating_chance],"=100"))/BF7)*100,0),"%")</f>
        <v>81%</v>
      </c>
      <c r="BP13" s="1" t="s">
        <v>497</v>
      </c>
      <c r="BQ13" s="70" t="str">
        <f>CONCATENATE(ROUND(((COUNTIF(Table61011[activating_chance],"=100"))/BQ7)*100,0),"%")</f>
        <v>85%</v>
      </c>
      <c r="CA13" s="1" t="s">
        <v>497</v>
      </c>
      <c r="CB13" s="70" t="str">
        <f>CONCATENATE(ROUND(((COUNTIF(Table35[activating_chance],"=100"))/CB7)*100,0),"%")</f>
        <v>92%</v>
      </c>
      <c r="CL13" s="1" t="s">
        <v>497</v>
      </c>
      <c r="CM13" s="70" t="str">
        <f>CONCATENATE(ROUND(((COUNTIF(Table11[activating_chance],"=100"))/CM7)*100,0),"%")</f>
        <v>73%</v>
      </c>
      <c r="CW13" s="1" t="s">
        <v>497</v>
      </c>
      <c r="CX13" s="70" t="str">
        <f>CONCATENATE(ROUND(((COUNTIF(Table12[activating_chance],"=100"))/CX7)*100,0),"%")</f>
        <v>72%</v>
      </c>
      <c r="DH13" s="1" t="s">
        <v>497</v>
      </c>
      <c r="DI13" s="70" t="str">
        <f>CONCATENATE(ROUND(((COUNTIF(Table13[activating_chance],"=100"))/DI7)*100,0),"%")</f>
        <v>72%</v>
      </c>
      <c r="DS13" s="1" t="s">
        <v>497</v>
      </c>
      <c r="DT13" s="70" t="str">
        <f>CONCATENATE(ROUND(((COUNTIF(Table14[activating_chance],"=100"))/DT7)*100,0),"%")</f>
        <v>76%</v>
      </c>
      <c r="ED13" s="1" t="s">
        <v>497</v>
      </c>
      <c r="EE13" s="70" t="str">
        <f>CONCATENATE(ROUND(((COUNTIF(Table36[activating_chance],"=100"))/EE7)*100,0),"%")</f>
        <v>68%</v>
      </c>
      <c r="EO13" s="1" t="s">
        <v>497</v>
      </c>
      <c r="EP13" s="70" t="str">
        <f>CONCATENATE(ROUND(((COUNTIF(Table18[activating_chance],"=100"))/EP7)*100,0),"%")</f>
        <v>78%</v>
      </c>
      <c r="EZ13" s="1" t="s">
        <v>497</v>
      </c>
      <c r="FA13" s="70" t="str">
        <f>CONCATENATE(ROUND(((COUNTIF(Table1820[activating_chance],"=100"))/FA7)*100,0),"%")</f>
        <v>78%</v>
      </c>
      <c r="FK13" s="1" t="s">
        <v>497</v>
      </c>
      <c r="FL13" s="70" t="str">
        <f>CONCATENATE(ROUND(((COUNTIF(Table182023[activating_chance],"=100"))/FL7)*100,0),"%")</f>
        <v>77%</v>
      </c>
      <c r="FV13" s="1" t="s">
        <v>497</v>
      </c>
      <c r="FW13" s="70" t="str">
        <f>CONCATENATE(ROUND(((COUNTIF(Table18202324[activating_chance],"=100"))/FW7)*100,0),"%")</f>
        <v>81%</v>
      </c>
      <c r="GG13" s="1" t="s">
        <v>497</v>
      </c>
      <c r="GH13" s="70" t="str">
        <f>CONCATENATE(ROUND(((COUNTIF(Table37[activating_chance],"=100"))/GH7)*100,0),"%")</f>
        <v>100%</v>
      </c>
    </row>
    <row r="14" spans="2:195" x14ac:dyDescent="0.25">
      <c r="B14" s="1" t="s">
        <v>498</v>
      </c>
      <c r="C14" s="70" t="str">
        <f>CONCATENATE(ROUND((((COUNTIFS(Table245[activating_chance],"&lt;100",Table245[activating_chance],"&gt;=75")))/C7)*100,0),"%")</f>
        <v>13%</v>
      </c>
      <c r="M14" s="1" t="s">
        <v>498</v>
      </c>
      <c r="N14" s="70" t="str">
        <f>CONCATENATE(ROUND((((COUNTIFS(Table3[activating_chance],"&lt;100",Table3[activating_chance],"&gt;=75")))/N7)*100,0),"%")</f>
        <v>10%</v>
      </c>
      <c r="X14" s="1" t="s">
        <v>498</v>
      </c>
      <c r="Y14" s="70" t="str">
        <f>CONCATENATE(ROUND((((COUNTIFS(Table39[activating_chance],"&lt;100",Table39[activating_chance],"&gt;=75")))/Y7)*100,0),"%")</f>
        <v>8%</v>
      </c>
      <c r="AI14" s="1" t="s">
        <v>498</v>
      </c>
      <c r="AJ14" s="70" t="str">
        <f>CONCATENATE(ROUND((((COUNTIFS(Table2[activating_chance],"&lt;100",Table2[activating_chance],"&gt;=75")))/AJ7)*100,0),"%")</f>
        <v>11%</v>
      </c>
      <c r="AT14" s="1" t="s">
        <v>498</v>
      </c>
      <c r="AU14" s="70" t="str">
        <f>CONCATENATE(ROUND((((COUNTIFS(Table6[activating_chance],"&lt;100",Table6[activating_chance],"&gt;=75")))/AU7)*100,0),"%")</f>
        <v>6%</v>
      </c>
      <c r="BE14" s="1" t="s">
        <v>498</v>
      </c>
      <c r="BF14" s="70" t="str">
        <f>CONCATENATE(ROUND((((COUNTIFS(Table610[activating_chance],"&lt;100",Table610[activating_chance],"&gt;=75")))/BF7)*100,0),"%")</f>
        <v>9%</v>
      </c>
      <c r="BP14" s="1" t="s">
        <v>498</v>
      </c>
      <c r="BQ14" s="70" t="str">
        <f>CONCATENATE(ROUND((((COUNTIFS(Table61011[activating_chance],"&lt;100",Table61011[activating_chance],"&gt;=75")))/BQ7)*100,0),"%")</f>
        <v>8%</v>
      </c>
      <c r="CA14" s="1" t="s">
        <v>498</v>
      </c>
      <c r="CB14" s="70" t="str">
        <f>CONCATENATE(ROUND((((COUNTIFS(Table35[activating_chance],"&lt;100",Table35[activating_chance],"&gt;=75")))/CB7)*100,0),"%")</f>
        <v>5%</v>
      </c>
      <c r="CL14" s="1" t="s">
        <v>498</v>
      </c>
      <c r="CM14" s="70" t="str">
        <f>CONCATENATE(ROUND((((COUNTIFS(Table11[activating_chance],"&lt;100",Table11[activating_chance],"&gt;=75")))/CM7)*100,0),"%")</f>
        <v>11%</v>
      </c>
      <c r="CW14" s="1" t="s">
        <v>498</v>
      </c>
      <c r="CX14" s="70" t="str">
        <f>CONCATENATE(ROUND((((COUNTIFS(Table12[activating_chance],"&lt;100",Table12[activating_chance],"&gt;=75")))/CX7)*100,0),"%")</f>
        <v>17%</v>
      </c>
      <c r="DH14" s="1" t="s">
        <v>498</v>
      </c>
      <c r="DI14" s="70" t="str">
        <f>CONCATENATE(ROUND((((COUNTIFS(Table13[activating_chance],"&lt;100",Table13[activating_chance],"&gt;=75")))/DI7)*100,0),"%")</f>
        <v>18%</v>
      </c>
      <c r="DS14" s="1" t="s">
        <v>498</v>
      </c>
      <c r="DT14" s="70" t="str">
        <f>CONCATENATE(ROUND((((COUNTIFS(Table14[activating_chance],"&lt;100",Table14[activating_chance],"&gt;=75")))/DT7)*100,0),"%")</f>
        <v>14%</v>
      </c>
      <c r="ED14" s="1" t="s">
        <v>498</v>
      </c>
      <c r="EE14" s="70" t="str">
        <f>CONCATENATE(ROUND((((COUNTIFS(Table36[activating_chance],"&lt;100",Table36[activating_chance],"&gt;=75")))/EE7)*100,0),"%")</f>
        <v>26%</v>
      </c>
      <c r="EO14" s="1" t="s">
        <v>498</v>
      </c>
      <c r="EP14" s="70" t="str">
        <f>CONCATENATE(ROUND((((COUNTIFS(Table18[activating_chance],"&lt;100",Table18[activating_chance],"&gt;=75")))/EP7)*100,0),"%")</f>
        <v>16%</v>
      </c>
      <c r="EZ14" s="1" t="s">
        <v>498</v>
      </c>
      <c r="FA14" s="70" t="str">
        <f>CONCATENATE(ROUND((((COUNTIFS(Table1820[activating_chance],"&lt;100",Table1820[activating_chance],"&gt;=75")))/FA7)*100,0),"%")</f>
        <v>13%</v>
      </c>
      <c r="FK14" s="1" t="s">
        <v>498</v>
      </c>
      <c r="FL14" s="70" t="str">
        <f>CONCATENATE(ROUND((((COUNTIFS(Table182023[activating_chance],"&lt;100",Table182023[activating_chance],"&gt;=75")))/FL7)*100,0),"%")</f>
        <v>18%</v>
      </c>
      <c r="FV14" s="1" t="s">
        <v>498</v>
      </c>
      <c r="FW14" s="70" t="str">
        <f>CONCATENATE(ROUND((((COUNTIFS(Table18202324[activating_chance],"&lt;100",Table18202324[activating_chance],"&gt;=75")))/FW7)*100,0),"%")</f>
        <v>17%</v>
      </c>
      <c r="GG14" s="1" t="s">
        <v>498</v>
      </c>
      <c r="GH14" s="70" t="str">
        <f>CONCATENATE(ROUND((((COUNTIFS(Table37[activating_chance],"&lt;100",Table37[activating_chance],"&gt;=75")))/GH7)*100,0),"%")</f>
        <v>0%</v>
      </c>
    </row>
    <row r="15" spans="2:195" x14ac:dyDescent="0.25">
      <c r="B15" s="1" t="s">
        <v>499</v>
      </c>
      <c r="C15" s="1" t="str">
        <f>CONCATENATE(ROUND((((COUNTIFS(Table245[activating_chance],"&lt;75",Table245[activating_chance],"&gt;=25")))/C7)*100,0),"%")</f>
        <v>11%</v>
      </c>
      <c r="M15" s="1" t="s">
        <v>499</v>
      </c>
      <c r="N15" s="1" t="str">
        <f>CONCATENATE(ROUND((((COUNTIFS(Table3[activating_chance],"&lt;75",Table3[activating_chance],"&gt;=25")))/N7)*100,0),"%")</f>
        <v>9%</v>
      </c>
      <c r="X15" s="1" t="s">
        <v>499</v>
      </c>
      <c r="Y15" s="1" t="str">
        <f>CONCATENATE(ROUND((((COUNTIFS(Table39[activating_chance],"&lt;75",Table39[activating_chance],"&gt;=25")))/Y7)*100,0),"%")</f>
        <v>11%</v>
      </c>
      <c r="AI15" s="1" t="s">
        <v>499</v>
      </c>
      <c r="AJ15" s="1" t="str">
        <f>CONCATENATE(ROUND((((COUNTIFS(Table2[activating_chance],"&lt;75",Table2[activating_chance],"&gt;=25")))/AJ7)*100,0),"%")</f>
        <v>6%</v>
      </c>
      <c r="AT15" s="1" t="s">
        <v>499</v>
      </c>
      <c r="AU15" s="1" t="str">
        <f>CONCATENATE(ROUND((((COUNTIFS(Table6[activating_chance],"&lt;75",Table6[activating_chance],"&gt;=25")))/AU7)*100,0),"%")</f>
        <v>8%</v>
      </c>
      <c r="BE15" s="1" t="s">
        <v>499</v>
      </c>
      <c r="BF15" s="1" t="str">
        <f>CONCATENATE(ROUND((((COUNTIFS(Table610[activating_chance],"&lt;75",Table610[activating_chance],"&gt;=25")))/BF7)*100,0),"%")</f>
        <v>10%</v>
      </c>
      <c r="BP15" s="1" t="s">
        <v>499</v>
      </c>
      <c r="BQ15" s="1" t="str">
        <f>CONCATENATE(ROUND((((COUNTIFS(Table61011[activating_chance],"&lt;75",Table61011[activating_chance],"&gt;=25")))/BQ7)*100,0),"%")</f>
        <v>7%</v>
      </c>
      <c r="CA15" s="1" t="s">
        <v>499</v>
      </c>
      <c r="CB15" s="1" t="str">
        <f>CONCATENATE(ROUND((((COUNTIFS(Table35[activating_chance],"&lt;75",Table35[activating_chance],"&gt;=25")))/CB7)*100,0),"%")</f>
        <v>3%</v>
      </c>
      <c r="CL15" s="1" t="s">
        <v>499</v>
      </c>
      <c r="CM15" s="1" t="str">
        <f>CONCATENATE(ROUND((((COUNTIFS(Table11[activating_chance],"&lt;75",Table11[activating_chance],"&gt;=25")))/CM7)*100,0),"%")</f>
        <v>15%</v>
      </c>
      <c r="CW15" s="1" t="s">
        <v>499</v>
      </c>
      <c r="CX15" s="1" t="str">
        <f>CONCATENATE(ROUND((((COUNTIFS(Table12[activating_chance],"&lt;75",Table12[activating_chance],"&gt;=25")))/CX7)*100,0),"%")</f>
        <v>11%</v>
      </c>
      <c r="DH15" s="1" t="s">
        <v>499</v>
      </c>
      <c r="DI15" s="1" t="str">
        <f>CONCATENATE(ROUND((((COUNTIFS(Table13[activating_chance],"&lt;75",Table13[activating_chance],"&gt;=25")))/DI7)*100,0),"%")</f>
        <v>7%</v>
      </c>
      <c r="DS15" s="1" t="s">
        <v>499</v>
      </c>
      <c r="DT15" s="1" t="str">
        <f>CONCATENATE(ROUND((((COUNTIFS(Table14[activating_chance],"&lt;75",Table14[activating_chance],"&gt;=25")))/DT7)*100,0),"%")</f>
        <v>9%</v>
      </c>
      <c r="ED15" s="1" t="s">
        <v>499</v>
      </c>
      <c r="EE15" s="1" t="str">
        <f>CONCATENATE(ROUND((((COUNTIFS(Table36[activating_chance],"&lt;75",Table36[activating_chance],"&gt;=25")))/EE7)*100,0),"%")</f>
        <v>6%</v>
      </c>
      <c r="EO15" s="1" t="s">
        <v>499</v>
      </c>
      <c r="EP15" s="1" t="str">
        <f>CONCATENATE(ROUND((((COUNTIFS(Table18[activating_chance],"&lt;75",Table18[activating_chance],"&gt;=25")))/EP7)*100,0),"%")</f>
        <v>6%</v>
      </c>
      <c r="EZ15" s="1" t="s">
        <v>499</v>
      </c>
      <c r="FA15" s="1" t="str">
        <f>CONCATENATE(ROUND((((COUNTIFS(Table1820[activating_chance],"&lt;75",Table1820[activating_chance],"&gt;=25")))/FA7)*100,0),"%")</f>
        <v>8%</v>
      </c>
      <c r="FK15" s="1" t="s">
        <v>499</v>
      </c>
      <c r="FL15" s="1" t="str">
        <f>CONCATENATE(ROUND((((COUNTIFS(Table182023[activating_chance],"&lt;75",Table182023[activating_chance],"&gt;=25")))/FL7)*100,0),"%")</f>
        <v>5%</v>
      </c>
      <c r="FV15" s="1" t="s">
        <v>499</v>
      </c>
      <c r="FW15" s="1" t="str">
        <f>CONCATENATE(ROUND((((COUNTIFS(Table18202324[activating_chance],"&lt;75",Table18202324[activating_chance],"&gt;=25")))/FW7)*100,0),"%")</f>
        <v>2%</v>
      </c>
      <c r="GG15" s="1" t="s">
        <v>499</v>
      </c>
      <c r="GH15" s="1" t="str">
        <f>CONCATENATE(ROUND((((COUNTIFS(Table37[activating_chance],"&lt;75",Table37[activating_chance],"&gt;=25")))/GH7)*100,0),"%")</f>
        <v>0%</v>
      </c>
    </row>
    <row r="16" spans="2:195" x14ac:dyDescent="0.25">
      <c r="B16" s="1" t="s">
        <v>500</v>
      </c>
      <c r="C16" s="1" t="str">
        <f>CONCATENATE(ROUND((((COUNTIFS(Table245[activating_chance],"&gt;1",Table245[activating_chance],"&lt;25")))/C7)*100,0),"%")</f>
        <v>1%</v>
      </c>
      <c r="M16" s="1" t="s">
        <v>500</v>
      </c>
      <c r="N16" s="1" t="str">
        <f>CONCATENATE(ROUND((((COUNTIFS(Table3[activating_chance],"&gt;1",Table3[activating_chance],"&lt;25")))/N7)*100,0),"%")</f>
        <v>0%</v>
      </c>
      <c r="X16" s="1" t="s">
        <v>500</v>
      </c>
      <c r="Y16" s="1" t="str">
        <f>CONCATENATE(ROUND((((COUNTIFS(Table39[activating_chance],"&gt;1",Table39[activating_chance],"&lt;25")))/Y7)*100,0),"%")</f>
        <v>0%</v>
      </c>
      <c r="AI16" s="1" t="s">
        <v>500</v>
      </c>
      <c r="AJ16" s="1" t="str">
        <f>CONCATENATE(ROUND((((COUNTIFS(Table2[activating_chance],"&gt;1",Table2[activating_chance],"&lt;25")))/AJ7)*100,0),"%")</f>
        <v>1%</v>
      </c>
      <c r="AT16" s="1" t="s">
        <v>500</v>
      </c>
      <c r="AU16" s="1" t="str">
        <f>CONCATENATE(ROUND((((COUNTIFS(Table6[activating_chance],"&gt;1",Table6[activating_chance],"&lt;25")))/AU7)*100,0),"%")</f>
        <v>0%</v>
      </c>
      <c r="BE16" s="1" t="s">
        <v>500</v>
      </c>
      <c r="BF16" s="1" t="str">
        <f>CONCATENATE(ROUND((((COUNTIFS(Table610[activating_chance],"&gt;1",Table610[activating_chance],"&lt;25")))/BF7)*100,0),"%")</f>
        <v>0%</v>
      </c>
      <c r="BP16" s="1" t="s">
        <v>500</v>
      </c>
      <c r="BQ16" s="1" t="str">
        <f>CONCATENATE(ROUND((((COUNTIFS(Table61011[activating_chance],"&gt;1",Table61011[activating_chance],"&lt;25")))/BQ7)*100,0),"%")</f>
        <v>0%</v>
      </c>
      <c r="CA16" s="1" t="s">
        <v>500</v>
      </c>
      <c r="CB16" s="1" t="str">
        <f>CONCATENATE(ROUND((((COUNTIFS(Table35[activating_chance],"&gt;1",Table35[activating_chance],"&lt;25")))/CB7)*100,0),"%")</f>
        <v>0%</v>
      </c>
      <c r="CL16" s="1" t="s">
        <v>500</v>
      </c>
      <c r="CM16" s="1" t="str">
        <f>CONCATENATE(ROUND((((COUNTIFS(Table11[activating_chance],"&gt;1",Table11[activating_chance],"&lt;25")))/CM7)*100,0),"%")</f>
        <v>2%</v>
      </c>
      <c r="CW16" s="1" t="s">
        <v>500</v>
      </c>
      <c r="CX16" s="1" t="str">
        <f>CONCATENATE(ROUND((((COUNTIFS(Table12[activating_chance],"&gt;1",Table12[activating_chance],"&lt;25")))/CX7)*100,0),"%")</f>
        <v>0%</v>
      </c>
      <c r="DH16" s="1" t="s">
        <v>500</v>
      </c>
      <c r="DI16" s="1" t="str">
        <f>CONCATENATE(ROUND((((COUNTIFS(Table13[activating_chance],"&gt;1",Table13[activating_chance],"&lt;25")))/DI7)*100,0),"%")</f>
        <v>2%</v>
      </c>
      <c r="DS16" s="1" t="s">
        <v>500</v>
      </c>
      <c r="DT16" s="1" t="str">
        <f>CONCATENATE(ROUND((((COUNTIFS(Table14[activating_chance],"&gt;1",Table14[activating_chance],"&lt;25")))/DT7)*100,0),"%")</f>
        <v>1%</v>
      </c>
      <c r="ED16" s="1" t="s">
        <v>500</v>
      </c>
      <c r="EE16" s="1" t="str">
        <f>CONCATENATE(ROUND((((COUNTIFS(Table36[activating_chance],"&gt;1",Table36[activating_chance],"&lt;25")))/EE7)*100,0),"%")</f>
        <v>0%</v>
      </c>
      <c r="EO16" s="1" t="s">
        <v>500</v>
      </c>
      <c r="EP16" s="1" t="str">
        <f>CONCATENATE(ROUND((((COUNTIFS(Table18[activating_chance],"&gt;1",Table18[activating_chance],"&lt;25")))/EP7)*100,0),"%")</f>
        <v>1%</v>
      </c>
      <c r="EZ16" s="1" t="s">
        <v>500</v>
      </c>
      <c r="FA16" s="1" t="str">
        <f>CONCATENATE(ROUND((((COUNTIFS(Table1820[activating_chance],"&gt;1",Table1820[activating_chance],"&lt;25")))/FA7)*100,0),"%")</f>
        <v>1%</v>
      </c>
      <c r="FK16" s="1" t="s">
        <v>500</v>
      </c>
      <c r="FL16" s="1" t="str">
        <f>CONCATENATE(ROUND((((COUNTIFS(Table182023[activating_chance],"&gt;1",Table182023[activating_chance],"&lt;25")))/FL7)*100,0),"%")</f>
        <v>0%</v>
      </c>
      <c r="FV16" s="1" t="s">
        <v>500</v>
      </c>
      <c r="FW16" s="1" t="str">
        <f>CONCATENATE(ROUND((((COUNTIFS(Table18202324[activating_chance],"&gt;1",Table18202324[activating_chance],"&lt;25")))/FW7)*100,0),"%")</f>
        <v>0%</v>
      </c>
      <c r="GG16" s="1" t="s">
        <v>500</v>
      </c>
      <c r="GH16" s="1" t="str">
        <f>CONCATENATE(ROUND((((COUNTIFS(Table37[activating_chance],"&gt;1",Table37[activating_chance],"&lt;25")))/GH7)*100,0),"%")</f>
        <v>0%</v>
      </c>
    </row>
    <row r="17" spans="2:198" x14ac:dyDescent="0.25">
      <c r="C17" s="1"/>
    </row>
    <row r="18" spans="2:198" x14ac:dyDescent="0.25">
      <c r="B18" s="1" t="s">
        <v>434</v>
      </c>
      <c r="C18" s="1" t="s">
        <v>379</v>
      </c>
      <c r="I18" s="81" t="s">
        <v>2423</v>
      </c>
      <c r="M18" s="1" t="s">
        <v>434</v>
      </c>
      <c r="N18" s="1" t="s">
        <v>251</v>
      </c>
      <c r="X18" s="1" t="s">
        <v>434</v>
      </c>
      <c r="Y18" s="1" t="s">
        <v>435</v>
      </c>
      <c r="AI18" s="1" t="s">
        <v>434</v>
      </c>
      <c r="AJ18" s="1" t="s">
        <v>436</v>
      </c>
      <c r="AT18" s="1" t="s">
        <v>434</v>
      </c>
      <c r="AU18" s="1" t="s">
        <v>437</v>
      </c>
      <c r="BA18" s="113"/>
      <c r="BE18" s="1" t="s">
        <v>434</v>
      </c>
      <c r="BF18" s="1" t="s">
        <v>438</v>
      </c>
      <c r="BP18" s="1" t="s">
        <v>434</v>
      </c>
      <c r="BQ18" s="1" t="s">
        <v>439</v>
      </c>
      <c r="CA18" s="1" t="s">
        <v>434</v>
      </c>
      <c r="CB18" s="1" t="s">
        <v>3815</v>
      </c>
      <c r="CL18" s="1" t="s">
        <v>434</v>
      </c>
      <c r="CM18" s="1" t="s">
        <v>489</v>
      </c>
      <c r="CW18" s="1" t="s">
        <v>434</v>
      </c>
      <c r="CX18" s="1" t="s">
        <v>506</v>
      </c>
      <c r="DH18" s="1" t="s">
        <v>434</v>
      </c>
      <c r="DI18" s="1" t="s">
        <v>438</v>
      </c>
      <c r="DS18" s="1" t="s">
        <v>434</v>
      </c>
      <c r="DT18" s="1" t="s">
        <v>509</v>
      </c>
      <c r="ED18" s="1" t="s">
        <v>434</v>
      </c>
      <c r="EE18" s="1" t="s">
        <v>3827</v>
      </c>
      <c r="EO18" s="1" t="s">
        <v>434</v>
      </c>
      <c r="EP18" s="1" t="s">
        <v>561</v>
      </c>
      <c r="EZ18" s="1" t="s">
        <v>434</v>
      </c>
      <c r="FA18" s="1" t="s">
        <v>562</v>
      </c>
      <c r="FK18" s="1" t="s">
        <v>434</v>
      </c>
      <c r="FL18" s="1" t="s">
        <v>2688</v>
      </c>
      <c r="FV18" s="1" t="s">
        <v>434</v>
      </c>
      <c r="FW18" s="1" t="s">
        <v>3834</v>
      </c>
      <c r="GG18" s="1" t="s">
        <v>434</v>
      </c>
      <c r="GH18" s="1" t="s">
        <v>3829</v>
      </c>
    </row>
    <row r="19" spans="2:198" x14ac:dyDescent="0.25">
      <c r="I19" s="75" t="s">
        <v>2414</v>
      </c>
    </row>
    <row r="21" spans="2:198" x14ac:dyDescent="0.25">
      <c r="B21" s="1" t="s">
        <v>208</v>
      </c>
      <c r="C21" s="1" t="s">
        <v>209</v>
      </c>
      <c r="D21" s="1" t="s">
        <v>210</v>
      </c>
      <c r="E21" s="1" t="s">
        <v>211</v>
      </c>
      <c r="F21" s="1" t="s">
        <v>205</v>
      </c>
      <c r="G21" s="1" t="s">
        <v>212</v>
      </c>
      <c r="H21" s="1" t="s">
        <v>326</v>
      </c>
      <c r="I21" s="70" t="s">
        <v>2400</v>
      </c>
      <c r="J21" s="70" t="s">
        <v>2401</v>
      </c>
      <c r="K21" s="70" t="s">
        <v>2402</v>
      </c>
      <c r="M21" t="s">
        <v>208</v>
      </c>
      <c r="N21" t="s">
        <v>209</v>
      </c>
      <c r="O21" t="s">
        <v>210</v>
      </c>
      <c r="P21" t="s">
        <v>211</v>
      </c>
      <c r="Q21" t="s">
        <v>205</v>
      </c>
      <c r="R21" t="s">
        <v>212</v>
      </c>
      <c r="S21" t="s">
        <v>331</v>
      </c>
      <c r="T21" t="s">
        <v>2400</v>
      </c>
      <c r="U21" t="s">
        <v>2401</v>
      </c>
      <c r="V21" t="s">
        <v>2402</v>
      </c>
      <c r="X21" t="s">
        <v>208</v>
      </c>
      <c r="Y21" t="s">
        <v>209</v>
      </c>
      <c r="Z21" t="s">
        <v>210</v>
      </c>
      <c r="AA21" t="s">
        <v>211</v>
      </c>
      <c r="AB21" t="s">
        <v>205</v>
      </c>
      <c r="AC21" t="s">
        <v>212</v>
      </c>
      <c r="AD21" t="s">
        <v>331</v>
      </c>
      <c r="AE21" t="s">
        <v>2400</v>
      </c>
      <c r="AF21" t="s">
        <v>2401</v>
      </c>
      <c r="AG21" t="s">
        <v>2402</v>
      </c>
      <c r="AI21" t="s">
        <v>208</v>
      </c>
      <c r="AJ21" t="s">
        <v>209</v>
      </c>
      <c r="AK21" t="s">
        <v>210</v>
      </c>
      <c r="AL21" t="s">
        <v>211</v>
      </c>
      <c r="AM21" t="s">
        <v>205</v>
      </c>
      <c r="AN21" t="s">
        <v>212</v>
      </c>
      <c r="AO21" t="s">
        <v>331</v>
      </c>
      <c r="AP21" s="74" t="s">
        <v>2400</v>
      </c>
      <c r="AQ21" s="74" t="s">
        <v>2401</v>
      </c>
      <c r="AR21" s="113" t="s">
        <v>2402</v>
      </c>
      <c r="AT21" t="s">
        <v>208</v>
      </c>
      <c r="AU21" t="s">
        <v>209</v>
      </c>
      <c r="AV21" t="s">
        <v>210</v>
      </c>
      <c r="AW21" t="s">
        <v>211</v>
      </c>
      <c r="AX21" t="s">
        <v>205</v>
      </c>
      <c r="AY21" t="s">
        <v>212</v>
      </c>
      <c r="AZ21" t="s">
        <v>331</v>
      </c>
      <c r="BA21" s="74" t="s">
        <v>2400</v>
      </c>
      <c r="BB21" s="74" t="s">
        <v>2401</v>
      </c>
      <c r="BC21" s="113" t="s">
        <v>2402</v>
      </c>
      <c r="BE21" t="s">
        <v>208</v>
      </c>
      <c r="BF21" t="s">
        <v>209</v>
      </c>
      <c r="BG21" t="s">
        <v>210</v>
      </c>
      <c r="BH21" t="s">
        <v>211</v>
      </c>
      <c r="BI21" t="s">
        <v>205</v>
      </c>
      <c r="BJ21" t="s">
        <v>212</v>
      </c>
      <c r="BK21" t="s">
        <v>331</v>
      </c>
      <c r="BL21" s="74" t="s">
        <v>2400</v>
      </c>
      <c r="BM21" s="74" t="s">
        <v>2401</v>
      </c>
      <c r="BN21" s="113" t="s">
        <v>2402</v>
      </c>
      <c r="BP21" t="s">
        <v>208</v>
      </c>
      <c r="BQ21" t="s">
        <v>209</v>
      </c>
      <c r="BR21" t="s">
        <v>210</v>
      </c>
      <c r="BS21" t="s">
        <v>211</v>
      </c>
      <c r="BT21" t="s">
        <v>205</v>
      </c>
      <c r="BU21" t="s">
        <v>212</v>
      </c>
      <c r="BV21" t="s">
        <v>331</v>
      </c>
      <c r="BW21" s="74" t="s">
        <v>2400</v>
      </c>
      <c r="BX21" s="74" t="s">
        <v>2401</v>
      </c>
      <c r="BY21" s="113" t="s">
        <v>2402</v>
      </c>
      <c r="BZ21" s="113"/>
      <c r="CA21" s="90" t="s">
        <v>208</v>
      </c>
      <c r="CB21" s="90" t="s">
        <v>209</v>
      </c>
      <c r="CC21" s="90" t="s">
        <v>210</v>
      </c>
      <c r="CD21" s="90" t="s">
        <v>211</v>
      </c>
      <c r="CE21" s="90" t="s">
        <v>205</v>
      </c>
      <c r="CF21" s="90" t="s">
        <v>212</v>
      </c>
      <c r="CG21" s="90" t="s">
        <v>331</v>
      </c>
      <c r="CH21" s="116" t="s">
        <v>2400</v>
      </c>
      <c r="CI21" s="116" t="s">
        <v>2401</v>
      </c>
      <c r="CJ21" s="117" t="s">
        <v>2402</v>
      </c>
      <c r="CL21" t="s">
        <v>208</v>
      </c>
      <c r="CM21" t="s">
        <v>209</v>
      </c>
      <c r="CN21" t="s">
        <v>210</v>
      </c>
      <c r="CO21" t="s">
        <v>211</v>
      </c>
      <c r="CP21" t="s">
        <v>205</v>
      </c>
      <c r="CQ21" t="s">
        <v>212</v>
      </c>
      <c r="CR21" t="s">
        <v>331</v>
      </c>
      <c r="CS21" s="74" t="s">
        <v>2400</v>
      </c>
      <c r="CT21" s="74" t="s">
        <v>2401</v>
      </c>
      <c r="CU21" s="113" t="s">
        <v>2402</v>
      </c>
      <c r="CW21" t="s">
        <v>208</v>
      </c>
      <c r="CX21" t="s">
        <v>209</v>
      </c>
      <c r="CY21" t="s">
        <v>210</v>
      </c>
      <c r="CZ21" t="s">
        <v>211</v>
      </c>
      <c r="DA21" t="s">
        <v>205</v>
      </c>
      <c r="DB21" t="s">
        <v>212</v>
      </c>
      <c r="DC21" t="s">
        <v>331</v>
      </c>
      <c r="DD21" s="74" t="s">
        <v>2400</v>
      </c>
      <c r="DE21" s="74" t="s">
        <v>2401</v>
      </c>
      <c r="DF21" s="113" t="s">
        <v>2402</v>
      </c>
      <c r="DH21" t="s">
        <v>208</v>
      </c>
      <c r="DI21" t="s">
        <v>209</v>
      </c>
      <c r="DJ21" t="s">
        <v>210</v>
      </c>
      <c r="DK21" t="s">
        <v>211</v>
      </c>
      <c r="DL21" t="s">
        <v>205</v>
      </c>
      <c r="DM21" t="s">
        <v>212</v>
      </c>
      <c r="DN21" t="s">
        <v>331</v>
      </c>
      <c r="DO21" s="74" t="s">
        <v>2400</v>
      </c>
      <c r="DP21" s="74" t="s">
        <v>2401</v>
      </c>
      <c r="DQ21" s="113" t="s">
        <v>2402</v>
      </c>
      <c r="DS21" t="s">
        <v>208</v>
      </c>
      <c r="DT21" t="s">
        <v>209</v>
      </c>
      <c r="DU21" t="s">
        <v>210</v>
      </c>
      <c r="DV21" t="s">
        <v>211</v>
      </c>
      <c r="DW21" t="s">
        <v>205</v>
      </c>
      <c r="DX21" t="s">
        <v>212</v>
      </c>
      <c r="DY21" t="s">
        <v>331</v>
      </c>
      <c r="DZ21" s="74" t="s">
        <v>2400</v>
      </c>
      <c r="EA21" s="74" t="s">
        <v>2401</v>
      </c>
      <c r="EB21" s="113" t="s">
        <v>2402</v>
      </c>
      <c r="EC21" s="113"/>
      <c r="ED21" s="148" t="s">
        <v>208</v>
      </c>
      <c r="EE21" s="148" t="s">
        <v>209</v>
      </c>
      <c r="EF21" s="148" t="s">
        <v>210</v>
      </c>
      <c r="EG21" s="148" t="s">
        <v>211</v>
      </c>
      <c r="EH21" s="148" t="s">
        <v>205</v>
      </c>
      <c r="EI21" s="148" t="s">
        <v>212</v>
      </c>
      <c r="EJ21" s="148" t="s">
        <v>331</v>
      </c>
      <c r="EK21" s="149" t="s">
        <v>2400</v>
      </c>
      <c r="EL21" s="149" t="s">
        <v>2401</v>
      </c>
      <c r="EM21" s="150" t="s">
        <v>2402</v>
      </c>
      <c r="EO21" s="90" t="s">
        <v>208</v>
      </c>
      <c r="EP21" s="90" t="s">
        <v>209</v>
      </c>
      <c r="EQ21" s="90" t="s">
        <v>210</v>
      </c>
      <c r="ER21" s="90" t="s">
        <v>211</v>
      </c>
      <c r="ES21" s="90" t="s">
        <v>205</v>
      </c>
      <c r="ET21" s="90" t="s">
        <v>212</v>
      </c>
      <c r="EU21" s="90" t="s">
        <v>331</v>
      </c>
      <c r="EV21" s="116" t="s">
        <v>2400</v>
      </c>
      <c r="EW21" s="116" t="s">
        <v>2401</v>
      </c>
      <c r="EX21" s="117" t="s">
        <v>2402</v>
      </c>
      <c r="EZ21" s="90" t="s">
        <v>208</v>
      </c>
      <c r="FA21" s="90" t="s">
        <v>209</v>
      </c>
      <c r="FB21" s="90" t="s">
        <v>210</v>
      </c>
      <c r="FC21" s="90" t="s">
        <v>211</v>
      </c>
      <c r="FD21" s="90" t="s">
        <v>205</v>
      </c>
      <c r="FE21" s="90" t="s">
        <v>212</v>
      </c>
      <c r="FF21" s="90" t="s">
        <v>331</v>
      </c>
      <c r="FG21" s="116" t="s">
        <v>2400</v>
      </c>
      <c r="FH21" s="116" t="s">
        <v>2401</v>
      </c>
      <c r="FI21" s="117" t="s">
        <v>2402</v>
      </c>
      <c r="FK21" s="148" t="s">
        <v>208</v>
      </c>
      <c r="FL21" s="148" t="s">
        <v>209</v>
      </c>
      <c r="FM21" s="148" t="s">
        <v>210</v>
      </c>
      <c r="FN21" s="148" t="s">
        <v>211</v>
      </c>
      <c r="FO21" s="148" t="s">
        <v>205</v>
      </c>
      <c r="FP21" s="148" t="s">
        <v>212</v>
      </c>
      <c r="FQ21" s="148" t="s">
        <v>331</v>
      </c>
      <c r="FR21" s="149" t="s">
        <v>2400</v>
      </c>
      <c r="FS21" s="149" t="s">
        <v>2401</v>
      </c>
      <c r="FT21" s="150" t="s">
        <v>2402</v>
      </c>
      <c r="FV21" s="90" t="s">
        <v>208</v>
      </c>
      <c r="FW21" s="90" t="s">
        <v>209</v>
      </c>
      <c r="FX21" s="90" t="s">
        <v>210</v>
      </c>
      <c r="FY21" s="90" t="s">
        <v>211</v>
      </c>
      <c r="FZ21" s="90" t="s">
        <v>205</v>
      </c>
      <c r="GA21" s="90" t="s">
        <v>212</v>
      </c>
      <c r="GB21" s="90" t="s">
        <v>331</v>
      </c>
      <c r="GC21" s="116" t="s">
        <v>2400</v>
      </c>
      <c r="GD21" s="116" t="s">
        <v>2401</v>
      </c>
      <c r="GE21" s="117" t="s">
        <v>2402</v>
      </c>
      <c r="GG21" s="148" t="s">
        <v>208</v>
      </c>
      <c r="GH21" s="148" t="s">
        <v>209</v>
      </c>
      <c r="GI21" s="148" t="s">
        <v>210</v>
      </c>
      <c r="GJ21" s="148" t="s">
        <v>211</v>
      </c>
      <c r="GK21" s="148" t="s">
        <v>205</v>
      </c>
      <c r="GL21" s="148" t="s">
        <v>212</v>
      </c>
      <c r="GM21" s="148" t="s">
        <v>331</v>
      </c>
      <c r="GN21" s="149" t="s">
        <v>2400</v>
      </c>
      <c r="GO21" s="149" t="s">
        <v>2401</v>
      </c>
      <c r="GP21" s="150" t="s">
        <v>2402</v>
      </c>
    </row>
    <row r="22" spans="2:198" x14ac:dyDescent="0.25">
      <c r="B22" s="72" t="s">
        <v>214</v>
      </c>
      <c r="C22">
        <v>11.5</v>
      </c>
      <c r="D22">
        <v>300</v>
      </c>
      <c r="E22">
        <v>100</v>
      </c>
      <c r="F22" s="74">
        <f ca="1">INDIRECT(ADDRESS(11+(MATCH(RIGHT(Table245[[#This Row],[spawner_sku]],LEN(Table245[[#This Row],[spawner_sku]])-FIND("/",Table245[[#This Row],[spawner_sku]])),Table1[Entity Prefab],0)),10,1,1,"Entities"))</f>
        <v>25</v>
      </c>
      <c r="G22" s="74">
        <f ca="1">ROUND((Table245[[#This Row],[XP]]*Table245[[#This Row],[entity_spawned (AVG)]])*(Table245[[#This Row],[activating_chance]]/100),0)</f>
        <v>288</v>
      </c>
      <c r="H22" s="71" t="str">
        <f ca="1">INDIRECT(ADDRESS(11+(MATCH(RIGHT(Table245[[#This Row],[spawner_sku]],LEN(Table245[[#This Row],[spawner_sku]])-FIND("/",Table245[[#This Row],[spawner_sku]])),Table28[Entity Prefab],0)),24,1,1,"Entities"))</f>
        <v>no</v>
      </c>
      <c r="I22" s="71">
        <v>8</v>
      </c>
      <c r="J22" s="71">
        <v>15</v>
      </c>
      <c r="K22" s="71" t="b">
        <v>1</v>
      </c>
      <c r="M22" t="s">
        <v>213</v>
      </c>
      <c r="N22">
        <v>2</v>
      </c>
      <c r="O22">
        <v>260</v>
      </c>
      <c r="P22">
        <v>100</v>
      </c>
      <c r="Q22" s="74">
        <f ca="1">INDIRECT(ADDRESS(11+(MATCH(RIGHT(Table3[[#This Row],[spawner_sku]],LEN(Table3[[#This Row],[spawner_sku]])-FIND("/",Table3[[#This Row],[spawner_sku]])),Table1[Entity Prefab],0)),10,1,1,"Entities"))</f>
        <v>55</v>
      </c>
      <c r="R22" s="74">
        <f ca="1">ROUND((Table3[[#This Row],[XP]]*Table3[[#This Row],[entity_spawned (AVG)]])*(Table3[[#This Row],[activating_chance]]/100),0)</f>
        <v>110</v>
      </c>
      <c r="S22" t="str">
        <f ca="1">INDIRECT(ADDRESS(11+(MATCH(RIGHT(Table3[[#This Row],[spawner_sku]],LEN(Table3[[#This Row],[spawner_sku]])-FIND("/",Table3[[#This Row],[spawner_sku]])),Table28[Entity Prefab],0)),24,1,1,"Entities"))</f>
        <v>yes</v>
      </c>
      <c r="T22">
        <v>1</v>
      </c>
      <c r="U22">
        <v>3</v>
      </c>
      <c r="V22" t="b">
        <v>0</v>
      </c>
      <c r="W22" s="71"/>
      <c r="X22" t="s">
        <v>213</v>
      </c>
      <c r="Y22">
        <v>1.5</v>
      </c>
      <c r="Z22">
        <v>180</v>
      </c>
      <c r="AA22">
        <v>100</v>
      </c>
      <c r="AB22" s="74">
        <f ca="1">INDIRECT(ADDRESS(11+(MATCH(RIGHT(Table39[[#This Row],[spawner_sku]],LEN(Table39[[#This Row],[spawner_sku]])-FIND("/",Table39[[#This Row],[spawner_sku]])),Table1[Entity Prefab],0)),10,1,1,"Entities"))</f>
        <v>55</v>
      </c>
      <c r="AC22" s="74">
        <f ca="1">ROUND((Table39[[#This Row],[XP]]*Table39[[#This Row],[entity_spawned (AVG)]])*(Table39[[#This Row],[activating_chance]]/100),0)</f>
        <v>83</v>
      </c>
      <c r="AD22" t="str">
        <f ca="1">INDIRECT(ADDRESS(11+(MATCH(RIGHT(Table39[[#This Row],[spawner_sku]],LEN(Table39[[#This Row],[spawner_sku]])-FIND("/",Table39[[#This Row],[spawner_sku]])),Table28[Entity Prefab],0)),24,1,1,"Entities"))</f>
        <v>yes</v>
      </c>
      <c r="AE22">
        <v>1</v>
      </c>
      <c r="AF22">
        <v>2</v>
      </c>
      <c r="AG22" t="b">
        <v>0</v>
      </c>
      <c r="AI22" t="s">
        <v>213</v>
      </c>
      <c r="AJ22">
        <v>2</v>
      </c>
      <c r="AK22">
        <v>200</v>
      </c>
      <c r="AL22">
        <v>100</v>
      </c>
      <c r="AM22" s="74">
        <f ca="1">INDIRECT(ADDRESS(11+(MATCH(RIGHT(Table2[[#This Row],[spawner_sku]],LEN(Table2[[#This Row],[spawner_sku]])-FIND("/",Table2[[#This Row],[spawner_sku]])),Table1[Entity Prefab],0)),10,1,1,"Entities"))</f>
        <v>55</v>
      </c>
      <c r="AN22" s="74">
        <f ca="1">ROUND((Table2[[#This Row],[XP]]*Table2[[#This Row],[entity_spawned (AVG)]])*(Table2[[#This Row],[activating_chance]]/100),0)</f>
        <v>110</v>
      </c>
      <c r="AO22" s="71" t="str">
        <f ca="1">INDIRECT(ADDRESS(11+(MATCH(RIGHT(Table2[[#This Row],[spawner_sku]],LEN(Table2[[#This Row],[spawner_sku]])-FIND("/",Table2[[#This Row],[spawner_sku]])),Table28[Entity Prefab],0)),24,1,1,"Entities"))</f>
        <v>yes</v>
      </c>
      <c r="AP22" s="71">
        <v>2</v>
      </c>
      <c r="AQ22" s="71">
        <v>2</v>
      </c>
      <c r="AR22" s="71" t="b">
        <v>0</v>
      </c>
      <c r="AT22" t="s">
        <v>213</v>
      </c>
      <c r="AU22">
        <v>1</v>
      </c>
      <c r="AV22">
        <v>280</v>
      </c>
      <c r="AW22">
        <v>100</v>
      </c>
      <c r="AX22" s="74">
        <f ca="1">INDIRECT(ADDRESS(11+(MATCH(RIGHT(Table6[[#This Row],[spawner_sku]],LEN(Table6[[#This Row],[spawner_sku]])-FIND("/",Table6[[#This Row],[spawner_sku]])),Table1[Entity Prefab],0)),10,1,1,"Entities"))</f>
        <v>55</v>
      </c>
      <c r="AY22" s="74">
        <f ca="1">ROUND((Table6[[#This Row],[XP]]*Table6[[#This Row],[entity_spawned (AVG)]])*(Table6[[#This Row],[activating_chance]]/100),0)</f>
        <v>55</v>
      </c>
      <c r="AZ22" s="144" t="str">
        <f ca="1">INDIRECT(ADDRESS(11+(MATCH(RIGHT(Table6[[#This Row],[spawner_sku]],LEN(Table6[[#This Row],[spawner_sku]])-FIND("/",Table6[[#This Row],[spawner_sku]])),Table28[Entity Prefab],0)),24,1,1,"Entities"))</f>
        <v>yes</v>
      </c>
      <c r="BA22">
        <v>1</v>
      </c>
      <c r="BB22">
        <v>1</v>
      </c>
      <c r="BC22" t="b">
        <v>0</v>
      </c>
      <c r="BE22" t="s">
        <v>213</v>
      </c>
      <c r="BF22">
        <v>2</v>
      </c>
      <c r="BG22">
        <v>150</v>
      </c>
      <c r="BH22">
        <v>75</v>
      </c>
      <c r="BI22" s="74">
        <f ca="1">INDIRECT(ADDRESS(11+(MATCH(RIGHT(Table610[[#This Row],[spawner_sku]],LEN(Table610[[#This Row],[spawner_sku]])-FIND("/",Table610[[#This Row],[spawner_sku]])),Table1[Entity Prefab],0)),10,1,1,"Entities"))</f>
        <v>55</v>
      </c>
      <c r="BJ22" s="74">
        <f ca="1">ROUND((Table610[[#This Row],[XP]]*Table610[[#This Row],[entity_spawned (AVG)]])*(Table610[[#This Row],[activating_chance]]/100),0)</f>
        <v>83</v>
      </c>
      <c r="BK22" s="71" t="str">
        <f ca="1">INDIRECT(ADDRESS(11+(MATCH(RIGHT(Table610[[#This Row],[spawner_sku]],LEN(Table610[[#This Row],[spawner_sku]])-FIND("/",Table610[[#This Row],[spawner_sku]])),Table28[Entity Prefab],0)),24,1,1,"Entities"))</f>
        <v>yes</v>
      </c>
      <c r="BL22">
        <v>2</v>
      </c>
      <c r="BM22">
        <v>2</v>
      </c>
      <c r="BN22" t="b">
        <v>0</v>
      </c>
      <c r="BP22" t="s">
        <v>215</v>
      </c>
      <c r="BQ22">
        <v>3</v>
      </c>
      <c r="BR22">
        <v>130</v>
      </c>
      <c r="BS22">
        <v>100</v>
      </c>
      <c r="BT22" s="74">
        <f ca="1">INDIRECT(ADDRESS(11+(MATCH(RIGHT(Table61011[[#This Row],[spawner_sku]],LEN(Table61011[[#This Row],[spawner_sku]])-FIND("/",Table61011[[#This Row],[spawner_sku]])),Table1[Entity Prefab],0)),10,1,1,"Entities"))</f>
        <v>25</v>
      </c>
      <c r="BU22" s="74">
        <f ca="1">ROUND((Table61011[[#This Row],[XP]]*Table61011[[#This Row],[entity_spawned (AVG)]])*(Table61011[[#This Row],[activating_chance]]/100),0)</f>
        <v>75</v>
      </c>
      <c r="BV22" s="71" t="str">
        <f ca="1">INDIRECT(ADDRESS(11+(MATCH(RIGHT(Table61011[[#This Row],[spawner_sku]],LEN(Table61011[[#This Row],[spawner_sku]])-FIND("/",Table61011[[#This Row],[spawner_sku]])),Table28[Entity Prefab],0)),24,1,1,"Entities"))</f>
        <v>no</v>
      </c>
      <c r="BW22" s="71">
        <v>2</v>
      </c>
      <c r="BX22" s="71">
        <v>4</v>
      </c>
      <c r="BY22" s="71" t="b">
        <v>0</v>
      </c>
      <c r="BZ22" s="71"/>
      <c r="CA22" s="147" t="s">
        <v>376</v>
      </c>
      <c r="CB22">
        <v>5</v>
      </c>
      <c r="CC22">
        <v>120</v>
      </c>
      <c r="CD22">
        <v>100</v>
      </c>
      <c r="CE22" s="74">
        <f ca="1">INDIRECT(ADDRESS(11+(MATCH(RIGHT(Table35[[#This Row],[spawner_sku]],LEN(Table35[[#This Row],[spawner_sku]])-FIND("/",Table35[[#This Row],[spawner_sku]])),Table1[Entity Prefab],0)),10,1,1,"Entities"))</f>
        <v>25</v>
      </c>
      <c r="CF22" s="74">
        <f ca="1">ROUND((Table35[[#This Row],[XP]]*Table35[[#This Row],[entity_spawned (AVG)]])*(Table35[[#This Row],[activating_chance]]/100),0)</f>
        <v>125</v>
      </c>
      <c r="CG22" s="144" t="str">
        <f ca="1">INDIRECT(ADDRESS(11+(MATCH(RIGHT(Table35[[#This Row],[spawner_sku]],LEN(Table35[[#This Row],[spawner_sku]])-FIND("/",Table35[[#This Row],[spawner_sku]])),Table28[Entity Prefab],0)),24,1,1,"Entities"))</f>
        <v>no</v>
      </c>
      <c r="CH22">
        <v>5</v>
      </c>
      <c r="CI22">
        <v>5</v>
      </c>
      <c r="CJ22" s="71" t="b">
        <v>1</v>
      </c>
      <c r="CL22" t="s">
        <v>214</v>
      </c>
      <c r="CM22">
        <v>6</v>
      </c>
      <c r="CN22">
        <v>280</v>
      </c>
      <c r="CO22">
        <v>100</v>
      </c>
      <c r="CP22" s="74">
        <f ca="1">INDIRECT(ADDRESS(11+(MATCH(RIGHT(Table11[[#This Row],[spawner_sku]],LEN(Table11[[#This Row],[spawner_sku]])-FIND("/",Table11[[#This Row],[spawner_sku]])),Table1[Entity Prefab],0)),10,1,1,"Entities"))</f>
        <v>25</v>
      </c>
      <c r="CQ22">
        <f ca="1">ROUND((Table11[[#This Row],[XP]]*Table11[[#This Row],[entity_spawned (AVG)]])*(Table11[[#This Row],[activating_chance]]/100),0)</f>
        <v>150</v>
      </c>
      <c r="CR22" s="144" t="str">
        <f ca="1">INDIRECT(ADDRESS(11+(MATCH(RIGHT(Table11[[#This Row],[spawner_sku]],LEN(Table11[[#This Row],[spawner_sku]])-FIND("/",Table11[[#This Row],[spawner_sku]])),Table28[Entity Prefab],0)),25,1,1,"Entities"))</f>
        <v>no</v>
      </c>
      <c r="CS22" s="71">
        <v>5</v>
      </c>
      <c r="CT22" s="71">
        <v>7</v>
      </c>
      <c r="CU22" s="71" t="b">
        <v>1</v>
      </c>
      <c r="CW22" t="s">
        <v>213</v>
      </c>
      <c r="CX22">
        <v>1.5</v>
      </c>
      <c r="CY22">
        <v>260</v>
      </c>
      <c r="CZ22">
        <v>100</v>
      </c>
      <c r="DA22" s="74">
        <f ca="1">INDIRECT(ADDRESS(11+(MATCH(RIGHT(Table12[[#This Row],[spawner_sku]],LEN(Table12[[#This Row],[spawner_sku]])-FIND("/",Table12[[#This Row],[spawner_sku]])),Table1[Entity Prefab],0)),10,1,1,"Entities"))</f>
        <v>55</v>
      </c>
      <c r="DB22" s="74">
        <f ca="1">ROUND((Table12[[#This Row],[XP]]*Table12[[#This Row],[entity_spawned (AVG)]])*(Table12[[#This Row],[activating_chance]]/100),0)</f>
        <v>83</v>
      </c>
      <c r="DC22" s="144" t="str">
        <f ca="1">INDIRECT(ADDRESS(11+(MATCH(RIGHT(Table12[[#This Row],[spawner_sku]],LEN(Table12[[#This Row],[spawner_sku]])-FIND("/",Table12[[#This Row],[spawner_sku]])),Table28[Entity Prefab],0)),25,1,1,"Entities"))</f>
        <v>yes</v>
      </c>
      <c r="DD22" s="71">
        <v>1</v>
      </c>
      <c r="DE22" s="71">
        <v>2</v>
      </c>
      <c r="DF22" s="71" t="b">
        <v>0</v>
      </c>
      <c r="DH22" t="s">
        <v>213</v>
      </c>
      <c r="DI22">
        <v>1</v>
      </c>
      <c r="DJ22">
        <v>260</v>
      </c>
      <c r="DK22">
        <v>100</v>
      </c>
      <c r="DL22" s="74">
        <f ca="1">INDIRECT(ADDRESS(11+(MATCH(RIGHT(Table13[[#This Row],[spawner_sku]],LEN(Table13[[#This Row],[spawner_sku]])-FIND("/",Table13[[#This Row],[spawner_sku]])),Table1[Entity Prefab],0)),10,1,1,"Entities"))</f>
        <v>55</v>
      </c>
      <c r="DM22" s="74">
        <f ca="1">ROUND((Table13[[#This Row],[XP]]*Table13[[#This Row],[entity_spawned (AVG)]])*(Table13[[#This Row],[activating_chance]]/100),0)</f>
        <v>55</v>
      </c>
      <c r="DN22" s="144" t="str">
        <f ca="1">INDIRECT(ADDRESS(11+(MATCH(RIGHT(Table13[[#This Row],[spawner_sku]],LEN(Table13[[#This Row],[spawner_sku]])-FIND("/",Table13[[#This Row],[spawner_sku]])),Table28[Entity Prefab],0)),25,1,1,"Entities"))</f>
        <v>yes</v>
      </c>
      <c r="DO22" s="71">
        <v>1</v>
      </c>
      <c r="DP22" s="71">
        <v>1</v>
      </c>
      <c r="DQ22" s="71" t="b">
        <v>0</v>
      </c>
      <c r="DS22" t="s">
        <v>213</v>
      </c>
      <c r="DT22">
        <v>3</v>
      </c>
      <c r="DU22">
        <v>120</v>
      </c>
      <c r="DV22">
        <v>100</v>
      </c>
      <c r="DW22" s="74">
        <f ca="1">INDIRECT(ADDRESS(11+(MATCH(RIGHT(Table14[[#This Row],[spawner_sku]],LEN(Table14[[#This Row],[spawner_sku]])-FIND("/",Table14[[#This Row],[spawner_sku]])),Table1[Entity Prefab],0)),10,1,1,"Entities"))</f>
        <v>55</v>
      </c>
      <c r="DX22" s="74">
        <f ca="1">ROUND((Table14[[#This Row],[XP]]*Table14[[#This Row],[entity_spawned (AVG)]])*(Table14[[#This Row],[activating_chance]]/100),0)</f>
        <v>165</v>
      </c>
      <c r="DY22" s="144" t="str">
        <f ca="1">INDIRECT(ADDRESS(11+(MATCH(RIGHT(Table14[[#This Row],[spawner_sku]],LEN(Table14[[#This Row],[spawner_sku]])-FIND("/",Table14[[#This Row],[spawner_sku]])),Table28[Entity Prefab],0)),25,1,1,"Entities"))</f>
        <v>yes</v>
      </c>
      <c r="DZ22" s="71">
        <v>3</v>
      </c>
      <c r="EA22" s="71">
        <v>3</v>
      </c>
      <c r="EB22" s="71" t="b">
        <v>0</v>
      </c>
      <c r="EC22" s="71"/>
      <c r="ED22" s="147" t="s">
        <v>230</v>
      </c>
      <c r="EE22" s="71">
        <v>1</v>
      </c>
      <c r="EF22" s="71">
        <v>200</v>
      </c>
      <c r="EG22" s="71">
        <v>100</v>
      </c>
      <c r="EH22" s="71">
        <f ca="1">INDIRECT(ADDRESS(11+(MATCH(RIGHT(Table36[[#This Row],[spawner_sku]],LEN(Table36[[#This Row],[spawner_sku]])-FIND("/",Table36[[#This Row],[spawner_sku]])),Table1[Entity Prefab],0)),10,1,1,"Entities"))</f>
        <v>28</v>
      </c>
      <c r="EI22" s="71">
        <f ca="1">ROUND((Table36[[#This Row],[XP]]*Table36[[#This Row],[entity_spawned (AVG)]])*(Table36[[#This Row],[activating_chance]]/100),0)</f>
        <v>28</v>
      </c>
      <c r="EJ22" s="71" t="str">
        <f ca="1">INDIRECT(ADDRESS(11+(MATCH(RIGHT(Table36[[#This Row],[spawner_sku]],LEN(Table36[[#This Row],[spawner_sku]])-FIND("/",Table36[[#This Row],[spawner_sku]])),Table28[Entity Prefab],0)),25,1,1,"Entities"))</f>
        <v>no</v>
      </c>
      <c r="EK22" s="71">
        <v>1</v>
      </c>
      <c r="EL22" s="71">
        <v>1</v>
      </c>
      <c r="EM22" s="71" t="b">
        <v>0</v>
      </c>
      <c r="EO22" t="s">
        <v>213</v>
      </c>
      <c r="EP22">
        <v>3.5</v>
      </c>
      <c r="EQ22">
        <v>120</v>
      </c>
      <c r="ER22">
        <v>100</v>
      </c>
      <c r="ES22" s="74">
        <f ca="1">INDIRECT(ADDRESS(11+(MATCH(RIGHT(Table18[[#This Row],[spawner_sku]],LEN(Table18[[#This Row],[spawner_sku]])-FIND("/",Table18[[#This Row],[spawner_sku]])),Table1[Entity Prefab],0)),10,1,1,"Entities"))</f>
        <v>55</v>
      </c>
      <c r="ET22" s="74">
        <f ca="1">ROUND((Table18[[#This Row],[XP]]*Table18[[#This Row],[entity_spawned (AVG)]])*(Table18[[#This Row],[activating_chance]]/100),0)</f>
        <v>193</v>
      </c>
      <c r="EU22" s="74" t="str">
        <f ca="1">INDIRECT(ADDRESS(11+(MATCH(RIGHT(Table18[[#This Row],[spawner_sku]],LEN(Table18[[#This Row],[spawner_sku]])-FIND("/",Table18[[#This Row],[spawner_sku]])),Table28[Entity Prefab],0)),26,1,1,"Entities"))</f>
        <v>yes</v>
      </c>
      <c r="EV22">
        <v>3</v>
      </c>
      <c r="EW22">
        <v>4</v>
      </c>
      <c r="EX22" t="b">
        <v>0</v>
      </c>
      <c r="EZ22" t="s">
        <v>213</v>
      </c>
      <c r="FA22">
        <v>1</v>
      </c>
      <c r="FB22">
        <v>120</v>
      </c>
      <c r="FC22">
        <v>100</v>
      </c>
      <c r="FD22" s="74">
        <f ca="1">INDIRECT(ADDRESS(11+(MATCH(RIGHT(Table1820[[#This Row],[spawner_sku]],LEN(Table1820[[#This Row],[spawner_sku]])-FIND("/",Table1820[[#This Row],[spawner_sku]])),Table1[Entity Prefab],0)),10,1,1,"Entities"))</f>
        <v>55</v>
      </c>
      <c r="FE22" s="74">
        <f ca="1">ROUND((Table1820[[#This Row],[XP]]*Table1820[[#This Row],[entity_spawned (AVG)]])*(Table1820[[#This Row],[activating_chance]]/100),0)</f>
        <v>55</v>
      </c>
      <c r="FF22" s="74" t="str">
        <f ca="1">INDIRECT(ADDRESS(11+(MATCH(RIGHT(Table1820[[#This Row],[spawner_sku]],LEN(Table1820[[#This Row],[spawner_sku]])-FIND("/",Table1820[[#This Row],[spawner_sku]])),Table28[Entity Prefab],0)),26,1,1,"Entities"))</f>
        <v>yes</v>
      </c>
      <c r="FG22">
        <v>1</v>
      </c>
      <c r="FH22">
        <v>1</v>
      </c>
      <c r="FI22" t="b">
        <v>0</v>
      </c>
      <c r="FK22" t="s">
        <v>218</v>
      </c>
      <c r="FL22">
        <v>1</v>
      </c>
      <c r="FM22">
        <v>5000</v>
      </c>
      <c r="FN22">
        <v>60</v>
      </c>
      <c r="FO22">
        <f ca="1">INDIRECT(ADDRESS(11+(MATCH(RIGHT(Table182023[[#This Row],[spawner_sku]],LEN(Table182023[[#This Row],[spawner_sku]])-FIND("/",Table182023[[#This Row],[spawner_sku]])),Table1[Entity Prefab],0)),10,1,1,"Entities"))</f>
        <v>75</v>
      </c>
      <c r="FP22">
        <f ca="1">ROUND((Table182023[[#This Row],[XP]]*Table182023[[#This Row],[entity_spawned (AVG)]])*(Table182023[[#This Row],[activating_chance]]/100),0)</f>
        <v>45</v>
      </c>
      <c r="FQ22" t="str">
        <f ca="1">INDIRECT(ADDRESS(11+(MATCH(RIGHT(Table182023[[#This Row],[spawner_sku]],LEN(Table182023[[#This Row],[spawner_sku]])-FIND("/",Table182023[[#This Row],[spawner_sku]])),Table28[Entity Prefab],0)),26,1,1,"Entities"))</f>
        <v>no</v>
      </c>
      <c r="FR22">
        <v>1</v>
      </c>
      <c r="FS22">
        <v>1</v>
      </c>
      <c r="FT22" t="b">
        <v>0</v>
      </c>
      <c r="FV22" t="s">
        <v>218</v>
      </c>
      <c r="FW22">
        <v>1</v>
      </c>
      <c r="FX22">
        <v>5000</v>
      </c>
      <c r="FY22">
        <v>75</v>
      </c>
      <c r="FZ22" s="74">
        <f ca="1">INDIRECT(ADDRESS(11+(MATCH(RIGHT(Table18202324[[#This Row],[spawner_sku]],LEN(Table18202324[[#This Row],[spawner_sku]])-FIND("/",Table18202324[[#This Row],[spawner_sku]])),Table1[Entity Prefab],0)),10,1,1,"Entities"))</f>
        <v>75</v>
      </c>
      <c r="GA22" s="74">
        <f ca="1">ROUND((Table18202324[[#This Row],[XP]]*Table18202324[[#This Row],[entity_spawned (AVG)]])*(Table18202324[[#This Row],[activating_chance]]/100),0)</f>
        <v>56</v>
      </c>
      <c r="GB22" s="74" t="str">
        <f ca="1">INDIRECT(ADDRESS(11+(MATCH(RIGHT(Table18202324[[#This Row],[spawner_sku]],LEN(Table18202324[[#This Row],[spawner_sku]])-FIND("/",Table18202324[[#This Row],[spawner_sku]])),Table28[Entity Prefab],0)),26,1,1,"Entities"))</f>
        <v>no</v>
      </c>
      <c r="GC22">
        <v>1</v>
      </c>
      <c r="GD22">
        <v>1</v>
      </c>
      <c r="GE22" t="b">
        <v>0</v>
      </c>
      <c r="GG22" t="s">
        <v>376</v>
      </c>
      <c r="GH22">
        <v>8</v>
      </c>
      <c r="GI22">
        <v>120</v>
      </c>
      <c r="GJ22">
        <v>100</v>
      </c>
      <c r="GK22">
        <f ca="1">INDIRECT(ADDRESS(11+(MATCH(RIGHT(Table37[[#This Row],[spawner_sku]],LEN(Table37[[#This Row],[spawner_sku]])-FIND("/",Table37[[#This Row],[spawner_sku]])),Table1[Entity Prefab],0)),10,1,1,"Entities"))</f>
        <v>25</v>
      </c>
      <c r="GL22">
        <f ca="1">ROUND((Table37[[#This Row],[XP]]*Table37[[#This Row],[entity_spawned (AVG)]])*(Table37[[#This Row],[activating_chance]]/100),0)</f>
        <v>200</v>
      </c>
      <c r="GM22" t="str">
        <f ca="1">INDIRECT(ADDRESS(11+(MATCH(RIGHT(Table37[[#This Row],[spawner_sku]],LEN(Table37[[#This Row],[spawner_sku]])-FIND("/",Table37[[#This Row],[spawner_sku]])),Table28[Entity Prefab],0)),26,1,1,"Entities"))</f>
        <v>no</v>
      </c>
      <c r="GN22">
        <v>6</v>
      </c>
      <c r="GO22">
        <v>10</v>
      </c>
      <c r="GP22" t="b">
        <v>1</v>
      </c>
    </row>
    <row r="23" spans="2:198" x14ac:dyDescent="0.25">
      <c r="B23" s="72" t="s">
        <v>214</v>
      </c>
      <c r="C23">
        <v>9</v>
      </c>
      <c r="D23">
        <v>270</v>
      </c>
      <c r="E23">
        <v>100</v>
      </c>
      <c r="F23" s="74">
        <f ca="1">INDIRECT(ADDRESS(11+(MATCH(RIGHT(Table245[[#This Row],[spawner_sku]],LEN(Table245[[#This Row],[spawner_sku]])-FIND("/",Table245[[#This Row],[spawner_sku]])),Table1[Entity Prefab],0)),10,1,1,"Entities"))</f>
        <v>25</v>
      </c>
      <c r="G23" s="74">
        <f ca="1">ROUND((Table245[[#This Row],[XP]]*Table245[[#This Row],[entity_spawned (AVG)]])*(Table245[[#This Row],[activating_chance]]/100),0)</f>
        <v>225</v>
      </c>
      <c r="H23" s="71" t="str">
        <f ca="1">INDIRECT(ADDRESS(11+(MATCH(RIGHT(Table245[[#This Row],[spawner_sku]],LEN(Table245[[#This Row],[spawner_sku]])-FIND("/",Table245[[#This Row],[spawner_sku]])),Table28[Entity Prefab],0)),24,1,1,"Entities"))</f>
        <v>no</v>
      </c>
      <c r="I23" s="71">
        <v>8</v>
      </c>
      <c r="J23" s="71">
        <v>10</v>
      </c>
      <c r="K23" s="71" t="b">
        <v>1</v>
      </c>
      <c r="M23" t="s">
        <v>213</v>
      </c>
      <c r="N23">
        <v>1</v>
      </c>
      <c r="O23">
        <v>260</v>
      </c>
      <c r="P23">
        <v>100</v>
      </c>
      <c r="Q23" s="74">
        <f ca="1">INDIRECT(ADDRESS(11+(MATCH(RIGHT(Table3[[#This Row],[spawner_sku]],LEN(Table3[[#This Row],[spawner_sku]])-FIND("/",Table3[[#This Row],[spawner_sku]])),Table1[Entity Prefab],0)),10,1,1,"Entities"))</f>
        <v>55</v>
      </c>
      <c r="R23" s="74">
        <f ca="1">ROUND((Table3[[#This Row],[XP]]*Table3[[#This Row],[entity_spawned (AVG)]])*(Table3[[#This Row],[activating_chance]]/100),0)</f>
        <v>55</v>
      </c>
      <c r="S23" t="str">
        <f ca="1">INDIRECT(ADDRESS(11+(MATCH(RIGHT(Table3[[#This Row],[spawner_sku]],LEN(Table3[[#This Row],[spawner_sku]])-FIND("/",Table3[[#This Row],[spawner_sku]])),Table28[Entity Prefab],0)),24,1,1,"Entities"))</f>
        <v>yes</v>
      </c>
      <c r="T23">
        <v>1</v>
      </c>
      <c r="U23">
        <v>1</v>
      </c>
      <c r="V23" t="b">
        <v>0</v>
      </c>
      <c r="W23" s="71"/>
      <c r="X23" t="s">
        <v>213</v>
      </c>
      <c r="Y23">
        <v>1.5</v>
      </c>
      <c r="Z23">
        <v>190</v>
      </c>
      <c r="AA23">
        <v>100</v>
      </c>
      <c r="AB23" s="74">
        <f ca="1">INDIRECT(ADDRESS(11+(MATCH(RIGHT(Table39[[#This Row],[spawner_sku]],LEN(Table39[[#This Row],[spawner_sku]])-FIND("/",Table39[[#This Row],[spawner_sku]])),Table1[Entity Prefab],0)),10,1,1,"Entities"))</f>
        <v>55</v>
      </c>
      <c r="AC23" s="74">
        <f ca="1">ROUND((Table39[[#This Row],[XP]]*Table39[[#This Row],[entity_spawned (AVG)]])*(Table39[[#This Row],[activating_chance]]/100),0)</f>
        <v>83</v>
      </c>
      <c r="AD23" t="str">
        <f ca="1">INDIRECT(ADDRESS(11+(MATCH(RIGHT(Table39[[#This Row],[spawner_sku]],LEN(Table39[[#This Row],[spawner_sku]])-FIND("/",Table39[[#This Row],[spawner_sku]])),Table28[Entity Prefab],0)),24,1,1,"Entities"))</f>
        <v>yes</v>
      </c>
      <c r="AE23">
        <v>1</v>
      </c>
      <c r="AF23">
        <v>2</v>
      </c>
      <c r="AG23" t="b">
        <v>0</v>
      </c>
      <c r="AI23" t="s">
        <v>213</v>
      </c>
      <c r="AJ23">
        <v>3</v>
      </c>
      <c r="AK23">
        <v>200</v>
      </c>
      <c r="AL23">
        <v>100</v>
      </c>
      <c r="AM23" s="74">
        <f ca="1">INDIRECT(ADDRESS(11+(MATCH(RIGHT(Table2[[#This Row],[spawner_sku]],LEN(Table2[[#This Row],[spawner_sku]])-FIND("/",Table2[[#This Row],[spawner_sku]])),Table1[Entity Prefab],0)),10,1,1,"Entities"))</f>
        <v>55</v>
      </c>
      <c r="AN23" s="74">
        <f ca="1">ROUND((Table2[[#This Row],[XP]]*Table2[[#This Row],[entity_spawned (AVG)]])*(Table2[[#This Row],[activating_chance]]/100),0)</f>
        <v>165</v>
      </c>
      <c r="AO23" s="71" t="str">
        <f ca="1">INDIRECT(ADDRESS(11+(MATCH(RIGHT(Table2[[#This Row],[spawner_sku]],LEN(Table2[[#This Row],[spawner_sku]])-FIND("/",Table2[[#This Row],[spawner_sku]])),Table28[Entity Prefab],0)),24,1,1,"Entities"))</f>
        <v>yes</v>
      </c>
      <c r="AP23" s="71">
        <v>3</v>
      </c>
      <c r="AQ23" s="71">
        <v>3</v>
      </c>
      <c r="AR23" s="71" t="b">
        <v>0</v>
      </c>
      <c r="AT23" t="s">
        <v>213</v>
      </c>
      <c r="AU23">
        <v>2</v>
      </c>
      <c r="AV23">
        <v>280</v>
      </c>
      <c r="AW23">
        <v>100</v>
      </c>
      <c r="AX23" s="74">
        <f ca="1">INDIRECT(ADDRESS(11+(MATCH(RIGHT(Table6[[#This Row],[spawner_sku]],LEN(Table6[[#This Row],[spawner_sku]])-FIND("/",Table6[[#This Row],[spawner_sku]])),Table1[Entity Prefab],0)),10,1,1,"Entities"))</f>
        <v>55</v>
      </c>
      <c r="AY23" s="74">
        <f ca="1">ROUND((Table6[[#This Row],[XP]]*Table6[[#This Row],[entity_spawned (AVG)]])*(Table6[[#This Row],[activating_chance]]/100),0)</f>
        <v>110</v>
      </c>
      <c r="AZ23" s="144" t="str">
        <f ca="1">INDIRECT(ADDRESS(11+(MATCH(RIGHT(Table6[[#This Row],[spawner_sku]],LEN(Table6[[#This Row],[spawner_sku]])-FIND("/",Table6[[#This Row],[spawner_sku]])),Table28[Entity Prefab],0)),24,1,1,"Entities"))</f>
        <v>yes</v>
      </c>
      <c r="BA23">
        <v>2</v>
      </c>
      <c r="BB23">
        <v>2</v>
      </c>
      <c r="BC23" t="b">
        <v>0</v>
      </c>
      <c r="BE23" t="s">
        <v>213</v>
      </c>
      <c r="BF23">
        <v>4</v>
      </c>
      <c r="BG23">
        <v>150</v>
      </c>
      <c r="BH23">
        <v>100</v>
      </c>
      <c r="BI23" s="74">
        <f ca="1">INDIRECT(ADDRESS(11+(MATCH(RIGHT(Table610[[#This Row],[spawner_sku]],LEN(Table610[[#This Row],[spawner_sku]])-FIND("/",Table610[[#This Row],[spawner_sku]])),Table1[Entity Prefab],0)),10,1,1,"Entities"))</f>
        <v>55</v>
      </c>
      <c r="BJ23" s="74">
        <f ca="1">ROUND((Table610[[#This Row],[XP]]*Table610[[#This Row],[entity_spawned (AVG)]])*(Table610[[#This Row],[activating_chance]]/100),0)</f>
        <v>220</v>
      </c>
      <c r="BK23" s="71" t="str">
        <f ca="1">INDIRECT(ADDRESS(11+(MATCH(RIGHT(Table610[[#This Row],[spawner_sku]],LEN(Table610[[#This Row],[spawner_sku]])-FIND("/",Table610[[#This Row],[spawner_sku]])),Table28[Entity Prefab],0)),24,1,1,"Entities"))</f>
        <v>yes</v>
      </c>
      <c r="BL23">
        <v>4</v>
      </c>
      <c r="BM23">
        <v>4</v>
      </c>
      <c r="BN23" t="b">
        <v>0</v>
      </c>
      <c r="BP23" t="s">
        <v>215</v>
      </c>
      <c r="BQ23">
        <v>3.5</v>
      </c>
      <c r="BR23">
        <v>130</v>
      </c>
      <c r="BS23">
        <v>100</v>
      </c>
      <c r="BT23" s="74">
        <f ca="1">INDIRECT(ADDRESS(11+(MATCH(RIGHT(Table61011[[#This Row],[spawner_sku]],LEN(Table61011[[#This Row],[spawner_sku]])-FIND("/",Table61011[[#This Row],[spawner_sku]])),Table1[Entity Prefab],0)),10,1,1,"Entities"))</f>
        <v>25</v>
      </c>
      <c r="BU23" s="74">
        <f ca="1">ROUND((Table61011[[#This Row],[XP]]*Table61011[[#This Row],[entity_spawned (AVG)]])*(Table61011[[#This Row],[activating_chance]]/100),0)</f>
        <v>88</v>
      </c>
      <c r="BV23" s="71" t="str">
        <f ca="1">INDIRECT(ADDRESS(11+(MATCH(RIGHT(Table61011[[#This Row],[spawner_sku]],LEN(Table61011[[#This Row],[spawner_sku]])-FIND("/",Table61011[[#This Row],[spawner_sku]])),Table28[Entity Prefab],0)),24,1,1,"Entities"))</f>
        <v>no</v>
      </c>
      <c r="BW23" s="71">
        <v>3</v>
      </c>
      <c r="BX23" s="71">
        <v>4</v>
      </c>
      <c r="BY23" s="71" t="b">
        <v>0</v>
      </c>
      <c r="BZ23" s="71"/>
      <c r="CA23" s="147" t="s">
        <v>376</v>
      </c>
      <c r="CB23">
        <v>5</v>
      </c>
      <c r="CC23">
        <v>120</v>
      </c>
      <c r="CD23">
        <v>100</v>
      </c>
      <c r="CE23" s="74">
        <f ca="1">INDIRECT(ADDRESS(11+(MATCH(RIGHT(Table35[[#This Row],[spawner_sku]],LEN(Table35[[#This Row],[spawner_sku]])-FIND("/",Table35[[#This Row],[spawner_sku]])),Table1[Entity Prefab],0)),10,1,1,"Entities"))</f>
        <v>25</v>
      </c>
      <c r="CF23" s="74">
        <f ca="1">ROUND((Table35[[#This Row],[XP]]*Table35[[#This Row],[entity_spawned (AVG)]])*(Table35[[#This Row],[activating_chance]]/100),0)</f>
        <v>125</v>
      </c>
      <c r="CG23" s="144" t="str">
        <f ca="1">INDIRECT(ADDRESS(11+(MATCH(RIGHT(Table35[[#This Row],[spawner_sku]],LEN(Table35[[#This Row],[spawner_sku]])-FIND("/",Table35[[#This Row],[spawner_sku]])),Table28[Entity Prefab],0)),24,1,1,"Entities"))</f>
        <v>no</v>
      </c>
      <c r="CH23">
        <v>5</v>
      </c>
      <c r="CI23">
        <v>5</v>
      </c>
      <c r="CJ23" s="71" t="b">
        <v>1</v>
      </c>
      <c r="CL23" t="s">
        <v>214</v>
      </c>
      <c r="CM23">
        <v>9</v>
      </c>
      <c r="CN23">
        <v>280</v>
      </c>
      <c r="CO23">
        <v>100</v>
      </c>
      <c r="CP23" s="74">
        <f ca="1">INDIRECT(ADDRESS(11+(MATCH(RIGHT(Table11[[#This Row],[spawner_sku]],LEN(Table11[[#This Row],[spawner_sku]])-FIND("/",Table11[[#This Row],[spawner_sku]])),Table1[Entity Prefab],0)),10,1,1,"Entities"))</f>
        <v>25</v>
      </c>
      <c r="CQ23">
        <f ca="1">ROUND((Table11[[#This Row],[XP]]*Table11[[#This Row],[entity_spawned (AVG)]])*(Table11[[#This Row],[activating_chance]]/100),0)</f>
        <v>225</v>
      </c>
      <c r="CR23" s="144" t="str">
        <f ca="1">INDIRECT(ADDRESS(11+(MATCH(RIGHT(Table11[[#This Row],[spawner_sku]],LEN(Table11[[#This Row],[spawner_sku]])-FIND("/",Table11[[#This Row],[spawner_sku]])),Table28[Entity Prefab],0)),25,1,1,"Entities"))</f>
        <v>no</v>
      </c>
      <c r="CS23" s="71">
        <v>8</v>
      </c>
      <c r="CT23" s="71">
        <v>10</v>
      </c>
      <c r="CU23" s="71" t="b">
        <v>1</v>
      </c>
      <c r="CW23" t="s">
        <v>213</v>
      </c>
      <c r="CX23">
        <v>1.5</v>
      </c>
      <c r="CY23">
        <v>260</v>
      </c>
      <c r="CZ23">
        <v>80</v>
      </c>
      <c r="DA23" s="74">
        <f ca="1">INDIRECT(ADDRESS(11+(MATCH(RIGHT(Table12[[#This Row],[spawner_sku]],LEN(Table12[[#This Row],[spawner_sku]])-FIND("/",Table12[[#This Row],[spawner_sku]])),Table1[Entity Prefab],0)),10,1,1,"Entities"))</f>
        <v>55</v>
      </c>
      <c r="DB23" s="74">
        <f ca="1">ROUND((Table12[[#This Row],[XP]]*Table12[[#This Row],[entity_spawned (AVG)]])*(Table12[[#This Row],[activating_chance]]/100),0)</f>
        <v>66</v>
      </c>
      <c r="DC23" s="144" t="str">
        <f ca="1">INDIRECT(ADDRESS(11+(MATCH(RIGHT(Table12[[#This Row],[spawner_sku]],LEN(Table12[[#This Row],[spawner_sku]])-FIND("/",Table12[[#This Row],[spawner_sku]])),Table28[Entity Prefab],0)),25,1,1,"Entities"))</f>
        <v>yes</v>
      </c>
      <c r="DD23" s="71">
        <v>1</v>
      </c>
      <c r="DE23" s="71">
        <v>2</v>
      </c>
      <c r="DF23" s="71" t="b">
        <v>0</v>
      </c>
      <c r="DH23" t="s">
        <v>213</v>
      </c>
      <c r="DI23">
        <v>2.5</v>
      </c>
      <c r="DJ23">
        <v>260</v>
      </c>
      <c r="DK23">
        <v>80</v>
      </c>
      <c r="DL23" s="74">
        <f ca="1">INDIRECT(ADDRESS(11+(MATCH(RIGHT(Table13[[#This Row],[spawner_sku]],LEN(Table13[[#This Row],[spawner_sku]])-FIND("/",Table13[[#This Row],[spawner_sku]])),Table1[Entity Prefab],0)),10,1,1,"Entities"))</f>
        <v>55</v>
      </c>
      <c r="DM23" s="74">
        <f ca="1">ROUND((Table13[[#This Row],[XP]]*Table13[[#This Row],[entity_spawned (AVG)]])*(Table13[[#This Row],[activating_chance]]/100),0)</f>
        <v>110</v>
      </c>
      <c r="DN23" s="144" t="str">
        <f ca="1">INDIRECT(ADDRESS(11+(MATCH(RIGHT(Table13[[#This Row],[spawner_sku]],LEN(Table13[[#This Row],[spawner_sku]])-FIND("/",Table13[[#This Row],[spawner_sku]])),Table28[Entity Prefab],0)),25,1,1,"Entities"))</f>
        <v>yes</v>
      </c>
      <c r="DO23" s="71">
        <v>2</v>
      </c>
      <c r="DP23" s="71">
        <v>3</v>
      </c>
      <c r="DQ23" s="71" t="b">
        <v>0</v>
      </c>
      <c r="DS23" t="s">
        <v>213</v>
      </c>
      <c r="DT23">
        <v>1.5</v>
      </c>
      <c r="DU23">
        <v>260</v>
      </c>
      <c r="DV23">
        <v>100</v>
      </c>
      <c r="DW23" s="74">
        <f ca="1">INDIRECT(ADDRESS(11+(MATCH(RIGHT(Table14[[#This Row],[spawner_sku]],LEN(Table14[[#This Row],[spawner_sku]])-FIND("/",Table14[[#This Row],[spawner_sku]])),Table1[Entity Prefab],0)),10,1,1,"Entities"))</f>
        <v>55</v>
      </c>
      <c r="DX23" s="74">
        <f ca="1">ROUND((Table14[[#This Row],[XP]]*Table14[[#This Row],[entity_spawned (AVG)]])*(Table14[[#This Row],[activating_chance]]/100),0)</f>
        <v>83</v>
      </c>
      <c r="DY23" s="144" t="str">
        <f ca="1">INDIRECT(ADDRESS(11+(MATCH(RIGHT(Table14[[#This Row],[spawner_sku]],LEN(Table14[[#This Row],[spawner_sku]])-FIND("/",Table14[[#This Row],[spawner_sku]])),Table28[Entity Prefab],0)),25,1,1,"Entities"))</f>
        <v>yes</v>
      </c>
      <c r="DZ23" s="71">
        <v>1</v>
      </c>
      <c r="EA23" s="71">
        <v>2</v>
      </c>
      <c r="EB23" s="71" t="b">
        <v>0</v>
      </c>
      <c r="EC23" s="71"/>
      <c r="ED23" s="147" t="s">
        <v>230</v>
      </c>
      <c r="EE23" s="71">
        <v>1</v>
      </c>
      <c r="EF23" s="71">
        <v>200</v>
      </c>
      <c r="EG23" s="71">
        <v>100</v>
      </c>
      <c r="EH23" s="71">
        <f ca="1">INDIRECT(ADDRESS(11+(MATCH(RIGHT(Table36[[#This Row],[spawner_sku]],LEN(Table36[[#This Row],[spawner_sku]])-FIND("/",Table36[[#This Row],[spawner_sku]])),Table1[Entity Prefab],0)),10,1,1,"Entities"))</f>
        <v>28</v>
      </c>
      <c r="EI23" s="71">
        <f ca="1">ROUND((Table36[[#This Row],[XP]]*Table36[[#This Row],[entity_spawned (AVG)]])*(Table36[[#This Row],[activating_chance]]/100),0)</f>
        <v>28</v>
      </c>
      <c r="EJ23" s="71" t="str">
        <f ca="1">INDIRECT(ADDRESS(11+(MATCH(RIGHT(Table36[[#This Row],[spawner_sku]],LEN(Table36[[#This Row],[spawner_sku]])-FIND("/",Table36[[#This Row],[spawner_sku]])),Table28[Entity Prefab],0)),25,1,1,"Entities"))</f>
        <v>no</v>
      </c>
      <c r="EK23" s="71">
        <v>1</v>
      </c>
      <c r="EL23" s="71">
        <v>1</v>
      </c>
      <c r="EM23" s="71" t="b">
        <v>0</v>
      </c>
      <c r="EO23" t="s">
        <v>213</v>
      </c>
      <c r="EP23">
        <v>2</v>
      </c>
      <c r="EQ23">
        <v>140</v>
      </c>
      <c r="ER23">
        <v>100</v>
      </c>
      <c r="ES23" s="74">
        <f ca="1">INDIRECT(ADDRESS(11+(MATCH(RIGHT(Table18[[#This Row],[spawner_sku]],LEN(Table18[[#This Row],[spawner_sku]])-FIND("/",Table18[[#This Row],[spawner_sku]])),Table1[Entity Prefab],0)),10,1,1,"Entities"))</f>
        <v>55</v>
      </c>
      <c r="ET23" s="74">
        <f ca="1">ROUND((Table18[[#This Row],[XP]]*Table18[[#This Row],[entity_spawned (AVG)]])*(Table18[[#This Row],[activating_chance]]/100),0)</f>
        <v>110</v>
      </c>
      <c r="EU23" s="74" t="str">
        <f ca="1">INDIRECT(ADDRESS(11+(MATCH(RIGHT(Table18[[#This Row],[spawner_sku]],LEN(Table18[[#This Row],[spawner_sku]])-FIND("/",Table18[[#This Row],[spawner_sku]])),Table28[Entity Prefab],0)),26,1,1,"Entities"))</f>
        <v>yes</v>
      </c>
      <c r="EV23">
        <v>1</v>
      </c>
      <c r="EW23">
        <v>3</v>
      </c>
      <c r="EX23" t="b">
        <v>0</v>
      </c>
      <c r="EZ23" t="s">
        <v>213</v>
      </c>
      <c r="FA23">
        <v>3.5</v>
      </c>
      <c r="FB23">
        <v>120</v>
      </c>
      <c r="FC23">
        <v>100</v>
      </c>
      <c r="FD23" s="74">
        <f ca="1">INDIRECT(ADDRESS(11+(MATCH(RIGHT(Table1820[[#This Row],[spawner_sku]],LEN(Table1820[[#This Row],[spawner_sku]])-FIND("/",Table1820[[#This Row],[spawner_sku]])),Table1[Entity Prefab],0)),10,1,1,"Entities"))</f>
        <v>55</v>
      </c>
      <c r="FE23" s="74">
        <f ca="1">ROUND((Table1820[[#This Row],[XP]]*Table1820[[#This Row],[entity_spawned (AVG)]])*(Table1820[[#This Row],[activating_chance]]/100),0)</f>
        <v>193</v>
      </c>
      <c r="FF23" s="74" t="str">
        <f ca="1">INDIRECT(ADDRESS(11+(MATCH(RIGHT(Table1820[[#This Row],[spawner_sku]],LEN(Table1820[[#This Row],[spawner_sku]])-FIND("/",Table1820[[#This Row],[spawner_sku]])),Table28[Entity Prefab],0)),26,1,1,"Entities"))</f>
        <v>yes</v>
      </c>
      <c r="FG23">
        <v>3</v>
      </c>
      <c r="FH23">
        <v>4</v>
      </c>
      <c r="FI23" t="b">
        <v>0</v>
      </c>
      <c r="FK23" t="s">
        <v>218</v>
      </c>
      <c r="FL23">
        <v>1</v>
      </c>
      <c r="FM23">
        <v>5000</v>
      </c>
      <c r="FN23">
        <v>75</v>
      </c>
      <c r="FO23">
        <f ca="1">INDIRECT(ADDRESS(11+(MATCH(RIGHT(Table182023[[#This Row],[spawner_sku]],LEN(Table182023[[#This Row],[spawner_sku]])-FIND("/",Table182023[[#This Row],[spawner_sku]])),Table1[Entity Prefab],0)),10,1,1,"Entities"))</f>
        <v>75</v>
      </c>
      <c r="FP23">
        <f ca="1">ROUND((Table182023[[#This Row],[XP]]*Table182023[[#This Row],[entity_spawned (AVG)]])*(Table182023[[#This Row],[activating_chance]]/100),0)</f>
        <v>56</v>
      </c>
      <c r="FQ23" t="str">
        <f ca="1">INDIRECT(ADDRESS(11+(MATCH(RIGHT(Table182023[[#This Row],[spawner_sku]],LEN(Table182023[[#This Row],[spawner_sku]])-FIND("/",Table182023[[#This Row],[spawner_sku]])),Table28[Entity Prefab],0)),26,1,1,"Entities"))</f>
        <v>no</v>
      </c>
      <c r="FR23">
        <v>1</v>
      </c>
      <c r="FS23">
        <v>1</v>
      </c>
      <c r="FT23" t="b">
        <v>0</v>
      </c>
      <c r="FV23" t="s">
        <v>218</v>
      </c>
      <c r="FW23">
        <v>1</v>
      </c>
      <c r="FX23">
        <v>5000</v>
      </c>
      <c r="FY23">
        <v>30</v>
      </c>
      <c r="FZ23" s="74">
        <f ca="1">INDIRECT(ADDRESS(11+(MATCH(RIGHT(Table18202324[[#This Row],[spawner_sku]],LEN(Table18202324[[#This Row],[spawner_sku]])-FIND("/",Table18202324[[#This Row],[spawner_sku]])),Table1[Entity Prefab],0)),10,1,1,"Entities"))</f>
        <v>75</v>
      </c>
      <c r="GA23" s="74">
        <f ca="1">ROUND((Table18202324[[#This Row],[XP]]*Table18202324[[#This Row],[entity_spawned (AVG)]])*(Table18202324[[#This Row],[activating_chance]]/100),0)</f>
        <v>23</v>
      </c>
      <c r="GB23" s="74" t="str">
        <f ca="1">INDIRECT(ADDRESS(11+(MATCH(RIGHT(Table18202324[[#This Row],[spawner_sku]],LEN(Table18202324[[#This Row],[spawner_sku]])-FIND("/",Table18202324[[#This Row],[spawner_sku]])),Table28[Entity Prefab],0)),26,1,1,"Entities"))</f>
        <v>no</v>
      </c>
      <c r="GC23">
        <v>1</v>
      </c>
      <c r="GD23">
        <v>1</v>
      </c>
      <c r="GE23" t="b">
        <v>0</v>
      </c>
      <c r="GG23" t="s">
        <v>376</v>
      </c>
      <c r="GH23">
        <v>8</v>
      </c>
      <c r="GI23">
        <v>120</v>
      </c>
      <c r="GJ23">
        <v>100</v>
      </c>
      <c r="GK23">
        <f ca="1">INDIRECT(ADDRESS(11+(MATCH(RIGHT(Table37[[#This Row],[spawner_sku]],LEN(Table37[[#This Row],[spawner_sku]])-FIND("/",Table37[[#This Row],[spawner_sku]])),Table1[Entity Prefab],0)),10,1,1,"Entities"))</f>
        <v>25</v>
      </c>
      <c r="GL23">
        <f ca="1">ROUND((Table37[[#This Row],[XP]]*Table37[[#This Row],[entity_spawned (AVG)]])*(Table37[[#This Row],[activating_chance]]/100),0)</f>
        <v>200</v>
      </c>
      <c r="GM23" t="str">
        <f ca="1">INDIRECT(ADDRESS(11+(MATCH(RIGHT(Table37[[#This Row],[spawner_sku]],LEN(Table37[[#This Row],[spawner_sku]])-FIND("/",Table37[[#This Row],[spawner_sku]])),Table28[Entity Prefab],0)),26,1,1,"Entities"))</f>
        <v>no</v>
      </c>
      <c r="GN23">
        <v>6</v>
      </c>
      <c r="GO23">
        <v>10</v>
      </c>
      <c r="GP23" t="b">
        <v>1</v>
      </c>
    </row>
    <row r="24" spans="2:198" x14ac:dyDescent="0.25">
      <c r="B24" s="72" t="s">
        <v>215</v>
      </c>
      <c r="C24">
        <v>1</v>
      </c>
      <c r="D24">
        <v>60</v>
      </c>
      <c r="E24">
        <v>100</v>
      </c>
      <c r="F24" s="74">
        <f ca="1">INDIRECT(ADDRESS(11+(MATCH(RIGHT(Table245[[#This Row],[spawner_sku]],LEN(Table245[[#This Row],[spawner_sku]])-FIND("/",Table245[[#This Row],[spawner_sku]])),Table1[Entity Prefab],0)),10,1,1,"Entities"))</f>
        <v>25</v>
      </c>
      <c r="G24" s="74">
        <f ca="1">ROUND((Table245[[#This Row],[XP]]*Table245[[#This Row],[entity_spawned (AVG)]])*(Table245[[#This Row],[activating_chance]]/100),0)</f>
        <v>25</v>
      </c>
      <c r="H24" s="71" t="str">
        <f ca="1">INDIRECT(ADDRESS(11+(MATCH(RIGHT(Table245[[#This Row],[spawner_sku]],LEN(Table245[[#This Row],[spawner_sku]])-FIND("/",Table245[[#This Row],[spawner_sku]])),Table28[Entity Prefab],0)),24,1,1,"Entities"))</f>
        <v>no</v>
      </c>
      <c r="I24" s="71">
        <v>1</v>
      </c>
      <c r="J24" s="71">
        <v>1</v>
      </c>
      <c r="K24" s="71" t="b">
        <v>0</v>
      </c>
      <c r="M24" t="s">
        <v>213</v>
      </c>
      <c r="N24">
        <v>1</v>
      </c>
      <c r="O24">
        <v>260</v>
      </c>
      <c r="P24">
        <v>20</v>
      </c>
      <c r="Q24" s="74">
        <f ca="1">INDIRECT(ADDRESS(11+(MATCH(RIGHT(Table3[[#This Row],[spawner_sku]],LEN(Table3[[#This Row],[spawner_sku]])-FIND("/",Table3[[#This Row],[spawner_sku]])),Table1[Entity Prefab],0)),10,1,1,"Entities"))</f>
        <v>55</v>
      </c>
      <c r="R24" s="74">
        <f ca="1">ROUND((Table3[[#This Row],[XP]]*Table3[[#This Row],[entity_spawned (AVG)]])*(Table3[[#This Row],[activating_chance]]/100),0)</f>
        <v>11</v>
      </c>
      <c r="S24" t="str">
        <f ca="1">INDIRECT(ADDRESS(11+(MATCH(RIGHT(Table3[[#This Row],[spawner_sku]],LEN(Table3[[#This Row],[spawner_sku]])-FIND("/",Table3[[#This Row],[spawner_sku]])),Table28[Entity Prefab],0)),24,1,1,"Entities"))</f>
        <v>yes</v>
      </c>
      <c r="T24">
        <v>1</v>
      </c>
      <c r="U24">
        <v>1</v>
      </c>
      <c r="V24" t="b">
        <v>0</v>
      </c>
      <c r="W24" s="71"/>
      <c r="X24" t="s">
        <v>213</v>
      </c>
      <c r="Y24">
        <v>1.5</v>
      </c>
      <c r="Z24">
        <v>180</v>
      </c>
      <c r="AA24">
        <v>100</v>
      </c>
      <c r="AB24" s="74">
        <f ca="1">INDIRECT(ADDRESS(11+(MATCH(RIGHT(Table39[[#This Row],[spawner_sku]],LEN(Table39[[#This Row],[spawner_sku]])-FIND("/",Table39[[#This Row],[spawner_sku]])),Table1[Entity Prefab],0)),10,1,1,"Entities"))</f>
        <v>55</v>
      </c>
      <c r="AC24" s="74">
        <f ca="1">ROUND((Table39[[#This Row],[XP]]*Table39[[#This Row],[entity_spawned (AVG)]])*(Table39[[#This Row],[activating_chance]]/100),0)</f>
        <v>83</v>
      </c>
      <c r="AD24" t="str">
        <f ca="1">INDIRECT(ADDRESS(11+(MATCH(RIGHT(Table39[[#This Row],[spawner_sku]],LEN(Table39[[#This Row],[spawner_sku]])-FIND("/",Table39[[#This Row],[spawner_sku]])),Table28[Entity Prefab],0)),24,1,1,"Entities"))</f>
        <v>yes</v>
      </c>
      <c r="AE24">
        <v>1</v>
      </c>
      <c r="AF24">
        <v>2</v>
      </c>
      <c r="AG24" t="b">
        <v>0</v>
      </c>
      <c r="AI24" t="s">
        <v>213</v>
      </c>
      <c r="AJ24">
        <v>1</v>
      </c>
      <c r="AK24">
        <v>170</v>
      </c>
      <c r="AL24">
        <v>100</v>
      </c>
      <c r="AM24" s="74">
        <f ca="1">INDIRECT(ADDRESS(11+(MATCH(RIGHT(Table2[[#This Row],[spawner_sku]],LEN(Table2[[#This Row],[spawner_sku]])-FIND("/",Table2[[#This Row],[spawner_sku]])),Table1[Entity Prefab],0)),10,1,1,"Entities"))</f>
        <v>55</v>
      </c>
      <c r="AN24" s="74">
        <f ca="1">ROUND((Table2[[#This Row],[XP]]*Table2[[#This Row],[entity_spawned (AVG)]])*(Table2[[#This Row],[activating_chance]]/100),0)</f>
        <v>55</v>
      </c>
      <c r="AO24" s="71" t="str">
        <f ca="1">INDIRECT(ADDRESS(11+(MATCH(RIGHT(Table2[[#This Row],[spawner_sku]],LEN(Table2[[#This Row],[spawner_sku]])-FIND("/",Table2[[#This Row],[spawner_sku]])),Table28[Entity Prefab],0)),24,1,1,"Entities"))</f>
        <v>yes</v>
      </c>
      <c r="AP24" s="71">
        <v>1</v>
      </c>
      <c r="AQ24" s="71">
        <v>1</v>
      </c>
      <c r="AR24" s="71" t="b">
        <v>0</v>
      </c>
      <c r="AT24" t="s">
        <v>213</v>
      </c>
      <c r="AU24">
        <v>1</v>
      </c>
      <c r="AV24">
        <v>280</v>
      </c>
      <c r="AW24">
        <v>100</v>
      </c>
      <c r="AX24" s="74">
        <f ca="1">INDIRECT(ADDRESS(11+(MATCH(RIGHT(Table6[[#This Row],[spawner_sku]],LEN(Table6[[#This Row],[spawner_sku]])-FIND("/",Table6[[#This Row],[spawner_sku]])),Table1[Entity Prefab],0)),10,1,1,"Entities"))</f>
        <v>55</v>
      </c>
      <c r="AY24" s="74">
        <f ca="1">ROUND((Table6[[#This Row],[XP]]*Table6[[#This Row],[entity_spawned (AVG)]])*(Table6[[#This Row],[activating_chance]]/100),0)</f>
        <v>55</v>
      </c>
      <c r="AZ24" s="144" t="str">
        <f ca="1">INDIRECT(ADDRESS(11+(MATCH(RIGHT(Table6[[#This Row],[spawner_sku]],LEN(Table6[[#This Row],[spawner_sku]])-FIND("/",Table6[[#This Row],[spawner_sku]])),Table28[Entity Prefab],0)),24,1,1,"Entities"))</f>
        <v>yes</v>
      </c>
      <c r="BA24">
        <v>1</v>
      </c>
      <c r="BB24">
        <v>1</v>
      </c>
      <c r="BC24" t="b">
        <v>0</v>
      </c>
      <c r="BE24" t="s">
        <v>213</v>
      </c>
      <c r="BF24">
        <v>1</v>
      </c>
      <c r="BG24">
        <v>150</v>
      </c>
      <c r="BH24">
        <v>100</v>
      </c>
      <c r="BI24" s="74">
        <f ca="1">INDIRECT(ADDRESS(11+(MATCH(RIGHT(Table610[[#This Row],[spawner_sku]],LEN(Table610[[#This Row],[spawner_sku]])-FIND("/",Table610[[#This Row],[spawner_sku]])),Table1[Entity Prefab],0)),10,1,1,"Entities"))</f>
        <v>55</v>
      </c>
      <c r="BJ24" s="74">
        <f ca="1">ROUND((Table610[[#This Row],[XP]]*Table610[[#This Row],[entity_spawned (AVG)]])*(Table610[[#This Row],[activating_chance]]/100),0)</f>
        <v>55</v>
      </c>
      <c r="BK24" s="71" t="str">
        <f ca="1">INDIRECT(ADDRESS(11+(MATCH(RIGHT(Table610[[#This Row],[spawner_sku]],LEN(Table610[[#This Row],[spawner_sku]])-FIND("/",Table610[[#This Row],[spawner_sku]])),Table28[Entity Prefab],0)),24,1,1,"Entities"))</f>
        <v>yes</v>
      </c>
      <c r="BL24">
        <v>1</v>
      </c>
      <c r="BM24">
        <v>1</v>
      </c>
      <c r="BN24" t="b">
        <v>0</v>
      </c>
      <c r="BP24" t="s">
        <v>215</v>
      </c>
      <c r="BQ24">
        <v>4</v>
      </c>
      <c r="BR24">
        <v>200</v>
      </c>
      <c r="BS24">
        <v>80</v>
      </c>
      <c r="BT24" s="74">
        <f ca="1">INDIRECT(ADDRESS(11+(MATCH(RIGHT(Table61011[[#This Row],[spawner_sku]],LEN(Table61011[[#This Row],[spawner_sku]])-FIND("/",Table61011[[#This Row],[spawner_sku]])),Table1[Entity Prefab],0)),10,1,1,"Entities"))</f>
        <v>25</v>
      </c>
      <c r="BU24" s="74">
        <f ca="1">ROUND((Table61011[[#This Row],[XP]]*Table61011[[#This Row],[entity_spawned (AVG)]])*(Table61011[[#This Row],[activating_chance]]/100),0)</f>
        <v>80</v>
      </c>
      <c r="BV24" s="71" t="str">
        <f ca="1">INDIRECT(ADDRESS(11+(MATCH(RIGHT(Table61011[[#This Row],[spawner_sku]],LEN(Table61011[[#This Row],[spawner_sku]])-FIND("/",Table61011[[#This Row],[spawner_sku]])),Table28[Entity Prefab],0)),24,1,1,"Entities"))</f>
        <v>no</v>
      </c>
      <c r="BW24" s="71">
        <v>4</v>
      </c>
      <c r="BX24" s="71">
        <v>4</v>
      </c>
      <c r="BY24" s="71" t="b">
        <v>0</v>
      </c>
      <c r="BZ24" s="71"/>
      <c r="CA24" s="147" t="s">
        <v>376</v>
      </c>
      <c r="CB24">
        <v>5</v>
      </c>
      <c r="CC24">
        <v>120</v>
      </c>
      <c r="CD24">
        <v>100</v>
      </c>
      <c r="CE24" s="74">
        <f ca="1">INDIRECT(ADDRESS(11+(MATCH(RIGHT(Table35[[#This Row],[spawner_sku]],LEN(Table35[[#This Row],[spawner_sku]])-FIND("/",Table35[[#This Row],[spawner_sku]])),Table1[Entity Prefab],0)),10,1,1,"Entities"))</f>
        <v>25</v>
      </c>
      <c r="CF24" s="74">
        <f ca="1">ROUND((Table35[[#This Row],[XP]]*Table35[[#This Row],[entity_spawned (AVG)]])*(Table35[[#This Row],[activating_chance]]/100),0)</f>
        <v>125</v>
      </c>
      <c r="CG24" s="144" t="str">
        <f ca="1">INDIRECT(ADDRESS(11+(MATCH(RIGHT(Table35[[#This Row],[spawner_sku]],LEN(Table35[[#This Row],[spawner_sku]])-FIND("/",Table35[[#This Row],[spawner_sku]])),Table28[Entity Prefab],0)),24,1,1,"Entities"))</f>
        <v>no</v>
      </c>
      <c r="CH24">
        <v>5</v>
      </c>
      <c r="CI24">
        <v>5</v>
      </c>
      <c r="CJ24" s="71" t="b">
        <v>1</v>
      </c>
      <c r="CL24" t="s">
        <v>214</v>
      </c>
      <c r="CM24">
        <v>6</v>
      </c>
      <c r="CN24">
        <v>280</v>
      </c>
      <c r="CO24">
        <v>100</v>
      </c>
      <c r="CP24" s="74">
        <f ca="1">INDIRECT(ADDRESS(11+(MATCH(RIGHT(Table11[[#This Row],[spawner_sku]],LEN(Table11[[#This Row],[spawner_sku]])-FIND("/",Table11[[#This Row],[spawner_sku]])),Table1[Entity Prefab],0)),10,1,1,"Entities"))</f>
        <v>25</v>
      </c>
      <c r="CQ24">
        <f ca="1">ROUND((Table11[[#This Row],[XP]]*Table11[[#This Row],[entity_spawned (AVG)]])*(Table11[[#This Row],[activating_chance]]/100),0)</f>
        <v>150</v>
      </c>
      <c r="CR24" s="144" t="str">
        <f ca="1">INDIRECT(ADDRESS(11+(MATCH(RIGHT(Table11[[#This Row],[spawner_sku]],LEN(Table11[[#This Row],[spawner_sku]])-FIND("/",Table11[[#This Row],[spawner_sku]])),Table28[Entity Prefab],0)),25,1,1,"Entities"))</f>
        <v>no</v>
      </c>
      <c r="CS24" s="71">
        <v>5</v>
      </c>
      <c r="CT24" s="71">
        <v>7</v>
      </c>
      <c r="CU24" s="71" t="b">
        <v>1</v>
      </c>
      <c r="CW24" t="s">
        <v>213</v>
      </c>
      <c r="CX24">
        <v>1</v>
      </c>
      <c r="CY24">
        <v>260</v>
      </c>
      <c r="CZ24">
        <v>100</v>
      </c>
      <c r="DA24" s="74">
        <f ca="1">INDIRECT(ADDRESS(11+(MATCH(RIGHT(Table12[[#This Row],[spawner_sku]],LEN(Table12[[#This Row],[spawner_sku]])-FIND("/",Table12[[#This Row],[spawner_sku]])),Table1[Entity Prefab],0)),10,1,1,"Entities"))</f>
        <v>55</v>
      </c>
      <c r="DB24" s="74">
        <f ca="1">ROUND((Table12[[#This Row],[XP]]*Table12[[#This Row],[entity_spawned (AVG)]])*(Table12[[#This Row],[activating_chance]]/100),0)</f>
        <v>55</v>
      </c>
      <c r="DC24" s="144" t="str">
        <f ca="1">INDIRECT(ADDRESS(11+(MATCH(RIGHT(Table12[[#This Row],[spawner_sku]],LEN(Table12[[#This Row],[spawner_sku]])-FIND("/",Table12[[#This Row],[spawner_sku]])),Table28[Entity Prefab],0)),25,1,1,"Entities"))</f>
        <v>yes</v>
      </c>
      <c r="DD24" s="71">
        <v>1</v>
      </c>
      <c r="DE24" s="71">
        <v>1</v>
      </c>
      <c r="DF24" s="71" t="b">
        <v>0</v>
      </c>
      <c r="DH24" t="s">
        <v>213</v>
      </c>
      <c r="DI24">
        <v>2</v>
      </c>
      <c r="DJ24">
        <v>260</v>
      </c>
      <c r="DK24">
        <v>100</v>
      </c>
      <c r="DL24" s="74">
        <f ca="1">INDIRECT(ADDRESS(11+(MATCH(RIGHT(Table13[[#This Row],[spawner_sku]],LEN(Table13[[#This Row],[spawner_sku]])-FIND("/",Table13[[#This Row],[spawner_sku]])),Table1[Entity Prefab],0)),10,1,1,"Entities"))</f>
        <v>55</v>
      </c>
      <c r="DM24" s="74">
        <f ca="1">ROUND((Table13[[#This Row],[XP]]*Table13[[#This Row],[entity_spawned (AVG)]])*(Table13[[#This Row],[activating_chance]]/100),0)</f>
        <v>110</v>
      </c>
      <c r="DN24" s="144" t="str">
        <f ca="1">INDIRECT(ADDRESS(11+(MATCH(RIGHT(Table13[[#This Row],[spawner_sku]],LEN(Table13[[#This Row],[spawner_sku]])-FIND("/",Table13[[#This Row],[spawner_sku]])),Table28[Entity Prefab],0)),25,1,1,"Entities"))</f>
        <v>yes</v>
      </c>
      <c r="DO24" s="71">
        <v>2</v>
      </c>
      <c r="DP24" s="71">
        <v>2</v>
      </c>
      <c r="DQ24" s="71" t="b">
        <v>0</v>
      </c>
      <c r="DS24" t="s">
        <v>213</v>
      </c>
      <c r="DT24">
        <v>3</v>
      </c>
      <c r="DU24">
        <v>150</v>
      </c>
      <c r="DV24">
        <v>100</v>
      </c>
      <c r="DW24" s="74">
        <f ca="1">INDIRECT(ADDRESS(11+(MATCH(RIGHT(Table14[[#This Row],[spawner_sku]],LEN(Table14[[#This Row],[spawner_sku]])-FIND("/",Table14[[#This Row],[spawner_sku]])),Table1[Entity Prefab],0)),10,1,1,"Entities"))</f>
        <v>55</v>
      </c>
      <c r="DX24" s="74">
        <f ca="1">ROUND((Table14[[#This Row],[XP]]*Table14[[#This Row],[entity_spawned (AVG)]])*(Table14[[#This Row],[activating_chance]]/100),0)</f>
        <v>165</v>
      </c>
      <c r="DY24" s="144" t="str">
        <f ca="1">INDIRECT(ADDRESS(11+(MATCH(RIGHT(Table14[[#This Row],[spawner_sku]],LEN(Table14[[#This Row],[spawner_sku]])-FIND("/",Table14[[#This Row],[spawner_sku]])),Table28[Entity Prefab],0)),25,1,1,"Entities"))</f>
        <v>yes</v>
      </c>
      <c r="DZ24" s="71">
        <v>3</v>
      </c>
      <c r="EA24" s="71">
        <v>3</v>
      </c>
      <c r="EB24" s="71" t="b">
        <v>0</v>
      </c>
      <c r="EC24" s="71"/>
      <c r="ED24" s="147" t="s">
        <v>230</v>
      </c>
      <c r="EE24" s="71">
        <v>1</v>
      </c>
      <c r="EF24" s="71">
        <v>200</v>
      </c>
      <c r="EG24" s="71">
        <v>100</v>
      </c>
      <c r="EH24" s="71">
        <f ca="1">INDIRECT(ADDRESS(11+(MATCH(RIGHT(Table36[[#This Row],[spawner_sku]],LEN(Table36[[#This Row],[spawner_sku]])-FIND("/",Table36[[#This Row],[spawner_sku]])),Table1[Entity Prefab],0)),10,1,1,"Entities"))</f>
        <v>28</v>
      </c>
      <c r="EI24" s="71">
        <f ca="1">ROUND((Table36[[#This Row],[XP]]*Table36[[#This Row],[entity_spawned (AVG)]])*(Table36[[#This Row],[activating_chance]]/100),0)</f>
        <v>28</v>
      </c>
      <c r="EJ24" s="71" t="str">
        <f ca="1">INDIRECT(ADDRESS(11+(MATCH(RIGHT(Table36[[#This Row],[spawner_sku]],LEN(Table36[[#This Row],[spawner_sku]])-FIND("/",Table36[[#This Row],[spawner_sku]])),Table28[Entity Prefab],0)),25,1,1,"Entities"))</f>
        <v>no</v>
      </c>
      <c r="EK24" s="71">
        <v>1</v>
      </c>
      <c r="EL24" s="71">
        <v>1</v>
      </c>
      <c r="EM24" s="71" t="b">
        <v>0</v>
      </c>
      <c r="EO24" t="s">
        <v>213</v>
      </c>
      <c r="EP24">
        <v>2</v>
      </c>
      <c r="EQ24">
        <v>130</v>
      </c>
      <c r="ER24">
        <v>100</v>
      </c>
      <c r="ES24" s="74">
        <f ca="1">INDIRECT(ADDRESS(11+(MATCH(RIGHT(Table18[[#This Row],[spawner_sku]],LEN(Table18[[#This Row],[spawner_sku]])-FIND("/",Table18[[#This Row],[spawner_sku]])),Table1[Entity Prefab],0)),10,1,1,"Entities"))</f>
        <v>55</v>
      </c>
      <c r="ET24" s="74">
        <f ca="1">ROUND((Table18[[#This Row],[XP]]*Table18[[#This Row],[entity_spawned (AVG)]])*(Table18[[#This Row],[activating_chance]]/100),0)</f>
        <v>110</v>
      </c>
      <c r="EU24" s="74" t="str">
        <f ca="1">INDIRECT(ADDRESS(11+(MATCH(RIGHT(Table18[[#This Row],[spawner_sku]],LEN(Table18[[#This Row],[spawner_sku]])-FIND("/",Table18[[#This Row],[spawner_sku]])),Table28[Entity Prefab],0)),26,1,1,"Entities"))</f>
        <v>yes</v>
      </c>
      <c r="EV24">
        <v>1</v>
      </c>
      <c r="EW24">
        <v>3</v>
      </c>
      <c r="EX24" t="b">
        <v>0</v>
      </c>
      <c r="EZ24" t="s">
        <v>213</v>
      </c>
      <c r="FA24">
        <v>3.5</v>
      </c>
      <c r="FB24">
        <v>120</v>
      </c>
      <c r="FC24">
        <v>100</v>
      </c>
      <c r="FD24" s="74">
        <f ca="1">INDIRECT(ADDRESS(11+(MATCH(RIGHT(Table1820[[#This Row],[spawner_sku]],LEN(Table1820[[#This Row],[spawner_sku]])-FIND("/",Table1820[[#This Row],[spawner_sku]])),Table1[Entity Prefab],0)),10,1,1,"Entities"))</f>
        <v>55</v>
      </c>
      <c r="FE24" s="74">
        <f ca="1">ROUND((Table1820[[#This Row],[XP]]*Table1820[[#This Row],[entity_spawned (AVG)]])*(Table1820[[#This Row],[activating_chance]]/100),0)</f>
        <v>193</v>
      </c>
      <c r="FF24" s="74" t="str">
        <f ca="1">INDIRECT(ADDRESS(11+(MATCH(RIGHT(Table1820[[#This Row],[spawner_sku]],LEN(Table1820[[#This Row],[spawner_sku]])-FIND("/",Table1820[[#This Row],[spawner_sku]])),Table28[Entity Prefab],0)),26,1,1,"Entities"))</f>
        <v>yes</v>
      </c>
      <c r="FG24">
        <v>3</v>
      </c>
      <c r="FH24">
        <v>4</v>
      </c>
      <c r="FI24" t="b">
        <v>0</v>
      </c>
      <c r="FK24" t="s">
        <v>218</v>
      </c>
      <c r="FL24">
        <v>1</v>
      </c>
      <c r="FM24">
        <v>5000</v>
      </c>
      <c r="FN24">
        <v>60</v>
      </c>
      <c r="FO24">
        <f ca="1">INDIRECT(ADDRESS(11+(MATCH(RIGHT(Table182023[[#This Row],[spawner_sku]],LEN(Table182023[[#This Row],[spawner_sku]])-FIND("/",Table182023[[#This Row],[spawner_sku]])),Table1[Entity Prefab],0)),10,1,1,"Entities"))</f>
        <v>75</v>
      </c>
      <c r="FP24">
        <f ca="1">ROUND((Table182023[[#This Row],[XP]]*Table182023[[#This Row],[entity_spawned (AVG)]])*(Table182023[[#This Row],[activating_chance]]/100),0)</f>
        <v>45</v>
      </c>
      <c r="FQ24" t="str">
        <f ca="1">INDIRECT(ADDRESS(11+(MATCH(RIGHT(Table182023[[#This Row],[spawner_sku]],LEN(Table182023[[#This Row],[spawner_sku]])-FIND("/",Table182023[[#This Row],[spawner_sku]])),Table28[Entity Prefab],0)),26,1,1,"Entities"))</f>
        <v>no</v>
      </c>
      <c r="FR24">
        <v>1</v>
      </c>
      <c r="FS24">
        <v>1</v>
      </c>
      <c r="FT24" t="b">
        <v>0</v>
      </c>
      <c r="FV24" t="s">
        <v>218</v>
      </c>
      <c r="FW24">
        <v>1</v>
      </c>
      <c r="FX24">
        <v>5000</v>
      </c>
      <c r="FY24">
        <v>75</v>
      </c>
      <c r="FZ24" s="74">
        <f ca="1">INDIRECT(ADDRESS(11+(MATCH(RIGHT(Table18202324[[#This Row],[spawner_sku]],LEN(Table18202324[[#This Row],[spawner_sku]])-FIND("/",Table18202324[[#This Row],[spawner_sku]])),Table1[Entity Prefab],0)),10,1,1,"Entities"))</f>
        <v>75</v>
      </c>
      <c r="GA24" s="74">
        <f ca="1">ROUND((Table18202324[[#This Row],[XP]]*Table18202324[[#This Row],[entity_spawned (AVG)]])*(Table18202324[[#This Row],[activating_chance]]/100),0)</f>
        <v>56</v>
      </c>
      <c r="GB24" s="74" t="str">
        <f ca="1">INDIRECT(ADDRESS(11+(MATCH(RIGHT(Table18202324[[#This Row],[spawner_sku]],LEN(Table18202324[[#This Row],[spawner_sku]])-FIND("/",Table18202324[[#This Row],[spawner_sku]])),Table28[Entity Prefab],0)),26,1,1,"Entities"))</f>
        <v>no</v>
      </c>
      <c r="GC24">
        <v>1</v>
      </c>
      <c r="GD24">
        <v>1</v>
      </c>
      <c r="GE24" t="b">
        <v>0</v>
      </c>
      <c r="GG24" t="s">
        <v>376</v>
      </c>
      <c r="GH24">
        <v>8</v>
      </c>
      <c r="GI24">
        <v>120</v>
      </c>
      <c r="GJ24">
        <v>100</v>
      </c>
      <c r="GK24">
        <f ca="1">INDIRECT(ADDRESS(11+(MATCH(RIGHT(Table37[[#This Row],[spawner_sku]],LEN(Table37[[#This Row],[spawner_sku]])-FIND("/",Table37[[#This Row],[spawner_sku]])),Table1[Entity Prefab],0)),10,1,1,"Entities"))</f>
        <v>25</v>
      </c>
      <c r="GL24">
        <f ca="1">ROUND((Table37[[#This Row],[XP]]*Table37[[#This Row],[entity_spawned (AVG)]])*(Table37[[#This Row],[activating_chance]]/100),0)</f>
        <v>200</v>
      </c>
      <c r="GM24" t="str">
        <f ca="1">INDIRECT(ADDRESS(11+(MATCH(RIGHT(Table37[[#This Row],[spawner_sku]],LEN(Table37[[#This Row],[spawner_sku]])-FIND("/",Table37[[#This Row],[spawner_sku]])),Table28[Entity Prefab],0)),26,1,1,"Entities"))</f>
        <v>no</v>
      </c>
      <c r="GN24">
        <v>6</v>
      </c>
      <c r="GO24">
        <v>10</v>
      </c>
      <c r="GP24" t="b">
        <v>1</v>
      </c>
    </row>
    <row r="25" spans="2:198" x14ac:dyDescent="0.25">
      <c r="B25" s="72" t="s">
        <v>215</v>
      </c>
      <c r="C25">
        <v>3</v>
      </c>
      <c r="D25">
        <v>110</v>
      </c>
      <c r="E25">
        <v>80</v>
      </c>
      <c r="F25" s="74">
        <f ca="1">INDIRECT(ADDRESS(11+(MATCH(RIGHT(Table245[[#This Row],[spawner_sku]],LEN(Table245[[#This Row],[spawner_sku]])-FIND("/",Table245[[#This Row],[spawner_sku]])),Table1[Entity Prefab],0)),10,1,1,"Entities"))</f>
        <v>25</v>
      </c>
      <c r="G25" s="74">
        <f ca="1">ROUND((Table245[[#This Row],[XP]]*Table245[[#This Row],[entity_spawned (AVG)]])*(Table245[[#This Row],[activating_chance]]/100),0)</f>
        <v>60</v>
      </c>
      <c r="H25" s="71" t="str">
        <f ca="1">INDIRECT(ADDRESS(11+(MATCH(RIGHT(Table245[[#This Row],[spawner_sku]],LEN(Table245[[#This Row],[spawner_sku]])-FIND("/",Table245[[#This Row],[spawner_sku]])),Table28[Entity Prefab],0)),24,1,1,"Entities"))</f>
        <v>no</v>
      </c>
      <c r="I25" s="71">
        <v>2</v>
      </c>
      <c r="J25" s="71">
        <v>4</v>
      </c>
      <c r="K25" s="71" t="b">
        <v>0</v>
      </c>
      <c r="M25" t="s">
        <v>213</v>
      </c>
      <c r="N25">
        <v>1</v>
      </c>
      <c r="O25">
        <v>260</v>
      </c>
      <c r="P25">
        <v>100</v>
      </c>
      <c r="Q25" s="74">
        <f ca="1">INDIRECT(ADDRESS(11+(MATCH(RIGHT(Table3[[#This Row],[spawner_sku]],LEN(Table3[[#This Row],[spawner_sku]])-FIND("/",Table3[[#This Row],[spawner_sku]])),Table1[Entity Prefab],0)),10,1,1,"Entities"))</f>
        <v>55</v>
      </c>
      <c r="R25" s="74">
        <f ca="1">ROUND((Table3[[#This Row],[XP]]*Table3[[#This Row],[entity_spawned (AVG)]])*(Table3[[#This Row],[activating_chance]]/100),0)</f>
        <v>55</v>
      </c>
      <c r="S25" t="str">
        <f ca="1">INDIRECT(ADDRESS(11+(MATCH(RIGHT(Table3[[#This Row],[spawner_sku]],LEN(Table3[[#This Row],[spawner_sku]])-FIND("/",Table3[[#This Row],[spawner_sku]])),Table28[Entity Prefab],0)),24,1,1,"Entities"))</f>
        <v>yes</v>
      </c>
      <c r="T25">
        <v>1</v>
      </c>
      <c r="U25">
        <v>1</v>
      </c>
      <c r="V25" t="b">
        <v>0</v>
      </c>
      <c r="W25" s="71"/>
      <c r="X25" t="s">
        <v>213</v>
      </c>
      <c r="Y25">
        <v>1.5</v>
      </c>
      <c r="Z25">
        <v>180</v>
      </c>
      <c r="AA25">
        <v>100</v>
      </c>
      <c r="AB25" s="74">
        <f ca="1">INDIRECT(ADDRESS(11+(MATCH(RIGHT(Table39[[#This Row],[spawner_sku]],LEN(Table39[[#This Row],[spawner_sku]])-FIND("/",Table39[[#This Row],[spawner_sku]])),Table1[Entity Prefab],0)),10,1,1,"Entities"))</f>
        <v>55</v>
      </c>
      <c r="AC25" s="74">
        <f ca="1">ROUND((Table39[[#This Row],[XP]]*Table39[[#This Row],[entity_spawned (AVG)]])*(Table39[[#This Row],[activating_chance]]/100),0)</f>
        <v>83</v>
      </c>
      <c r="AD25" t="str">
        <f ca="1">INDIRECT(ADDRESS(11+(MATCH(RIGHT(Table39[[#This Row],[spawner_sku]],LEN(Table39[[#This Row],[spawner_sku]])-FIND("/",Table39[[#This Row],[spawner_sku]])),Table28[Entity Prefab],0)),24,1,1,"Entities"))</f>
        <v>yes</v>
      </c>
      <c r="AE25">
        <v>1</v>
      </c>
      <c r="AF25">
        <v>2</v>
      </c>
      <c r="AG25" t="b">
        <v>0</v>
      </c>
      <c r="AI25" t="s">
        <v>213</v>
      </c>
      <c r="AJ25">
        <v>1</v>
      </c>
      <c r="AK25">
        <v>260</v>
      </c>
      <c r="AL25">
        <v>100</v>
      </c>
      <c r="AM25" s="74">
        <f ca="1">INDIRECT(ADDRESS(11+(MATCH(RIGHT(Table2[[#This Row],[spawner_sku]],LEN(Table2[[#This Row],[spawner_sku]])-FIND("/",Table2[[#This Row],[spawner_sku]])),Table1[Entity Prefab],0)),10,1,1,"Entities"))</f>
        <v>55</v>
      </c>
      <c r="AN25" s="74">
        <f ca="1">ROUND((Table2[[#This Row],[XP]]*Table2[[#This Row],[entity_spawned (AVG)]])*(Table2[[#This Row],[activating_chance]]/100),0)</f>
        <v>55</v>
      </c>
      <c r="AO25" s="71" t="str">
        <f ca="1">INDIRECT(ADDRESS(11+(MATCH(RIGHT(Table2[[#This Row],[spawner_sku]],LEN(Table2[[#This Row],[spawner_sku]])-FIND("/",Table2[[#This Row],[spawner_sku]])),Table28[Entity Prefab],0)),24,1,1,"Entities"))</f>
        <v>yes</v>
      </c>
      <c r="AP25" s="71">
        <v>1</v>
      </c>
      <c r="AQ25" s="71">
        <v>1</v>
      </c>
      <c r="AR25" s="71" t="b">
        <v>0</v>
      </c>
      <c r="AT25" t="s">
        <v>213</v>
      </c>
      <c r="AU25">
        <v>1</v>
      </c>
      <c r="AV25">
        <v>280</v>
      </c>
      <c r="AW25">
        <v>100</v>
      </c>
      <c r="AX25" s="74">
        <f ca="1">INDIRECT(ADDRESS(11+(MATCH(RIGHT(Table6[[#This Row],[spawner_sku]],LEN(Table6[[#This Row],[spawner_sku]])-FIND("/",Table6[[#This Row],[spawner_sku]])),Table1[Entity Prefab],0)),10,1,1,"Entities"))</f>
        <v>55</v>
      </c>
      <c r="AY25" s="74">
        <f ca="1">ROUND((Table6[[#This Row],[XP]]*Table6[[#This Row],[entity_spawned (AVG)]])*(Table6[[#This Row],[activating_chance]]/100),0)</f>
        <v>55</v>
      </c>
      <c r="AZ25" s="144" t="str">
        <f ca="1">INDIRECT(ADDRESS(11+(MATCH(RIGHT(Table6[[#This Row],[spawner_sku]],LEN(Table6[[#This Row],[spawner_sku]])-FIND("/",Table6[[#This Row],[spawner_sku]])),Table28[Entity Prefab],0)),24,1,1,"Entities"))</f>
        <v>yes</v>
      </c>
      <c r="BA25">
        <v>1</v>
      </c>
      <c r="BB25">
        <v>1</v>
      </c>
      <c r="BC25" t="b">
        <v>0</v>
      </c>
      <c r="BE25" t="s">
        <v>213</v>
      </c>
      <c r="BF25">
        <v>2</v>
      </c>
      <c r="BG25">
        <v>180</v>
      </c>
      <c r="BH25">
        <v>100</v>
      </c>
      <c r="BI25" s="74">
        <f ca="1">INDIRECT(ADDRESS(11+(MATCH(RIGHT(Table610[[#This Row],[spawner_sku]],LEN(Table610[[#This Row],[spawner_sku]])-FIND("/",Table610[[#This Row],[spawner_sku]])),Table1[Entity Prefab],0)),10,1,1,"Entities"))</f>
        <v>55</v>
      </c>
      <c r="BJ25" s="74">
        <f ca="1">ROUND((Table610[[#This Row],[XP]]*Table610[[#This Row],[entity_spawned (AVG)]])*(Table610[[#This Row],[activating_chance]]/100),0)</f>
        <v>110</v>
      </c>
      <c r="BK25" s="71" t="str">
        <f ca="1">INDIRECT(ADDRESS(11+(MATCH(RIGHT(Table610[[#This Row],[spawner_sku]],LEN(Table610[[#This Row],[spawner_sku]])-FIND("/",Table610[[#This Row],[spawner_sku]])),Table28[Entity Prefab],0)),24,1,1,"Entities"))</f>
        <v>yes</v>
      </c>
      <c r="BL25">
        <v>2</v>
      </c>
      <c r="BM25">
        <v>2</v>
      </c>
      <c r="BN25" t="b">
        <v>0</v>
      </c>
      <c r="BP25" t="s">
        <v>215</v>
      </c>
      <c r="BQ25">
        <v>3</v>
      </c>
      <c r="BR25">
        <v>120</v>
      </c>
      <c r="BS25">
        <v>100</v>
      </c>
      <c r="BT25" s="74">
        <f ca="1">INDIRECT(ADDRESS(11+(MATCH(RIGHT(Table61011[[#This Row],[spawner_sku]],LEN(Table61011[[#This Row],[spawner_sku]])-FIND("/",Table61011[[#This Row],[spawner_sku]])),Table1[Entity Prefab],0)),10,1,1,"Entities"))</f>
        <v>25</v>
      </c>
      <c r="BU25" s="74">
        <f ca="1">ROUND((Table61011[[#This Row],[XP]]*Table61011[[#This Row],[entity_spawned (AVG)]])*(Table61011[[#This Row],[activating_chance]]/100),0)</f>
        <v>75</v>
      </c>
      <c r="BV25" s="71" t="str">
        <f ca="1">INDIRECT(ADDRESS(11+(MATCH(RIGHT(Table61011[[#This Row],[spawner_sku]],LEN(Table61011[[#This Row],[spawner_sku]])-FIND("/",Table61011[[#This Row],[spawner_sku]])),Table28[Entity Prefab],0)),24,1,1,"Entities"))</f>
        <v>no</v>
      </c>
      <c r="BW25" s="71">
        <v>3</v>
      </c>
      <c r="BX25" s="71">
        <v>3</v>
      </c>
      <c r="BY25" s="71" t="b">
        <v>0</v>
      </c>
      <c r="BZ25" s="71"/>
      <c r="CA25" s="147" t="s">
        <v>376</v>
      </c>
      <c r="CB25">
        <v>5</v>
      </c>
      <c r="CC25">
        <v>120</v>
      </c>
      <c r="CD25">
        <v>100</v>
      </c>
      <c r="CE25" s="74">
        <f ca="1">INDIRECT(ADDRESS(11+(MATCH(RIGHT(Table35[[#This Row],[spawner_sku]],LEN(Table35[[#This Row],[spawner_sku]])-FIND("/",Table35[[#This Row],[spawner_sku]])),Table1[Entity Prefab],0)),10,1,1,"Entities"))</f>
        <v>25</v>
      </c>
      <c r="CF25" s="74">
        <f ca="1">ROUND((Table35[[#This Row],[XP]]*Table35[[#This Row],[entity_spawned (AVG)]])*(Table35[[#This Row],[activating_chance]]/100),0)</f>
        <v>125</v>
      </c>
      <c r="CG25" s="144" t="str">
        <f ca="1">INDIRECT(ADDRESS(11+(MATCH(RIGHT(Table35[[#This Row],[spawner_sku]],LEN(Table35[[#This Row],[spawner_sku]])-FIND("/",Table35[[#This Row],[spawner_sku]])),Table28[Entity Prefab],0)),24,1,1,"Entities"))</f>
        <v>no</v>
      </c>
      <c r="CH25">
        <v>5</v>
      </c>
      <c r="CI25">
        <v>5</v>
      </c>
      <c r="CJ25" s="71" t="b">
        <v>1</v>
      </c>
      <c r="CL25" t="s">
        <v>214</v>
      </c>
      <c r="CM25">
        <v>6</v>
      </c>
      <c r="CN25">
        <v>280</v>
      </c>
      <c r="CO25">
        <v>100</v>
      </c>
      <c r="CP25" s="74">
        <f ca="1">INDIRECT(ADDRESS(11+(MATCH(RIGHT(Table11[[#This Row],[spawner_sku]],LEN(Table11[[#This Row],[spawner_sku]])-FIND("/",Table11[[#This Row],[spawner_sku]])),Table1[Entity Prefab],0)),10,1,1,"Entities"))</f>
        <v>25</v>
      </c>
      <c r="CQ25">
        <f ca="1">ROUND((Table11[[#This Row],[XP]]*Table11[[#This Row],[entity_spawned (AVG)]])*(Table11[[#This Row],[activating_chance]]/100),0)</f>
        <v>150</v>
      </c>
      <c r="CR25" s="144" t="str">
        <f ca="1">INDIRECT(ADDRESS(11+(MATCH(RIGHT(Table11[[#This Row],[spawner_sku]],LEN(Table11[[#This Row],[spawner_sku]])-FIND("/",Table11[[#This Row],[spawner_sku]])),Table28[Entity Prefab],0)),25,1,1,"Entities"))</f>
        <v>no</v>
      </c>
      <c r="CS25" s="71">
        <v>5</v>
      </c>
      <c r="CT25" s="71">
        <v>7</v>
      </c>
      <c r="CU25" s="71" t="b">
        <v>1</v>
      </c>
      <c r="CW25" t="s">
        <v>213</v>
      </c>
      <c r="CX25">
        <v>1</v>
      </c>
      <c r="CY25">
        <v>260</v>
      </c>
      <c r="CZ25">
        <v>100</v>
      </c>
      <c r="DA25" s="74">
        <f ca="1">INDIRECT(ADDRESS(11+(MATCH(RIGHT(Table12[[#This Row],[spawner_sku]],LEN(Table12[[#This Row],[spawner_sku]])-FIND("/",Table12[[#This Row],[spawner_sku]])),Table1[Entity Prefab],0)),10,1,1,"Entities"))</f>
        <v>55</v>
      </c>
      <c r="DB25" s="74">
        <f ca="1">ROUND((Table12[[#This Row],[XP]]*Table12[[#This Row],[entity_spawned (AVG)]])*(Table12[[#This Row],[activating_chance]]/100),0)</f>
        <v>55</v>
      </c>
      <c r="DC25" s="144" t="str">
        <f ca="1">INDIRECT(ADDRESS(11+(MATCH(RIGHT(Table12[[#This Row],[spawner_sku]],LEN(Table12[[#This Row],[spawner_sku]])-FIND("/",Table12[[#This Row],[spawner_sku]])),Table28[Entity Prefab],0)),25,1,1,"Entities"))</f>
        <v>yes</v>
      </c>
      <c r="DD25" s="71">
        <v>1</v>
      </c>
      <c r="DE25" s="71">
        <v>1</v>
      </c>
      <c r="DF25" s="71" t="b">
        <v>0</v>
      </c>
      <c r="DH25" t="s">
        <v>213</v>
      </c>
      <c r="DI25">
        <v>1.5</v>
      </c>
      <c r="DJ25">
        <v>260</v>
      </c>
      <c r="DK25">
        <v>100</v>
      </c>
      <c r="DL25" s="74">
        <f ca="1">INDIRECT(ADDRESS(11+(MATCH(RIGHT(Table13[[#This Row],[spawner_sku]],LEN(Table13[[#This Row],[spawner_sku]])-FIND("/",Table13[[#This Row],[spawner_sku]])),Table1[Entity Prefab],0)),10,1,1,"Entities"))</f>
        <v>55</v>
      </c>
      <c r="DM25" s="74">
        <f ca="1">ROUND((Table13[[#This Row],[XP]]*Table13[[#This Row],[entity_spawned (AVG)]])*(Table13[[#This Row],[activating_chance]]/100),0)</f>
        <v>83</v>
      </c>
      <c r="DN25" s="144" t="str">
        <f ca="1">INDIRECT(ADDRESS(11+(MATCH(RIGHT(Table13[[#This Row],[spawner_sku]],LEN(Table13[[#This Row],[spawner_sku]])-FIND("/",Table13[[#This Row],[spawner_sku]])),Table28[Entity Prefab],0)),25,1,1,"Entities"))</f>
        <v>yes</v>
      </c>
      <c r="DO25" s="71">
        <v>1</v>
      </c>
      <c r="DP25" s="71">
        <v>2</v>
      </c>
      <c r="DQ25" s="71" t="b">
        <v>0</v>
      </c>
      <c r="DS25" t="s">
        <v>213</v>
      </c>
      <c r="DT25">
        <v>1</v>
      </c>
      <c r="DU25">
        <v>100</v>
      </c>
      <c r="DV25">
        <v>100</v>
      </c>
      <c r="DW25" s="74">
        <f ca="1">INDIRECT(ADDRESS(11+(MATCH(RIGHT(Table14[[#This Row],[spawner_sku]],LEN(Table14[[#This Row],[spawner_sku]])-FIND("/",Table14[[#This Row],[spawner_sku]])),Table1[Entity Prefab],0)),10,1,1,"Entities"))</f>
        <v>55</v>
      </c>
      <c r="DX25" s="74">
        <f ca="1">ROUND((Table14[[#This Row],[XP]]*Table14[[#This Row],[entity_spawned (AVG)]])*(Table14[[#This Row],[activating_chance]]/100),0)</f>
        <v>55</v>
      </c>
      <c r="DY25" s="144" t="str">
        <f ca="1">INDIRECT(ADDRESS(11+(MATCH(RIGHT(Table14[[#This Row],[spawner_sku]],LEN(Table14[[#This Row],[spawner_sku]])-FIND("/",Table14[[#This Row],[spawner_sku]])),Table28[Entity Prefab],0)),25,1,1,"Entities"))</f>
        <v>yes</v>
      </c>
      <c r="DZ25" s="71">
        <v>1</v>
      </c>
      <c r="EA25" s="71">
        <v>1</v>
      </c>
      <c r="EB25" s="71" t="b">
        <v>0</v>
      </c>
      <c r="EC25" s="71"/>
      <c r="ED25" s="147" t="s">
        <v>232</v>
      </c>
      <c r="EE25" s="71">
        <v>10</v>
      </c>
      <c r="EF25" s="71">
        <v>90</v>
      </c>
      <c r="EG25" s="71">
        <v>100</v>
      </c>
      <c r="EH25" s="71">
        <f ca="1">INDIRECT(ADDRESS(11+(MATCH(RIGHT(Table36[[#This Row],[spawner_sku]],LEN(Table36[[#This Row],[spawner_sku]])-FIND("/",Table36[[#This Row],[spawner_sku]])),Table1[Entity Prefab],0)),10,1,1,"Entities"))</f>
        <v>25</v>
      </c>
      <c r="EI25" s="71">
        <f ca="1">ROUND((Table36[[#This Row],[XP]]*Table36[[#This Row],[entity_spawned (AVG)]])*(Table36[[#This Row],[activating_chance]]/100),0)</f>
        <v>250</v>
      </c>
      <c r="EJ25" s="71" t="str">
        <f ca="1">INDIRECT(ADDRESS(11+(MATCH(RIGHT(Table36[[#This Row],[spawner_sku]],LEN(Table36[[#This Row],[spawner_sku]])-FIND("/",Table36[[#This Row],[spawner_sku]])),Table28[Entity Prefab],0)),25,1,1,"Entities"))</f>
        <v>no</v>
      </c>
      <c r="EK25" s="71">
        <v>10</v>
      </c>
      <c r="EL25" s="71">
        <v>10</v>
      </c>
      <c r="EM25" s="71" t="b">
        <v>1</v>
      </c>
      <c r="EO25" t="s">
        <v>213</v>
      </c>
      <c r="EP25">
        <v>3</v>
      </c>
      <c r="EQ25">
        <v>130</v>
      </c>
      <c r="ER25">
        <v>100</v>
      </c>
      <c r="ES25" s="74">
        <f ca="1">INDIRECT(ADDRESS(11+(MATCH(RIGHT(Table18[[#This Row],[spawner_sku]],LEN(Table18[[#This Row],[spawner_sku]])-FIND("/",Table18[[#This Row],[spawner_sku]])),Table1[Entity Prefab],0)),10,1,1,"Entities"))</f>
        <v>55</v>
      </c>
      <c r="ET25" s="74">
        <f ca="1">ROUND((Table18[[#This Row],[XP]]*Table18[[#This Row],[entity_spawned (AVG)]])*(Table18[[#This Row],[activating_chance]]/100),0)</f>
        <v>165</v>
      </c>
      <c r="EU25" s="74" t="str">
        <f ca="1">INDIRECT(ADDRESS(11+(MATCH(RIGHT(Table18[[#This Row],[spawner_sku]],LEN(Table18[[#This Row],[spawner_sku]])-FIND("/",Table18[[#This Row],[spawner_sku]])),Table28[Entity Prefab],0)),26,1,1,"Entities"))</f>
        <v>yes</v>
      </c>
      <c r="EV25">
        <v>2</v>
      </c>
      <c r="EW25">
        <v>4</v>
      </c>
      <c r="EX25" t="b">
        <v>0</v>
      </c>
      <c r="EZ25" t="s">
        <v>213</v>
      </c>
      <c r="FA25">
        <v>5.5</v>
      </c>
      <c r="FB25">
        <v>120</v>
      </c>
      <c r="FC25">
        <v>100</v>
      </c>
      <c r="FD25" s="74">
        <f ca="1">INDIRECT(ADDRESS(11+(MATCH(RIGHT(Table1820[[#This Row],[spawner_sku]],LEN(Table1820[[#This Row],[spawner_sku]])-FIND("/",Table1820[[#This Row],[spawner_sku]])),Table1[Entity Prefab],0)),10,1,1,"Entities"))</f>
        <v>55</v>
      </c>
      <c r="FE25" s="74">
        <f ca="1">ROUND((Table1820[[#This Row],[XP]]*Table1820[[#This Row],[entity_spawned (AVG)]])*(Table1820[[#This Row],[activating_chance]]/100),0)</f>
        <v>303</v>
      </c>
      <c r="FF25" s="74" t="str">
        <f ca="1">INDIRECT(ADDRESS(11+(MATCH(RIGHT(Table1820[[#This Row],[spawner_sku]],LEN(Table1820[[#This Row],[spawner_sku]])-FIND("/",Table1820[[#This Row],[spawner_sku]])),Table28[Entity Prefab],0)),26,1,1,"Entities"))</f>
        <v>yes</v>
      </c>
      <c r="FG25">
        <v>5</v>
      </c>
      <c r="FH25">
        <v>6</v>
      </c>
      <c r="FI25" t="b">
        <v>1</v>
      </c>
      <c r="FK25" t="s">
        <v>218</v>
      </c>
      <c r="FL25">
        <v>1</v>
      </c>
      <c r="FM25">
        <v>5000</v>
      </c>
      <c r="FN25">
        <v>80</v>
      </c>
      <c r="FO25">
        <f ca="1">INDIRECT(ADDRESS(11+(MATCH(RIGHT(Table182023[[#This Row],[spawner_sku]],LEN(Table182023[[#This Row],[spawner_sku]])-FIND("/",Table182023[[#This Row],[spawner_sku]])),Table1[Entity Prefab],0)),10,1,1,"Entities"))</f>
        <v>75</v>
      </c>
      <c r="FP25">
        <f ca="1">ROUND((Table182023[[#This Row],[XP]]*Table182023[[#This Row],[entity_spawned (AVG)]])*(Table182023[[#This Row],[activating_chance]]/100),0)</f>
        <v>60</v>
      </c>
      <c r="FQ25" t="str">
        <f ca="1">INDIRECT(ADDRESS(11+(MATCH(RIGHT(Table182023[[#This Row],[spawner_sku]],LEN(Table182023[[#This Row],[spawner_sku]])-FIND("/",Table182023[[#This Row],[spawner_sku]])),Table28[Entity Prefab],0)),26,1,1,"Entities"))</f>
        <v>no</v>
      </c>
      <c r="FR25">
        <v>1</v>
      </c>
      <c r="FS25">
        <v>1</v>
      </c>
      <c r="FT25" t="b">
        <v>0</v>
      </c>
      <c r="FV25" t="s">
        <v>218</v>
      </c>
      <c r="FW25">
        <v>1</v>
      </c>
      <c r="FX25">
        <v>5000</v>
      </c>
      <c r="FY25">
        <v>75</v>
      </c>
      <c r="FZ25" s="74">
        <f ca="1">INDIRECT(ADDRESS(11+(MATCH(RIGHT(Table18202324[[#This Row],[spawner_sku]],LEN(Table18202324[[#This Row],[spawner_sku]])-FIND("/",Table18202324[[#This Row],[spawner_sku]])),Table1[Entity Prefab],0)),10,1,1,"Entities"))</f>
        <v>75</v>
      </c>
      <c r="GA25" s="74">
        <f ca="1">ROUND((Table18202324[[#This Row],[XP]]*Table18202324[[#This Row],[entity_spawned (AVG)]])*(Table18202324[[#This Row],[activating_chance]]/100),0)</f>
        <v>56</v>
      </c>
      <c r="GB25" s="74" t="str">
        <f ca="1">INDIRECT(ADDRESS(11+(MATCH(RIGHT(Table18202324[[#This Row],[spawner_sku]],LEN(Table18202324[[#This Row],[spawner_sku]])-FIND("/",Table18202324[[#This Row],[spawner_sku]])),Table28[Entity Prefab],0)),26,1,1,"Entities"))</f>
        <v>no</v>
      </c>
      <c r="GC25">
        <v>1</v>
      </c>
      <c r="GD25">
        <v>1</v>
      </c>
      <c r="GE25" t="b">
        <v>0</v>
      </c>
      <c r="GG25" t="s">
        <v>376</v>
      </c>
      <c r="GH25">
        <v>8</v>
      </c>
      <c r="GI25">
        <v>120</v>
      </c>
      <c r="GJ25">
        <v>100</v>
      </c>
      <c r="GK25">
        <f ca="1">INDIRECT(ADDRESS(11+(MATCH(RIGHT(Table37[[#This Row],[spawner_sku]],LEN(Table37[[#This Row],[spawner_sku]])-FIND("/",Table37[[#This Row],[spawner_sku]])),Table1[Entity Prefab],0)),10,1,1,"Entities"))</f>
        <v>25</v>
      </c>
      <c r="GL25">
        <f ca="1">ROUND((Table37[[#This Row],[XP]]*Table37[[#This Row],[entity_spawned (AVG)]])*(Table37[[#This Row],[activating_chance]]/100),0)</f>
        <v>200</v>
      </c>
      <c r="GM25" t="str">
        <f ca="1">INDIRECT(ADDRESS(11+(MATCH(RIGHT(Table37[[#This Row],[spawner_sku]],LEN(Table37[[#This Row],[spawner_sku]])-FIND("/",Table37[[#This Row],[spawner_sku]])),Table28[Entity Prefab],0)),26,1,1,"Entities"))</f>
        <v>no</v>
      </c>
      <c r="GN25">
        <v>6</v>
      </c>
      <c r="GO25">
        <v>10</v>
      </c>
      <c r="GP25" t="b">
        <v>1</v>
      </c>
    </row>
    <row r="26" spans="2:198" x14ac:dyDescent="0.25">
      <c r="B26" s="72" t="s">
        <v>215</v>
      </c>
      <c r="C26">
        <v>3.5</v>
      </c>
      <c r="D26">
        <v>180</v>
      </c>
      <c r="E26">
        <v>85</v>
      </c>
      <c r="F26" s="74">
        <f ca="1">INDIRECT(ADDRESS(11+(MATCH(RIGHT(Table245[[#This Row],[spawner_sku]],LEN(Table245[[#This Row],[spawner_sku]])-FIND("/",Table245[[#This Row],[spawner_sku]])),Table1[Entity Prefab],0)),10,1,1,"Entities"))</f>
        <v>25</v>
      </c>
      <c r="G26" s="74">
        <f ca="1">ROUND((Table245[[#This Row],[XP]]*Table245[[#This Row],[entity_spawned (AVG)]])*(Table245[[#This Row],[activating_chance]]/100),0)</f>
        <v>74</v>
      </c>
      <c r="H26" s="71" t="str">
        <f ca="1">INDIRECT(ADDRESS(11+(MATCH(RIGHT(Table245[[#This Row],[spawner_sku]],LEN(Table245[[#This Row],[spawner_sku]])-FIND("/",Table245[[#This Row],[spawner_sku]])),Table28[Entity Prefab],0)),24,1,1,"Entities"))</f>
        <v>no</v>
      </c>
      <c r="I26" s="71">
        <v>3</v>
      </c>
      <c r="J26" s="71">
        <v>4</v>
      </c>
      <c r="K26" s="71" t="b">
        <v>0</v>
      </c>
      <c r="M26" t="s">
        <v>213</v>
      </c>
      <c r="N26">
        <v>1</v>
      </c>
      <c r="O26">
        <v>260</v>
      </c>
      <c r="P26">
        <v>80</v>
      </c>
      <c r="Q26" s="74">
        <f ca="1">INDIRECT(ADDRESS(11+(MATCH(RIGHT(Table3[[#This Row],[spawner_sku]],LEN(Table3[[#This Row],[spawner_sku]])-FIND("/",Table3[[#This Row],[spawner_sku]])),Table1[Entity Prefab],0)),10,1,1,"Entities"))</f>
        <v>55</v>
      </c>
      <c r="R26" s="74">
        <f ca="1">ROUND((Table3[[#This Row],[XP]]*Table3[[#This Row],[entity_spawned (AVG)]])*(Table3[[#This Row],[activating_chance]]/100),0)</f>
        <v>44</v>
      </c>
      <c r="S26" t="str">
        <f ca="1">INDIRECT(ADDRESS(11+(MATCH(RIGHT(Table3[[#This Row],[spawner_sku]],LEN(Table3[[#This Row],[spawner_sku]])-FIND("/",Table3[[#This Row],[spawner_sku]])),Table28[Entity Prefab],0)),24,1,1,"Entities"))</f>
        <v>yes</v>
      </c>
      <c r="T26">
        <v>1</v>
      </c>
      <c r="U26">
        <v>1</v>
      </c>
      <c r="V26" t="b">
        <v>0</v>
      </c>
      <c r="W26" s="71"/>
      <c r="X26" t="s">
        <v>214</v>
      </c>
      <c r="Y26">
        <v>3</v>
      </c>
      <c r="Z26">
        <v>105</v>
      </c>
      <c r="AA26">
        <v>100</v>
      </c>
      <c r="AB26" s="74">
        <f ca="1">INDIRECT(ADDRESS(11+(MATCH(RIGHT(Table39[[#This Row],[spawner_sku]],LEN(Table39[[#This Row],[spawner_sku]])-FIND("/",Table39[[#This Row],[spawner_sku]])),Table1[Entity Prefab],0)),10,1,1,"Entities"))</f>
        <v>25</v>
      </c>
      <c r="AC26" s="74">
        <f ca="1">ROUND((Table39[[#This Row],[XP]]*Table39[[#This Row],[entity_spawned (AVG)]])*(Table39[[#This Row],[activating_chance]]/100),0)</f>
        <v>75</v>
      </c>
      <c r="AD26" t="str">
        <f ca="1">INDIRECT(ADDRESS(11+(MATCH(RIGHT(Table39[[#This Row],[spawner_sku]],LEN(Table39[[#This Row],[spawner_sku]])-FIND("/",Table39[[#This Row],[spawner_sku]])),Table28[Entity Prefab],0)),24,1,1,"Entities"))</f>
        <v>no</v>
      </c>
      <c r="AE26">
        <v>2</v>
      </c>
      <c r="AF26">
        <v>4</v>
      </c>
      <c r="AG26" t="b">
        <v>0</v>
      </c>
      <c r="AI26" t="s">
        <v>213</v>
      </c>
      <c r="AJ26">
        <v>1</v>
      </c>
      <c r="AK26">
        <v>240</v>
      </c>
      <c r="AL26">
        <v>100</v>
      </c>
      <c r="AM26" s="74">
        <f ca="1">INDIRECT(ADDRESS(11+(MATCH(RIGHT(Table2[[#This Row],[spawner_sku]],LEN(Table2[[#This Row],[spawner_sku]])-FIND("/",Table2[[#This Row],[spawner_sku]])),Table1[Entity Prefab],0)),10,1,1,"Entities"))</f>
        <v>55</v>
      </c>
      <c r="AN26" s="74">
        <f ca="1">ROUND((Table2[[#This Row],[XP]]*Table2[[#This Row],[entity_spawned (AVG)]])*(Table2[[#This Row],[activating_chance]]/100),0)</f>
        <v>55</v>
      </c>
      <c r="AO26" s="71" t="str">
        <f ca="1">INDIRECT(ADDRESS(11+(MATCH(RIGHT(Table2[[#This Row],[spawner_sku]],LEN(Table2[[#This Row],[spawner_sku]])-FIND("/",Table2[[#This Row],[spawner_sku]])),Table28[Entity Prefab],0)),24,1,1,"Entities"))</f>
        <v>yes</v>
      </c>
      <c r="AP26" s="71">
        <v>1</v>
      </c>
      <c r="AQ26" s="71">
        <v>1</v>
      </c>
      <c r="AR26" s="71" t="b">
        <v>0</v>
      </c>
      <c r="AT26" t="s">
        <v>213</v>
      </c>
      <c r="AU26">
        <v>1</v>
      </c>
      <c r="AV26">
        <v>170</v>
      </c>
      <c r="AW26">
        <v>100</v>
      </c>
      <c r="AX26" s="74">
        <f ca="1">INDIRECT(ADDRESS(11+(MATCH(RIGHT(Table6[[#This Row],[spawner_sku]],LEN(Table6[[#This Row],[spawner_sku]])-FIND("/",Table6[[#This Row],[spawner_sku]])),Table1[Entity Prefab],0)),10,1,1,"Entities"))</f>
        <v>55</v>
      </c>
      <c r="AY26" s="74">
        <f ca="1">ROUND((Table6[[#This Row],[XP]]*Table6[[#This Row],[entity_spawned (AVG)]])*(Table6[[#This Row],[activating_chance]]/100),0)</f>
        <v>55</v>
      </c>
      <c r="AZ26" s="144" t="str">
        <f ca="1">INDIRECT(ADDRESS(11+(MATCH(RIGHT(Table6[[#This Row],[spawner_sku]],LEN(Table6[[#This Row],[spawner_sku]])-FIND("/",Table6[[#This Row],[spawner_sku]])),Table28[Entity Prefab],0)),24,1,1,"Entities"))</f>
        <v>yes</v>
      </c>
      <c r="BA26">
        <v>1</v>
      </c>
      <c r="BB26">
        <v>1</v>
      </c>
      <c r="BC26" t="b">
        <v>0</v>
      </c>
      <c r="BE26" t="s">
        <v>213</v>
      </c>
      <c r="BF26">
        <v>2</v>
      </c>
      <c r="BG26">
        <v>150</v>
      </c>
      <c r="BH26">
        <v>100</v>
      </c>
      <c r="BI26" s="74">
        <f ca="1">INDIRECT(ADDRESS(11+(MATCH(RIGHT(Table610[[#This Row],[spawner_sku]],LEN(Table610[[#This Row],[spawner_sku]])-FIND("/",Table610[[#This Row],[spawner_sku]])),Table1[Entity Prefab],0)),10,1,1,"Entities"))</f>
        <v>55</v>
      </c>
      <c r="BJ26" s="74">
        <f ca="1">ROUND((Table610[[#This Row],[XP]]*Table610[[#This Row],[entity_spawned (AVG)]])*(Table610[[#This Row],[activating_chance]]/100),0)</f>
        <v>110</v>
      </c>
      <c r="BK26" s="71" t="str">
        <f ca="1">INDIRECT(ADDRESS(11+(MATCH(RIGHT(Table610[[#This Row],[spawner_sku]],LEN(Table610[[#This Row],[spawner_sku]])-FIND("/",Table610[[#This Row],[spawner_sku]])),Table28[Entity Prefab],0)),24,1,1,"Entities"))</f>
        <v>yes</v>
      </c>
      <c r="BL26">
        <v>2</v>
      </c>
      <c r="BM26">
        <v>2</v>
      </c>
      <c r="BN26" t="b">
        <v>0</v>
      </c>
      <c r="BP26" t="s">
        <v>215</v>
      </c>
      <c r="BQ26">
        <v>5</v>
      </c>
      <c r="BR26">
        <v>200</v>
      </c>
      <c r="BS26">
        <v>100</v>
      </c>
      <c r="BT26" s="74">
        <f ca="1">INDIRECT(ADDRESS(11+(MATCH(RIGHT(Table61011[[#This Row],[spawner_sku]],LEN(Table61011[[#This Row],[spawner_sku]])-FIND("/",Table61011[[#This Row],[spawner_sku]])),Table1[Entity Prefab],0)),10,1,1,"Entities"))</f>
        <v>25</v>
      </c>
      <c r="BU26" s="74">
        <f ca="1">ROUND((Table61011[[#This Row],[XP]]*Table61011[[#This Row],[entity_spawned (AVG)]])*(Table61011[[#This Row],[activating_chance]]/100),0)</f>
        <v>125</v>
      </c>
      <c r="BV26" s="71" t="str">
        <f ca="1">INDIRECT(ADDRESS(11+(MATCH(RIGHT(Table61011[[#This Row],[spawner_sku]],LEN(Table61011[[#This Row],[spawner_sku]])-FIND("/",Table61011[[#This Row],[spawner_sku]])),Table28[Entity Prefab],0)),24,1,1,"Entities"))</f>
        <v>no</v>
      </c>
      <c r="BW26" s="71">
        <v>5</v>
      </c>
      <c r="BX26" s="71">
        <v>5</v>
      </c>
      <c r="BY26" s="71" t="b">
        <v>1</v>
      </c>
      <c r="BZ26" s="71"/>
      <c r="CA26" s="147" t="s">
        <v>376</v>
      </c>
      <c r="CB26">
        <v>5</v>
      </c>
      <c r="CC26">
        <v>120</v>
      </c>
      <c r="CD26">
        <v>100</v>
      </c>
      <c r="CE26" s="74">
        <f ca="1">INDIRECT(ADDRESS(11+(MATCH(RIGHT(Table35[[#This Row],[spawner_sku]],LEN(Table35[[#This Row],[spawner_sku]])-FIND("/",Table35[[#This Row],[spawner_sku]])),Table1[Entity Prefab],0)),10,1,1,"Entities"))</f>
        <v>25</v>
      </c>
      <c r="CF26" s="74">
        <f ca="1">ROUND((Table35[[#This Row],[XP]]*Table35[[#This Row],[entity_spawned (AVG)]])*(Table35[[#This Row],[activating_chance]]/100),0)</f>
        <v>125</v>
      </c>
      <c r="CG26" s="144" t="str">
        <f ca="1">INDIRECT(ADDRESS(11+(MATCH(RIGHT(Table35[[#This Row],[spawner_sku]],LEN(Table35[[#This Row],[spawner_sku]])-FIND("/",Table35[[#This Row],[spawner_sku]])),Table28[Entity Prefab],0)),24,1,1,"Entities"))</f>
        <v>no</v>
      </c>
      <c r="CH26">
        <v>5</v>
      </c>
      <c r="CI26">
        <v>5</v>
      </c>
      <c r="CJ26" s="71" t="b">
        <v>1</v>
      </c>
      <c r="CL26" t="s">
        <v>214</v>
      </c>
      <c r="CM26">
        <v>5.5</v>
      </c>
      <c r="CN26">
        <v>280</v>
      </c>
      <c r="CO26">
        <v>100</v>
      </c>
      <c r="CP26" s="74">
        <f ca="1">INDIRECT(ADDRESS(11+(MATCH(RIGHT(Table11[[#This Row],[spawner_sku]],LEN(Table11[[#This Row],[spawner_sku]])-FIND("/",Table11[[#This Row],[spawner_sku]])),Table1[Entity Prefab],0)),10,1,1,"Entities"))</f>
        <v>25</v>
      </c>
      <c r="CQ26">
        <f ca="1">ROUND((Table11[[#This Row],[XP]]*Table11[[#This Row],[entity_spawned (AVG)]])*(Table11[[#This Row],[activating_chance]]/100),0)</f>
        <v>138</v>
      </c>
      <c r="CR26" s="144" t="str">
        <f ca="1">INDIRECT(ADDRESS(11+(MATCH(RIGHT(Table11[[#This Row],[spawner_sku]],LEN(Table11[[#This Row],[spawner_sku]])-FIND("/",Table11[[#This Row],[spawner_sku]])),Table28[Entity Prefab],0)),25,1,1,"Entities"))</f>
        <v>no</v>
      </c>
      <c r="CS26" s="71">
        <v>5</v>
      </c>
      <c r="CT26" s="71">
        <v>6</v>
      </c>
      <c r="CU26" s="71" t="b">
        <v>1</v>
      </c>
      <c r="CW26" t="s">
        <v>213</v>
      </c>
      <c r="CX26">
        <v>2.5</v>
      </c>
      <c r="CY26">
        <v>260</v>
      </c>
      <c r="CZ26">
        <v>80</v>
      </c>
      <c r="DA26" s="74">
        <f ca="1">INDIRECT(ADDRESS(11+(MATCH(RIGHT(Table12[[#This Row],[spawner_sku]],LEN(Table12[[#This Row],[spawner_sku]])-FIND("/",Table12[[#This Row],[spawner_sku]])),Table1[Entity Prefab],0)),10,1,1,"Entities"))</f>
        <v>55</v>
      </c>
      <c r="DB26" s="74">
        <f ca="1">ROUND((Table12[[#This Row],[XP]]*Table12[[#This Row],[entity_spawned (AVG)]])*(Table12[[#This Row],[activating_chance]]/100),0)</f>
        <v>110</v>
      </c>
      <c r="DC26" s="144" t="str">
        <f ca="1">INDIRECT(ADDRESS(11+(MATCH(RIGHT(Table12[[#This Row],[spawner_sku]],LEN(Table12[[#This Row],[spawner_sku]])-FIND("/",Table12[[#This Row],[spawner_sku]])),Table28[Entity Prefab],0)),25,1,1,"Entities"))</f>
        <v>yes</v>
      </c>
      <c r="DD26" s="71">
        <v>2</v>
      </c>
      <c r="DE26" s="71">
        <v>3</v>
      </c>
      <c r="DF26" s="71" t="b">
        <v>0</v>
      </c>
      <c r="DH26" t="s">
        <v>213</v>
      </c>
      <c r="DI26">
        <v>2</v>
      </c>
      <c r="DJ26">
        <v>260</v>
      </c>
      <c r="DK26">
        <v>100</v>
      </c>
      <c r="DL26" s="74">
        <f ca="1">INDIRECT(ADDRESS(11+(MATCH(RIGHT(Table13[[#This Row],[spawner_sku]],LEN(Table13[[#This Row],[spawner_sku]])-FIND("/",Table13[[#This Row],[spawner_sku]])),Table1[Entity Prefab],0)),10,1,1,"Entities"))</f>
        <v>55</v>
      </c>
      <c r="DM26" s="74">
        <f ca="1">ROUND((Table13[[#This Row],[XP]]*Table13[[#This Row],[entity_spawned (AVG)]])*(Table13[[#This Row],[activating_chance]]/100),0)</f>
        <v>110</v>
      </c>
      <c r="DN26" s="144" t="str">
        <f ca="1">INDIRECT(ADDRESS(11+(MATCH(RIGHT(Table13[[#This Row],[spawner_sku]],LEN(Table13[[#This Row],[spawner_sku]])-FIND("/",Table13[[#This Row],[spawner_sku]])),Table28[Entity Prefab],0)),25,1,1,"Entities"))</f>
        <v>yes</v>
      </c>
      <c r="DO26" s="71">
        <v>2</v>
      </c>
      <c r="DP26" s="71">
        <v>2</v>
      </c>
      <c r="DQ26" s="71" t="b">
        <v>0</v>
      </c>
      <c r="DS26" t="s">
        <v>213</v>
      </c>
      <c r="DT26">
        <v>4</v>
      </c>
      <c r="DU26">
        <v>150</v>
      </c>
      <c r="DV26">
        <v>100</v>
      </c>
      <c r="DW26" s="74">
        <f ca="1">INDIRECT(ADDRESS(11+(MATCH(RIGHT(Table14[[#This Row],[spawner_sku]],LEN(Table14[[#This Row],[spawner_sku]])-FIND("/",Table14[[#This Row],[spawner_sku]])),Table1[Entity Prefab],0)),10,1,1,"Entities"))</f>
        <v>55</v>
      </c>
      <c r="DX26" s="74">
        <f ca="1">ROUND((Table14[[#This Row],[XP]]*Table14[[#This Row],[entity_spawned (AVG)]])*(Table14[[#This Row],[activating_chance]]/100),0)</f>
        <v>220</v>
      </c>
      <c r="DY26" s="144" t="str">
        <f ca="1">INDIRECT(ADDRESS(11+(MATCH(RIGHT(Table14[[#This Row],[spawner_sku]],LEN(Table14[[#This Row],[spawner_sku]])-FIND("/",Table14[[#This Row],[spawner_sku]])),Table28[Entity Prefab],0)),25,1,1,"Entities"))</f>
        <v>yes</v>
      </c>
      <c r="DZ26" s="71">
        <v>4</v>
      </c>
      <c r="EA26" s="71">
        <v>4</v>
      </c>
      <c r="EB26" s="71" t="b">
        <v>0</v>
      </c>
      <c r="EC26" s="71"/>
      <c r="ED26" s="147" t="s">
        <v>232</v>
      </c>
      <c r="EE26" s="71">
        <v>10</v>
      </c>
      <c r="EF26" s="71">
        <v>90</v>
      </c>
      <c r="EG26" s="71">
        <v>100</v>
      </c>
      <c r="EH26" s="71">
        <f ca="1">INDIRECT(ADDRESS(11+(MATCH(RIGHT(Table36[[#This Row],[spawner_sku]],LEN(Table36[[#This Row],[spawner_sku]])-FIND("/",Table36[[#This Row],[spawner_sku]])),Table1[Entity Prefab],0)),10,1,1,"Entities"))</f>
        <v>25</v>
      </c>
      <c r="EI26" s="71">
        <f ca="1">ROUND((Table36[[#This Row],[XP]]*Table36[[#This Row],[entity_spawned (AVG)]])*(Table36[[#This Row],[activating_chance]]/100),0)</f>
        <v>250</v>
      </c>
      <c r="EJ26" s="71" t="str">
        <f ca="1">INDIRECT(ADDRESS(11+(MATCH(RIGHT(Table36[[#This Row],[spawner_sku]],LEN(Table36[[#This Row],[spawner_sku]])-FIND("/",Table36[[#This Row],[spawner_sku]])),Table28[Entity Prefab],0)),25,1,1,"Entities"))</f>
        <v>no</v>
      </c>
      <c r="EK26" s="71">
        <v>10</v>
      </c>
      <c r="EL26" s="71">
        <v>10</v>
      </c>
      <c r="EM26" s="71" t="b">
        <v>1</v>
      </c>
      <c r="EO26" t="s">
        <v>213</v>
      </c>
      <c r="EP26">
        <v>2</v>
      </c>
      <c r="EQ26">
        <v>130</v>
      </c>
      <c r="ER26">
        <v>100</v>
      </c>
      <c r="ES26" s="74">
        <f ca="1">INDIRECT(ADDRESS(11+(MATCH(RIGHT(Table18[[#This Row],[spawner_sku]],LEN(Table18[[#This Row],[spawner_sku]])-FIND("/",Table18[[#This Row],[spawner_sku]])),Table1[Entity Prefab],0)),10,1,1,"Entities"))</f>
        <v>55</v>
      </c>
      <c r="ET26" s="74">
        <f ca="1">ROUND((Table18[[#This Row],[XP]]*Table18[[#This Row],[entity_spawned (AVG)]])*(Table18[[#This Row],[activating_chance]]/100),0)</f>
        <v>110</v>
      </c>
      <c r="EU26" s="74" t="str">
        <f ca="1">INDIRECT(ADDRESS(11+(MATCH(RIGHT(Table18[[#This Row],[spawner_sku]],LEN(Table18[[#This Row],[spawner_sku]])-FIND("/",Table18[[#This Row],[spawner_sku]])),Table28[Entity Prefab],0)),26,1,1,"Entities"))</f>
        <v>yes</v>
      </c>
      <c r="EV26">
        <v>2</v>
      </c>
      <c r="EW26">
        <v>2</v>
      </c>
      <c r="EX26" t="b">
        <v>0</v>
      </c>
      <c r="EZ26" t="s">
        <v>214</v>
      </c>
      <c r="FA26">
        <v>3.5</v>
      </c>
      <c r="FB26">
        <v>140</v>
      </c>
      <c r="FC26">
        <v>100</v>
      </c>
      <c r="FD26" s="74">
        <f ca="1">INDIRECT(ADDRESS(11+(MATCH(RIGHT(Table1820[[#This Row],[spawner_sku]],LEN(Table1820[[#This Row],[spawner_sku]])-FIND("/",Table1820[[#This Row],[spawner_sku]])),Table1[Entity Prefab],0)),10,1,1,"Entities"))</f>
        <v>25</v>
      </c>
      <c r="FE26" s="74">
        <f ca="1">ROUND((Table1820[[#This Row],[XP]]*Table1820[[#This Row],[entity_spawned (AVG)]])*(Table1820[[#This Row],[activating_chance]]/100),0)</f>
        <v>88</v>
      </c>
      <c r="FF26" s="74" t="str">
        <f ca="1">INDIRECT(ADDRESS(11+(MATCH(RIGHT(Table1820[[#This Row],[spawner_sku]],LEN(Table1820[[#This Row],[spawner_sku]])-FIND("/",Table1820[[#This Row],[spawner_sku]])),Table28[Entity Prefab],0)),26,1,1,"Entities"))</f>
        <v>no</v>
      </c>
      <c r="FG26">
        <v>3</v>
      </c>
      <c r="FH26">
        <v>4</v>
      </c>
      <c r="FI26" t="b">
        <v>0</v>
      </c>
      <c r="FK26" t="s">
        <v>218</v>
      </c>
      <c r="FL26">
        <v>1</v>
      </c>
      <c r="FM26">
        <v>5000</v>
      </c>
      <c r="FN26">
        <v>75</v>
      </c>
      <c r="FO26">
        <f ca="1">INDIRECT(ADDRESS(11+(MATCH(RIGHT(Table182023[[#This Row],[spawner_sku]],LEN(Table182023[[#This Row],[spawner_sku]])-FIND("/",Table182023[[#This Row],[spawner_sku]])),Table1[Entity Prefab],0)),10,1,1,"Entities"))</f>
        <v>75</v>
      </c>
      <c r="FP26">
        <f ca="1">ROUND((Table182023[[#This Row],[XP]]*Table182023[[#This Row],[entity_spawned (AVG)]])*(Table182023[[#This Row],[activating_chance]]/100),0)</f>
        <v>56</v>
      </c>
      <c r="FQ26" t="str">
        <f ca="1">INDIRECT(ADDRESS(11+(MATCH(RIGHT(Table182023[[#This Row],[spawner_sku]],LEN(Table182023[[#This Row],[spawner_sku]])-FIND("/",Table182023[[#This Row],[spawner_sku]])),Table28[Entity Prefab],0)),26,1,1,"Entities"))</f>
        <v>no</v>
      </c>
      <c r="FR26">
        <v>1</v>
      </c>
      <c r="FS26">
        <v>1</v>
      </c>
      <c r="FT26" t="b">
        <v>0</v>
      </c>
      <c r="FV26" t="s">
        <v>218</v>
      </c>
      <c r="FW26">
        <v>1</v>
      </c>
      <c r="FX26">
        <v>5000</v>
      </c>
      <c r="FY26">
        <v>60</v>
      </c>
      <c r="FZ26" s="74">
        <f ca="1">INDIRECT(ADDRESS(11+(MATCH(RIGHT(Table18202324[[#This Row],[spawner_sku]],LEN(Table18202324[[#This Row],[spawner_sku]])-FIND("/",Table18202324[[#This Row],[spawner_sku]])),Table1[Entity Prefab],0)),10,1,1,"Entities"))</f>
        <v>75</v>
      </c>
      <c r="GA26" s="74">
        <f ca="1">ROUND((Table18202324[[#This Row],[XP]]*Table18202324[[#This Row],[entity_spawned (AVG)]])*(Table18202324[[#This Row],[activating_chance]]/100),0)</f>
        <v>45</v>
      </c>
      <c r="GB26" s="74" t="str">
        <f ca="1">INDIRECT(ADDRESS(11+(MATCH(RIGHT(Table18202324[[#This Row],[spawner_sku]],LEN(Table18202324[[#This Row],[spawner_sku]])-FIND("/",Table18202324[[#This Row],[spawner_sku]])),Table28[Entity Prefab],0)),26,1,1,"Entities"))</f>
        <v>no</v>
      </c>
      <c r="GC26">
        <v>1</v>
      </c>
      <c r="GD26">
        <v>1</v>
      </c>
      <c r="GE26" t="b">
        <v>0</v>
      </c>
      <c r="GG26" t="s">
        <v>3832</v>
      </c>
      <c r="GH26">
        <v>1</v>
      </c>
      <c r="GI26">
        <v>150</v>
      </c>
      <c r="GJ26">
        <v>100</v>
      </c>
      <c r="GK26">
        <f ca="1">INDIRECT(ADDRESS(11+(MATCH(RIGHT(Table37[[#This Row],[spawner_sku]],LEN(Table37[[#This Row],[spawner_sku]])-FIND("/",Table37[[#This Row],[spawner_sku]])),Table1[Entity Prefab],0)),10,1,1,"Entities"))</f>
        <v>50</v>
      </c>
      <c r="GL26">
        <f ca="1">ROUND((Table37[[#This Row],[XP]]*Table37[[#This Row],[entity_spawned (AVG)]])*(Table37[[#This Row],[activating_chance]]/100),0)</f>
        <v>50</v>
      </c>
      <c r="GM26" t="str">
        <f ca="1">INDIRECT(ADDRESS(11+(MATCH(RIGHT(Table37[[#This Row],[spawner_sku]],LEN(Table37[[#This Row],[spawner_sku]])-FIND("/",Table37[[#This Row],[spawner_sku]])),Table28[Entity Prefab],0)),26,1,1,"Entities"))</f>
        <v>no</v>
      </c>
      <c r="GN26">
        <v>1</v>
      </c>
      <c r="GO26">
        <v>1</v>
      </c>
      <c r="GP26" t="b">
        <v>0</v>
      </c>
    </row>
    <row r="27" spans="2:198" x14ac:dyDescent="0.25">
      <c r="B27" s="72" t="s">
        <v>215</v>
      </c>
      <c r="C27">
        <v>2</v>
      </c>
      <c r="D27">
        <v>100</v>
      </c>
      <c r="E27">
        <v>100</v>
      </c>
      <c r="F27" s="74">
        <f ca="1">INDIRECT(ADDRESS(11+(MATCH(RIGHT(Table245[[#This Row],[spawner_sku]],LEN(Table245[[#This Row],[spawner_sku]])-FIND("/",Table245[[#This Row],[spawner_sku]])),Table1[Entity Prefab],0)),10,1,1,"Entities"))</f>
        <v>25</v>
      </c>
      <c r="G27" s="74">
        <f ca="1">ROUND((Table245[[#This Row],[XP]]*Table245[[#This Row],[entity_spawned (AVG)]])*(Table245[[#This Row],[activating_chance]]/100),0)</f>
        <v>50</v>
      </c>
      <c r="H27" s="71" t="str">
        <f ca="1">INDIRECT(ADDRESS(11+(MATCH(RIGHT(Table245[[#This Row],[spawner_sku]],LEN(Table245[[#This Row],[spawner_sku]])-FIND("/",Table245[[#This Row],[spawner_sku]])),Table28[Entity Prefab],0)),24,1,1,"Entities"))</f>
        <v>no</v>
      </c>
      <c r="I27" s="71">
        <v>1</v>
      </c>
      <c r="J27" s="71">
        <v>3</v>
      </c>
      <c r="K27" s="71" t="b">
        <v>0</v>
      </c>
      <c r="M27" t="s">
        <v>214</v>
      </c>
      <c r="N27">
        <v>5.5</v>
      </c>
      <c r="O27">
        <v>300</v>
      </c>
      <c r="P27">
        <v>100</v>
      </c>
      <c r="Q27" s="74">
        <f ca="1">INDIRECT(ADDRESS(11+(MATCH(RIGHT(Table3[[#This Row],[spawner_sku]],LEN(Table3[[#This Row],[spawner_sku]])-FIND("/",Table3[[#This Row],[spawner_sku]])),Table1[Entity Prefab],0)),10,1,1,"Entities"))</f>
        <v>25</v>
      </c>
      <c r="R27" s="74">
        <f ca="1">ROUND((Table3[[#This Row],[XP]]*Table3[[#This Row],[entity_spawned (AVG)]])*(Table3[[#This Row],[activating_chance]]/100),0)</f>
        <v>138</v>
      </c>
      <c r="S27" t="str">
        <f ca="1">INDIRECT(ADDRESS(11+(MATCH(RIGHT(Table3[[#This Row],[spawner_sku]],LEN(Table3[[#This Row],[spawner_sku]])-FIND("/",Table3[[#This Row],[spawner_sku]])),Table28[Entity Prefab],0)),24,1,1,"Entities"))</f>
        <v>no</v>
      </c>
      <c r="T27">
        <v>5</v>
      </c>
      <c r="U27">
        <v>6</v>
      </c>
      <c r="V27" t="b">
        <v>1</v>
      </c>
      <c r="W27" s="71"/>
      <c r="X27" t="s">
        <v>214</v>
      </c>
      <c r="Y27">
        <v>6.5</v>
      </c>
      <c r="Z27">
        <v>90</v>
      </c>
      <c r="AA27">
        <v>100</v>
      </c>
      <c r="AB27" s="74">
        <f ca="1">INDIRECT(ADDRESS(11+(MATCH(RIGHT(Table39[[#This Row],[spawner_sku]],LEN(Table39[[#This Row],[spawner_sku]])-FIND("/",Table39[[#This Row],[spawner_sku]])),Table1[Entity Prefab],0)),10,1,1,"Entities"))</f>
        <v>25</v>
      </c>
      <c r="AC27" s="74">
        <f ca="1">ROUND((Table39[[#This Row],[XP]]*Table39[[#This Row],[entity_spawned (AVG)]])*(Table39[[#This Row],[activating_chance]]/100),0)</f>
        <v>163</v>
      </c>
      <c r="AD27" t="str">
        <f ca="1">INDIRECT(ADDRESS(11+(MATCH(RIGHT(Table39[[#This Row],[spawner_sku]],LEN(Table39[[#This Row],[spawner_sku]])-FIND("/",Table39[[#This Row],[spawner_sku]])),Table28[Entity Prefab],0)),24,1,1,"Entities"))</f>
        <v>no</v>
      </c>
      <c r="AE27">
        <v>5</v>
      </c>
      <c r="AF27">
        <v>8</v>
      </c>
      <c r="AG27" t="b">
        <v>1</v>
      </c>
      <c r="AI27" t="s">
        <v>215</v>
      </c>
      <c r="AJ27">
        <v>2</v>
      </c>
      <c r="AK27">
        <v>110</v>
      </c>
      <c r="AL27">
        <v>100</v>
      </c>
      <c r="AM27" s="74">
        <f ca="1">INDIRECT(ADDRESS(11+(MATCH(RIGHT(Table2[[#This Row],[spawner_sku]],LEN(Table2[[#This Row],[spawner_sku]])-FIND("/",Table2[[#This Row],[spawner_sku]])),Table1[Entity Prefab],0)),10,1,1,"Entities"))</f>
        <v>25</v>
      </c>
      <c r="AN27" s="74">
        <f ca="1">ROUND((Table2[[#This Row],[XP]]*Table2[[#This Row],[entity_spawned (AVG)]])*(Table2[[#This Row],[activating_chance]]/100),0)</f>
        <v>50</v>
      </c>
      <c r="AO27" s="71" t="str">
        <f ca="1">INDIRECT(ADDRESS(11+(MATCH(RIGHT(Table2[[#This Row],[spawner_sku]],LEN(Table2[[#This Row],[spawner_sku]])-FIND("/",Table2[[#This Row],[spawner_sku]])),Table28[Entity Prefab],0)),24,1,1,"Entities"))</f>
        <v>no</v>
      </c>
      <c r="AP27" s="71">
        <v>1</v>
      </c>
      <c r="AQ27" s="71">
        <v>3</v>
      </c>
      <c r="AR27" s="71" t="b">
        <v>0</v>
      </c>
      <c r="AT27" t="s">
        <v>213</v>
      </c>
      <c r="AU27">
        <v>1</v>
      </c>
      <c r="AV27">
        <v>280</v>
      </c>
      <c r="AW27">
        <v>100</v>
      </c>
      <c r="AX27" s="74">
        <f ca="1">INDIRECT(ADDRESS(11+(MATCH(RIGHT(Table6[[#This Row],[spawner_sku]],LEN(Table6[[#This Row],[spawner_sku]])-FIND("/",Table6[[#This Row],[spawner_sku]])),Table1[Entity Prefab],0)),10,1,1,"Entities"))</f>
        <v>55</v>
      </c>
      <c r="AY27" s="74">
        <f ca="1">ROUND((Table6[[#This Row],[XP]]*Table6[[#This Row],[entity_spawned (AVG)]])*(Table6[[#This Row],[activating_chance]]/100),0)</f>
        <v>55</v>
      </c>
      <c r="AZ27" s="144" t="str">
        <f ca="1">INDIRECT(ADDRESS(11+(MATCH(RIGHT(Table6[[#This Row],[spawner_sku]],LEN(Table6[[#This Row],[spawner_sku]])-FIND("/",Table6[[#This Row],[spawner_sku]])),Table28[Entity Prefab],0)),24,1,1,"Entities"))</f>
        <v>yes</v>
      </c>
      <c r="BA27">
        <v>1</v>
      </c>
      <c r="BB27">
        <v>1</v>
      </c>
      <c r="BC27" t="b">
        <v>0</v>
      </c>
      <c r="BE27" t="s">
        <v>213</v>
      </c>
      <c r="BF27">
        <v>1</v>
      </c>
      <c r="BG27">
        <v>150</v>
      </c>
      <c r="BH27">
        <v>100</v>
      </c>
      <c r="BI27" s="74">
        <f ca="1">INDIRECT(ADDRESS(11+(MATCH(RIGHT(Table610[[#This Row],[spawner_sku]],LEN(Table610[[#This Row],[spawner_sku]])-FIND("/",Table610[[#This Row],[spawner_sku]])),Table1[Entity Prefab],0)),10,1,1,"Entities"))</f>
        <v>55</v>
      </c>
      <c r="BJ27" s="74">
        <f ca="1">ROUND((Table610[[#This Row],[XP]]*Table610[[#This Row],[entity_spawned (AVG)]])*(Table610[[#This Row],[activating_chance]]/100),0)</f>
        <v>55</v>
      </c>
      <c r="BK27" s="71" t="str">
        <f ca="1">INDIRECT(ADDRESS(11+(MATCH(RIGHT(Table610[[#This Row],[spawner_sku]],LEN(Table610[[#This Row],[spawner_sku]])-FIND("/",Table610[[#This Row],[spawner_sku]])),Table28[Entity Prefab],0)),24,1,1,"Entities"))</f>
        <v>yes</v>
      </c>
      <c r="BL27">
        <v>1</v>
      </c>
      <c r="BM27">
        <v>1</v>
      </c>
      <c r="BN27" t="b">
        <v>0</v>
      </c>
      <c r="BP27" t="s">
        <v>215</v>
      </c>
      <c r="BQ27">
        <v>5</v>
      </c>
      <c r="BR27">
        <v>220</v>
      </c>
      <c r="BS27">
        <v>100</v>
      </c>
      <c r="BT27" s="74">
        <f ca="1">INDIRECT(ADDRESS(11+(MATCH(RIGHT(Table61011[[#This Row],[spawner_sku]],LEN(Table61011[[#This Row],[spawner_sku]])-FIND("/",Table61011[[#This Row],[spawner_sku]])),Table1[Entity Prefab],0)),10,1,1,"Entities"))</f>
        <v>25</v>
      </c>
      <c r="BU27" s="74">
        <f ca="1">ROUND((Table61011[[#This Row],[XP]]*Table61011[[#This Row],[entity_spawned (AVG)]])*(Table61011[[#This Row],[activating_chance]]/100),0)</f>
        <v>125</v>
      </c>
      <c r="BV27" s="71" t="str">
        <f ca="1">INDIRECT(ADDRESS(11+(MATCH(RIGHT(Table61011[[#This Row],[spawner_sku]],LEN(Table61011[[#This Row],[spawner_sku]])-FIND("/",Table61011[[#This Row],[spawner_sku]])),Table28[Entity Prefab],0)),24,1,1,"Entities"))</f>
        <v>no</v>
      </c>
      <c r="BW27" s="71">
        <v>5</v>
      </c>
      <c r="BX27" s="71">
        <v>5</v>
      </c>
      <c r="BY27" s="71" t="b">
        <v>1</v>
      </c>
      <c r="BZ27" s="71"/>
      <c r="CA27" s="147" t="s">
        <v>376</v>
      </c>
      <c r="CB27">
        <v>5</v>
      </c>
      <c r="CC27">
        <v>120</v>
      </c>
      <c r="CD27">
        <v>100</v>
      </c>
      <c r="CE27" s="74">
        <f ca="1">INDIRECT(ADDRESS(11+(MATCH(RIGHT(Table35[[#This Row],[spawner_sku]],LEN(Table35[[#This Row],[spawner_sku]])-FIND("/",Table35[[#This Row],[spawner_sku]])),Table1[Entity Prefab],0)),10,1,1,"Entities"))</f>
        <v>25</v>
      </c>
      <c r="CF27" s="74">
        <f ca="1">ROUND((Table35[[#This Row],[XP]]*Table35[[#This Row],[entity_spawned (AVG)]])*(Table35[[#This Row],[activating_chance]]/100),0)</f>
        <v>125</v>
      </c>
      <c r="CG27" s="144" t="str">
        <f ca="1">INDIRECT(ADDRESS(11+(MATCH(RIGHT(Table35[[#This Row],[spawner_sku]],LEN(Table35[[#This Row],[spawner_sku]])-FIND("/",Table35[[#This Row],[spawner_sku]])),Table28[Entity Prefab],0)),24,1,1,"Entities"))</f>
        <v>no</v>
      </c>
      <c r="CH27">
        <v>5</v>
      </c>
      <c r="CI27">
        <v>5</v>
      </c>
      <c r="CJ27" s="71" t="b">
        <v>1</v>
      </c>
      <c r="CL27" t="s">
        <v>214</v>
      </c>
      <c r="CM27">
        <v>6</v>
      </c>
      <c r="CN27">
        <v>280</v>
      </c>
      <c r="CO27">
        <v>100</v>
      </c>
      <c r="CP27" s="74">
        <f ca="1">INDIRECT(ADDRESS(11+(MATCH(RIGHT(Table11[[#This Row],[spawner_sku]],LEN(Table11[[#This Row],[spawner_sku]])-FIND("/",Table11[[#This Row],[spawner_sku]])),Table1[Entity Prefab],0)),10,1,1,"Entities"))</f>
        <v>25</v>
      </c>
      <c r="CQ27">
        <f ca="1">ROUND((Table11[[#This Row],[XP]]*Table11[[#This Row],[entity_spawned (AVG)]])*(Table11[[#This Row],[activating_chance]]/100),0)</f>
        <v>150</v>
      </c>
      <c r="CR27" s="144" t="str">
        <f ca="1">INDIRECT(ADDRESS(11+(MATCH(RIGHT(Table11[[#This Row],[spawner_sku]],LEN(Table11[[#This Row],[spawner_sku]])-FIND("/",Table11[[#This Row],[spawner_sku]])),Table28[Entity Prefab],0)),25,1,1,"Entities"))</f>
        <v>no</v>
      </c>
      <c r="CS27" s="71">
        <v>5</v>
      </c>
      <c r="CT27" s="71">
        <v>7</v>
      </c>
      <c r="CU27" s="71" t="b">
        <v>1</v>
      </c>
      <c r="CW27" t="s">
        <v>213</v>
      </c>
      <c r="CX27">
        <v>2.5</v>
      </c>
      <c r="CY27">
        <v>260</v>
      </c>
      <c r="CZ27">
        <v>80</v>
      </c>
      <c r="DA27" s="74">
        <f ca="1">INDIRECT(ADDRESS(11+(MATCH(RIGHT(Table12[[#This Row],[spawner_sku]],LEN(Table12[[#This Row],[spawner_sku]])-FIND("/",Table12[[#This Row],[spawner_sku]])),Table1[Entity Prefab],0)),10,1,1,"Entities"))</f>
        <v>55</v>
      </c>
      <c r="DB27" s="74">
        <f ca="1">ROUND((Table12[[#This Row],[XP]]*Table12[[#This Row],[entity_spawned (AVG)]])*(Table12[[#This Row],[activating_chance]]/100),0)</f>
        <v>110</v>
      </c>
      <c r="DC27" s="144" t="str">
        <f ca="1">INDIRECT(ADDRESS(11+(MATCH(RIGHT(Table12[[#This Row],[spawner_sku]],LEN(Table12[[#This Row],[spawner_sku]])-FIND("/",Table12[[#This Row],[spawner_sku]])),Table28[Entity Prefab],0)),25,1,1,"Entities"))</f>
        <v>yes</v>
      </c>
      <c r="DD27" s="71">
        <v>2</v>
      </c>
      <c r="DE27" s="71">
        <v>3</v>
      </c>
      <c r="DF27" s="71" t="b">
        <v>0</v>
      </c>
      <c r="DH27" t="s">
        <v>214</v>
      </c>
      <c r="DI27">
        <v>5.5</v>
      </c>
      <c r="DJ27">
        <v>280</v>
      </c>
      <c r="DK27">
        <v>100</v>
      </c>
      <c r="DL27" s="74">
        <f ca="1">INDIRECT(ADDRESS(11+(MATCH(RIGHT(Table13[[#This Row],[spawner_sku]],LEN(Table13[[#This Row],[spawner_sku]])-FIND("/",Table13[[#This Row],[spawner_sku]])),Table1[Entity Prefab],0)),10,1,1,"Entities"))</f>
        <v>25</v>
      </c>
      <c r="DM27" s="74">
        <f ca="1">ROUND((Table13[[#This Row],[XP]]*Table13[[#This Row],[entity_spawned (AVG)]])*(Table13[[#This Row],[activating_chance]]/100),0)</f>
        <v>138</v>
      </c>
      <c r="DN27" s="144" t="str">
        <f ca="1">INDIRECT(ADDRESS(11+(MATCH(RIGHT(Table13[[#This Row],[spawner_sku]],LEN(Table13[[#This Row],[spawner_sku]])-FIND("/",Table13[[#This Row],[spawner_sku]])),Table28[Entity Prefab],0)),25,1,1,"Entities"))</f>
        <v>no</v>
      </c>
      <c r="DO27" s="71">
        <v>5</v>
      </c>
      <c r="DP27" s="71">
        <v>6</v>
      </c>
      <c r="DQ27" s="71" t="b">
        <v>1</v>
      </c>
      <c r="DS27" t="s">
        <v>213</v>
      </c>
      <c r="DT27">
        <v>6</v>
      </c>
      <c r="DU27">
        <v>120</v>
      </c>
      <c r="DV27">
        <v>100</v>
      </c>
      <c r="DW27" s="74">
        <f ca="1">INDIRECT(ADDRESS(11+(MATCH(RIGHT(Table14[[#This Row],[spawner_sku]],LEN(Table14[[#This Row],[spawner_sku]])-FIND("/",Table14[[#This Row],[spawner_sku]])),Table1[Entity Prefab],0)),10,1,1,"Entities"))</f>
        <v>55</v>
      </c>
      <c r="DX27" s="74">
        <f ca="1">ROUND((Table14[[#This Row],[XP]]*Table14[[#This Row],[entity_spawned (AVG)]])*(Table14[[#This Row],[activating_chance]]/100),0)</f>
        <v>330</v>
      </c>
      <c r="DY27" s="144" t="str">
        <f ca="1">INDIRECT(ADDRESS(11+(MATCH(RIGHT(Table14[[#This Row],[spawner_sku]],LEN(Table14[[#This Row],[spawner_sku]])-FIND("/",Table14[[#This Row],[spawner_sku]])),Table28[Entity Prefab],0)),25,1,1,"Entities"))</f>
        <v>yes</v>
      </c>
      <c r="DZ27" s="71">
        <v>6</v>
      </c>
      <c r="EA27" s="71">
        <v>6</v>
      </c>
      <c r="EB27" s="71" t="b">
        <v>1</v>
      </c>
      <c r="EC27" s="71"/>
      <c r="ED27" s="147" t="s">
        <v>232</v>
      </c>
      <c r="EE27" s="71">
        <v>10</v>
      </c>
      <c r="EF27" s="71">
        <v>90</v>
      </c>
      <c r="EG27" s="71">
        <v>100</v>
      </c>
      <c r="EH27" s="71">
        <f ca="1">INDIRECT(ADDRESS(11+(MATCH(RIGHT(Table36[[#This Row],[spawner_sku]],LEN(Table36[[#This Row],[spawner_sku]])-FIND("/",Table36[[#This Row],[spawner_sku]])),Table1[Entity Prefab],0)),10,1,1,"Entities"))</f>
        <v>25</v>
      </c>
      <c r="EI27" s="71">
        <f ca="1">ROUND((Table36[[#This Row],[XP]]*Table36[[#This Row],[entity_spawned (AVG)]])*(Table36[[#This Row],[activating_chance]]/100),0)</f>
        <v>250</v>
      </c>
      <c r="EJ27" s="71" t="str">
        <f ca="1">INDIRECT(ADDRESS(11+(MATCH(RIGHT(Table36[[#This Row],[spawner_sku]],LEN(Table36[[#This Row],[spawner_sku]])-FIND("/",Table36[[#This Row],[spawner_sku]])),Table28[Entity Prefab],0)),25,1,1,"Entities"))</f>
        <v>no</v>
      </c>
      <c r="EK27" s="71">
        <v>10</v>
      </c>
      <c r="EL27" s="71">
        <v>10</v>
      </c>
      <c r="EM27" s="71" t="b">
        <v>1</v>
      </c>
      <c r="EO27" t="s">
        <v>213</v>
      </c>
      <c r="EP27">
        <v>2</v>
      </c>
      <c r="EQ27">
        <v>120</v>
      </c>
      <c r="ER27">
        <v>100</v>
      </c>
      <c r="ES27" s="74">
        <f ca="1">INDIRECT(ADDRESS(11+(MATCH(RIGHT(Table18[[#This Row],[spawner_sku]],LEN(Table18[[#This Row],[spawner_sku]])-FIND("/",Table18[[#This Row],[spawner_sku]])),Table1[Entity Prefab],0)),10,1,1,"Entities"))</f>
        <v>55</v>
      </c>
      <c r="ET27" s="74">
        <f ca="1">ROUND((Table18[[#This Row],[XP]]*Table18[[#This Row],[entity_spawned (AVG)]])*(Table18[[#This Row],[activating_chance]]/100),0)</f>
        <v>110</v>
      </c>
      <c r="EU27" s="74" t="str">
        <f ca="1">INDIRECT(ADDRESS(11+(MATCH(RIGHT(Table18[[#This Row],[spawner_sku]],LEN(Table18[[#This Row],[spawner_sku]])-FIND("/",Table18[[#This Row],[spawner_sku]])),Table28[Entity Prefab],0)),26,1,1,"Entities"))</f>
        <v>yes</v>
      </c>
      <c r="EV27">
        <v>1</v>
      </c>
      <c r="EW27">
        <v>3</v>
      </c>
      <c r="EX27" t="b">
        <v>0</v>
      </c>
      <c r="EZ27" t="s">
        <v>214</v>
      </c>
      <c r="FA27">
        <v>3.5</v>
      </c>
      <c r="FB27">
        <v>140</v>
      </c>
      <c r="FC27">
        <v>100</v>
      </c>
      <c r="FD27" s="74">
        <f ca="1">INDIRECT(ADDRESS(11+(MATCH(RIGHT(Table1820[[#This Row],[spawner_sku]],LEN(Table1820[[#This Row],[spawner_sku]])-FIND("/",Table1820[[#This Row],[spawner_sku]])),Table1[Entity Prefab],0)),10,1,1,"Entities"))</f>
        <v>25</v>
      </c>
      <c r="FE27" s="74">
        <f ca="1">ROUND((Table1820[[#This Row],[XP]]*Table1820[[#This Row],[entity_spawned (AVG)]])*(Table1820[[#This Row],[activating_chance]]/100),0)</f>
        <v>88</v>
      </c>
      <c r="FF27" s="74" t="str">
        <f ca="1">INDIRECT(ADDRESS(11+(MATCH(RIGHT(Table1820[[#This Row],[spawner_sku]],LEN(Table1820[[#This Row],[spawner_sku]])-FIND("/",Table1820[[#This Row],[spawner_sku]])),Table28[Entity Prefab],0)),26,1,1,"Entities"))</f>
        <v>no</v>
      </c>
      <c r="FG27">
        <v>3</v>
      </c>
      <c r="FH27">
        <v>4</v>
      </c>
      <c r="FI27" t="b">
        <v>0</v>
      </c>
      <c r="FK27" t="s">
        <v>218</v>
      </c>
      <c r="FL27">
        <v>1</v>
      </c>
      <c r="FM27">
        <v>5000</v>
      </c>
      <c r="FN27">
        <v>75</v>
      </c>
      <c r="FO27">
        <f ca="1">INDIRECT(ADDRESS(11+(MATCH(RIGHT(Table182023[[#This Row],[spawner_sku]],LEN(Table182023[[#This Row],[spawner_sku]])-FIND("/",Table182023[[#This Row],[spawner_sku]])),Table1[Entity Prefab],0)),10,1,1,"Entities"))</f>
        <v>75</v>
      </c>
      <c r="FP27">
        <f ca="1">ROUND((Table182023[[#This Row],[XP]]*Table182023[[#This Row],[entity_spawned (AVG)]])*(Table182023[[#This Row],[activating_chance]]/100),0)</f>
        <v>56</v>
      </c>
      <c r="FQ27" t="str">
        <f ca="1">INDIRECT(ADDRESS(11+(MATCH(RIGHT(Table182023[[#This Row],[spawner_sku]],LEN(Table182023[[#This Row],[spawner_sku]])-FIND("/",Table182023[[#This Row],[spawner_sku]])),Table28[Entity Prefab],0)),26,1,1,"Entities"))</f>
        <v>no</v>
      </c>
      <c r="FR27">
        <v>1</v>
      </c>
      <c r="FS27">
        <v>1</v>
      </c>
      <c r="FT27" t="b">
        <v>0</v>
      </c>
      <c r="FV27" t="s">
        <v>218</v>
      </c>
      <c r="FW27">
        <v>1</v>
      </c>
      <c r="FX27">
        <v>5000</v>
      </c>
      <c r="FY27">
        <v>80</v>
      </c>
      <c r="FZ27" s="74">
        <f ca="1">INDIRECT(ADDRESS(11+(MATCH(RIGHT(Table18202324[[#This Row],[spawner_sku]],LEN(Table18202324[[#This Row],[spawner_sku]])-FIND("/",Table18202324[[#This Row],[spawner_sku]])),Table1[Entity Prefab],0)),10,1,1,"Entities"))</f>
        <v>75</v>
      </c>
      <c r="GA27" s="74">
        <f ca="1">ROUND((Table18202324[[#This Row],[XP]]*Table18202324[[#This Row],[entity_spawned (AVG)]])*(Table18202324[[#This Row],[activating_chance]]/100),0)</f>
        <v>60</v>
      </c>
      <c r="GB27" s="74" t="str">
        <f ca="1">INDIRECT(ADDRESS(11+(MATCH(RIGHT(Table18202324[[#This Row],[spawner_sku]],LEN(Table18202324[[#This Row],[spawner_sku]])-FIND("/",Table18202324[[#This Row],[spawner_sku]])),Table28[Entity Prefab],0)),26,1,1,"Entities"))</f>
        <v>no</v>
      </c>
      <c r="GC27">
        <v>1</v>
      </c>
      <c r="GD27">
        <v>1</v>
      </c>
      <c r="GE27" t="b">
        <v>0</v>
      </c>
      <c r="GG27" t="s">
        <v>3832</v>
      </c>
      <c r="GH27">
        <v>1</v>
      </c>
      <c r="GI27">
        <v>150</v>
      </c>
      <c r="GJ27">
        <v>100</v>
      </c>
      <c r="GK27">
        <f ca="1">INDIRECT(ADDRESS(11+(MATCH(RIGHT(Table37[[#This Row],[spawner_sku]],LEN(Table37[[#This Row],[spawner_sku]])-FIND("/",Table37[[#This Row],[spawner_sku]])),Table1[Entity Prefab],0)),10,1,1,"Entities"))</f>
        <v>50</v>
      </c>
      <c r="GL27">
        <f ca="1">ROUND((Table37[[#This Row],[XP]]*Table37[[#This Row],[entity_spawned (AVG)]])*(Table37[[#This Row],[activating_chance]]/100),0)</f>
        <v>50</v>
      </c>
      <c r="GM27" t="str">
        <f ca="1">INDIRECT(ADDRESS(11+(MATCH(RIGHT(Table37[[#This Row],[spawner_sku]],LEN(Table37[[#This Row],[spawner_sku]])-FIND("/",Table37[[#This Row],[spawner_sku]])),Table28[Entity Prefab],0)),26,1,1,"Entities"))</f>
        <v>no</v>
      </c>
      <c r="GN27">
        <v>1</v>
      </c>
      <c r="GO27">
        <v>1</v>
      </c>
      <c r="GP27" t="b">
        <v>0</v>
      </c>
    </row>
    <row r="28" spans="2:198" x14ac:dyDescent="0.25">
      <c r="B28" s="72" t="s">
        <v>215</v>
      </c>
      <c r="C28">
        <v>4</v>
      </c>
      <c r="D28">
        <v>160</v>
      </c>
      <c r="E28">
        <v>100</v>
      </c>
      <c r="F28" s="74">
        <f ca="1">INDIRECT(ADDRESS(11+(MATCH(RIGHT(Table245[[#This Row],[spawner_sku]],LEN(Table245[[#This Row],[spawner_sku]])-FIND("/",Table245[[#This Row],[spawner_sku]])),Table1[Entity Prefab],0)),10,1,1,"Entities"))</f>
        <v>25</v>
      </c>
      <c r="G28" s="74">
        <f ca="1">ROUND((Table245[[#This Row],[XP]]*Table245[[#This Row],[entity_spawned (AVG)]])*(Table245[[#This Row],[activating_chance]]/100),0)</f>
        <v>100</v>
      </c>
      <c r="H28" s="71" t="str">
        <f ca="1">INDIRECT(ADDRESS(11+(MATCH(RIGHT(Table245[[#This Row],[spawner_sku]],LEN(Table245[[#This Row],[spawner_sku]])-FIND("/",Table245[[#This Row],[spawner_sku]])),Table28[Entity Prefab],0)),24,1,1,"Entities"))</f>
        <v>no</v>
      </c>
      <c r="I28" s="71">
        <v>4</v>
      </c>
      <c r="J28" s="71">
        <v>4</v>
      </c>
      <c r="K28" s="71" t="b">
        <v>0</v>
      </c>
      <c r="M28" t="s">
        <v>214</v>
      </c>
      <c r="N28">
        <v>11.5</v>
      </c>
      <c r="O28">
        <v>280</v>
      </c>
      <c r="P28">
        <v>100</v>
      </c>
      <c r="Q28" s="74">
        <f ca="1">INDIRECT(ADDRESS(11+(MATCH(RIGHT(Table3[[#This Row],[spawner_sku]],LEN(Table3[[#This Row],[spawner_sku]])-FIND("/",Table3[[#This Row],[spawner_sku]])),Table1[Entity Prefab],0)),10,1,1,"Entities"))</f>
        <v>25</v>
      </c>
      <c r="R28" s="74">
        <f ca="1">ROUND((Table3[[#This Row],[XP]]*Table3[[#This Row],[entity_spawned (AVG)]])*(Table3[[#This Row],[activating_chance]]/100),0)</f>
        <v>288</v>
      </c>
      <c r="S28" t="str">
        <f ca="1">INDIRECT(ADDRESS(11+(MATCH(RIGHT(Table3[[#This Row],[spawner_sku]],LEN(Table3[[#This Row],[spawner_sku]])-FIND("/",Table3[[#This Row],[spawner_sku]])),Table28[Entity Prefab],0)),24,1,1,"Entities"))</f>
        <v>no</v>
      </c>
      <c r="T28">
        <v>8</v>
      </c>
      <c r="U28">
        <v>15</v>
      </c>
      <c r="V28" t="b">
        <v>1</v>
      </c>
      <c r="W28" s="71"/>
      <c r="X28" t="s">
        <v>214</v>
      </c>
      <c r="Y28">
        <v>3.5</v>
      </c>
      <c r="Z28">
        <v>90</v>
      </c>
      <c r="AA28">
        <v>100</v>
      </c>
      <c r="AB28" s="74">
        <f ca="1">INDIRECT(ADDRESS(11+(MATCH(RIGHT(Table39[[#This Row],[spawner_sku]],LEN(Table39[[#This Row],[spawner_sku]])-FIND("/",Table39[[#This Row],[spawner_sku]])),Table1[Entity Prefab],0)),10,1,1,"Entities"))</f>
        <v>25</v>
      </c>
      <c r="AC28" s="74">
        <f ca="1">ROUND((Table39[[#This Row],[XP]]*Table39[[#This Row],[entity_spawned (AVG)]])*(Table39[[#This Row],[activating_chance]]/100),0)</f>
        <v>88</v>
      </c>
      <c r="AD28" t="str">
        <f ca="1">INDIRECT(ADDRESS(11+(MATCH(RIGHT(Table39[[#This Row],[spawner_sku]],LEN(Table39[[#This Row],[spawner_sku]])-FIND("/",Table39[[#This Row],[spawner_sku]])),Table28[Entity Prefab],0)),24,1,1,"Entities"))</f>
        <v>no</v>
      </c>
      <c r="AE28">
        <v>3</v>
      </c>
      <c r="AF28">
        <v>4</v>
      </c>
      <c r="AG28" t="b">
        <v>0</v>
      </c>
      <c r="AI28" t="s">
        <v>215</v>
      </c>
      <c r="AJ28">
        <v>5.5</v>
      </c>
      <c r="AK28">
        <v>150</v>
      </c>
      <c r="AL28">
        <v>100</v>
      </c>
      <c r="AM28" s="74">
        <f ca="1">INDIRECT(ADDRESS(11+(MATCH(RIGHT(Table2[[#This Row],[spawner_sku]],LEN(Table2[[#This Row],[spawner_sku]])-FIND("/",Table2[[#This Row],[spawner_sku]])),Table1[Entity Prefab],0)),10,1,1,"Entities"))</f>
        <v>25</v>
      </c>
      <c r="AN28" s="74">
        <f ca="1">ROUND((Table2[[#This Row],[XP]]*Table2[[#This Row],[entity_spawned (AVG)]])*(Table2[[#This Row],[activating_chance]]/100),0)</f>
        <v>138</v>
      </c>
      <c r="AO28" s="71" t="str">
        <f ca="1">INDIRECT(ADDRESS(11+(MATCH(RIGHT(Table2[[#This Row],[spawner_sku]],LEN(Table2[[#This Row],[spawner_sku]])-FIND("/",Table2[[#This Row],[spawner_sku]])),Table28[Entity Prefab],0)),24,1,1,"Entities"))</f>
        <v>no</v>
      </c>
      <c r="AP28" s="71">
        <v>5</v>
      </c>
      <c r="AQ28" s="71">
        <v>6</v>
      </c>
      <c r="AR28" s="71" t="b">
        <v>1</v>
      </c>
      <c r="AT28" t="s">
        <v>214</v>
      </c>
      <c r="AU28">
        <v>9</v>
      </c>
      <c r="AV28">
        <v>120</v>
      </c>
      <c r="AW28">
        <v>100</v>
      </c>
      <c r="AX28" s="74">
        <f ca="1">INDIRECT(ADDRESS(11+(MATCH(RIGHT(Table6[[#This Row],[spawner_sku]],LEN(Table6[[#This Row],[spawner_sku]])-FIND("/",Table6[[#This Row],[spawner_sku]])),Table1[Entity Prefab],0)),10,1,1,"Entities"))</f>
        <v>25</v>
      </c>
      <c r="AY28" s="74">
        <f ca="1">ROUND((Table6[[#This Row],[XP]]*Table6[[#This Row],[entity_spawned (AVG)]])*(Table6[[#This Row],[activating_chance]]/100),0)</f>
        <v>225</v>
      </c>
      <c r="AZ28" s="144" t="str">
        <f ca="1">INDIRECT(ADDRESS(11+(MATCH(RIGHT(Table6[[#This Row],[spawner_sku]],LEN(Table6[[#This Row],[spawner_sku]])-FIND("/",Table6[[#This Row],[spawner_sku]])),Table28[Entity Prefab],0)),24,1,1,"Entities"))</f>
        <v>no</v>
      </c>
      <c r="BA28">
        <v>8</v>
      </c>
      <c r="BB28">
        <v>10</v>
      </c>
      <c r="BC28" t="b">
        <v>1</v>
      </c>
      <c r="BE28" t="s">
        <v>213</v>
      </c>
      <c r="BF28">
        <v>2</v>
      </c>
      <c r="BG28">
        <v>150</v>
      </c>
      <c r="BH28">
        <v>100</v>
      </c>
      <c r="BI28" s="74">
        <f ca="1">INDIRECT(ADDRESS(11+(MATCH(RIGHT(Table610[[#This Row],[spawner_sku]],LEN(Table610[[#This Row],[spawner_sku]])-FIND("/",Table610[[#This Row],[spawner_sku]])),Table1[Entity Prefab],0)),10,1,1,"Entities"))</f>
        <v>55</v>
      </c>
      <c r="BJ28" s="74">
        <f ca="1">ROUND((Table610[[#This Row],[XP]]*Table610[[#This Row],[entity_spawned (AVG)]])*(Table610[[#This Row],[activating_chance]]/100),0)</f>
        <v>110</v>
      </c>
      <c r="BK28" s="71" t="str">
        <f ca="1">INDIRECT(ADDRESS(11+(MATCH(RIGHT(Table610[[#This Row],[spawner_sku]],LEN(Table610[[#This Row],[spawner_sku]])-FIND("/",Table610[[#This Row],[spawner_sku]])),Table28[Entity Prefab],0)),24,1,1,"Entities"))</f>
        <v>yes</v>
      </c>
      <c r="BL28">
        <v>2</v>
      </c>
      <c r="BM28">
        <v>2</v>
      </c>
      <c r="BN28" t="b">
        <v>0</v>
      </c>
      <c r="BP28" t="s">
        <v>215</v>
      </c>
      <c r="BQ28">
        <v>2.5</v>
      </c>
      <c r="BR28">
        <v>200</v>
      </c>
      <c r="BS28">
        <v>100</v>
      </c>
      <c r="BT28" s="74">
        <f ca="1">INDIRECT(ADDRESS(11+(MATCH(RIGHT(Table61011[[#This Row],[spawner_sku]],LEN(Table61011[[#This Row],[spawner_sku]])-FIND("/",Table61011[[#This Row],[spawner_sku]])),Table1[Entity Prefab],0)),10,1,1,"Entities"))</f>
        <v>25</v>
      </c>
      <c r="BU28" s="74">
        <f ca="1">ROUND((Table61011[[#This Row],[XP]]*Table61011[[#This Row],[entity_spawned (AVG)]])*(Table61011[[#This Row],[activating_chance]]/100),0)</f>
        <v>63</v>
      </c>
      <c r="BV28" s="71" t="str">
        <f ca="1">INDIRECT(ADDRESS(11+(MATCH(RIGHT(Table61011[[#This Row],[spawner_sku]],LEN(Table61011[[#This Row],[spawner_sku]])-FIND("/",Table61011[[#This Row],[spawner_sku]])),Table28[Entity Prefab],0)),24,1,1,"Entities"))</f>
        <v>no</v>
      </c>
      <c r="BW28" s="71">
        <v>2</v>
      </c>
      <c r="BX28" s="71">
        <v>3</v>
      </c>
      <c r="BY28" s="71" t="b">
        <v>0</v>
      </c>
      <c r="BZ28" s="71"/>
      <c r="CA28" s="147" t="s">
        <v>376</v>
      </c>
      <c r="CB28">
        <v>5</v>
      </c>
      <c r="CC28">
        <v>120</v>
      </c>
      <c r="CD28">
        <v>100</v>
      </c>
      <c r="CE28" s="74">
        <f ca="1">INDIRECT(ADDRESS(11+(MATCH(RIGHT(Table35[[#This Row],[spawner_sku]],LEN(Table35[[#This Row],[spawner_sku]])-FIND("/",Table35[[#This Row],[spawner_sku]])),Table1[Entity Prefab],0)),10,1,1,"Entities"))</f>
        <v>25</v>
      </c>
      <c r="CF28" s="74">
        <f ca="1">ROUND((Table35[[#This Row],[XP]]*Table35[[#This Row],[entity_spawned (AVG)]])*(Table35[[#This Row],[activating_chance]]/100),0)</f>
        <v>125</v>
      </c>
      <c r="CG28" s="144" t="str">
        <f ca="1">INDIRECT(ADDRESS(11+(MATCH(RIGHT(Table35[[#This Row],[spawner_sku]],LEN(Table35[[#This Row],[spawner_sku]])-FIND("/",Table35[[#This Row],[spawner_sku]])),Table28[Entity Prefab],0)),24,1,1,"Entities"))</f>
        <v>no</v>
      </c>
      <c r="CH28">
        <v>5</v>
      </c>
      <c r="CI28">
        <v>5</v>
      </c>
      <c r="CJ28" s="71" t="b">
        <v>1</v>
      </c>
      <c r="CL28" t="s">
        <v>214</v>
      </c>
      <c r="CM28">
        <v>6</v>
      </c>
      <c r="CN28">
        <v>280</v>
      </c>
      <c r="CO28">
        <v>100</v>
      </c>
      <c r="CP28" s="74">
        <f ca="1">INDIRECT(ADDRESS(11+(MATCH(RIGHT(Table11[[#This Row],[spawner_sku]],LEN(Table11[[#This Row],[spawner_sku]])-FIND("/",Table11[[#This Row],[spawner_sku]])),Table1[Entity Prefab],0)),10,1,1,"Entities"))</f>
        <v>25</v>
      </c>
      <c r="CQ28">
        <f ca="1">ROUND((Table11[[#This Row],[XP]]*Table11[[#This Row],[entity_spawned (AVG)]])*(Table11[[#This Row],[activating_chance]]/100),0)</f>
        <v>150</v>
      </c>
      <c r="CR28" s="144" t="str">
        <f ca="1">INDIRECT(ADDRESS(11+(MATCH(RIGHT(Table11[[#This Row],[spawner_sku]],LEN(Table11[[#This Row],[spawner_sku]])-FIND("/",Table11[[#This Row],[spawner_sku]])),Table28[Entity Prefab],0)),25,1,1,"Entities"))</f>
        <v>no</v>
      </c>
      <c r="CS28" s="71">
        <v>5</v>
      </c>
      <c r="CT28" s="71">
        <v>7</v>
      </c>
      <c r="CU28" s="71" t="b">
        <v>1</v>
      </c>
      <c r="CW28" t="s">
        <v>213</v>
      </c>
      <c r="CX28">
        <v>1</v>
      </c>
      <c r="CY28">
        <v>260</v>
      </c>
      <c r="CZ28">
        <v>100</v>
      </c>
      <c r="DA28" s="74">
        <f ca="1">INDIRECT(ADDRESS(11+(MATCH(RIGHT(Table12[[#This Row],[spawner_sku]],LEN(Table12[[#This Row],[spawner_sku]])-FIND("/",Table12[[#This Row],[spawner_sku]])),Table1[Entity Prefab],0)),10,1,1,"Entities"))</f>
        <v>55</v>
      </c>
      <c r="DB28" s="74">
        <f ca="1">ROUND((Table12[[#This Row],[XP]]*Table12[[#This Row],[entity_spawned (AVG)]])*(Table12[[#This Row],[activating_chance]]/100),0)</f>
        <v>55</v>
      </c>
      <c r="DC28" s="144" t="str">
        <f ca="1">INDIRECT(ADDRESS(11+(MATCH(RIGHT(Table12[[#This Row],[spawner_sku]],LEN(Table12[[#This Row],[spawner_sku]])-FIND("/",Table12[[#This Row],[spawner_sku]])),Table28[Entity Prefab],0)),25,1,1,"Entities"))</f>
        <v>yes</v>
      </c>
      <c r="DD28" s="71">
        <v>1</v>
      </c>
      <c r="DE28" s="71">
        <v>1</v>
      </c>
      <c r="DF28" s="71" t="b">
        <v>0</v>
      </c>
      <c r="DH28" t="s">
        <v>214</v>
      </c>
      <c r="DI28">
        <v>12</v>
      </c>
      <c r="DJ28">
        <v>280</v>
      </c>
      <c r="DK28">
        <v>100</v>
      </c>
      <c r="DL28" s="74">
        <f ca="1">INDIRECT(ADDRESS(11+(MATCH(RIGHT(Table13[[#This Row],[spawner_sku]],LEN(Table13[[#This Row],[spawner_sku]])-FIND("/",Table13[[#This Row],[spawner_sku]])),Table1[Entity Prefab],0)),10,1,1,"Entities"))</f>
        <v>25</v>
      </c>
      <c r="DM28" s="74">
        <f ca="1">ROUND((Table13[[#This Row],[XP]]*Table13[[#This Row],[entity_spawned (AVG)]])*(Table13[[#This Row],[activating_chance]]/100),0)</f>
        <v>300</v>
      </c>
      <c r="DN28" s="144" t="str">
        <f ca="1">INDIRECT(ADDRESS(11+(MATCH(RIGHT(Table13[[#This Row],[spawner_sku]],LEN(Table13[[#This Row],[spawner_sku]])-FIND("/",Table13[[#This Row],[spawner_sku]])),Table28[Entity Prefab],0)),25,1,1,"Entities"))</f>
        <v>no</v>
      </c>
      <c r="DO28" s="71">
        <v>10</v>
      </c>
      <c r="DP28" s="71">
        <v>14</v>
      </c>
      <c r="DQ28" s="71" t="b">
        <v>1</v>
      </c>
      <c r="DS28" t="s">
        <v>213</v>
      </c>
      <c r="DT28">
        <v>3</v>
      </c>
      <c r="DU28">
        <v>260</v>
      </c>
      <c r="DV28">
        <v>100</v>
      </c>
      <c r="DW28" s="74">
        <f ca="1">INDIRECT(ADDRESS(11+(MATCH(RIGHT(Table14[[#This Row],[spawner_sku]],LEN(Table14[[#This Row],[spawner_sku]])-FIND("/",Table14[[#This Row],[spawner_sku]])),Table1[Entity Prefab],0)),10,1,1,"Entities"))</f>
        <v>55</v>
      </c>
      <c r="DX28" s="74">
        <f ca="1">ROUND((Table14[[#This Row],[XP]]*Table14[[#This Row],[entity_spawned (AVG)]])*(Table14[[#This Row],[activating_chance]]/100),0)</f>
        <v>165</v>
      </c>
      <c r="DY28" s="144" t="str">
        <f ca="1">INDIRECT(ADDRESS(11+(MATCH(RIGHT(Table14[[#This Row],[spawner_sku]],LEN(Table14[[#This Row],[spawner_sku]])-FIND("/",Table14[[#This Row],[spawner_sku]])),Table28[Entity Prefab],0)),25,1,1,"Entities"))</f>
        <v>yes</v>
      </c>
      <c r="DZ28" s="71">
        <v>3</v>
      </c>
      <c r="EA28" s="71">
        <v>3</v>
      </c>
      <c r="EB28" s="71" t="b">
        <v>0</v>
      </c>
      <c r="EC28" s="71"/>
      <c r="ED28" s="147" t="s">
        <v>232</v>
      </c>
      <c r="EE28" s="71">
        <v>10</v>
      </c>
      <c r="EF28" s="71">
        <v>90</v>
      </c>
      <c r="EG28" s="71">
        <v>100</v>
      </c>
      <c r="EH28" s="71">
        <f ca="1">INDIRECT(ADDRESS(11+(MATCH(RIGHT(Table36[[#This Row],[spawner_sku]],LEN(Table36[[#This Row],[spawner_sku]])-FIND("/",Table36[[#This Row],[spawner_sku]])),Table1[Entity Prefab],0)),10,1,1,"Entities"))</f>
        <v>25</v>
      </c>
      <c r="EI28" s="71">
        <f ca="1">ROUND((Table36[[#This Row],[XP]]*Table36[[#This Row],[entity_spawned (AVG)]])*(Table36[[#This Row],[activating_chance]]/100),0)</f>
        <v>250</v>
      </c>
      <c r="EJ28" s="71" t="str">
        <f ca="1">INDIRECT(ADDRESS(11+(MATCH(RIGHT(Table36[[#This Row],[spawner_sku]],LEN(Table36[[#This Row],[spawner_sku]])-FIND("/",Table36[[#This Row],[spawner_sku]])),Table28[Entity Prefab],0)),25,1,1,"Entities"))</f>
        <v>no</v>
      </c>
      <c r="EK28" s="71">
        <v>10</v>
      </c>
      <c r="EL28" s="71">
        <v>10</v>
      </c>
      <c r="EM28" s="71" t="b">
        <v>1</v>
      </c>
      <c r="EO28" t="s">
        <v>213</v>
      </c>
      <c r="EP28">
        <v>6.5</v>
      </c>
      <c r="EQ28">
        <v>140</v>
      </c>
      <c r="ER28">
        <v>100</v>
      </c>
      <c r="ES28" s="74">
        <f ca="1">INDIRECT(ADDRESS(11+(MATCH(RIGHT(Table18[[#This Row],[spawner_sku]],LEN(Table18[[#This Row],[spawner_sku]])-FIND("/",Table18[[#This Row],[spawner_sku]])),Table1[Entity Prefab],0)),10,1,1,"Entities"))</f>
        <v>55</v>
      </c>
      <c r="ET28" s="74">
        <f ca="1">ROUND((Table18[[#This Row],[XP]]*Table18[[#This Row],[entity_spawned (AVG)]])*(Table18[[#This Row],[activating_chance]]/100),0)</f>
        <v>358</v>
      </c>
      <c r="EU28" s="74" t="str">
        <f ca="1">INDIRECT(ADDRESS(11+(MATCH(RIGHT(Table18[[#This Row],[spawner_sku]],LEN(Table18[[#This Row],[spawner_sku]])-FIND("/",Table18[[#This Row],[spawner_sku]])),Table28[Entity Prefab],0)),26,1,1,"Entities"))</f>
        <v>yes</v>
      </c>
      <c r="EV28">
        <v>5</v>
      </c>
      <c r="EW28">
        <v>8</v>
      </c>
      <c r="EX28" t="b">
        <v>1</v>
      </c>
      <c r="EZ28" t="s">
        <v>214</v>
      </c>
      <c r="FA28">
        <v>3</v>
      </c>
      <c r="FB28">
        <v>140</v>
      </c>
      <c r="FC28">
        <v>100</v>
      </c>
      <c r="FD28" s="74">
        <f ca="1">INDIRECT(ADDRESS(11+(MATCH(RIGHT(Table1820[[#This Row],[spawner_sku]],LEN(Table1820[[#This Row],[spawner_sku]])-FIND("/",Table1820[[#This Row],[spawner_sku]])),Table1[Entity Prefab],0)),10,1,1,"Entities"))</f>
        <v>25</v>
      </c>
      <c r="FE28" s="74">
        <f ca="1">ROUND((Table1820[[#This Row],[XP]]*Table1820[[#This Row],[entity_spawned (AVG)]])*(Table1820[[#This Row],[activating_chance]]/100),0)</f>
        <v>75</v>
      </c>
      <c r="FF28" s="74" t="str">
        <f ca="1">INDIRECT(ADDRESS(11+(MATCH(RIGHT(Table1820[[#This Row],[spawner_sku]],LEN(Table1820[[#This Row],[spawner_sku]])-FIND("/",Table1820[[#This Row],[spawner_sku]])),Table28[Entity Prefab],0)),26,1,1,"Entities"))</f>
        <v>no</v>
      </c>
      <c r="FG28">
        <v>2</v>
      </c>
      <c r="FH28">
        <v>4</v>
      </c>
      <c r="FI28" t="b">
        <v>0</v>
      </c>
      <c r="FK28" t="s">
        <v>218</v>
      </c>
      <c r="FL28">
        <v>1</v>
      </c>
      <c r="FM28">
        <v>5000</v>
      </c>
      <c r="FN28">
        <v>75</v>
      </c>
      <c r="FO28">
        <f ca="1">INDIRECT(ADDRESS(11+(MATCH(RIGHT(Table182023[[#This Row],[spawner_sku]],LEN(Table182023[[#This Row],[spawner_sku]])-FIND("/",Table182023[[#This Row],[spawner_sku]])),Table1[Entity Prefab],0)),10,1,1,"Entities"))</f>
        <v>75</v>
      </c>
      <c r="FP28">
        <f ca="1">ROUND((Table182023[[#This Row],[XP]]*Table182023[[#This Row],[entity_spawned (AVG)]])*(Table182023[[#This Row],[activating_chance]]/100),0)</f>
        <v>56</v>
      </c>
      <c r="FQ28" t="str">
        <f ca="1">INDIRECT(ADDRESS(11+(MATCH(RIGHT(Table182023[[#This Row],[spawner_sku]],LEN(Table182023[[#This Row],[spawner_sku]])-FIND("/",Table182023[[#This Row],[spawner_sku]])),Table28[Entity Prefab],0)),26,1,1,"Entities"))</f>
        <v>no</v>
      </c>
      <c r="FR28">
        <v>1</v>
      </c>
      <c r="FS28">
        <v>1</v>
      </c>
      <c r="FT28" t="b">
        <v>0</v>
      </c>
      <c r="FV28" t="s">
        <v>218</v>
      </c>
      <c r="FW28">
        <v>1</v>
      </c>
      <c r="FX28">
        <v>5000</v>
      </c>
      <c r="FY28">
        <v>75</v>
      </c>
      <c r="FZ28" s="74">
        <f ca="1">INDIRECT(ADDRESS(11+(MATCH(RIGHT(Table18202324[[#This Row],[spawner_sku]],LEN(Table18202324[[#This Row],[spawner_sku]])-FIND("/",Table18202324[[#This Row],[spawner_sku]])),Table1[Entity Prefab],0)),10,1,1,"Entities"))</f>
        <v>75</v>
      </c>
      <c r="GA28" s="74">
        <f ca="1">ROUND((Table18202324[[#This Row],[XP]]*Table18202324[[#This Row],[entity_spawned (AVG)]])*(Table18202324[[#This Row],[activating_chance]]/100),0)</f>
        <v>56</v>
      </c>
      <c r="GB28" s="74" t="str">
        <f ca="1">INDIRECT(ADDRESS(11+(MATCH(RIGHT(Table18202324[[#This Row],[spawner_sku]],LEN(Table18202324[[#This Row],[spawner_sku]])-FIND("/",Table18202324[[#This Row],[spawner_sku]])),Table28[Entity Prefab],0)),26,1,1,"Entities"))</f>
        <v>no</v>
      </c>
      <c r="GC28">
        <v>1</v>
      </c>
      <c r="GD28">
        <v>1</v>
      </c>
      <c r="GE28" t="b">
        <v>0</v>
      </c>
      <c r="GG28" t="s">
        <v>570</v>
      </c>
      <c r="GH28">
        <v>3</v>
      </c>
      <c r="GI28">
        <v>120</v>
      </c>
      <c r="GJ28">
        <v>100</v>
      </c>
      <c r="GK28">
        <f ca="1">INDIRECT(ADDRESS(11+(MATCH(RIGHT(Table37[[#This Row],[spawner_sku]],LEN(Table37[[#This Row],[spawner_sku]])-FIND("/",Table37[[#This Row],[spawner_sku]])),Table1[Entity Prefab],0)),10,1,1,"Entities"))</f>
        <v>50</v>
      </c>
      <c r="GL28">
        <f ca="1">ROUND((Table37[[#This Row],[XP]]*Table37[[#This Row],[entity_spawned (AVG)]])*(Table37[[#This Row],[activating_chance]]/100),0)</f>
        <v>150</v>
      </c>
      <c r="GM28" t="str">
        <f ca="1">INDIRECT(ADDRESS(11+(MATCH(RIGHT(Table37[[#This Row],[spawner_sku]],LEN(Table37[[#This Row],[spawner_sku]])-FIND("/",Table37[[#This Row],[spawner_sku]])),Table28[Entity Prefab],0)),26,1,1,"Entities"))</f>
        <v>no</v>
      </c>
      <c r="GN28">
        <v>2</v>
      </c>
      <c r="GO28">
        <v>4</v>
      </c>
      <c r="GP28" t="b">
        <v>0</v>
      </c>
    </row>
    <row r="29" spans="2:198" x14ac:dyDescent="0.25">
      <c r="B29" s="72" t="s">
        <v>215</v>
      </c>
      <c r="C29">
        <v>3</v>
      </c>
      <c r="D29">
        <v>140</v>
      </c>
      <c r="E29">
        <v>100</v>
      </c>
      <c r="F29" s="74">
        <f ca="1">INDIRECT(ADDRESS(11+(MATCH(RIGHT(Table245[[#This Row],[spawner_sku]],LEN(Table245[[#This Row],[spawner_sku]])-FIND("/",Table245[[#This Row],[spawner_sku]])),Table1[Entity Prefab],0)),10,1,1,"Entities"))</f>
        <v>25</v>
      </c>
      <c r="G29" s="74">
        <f ca="1">ROUND((Table245[[#This Row],[XP]]*Table245[[#This Row],[entity_spawned (AVG)]])*(Table245[[#This Row],[activating_chance]]/100),0)</f>
        <v>75</v>
      </c>
      <c r="H29" s="71" t="str">
        <f ca="1">INDIRECT(ADDRESS(11+(MATCH(RIGHT(Table245[[#This Row],[spawner_sku]],LEN(Table245[[#This Row],[spawner_sku]])-FIND("/",Table245[[#This Row],[spawner_sku]])),Table28[Entity Prefab],0)),24,1,1,"Entities"))</f>
        <v>no</v>
      </c>
      <c r="I29" s="71">
        <v>2</v>
      </c>
      <c r="J29" s="71">
        <v>4</v>
      </c>
      <c r="K29" s="71" t="b">
        <v>0</v>
      </c>
      <c r="M29" t="s">
        <v>214</v>
      </c>
      <c r="N29">
        <v>5.5</v>
      </c>
      <c r="O29">
        <v>300</v>
      </c>
      <c r="P29">
        <v>100</v>
      </c>
      <c r="Q29" s="74">
        <f ca="1">INDIRECT(ADDRESS(11+(MATCH(RIGHT(Table3[[#This Row],[spawner_sku]],LEN(Table3[[#This Row],[spawner_sku]])-FIND("/",Table3[[#This Row],[spawner_sku]])),Table1[Entity Prefab],0)),10,1,1,"Entities"))</f>
        <v>25</v>
      </c>
      <c r="R29" s="74">
        <f ca="1">ROUND((Table3[[#This Row],[XP]]*Table3[[#This Row],[entity_spawned (AVG)]])*(Table3[[#This Row],[activating_chance]]/100),0)</f>
        <v>138</v>
      </c>
      <c r="S29" t="str">
        <f ca="1">INDIRECT(ADDRESS(11+(MATCH(RIGHT(Table3[[#This Row],[spawner_sku]],LEN(Table3[[#This Row],[spawner_sku]])-FIND("/",Table3[[#This Row],[spawner_sku]])),Table28[Entity Prefab],0)),24,1,1,"Entities"))</f>
        <v>no</v>
      </c>
      <c r="T29">
        <v>5</v>
      </c>
      <c r="U29">
        <v>6</v>
      </c>
      <c r="V29" t="b">
        <v>1</v>
      </c>
      <c r="W29" s="71"/>
      <c r="X29" t="s">
        <v>214</v>
      </c>
      <c r="Y29">
        <v>6.5</v>
      </c>
      <c r="Z29">
        <v>105</v>
      </c>
      <c r="AA29">
        <v>100</v>
      </c>
      <c r="AB29" s="74">
        <f ca="1">INDIRECT(ADDRESS(11+(MATCH(RIGHT(Table39[[#This Row],[spawner_sku]],LEN(Table39[[#This Row],[spawner_sku]])-FIND("/",Table39[[#This Row],[spawner_sku]])),Table1[Entity Prefab],0)),10,1,1,"Entities"))</f>
        <v>25</v>
      </c>
      <c r="AC29" s="74">
        <f ca="1">ROUND((Table39[[#This Row],[XP]]*Table39[[#This Row],[entity_spawned (AVG)]])*(Table39[[#This Row],[activating_chance]]/100),0)</f>
        <v>163</v>
      </c>
      <c r="AD29" t="str">
        <f ca="1">INDIRECT(ADDRESS(11+(MATCH(RIGHT(Table39[[#This Row],[spawner_sku]],LEN(Table39[[#This Row],[spawner_sku]])-FIND("/",Table39[[#This Row],[spawner_sku]])),Table28[Entity Prefab],0)),24,1,1,"Entities"))</f>
        <v>no</v>
      </c>
      <c r="AE29">
        <v>5</v>
      </c>
      <c r="AF29">
        <v>8</v>
      </c>
      <c r="AG29" t="b">
        <v>1</v>
      </c>
      <c r="AI29" t="s">
        <v>215</v>
      </c>
      <c r="AJ29">
        <v>6</v>
      </c>
      <c r="AK29">
        <v>190</v>
      </c>
      <c r="AL29">
        <v>100</v>
      </c>
      <c r="AM29" s="74">
        <f ca="1">INDIRECT(ADDRESS(11+(MATCH(RIGHT(Table2[[#This Row],[spawner_sku]],LEN(Table2[[#This Row],[spawner_sku]])-FIND("/",Table2[[#This Row],[spawner_sku]])),Table1[Entity Prefab],0)),10,1,1,"Entities"))</f>
        <v>25</v>
      </c>
      <c r="AN29" s="74">
        <f ca="1">ROUND((Table2[[#This Row],[XP]]*Table2[[#This Row],[entity_spawned (AVG)]])*(Table2[[#This Row],[activating_chance]]/100),0)</f>
        <v>150</v>
      </c>
      <c r="AO29" s="71" t="str">
        <f ca="1">INDIRECT(ADDRESS(11+(MATCH(RIGHT(Table2[[#This Row],[spawner_sku]],LEN(Table2[[#This Row],[spawner_sku]])-FIND("/",Table2[[#This Row],[spawner_sku]])),Table28[Entity Prefab],0)),24,1,1,"Entities"))</f>
        <v>no</v>
      </c>
      <c r="AP29" s="71">
        <v>5</v>
      </c>
      <c r="AQ29" s="71">
        <v>7</v>
      </c>
      <c r="AR29" s="71" t="b">
        <v>1</v>
      </c>
      <c r="AT29" t="s">
        <v>214</v>
      </c>
      <c r="AU29">
        <v>6.5</v>
      </c>
      <c r="AV29">
        <v>150</v>
      </c>
      <c r="AW29">
        <v>100</v>
      </c>
      <c r="AX29" s="74">
        <f ca="1">INDIRECT(ADDRESS(11+(MATCH(RIGHT(Table6[[#This Row],[spawner_sku]],LEN(Table6[[#This Row],[spawner_sku]])-FIND("/",Table6[[#This Row],[spawner_sku]])),Table1[Entity Prefab],0)),10,1,1,"Entities"))</f>
        <v>25</v>
      </c>
      <c r="AY29" s="74">
        <f ca="1">ROUND((Table6[[#This Row],[XP]]*Table6[[#This Row],[entity_spawned (AVG)]])*(Table6[[#This Row],[activating_chance]]/100),0)</f>
        <v>163</v>
      </c>
      <c r="AZ29" s="144" t="str">
        <f ca="1">INDIRECT(ADDRESS(11+(MATCH(RIGHT(Table6[[#This Row],[spawner_sku]],LEN(Table6[[#This Row],[spawner_sku]])-FIND("/",Table6[[#This Row],[spawner_sku]])),Table28[Entity Prefab],0)),24,1,1,"Entities"))</f>
        <v>no</v>
      </c>
      <c r="BA29">
        <v>5</v>
      </c>
      <c r="BB29">
        <v>8</v>
      </c>
      <c r="BC29" t="b">
        <v>1</v>
      </c>
      <c r="BE29" t="s">
        <v>213</v>
      </c>
      <c r="BF29">
        <v>2</v>
      </c>
      <c r="BG29">
        <v>160</v>
      </c>
      <c r="BH29">
        <v>100</v>
      </c>
      <c r="BI29" s="74">
        <f ca="1">INDIRECT(ADDRESS(11+(MATCH(RIGHT(Table610[[#This Row],[spawner_sku]],LEN(Table610[[#This Row],[spawner_sku]])-FIND("/",Table610[[#This Row],[spawner_sku]])),Table1[Entity Prefab],0)),10,1,1,"Entities"))</f>
        <v>55</v>
      </c>
      <c r="BJ29" s="74">
        <f ca="1">ROUND((Table610[[#This Row],[XP]]*Table610[[#This Row],[entity_spawned (AVG)]])*(Table610[[#This Row],[activating_chance]]/100),0)</f>
        <v>110</v>
      </c>
      <c r="BK29" s="71" t="str">
        <f ca="1">INDIRECT(ADDRESS(11+(MATCH(RIGHT(Table610[[#This Row],[spawner_sku]],LEN(Table610[[#This Row],[spawner_sku]])-FIND("/",Table610[[#This Row],[spawner_sku]])),Table28[Entity Prefab],0)),24,1,1,"Entities"))</f>
        <v>yes</v>
      </c>
      <c r="BL29">
        <v>2</v>
      </c>
      <c r="BM29">
        <v>2</v>
      </c>
      <c r="BN29" t="b">
        <v>0</v>
      </c>
      <c r="BP29" t="s">
        <v>215</v>
      </c>
      <c r="BQ29">
        <v>2.5</v>
      </c>
      <c r="BR29">
        <v>130</v>
      </c>
      <c r="BS29">
        <v>100</v>
      </c>
      <c r="BT29" s="74">
        <f ca="1">INDIRECT(ADDRESS(11+(MATCH(RIGHT(Table61011[[#This Row],[spawner_sku]],LEN(Table61011[[#This Row],[spawner_sku]])-FIND("/",Table61011[[#This Row],[spawner_sku]])),Table1[Entity Prefab],0)),10,1,1,"Entities"))</f>
        <v>25</v>
      </c>
      <c r="BU29" s="74">
        <f ca="1">ROUND((Table61011[[#This Row],[XP]]*Table61011[[#This Row],[entity_spawned (AVG)]])*(Table61011[[#This Row],[activating_chance]]/100),0)</f>
        <v>63</v>
      </c>
      <c r="BV29" s="71" t="str">
        <f ca="1">INDIRECT(ADDRESS(11+(MATCH(RIGHT(Table61011[[#This Row],[spawner_sku]],LEN(Table61011[[#This Row],[spawner_sku]])-FIND("/",Table61011[[#This Row],[spawner_sku]])),Table28[Entity Prefab],0)),24,1,1,"Entities"))</f>
        <v>no</v>
      </c>
      <c r="BW29" s="71">
        <v>2</v>
      </c>
      <c r="BX29" s="71">
        <v>3</v>
      </c>
      <c r="BY29" s="71" t="b">
        <v>0</v>
      </c>
      <c r="BZ29" s="71"/>
      <c r="CA29" s="147" t="s">
        <v>376</v>
      </c>
      <c r="CB29">
        <v>5</v>
      </c>
      <c r="CC29">
        <v>120</v>
      </c>
      <c r="CD29">
        <v>100</v>
      </c>
      <c r="CE29" s="74">
        <f ca="1">INDIRECT(ADDRESS(11+(MATCH(RIGHT(Table35[[#This Row],[spawner_sku]],LEN(Table35[[#This Row],[spawner_sku]])-FIND("/",Table35[[#This Row],[spawner_sku]])),Table1[Entity Prefab],0)),10,1,1,"Entities"))</f>
        <v>25</v>
      </c>
      <c r="CF29" s="74">
        <f ca="1">ROUND((Table35[[#This Row],[XP]]*Table35[[#This Row],[entity_spawned (AVG)]])*(Table35[[#This Row],[activating_chance]]/100),0)</f>
        <v>125</v>
      </c>
      <c r="CG29" s="144" t="str">
        <f ca="1">INDIRECT(ADDRESS(11+(MATCH(RIGHT(Table35[[#This Row],[spawner_sku]],LEN(Table35[[#This Row],[spawner_sku]])-FIND("/",Table35[[#This Row],[spawner_sku]])),Table28[Entity Prefab],0)),24,1,1,"Entities"))</f>
        <v>no</v>
      </c>
      <c r="CH29">
        <v>5</v>
      </c>
      <c r="CI29">
        <v>5</v>
      </c>
      <c r="CJ29" s="71" t="b">
        <v>1</v>
      </c>
      <c r="CL29" t="s">
        <v>214</v>
      </c>
      <c r="CM29">
        <v>5.5</v>
      </c>
      <c r="CN29">
        <v>280</v>
      </c>
      <c r="CO29">
        <v>100</v>
      </c>
      <c r="CP29" s="74">
        <f ca="1">INDIRECT(ADDRESS(11+(MATCH(RIGHT(Table11[[#This Row],[spawner_sku]],LEN(Table11[[#This Row],[spawner_sku]])-FIND("/",Table11[[#This Row],[spawner_sku]])),Table1[Entity Prefab],0)),10,1,1,"Entities"))</f>
        <v>25</v>
      </c>
      <c r="CQ29">
        <f ca="1">ROUND((Table11[[#This Row],[XP]]*Table11[[#This Row],[entity_spawned (AVG)]])*(Table11[[#This Row],[activating_chance]]/100),0)</f>
        <v>138</v>
      </c>
      <c r="CR29" s="144" t="str">
        <f ca="1">INDIRECT(ADDRESS(11+(MATCH(RIGHT(Table11[[#This Row],[spawner_sku]],LEN(Table11[[#This Row],[spawner_sku]])-FIND("/",Table11[[#This Row],[spawner_sku]])),Table28[Entity Prefab],0)),25,1,1,"Entities"))</f>
        <v>no</v>
      </c>
      <c r="CS29" s="71">
        <v>5</v>
      </c>
      <c r="CT29" s="71">
        <v>6</v>
      </c>
      <c r="CU29" s="71" t="b">
        <v>1</v>
      </c>
      <c r="CW29" t="s">
        <v>213</v>
      </c>
      <c r="CX29">
        <v>1</v>
      </c>
      <c r="CY29">
        <v>260</v>
      </c>
      <c r="CZ29">
        <v>80</v>
      </c>
      <c r="DA29" s="74">
        <f ca="1">INDIRECT(ADDRESS(11+(MATCH(RIGHT(Table12[[#This Row],[spawner_sku]],LEN(Table12[[#This Row],[spawner_sku]])-FIND("/",Table12[[#This Row],[spawner_sku]])),Table1[Entity Prefab],0)),10,1,1,"Entities"))</f>
        <v>55</v>
      </c>
      <c r="DB29" s="74">
        <f ca="1">ROUND((Table12[[#This Row],[XP]]*Table12[[#This Row],[entity_spawned (AVG)]])*(Table12[[#This Row],[activating_chance]]/100),0)</f>
        <v>44</v>
      </c>
      <c r="DC29" s="144" t="str">
        <f ca="1">INDIRECT(ADDRESS(11+(MATCH(RIGHT(Table12[[#This Row],[spawner_sku]],LEN(Table12[[#This Row],[spawner_sku]])-FIND("/",Table12[[#This Row],[spawner_sku]])),Table28[Entity Prefab],0)),25,1,1,"Entities"))</f>
        <v>yes</v>
      </c>
      <c r="DD29" s="71">
        <v>1</v>
      </c>
      <c r="DE29" s="71">
        <v>1</v>
      </c>
      <c r="DF29" s="71" t="b">
        <v>0</v>
      </c>
      <c r="DH29" t="s">
        <v>214</v>
      </c>
      <c r="DI29">
        <v>9</v>
      </c>
      <c r="DJ29">
        <v>280</v>
      </c>
      <c r="DK29">
        <v>80</v>
      </c>
      <c r="DL29" s="74">
        <f ca="1">INDIRECT(ADDRESS(11+(MATCH(RIGHT(Table13[[#This Row],[spawner_sku]],LEN(Table13[[#This Row],[spawner_sku]])-FIND("/",Table13[[#This Row],[spawner_sku]])),Table1[Entity Prefab],0)),10,1,1,"Entities"))</f>
        <v>25</v>
      </c>
      <c r="DM29" s="74">
        <f ca="1">ROUND((Table13[[#This Row],[XP]]*Table13[[#This Row],[entity_spawned (AVG)]])*(Table13[[#This Row],[activating_chance]]/100),0)</f>
        <v>180</v>
      </c>
      <c r="DN29" s="144" t="str">
        <f ca="1">INDIRECT(ADDRESS(11+(MATCH(RIGHT(Table13[[#This Row],[spawner_sku]],LEN(Table13[[#This Row],[spawner_sku]])-FIND("/",Table13[[#This Row],[spawner_sku]])),Table28[Entity Prefab],0)),25,1,1,"Entities"))</f>
        <v>no</v>
      </c>
      <c r="DO29" s="71">
        <v>8</v>
      </c>
      <c r="DP29" s="71">
        <v>10</v>
      </c>
      <c r="DQ29" s="71" t="b">
        <v>1</v>
      </c>
      <c r="DS29" t="s">
        <v>213</v>
      </c>
      <c r="DT29">
        <v>2</v>
      </c>
      <c r="DU29">
        <v>180</v>
      </c>
      <c r="DV29">
        <v>70</v>
      </c>
      <c r="DW29" s="74">
        <f ca="1">INDIRECT(ADDRESS(11+(MATCH(RIGHT(Table14[[#This Row],[spawner_sku]],LEN(Table14[[#This Row],[spawner_sku]])-FIND("/",Table14[[#This Row],[spawner_sku]])),Table1[Entity Prefab],0)),10,1,1,"Entities"))</f>
        <v>55</v>
      </c>
      <c r="DX29" s="74">
        <f ca="1">ROUND((Table14[[#This Row],[XP]]*Table14[[#This Row],[entity_spawned (AVG)]])*(Table14[[#This Row],[activating_chance]]/100),0)</f>
        <v>77</v>
      </c>
      <c r="DY29" s="144" t="str">
        <f ca="1">INDIRECT(ADDRESS(11+(MATCH(RIGHT(Table14[[#This Row],[spawner_sku]],LEN(Table14[[#This Row],[spawner_sku]])-FIND("/",Table14[[#This Row],[spawner_sku]])),Table28[Entity Prefab],0)),25,1,1,"Entities"))</f>
        <v>yes</v>
      </c>
      <c r="DZ29" s="71">
        <v>2</v>
      </c>
      <c r="EA29" s="71">
        <v>2</v>
      </c>
      <c r="EB29" s="71" t="b">
        <v>0</v>
      </c>
      <c r="EC29" s="71"/>
      <c r="ED29" s="147" t="s">
        <v>232</v>
      </c>
      <c r="EE29" s="71">
        <v>10</v>
      </c>
      <c r="EF29" s="71">
        <v>90</v>
      </c>
      <c r="EG29" s="71">
        <v>100</v>
      </c>
      <c r="EH29" s="71">
        <f ca="1">INDIRECT(ADDRESS(11+(MATCH(RIGHT(Table36[[#This Row],[spawner_sku]],LEN(Table36[[#This Row],[spawner_sku]])-FIND("/",Table36[[#This Row],[spawner_sku]])),Table1[Entity Prefab],0)),10,1,1,"Entities"))</f>
        <v>25</v>
      </c>
      <c r="EI29" s="71">
        <f ca="1">ROUND((Table36[[#This Row],[XP]]*Table36[[#This Row],[entity_spawned (AVG)]])*(Table36[[#This Row],[activating_chance]]/100),0)</f>
        <v>250</v>
      </c>
      <c r="EJ29" s="71" t="str">
        <f ca="1">INDIRECT(ADDRESS(11+(MATCH(RIGHT(Table36[[#This Row],[spawner_sku]],LEN(Table36[[#This Row],[spawner_sku]])-FIND("/",Table36[[#This Row],[spawner_sku]])),Table28[Entity Prefab],0)),25,1,1,"Entities"))</f>
        <v>no</v>
      </c>
      <c r="EK29" s="71">
        <v>10</v>
      </c>
      <c r="EL29" s="71">
        <v>10</v>
      </c>
      <c r="EM29" s="71" t="b">
        <v>1</v>
      </c>
      <c r="EO29" t="s">
        <v>213</v>
      </c>
      <c r="EP29">
        <v>6.5</v>
      </c>
      <c r="EQ29">
        <v>120</v>
      </c>
      <c r="ER29">
        <v>100</v>
      </c>
      <c r="ES29" s="74">
        <f ca="1">INDIRECT(ADDRESS(11+(MATCH(RIGHT(Table18[[#This Row],[spawner_sku]],LEN(Table18[[#This Row],[spawner_sku]])-FIND("/",Table18[[#This Row],[spawner_sku]])),Table1[Entity Prefab],0)),10,1,1,"Entities"))</f>
        <v>55</v>
      </c>
      <c r="ET29" s="74">
        <f ca="1">ROUND((Table18[[#This Row],[XP]]*Table18[[#This Row],[entity_spawned (AVG)]])*(Table18[[#This Row],[activating_chance]]/100),0)</f>
        <v>358</v>
      </c>
      <c r="EU29" s="74" t="str">
        <f ca="1">INDIRECT(ADDRESS(11+(MATCH(RIGHT(Table18[[#This Row],[spawner_sku]],LEN(Table18[[#This Row],[spawner_sku]])-FIND("/",Table18[[#This Row],[spawner_sku]])),Table28[Entity Prefab],0)),26,1,1,"Entities"))</f>
        <v>yes</v>
      </c>
      <c r="EV29">
        <v>5</v>
      </c>
      <c r="EW29">
        <v>8</v>
      </c>
      <c r="EX29" t="b">
        <v>1</v>
      </c>
      <c r="EZ29" t="s">
        <v>214</v>
      </c>
      <c r="FA29">
        <v>4</v>
      </c>
      <c r="FB29">
        <v>140</v>
      </c>
      <c r="FC29">
        <v>100</v>
      </c>
      <c r="FD29" s="74">
        <f ca="1">INDIRECT(ADDRESS(11+(MATCH(RIGHT(Table1820[[#This Row],[spawner_sku]],LEN(Table1820[[#This Row],[spawner_sku]])-FIND("/",Table1820[[#This Row],[spawner_sku]])),Table1[Entity Prefab],0)),10,1,1,"Entities"))</f>
        <v>25</v>
      </c>
      <c r="FE29" s="74">
        <f ca="1">ROUND((Table1820[[#This Row],[XP]]*Table1820[[#This Row],[entity_spawned (AVG)]])*(Table1820[[#This Row],[activating_chance]]/100),0)</f>
        <v>100</v>
      </c>
      <c r="FF29" s="74" t="str">
        <f ca="1">INDIRECT(ADDRESS(11+(MATCH(RIGHT(Table1820[[#This Row],[spawner_sku]],LEN(Table1820[[#This Row],[spawner_sku]])-FIND("/",Table1820[[#This Row],[spawner_sku]])),Table28[Entity Prefab],0)),26,1,1,"Entities"))</f>
        <v>no</v>
      </c>
      <c r="FG29">
        <v>4</v>
      </c>
      <c r="FH29">
        <v>4</v>
      </c>
      <c r="FI29" t="b">
        <v>0</v>
      </c>
      <c r="FK29" t="s">
        <v>218</v>
      </c>
      <c r="FL29">
        <v>1</v>
      </c>
      <c r="FM29">
        <v>5000</v>
      </c>
      <c r="FN29">
        <v>80</v>
      </c>
      <c r="FO29">
        <f ca="1">INDIRECT(ADDRESS(11+(MATCH(RIGHT(Table182023[[#This Row],[spawner_sku]],LEN(Table182023[[#This Row],[spawner_sku]])-FIND("/",Table182023[[#This Row],[spawner_sku]])),Table1[Entity Prefab],0)),10,1,1,"Entities"))</f>
        <v>75</v>
      </c>
      <c r="FP29">
        <f ca="1">ROUND((Table182023[[#This Row],[XP]]*Table182023[[#This Row],[entity_spawned (AVG)]])*(Table182023[[#This Row],[activating_chance]]/100),0)</f>
        <v>60</v>
      </c>
      <c r="FQ29" t="str">
        <f ca="1">INDIRECT(ADDRESS(11+(MATCH(RIGHT(Table182023[[#This Row],[spawner_sku]],LEN(Table182023[[#This Row],[spawner_sku]])-FIND("/",Table182023[[#This Row],[spawner_sku]])),Table28[Entity Prefab],0)),26,1,1,"Entities"))</f>
        <v>no</v>
      </c>
      <c r="FR29">
        <v>1</v>
      </c>
      <c r="FS29">
        <v>1</v>
      </c>
      <c r="FT29" t="b">
        <v>0</v>
      </c>
      <c r="FV29" t="s">
        <v>218</v>
      </c>
      <c r="FW29">
        <v>1</v>
      </c>
      <c r="FX29">
        <v>5000</v>
      </c>
      <c r="FY29">
        <v>75</v>
      </c>
      <c r="FZ29" s="74">
        <f ca="1">INDIRECT(ADDRESS(11+(MATCH(RIGHT(Table18202324[[#This Row],[spawner_sku]],LEN(Table18202324[[#This Row],[spawner_sku]])-FIND("/",Table18202324[[#This Row],[spawner_sku]])),Table1[Entity Prefab],0)),10,1,1,"Entities"))</f>
        <v>75</v>
      </c>
      <c r="GA29" s="74">
        <f ca="1">ROUND((Table18202324[[#This Row],[XP]]*Table18202324[[#This Row],[entity_spawned (AVG)]])*(Table18202324[[#This Row],[activating_chance]]/100),0)</f>
        <v>56</v>
      </c>
      <c r="GB29" s="74" t="str">
        <f ca="1">INDIRECT(ADDRESS(11+(MATCH(RIGHT(Table18202324[[#This Row],[spawner_sku]],LEN(Table18202324[[#This Row],[spawner_sku]])-FIND("/",Table18202324[[#This Row],[spawner_sku]])),Table28[Entity Prefab],0)),26,1,1,"Entities"))</f>
        <v>no</v>
      </c>
      <c r="GC29">
        <v>1</v>
      </c>
      <c r="GD29">
        <v>1</v>
      </c>
      <c r="GE29" t="b">
        <v>0</v>
      </c>
      <c r="GG29" t="s">
        <v>570</v>
      </c>
      <c r="GH29">
        <v>2</v>
      </c>
      <c r="GI29">
        <v>120</v>
      </c>
      <c r="GJ29">
        <v>100</v>
      </c>
      <c r="GK29">
        <f ca="1">INDIRECT(ADDRESS(11+(MATCH(RIGHT(Table37[[#This Row],[spawner_sku]],LEN(Table37[[#This Row],[spawner_sku]])-FIND("/",Table37[[#This Row],[spawner_sku]])),Table1[Entity Prefab],0)),10,1,1,"Entities"))</f>
        <v>50</v>
      </c>
      <c r="GL29">
        <f ca="1">ROUND((Table37[[#This Row],[XP]]*Table37[[#This Row],[entity_spawned (AVG)]])*(Table37[[#This Row],[activating_chance]]/100),0)</f>
        <v>100</v>
      </c>
      <c r="GM29" t="str">
        <f ca="1">INDIRECT(ADDRESS(11+(MATCH(RIGHT(Table37[[#This Row],[spawner_sku]],LEN(Table37[[#This Row],[spawner_sku]])-FIND("/",Table37[[#This Row],[spawner_sku]])),Table28[Entity Prefab],0)),26,1,1,"Entities"))</f>
        <v>no</v>
      </c>
      <c r="GN29">
        <v>1</v>
      </c>
      <c r="GO29">
        <v>3</v>
      </c>
      <c r="GP29" t="b">
        <v>0</v>
      </c>
    </row>
    <row r="30" spans="2:198" x14ac:dyDescent="0.25">
      <c r="B30" s="72" t="s">
        <v>215</v>
      </c>
      <c r="C30">
        <v>2</v>
      </c>
      <c r="D30">
        <v>110</v>
      </c>
      <c r="E30">
        <v>100</v>
      </c>
      <c r="F30" s="74">
        <f ca="1">INDIRECT(ADDRESS(11+(MATCH(RIGHT(Table245[[#This Row],[spawner_sku]],LEN(Table245[[#This Row],[spawner_sku]])-FIND("/",Table245[[#This Row],[spawner_sku]])),Table1[Entity Prefab],0)),10,1,1,"Entities"))</f>
        <v>25</v>
      </c>
      <c r="G30" s="74">
        <f ca="1">ROUND((Table245[[#This Row],[XP]]*Table245[[#This Row],[entity_spawned (AVG)]])*(Table245[[#This Row],[activating_chance]]/100),0)</f>
        <v>50</v>
      </c>
      <c r="H30" s="71" t="str">
        <f ca="1">INDIRECT(ADDRESS(11+(MATCH(RIGHT(Table245[[#This Row],[spawner_sku]],LEN(Table245[[#This Row],[spawner_sku]])-FIND("/",Table245[[#This Row],[spawner_sku]])),Table28[Entity Prefab],0)),24,1,1,"Entities"))</f>
        <v>no</v>
      </c>
      <c r="I30" s="71">
        <v>1</v>
      </c>
      <c r="J30" s="71">
        <v>3</v>
      </c>
      <c r="K30" s="71" t="b">
        <v>0</v>
      </c>
      <c r="M30" t="s">
        <v>214</v>
      </c>
      <c r="N30">
        <v>5.5</v>
      </c>
      <c r="O30">
        <v>300</v>
      </c>
      <c r="P30">
        <v>100</v>
      </c>
      <c r="Q30" s="74">
        <f ca="1">INDIRECT(ADDRESS(11+(MATCH(RIGHT(Table3[[#This Row],[spawner_sku]],LEN(Table3[[#This Row],[spawner_sku]])-FIND("/",Table3[[#This Row],[spawner_sku]])),Table1[Entity Prefab],0)),10,1,1,"Entities"))</f>
        <v>25</v>
      </c>
      <c r="R30" s="74">
        <f ca="1">ROUND((Table3[[#This Row],[XP]]*Table3[[#This Row],[entity_spawned (AVG)]])*(Table3[[#This Row],[activating_chance]]/100),0)</f>
        <v>138</v>
      </c>
      <c r="S30" t="str">
        <f ca="1">INDIRECT(ADDRESS(11+(MATCH(RIGHT(Table3[[#This Row],[spawner_sku]],LEN(Table3[[#This Row],[spawner_sku]])-FIND("/",Table3[[#This Row],[spawner_sku]])),Table28[Entity Prefab],0)),24,1,1,"Entities"))</f>
        <v>no</v>
      </c>
      <c r="T30">
        <v>5</v>
      </c>
      <c r="U30">
        <v>6</v>
      </c>
      <c r="V30" t="b">
        <v>1</v>
      </c>
      <c r="W30" s="71"/>
      <c r="X30" t="s">
        <v>214</v>
      </c>
      <c r="Y30">
        <v>6.5</v>
      </c>
      <c r="Z30">
        <v>90</v>
      </c>
      <c r="AA30">
        <v>100</v>
      </c>
      <c r="AB30" s="74">
        <f ca="1">INDIRECT(ADDRESS(11+(MATCH(RIGHT(Table39[[#This Row],[spawner_sku]],LEN(Table39[[#This Row],[spawner_sku]])-FIND("/",Table39[[#This Row],[spawner_sku]])),Table1[Entity Prefab],0)),10,1,1,"Entities"))</f>
        <v>25</v>
      </c>
      <c r="AC30" s="74">
        <f ca="1">ROUND((Table39[[#This Row],[XP]]*Table39[[#This Row],[entity_spawned (AVG)]])*(Table39[[#This Row],[activating_chance]]/100),0)</f>
        <v>163</v>
      </c>
      <c r="AD30" t="str">
        <f ca="1">INDIRECT(ADDRESS(11+(MATCH(RIGHT(Table39[[#This Row],[spawner_sku]],LEN(Table39[[#This Row],[spawner_sku]])-FIND("/",Table39[[#This Row],[spawner_sku]])),Table28[Entity Prefab],0)),24,1,1,"Entities"))</f>
        <v>no</v>
      </c>
      <c r="AE30">
        <v>5</v>
      </c>
      <c r="AF30">
        <v>8</v>
      </c>
      <c r="AG30" t="b">
        <v>1</v>
      </c>
      <c r="AI30" t="s">
        <v>215</v>
      </c>
      <c r="AJ30">
        <v>2.5</v>
      </c>
      <c r="AK30">
        <v>150</v>
      </c>
      <c r="AL30">
        <v>100</v>
      </c>
      <c r="AM30" s="74">
        <f ca="1">INDIRECT(ADDRESS(11+(MATCH(RIGHT(Table2[[#This Row],[spawner_sku]],LEN(Table2[[#This Row],[spawner_sku]])-FIND("/",Table2[[#This Row],[spawner_sku]])),Table1[Entity Prefab],0)),10,1,1,"Entities"))</f>
        <v>25</v>
      </c>
      <c r="AN30" s="74">
        <f ca="1">ROUND((Table2[[#This Row],[XP]]*Table2[[#This Row],[entity_spawned (AVG)]])*(Table2[[#This Row],[activating_chance]]/100),0)</f>
        <v>63</v>
      </c>
      <c r="AO30" s="71" t="str">
        <f ca="1">INDIRECT(ADDRESS(11+(MATCH(RIGHT(Table2[[#This Row],[spawner_sku]],LEN(Table2[[#This Row],[spawner_sku]])-FIND("/",Table2[[#This Row],[spawner_sku]])),Table28[Entity Prefab],0)),24,1,1,"Entities"))</f>
        <v>no</v>
      </c>
      <c r="AP30" s="71">
        <v>2</v>
      </c>
      <c r="AQ30" s="71">
        <v>3</v>
      </c>
      <c r="AR30" s="71" t="b">
        <v>0</v>
      </c>
      <c r="AT30" t="s">
        <v>214</v>
      </c>
      <c r="AU30">
        <v>7.5</v>
      </c>
      <c r="AV30">
        <v>160</v>
      </c>
      <c r="AW30">
        <v>100</v>
      </c>
      <c r="AX30" s="74">
        <f ca="1">INDIRECT(ADDRESS(11+(MATCH(RIGHT(Table6[[#This Row],[spawner_sku]],LEN(Table6[[#This Row],[spawner_sku]])-FIND("/",Table6[[#This Row],[spawner_sku]])),Table1[Entity Prefab],0)),10,1,1,"Entities"))</f>
        <v>25</v>
      </c>
      <c r="AY30" s="74">
        <f ca="1">ROUND((Table6[[#This Row],[XP]]*Table6[[#This Row],[entity_spawned (AVG)]])*(Table6[[#This Row],[activating_chance]]/100),0)</f>
        <v>188</v>
      </c>
      <c r="AZ30" s="144" t="str">
        <f ca="1">INDIRECT(ADDRESS(11+(MATCH(RIGHT(Table6[[#This Row],[spawner_sku]],LEN(Table6[[#This Row],[spawner_sku]])-FIND("/",Table6[[#This Row],[spawner_sku]])),Table28[Entity Prefab],0)),24,1,1,"Entities"))</f>
        <v>no</v>
      </c>
      <c r="BA30">
        <v>5</v>
      </c>
      <c r="BB30">
        <v>10</v>
      </c>
      <c r="BC30" t="b">
        <v>1</v>
      </c>
      <c r="BE30" t="s">
        <v>214</v>
      </c>
      <c r="BF30">
        <v>6.5</v>
      </c>
      <c r="BG30">
        <v>120</v>
      </c>
      <c r="BH30">
        <v>100</v>
      </c>
      <c r="BI30" s="74">
        <f ca="1">INDIRECT(ADDRESS(11+(MATCH(RIGHT(Table610[[#This Row],[spawner_sku]],LEN(Table610[[#This Row],[spawner_sku]])-FIND("/",Table610[[#This Row],[spawner_sku]])),Table1[Entity Prefab],0)),10,1,1,"Entities"))</f>
        <v>25</v>
      </c>
      <c r="BJ30" s="74">
        <f ca="1">ROUND((Table610[[#This Row],[XP]]*Table610[[#This Row],[entity_spawned (AVG)]])*(Table610[[#This Row],[activating_chance]]/100),0)</f>
        <v>163</v>
      </c>
      <c r="BK30" s="71" t="str">
        <f ca="1">INDIRECT(ADDRESS(11+(MATCH(RIGHT(Table610[[#This Row],[spawner_sku]],LEN(Table610[[#This Row],[spawner_sku]])-FIND("/",Table610[[#This Row],[spawner_sku]])),Table28[Entity Prefab],0)),24,1,1,"Entities"))</f>
        <v>no</v>
      </c>
      <c r="BL30">
        <v>5</v>
      </c>
      <c r="BM30">
        <v>8</v>
      </c>
      <c r="BN30" t="b">
        <v>1</v>
      </c>
      <c r="BP30" t="s">
        <v>215</v>
      </c>
      <c r="BQ30">
        <v>3</v>
      </c>
      <c r="BR30">
        <v>130</v>
      </c>
      <c r="BS30">
        <v>80</v>
      </c>
      <c r="BT30" s="74">
        <f ca="1">INDIRECT(ADDRESS(11+(MATCH(RIGHT(Table61011[[#This Row],[spawner_sku]],LEN(Table61011[[#This Row],[spawner_sku]])-FIND("/",Table61011[[#This Row],[spawner_sku]])),Table1[Entity Prefab],0)),10,1,1,"Entities"))</f>
        <v>25</v>
      </c>
      <c r="BU30" s="74">
        <f ca="1">ROUND((Table61011[[#This Row],[XP]]*Table61011[[#This Row],[entity_spawned (AVG)]])*(Table61011[[#This Row],[activating_chance]]/100),0)</f>
        <v>60</v>
      </c>
      <c r="BV30" s="71" t="str">
        <f ca="1">INDIRECT(ADDRESS(11+(MATCH(RIGHT(Table61011[[#This Row],[spawner_sku]],LEN(Table61011[[#This Row],[spawner_sku]])-FIND("/",Table61011[[#This Row],[spawner_sku]])),Table28[Entity Prefab],0)),24,1,1,"Entities"))</f>
        <v>no</v>
      </c>
      <c r="BW30" s="71">
        <v>3</v>
      </c>
      <c r="BX30" s="71">
        <v>3</v>
      </c>
      <c r="BY30" s="71" t="b">
        <v>0</v>
      </c>
      <c r="BZ30" s="71"/>
      <c r="CA30" s="147" t="s">
        <v>376</v>
      </c>
      <c r="CB30">
        <v>5</v>
      </c>
      <c r="CC30">
        <v>120</v>
      </c>
      <c r="CD30">
        <v>100</v>
      </c>
      <c r="CE30" s="74">
        <f ca="1">INDIRECT(ADDRESS(11+(MATCH(RIGHT(Table35[[#This Row],[spawner_sku]],LEN(Table35[[#This Row],[spawner_sku]])-FIND("/",Table35[[#This Row],[spawner_sku]])),Table1[Entity Prefab],0)),10,1,1,"Entities"))</f>
        <v>25</v>
      </c>
      <c r="CF30" s="74">
        <f ca="1">ROUND((Table35[[#This Row],[XP]]*Table35[[#This Row],[entity_spawned (AVG)]])*(Table35[[#This Row],[activating_chance]]/100),0)</f>
        <v>125</v>
      </c>
      <c r="CG30" s="144" t="str">
        <f ca="1">INDIRECT(ADDRESS(11+(MATCH(RIGHT(Table35[[#This Row],[spawner_sku]],LEN(Table35[[#This Row],[spawner_sku]])-FIND("/",Table35[[#This Row],[spawner_sku]])),Table28[Entity Prefab],0)),24,1,1,"Entities"))</f>
        <v>no</v>
      </c>
      <c r="CH30">
        <v>5</v>
      </c>
      <c r="CI30">
        <v>5</v>
      </c>
      <c r="CJ30" s="71" t="b">
        <v>1</v>
      </c>
      <c r="CL30" t="s">
        <v>214</v>
      </c>
      <c r="CM30">
        <v>6</v>
      </c>
      <c r="CN30">
        <v>280</v>
      </c>
      <c r="CO30">
        <v>100</v>
      </c>
      <c r="CP30" s="74">
        <f ca="1">INDIRECT(ADDRESS(11+(MATCH(RIGHT(Table11[[#This Row],[spawner_sku]],LEN(Table11[[#This Row],[spawner_sku]])-FIND("/",Table11[[#This Row],[spawner_sku]])),Table1[Entity Prefab],0)),10,1,1,"Entities"))</f>
        <v>25</v>
      </c>
      <c r="CQ30">
        <f ca="1">ROUND((Table11[[#This Row],[XP]]*Table11[[#This Row],[entity_spawned (AVG)]])*(Table11[[#This Row],[activating_chance]]/100),0)</f>
        <v>150</v>
      </c>
      <c r="CR30" s="144" t="str">
        <f ca="1">INDIRECT(ADDRESS(11+(MATCH(RIGHT(Table11[[#This Row],[spawner_sku]],LEN(Table11[[#This Row],[spawner_sku]])-FIND("/",Table11[[#This Row],[spawner_sku]])),Table28[Entity Prefab],0)),25,1,1,"Entities"))</f>
        <v>no</v>
      </c>
      <c r="CS30" s="71">
        <v>5</v>
      </c>
      <c r="CT30" s="71">
        <v>7</v>
      </c>
      <c r="CU30" s="71" t="b">
        <v>1</v>
      </c>
      <c r="CW30" t="s">
        <v>214</v>
      </c>
      <c r="CX30">
        <v>12</v>
      </c>
      <c r="CY30">
        <v>280</v>
      </c>
      <c r="CZ30">
        <v>100</v>
      </c>
      <c r="DA30" s="74">
        <f ca="1">INDIRECT(ADDRESS(11+(MATCH(RIGHT(Table12[[#This Row],[spawner_sku]],LEN(Table12[[#This Row],[spawner_sku]])-FIND("/",Table12[[#This Row],[spawner_sku]])),Table1[Entity Prefab],0)),10,1,1,"Entities"))</f>
        <v>25</v>
      </c>
      <c r="DB30" s="74">
        <f ca="1">ROUND((Table12[[#This Row],[XP]]*Table12[[#This Row],[entity_spawned (AVG)]])*(Table12[[#This Row],[activating_chance]]/100),0)</f>
        <v>300</v>
      </c>
      <c r="DC30" s="144" t="str">
        <f ca="1">INDIRECT(ADDRESS(11+(MATCH(RIGHT(Table12[[#This Row],[spawner_sku]],LEN(Table12[[#This Row],[spawner_sku]])-FIND("/",Table12[[#This Row],[spawner_sku]])),Table28[Entity Prefab],0)),25,1,1,"Entities"))</f>
        <v>no</v>
      </c>
      <c r="DD30" s="71">
        <v>10</v>
      </c>
      <c r="DE30" s="71">
        <v>14</v>
      </c>
      <c r="DF30" s="71" t="b">
        <v>1</v>
      </c>
      <c r="DH30" t="s">
        <v>214</v>
      </c>
      <c r="DI30">
        <v>9</v>
      </c>
      <c r="DJ30">
        <v>280</v>
      </c>
      <c r="DK30">
        <v>80</v>
      </c>
      <c r="DL30" s="74">
        <f ca="1">INDIRECT(ADDRESS(11+(MATCH(RIGHT(Table13[[#This Row],[spawner_sku]],LEN(Table13[[#This Row],[spawner_sku]])-FIND("/",Table13[[#This Row],[spawner_sku]])),Table1[Entity Prefab],0)),10,1,1,"Entities"))</f>
        <v>25</v>
      </c>
      <c r="DM30" s="74">
        <f ca="1">ROUND((Table13[[#This Row],[XP]]*Table13[[#This Row],[entity_spawned (AVG)]])*(Table13[[#This Row],[activating_chance]]/100),0)</f>
        <v>180</v>
      </c>
      <c r="DN30" s="144" t="str">
        <f ca="1">INDIRECT(ADDRESS(11+(MATCH(RIGHT(Table13[[#This Row],[spawner_sku]],LEN(Table13[[#This Row],[spawner_sku]])-FIND("/",Table13[[#This Row],[spawner_sku]])),Table28[Entity Prefab],0)),25,1,1,"Entities"))</f>
        <v>no</v>
      </c>
      <c r="DO30" s="71">
        <v>8</v>
      </c>
      <c r="DP30" s="71">
        <v>10</v>
      </c>
      <c r="DQ30" s="71" t="b">
        <v>1</v>
      </c>
      <c r="DS30" t="s">
        <v>213</v>
      </c>
      <c r="DT30">
        <v>1</v>
      </c>
      <c r="DU30">
        <v>200</v>
      </c>
      <c r="DV30">
        <v>100</v>
      </c>
      <c r="DW30" s="74">
        <f ca="1">INDIRECT(ADDRESS(11+(MATCH(RIGHT(Table14[[#This Row],[spawner_sku]],LEN(Table14[[#This Row],[spawner_sku]])-FIND("/",Table14[[#This Row],[spawner_sku]])),Table1[Entity Prefab],0)),10,1,1,"Entities"))</f>
        <v>55</v>
      </c>
      <c r="DX30" s="74">
        <f ca="1">ROUND((Table14[[#This Row],[XP]]*Table14[[#This Row],[entity_spawned (AVG)]])*(Table14[[#This Row],[activating_chance]]/100),0)</f>
        <v>55</v>
      </c>
      <c r="DY30" s="144" t="str">
        <f ca="1">INDIRECT(ADDRESS(11+(MATCH(RIGHT(Table14[[#This Row],[spawner_sku]],LEN(Table14[[#This Row],[spawner_sku]])-FIND("/",Table14[[#This Row],[spawner_sku]])),Table28[Entity Prefab],0)),25,1,1,"Entities"))</f>
        <v>yes</v>
      </c>
      <c r="DZ30" s="71">
        <v>1</v>
      </c>
      <c r="EA30" s="71">
        <v>1</v>
      </c>
      <c r="EB30" s="71" t="b">
        <v>0</v>
      </c>
      <c r="EC30" s="71"/>
      <c r="ED30" s="147" t="s">
        <v>232</v>
      </c>
      <c r="EE30" s="71">
        <v>10</v>
      </c>
      <c r="EF30" s="71">
        <v>90</v>
      </c>
      <c r="EG30" s="71">
        <v>100</v>
      </c>
      <c r="EH30" s="71">
        <f ca="1">INDIRECT(ADDRESS(11+(MATCH(RIGHT(Table36[[#This Row],[spawner_sku]],LEN(Table36[[#This Row],[spawner_sku]])-FIND("/",Table36[[#This Row],[spawner_sku]])),Table1[Entity Prefab],0)),10,1,1,"Entities"))</f>
        <v>25</v>
      </c>
      <c r="EI30" s="71">
        <f ca="1">ROUND((Table36[[#This Row],[XP]]*Table36[[#This Row],[entity_spawned (AVG)]])*(Table36[[#This Row],[activating_chance]]/100),0)</f>
        <v>250</v>
      </c>
      <c r="EJ30" s="71" t="str">
        <f ca="1">INDIRECT(ADDRESS(11+(MATCH(RIGHT(Table36[[#This Row],[spawner_sku]],LEN(Table36[[#This Row],[spawner_sku]])-FIND("/",Table36[[#This Row],[spawner_sku]])),Table28[Entity Prefab],0)),25,1,1,"Entities"))</f>
        <v>no</v>
      </c>
      <c r="EK30" s="71">
        <v>10</v>
      </c>
      <c r="EL30" s="71">
        <v>10</v>
      </c>
      <c r="EM30" s="71" t="b">
        <v>1</v>
      </c>
      <c r="EO30" t="s">
        <v>213</v>
      </c>
      <c r="EP30">
        <v>8</v>
      </c>
      <c r="EQ30">
        <v>120</v>
      </c>
      <c r="ER30">
        <v>100</v>
      </c>
      <c r="ES30" s="74">
        <f ca="1">INDIRECT(ADDRESS(11+(MATCH(RIGHT(Table18[[#This Row],[spawner_sku]],LEN(Table18[[#This Row],[spawner_sku]])-FIND("/",Table18[[#This Row],[spawner_sku]])),Table1[Entity Prefab],0)),10,1,1,"Entities"))</f>
        <v>55</v>
      </c>
      <c r="ET30" s="74">
        <f ca="1">ROUND((Table18[[#This Row],[XP]]*Table18[[#This Row],[entity_spawned (AVG)]])*(Table18[[#This Row],[activating_chance]]/100),0)</f>
        <v>440</v>
      </c>
      <c r="EU30" s="74" t="str">
        <f ca="1">INDIRECT(ADDRESS(11+(MATCH(RIGHT(Table18[[#This Row],[spawner_sku]],LEN(Table18[[#This Row],[spawner_sku]])-FIND("/",Table18[[#This Row],[spawner_sku]])),Table28[Entity Prefab],0)),26,1,1,"Entities"))</f>
        <v>yes</v>
      </c>
      <c r="EV30">
        <v>6</v>
      </c>
      <c r="EW30">
        <v>10</v>
      </c>
      <c r="EX30" t="b">
        <v>1</v>
      </c>
      <c r="EZ30" t="s">
        <v>214</v>
      </c>
      <c r="FA30">
        <v>2</v>
      </c>
      <c r="FB30">
        <v>140</v>
      </c>
      <c r="FC30">
        <v>100</v>
      </c>
      <c r="FD30" s="74">
        <f ca="1">INDIRECT(ADDRESS(11+(MATCH(RIGHT(Table1820[[#This Row],[spawner_sku]],LEN(Table1820[[#This Row],[spawner_sku]])-FIND("/",Table1820[[#This Row],[spawner_sku]])),Table1[Entity Prefab],0)),10,1,1,"Entities"))</f>
        <v>25</v>
      </c>
      <c r="FE30" s="74">
        <f ca="1">ROUND((Table1820[[#This Row],[XP]]*Table1820[[#This Row],[entity_spawned (AVG)]])*(Table1820[[#This Row],[activating_chance]]/100),0)</f>
        <v>50</v>
      </c>
      <c r="FF30" s="74" t="str">
        <f ca="1">INDIRECT(ADDRESS(11+(MATCH(RIGHT(Table1820[[#This Row],[spawner_sku]],LEN(Table1820[[#This Row],[spawner_sku]])-FIND("/",Table1820[[#This Row],[spawner_sku]])),Table28[Entity Prefab],0)),26,1,1,"Entities"))</f>
        <v>no</v>
      </c>
      <c r="FG30">
        <v>1</v>
      </c>
      <c r="FH30">
        <v>3</v>
      </c>
      <c r="FI30" t="b">
        <v>0</v>
      </c>
      <c r="FK30" t="s">
        <v>218</v>
      </c>
      <c r="FL30">
        <v>1</v>
      </c>
      <c r="FM30">
        <v>5000</v>
      </c>
      <c r="FN30">
        <v>75</v>
      </c>
      <c r="FO30">
        <f ca="1">INDIRECT(ADDRESS(11+(MATCH(RIGHT(Table182023[[#This Row],[spawner_sku]],LEN(Table182023[[#This Row],[spawner_sku]])-FIND("/",Table182023[[#This Row],[spawner_sku]])),Table1[Entity Prefab],0)),10,1,1,"Entities"))</f>
        <v>75</v>
      </c>
      <c r="FP30">
        <f ca="1">ROUND((Table182023[[#This Row],[XP]]*Table182023[[#This Row],[entity_spawned (AVG)]])*(Table182023[[#This Row],[activating_chance]]/100),0)</f>
        <v>56</v>
      </c>
      <c r="FQ30" t="str">
        <f ca="1">INDIRECT(ADDRESS(11+(MATCH(RIGHT(Table182023[[#This Row],[spawner_sku]],LEN(Table182023[[#This Row],[spawner_sku]])-FIND("/",Table182023[[#This Row],[spawner_sku]])),Table28[Entity Prefab],0)),26,1,1,"Entities"))</f>
        <v>no</v>
      </c>
      <c r="FR30">
        <v>1</v>
      </c>
      <c r="FS30">
        <v>1</v>
      </c>
      <c r="FT30" t="b">
        <v>0</v>
      </c>
      <c r="FV30" t="s">
        <v>218</v>
      </c>
      <c r="FW30">
        <v>1</v>
      </c>
      <c r="FX30">
        <v>5000</v>
      </c>
      <c r="FY30">
        <v>75</v>
      </c>
      <c r="FZ30" s="74">
        <f ca="1">INDIRECT(ADDRESS(11+(MATCH(RIGHT(Table18202324[[#This Row],[spawner_sku]],LEN(Table18202324[[#This Row],[spawner_sku]])-FIND("/",Table18202324[[#This Row],[spawner_sku]])),Table1[Entity Prefab],0)),10,1,1,"Entities"))</f>
        <v>75</v>
      </c>
      <c r="GA30" s="74">
        <f ca="1">ROUND((Table18202324[[#This Row],[XP]]*Table18202324[[#This Row],[entity_spawned (AVG)]])*(Table18202324[[#This Row],[activating_chance]]/100),0)</f>
        <v>56</v>
      </c>
      <c r="GB30" s="74" t="str">
        <f ca="1">INDIRECT(ADDRESS(11+(MATCH(RIGHT(Table18202324[[#This Row],[spawner_sku]],LEN(Table18202324[[#This Row],[spawner_sku]])-FIND("/",Table18202324[[#This Row],[spawner_sku]])),Table28[Entity Prefab],0)),26,1,1,"Entities"))</f>
        <v>no</v>
      </c>
      <c r="GC30">
        <v>1</v>
      </c>
      <c r="GD30">
        <v>1</v>
      </c>
      <c r="GE30" t="b">
        <v>0</v>
      </c>
      <c r="GG30" t="s">
        <v>570</v>
      </c>
      <c r="GH30">
        <v>2.5</v>
      </c>
      <c r="GI30">
        <v>120</v>
      </c>
      <c r="GJ30">
        <v>100</v>
      </c>
      <c r="GK30">
        <f ca="1">INDIRECT(ADDRESS(11+(MATCH(RIGHT(Table37[[#This Row],[spawner_sku]],LEN(Table37[[#This Row],[spawner_sku]])-FIND("/",Table37[[#This Row],[spawner_sku]])),Table1[Entity Prefab],0)),10,1,1,"Entities"))</f>
        <v>50</v>
      </c>
      <c r="GL30">
        <f ca="1">ROUND((Table37[[#This Row],[XP]]*Table37[[#This Row],[entity_spawned (AVG)]])*(Table37[[#This Row],[activating_chance]]/100),0)</f>
        <v>125</v>
      </c>
      <c r="GM30" t="str">
        <f ca="1">INDIRECT(ADDRESS(11+(MATCH(RIGHT(Table37[[#This Row],[spawner_sku]],LEN(Table37[[#This Row],[spawner_sku]])-FIND("/",Table37[[#This Row],[spawner_sku]])),Table28[Entity Prefab],0)),26,1,1,"Entities"))</f>
        <v>no</v>
      </c>
      <c r="GN30">
        <v>1</v>
      </c>
      <c r="GO30">
        <v>4</v>
      </c>
      <c r="GP30" t="b">
        <v>0</v>
      </c>
    </row>
    <row r="31" spans="2:198" x14ac:dyDescent="0.25">
      <c r="B31" s="72" t="s">
        <v>215</v>
      </c>
      <c r="C31">
        <v>1</v>
      </c>
      <c r="D31">
        <v>80</v>
      </c>
      <c r="E31">
        <v>100</v>
      </c>
      <c r="F31" s="74">
        <f ca="1">INDIRECT(ADDRESS(11+(MATCH(RIGHT(Table245[[#This Row],[spawner_sku]],LEN(Table245[[#This Row],[spawner_sku]])-FIND("/",Table245[[#This Row],[spawner_sku]])),Table1[Entity Prefab],0)),10,1,1,"Entities"))</f>
        <v>25</v>
      </c>
      <c r="G31" s="74">
        <f ca="1">ROUND((Table245[[#This Row],[XP]]*Table245[[#This Row],[entity_spawned (AVG)]])*(Table245[[#This Row],[activating_chance]]/100),0)</f>
        <v>25</v>
      </c>
      <c r="H31" s="71" t="str">
        <f ca="1">INDIRECT(ADDRESS(11+(MATCH(RIGHT(Table245[[#This Row],[spawner_sku]],LEN(Table245[[#This Row],[spawner_sku]])-FIND("/",Table245[[#This Row],[spawner_sku]])),Table28[Entity Prefab],0)),24,1,1,"Entities"))</f>
        <v>no</v>
      </c>
      <c r="I31" s="71">
        <v>1</v>
      </c>
      <c r="J31" s="71">
        <v>1</v>
      </c>
      <c r="K31" s="71" t="b">
        <v>0</v>
      </c>
      <c r="M31" t="s">
        <v>214</v>
      </c>
      <c r="N31">
        <v>11.5</v>
      </c>
      <c r="O31">
        <v>300</v>
      </c>
      <c r="P31">
        <v>100</v>
      </c>
      <c r="Q31" s="74">
        <f ca="1">INDIRECT(ADDRESS(11+(MATCH(RIGHT(Table3[[#This Row],[spawner_sku]],LEN(Table3[[#This Row],[spawner_sku]])-FIND("/",Table3[[#This Row],[spawner_sku]])),Table1[Entity Prefab],0)),10,1,1,"Entities"))</f>
        <v>25</v>
      </c>
      <c r="R31" s="74">
        <f ca="1">ROUND((Table3[[#This Row],[XP]]*Table3[[#This Row],[entity_spawned (AVG)]])*(Table3[[#This Row],[activating_chance]]/100),0)</f>
        <v>288</v>
      </c>
      <c r="S31" t="str">
        <f ca="1">INDIRECT(ADDRESS(11+(MATCH(RIGHT(Table3[[#This Row],[spawner_sku]],LEN(Table3[[#This Row],[spawner_sku]])-FIND("/",Table3[[#This Row],[spawner_sku]])),Table28[Entity Prefab],0)),24,1,1,"Entities"))</f>
        <v>no</v>
      </c>
      <c r="T31">
        <v>8</v>
      </c>
      <c r="U31">
        <v>15</v>
      </c>
      <c r="V31" t="b">
        <v>1</v>
      </c>
      <c r="W31" s="71"/>
      <c r="X31" t="s">
        <v>376</v>
      </c>
      <c r="Y31">
        <v>6.5</v>
      </c>
      <c r="Z31">
        <v>180</v>
      </c>
      <c r="AA31">
        <v>100</v>
      </c>
      <c r="AB31" s="74">
        <f ca="1">INDIRECT(ADDRESS(11+(MATCH(RIGHT(Table39[[#This Row],[spawner_sku]],LEN(Table39[[#This Row],[spawner_sku]])-FIND("/",Table39[[#This Row],[spawner_sku]])),Table1[Entity Prefab],0)),10,1,1,"Entities"))</f>
        <v>25</v>
      </c>
      <c r="AC31" s="74">
        <f ca="1">ROUND((Table39[[#This Row],[XP]]*Table39[[#This Row],[entity_spawned (AVG)]])*(Table39[[#This Row],[activating_chance]]/100),0)</f>
        <v>163</v>
      </c>
      <c r="AD31" t="str">
        <f ca="1">INDIRECT(ADDRESS(11+(MATCH(RIGHT(Table39[[#This Row],[spawner_sku]],LEN(Table39[[#This Row],[spawner_sku]])-FIND("/",Table39[[#This Row],[spawner_sku]])),Table28[Entity Prefab],0)),24,1,1,"Entities"))</f>
        <v>no</v>
      </c>
      <c r="AE31">
        <v>5</v>
      </c>
      <c r="AF31">
        <v>8</v>
      </c>
      <c r="AG31" t="b">
        <v>1</v>
      </c>
      <c r="AI31" t="s">
        <v>215</v>
      </c>
      <c r="AJ31">
        <v>2.5</v>
      </c>
      <c r="AK31">
        <v>110</v>
      </c>
      <c r="AL31">
        <v>80</v>
      </c>
      <c r="AM31" s="74">
        <f ca="1">INDIRECT(ADDRESS(11+(MATCH(RIGHT(Table2[[#This Row],[spawner_sku]],LEN(Table2[[#This Row],[spawner_sku]])-FIND("/",Table2[[#This Row],[spawner_sku]])),Table1[Entity Prefab],0)),10,1,1,"Entities"))</f>
        <v>25</v>
      </c>
      <c r="AN31" s="74">
        <f ca="1">ROUND((Table2[[#This Row],[XP]]*Table2[[#This Row],[entity_spawned (AVG)]])*(Table2[[#This Row],[activating_chance]]/100),0)</f>
        <v>50</v>
      </c>
      <c r="AO31" s="71" t="str">
        <f ca="1">INDIRECT(ADDRESS(11+(MATCH(RIGHT(Table2[[#This Row],[spawner_sku]],LEN(Table2[[#This Row],[spawner_sku]])-FIND("/",Table2[[#This Row],[spawner_sku]])),Table28[Entity Prefab],0)),24,1,1,"Entities"))</f>
        <v>no</v>
      </c>
      <c r="AP31" s="71">
        <v>2</v>
      </c>
      <c r="AQ31" s="71">
        <v>3</v>
      </c>
      <c r="AR31" s="71" t="b">
        <v>0</v>
      </c>
      <c r="AT31" t="s">
        <v>214</v>
      </c>
      <c r="AU31">
        <v>7.5</v>
      </c>
      <c r="AV31">
        <v>150</v>
      </c>
      <c r="AW31">
        <v>100</v>
      </c>
      <c r="AX31" s="74">
        <f ca="1">INDIRECT(ADDRESS(11+(MATCH(RIGHT(Table6[[#This Row],[spawner_sku]],LEN(Table6[[#This Row],[spawner_sku]])-FIND("/",Table6[[#This Row],[spawner_sku]])),Table1[Entity Prefab],0)),10,1,1,"Entities"))</f>
        <v>25</v>
      </c>
      <c r="AY31" s="74">
        <f ca="1">ROUND((Table6[[#This Row],[XP]]*Table6[[#This Row],[entity_spawned (AVG)]])*(Table6[[#This Row],[activating_chance]]/100),0)</f>
        <v>188</v>
      </c>
      <c r="AZ31" s="144" t="str">
        <f ca="1">INDIRECT(ADDRESS(11+(MATCH(RIGHT(Table6[[#This Row],[spawner_sku]],LEN(Table6[[#This Row],[spawner_sku]])-FIND("/",Table6[[#This Row],[spawner_sku]])),Table28[Entity Prefab],0)),24,1,1,"Entities"))</f>
        <v>no</v>
      </c>
      <c r="BA31">
        <v>5</v>
      </c>
      <c r="BB31">
        <v>10</v>
      </c>
      <c r="BC31" t="b">
        <v>1</v>
      </c>
      <c r="BE31" t="s">
        <v>214</v>
      </c>
      <c r="BF31">
        <v>6.5</v>
      </c>
      <c r="BG31">
        <v>120</v>
      </c>
      <c r="BH31">
        <v>100</v>
      </c>
      <c r="BI31" s="74">
        <f ca="1">INDIRECT(ADDRESS(11+(MATCH(RIGHT(Table610[[#This Row],[spawner_sku]],LEN(Table610[[#This Row],[spawner_sku]])-FIND("/",Table610[[#This Row],[spawner_sku]])),Table1[Entity Prefab],0)),10,1,1,"Entities"))</f>
        <v>25</v>
      </c>
      <c r="BJ31" s="74">
        <f ca="1">ROUND((Table610[[#This Row],[XP]]*Table610[[#This Row],[entity_spawned (AVG)]])*(Table610[[#This Row],[activating_chance]]/100),0)</f>
        <v>163</v>
      </c>
      <c r="BK31" s="71" t="str">
        <f ca="1">INDIRECT(ADDRESS(11+(MATCH(RIGHT(Table610[[#This Row],[spawner_sku]],LEN(Table610[[#This Row],[spawner_sku]])-FIND("/",Table610[[#This Row],[spawner_sku]])),Table28[Entity Prefab],0)),24,1,1,"Entities"))</f>
        <v>no</v>
      </c>
      <c r="BL31">
        <v>5</v>
      </c>
      <c r="BM31">
        <v>8</v>
      </c>
      <c r="BN31" t="b">
        <v>1</v>
      </c>
      <c r="BP31" t="s">
        <v>215</v>
      </c>
      <c r="BQ31">
        <v>5</v>
      </c>
      <c r="BR31">
        <v>220</v>
      </c>
      <c r="BS31">
        <v>100</v>
      </c>
      <c r="BT31" s="74">
        <f ca="1">INDIRECT(ADDRESS(11+(MATCH(RIGHT(Table61011[[#This Row],[spawner_sku]],LEN(Table61011[[#This Row],[spawner_sku]])-FIND("/",Table61011[[#This Row],[spawner_sku]])),Table1[Entity Prefab],0)),10,1,1,"Entities"))</f>
        <v>25</v>
      </c>
      <c r="BU31" s="74">
        <f ca="1">ROUND((Table61011[[#This Row],[XP]]*Table61011[[#This Row],[entity_spawned (AVG)]])*(Table61011[[#This Row],[activating_chance]]/100),0)</f>
        <v>125</v>
      </c>
      <c r="BV31" s="71" t="str">
        <f ca="1">INDIRECT(ADDRESS(11+(MATCH(RIGHT(Table61011[[#This Row],[spawner_sku]],LEN(Table61011[[#This Row],[spawner_sku]])-FIND("/",Table61011[[#This Row],[spawner_sku]])),Table28[Entity Prefab],0)),24,1,1,"Entities"))</f>
        <v>no</v>
      </c>
      <c r="BW31" s="71">
        <v>5</v>
      </c>
      <c r="BX31" s="71">
        <v>5</v>
      </c>
      <c r="BY31" s="71" t="b">
        <v>1</v>
      </c>
      <c r="BZ31" s="71"/>
      <c r="CA31" s="147" t="s">
        <v>230</v>
      </c>
      <c r="CB31">
        <v>1</v>
      </c>
      <c r="CC31">
        <v>200</v>
      </c>
      <c r="CD31">
        <v>100</v>
      </c>
      <c r="CE31" s="74">
        <f ca="1">INDIRECT(ADDRESS(11+(MATCH(RIGHT(Table35[[#This Row],[spawner_sku]],LEN(Table35[[#This Row],[spawner_sku]])-FIND("/",Table35[[#This Row],[spawner_sku]])),Table1[Entity Prefab],0)),10,1,1,"Entities"))</f>
        <v>28</v>
      </c>
      <c r="CF31" s="74">
        <f ca="1">ROUND((Table35[[#This Row],[XP]]*Table35[[#This Row],[entity_spawned (AVG)]])*(Table35[[#This Row],[activating_chance]]/100),0)</f>
        <v>28</v>
      </c>
      <c r="CG31" s="144" t="str">
        <f ca="1">INDIRECT(ADDRESS(11+(MATCH(RIGHT(Table35[[#This Row],[spawner_sku]],LEN(Table35[[#This Row],[spawner_sku]])-FIND("/",Table35[[#This Row],[spawner_sku]])),Table28[Entity Prefab],0)),24,1,1,"Entities"))</f>
        <v>no</v>
      </c>
      <c r="CH31">
        <v>1</v>
      </c>
      <c r="CI31">
        <v>1</v>
      </c>
      <c r="CJ31" s="71" t="b">
        <v>0</v>
      </c>
      <c r="CL31" t="s">
        <v>214</v>
      </c>
      <c r="CM31">
        <v>9</v>
      </c>
      <c r="CN31">
        <v>280</v>
      </c>
      <c r="CO31">
        <v>100</v>
      </c>
      <c r="CP31" s="74">
        <f ca="1">INDIRECT(ADDRESS(11+(MATCH(RIGHT(Table11[[#This Row],[spawner_sku]],LEN(Table11[[#This Row],[spawner_sku]])-FIND("/",Table11[[#This Row],[spawner_sku]])),Table1[Entity Prefab],0)),10,1,1,"Entities"))</f>
        <v>25</v>
      </c>
      <c r="CQ31">
        <f ca="1">ROUND((Table11[[#This Row],[XP]]*Table11[[#This Row],[entity_spawned (AVG)]])*(Table11[[#This Row],[activating_chance]]/100),0)</f>
        <v>225</v>
      </c>
      <c r="CR31" s="144" t="str">
        <f ca="1">INDIRECT(ADDRESS(11+(MATCH(RIGHT(Table11[[#This Row],[spawner_sku]],LEN(Table11[[#This Row],[spawner_sku]])-FIND("/",Table11[[#This Row],[spawner_sku]])),Table28[Entity Prefab],0)),25,1,1,"Entities"))</f>
        <v>no</v>
      </c>
      <c r="CS31" s="71">
        <v>8</v>
      </c>
      <c r="CT31" s="71">
        <v>10</v>
      </c>
      <c r="CU31" s="71" t="b">
        <v>1</v>
      </c>
      <c r="CW31" t="s">
        <v>214</v>
      </c>
      <c r="CX31">
        <v>9</v>
      </c>
      <c r="CY31">
        <v>280</v>
      </c>
      <c r="CZ31">
        <v>100</v>
      </c>
      <c r="DA31" s="74">
        <f ca="1">INDIRECT(ADDRESS(11+(MATCH(RIGHT(Table12[[#This Row],[spawner_sku]],LEN(Table12[[#This Row],[spawner_sku]])-FIND("/",Table12[[#This Row],[spawner_sku]])),Table1[Entity Prefab],0)),10,1,1,"Entities"))</f>
        <v>25</v>
      </c>
      <c r="DB31" s="74">
        <f ca="1">ROUND((Table12[[#This Row],[XP]]*Table12[[#This Row],[entity_spawned (AVG)]])*(Table12[[#This Row],[activating_chance]]/100),0)</f>
        <v>225</v>
      </c>
      <c r="DC31" s="144" t="str">
        <f ca="1">INDIRECT(ADDRESS(11+(MATCH(RIGHT(Table12[[#This Row],[spawner_sku]],LEN(Table12[[#This Row],[spawner_sku]])-FIND("/",Table12[[#This Row],[spawner_sku]])),Table28[Entity Prefab],0)),25,1,1,"Entities"))</f>
        <v>no</v>
      </c>
      <c r="DD31" s="71">
        <v>8</v>
      </c>
      <c r="DE31" s="71">
        <v>10</v>
      </c>
      <c r="DF31" s="71" t="b">
        <v>1</v>
      </c>
      <c r="DH31" t="s">
        <v>214</v>
      </c>
      <c r="DI31">
        <v>10</v>
      </c>
      <c r="DJ31">
        <v>280</v>
      </c>
      <c r="DK31">
        <v>80</v>
      </c>
      <c r="DL31" s="74">
        <f ca="1">INDIRECT(ADDRESS(11+(MATCH(RIGHT(Table13[[#This Row],[spawner_sku]],LEN(Table13[[#This Row],[spawner_sku]])-FIND("/",Table13[[#This Row],[spawner_sku]])),Table1[Entity Prefab],0)),10,1,1,"Entities"))</f>
        <v>25</v>
      </c>
      <c r="DM31" s="74">
        <f ca="1">ROUND((Table13[[#This Row],[XP]]*Table13[[#This Row],[entity_spawned (AVG)]])*(Table13[[#This Row],[activating_chance]]/100),0)</f>
        <v>200</v>
      </c>
      <c r="DN31" s="144" t="str">
        <f ca="1">INDIRECT(ADDRESS(11+(MATCH(RIGHT(Table13[[#This Row],[spawner_sku]],LEN(Table13[[#This Row],[spawner_sku]])-FIND("/",Table13[[#This Row],[spawner_sku]])),Table28[Entity Prefab],0)),25,1,1,"Entities"))</f>
        <v>no</v>
      </c>
      <c r="DO31" s="71">
        <v>8</v>
      </c>
      <c r="DP31" s="71">
        <v>12</v>
      </c>
      <c r="DQ31" s="71" t="b">
        <v>1</v>
      </c>
      <c r="DS31" t="s">
        <v>213</v>
      </c>
      <c r="DT31">
        <v>2</v>
      </c>
      <c r="DU31">
        <v>220</v>
      </c>
      <c r="DV31">
        <v>70</v>
      </c>
      <c r="DW31" s="74">
        <f ca="1">INDIRECT(ADDRESS(11+(MATCH(RIGHT(Table14[[#This Row],[spawner_sku]],LEN(Table14[[#This Row],[spawner_sku]])-FIND("/",Table14[[#This Row],[spawner_sku]])),Table1[Entity Prefab],0)),10,1,1,"Entities"))</f>
        <v>55</v>
      </c>
      <c r="DX31" s="74">
        <f ca="1">ROUND((Table14[[#This Row],[XP]]*Table14[[#This Row],[entity_spawned (AVG)]])*(Table14[[#This Row],[activating_chance]]/100),0)</f>
        <v>77</v>
      </c>
      <c r="DY31" s="144" t="str">
        <f ca="1">INDIRECT(ADDRESS(11+(MATCH(RIGHT(Table14[[#This Row],[spawner_sku]],LEN(Table14[[#This Row],[spawner_sku]])-FIND("/",Table14[[#This Row],[spawner_sku]])),Table28[Entity Prefab],0)),25,1,1,"Entities"))</f>
        <v>yes</v>
      </c>
      <c r="DZ31" s="71">
        <v>2</v>
      </c>
      <c r="EA31" s="71">
        <v>2</v>
      </c>
      <c r="EB31" s="71" t="b">
        <v>0</v>
      </c>
      <c r="EC31" s="71"/>
      <c r="ED31" s="147" t="s">
        <v>232</v>
      </c>
      <c r="EE31" s="71">
        <v>8</v>
      </c>
      <c r="EF31" s="71">
        <v>90</v>
      </c>
      <c r="EG31" s="71">
        <v>100</v>
      </c>
      <c r="EH31" s="71">
        <f ca="1">INDIRECT(ADDRESS(11+(MATCH(RIGHT(Table36[[#This Row],[spawner_sku]],LEN(Table36[[#This Row],[spawner_sku]])-FIND("/",Table36[[#This Row],[spawner_sku]])),Table1[Entity Prefab],0)),10,1,1,"Entities"))</f>
        <v>25</v>
      </c>
      <c r="EI31" s="71">
        <f ca="1">ROUND((Table36[[#This Row],[XP]]*Table36[[#This Row],[entity_spawned (AVG)]])*(Table36[[#This Row],[activating_chance]]/100),0)</f>
        <v>200</v>
      </c>
      <c r="EJ31" s="71" t="str">
        <f ca="1">INDIRECT(ADDRESS(11+(MATCH(RIGHT(Table36[[#This Row],[spawner_sku]],LEN(Table36[[#This Row],[spawner_sku]])-FIND("/",Table36[[#This Row],[spawner_sku]])),Table28[Entity Prefab],0)),25,1,1,"Entities"))</f>
        <v>no</v>
      </c>
      <c r="EK31" s="71">
        <v>6</v>
      </c>
      <c r="EL31" s="71">
        <v>10</v>
      </c>
      <c r="EM31" s="71" t="b">
        <v>1</v>
      </c>
      <c r="EO31" t="s">
        <v>213</v>
      </c>
      <c r="EP31">
        <v>3</v>
      </c>
      <c r="EQ31">
        <v>130</v>
      </c>
      <c r="ER31">
        <v>100</v>
      </c>
      <c r="ES31" s="74">
        <f ca="1">INDIRECT(ADDRESS(11+(MATCH(RIGHT(Table18[[#This Row],[spawner_sku]],LEN(Table18[[#This Row],[spawner_sku]])-FIND("/",Table18[[#This Row],[spawner_sku]])),Table1[Entity Prefab],0)),10,1,1,"Entities"))</f>
        <v>55</v>
      </c>
      <c r="ET31" s="74">
        <f ca="1">ROUND((Table18[[#This Row],[XP]]*Table18[[#This Row],[entity_spawned (AVG)]])*(Table18[[#This Row],[activating_chance]]/100),0)</f>
        <v>165</v>
      </c>
      <c r="EU31" s="74" t="str">
        <f ca="1">INDIRECT(ADDRESS(11+(MATCH(RIGHT(Table18[[#This Row],[spawner_sku]],LEN(Table18[[#This Row],[spawner_sku]])-FIND("/",Table18[[#This Row],[spawner_sku]])),Table28[Entity Prefab],0)),26,1,1,"Entities"))</f>
        <v>yes</v>
      </c>
      <c r="EV31">
        <v>2</v>
      </c>
      <c r="EW31">
        <v>4</v>
      </c>
      <c r="EX31" t="b">
        <v>0</v>
      </c>
      <c r="EZ31" t="s">
        <v>214</v>
      </c>
      <c r="FA31">
        <v>1.5</v>
      </c>
      <c r="FB31">
        <v>140</v>
      </c>
      <c r="FC31">
        <v>100</v>
      </c>
      <c r="FD31" s="74">
        <f ca="1">INDIRECT(ADDRESS(11+(MATCH(RIGHT(Table1820[[#This Row],[spawner_sku]],LEN(Table1820[[#This Row],[spawner_sku]])-FIND("/",Table1820[[#This Row],[spawner_sku]])),Table1[Entity Prefab],0)),10,1,1,"Entities"))</f>
        <v>25</v>
      </c>
      <c r="FE31" s="74">
        <f ca="1">ROUND((Table1820[[#This Row],[XP]]*Table1820[[#This Row],[entity_spawned (AVG)]])*(Table1820[[#This Row],[activating_chance]]/100),0)</f>
        <v>38</v>
      </c>
      <c r="FF31" s="74" t="str">
        <f ca="1">INDIRECT(ADDRESS(11+(MATCH(RIGHT(Table1820[[#This Row],[spawner_sku]],LEN(Table1820[[#This Row],[spawner_sku]])-FIND("/",Table1820[[#This Row],[spawner_sku]])),Table28[Entity Prefab],0)),26,1,1,"Entities"))</f>
        <v>no</v>
      </c>
      <c r="FG31">
        <v>1</v>
      </c>
      <c r="FH31">
        <v>2</v>
      </c>
      <c r="FI31" t="b">
        <v>0</v>
      </c>
      <c r="FK31" t="s">
        <v>493</v>
      </c>
      <c r="FL31">
        <v>2.5</v>
      </c>
      <c r="FM31">
        <v>110</v>
      </c>
      <c r="FN31">
        <v>30</v>
      </c>
      <c r="FO31">
        <f ca="1">INDIRECT(ADDRESS(11+(MATCH(RIGHT(Table182023[[#This Row],[spawner_sku]],LEN(Table182023[[#This Row],[spawner_sku]])-FIND("/",Table182023[[#This Row],[spawner_sku]])),Table1[Entity Prefab],0)),10,1,1,"Entities"))</f>
        <v>35</v>
      </c>
      <c r="FP31">
        <f ca="1">ROUND((Table182023[[#This Row],[XP]]*Table182023[[#This Row],[entity_spawned (AVG)]])*(Table182023[[#This Row],[activating_chance]]/100),0)</f>
        <v>26</v>
      </c>
      <c r="FQ31" t="str">
        <f ca="1">INDIRECT(ADDRESS(11+(MATCH(RIGHT(Table182023[[#This Row],[spawner_sku]],LEN(Table182023[[#This Row],[spawner_sku]])-FIND("/",Table182023[[#This Row],[spawner_sku]])),Table28[Entity Prefab],0)),26,1,1,"Entities"))</f>
        <v>no</v>
      </c>
      <c r="FR31">
        <v>2</v>
      </c>
      <c r="FS31">
        <v>3</v>
      </c>
      <c r="FT31" t="b">
        <v>0</v>
      </c>
      <c r="FV31" t="s">
        <v>490</v>
      </c>
      <c r="FW31">
        <v>2</v>
      </c>
      <c r="FX31">
        <v>80</v>
      </c>
      <c r="FY31">
        <v>100</v>
      </c>
      <c r="FZ31" s="74">
        <f ca="1">INDIRECT(ADDRESS(11+(MATCH(RIGHT(Table18202324[[#This Row],[spawner_sku]],LEN(Table18202324[[#This Row],[spawner_sku]])-FIND("/",Table18202324[[#This Row],[spawner_sku]])),Table1[Entity Prefab],0)),10,1,1,"Entities"))</f>
        <v>95</v>
      </c>
      <c r="GA31" s="74">
        <f ca="1">ROUND((Table18202324[[#This Row],[XP]]*Table18202324[[#This Row],[entity_spawned (AVG)]])*(Table18202324[[#This Row],[activating_chance]]/100),0)</f>
        <v>190</v>
      </c>
      <c r="GB31" s="74" t="str">
        <f ca="1">INDIRECT(ADDRESS(11+(MATCH(RIGHT(Table18202324[[#This Row],[spawner_sku]],LEN(Table18202324[[#This Row],[spawner_sku]])-FIND("/",Table18202324[[#This Row],[spawner_sku]])),Table28[Entity Prefab],0)),26,1,1,"Entities"))</f>
        <v>yes</v>
      </c>
      <c r="GC31">
        <v>1</v>
      </c>
      <c r="GD31">
        <v>3</v>
      </c>
      <c r="GE31" t="b">
        <v>0</v>
      </c>
      <c r="GG31" t="s">
        <v>570</v>
      </c>
      <c r="GH31">
        <v>2.5</v>
      </c>
      <c r="GI31">
        <v>120</v>
      </c>
      <c r="GJ31">
        <v>100</v>
      </c>
      <c r="GK31">
        <f ca="1">INDIRECT(ADDRESS(11+(MATCH(RIGHT(Table37[[#This Row],[spawner_sku]],LEN(Table37[[#This Row],[spawner_sku]])-FIND("/",Table37[[#This Row],[spawner_sku]])),Table1[Entity Prefab],0)),10,1,1,"Entities"))</f>
        <v>50</v>
      </c>
      <c r="GL31">
        <f ca="1">ROUND((Table37[[#This Row],[XP]]*Table37[[#This Row],[entity_spawned (AVG)]])*(Table37[[#This Row],[activating_chance]]/100),0)</f>
        <v>125</v>
      </c>
      <c r="GM31" t="str">
        <f ca="1">INDIRECT(ADDRESS(11+(MATCH(RIGHT(Table37[[#This Row],[spawner_sku]],LEN(Table37[[#This Row],[spawner_sku]])-FIND("/",Table37[[#This Row],[spawner_sku]])),Table28[Entity Prefab],0)),26,1,1,"Entities"))</f>
        <v>no</v>
      </c>
      <c r="GN31">
        <v>2</v>
      </c>
      <c r="GO31">
        <v>3</v>
      </c>
      <c r="GP31" t="b">
        <v>0</v>
      </c>
    </row>
    <row r="32" spans="2:198" x14ac:dyDescent="0.25">
      <c r="B32" s="72" t="s">
        <v>215</v>
      </c>
      <c r="C32">
        <v>5.5</v>
      </c>
      <c r="D32">
        <v>150</v>
      </c>
      <c r="E32">
        <v>100</v>
      </c>
      <c r="F32" s="74">
        <f ca="1">INDIRECT(ADDRESS(11+(MATCH(RIGHT(Table245[[#This Row],[spawner_sku]],LEN(Table245[[#This Row],[spawner_sku]])-FIND("/",Table245[[#This Row],[spawner_sku]])),Table1[Entity Prefab],0)),10,1,1,"Entities"))</f>
        <v>25</v>
      </c>
      <c r="G32" s="74">
        <f ca="1">ROUND((Table245[[#This Row],[XP]]*Table245[[#This Row],[entity_spawned (AVG)]])*(Table245[[#This Row],[activating_chance]]/100),0)</f>
        <v>138</v>
      </c>
      <c r="H32" s="71" t="str">
        <f ca="1">INDIRECT(ADDRESS(11+(MATCH(RIGHT(Table245[[#This Row],[spawner_sku]],LEN(Table245[[#This Row],[spawner_sku]])-FIND("/",Table245[[#This Row],[spawner_sku]])),Table28[Entity Prefab],0)),24,1,1,"Entities"))</f>
        <v>no</v>
      </c>
      <c r="I32" s="71">
        <v>5</v>
      </c>
      <c r="J32" s="71">
        <v>6</v>
      </c>
      <c r="K32" s="71" t="b">
        <v>1</v>
      </c>
      <c r="M32" t="s">
        <v>215</v>
      </c>
      <c r="N32">
        <v>3</v>
      </c>
      <c r="O32">
        <v>130</v>
      </c>
      <c r="P32">
        <v>100</v>
      </c>
      <c r="Q32" s="74">
        <f ca="1">INDIRECT(ADDRESS(11+(MATCH(RIGHT(Table3[[#This Row],[spawner_sku]],LEN(Table3[[#This Row],[spawner_sku]])-FIND("/",Table3[[#This Row],[spawner_sku]])),Table1[Entity Prefab],0)),10,1,1,"Entities"))</f>
        <v>25</v>
      </c>
      <c r="R32" s="74">
        <f ca="1">ROUND((Table3[[#This Row],[XP]]*Table3[[#This Row],[entity_spawned (AVG)]])*(Table3[[#This Row],[activating_chance]]/100),0)</f>
        <v>75</v>
      </c>
      <c r="S32" t="str">
        <f ca="1">INDIRECT(ADDRESS(11+(MATCH(RIGHT(Table3[[#This Row],[spawner_sku]],LEN(Table3[[#This Row],[spawner_sku]])-FIND("/",Table3[[#This Row],[spawner_sku]])),Table28[Entity Prefab],0)),24,1,1,"Entities"))</f>
        <v>no</v>
      </c>
      <c r="T32">
        <v>2</v>
      </c>
      <c r="U32">
        <v>4</v>
      </c>
      <c r="V32" t="b">
        <v>0</v>
      </c>
      <c r="W32" s="71"/>
      <c r="X32" t="s">
        <v>376</v>
      </c>
      <c r="Y32">
        <v>8</v>
      </c>
      <c r="Z32">
        <v>200</v>
      </c>
      <c r="AA32">
        <v>100</v>
      </c>
      <c r="AB32" s="74">
        <f ca="1">INDIRECT(ADDRESS(11+(MATCH(RIGHT(Table39[[#This Row],[spawner_sku]],LEN(Table39[[#This Row],[spawner_sku]])-FIND("/",Table39[[#This Row],[spawner_sku]])),Table1[Entity Prefab],0)),10,1,1,"Entities"))</f>
        <v>25</v>
      </c>
      <c r="AC32" s="74">
        <f ca="1">ROUND((Table39[[#This Row],[XP]]*Table39[[#This Row],[entity_spawned (AVG)]])*(Table39[[#This Row],[activating_chance]]/100),0)</f>
        <v>200</v>
      </c>
      <c r="AD32" t="str">
        <f ca="1">INDIRECT(ADDRESS(11+(MATCH(RIGHT(Table39[[#This Row],[spawner_sku]],LEN(Table39[[#This Row],[spawner_sku]])-FIND("/",Table39[[#This Row],[spawner_sku]])),Table28[Entity Prefab],0)),24,1,1,"Entities"))</f>
        <v>no</v>
      </c>
      <c r="AE32">
        <v>6</v>
      </c>
      <c r="AF32">
        <v>10</v>
      </c>
      <c r="AG32" t="b">
        <v>1</v>
      </c>
      <c r="AI32" t="s">
        <v>215</v>
      </c>
      <c r="AJ32">
        <v>6.5</v>
      </c>
      <c r="AK32">
        <v>140</v>
      </c>
      <c r="AL32">
        <v>30</v>
      </c>
      <c r="AM32" s="74">
        <f ca="1">INDIRECT(ADDRESS(11+(MATCH(RIGHT(Table2[[#This Row],[spawner_sku]],LEN(Table2[[#This Row],[spawner_sku]])-FIND("/",Table2[[#This Row],[spawner_sku]])),Table1[Entity Prefab],0)),10,1,1,"Entities"))</f>
        <v>25</v>
      </c>
      <c r="AN32" s="74">
        <f ca="1">ROUND((Table2[[#This Row],[XP]]*Table2[[#This Row],[entity_spawned (AVG)]])*(Table2[[#This Row],[activating_chance]]/100),0)</f>
        <v>49</v>
      </c>
      <c r="AO32" s="71" t="str">
        <f ca="1">INDIRECT(ADDRESS(11+(MATCH(RIGHT(Table2[[#This Row],[spawner_sku]],LEN(Table2[[#This Row],[spawner_sku]])-FIND("/",Table2[[#This Row],[spawner_sku]])),Table28[Entity Prefab],0)),24,1,1,"Entities"))</f>
        <v>no</v>
      </c>
      <c r="AP32" s="71">
        <v>5</v>
      </c>
      <c r="AQ32" s="71">
        <v>8</v>
      </c>
      <c r="AR32" s="71" t="b">
        <v>1</v>
      </c>
      <c r="AT32" t="s">
        <v>215</v>
      </c>
      <c r="AU32">
        <v>2.5</v>
      </c>
      <c r="AV32">
        <v>90</v>
      </c>
      <c r="AW32">
        <v>100</v>
      </c>
      <c r="AX32" s="74">
        <f ca="1">INDIRECT(ADDRESS(11+(MATCH(RIGHT(Table6[[#This Row],[spawner_sku]],LEN(Table6[[#This Row],[spawner_sku]])-FIND("/",Table6[[#This Row],[spawner_sku]])),Table1[Entity Prefab],0)),10,1,1,"Entities"))</f>
        <v>25</v>
      </c>
      <c r="AY32" s="74">
        <f ca="1">ROUND((Table6[[#This Row],[XP]]*Table6[[#This Row],[entity_spawned (AVG)]])*(Table6[[#This Row],[activating_chance]]/100),0)</f>
        <v>63</v>
      </c>
      <c r="AZ32" s="144" t="str">
        <f ca="1">INDIRECT(ADDRESS(11+(MATCH(RIGHT(Table6[[#This Row],[spawner_sku]],LEN(Table6[[#This Row],[spawner_sku]])-FIND("/",Table6[[#This Row],[spawner_sku]])),Table28[Entity Prefab],0)),24,1,1,"Entities"))</f>
        <v>no</v>
      </c>
      <c r="BA32">
        <v>2</v>
      </c>
      <c r="BB32">
        <v>3</v>
      </c>
      <c r="BC32" t="b">
        <v>0</v>
      </c>
      <c r="BE32" t="s">
        <v>214</v>
      </c>
      <c r="BF32">
        <v>6.5</v>
      </c>
      <c r="BG32">
        <v>120</v>
      </c>
      <c r="BH32">
        <v>100</v>
      </c>
      <c r="BI32" s="74">
        <f ca="1">INDIRECT(ADDRESS(11+(MATCH(RIGHT(Table610[[#This Row],[spawner_sku]],LEN(Table610[[#This Row],[spawner_sku]])-FIND("/",Table610[[#This Row],[spawner_sku]])),Table1[Entity Prefab],0)),10,1,1,"Entities"))</f>
        <v>25</v>
      </c>
      <c r="BJ32" s="74">
        <f ca="1">ROUND((Table610[[#This Row],[XP]]*Table610[[#This Row],[entity_spawned (AVG)]])*(Table610[[#This Row],[activating_chance]]/100),0)</f>
        <v>163</v>
      </c>
      <c r="BK32" s="71" t="str">
        <f ca="1">INDIRECT(ADDRESS(11+(MATCH(RIGHT(Table610[[#This Row],[spawner_sku]],LEN(Table610[[#This Row],[spawner_sku]])-FIND("/",Table610[[#This Row],[spawner_sku]])),Table28[Entity Prefab],0)),24,1,1,"Entities"))</f>
        <v>no</v>
      </c>
      <c r="BL32">
        <v>5</v>
      </c>
      <c r="BM32">
        <v>8</v>
      </c>
      <c r="BN32" t="b">
        <v>1</v>
      </c>
      <c r="BP32" t="s">
        <v>215</v>
      </c>
      <c r="BQ32">
        <v>3</v>
      </c>
      <c r="BR32">
        <v>130</v>
      </c>
      <c r="BS32">
        <v>100</v>
      </c>
      <c r="BT32" s="74">
        <f ca="1">INDIRECT(ADDRESS(11+(MATCH(RIGHT(Table61011[[#This Row],[spawner_sku]],LEN(Table61011[[#This Row],[spawner_sku]])-FIND("/",Table61011[[#This Row],[spawner_sku]])),Table1[Entity Prefab],0)),10,1,1,"Entities"))</f>
        <v>25</v>
      </c>
      <c r="BU32" s="74">
        <f ca="1">ROUND((Table61011[[#This Row],[XP]]*Table61011[[#This Row],[entity_spawned (AVG)]])*(Table61011[[#This Row],[activating_chance]]/100),0)</f>
        <v>75</v>
      </c>
      <c r="BV32" s="71" t="str">
        <f ca="1">INDIRECT(ADDRESS(11+(MATCH(RIGHT(Table61011[[#This Row],[spawner_sku]],LEN(Table61011[[#This Row],[spawner_sku]])-FIND("/",Table61011[[#This Row],[spawner_sku]])),Table28[Entity Prefab],0)),24,1,1,"Entities"))</f>
        <v>no</v>
      </c>
      <c r="BW32" s="71">
        <v>3</v>
      </c>
      <c r="BX32" s="71">
        <v>3</v>
      </c>
      <c r="BY32" s="71" t="b">
        <v>0</v>
      </c>
      <c r="BZ32" s="71"/>
      <c r="CA32" s="147" t="s">
        <v>230</v>
      </c>
      <c r="CB32">
        <v>1</v>
      </c>
      <c r="CC32">
        <v>200</v>
      </c>
      <c r="CD32">
        <v>100</v>
      </c>
      <c r="CE32" s="74">
        <f ca="1">INDIRECT(ADDRESS(11+(MATCH(RIGHT(Table35[[#This Row],[spawner_sku]],LEN(Table35[[#This Row],[spawner_sku]])-FIND("/",Table35[[#This Row],[spawner_sku]])),Table1[Entity Prefab],0)),10,1,1,"Entities"))</f>
        <v>28</v>
      </c>
      <c r="CF32" s="74">
        <f ca="1">ROUND((Table35[[#This Row],[XP]]*Table35[[#This Row],[entity_spawned (AVG)]])*(Table35[[#This Row],[activating_chance]]/100),0)</f>
        <v>28</v>
      </c>
      <c r="CG32" s="144" t="str">
        <f ca="1">INDIRECT(ADDRESS(11+(MATCH(RIGHT(Table35[[#This Row],[spawner_sku]],LEN(Table35[[#This Row],[spawner_sku]])-FIND("/",Table35[[#This Row],[spawner_sku]])),Table28[Entity Prefab],0)),24,1,1,"Entities"))</f>
        <v>no</v>
      </c>
      <c r="CH32">
        <v>1</v>
      </c>
      <c r="CI32">
        <v>1</v>
      </c>
      <c r="CJ32" s="71" t="b">
        <v>0</v>
      </c>
      <c r="CL32" t="s">
        <v>214</v>
      </c>
      <c r="CM32">
        <v>9</v>
      </c>
      <c r="CN32">
        <v>280</v>
      </c>
      <c r="CO32">
        <v>100</v>
      </c>
      <c r="CP32" s="74">
        <f ca="1">INDIRECT(ADDRESS(11+(MATCH(RIGHT(Table11[[#This Row],[spawner_sku]],LEN(Table11[[#This Row],[spawner_sku]])-FIND("/",Table11[[#This Row],[spawner_sku]])),Table1[Entity Prefab],0)),10,1,1,"Entities"))</f>
        <v>25</v>
      </c>
      <c r="CQ32">
        <f ca="1">ROUND((Table11[[#This Row],[XP]]*Table11[[#This Row],[entity_spawned (AVG)]])*(Table11[[#This Row],[activating_chance]]/100),0)</f>
        <v>225</v>
      </c>
      <c r="CR32" s="144" t="str">
        <f ca="1">INDIRECT(ADDRESS(11+(MATCH(RIGHT(Table11[[#This Row],[spawner_sku]],LEN(Table11[[#This Row],[spawner_sku]])-FIND("/",Table11[[#This Row],[spawner_sku]])),Table28[Entity Prefab],0)),25,1,1,"Entities"))</f>
        <v>no</v>
      </c>
      <c r="CS32" s="71">
        <v>8</v>
      </c>
      <c r="CT32" s="71">
        <v>10</v>
      </c>
      <c r="CU32" s="71" t="b">
        <v>1</v>
      </c>
      <c r="CW32" t="s">
        <v>214</v>
      </c>
      <c r="CX32">
        <v>9</v>
      </c>
      <c r="CY32">
        <v>280</v>
      </c>
      <c r="CZ32">
        <v>100</v>
      </c>
      <c r="DA32" s="74">
        <f ca="1">INDIRECT(ADDRESS(11+(MATCH(RIGHT(Table12[[#This Row],[spawner_sku]],LEN(Table12[[#This Row],[spawner_sku]])-FIND("/",Table12[[#This Row],[spawner_sku]])),Table1[Entity Prefab],0)),10,1,1,"Entities"))</f>
        <v>25</v>
      </c>
      <c r="DB32" s="74">
        <f ca="1">ROUND((Table12[[#This Row],[XP]]*Table12[[#This Row],[entity_spawned (AVG)]])*(Table12[[#This Row],[activating_chance]]/100),0)</f>
        <v>225</v>
      </c>
      <c r="DC32" s="144" t="str">
        <f ca="1">INDIRECT(ADDRESS(11+(MATCH(RIGHT(Table12[[#This Row],[spawner_sku]],LEN(Table12[[#This Row],[spawner_sku]])-FIND("/",Table12[[#This Row],[spawner_sku]])),Table28[Entity Prefab],0)),25,1,1,"Entities"))</f>
        <v>no</v>
      </c>
      <c r="DD32" s="71">
        <v>8</v>
      </c>
      <c r="DE32" s="71">
        <v>10</v>
      </c>
      <c r="DF32" s="71" t="b">
        <v>1</v>
      </c>
      <c r="DH32" t="s">
        <v>214</v>
      </c>
      <c r="DI32">
        <v>5.5</v>
      </c>
      <c r="DJ32">
        <v>280</v>
      </c>
      <c r="DK32">
        <v>100</v>
      </c>
      <c r="DL32" s="74">
        <f ca="1">INDIRECT(ADDRESS(11+(MATCH(RIGHT(Table13[[#This Row],[spawner_sku]],LEN(Table13[[#This Row],[spawner_sku]])-FIND("/",Table13[[#This Row],[spawner_sku]])),Table1[Entity Prefab],0)),10,1,1,"Entities"))</f>
        <v>25</v>
      </c>
      <c r="DM32" s="74">
        <f ca="1">ROUND((Table13[[#This Row],[XP]]*Table13[[#This Row],[entity_spawned (AVG)]])*(Table13[[#This Row],[activating_chance]]/100),0)</f>
        <v>138</v>
      </c>
      <c r="DN32" s="144" t="str">
        <f ca="1">INDIRECT(ADDRESS(11+(MATCH(RIGHT(Table13[[#This Row],[spawner_sku]],LEN(Table13[[#This Row],[spawner_sku]])-FIND("/",Table13[[#This Row],[spawner_sku]])),Table28[Entity Prefab],0)),25,1,1,"Entities"))</f>
        <v>no</v>
      </c>
      <c r="DO32" s="71">
        <v>5</v>
      </c>
      <c r="DP32" s="71">
        <v>6</v>
      </c>
      <c r="DQ32" s="71" t="b">
        <v>1</v>
      </c>
      <c r="DS32" t="s">
        <v>213</v>
      </c>
      <c r="DT32">
        <v>2</v>
      </c>
      <c r="DU32">
        <v>180</v>
      </c>
      <c r="DV32">
        <v>70</v>
      </c>
      <c r="DW32" s="74">
        <f ca="1">INDIRECT(ADDRESS(11+(MATCH(RIGHT(Table14[[#This Row],[spawner_sku]],LEN(Table14[[#This Row],[spawner_sku]])-FIND("/",Table14[[#This Row],[spawner_sku]])),Table1[Entity Prefab],0)),10,1,1,"Entities"))</f>
        <v>55</v>
      </c>
      <c r="DX32" s="74">
        <f ca="1">ROUND((Table14[[#This Row],[XP]]*Table14[[#This Row],[entity_spawned (AVG)]])*(Table14[[#This Row],[activating_chance]]/100),0)</f>
        <v>77</v>
      </c>
      <c r="DY32" s="144" t="str">
        <f ca="1">INDIRECT(ADDRESS(11+(MATCH(RIGHT(Table14[[#This Row],[spawner_sku]],LEN(Table14[[#This Row],[spawner_sku]])-FIND("/",Table14[[#This Row],[spawner_sku]])),Table28[Entity Prefab],0)),25,1,1,"Entities"))</f>
        <v>yes</v>
      </c>
      <c r="DZ32" s="71">
        <v>2</v>
      </c>
      <c r="EA32" s="71">
        <v>2</v>
      </c>
      <c r="EB32" s="71" t="b">
        <v>0</v>
      </c>
      <c r="EC32" s="71"/>
      <c r="ED32" s="147" t="s">
        <v>232</v>
      </c>
      <c r="EE32" s="71">
        <v>10</v>
      </c>
      <c r="EF32" s="71">
        <v>90</v>
      </c>
      <c r="EG32" s="71">
        <v>100</v>
      </c>
      <c r="EH32" s="71">
        <f ca="1">INDIRECT(ADDRESS(11+(MATCH(RIGHT(Table36[[#This Row],[spawner_sku]],LEN(Table36[[#This Row],[spawner_sku]])-FIND("/",Table36[[#This Row],[spawner_sku]])),Table1[Entity Prefab],0)),10,1,1,"Entities"))</f>
        <v>25</v>
      </c>
      <c r="EI32" s="71">
        <f ca="1">ROUND((Table36[[#This Row],[XP]]*Table36[[#This Row],[entity_spawned (AVG)]])*(Table36[[#This Row],[activating_chance]]/100),0)</f>
        <v>250</v>
      </c>
      <c r="EJ32" s="71" t="str">
        <f ca="1">INDIRECT(ADDRESS(11+(MATCH(RIGHT(Table36[[#This Row],[spawner_sku]],LEN(Table36[[#This Row],[spawner_sku]])-FIND("/",Table36[[#This Row],[spawner_sku]])),Table28[Entity Prefab],0)),25,1,1,"Entities"))</f>
        <v>no</v>
      </c>
      <c r="EK32" s="71">
        <v>10</v>
      </c>
      <c r="EL32" s="71">
        <v>10</v>
      </c>
      <c r="EM32" s="71" t="b">
        <v>1</v>
      </c>
      <c r="EO32" t="s">
        <v>213</v>
      </c>
      <c r="EP32">
        <v>2.5</v>
      </c>
      <c r="EQ32">
        <v>120</v>
      </c>
      <c r="ER32">
        <v>100</v>
      </c>
      <c r="ES32" s="74">
        <f ca="1">INDIRECT(ADDRESS(11+(MATCH(RIGHT(Table18[[#This Row],[spawner_sku]],LEN(Table18[[#This Row],[spawner_sku]])-FIND("/",Table18[[#This Row],[spawner_sku]])),Table1[Entity Prefab],0)),10,1,1,"Entities"))</f>
        <v>55</v>
      </c>
      <c r="ET32" s="74">
        <f ca="1">ROUND((Table18[[#This Row],[XP]]*Table18[[#This Row],[entity_spawned (AVG)]])*(Table18[[#This Row],[activating_chance]]/100),0)</f>
        <v>138</v>
      </c>
      <c r="EU32" s="74" t="str">
        <f ca="1">INDIRECT(ADDRESS(11+(MATCH(RIGHT(Table18[[#This Row],[spawner_sku]],LEN(Table18[[#This Row],[spawner_sku]])-FIND("/",Table18[[#This Row],[spawner_sku]])),Table28[Entity Prefab],0)),26,1,1,"Entities"))</f>
        <v>yes</v>
      </c>
      <c r="EV32">
        <v>1</v>
      </c>
      <c r="EW32">
        <v>4</v>
      </c>
      <c r="EX32" t="b">
        <v>0</v>
      </c>
      <c r="EZ32" t="s">
        <v>214</v>
      </c>
      <c r="FA32">
        <v>3.5</v>
      </c>
      <c r="FB32">
        <v>140</v>
      </c>
      <c r="FC32">
        <v>100</v>
      </c>
      <c r="FD32" s="74">
        <f ca="1">INDIRECT(ADDRESS(11+(MATCH(RIGHT(Table1820[[#This Row],[spawner_sku]],LEN(Table1820[[#This Row],[spawner_sku]])-FIND("/",Table1820[[#This Row],[spawner_sku]])),Table1[Entity Prefab],0)),10,1,1,"Entities"))</f>
        <v>25</v>
      </c>
      <c r="FE32" s="74">
        <f ca="1">ROUND((Table1820[[#This Row],[XP]]*Table1820[[#This Row],[entity_spawned (AVG)]])*(Table1820[[#This Row],[activating_chance]]/100),0)</f>
        <v>88</v>
      </c>
      <c r="FF32" s="74" t="str">
        <f ca="1">INDIRECT(ADDRESS(11+(MATCH(RIGHT(Table1820[[#This Row],[spawner_sku]],LEN(Table1820[[#This Row],[spawner_sku]])-FIND("/",Table1820[[#This Row],[spawner_sku]])),Table28[Entity Prefab],0)),26,1,1,"Entities"))</f>
        <v>no</v>
      </c>
      <c r="FG32">
        <v>3</v>
      </c>
      <c r="FH32">
        <v>4</v>
      </c>
      <c r="FI32" t="b">
        <v>0</v>
      </c>
      <c r="FK32" t="s">
        <v>493</v>
      </c>
      <c r="FL32">
        <v>1.5</v>
      </c>
      <c r="FM32">
        <v>100</v>
      </c>
      <c r="FN32">
        <v>80</v>
      </c>
      <c r="FO32">
        <f ca="1">INDIRECT(ADDRESS(11+(MATCH(RIGHT(Table182023[[#This Row],[spawner_sku]],LEN(Table182023[[#This Row],[spawner_sku]])-FIND("/",Table182023[[#This Row],[spawner_sku]])),Table1[Entity Prefab],0)),10,1,1,"Entities"))</f>
        <v>35</v>
      </c>
      <c r="FP32">
        <f ca="1">ROUND((Table182023[[#This Row],[XP]]*Table182023[[#This Row],[entity_spawned (AVG)]])*(Table182023[[#This Row],[activating_chance]]/100),0)</f>
        <v>42</v>
      </c>
      <c r="FQ32" t="str">
        <f ca="1">INDIRECT(ADDRESS(11+(MATCH(RIGHT(Table182023[[#This Row],[spawner_sku]],LEN(Table182023[[#This Row],[spawner_sku]])-FIND("/",Table182023[[#This Row],[spawner_sku]])),Table28[Entity Prefab],0)),26,1,1,"Entities"))</f>
        <v>no</v>
      </c>
      <c r="FR32">
        <v>1</v>
      </c>
      <c r="FS32">
        <v>2</v>
      </c>
      <c r="FT32" t="b">
        <v>0</v>
      </c>
      <c r="FV32" t="s">
        <v>490</v>
      </c>
      <c r="FW32">
        <v>1</v>
      </c>
      <c r="FX32">
        <v>80</v>
      </c>
      <c r="FY32">
        <v>100</v>
      </c>
      <c r="FZ32" s="74">
        <f ca="1">INDIRECT(ADDRESS(11+(MATCH(RIGHT(Table18202324[[#This Row],[spawner_sku]],LEN(Table18202324[[#This Row],[spawner_sku]])-FIND("/",Table18202324[[#This Row],[spawner_sku]])),Table1[Entity Prefab],0)),10,1,1,"Entities"))</f>
        <v>95</v>
      </c>
      <c r="GA32" s="74">
        <f ca="1">ROUND((Table18202324[[#This Row],[XP]]*Table18202324[[#This Row],[entity_spawned (AVG)]])*(Table18202324[[#This Row],[activating_chance]]/100),0)</f>
        <v>95</v>
      </c>
      <c r="GB32" s="74" t="str">
        <f ca="1">INDIRECT(ADDRESS(11+(MATCH(RIGHT(Table18202324[[#This Row],[spawner_sku]],LEN(Table18202324[[#This Row],[spawner_sku]])-FIND("/",Table18202324[[#This Row],[spawner_sku]])),Table28[Entity Prefab],0)),26,1,1,"Entities"))</f>
        <v>yes</v>
      </c>
      <c r="GC32">
        <v>1</v>
      </c>
      <c r="GD32">
        <v>1</v>
      </c>
      <c r="GE32" t="b">
        <v>0</v>
      </c>
      <c r="GG32" t="s">
        <v>570</v>
      </c>
      <c r="GH32">
        <v>2</v>
      </c>
      <c r="GI32">
        <v>120</v>
      </c>
      <c r="GJ32">
        <v>100</v>
      </c>
      <c r="GK32">
        <f ca="1">INDIRECT(ADDRESS(11+(MATCH(RIGHT(Table37[[#This Row],[spawner_sku]],LEN(Table37[[#This Row],[spawner_sku]])-FIND("/",Table37[[#This Row],[spawner_sku]])),Table1[Entity Prefab],0)),10,1,1,"Entities"))</f>
        <v>50</v>
      </c>
      <c r="GL32">
        <f ca="1">ROUND((Table37[[#This Row],[XP]]*Table37[[#This Row],[entity_spawned (AVG)]])*(Table37[[#This Row],[activating_chance]]/100),0)</f>
        <v>100</v>
      </c>
      <c r="GM32" t="str">
        <f ca="1">INDIRECT(ADDRESS(11+(MATCH(RIGHT(Table37[[#This Row],[spawner_sku]],LEN(Table37[[#This Row],[spawner_sku]])-FIND("/",Table37[[#This Row],[spawner_sku]])),Table28[Entity Prefab],0)),26,1,1,"Entities"))</f>
        <v>no</v>
      </c>
      <c r="GN32">
        <v>1</v>
      </c>
      <c r="GO32">
        <v>3</v>
      </c>
      <c r="GP32" t="b">
        <v>0</v>
      </c>
    </row>
    <row r="33" spans="2:198" x14ac:dyDescent="0.25">
      <c r="B33" s="72" t="s">
        <v>215</v>
      </c>
      <c r="C33">
        <v>7.5</v>
      </c>
      <c r="D33">
        <v>200</v>
      </c>
      <c r="E33">
        <v>100</v>
      </c>
      <c r="F33" s="74">
        <f ca="1">INDIRECT(ADDRESS(11+(MATCH(RIGHT(Table245[[#This Row],[spawner_sku]],LEN(Table245[[#This Row],[spawner_sku]])-FIND("/",Table245[[#This Row],[spawner_sku]])),Table1[Entity Prefab],0)),10,1,1,"Entities"))</f>
        <v>25</v>
      </c>
      <c r="G33" s="74">
        <f ca="1">ROUND((Table245[[#This Row],[XP]]*Table245[[#This Row],[entity_spawned (AVG)]])*(Table245[[#This Row],[activating_chance]]/100),0)</f>
        <v>188</v>
      </c>
      <c r="H33" s="71" t="str">
        <f ca="1">INDIRECT(ADDRESS(11+(MATCH(RIGHT(Table245[[#This Row],[spawner_sku]],LEN(Table245[[#This Row],[spawner_sku]])-FIND("/",Table245[[#This Row],[spawner_sku]])),Table28[Entity Prefab],0)),24,1,1,"Entities"))</f>
        <v>no</v>
      </c>
      <c r="I33" s="71">
        <v>5</v>
      </c>
      <c r="J33" s="71">
        <v>10</v>
      </c>
      <c r="K33" s="71" t="b">
        <v>1</v>
      </c>
      <c r="M33" t="s">
        <v>215</v>
      </c>
      <c r="N33">
        <v>7</v>
      </c>
      <c r="O33">
        <v>100</v>
      </c>
      <c r="P33">
        <v>100</v>
      </c>
      <c r="Q33" s="74">
        <f ca="1">INDIRECT(ADDRESS(11+(MATCH(RIGHT(Table3[[#This Row],[spawner_sku]],LEN(Table3[[#This Row],[spawner_sku]])-FIND("/",Table3[[#This Row],[spawner_sku]])),Table1[Entity Prefab],0)),10,1,1,"Entities"))</f>
        <v>25</v>
      </c>
      <c r="R33" s="74">
        <f ca="1">ROUND((Table3[[#This Row],[XP]]*Table3[[#This Row],[entity_spawned (AVG)]])*(Table3[[#This Row],[activating_chance]]/100),0)</f>
        <v>175</v>
      </c>
      <c r="S33" t="str">
        <f ca="1">INDIRECT(ADDRESS(11+(MATCH(RIGHT(Table3[[#This Row],[spawner_sku]],LEN(Table3[[#This Row],[spawner_sku]])-FIND("/",Table3[[#This Row],[spawner_sku]])),Table28[Entity Prefab],0)),24,1,1,"Entities"))</f>
        <v>no</v>
      </c>
      <c r="T33">
        <v>6</v>
      </c>
      <c r="U33">
        <v>8</v>
      </c>
      <c r="V33" t="b">
        <v>1</v>
      </c>
      <c r="W33" s="71"/>
      <c r="X33" t="s">
        <v>376</v>
      </c>
      <c r="Y33">
        <v>2</v>
      </c>
      <c r="Z33">
        <v>200</v>
      </c>
      <c r="AA33">
        <v>100</v>
      </c>
      <c r="AB33" s="74">
        <f ca="1">INDIRECT(ADDRESS(11+(MATCH(RIGHT(Table39[[#This Row],[spawner_sku]],LEN(Table39[[#This Row],[spawner_sku]])-FIND("/",Table39[[#This Row],[spawner_sku]])),Table1[Entity Prefab],0)),10,1,1,"Entities"))</f>
        <v>25</v>
      </c>
      <c r="AC33" s="74">
        <f ca="1">ROUND((Table39[[#This Row],[XP]]*Table39[[#This Row],[entity_spawned (AVG)]])*(Table39[[#This Row],[activating_chance]]/100),0)</f>
        <v>50</v>
      </c>
      <c r="AD33" t="str">
        <f ca="1">INDIRECT(ADDRESS(11+(MATCH(RIGHT(Table39[[#This Row],[spawner_sku]],LEN(Table39[[#This Row],[spawner_sku]])-FIND("/",Table39[[#This Row],[spawner_sku]])),Table28[Entity Prefab],0)),24,1,1,"Entities"))</f>
        <v>no</v>
      </c>
      <c r="AE33">
        <v>2</v>
      </c>
      <c r="AF33">
        <v>2</v>
      </c>
      <c r="AG33" t="b">
        <v>0</v>
      </c>
      <c r="AI33" t="s">
        <v>215</v>
      </c>
      <c r="AJ33">
        <v>3</v>
      </c>
      <c r="AK33">
        <v>110</v>
      </c>
      <c r="AL33">
        <v>100</v>
      </c>
      <c r="AM33" s="74">
        <f ca="1">INDIRECT(ADDRESS(11+(MATCH(RIGHT(Table2[[#This Row],[spawner_sku]],LEN(Table2[[#This Row],[spawner_sku]])-FIND("/",Table2[[#This Row],[spawner_sku]])),Table1[Entity Prefab],0)),10,1,1,"Entities"))</f>
        <v>25</v>
      </c>
      <c r="AN33" s="74">
        <f ca="1">ROUND((Table2[[#This Row],[XP]]*Table2[[#This Row],[entity_spawned (AVG)]])*(Table2[[#This Row],[activating_chance]]/100),0)</f>
        <v>75</v>
      </c>
      <c r="AO33" s="71" t="str">
        <f ca="1">INDIRECT(ADDRESS(11+(MATCH(RIGHT(Table2[[#This Row],[spawner_sku]],LEN(Table2[[#This Row],[spawner_sku]])-FIND("/",Table2[[#This Row],[spawner_sku]])),Table28[Entity Prefab],0)),24,1,1,"Entities"))</f>
        <v>no</v>
      </c>
      <c r="AP33" s="71">
        <v>2</v>
      </c>
      <c r="AQ33" s="71">
        <v>4</v>
      </c>
      <c r="AR33" s="71" t="b">
        <v>0</v>
      </c>
      <c r="AT33" t="s">
        <v>215</v>
      </c>
      <c r="AU33">
        <v>3</v>
      </c>
      <c r="AV33">
        <v>90</v>
      </c>
      <c r="AW33">
        <v>100</v>
      </c>
      <c r="AX33" s="74">
        <f ca="1">INDIRECT(ADDRESS(11+(MATCH(RIGHT(Table6[[#This Row],[spawner_sku]],LEN(Table6[[#This Row],[spawner_sku]])-FIND("/",Table6[[#This Row],[spawner_sku]])),Table1[Entity Prefab],0)),10,1,1,"Entities"))</f>
        <v>25</v>
      </c>
      <c r="AY33" s="74">
        <f ca="1">ROUND((Table6[[#This Row],[XP]]*Table6[[#This Row],[entity_spawned (AVG)]])*(Table6[[#This Row],[activating_chance]]/100),0)</f>
        <v>75</v>
      </c>
      <c r="AZ33" s="144" t="str">
        <f ca="1">INDIRECT(ADDRESS(11+(MATCH(RIGHT(Table6[[#This Row],[spawner_sku]],LEN(Table6[[#This Row],[spawner_sku]])-FIND("/",Table6[[#This Row],[spawner_sku]])),Table28[Entity Prefab],0)),24,1,1,"Entities"))</f>
        <v>no</v>
      </c>
      <c r="BA33">
        <v>2</v>
      </c>
      <c r="BB33">
        <v>4</v>
      </c>
      <c r="BC33" t="b">
        <v>0</v>
      </c>
      <c r="BE33" t="s">
        <v>214</v>
      </c>
      <c r="BF33">
        <v>3.5</v>
      </c>
      <c r="BG33">
        <v>100</v>
      </c>
      <c r="BH33">
        <v>100</v>
      </c>
      <c r="BI33" s="74">
        <f ca="1">INDIRECT(ADDRESS(11+(MATCH(RIGHT(Table610[[#This Row],[spawner_sku]],LEN(Table610[[#This Row],[spawner_sku]])-FIND("/",Table610[[#This Row],[spawner_sku]])),Table1[Entity Prefab],0)),10,1,1,"Entities"))</f>
        <v>25</v>
      </c>
      <c r="BJ33" s="74">
        <f ca="1">ROUND((Table610[[#This Row],[XP]]*Table610[[#This Row],[entity_spawned (AVG)]])*(Table610[[#This Row],[activating_chance]]/100),0)</f>
        <v>88</v>
      </c>
      <c r="BK33" s="71" t="str">
        <f ca="1">INDIRECT(ADDRESS(11+(MATCH(RIGHT(Table610[[#This Row],[spawner_sku]],LEN(Table610[[#This Row],[spawner_sku]])-FIND("/",Table610[[#This Row],[spawner_sku]])),Table28[Entity Prefab],0)),24,1,1,"Entities"))</f>
        <v>no</v>
      </c>
      <c r="BL33">
        <v>3</v>
      </c>
      <c r="BM33">
        <v>4</v>
      </c>
      <c r="BN33" t="b">
        <v>0</v>
      </c>
      <c r="BP33" t="s">
        <v>215</v>
      </c>
      <c r="BQ33">
        <v>1.5</v>
      </c>
      <c r="BR33">
        <v>140</v>
      </c>
      <c r="BS33">
        <v>100</v>
      </c>
      <c r="BT33" s="74">
        <f ca="1">INDIRECT(ADDRESS(11+(MATCH(RIGHT(Table61011[[#This Row],[spawner_sku]],LEN(Table61011[[#This Row],[spawner_sku]])-FIND("/",Table61011[[#This Row],[spawner_sku]])),Table1[Entity Prefab],0)),10,1,1,"Entities"))</f>
        <v>25</v>
      </c>
      <c r="BU33" s="74">
        <f ca="1">ROUND((Table61011[[#This Row],[XP]]*Table61011[[#This Row],[entity_spawned (AVG)]])*(Table61011[[#This Row],[activating_chance]]/100),0)</f>
        <v>38</v>
      </c>
      <c r="BV33" s="71" t="str">
        <f ca="1">INDIRECT(ADDRESS(11+(MATCH(RIGHT(Table61011[[#This Row],[spawner_sku]],LEN(Table61011[[#This Row],[spawner_sku]])-FIND("/",Table61011[[#This Row],[spawner_sku]])),Table28[Entity Prefab],0)),24,1,1,"Entities"))</f>
        <v>no</v>
      </c>
      <c r="BW33" s="71">
        <v>1</v>
      </c>
      <c r="BX33" s="71">
        <v>2</v>
      </c>
      <c r="BY33" s="71" t="b">
        <v>0</v>
      </c>
      <c r="BZ33" s="71"/>
      <c r="CA33" s="147" t="s">
        <v>230</v>
      </c>
      <c r="CB33">
        <v>1</v>
      </c>
      <c r="CC33">
        <v>200</v>
      </c>
      <c r="CD33">
        <v>100</v>
      </c>
      <c r="CE33" s="74">
        <f ca="1">INDIRECT(ADDRESS(11+(MATCH(RIGHT(Table35[[#This Row],[spawner_sku]],LEN(Table35[[#This Row],[spawner_sku]])-FIND("/",Table35[[#This Row],[spawner_sku]])),Table1[Entity Prefab],0)),10,1,1,"Entities"))</f>
        <v>28</v>
      </c>
      <c r="CF33" s="74">
        <f ca="1">ROUND((Table35[[#This Row],[XP]]*Table35[[#This Row],[entity_spawned (AVG)]])*(Table35[[#This Row],[activating_chance]]/100),0)</f>
        <v>28</v>
      </c>
      <c r="CG33" s="144" t="str">
        <f ca="1">INDIRECT(ADDRESS(11+(MATCH(RIGHT(Table35[[#This Row],[spawner_sku]],LEN(Table35[[#This Row],[spawner_sku]])-FIND("/",Table35[[#This Row],[spawner_sku]])),Table28[Entity Prefab],0)),24,1,1,"Entities"))</f>
        <v>no</v>
      </c>
      <c r="CH33">
        <v>1</v>
      </c>
      <c r="CI33">
        <v>1</v>
      </c>
      <c r="CJ33" s="71" t="b">
        <v>0</v>
      </c>
      <c r="CL33" t="s">
        <v>215</v>
      </c>
      <c r="CM33">
        <v>1.5</v>
      </c>
      <c r="CN33">
        <v>180</v>
      </c>
      <c r="CO33">
        <v>100</v>
      </c>
      <c r="CP33" s="74">
        <f ca="1">INDIRECT(ADDRESS(11+(MATCH(RIGHT(Table11[[#This Row],[spawner_sku]],LEN(Table11[[#This Row],[spawner_sku]])-FIND("/",Table11[[#This Row],[spawner_sku]])),Table1[Entity Prefab],0)),10,1,1,"Entities"))</f>
        <v>25</v>
      </c>
      <c r="CQ33">
        <f ca="1">ROUND((Table11[[#This Row],[XP]]*Table11[[#This Row],[entity_spawned (AVG)]])*(Table11[[#This Row],[activating_chance]]/100),0)</f>
        <v>38</v>
      </c>
      <c r="CR33" s="144" t="str">
        <f ca="1">INDIRECT(ADDRESS(11+(MATCH(RIGHT(Table11[[#This Row],[spawner_sku]],LEN(Table11[[#This Row],[spawner_sku]])-FIND("/",Table11[[#This Row],[spawner_sku]])),Table28[Entity Prefab],0)),25,1,1,"Entities"))</f>
        <v>no</v>
      </c>
      <c r="CS33" s="71">
        <v>1</v>
      </c>
      <c r="CT33" s="71">
        <v>2</v>
      </c>
      <c r="CU33" s="71" t="b">
        <v>0</v>
      </c>
      <c r="CW33" t="s">
        <v>214</v>
      </c>
      <c r="CX33">
        <v>7</v>
      </c>
      <c r="CY33">
        <v>280</v>
      </c>
      <c r="CZ33">
        <v>80</v>
      </c>
      <c r="DA33" s="74">
        <f ca="1">INDIRECT(ADDRESS(11+(MATCH(RIGHT(Table12[[#This Row],[spawner_sku]],LEN(Table12[[#This Row],[spawner_sku]])-FIND("/",Table12[[#This Row],[spawner_sku]])),Table1[Entity Prefab],0)),10,1,1,"Entities"))</f>
        <v>25</v>
      </c>
      <c r="DB33" s="74">
        <f ca="1">ROUND((Table12[[#This Row],[XP]]*Table12[[#This Row],[entity_spawned (AVG)]])*(Table12[[#This Row],[activating_chance]]/100),0)</f>
        <v>140</v>
      </c>
      <c r="DC33" s="144" t="str">
        <f ca="1">INDIRECT(ADDRESS(11+(MATCH(RIGHT(Table12[[#This Row],[spawner_sku]],LEN(Table12[[#This Row],[spawner_sku]])-FIND("/",Table12[[#This Row],[spawner_sku]])),Table28[Entity Prefab],0)),25,1,1,"Entities"))</f>
        <v>no</v>
      </c>
      <c r="DD33" s="71">
        <v>6</v>
      </c>
      <c r="DE33" s="71">
        <v>8</v>
      </c>
      <c r="DF33" s="71" t="b">
        <v>1</v>
      </c>
      <c r="DH33" t="s">
        <v>214</v>
      </c>
      <c r="DI33">
        <v>13</v>
      </c>
      <c r="DJ33">
        <v>280</v>
      </c>
      <c r="DK33">
        <v>100</v>
      </c>
      <c r="DL33" s="74">
        <f ca="1">INDIRECT(ADDRESS(11+(MATCH(RIGHT(Table13[[#This Row],[spawner_sku]],LEN(Table13[[#This Row],[spawner_sku]])-FIND("/",Table13[[#This Row],[spawner_sku]])),Table1[Entity Prefab],0)),10,1,1,"Entities"))</f>
        <v>25</v>
      </c>
      <c r="DM33" s="74">
        <f ca="1">ROUND((Table13[[#This Row],[XP]]*Table13[[#This Row],[entity_spawned (AVG)]])*(Table13[[#This Row],[activating_chance]]/100),0)</f>
        <v>325</v>
      </c>
      <c r="DN33" s="144" t="str">
        <f ca="1">INDIRECT(ADDRESS(11+(MATCH(RIGHT(Table13[[#This Row],[spawner_sku]],LEN(Table13[[#This Row],[spawner_sku]])-FIND("/",Table13[[#This Row],[spawner_sku]])),Table28[Entity Prefab],0)),25,1,1,"Entities"))</f>
        <v>no</v>
      </c>
      <c r="DO33" s="71">
        <v>12</v>
      </c>
      <c r="DP33" s="71">
        <v>14</v>
      </c>
      <c r="DQ33" s="71" t="b">
        <v>1</v>
      </c>
      <c r="DS33" t="s">
        <v>213</v>
      </c>
      <c r="DT33">
        <v>9</v>
      </c>
      <c r="DU33">
        <v>200</v>
      </c>
      <c r="DV33">
        <v>100</v>
      </c>
      <c r="DW33" s="74">
        <f ca="1">INDIRECT(ADDRESS(11+(MATCH(RIGHT(Table14[[#This Row],[spawner_sku]],LEN(Table14[[#This Row],[spawner_sku]])-FIND("/",Table14[[#This Row],[spawner_sku]])),Table1[Entity Prefab],0)),10,1,1,"Entities"))</f>
        <v>55</v>
      </c>
      <c r="DX33" s="74">
        <f ca="1">ROUND((Table14[[#This Row],[XP]]*Table14[[#This Row],[entity_spawned (AVG)]])*(Table14[[#This Row],[activating_chance]]/100),0)</f>
        <v>495</v>
      </c>
      <c r="DY33" s="144" t="str">
        <f ca="1">INDIRECT(ADDRESS(11+(MATCH(RIGHT(Table14[[#This Row],[spawner_sku]],LEN(Table14[[#This Row],[spawner_sku]])-FIND("/",Table14[[#This Row],[spawner_sku]])),Table28[Entity Prefab],0)),25,1,1,"Entities"))</f>
        <v>yes</v>
      </c>
      <c r="DZ33" s="71">
        <v>8</v>
      </c>
      <c r="EA33" s="71">
        <v>10</v>
      </c>
      <c r="EB33" s="71" t="b">
        <v>1</v>
      </c>
      <c r="EC33" s="71"/>
      <c r="ED33" s="147" t="s">
        <v>570</v>
      </c>
      <c r="EE33" s="71">
        <v>1</v>
      </c>
      <c r="EF33" s="71">
        <v>120</v>
      </c>
      <c r="EG33" s="71">
        <v>100</v>
      </c>
      <c r="EH33" s="71">
        <f ca="1">INDIRECT(ADDRESS(11+(MATCH(RIGHT(Table36[[#This Row],[spawner_sku]],LEN(Table36[[#This Row],[spawner_sku]])-FIND("/",Table36[[#This Row],[spawner_sku]])),Table1[Entity Prefab],0)),10,1,1,"Entities"))</f>
        <v>50</v>
      </c>
      <c r="EI33" s="71">
        <f ca="1">ROUND((Table36[[#This Row],[XP]]*Table36[[#This Row],[entity_spawned (AVG)]])*(Table36[[#This Row],[activating_chance]]/100),0)</f>
        <v>50</v>
      </c>
      <c r="EJ33" s="71" t="str">
        <f ca="1">INDIRECT(ADDRESS(11+(MATCH(RIGHT(Table36[[#This Row],[spawner_sku]],LEN(Table36[[#This Row],[spawner_sku]])-FIND("/",Table36[[#This Row],[spawner_sku]])),Table28[Entity Prefab],0)),25,1,1,"Entities"))</f>
        <v>no</v>
      </c>
      <c r="EK33" s="71">
        <v>1</v>
      </c>
      <c r="EL33" s="71">
        <v>1</v>
      </c>
      <c r="EM33" s="71" t="b">
        <v>0</v>
      </c>
      <c r="EO33" t="s">
        <v>213</v>
      </c>
      <c r="EP33">
        <v>1</v>
      </c>
      <c r="EQ33">
        <v>100</v>
      </c>
      <c r="ER33">
        <v>100</v>
      </c>
      <c r="ES33" s="74">
        <f ca="1">INDIRECT(ADDRESS(11+(MATCH(RIGHT(Table18[[#This Row],[spawner_sku]],LEN(Table18[[#This Row],[spawner_sku]])-FIND("/",Table18[[#This Row],[spawner_sku]])),Table1[Entity Prefab],0)),10,1,1,"Entities"))</f>
        <v>55</v>
      </c>
      <c r="ET33" s="74">
        <f ca="1">ROUND((Table18[[#This Row],[XP]]*Table18[[#This Row],[entity_spawned (AVG)]])*(Table18[[#This Row],[activating_chance]]/100),0)</f>
        <v>55</v>
      </c>
      <c r="EU33" s="74" t="str">
        <f ca="1">INDIRECT(ADDRESS(11+(MATCH(RIGHT(Table18[[#This Row],[spawner_sku]],LEN(Table18[[#This Row],[spawner_sku]])-FIND("/",Table18[[#This Row],[spawner_sku]])),Table28[Entity Prefab],0)),26,1,1,"Entities"))</f>
        <v>yes</v>
      </c>
      <c r="EV33">
        <v>1</v>
      </c>
      <c r="EW33">
        <v>1</v>
      </c>
      <c r="EX33" t="b">
        <v>0</v>
      </c>
      <c r="EZ33" t="s">
        <v>214</v>
      </c>
      <c r="FA33">
        <v>3.5</v>
      </c>
      <c r="FB33">
        <v>100</v>
      </c>
      <c r="FC33">
        <v>100</v>
      </c>
      <c r="FD33" s="74">
        <f ca="1">INDIRECT(ADDRESS(11+(MATCH(RIGHT(Table1820[[#This Row],[spawner_sku]],LEN(Table1820[[#This Row],[spawner_sku]])-FIND("/",Table1820[[#This Row],[spawner_sku]])),Table1[Entity Prefab],0)),10,1,1,"Entities"))</f>
        <v>25</v>
      </c>
      <c r="FE33" s="74">
        <f ca="1">ROUND((Table1820[[#This Row],[XP]]*Table1820[[#This Row],[entity_spawned (AVG)]])*(Table1820[[#This Row],[activating_chance]]/100),0)</f>
        <v>88</v>
      </c>
      <c r="FF33" s="74" t="str">
        <f ca="1">INDIRECT(ADDRESS(11+(MATCH(RIGHT(Table1820[[#This Row],[spawner_sku]],LEN(Table1820[[#This Row],[spawner_sku]])-FIND("/",Table1820[[#This Row],[spawner_sku]])),Table28[Entity Prefab],0)),26,1,1,"Entities"))</f>
        <v>no</v>
      </c>
      <c r="FG33">
        <v>3</v>
      </c>
      <c r="FH33">
        <v>4</v>
      </c>
      <c r="FI33" t="b">
        <v>0</v>
      </c>
      <c r="FK33" t="s">
        <v>8112</v>
      </c>
      <c r="FL33">
        <v>1</v>
      </c>
      <c r="FM33">
        <v>300</v>
      </c>
      <c r="FN33">
        <v>100</v>
      </c>
      <c r="FO33">
        <f ca="1">INDIRECT(ADDRESS(11+(MATCH(RIGHT(Table182023[[#This Row],[spawner_sku]],LEN(Table182023[[#This Row],[spawner_sku]])-FIND("/",Table182023[[#This Row],[spawner_sku]])),Table1[Entity Prefab],0)),10,1,1,"Entities"))</f>
        <v>150</v>
      </c>
      <c r="FP33">
        <f ca="1">ROUND((Table182023[[#This Row],[XP]]*Table182023[[#This Row],[entity_spawned (AVG)]])*(Table182023[[#This Row],[activating_chance]]/100),0)</f>
        <v>150</v>
      </c>
      <c r="FQ33" t="str">
        <f ca="1">INDIRECT(ADDRESS(11+(MATCH(RIGHT(Table182023[[#This Row],[spawner_sku]],LEN(Table182023[[#This Row],[spawner_sku]])-FIND("/",Table182023[[#This Row],[spawner_sku]])),Table28[Entity Prefab],0)),26,1,1,"Entities"))</f>
        <v>yes</v>
      </c>
      <c r="FR33">
        <v>1</v>
      </c>
      <c r="FS33">
        <v>1</v>
      </c>
      <c r="FT33" t="b">
        <v>0</v>
      </c>
      <c r="FV33" t="s">
        <v>490</v>
      </c>
      <c r="FW33">
        <v>1</v>
      </c>
      <c r="FX33">
        <v>80</v>
      </c>
      <c r="FY33">
        <v>100</v>
      </c>
      <c r="FZ33" s="74">
        <f ca="1">INDIRECT(ADDRESS(11+(MATCH(RIGHT(Table18202324[[#This Row],[spawner_sku]],LEN(Table18202324[[#This Row],[spawner_sku]])-FIND("/",Table18202324[[#This Row],[spawner_sku]])),Table1[Entity Prefab],0)),10,1,1,"Entities"))</f>
        <v>95</v>
      </c>
      <c r="GA33" s="74">
        <f ca="1">ROUND((Table18202324[[#This Row],[XP]]*Table18202324[[#This Row],[entity_spawned (AVG)]])*(Table18202324[[#This Row],[activating_chance]]/100),0)</f>
        <v>95</v>
      </c>
      <c r="GB33" s="74" t="str">
        <f ca="1">INDIRECT(ADDRESS(11+(MATCH(RIGHT(Table18202324[[#This Row],[spawner_sku]],LEN(Table18202324[[#This Row],[spawner_sku]])-FIND("/",Table18202324[[#This Row],[spawner_sku]])),Table28[Entity Prefab],0)),26,1,1,"Entities"))</f>
        <v>yes</v>
      </c>
      <c r="GC33">
        <v>1</v>
      </c>
      <c r="GD33">
        <v>1</v>
      </c>
      <c r="GE33" t="b">
        <v>0</v>
      </c>
      <c r="GG33" t="s">
        <v>3819</v>
      </c>
      <c r="GH33">
        <v>1</v>
      </c>
      <c r="GI33">
        <v>240</v>
      </c>
      <c r="GJ33">
        <v>100</v>
      </c>
      <c r="GK33">
        <f ca="1">INDIRECT(ADDRESS(11+(MATCH(RIGHT(Table37[[#This Row],[spawner_sku]],LEN(Table37[[#This Row],[spawner_sku]])-FIND("/",Table37[[#This Row],[spawner_sku]])),Table1[Entity Prefab],0)),10,1,1,"Entities"))</f>
        <v>10</v>
      </c>
      <c r="GL33">
        <f ca="1">ROUND((Table37[[#This Row],[XP]]*Table37[[#This Row],[entity_spawned (AVG)]])*(Table37[[#This Row],[activating_chance]]/100),0)</f>
        <v>10</v>
      </c>
      <c r="GM33" t="str">
        <f ca="1">INDIRECT(ADDRESS(11+(MATCH(RIGHT(Table37[[#This Row],[spawner_sku]],LEN(Table37[[#This Row],[spawner_sku]])-FIND("/",Table37[[#This Row],[spawner_sku]])),Table28[Entity Prefab],0)),26,1,1,"Entities"))</f>
        <v>no</v>
      </c>
      <c r="GN33">
        <v>1</v>
      </c>
      <c r="GO33">
        <v>1</v>
      </c>
      <c r="GP33" t="b">
        <v>0</v>
      </c>
    </row>
    <row r="34" spans="2:198" x14ac:dyDescent="0.25">
      <c r="B34" s="72" t="s">
        <v>215</v>
      </c>
      <c r="C34">
        <v>3.5</v>
      </c>
      <c r="D34">
        <v>140</v>
      </c>
      <c r="E34">
        <v>100</v>
      </c>
      <c r="F34" s="74">
        <f ca="1">INDIRECT(ADDRESS(11+(MATCH(RIGHT(Table245[[#This Row],[spawner_sku]],LEN(Table245[[#This Row],[spawner_sku]])-FIND("/",Table245[[#This Row],[spawner_sku]])),Table1[Entity Prefab],0)),10,1,1,"Entities"))</f>
        <v>25</v>
      </c>
      <c r="G34" s="74">
        <f ca="1">ROUND((Table245[[#This Row],[XP]]*Table245[[#This Row],[entity_spawned (AVG)]])*(Table245[[#This Row],[activating_chance]]/100),0)</f>
        <v>88</v>
      </c>
      <c r="H34" s="71" t="str">
        <f ca="1">INDIRECT(ADDRESS(11+(MATCH(RIGHT(Table245[[#This Row],[spawner_sku]],LEN(Table245[[#This Row],[spawner_sku]])-FIND("/",Table245[[#This Row],[spawner_sku]])),Table28[Entity Prefab],0)),24,1,1,"Entities"))</f>
        <v>no</v>
      </c>
      <c r="I34" s="71">
        <v>3</v>
      </c>
      <c r="J34" s="71">
        <v>4</v>
      </c>
      <c r="K34" s="71" t="b">
        <v>0</v>
      </c>
      <c r="M34" t="s">
        <v>215</v>
      </c>
      <c r="N34">
        <v>2</v>
      </c>
      <c r="O34">
        <v>130</v>
      </c>
      <c r="P34">
        <v>100</v>
      </c>
      <c r="Q34" s="74">
        <f ca="1">INDIRECT(ADDRESS(11+(MATCH(RIGHT(Table3[[#This Row],[spawner_sku]],LEN(Table3[[#This Row],[spawner_sku]])-FIND("/",Table3[[#This Row],[spawner_sku]])),Table1[Entity Prefab],0)),10,1,1,"Entities"))</f>
        <v>25</v>
      </c>
      <c r="R34" s="74">
        <f ca="1">ROUND((Table3[[#This Row],[XP]]*Table3[[#This Row],[entity_spawned (AVG)]])*(Table3[[#This Row],[activating_chance]]/100),0)</f>
        <v>50</v>
      </c>
      <c r="S34" t="str">
        <f ca="1">INDIRECT(ADDRESS(11+(MATCH(RIGHT(Table3[[#This Row],[spawner_sku]],LEN(Table3[[#This Row],[spawner_sku]])-FIND("/",Table3[[#This Row],[spawner_sku]])),Table28[Entity Prefab],0)),24,1,1,"Entities"))</f>
        <v>no</v>
      </c>
      <c r="T34">
        <v>1</v>
      </c>
      <c r="U34">
        <v>3</v>
      </c>
      <c r="V34" t="b">
        <v>0</v>
      </c>
      <c r="W34" s="71"/>
      <c r="X34" t="s">
        <v>376</v>
      </c>
      <c r="Y34">
        <v>3</v>
      </c>
      <c r="Z34">
        <v>220</v>
      </c>
      <c r="AA34">
        <v>100</v>
      </c>
      <c r="AB34" s="74">
        <f ca="1">INDIRECT(ADDRESS(11+(MATCH(RIGHT(Table39[[#This Row],[spawner_sku]],LEN(Table39[[#This Row],[spawner_sku]])-FIND("/",Table39[[#This Row],[spawner_sku]])),Table1[Entity Prefab],0)),10,1,1,"Entities"))</f>
        <v>25</v>
      </c>
      <c r="AC34" s="74">
        <f ca="1">ROUND((Table39[[#This Row],[XP]]*Table39[[#This Row],[entity_spawned (AVG)]])*(Table39[[#This Row],[activating_chance]]/100),0)</f>
        <v>75</v>
      </c>
      <c r="AD34" t="str">
        <f ca="1">INDIRECT(ADDRESS(11+(MATCH(RIGHT(Table39[[#This Row],[spawner_sku]],LEN(Table39[[#This Row],[spawner_sku]])-FIND("/",Table39[[#This Row],[spawner_sku]])),Table28[Entity Prefab],0)),24,1,1,"Entities"))</f>
        <v>no</v>
      </c>
      <c r="AE34">
        <v>3</v>
      </c>
      <c r="AF34">
        <v>3</v>
      </c>
      <c r="AG34" t="b">
        <v>0</v>
      </c>
      <c r="AI34" t="s">
        <v>215</v>
      </c>
      <c r="AJ34">
        <v>3.5</v>
      </c>
      <c r="AK34">
        <v>170</v>
      </c>
      <c r="AL34">
        <v>100</v>
      </c>
      <c r="AM34" s="74">
        <f ca="1">INDIRECT(ADDRESS(11+(MATCH(RIGHT(Table2[[#This Row],[spawner_sku]],LEN(Table2[[#This Row],[spawner_sku]])-FIND("/",Table2[[#This Row],[spawner_sku]])),Table1[Entity Prefab],0)),10,1,1,"Entities"))</f>
        <v>25</v>
      </c>
      <c r="AN34" s="74">
        <f ca="1">ROUND((Table2[[#This Row],[XP]]*Table2[[#This Row],[entity_spawned (AVG)]])*(Table2[[#This Row],[activating_chance]]/100),0)</f>
        <v>88</v>
      </c>
      <c r="AO34" s="71" t="str">
        <f ca="1">INDIRECT(ADDRESS(11+(MATCH(RIGHT(Table2[[#This Row],[spawner_sku]],LEN(Table2[[#This Row],[spawner_sku]])-FIND("/",Table2[[#This Row],[spawner_sku]])),Table28[Entity Prefab],0)),24,1,1,"Entities"))</f>
        <v>no</v>
      </c>
      <c r="AP34" s="71">
        <v>3</v>
      </c>
      <c r="AQ34" s="71">
        <v>4</v>
      </c>
      <c r="AR34" s="71" t="b">
        <v>0</v>
      </c>
      <c r="AT34" t="s">
        <v>215</v>
      </c>
      <c r="AU34">
        <v>1.5</v>
      </c>
      <c r="AV34">
        <v>60</v>
      </c>
      <c r="AW34">
        <v>100</v>
      </c>
      <c r="AX34" s="74">
        <f ca="1">INDIRECT(ADDRESS(11+(MATCH(RIGHT(Table6[[#This Row],[spawner_sku]],LEN(Table6[[#This Row],[spawner_sku]])-FIND("/",Table6[[#This Row],[spawner_sku]])),Table1[Entity Prefab],0)),10,1,1,"Entities"))</f>
        <v>25</v>
      </c>
      <c r="AY34" s="74">
        <f ca="1">ROUND((Table6[[#This Row],[XP]]*Table6[[#This Row],[entity_spawned (AVG)]])*(Table6[[#This Row],[activating_chance]]/100),0)</f>
        <v>38</v>
      </c>
      <c r="AZ34" s="144" t="str">
        <f ca="1">INDIRECT(ADDRESS(11+(MATCH(RIGHT(Table6[[#This Row],[spawner_sku]],LEN(Table6[[#This Row],[spawner_sku]])-FIND("/",Table6[[#This Row],[spawner_sku]])),Table28[Entity Prefab],0)),24,1,1,"Entities"))</f>
        <v>no</v>
      </c>
      <c r="BA34">
        <v>1</v>
      </c>
      <c r="BB34">
        <v>2</v>
      </c>
      <c r="BC34" t="b">
        <v>0</v>
      </c>
      <c r="BE34" t="s">
        <v>214</v>
      </c>
      <c r="BF34">
        <v>6.5</v>
      </c>
      <c r="BG34">
        <v>110</v>
      </c>
      <c r="BH34">
        <v>100</v>
      </c>
      <c r="BI34" s="74">
        <f ca="1">INDIRECT(ADDRESS(11+(MATCH(RIGHT(Table610[[#This Row],[spawner_sku]],LEN(Table610[[#This Row],[spawner_sku]])-FIND("/",Table610[[#This Row],[spawner_sku]])),Table1[Entity Prefab],0)),10,1,1,"Entities"))</f>
        <v>25</v>
      </c>
      <c r="BJ34" s="74">
        <f ca="1">ROUND((Table610[[#This Row],[XP]]*Table610[[#This Row],[entity_spawned (AVG)]])*(Table610[[#This Row],[activating_chance]]/100),0)</f>
        <v>163</v>
      </c>
      <c r="BK34" s="71" t="str">
        <f ca="1">INDIRECT(ADDRESS(11+(MATCH(RIGHT(Table610[[#This Row],[spawner_sku]],LEN(Table610[[#This Row],[spawner_sku]])-FIND("/",Table610[[#This Row],[spawner_sku]])),Table28[Entity Prefab],0)),24,1,1,"Entities"))</f>
        <v>no</v>
      </c>
      <c r="BL34">
        <v>5</v>
      </c>
      <c r="BM34">
        <v>8</v>
      </c>
      <c r="BN34" t="b">
        <v>1</v>
      </c>
      <c r="BP34" t="s">
        <v>215</v>
      </c>
      <c r="BQ34">
        <v>3</v>
      </c>
      <c r="BR34">
        <v>200</v>
      </c>
      <c r="BS34">
        <v>100</v>
      </c>
      <c r="BT34" s="74">
        <f ca="1">INDIRECT(ADDRESS(11+(MATCH(RIGHT(Table61011[[#This Row],[spawner_sku]],LEN(Table61011[[#This Row],[spawner_sku]])-FIND("/",Table61011[[#This Row],[spawner_sku]])),Table1[Entity Prefab],0)),10,1,1,"Entities"))</f>
        <v>25</v>
      </c>
      <c r="BU34" s="74">
        <f ca="1">ROUND((Table61011[[#This Row],[XP]]*Table61011[[#This Row],[entity_spawned (AVG)]])*(Table61011[[#This Row],[activating_chance]]/100),0)</f>
        <v>75</v>
      </c>
      <c r="BV34" s="71" t="str">
        <f ca="1">INDIRECT(ADDRESS(11+(MATCH(RIGHT(Table61011[[#This Row],[spawner_sku]],LEN(Table61011[[#This Row],[spawner_sku]])-FIND("/",Table61011[[#This Row],[spawner_sku]])),Table28[Entity Prefab],0)),24,1,1,"Entities"))</f>
        <v>no</v>
      </c>
      <c r="BW34" s="71">
        <v>3</v>
      </c>
      <c r="BX34" s="71">
        <v>3</v>
      </c>
      <c r="BY34" s="71" t="b">
        <v>0</v>
      </c>
      <c r="BZ34" s="71"/>
      <c r="CA34" s="147" t="s">
        <v>230</v>
      </c>
      <c r="CB34">
        <v>1</v>
      </c>
      <c r="CC34">
        <v>200</v>
      </c>
      <c r="CD34">
        <v>100</v>
      </c>
      <c r="CE34" s="74">
        <f ca="1">INDIRECT(ADDRESS(11+(MATCH(RIGHT(Table35[[#This Row],[spawner_sku]],LEN(Table35[[#This Row],[spawner_sku]])-FIND("/",Table35[[#This Row],[spawner_sku]])),Table1[Entity Prefab],0)),10,1,1,"Entities"))</f>
        <v>28</v>
      </c>
      <c r="CF34" s="74">
        <f ca="1">ROUND((Table35[[#This Row],[XP]]*Table35[[#This Row],[entity_spawned (AVG)]])*(Table35[[#This Row],[activating_chance]]/100),0)</f>
        <v>28</v>
      </c>
      <c r="CG34" s="144" t="str">
        <f ca="1">INDIRECT(ADDRESS(11+(MATCH(RIGHT(Table35[[#This Row],[spawner_sku]],LEN(Table35[[#This Row],[spawner_sku]])-FIND("/",Table35[[#This Row],[spawner_sku]])),Table28[Entity Prefab],0)),24,1,1,"Entities"))</f>
        <v>no</v>
      </c>
      <c r="CH34">
        <v>1</v>
      </c>
      <c r="CI34">
        <v>1</v>
      </c>
      <c r="CJ34" s="71" t="b">
        <v>0</v>
      </c>
      <c r="CL34" t="s">
        <v>215</v>
      </c>
      <c r="CM34">
        <v>1.5</v>
      </c>
      <c r="CN34">
        <v>180</v>
      </c>
      <c r="CO34">
        <v>30</v>
      </c>
      <c r="CP34" s="74">
        <f ca="1">INDIRECT(ADDRESS(11+(MATCH(RIGHT(Table11[[#This Row],[spawner_sku]],LEN(Table11[[#This Row],[spawner_sku]])-FIND("/",Table11[[#This Row],[spawner_sku]])),Table1[Entity Prefab],0)),10,1,1,"Entities"))</f>
        <v>25</v>
      </c>
      <c r="CQ34">
        <f ca="1">ROUND((Table11[[#This Row],[XP]]*Table11[[#This Row],[entity_spawned (AVG)]])*(Table11[[#This Row],[activating_chance]]/100),0)</f>
        <v>11</v>
      </c>
      <c r="CR34" s="144" t="str">
        <f ca="1">INDIRECT(ADDRESS(11+(MATCH(RIGHT(Table11[[#This Row],[spawner_sku]],LEN(Table11[[#This Row],[spawner_sku]])-FIND("/",Table11[[#This Row],[spawner_sku]])),Table28[Entity Prefab],0)),25,1,1,"Entities"))</f>
        <v>no</v>
      </c>
      <c r="CS34" s="71">
        <v>1</v>
      </c>
      <c r="CT34" s="71">
        <v>2</v>
      </c>
      <c r="CU34" s="71" t="b">
        <v>0</v>
      </c>
      <c r="CW34" t="s">
        <v>214</v>
      </c>
      <c r="CX34">
        <v>5.5</v>
      </c>
      <c r="CY34">
        <v>280</v>
      </c>
      <c r="CZ34">
        <v>100</v>
      </c>
      <c r="DA34" s="74">
        <f ca="1">INDIRECT(ADDRESS(11+(MATCH(RIGHT(Table12[[#This Row],[spawner_sku]],LEN(Table12[[#This Row],[spawner_sku]])-FIND("/",Table12[[#This Row],[spawner_sku]])),Table1[Entity Prefab],0)),10,1,1,"Entities"))</f>
        <v>25</v>
      </c>
      <c r="DB34" s="74">
        <f ca="1">ROUND((Table12[[#This Row],[XP]]*Table12[[#This Row],[entity_spawned (AVG)]])*(Table12[[#This Row],[activating_chance]]/100),0)</f>
        <v>138</v>
      </c>
      <c r="DC34" s="144" t="str">
        <f ca="1">INDIRECT(ADDRESS(11+(MATCH(RIGHT(Table12[[#This Row],[spawner_sku]],LEN(Table12[[#This Row],[spawner_sku]])-FIND("/",Table12[[#This Row],[spawner_sku]])),Table28[Entity Prefab],0)),25,1,1,"Entities"))</f>
        <v>no</v>
      </c>
      <c r="DD34" s="71">
        <v>5</v>
      </c>
      <c r="DE34" s="71">
        <v>6</v>
      </c>
      <c r="DF34" s="71" t="b">
        <v>1</v>
      </c>
      <c r="DH34" t="s">
        <v>214</v>
      </c>
      <c r="DI34">
        <v>3.5</v>
      </c>
      <c r="DJ34">
        <v>280</v>
      </c>
      <c r="DK34">
        <v>100</v>
      </c>
      <c r="DL34" s="74">
        <f ca="1">INDIRECT(ADDRESS(11+(MATCH(RIGHT(Table13[[#This Row],[spawner_sku]],LEN(Table13[[#This Row],[spawner_sku]])-FIND("/",Table13[[#This Row],[spawner_sku]])),Table1[Entity Prefab],0)),10,1,1,"Entities"))</f>
        <v>25</v>
      </c>
      <c r="DM34" s="74">
        <f ca="1">ROUND((Table13[[#This Row],[XP]]*Table13[[#This Row],[entity_spawned (AVG)]])*(Table13[[#This Row],[activating_chance]]/100),0)</f>
        <v>88</v>
      </c>
      <c r="DN34" s="144" t="str">
        <f ca="1">INDIRECT(ADDRESS(11+(MATCH(RIGHT(Table13[[#This Row],[spawner_sku]],LEN(Table13[[#This Row],[spawner_sku]])-FIND("/",Table13[[#This Row],[spawner_sku]])),Table28[Entity Prefab],0)),25,1,1,"Entities"))</f>
        <v>no</v>
      </c>
      <c r="DO34" s="71">
        <v>3</v>
      </c>
      <c r="DP34" s="71">
        <v>4</v>
      </c>
      <c r="DQ34" s="71" t="b">
        <v>0</v>
      </c>
      <c r="DS34" t="s">
        <v>213</v>
      </c>
      <c r="DT34">
        <v>3</v>
      </c>
      <c r="DU34">
        <v>160</v>
      </c>
      <c r="DV34">
        <v>100</v>
      </c>
      <c r="DW34" s="74">
        <f ca="1">INDIRECT(ADDRESS(11+(MATCH(RIGHT(Table14[[#This Row],[spawner_sku]],LEN(Table14[[#This Row],[spawner_sku]])-FIND("/",Table14[[#This Row],[spawner_sku]])),Table1[Entity Prefab],0)),10,1,1,"Entities"))</f>
        <v>55</v>
      </c>
      <c r="DX34" s="74">
        <f ca="1">ROUND((Table14[[#This Row],[XP]]*Table14[[#This Row],[entity_spawned (AVG)]])*(Table14[[#This Row],[activating_chance]]/100),0)</f>
        <v>165</v>
      </c>
      <c r="DY34" s="144" t="str">
        <f ca="1">INDIRECT(ADDRESS(11+(MATCH(RIGHT(Table14[[#This Row],[spawner_sku]],LEN(Table14[[#This Row],[spawner_sku]])-FIND("/",Table14[[#This Row],[spawner_sku]])),Table28[Entity Prefab],0)),25,1,1,"Entities"))</f>
        <v>yes</v>
      </c>
      <c r="DZ34" s="71">
        <v>3</v>
      </c>
      <c r="EA34" s="71">
        <v>3</v>
      </c>
      <c r="EB34" s="71" t="b">
        <v>0</v>
      </c>
      <c r="EC34" s="71"/>
      <c r="ED34" s="147" t="s">
        <v>570</v>
      </c>
      <c r="EE34" s="71">
        <v>1</v>
      </c>
      <c r="EF34" s="71">
        <v>120</v>
      </c>
      <c r="EG34" s="71">
        <v>100</v>
      </c>
      <c r="EH34" s="71">
        <f ca="1">INDIRECT(ADDRESS(11+(MATCH(RIGHT(Table36[[#This Row],[spawner_sku]],LEN(Table36[[#This Row],[spawner_sku]])-FIND("/",Table36[[#This Row],[spawner_sku]])),Table1[Entity Prefab],0)),10,1,1,"Entities"))</f>
        <v>50</v>
      </c>
      <c r="EI34" s="71">
        <f ca="1">ROUND((Table36[[#This Row],[XP]]*Table36[[#This Row],[entity_spawned (AVG)]])*(Table36[[#This Row],[activating_chance]]/100),0)</f>
        <v>50</v>
      </c>
      <c r="EJ34" s="71" t="str">
        <f ca="1">INDIRECT(ADDRESS(11+(MATCH(RIGHT(Table36[[#This Row],[spawner_sku]],LEN(Table36[[#This Row],[spawner_sku]])-FIND("/",Table36[[#This Row],[spawner_sku]])),Table28[Entity Prefab],0)),25,1,1,"Entities"))</f>
        <v>no</v>
      </c>
      <c r="EK34" s="71">
        <v>1</v>
      </c>
      <c r="EL34" s="71">
        <v>1</v>
      </c>
      <c r="EM34" s="71" t="b">
        <v>0</v>
      </c>
      <c r="EO34" t="s">
        <v>214</v>
      </c>
      <c r="EP34">
        <v>4</v>
      </c>
      <c r="EQ34">
        <v>120</v>
      </c>
      <c r="ER34">
        <v>100</v>
      </c>
      <c r="ES34" s="74">
        <f ca="1">INDIRECT(ADDRESS(11+(MATCH(RIGHT(Table18[[#This Row],[spawner_sku]],LEN(Table18[[#This Row],[spawner_sku]])-FIND("/",Table18[[#This Row],[spawner_sku]])),Table1[Entity Prefab],0)),10,1,1,"Entities"))</f>
        <v>25</v>
      </c>
      <c r="ET34" s="74">
        <f ca="1">ROUND((Table18[[#This Row],[XP]]*Table18[[#This Row],[entity_spawned (AVG)]])*(Table18[[#This Row],[activating_chance]]/100),0)</f>
        <v>100</v>
      </c>
      <c r="EU34" s="74" t="str">
        <f ca="1">INDIRECT(ADDRESS(11+(MATCH(RIGHT(Table18[[#This Row],[spawner_sku]],LEN(Table18[[#This Row],[spawner_sku]])-FIND("/",Table18[[#This Row],[spawner_sku]])),Table28[Entity Prefab],0)),26,1,1,"Entities"))</f>
        <v>no</v>
      </c>
      <c r="EV34">
        <v>4</v>
      </c>
      <c r="EW34">
        <v>4</v>
      </c>
      <c r="EX34" t="b">
        <v>0</v>
      </c>
      <c r="EZ34" t="s">
        <v>214</v>
      </c>
      <c r="FA34">
        <v>7</v>
      </c>
      <c r="FB34">
        <v>160</v>
      </c>
      <c r="FC34">
        <v>30</v>
      </c>
      <c r="FD34" s="74">
        <f ca="1">INDIRECT(ADDRESS(11+(MATCH(RIGHT(Table1820[[#This Row],[spawner_sku]],LEN(Table1820[[#This Row],[spawner_sku]])-FIND("/",Table1820[[#This Row],[spawner_sku]])),Table1[Entity Prefab],0)),10,1,1,"Entities"))</f>
        <v>25</v>
      </c>
      <c r="FE34" s="74">
        <f ca="1">ROUND((Table1820[[#This Row],[XP]]*Table1820[[#This Row],[entity_spawned (AVG)]])*(Table1820[[#This Row],[activating_chance]]/100),0)</f>
        <v>53</v>
      </c>
      <c r="FF34" s="74" t="str">
        <f ca="1">INDIRECT(ADDRESS(11+(MATCH(RIGHT(Table1820[[#This Row],[spawner_sku]],LEN(Table1820[[#This Row],[spawner_sku]])-FIND("/",Table1820[[#This Row],[spawner_sku]])),Table28[Entity Prefab],0)),26,1,1,"Entities"))</f>
        <v>no</v>
      </c>
      <c r="FG34">
        <v>6</v>
      </c>
      <c r="FH34">
        <v>8</v>
      </c>
      <c r="FI34" t="b">
        <v>1</v>
      </c>
      <c r="FK34" t="s">
        <v>8112</v>
      </c>
      <c r="FL34">
        <v>1</v>
      </c>
      <c r="FM34">
        <v>300</v>
      </c>
      <c r="FN34">
        <v>100</v>
      </c>
      <c r="FO34">
        <f ca="1">INDIRECT(ADDRESS(11+(MATCH(RIGHT(Table182023[[#This Row],[spawner_sku]],LEN(Table182023[[#This Row],[spawner_sku]])-FIND("/",Table182023[[#This Row],[spawner_sku]])),Table1[Entity Prefab],0)),10,1,1,"Entities"))</f>
        <v>150</v>
      </c>
      <c r="FP34">
        <f ca="1">ROUND((Table182023[[#This Row],[XP]]*Table182023[[#This Row],[entity_spawned (AVG)]])*(Table182023[[#This Row],[activating_chance]]/100),0)</f>
        <v>150</v>
      </c>
      <c r="FQ34" t="str">
        <f ca="1">INDIRECT(ADDRESS(11+(MATCH(RIGHT(Table182023[[#This Row],[spawner_sku]],LEN(Table182023[[#This Row],[spawner_sku]])-FIND("/",Table182023[[#This Row],[spawner_sku]])),Table28[Entity Prefab],0)),26,1,1,"Entities"))</f>
        <v>yes</v>
      </c>
      <c r="FR34">
        <v>1</v>
      </c>
      <c r="FS34">
        <v>1</v>
      </c>
      <c r="FT34" t="b">
        <v>0</v>
      </c>
      <c r="FV34" t="s">
        <v>490</v>
      </c>
      <c r="FW34">
        <v>1.5</v>
      </c>
      <c r="FX34">
        <v>80</v>
      </c>
      <c r="FY34">
        <v>100</v>
      </c>
      <c r="FZ34" s="74">
        <f ca="1">INDIRECT(ADDRESS(11+(MATCH(RIGHT(Table18202324[[#This Row],[spawner_sku]],LEN(Table18202324[[#This Row],[spawner_sku]])-FIND("/",Table18202324[[#This Row],[spawner_sku]])),Table1[Entity Prefab],0)),10,1,1,"Entities"))</f>
        <v>95</v>
      </c>
      <c r="GA34" s="74">
        <f ca="1">ROUND((Table18202324[[#This Row],[XP]]*Table18202324[[#This Row],[entity_spawned (AVG)]])*(Table18202324[[#This Row],[activating_chance]]/100),0)</f>
        <v>143</v>
      </c>
      <c r="GB34" s="74" t="str">
        <f ca="1">INDIRECT(ADDRESS(11+(MATCH(RIGHT(Table18202324[[#This Row],[spawner_sku]],LEN(Table18202324[[#This Row],[spawner_sku]])-FIND("/",Table18202324[[#This Row],[spawner_sku]])),Table28[Entity Prefab],0)),26,1,1,"Entities"))</f>
        <v>yes</v>
      </c>
      <c r="GC34">
        <v>1</v>
      </c>
      <c r="GD34">
        <v>2</v>
      </c>
      <c r="GE34" t="b">
        <v>0</v>
      </c>
      <c r="GG34" t="s">
        <v>3819</v>
      </c>
      <c r="GH34">
        <v>1</v>
      </c>
      <c r="GI34">
        <v>240</v>
      </c>
      <c r="GJ34">
        <v>100</v>
      </c>
      <c r="GK34">
        <f ca="1">INDIRECT(ADDRESS(11+(MATCH(RIGHT(Table37[[#This Row],[spawner_sku]],LEN(Table37[[#This Row],[spawner_sku]])-FIND("/",Table37[[#This Row],[spawner_sku]])),Table1[Entity Prefab],0)),10,1,1,"Entities"))</f>
        <v>10</v>
      </c>
      <c r="GL34">
        <f ca="1">ROUND((Table37[[#This Row],[XP]]*Table37[[#This Row],[entity_spawned (AVG)]])*(Table37[[#This Row],[activating_chance]]/100),0)</f>
        <v>10</v>
      </c>
      <c r="GM34" t="str">
        <f ca="1">INDIRECT(ADDRESS(11+(MATCH(RIGHT(Table37[[#This Row],[spawner_sku]],LEN(Table37[[#This Row],[spawner_sku]])-FIND("/",Table37[[#This Row],[spawner_sku]])),Table28[Entity Prefab],0)),26,1,1,"Entities"))</f>
        <v>no</v>
      </c>
      <c r="GN34">
        <v>1</v>
      </c>
      <c r="GO34">
        <v>1</v>
      </c>
      <c r="GP34" t="b">
        <v>0</v>
      </c>
    </row>
    <row r="35" spans="2:198" x14ac:dyDescent="0.25">
      <c r="B35" s="72" t="s">
        <v>215</v>
      </c>
      <c r="C35">
        <v>1.5</v>
      </c>
      <c r="D35">
        <v>80</v>
      </c>
      <c r="E35">
        <v>100</v>
      </c>
      <c r="F35" s="74">
        <f ca="1">INDIRECT(ADDRESS(11+(MATCH(RIGHT(Table245[[#This Row],[spawner_sku]],LEN(Table245[[#This Row],[spawner_sku]])-FIND("/",Table245[[#This Row],[spawner_sku]])),Table1[Entity Prefab],0)),10,1,1,"Entities"))</f>
        <v>25</v>
      </c>
      <c r="G35" s="74">
        <f ca="1">ROUND((Table245[[#This Row],[XP]]*Table245[[#This Row],[entity_spawned (AVG)]])*(Table245[[#This Row],[activating_chance]]/100),0)</f>
        <v>38</v>
      </c>
      <c r="H35" s="71" t="str">
        <f ca="1">INDIRECT(ADDRESS(11+(MATCH(RIGHT(Table245[[#This Row],[spawner_sku]],LEN(Table245[[#This Row],[spawner_sku]])-FIND("/",Table245[[#This Row],[spawner_sku]])),Table28[Entity Prefab],0)),24,1,1,"Entities"))</f>
        <v>no</v>
      </c>
      <c r="I35" s="71">
        <v>1</v>
      </c>
      <c r="J35" s="71">
        <v>2</v>
      </c>
      <c r="K35" s="71" t="b">
        <v>0</v>
      </c>
      <c r="M35" t="s">
        <v>215</v>
      </c>
      <c r="N35">
        <v>3</v>
      </c>
      <c r="O35">
        <v>200</v>
      </c>
      <c r="P35">
        <v>100</v>
      </c>
      <c r="Q35" s="74">
        <f ca="1">INDIRECT(ADDRESS(11+(MATCH(RIGHT(Table3[[#This Row],[spawner_sku]],LEN(Table3[[#This Row],[spawner_sku]])-FIND("/",Table3[[#This Row],[spawner_sku]])),Table1[Entity Prefab],0)),10,1,1,"Entities"))</f>
        <v>25</v>
      </c>
      <c r="R35" s="74">
        <f ca="1">ROUND((Table3[[#This Row],[XP]]*Table3[[#This Row],[entity_spawned (AVG)]])*(Table3[[#This Row],[activating_chance]]/100),0)</f>
        <v>75</v>
      </c>
      <c r="S35" t="str">
        <f ca="1">INDIRECT(ADDRESS(11+(MATCH(RIGHT(Table3[[#This Row],[spawner_sku]],LEN(Table3[[#This Row],[spawner_sku]])-FIND("/",Table3[[#This Row],[spawner_sku]])),Table28[Entity Prefab],0)),24,1,1,"Entities"))</f>
        <v>no</v>
      </c>
      <c r="T35">
        <v>2</v>
      </c>
      <c r="U35">
        <v>4</v>
      </c>
      <c r="V35" t="b">
        <v>0</v>
      </c>
      <c r="W35" s="71"/>
      <c r="X35" t="s">
        <v>219</v>
      </c>
      <c r="Y35">
        <v>1</v>
      </c>
      <c r="Z35">
        <v>250</v>
      </c>
      <c r="AA35">
        <v>100</v>
      </c>
      <c r="AB35" s="74">
        <f ca="1">INDIRECT(ADDRESS(11+(MATCH(RIGHT(Table39[[#This Row],[spawner_sku]],LEN(Table39[[#This Row],[spawner_sku]])-FIND("/",Table39[[#This Row],[spawner_sku]])),Table1[Entity Prefab],0)),10,1,1,"Entities"))</f>
        <v>143</v>
      </c>
      <c r="AC35" s="74">
        <f ca="1">ROUND((Table39[[#This Row],[XP]]*Table39[[#This Row],[entity_spawned (AVG)]])*(Table39[[#This Row],[activating_chance]]/100),0)</f>
        <v>143</v>
      </c>
      <c r="AD35" t="str">
        <f ca="1">INDIRECT(ADDRESS(11+(MATCH(RIGHT(Table39[[#This Row],[spawner_sku]],LEN(Table39[[#This Row],[spawner_sku]])-FIND("/",Table39[[#This Row],[spawner_sku]])),Table28[Entity Prefab],0)),24,1,1,"Entities"))</f>
        <v>yes</v>
      </c>
      <c r="AE35">
        <v>1</v>
      </c>
      <c r="AF35">
        <v>1</v>
      </c>
      <c r="AG35" t="b">
        <v>0</v>
      </c>
      <c r="AI35" t="s">
        <v>215</v>
      </c>
      <c r="AJ35">
        <v>3.5</v>
      </c>
      <c r="AK35">
        <v>100</v>
      </c>
      <c r="AL35">
        <v>100</v>
      </c>
      <c r="AM35" s="74">
        <f ca="1">INDIRECT(ADDRESS(11+(MATCH(RIGHT(Table2[[#This Row],[spawner_sku]],LEN(Table2[[#This Row],[spawner_sku]])-FIND("/",Table2[[#This Row],[spawner_sku]])),Table1[Entity Prefab],0)),10,1,1,"Entities"))</f>
        <v>25</v>
      </c>
      <c r="AN35" s="74">
        <f ca="1">ROUND((Table2[[#This Row],[XP]]*Table2[[#This Row],[entity_spawned (AVG)]])*(Table2[[#This Row],[activating_chance]]/100),0)</f>
        <v>88</v>
      </c>
      <c r="AO35" s="71" t="str">
        <f ca="1">INDIRECT(ADDRESS(11+(MATCH(RIGHT(Table2[[#This Row],[spawner_sku]],LEN(Table2[[#This Row],[spawner_sku]])-FIND("/",Table2[[#This Row],[spawner_sku]])),Table28[Entity Prefab],0)),24,1,1,"Entities"))</f>
        <v>no</v>
      </c>
      <c r="AP35" s="71">
        <v>3</v>
      </c>
      <c r="AQ35" s="71">
        <v>4</v>
      </c>
      <c r="AR35" s="71" t="b">
        <v>0</v>
      </c>
      <c r="AT35" t="s">
        <v>215</v>
      </c>
      <c r="AU35">
        <v>2</v>
      </c>
      <c r="AV35">
        <v>60</v>
      </c>
      <c r="AW35">
        <v>100</v>
      </c>
      <c r="AX35" s="74">
        <f ca="1">INDIRECT(ADDRESS(11+(MATCH(RIGHT(Table6[[#This Row],[spawner_sku]],LEN(Table6[[#This Row],[spawner_sku]])-FIND("/",Table6[[#This Row],[spawner_sku]])),Table1[Entity Prefab],0)),10,1,1,"Entities"))</f>
        <v>25</v>
      </c>
      <c r="AY35" s="74">
        <f ca="1">ROUND((Table6[[#This Row],[XP]]*Table6[[#This Row],[entity_spawned (AVG)]])*(Table6[[#This Row],[activating_chance]]/100),0)</f>
        <v>50</v>
      </c>
      <c r="AZ35" s="144" t="str">
        <f ca="1">INDIRECT(ADDRESS(11+(MATCH(RIGHT(Table6[[#This Row],[spawner_sku]],LEN(Table6[[#This Row],[spawner_sku]])-FIND("/",Table6[[#This Row],[spawner_sku]])),Table28[Entity Prefab],0)),24,1,1,"Entities"))</f>
        <v>no</v>
      </c>
      <c r="BA35">
        <v>2</v>
      </c>
      <c r="BB35">
        <v>2</v>
      </c>
      <c r="BC35" t="b">
        <v>0</v>
      </c>
      <c r="BE35" t="s">
        <v>214</v>
      </c>
      <c r="BF35">
        <v>6.5</v>
      </c>
      <c r="BG35">
        <v>120</v>
      </c>
      <c r="BH35">
        <v>100</v>
      </c>
      <c r="BI35" s="74">
        <f ca="1">INDIRECT(ADDRESS(11+(MATCH(RIGHT(Table610[[#This Row],[spawner_sku]],LEN(Table610[[#This Row],[spawner_sku]])-FIND("/",Table610[[#This Row],[spawner_sku]])),Table1[Entity Prefab],0)),10,1,1,"Entities"))</f>
        <v>25</v>
      </c>
      <c r="BJ35" s="74">
        <f ca="1">ROUND((Table610[[#This Row],[XP]]*Table610[[#This Row],[entity_spawned (AVG)]])*(Table610[[#This Row],[activating_chance]]/100),0)</f>
        <v>163</v>
      </c>
      <c r="BK35" s="71" t="str">
        <f ca="1">INDIRECT(ADDRESS(11+(MATCH(RIGHT(Table610[[#This Row],[spawner_sku]],LEN(Table610[[#This Row],[spawner_sku]])-FIND("/",Table610[[#This Row],[spawner_sku]])),Table28[Entity Prefab],0)),24,1,1,"Entities"))</f>
        <v>no</v>
      </c>
      <c r="BL35">
        <v>5</v>
      </c>
      <c r="BM35">
        <v>8</v>
      </c>
      <c r="BN35" t="b">
        <v>1</v>
      </c>
      <c r="BP35" t="s">
        <v>215</v>
      </c>
      <c r="BQ35">
        <v>5</v>
      </c>
      <c r="BR35">
        <v>220</v>
      </c>
      <c r="BS35">
        <v>100</v>
      </c>
      <c r="BT35" s="74">
        <f ca="1">INDIRECT(ADDRESS(11+(MATCH(RIGHT(Table61011[[#This Row],[spawner_sku]],LEN(Table61011[[#This Row],[spawner_sku]])-FIND("/",Table61011[[#This Row],[spawner_sku]])),Table1[Entity Prefab],0)),10,1,1,"Entities"))</f>
        <v>25</v>
      </c>
      <c r="BU35" s="74">
        <f ca="1">ROUND((Table61011[[#This Row],[XP]]*Table61011[[#This Row],[entity_spawned (AVG)]])*(Table61011[[#This Row],[activating_chance]]/100),0)</f>
        <v>125</v>
      </c>
      <c r="BV35" s="71" t="str">
        <f ca="1">INDIRECT(ADDRESS(11+(MATCH(RIGHT(Table61011[[#This Row],[spawner_sku]],LEN(Table61011[[#This Row],[spawner_sku]])-FIND("/",Table61011[[#This Row],[spawner_sku]])),Table28[Entity Prefab],0)),24,1,1,"Entities"))</f>
        <v>no</v>
      </c>
      <c r="BW35" s="71">
        <v>5</v>
      </c>
      <c r="BX35" s="71">
        <v>5</v>
      </c>
      <c r="BY35" s="71" t="b">
        <v>1</v>
      </c>
      <c r="BZ35" s="71"/>
      <c r="CA35" s="147" t="s">
        <v>230</v>
      </c>
      <c r="CB35">
        <v>1</v>
      </c>
      <c r="CC35">
        <v>200</v>
      </c>
      <c r="CD35">
        <v>100</v>
      </c>
      <c r="CE35" s="74">
        <f ca="1">INDIRECT(ADDRESS(11+(MATCH(RIGHT(Table35[[#This Row],[spawner_sku]],LEN(Table35[[#This Row],[spawner_sku]])-FIND("/",Table35[[#This Row],[spawner_sku]])),Table1[Entity Prefab],0)),10,1,1,"Entities"))</f>
        <v>28</v>
      </c>
      <c r="CF35" s="74">
        <f ca="1">ROUND((Table35[[#This Row],[XP]]*Table35[[#This Row],[entity_spawned (AVG)]])*(Table35[[#This Row],[activating_chance]]/100),0)</f>
        <v>28</v>
      </c>
      <c r="CG35" s="144" t="str">
        <f ca="1">INDIRECT(ADDRESS(11+(MATCH(RIGHT(Table35[[#This Row],[spawner_sku]],LEN(Table35[[#This Row],[spawner_sku]])-FIND("/",Table35[[#This Row],[spawner_sku]])),Table28[Entity Prefab],0)),24,1,1,"Entities"))</f>
        <v>no</v>
      </c>
      <c r="CH35">
        <v>1</v>
      </c>
      <c r="CI35">
        <v>1</v>
      </c>
      <c r="CJ35" s="71" t="b">
        <v>0</v>
      </c>
      <c r="CL35" t="s">
        <v>215</v>
      </c>
      <c r="CM35">
        <v>1.5</v>
      </c>
      <c r="CN35">
        <v>180</v>
      </c>
      <c r="CO35">
        <v>30</v>
      </c>
      <c r="CP35" s="74">
        <f ca="1">INDIRECT(ADDRESS(11+(MATCH(RIGHT(Table11[[#This Row],[spawner_sku]],LEN(Table11[[#This Row],[spawner_sku]])-FIND("/",Table11[[#This Row],[spawner_sku]])),Table1[Entity Prefab],0)),10,1,1,"Entities"))</f>
        <v>25</v>
      </c>
      <c r="CQ35">
        <f ca="1">ROUND((Table11[[#This Row],[XP]]*Table11[[#This Row],[entity_spawned (AVG)]])*(Table11[[#This Row],[activating_chance]]/100),0)</f>
        <v>11</v>
      </c>
      <c r="CR35" s="144" t="str">
        <f ca="1">INDIRECT(ADDRESS(11+(MATCH(RIGHT(Table11[[#This Row],[spawner_sku]],LEN(Table11[[#This Row],[spawner_sku]])-FIND("/",Table11[[#This Row],[spawner_sku]])),Table28[Entity Prefab],0)),25,1,1,"Entities"))</f>
        <v>no</v>
      </c>
      <c r="CS35" s="71">
        <v>1</v>
      </c>
      <c r="CT35" s="71">
        <v>2</v>
      </c>
      <c r="CU35" s="71" t="b">
        <v>0</v>
      </c>
      <c r="CW35" t="s">
        <v>214</v>
      </c>
      <c r="CX35">
        <v>12</v>
      </c>
      <c r="CY35">
        <v>280</v>
      </c>
      <c r="CZ35">
        <v>100</v>
      </c>
      <c r="DA35" s="74">
        <f ca="1">INDIRECT(ADDRESS(11+(MATCH(RIGHT(Table12[[#This Row],[spawner_sku]],LEN(Table12[[#This Row],[spawner_sku]])-FIND("/",Table12[[#This Row],[spawner_sku]])),Table1[Entity Prefab],0)),10,1,1,"Entities"))</f>
        <v>25</v>
      </c>
      <c r="DB35" s="74">
        <f ca="1">ROUND((Table12[[#This Row],[XP]]*Table12[[#This Row],[entity_spawned (AVG)]])*(Table12[[#This Row],[activating_chance]]/100),0)</f>
        <v>300</v>
      </c>
      <c r="DC35" s="144" t="str">
        <f ca="1">INDIRECT(ADDRESS(11+(MATCH(RIGHT(Table12[[#This Row],[spawner_sku]],LEN(Table12[[#This Row],[spawner_sku]])-FIND("/",Table12[[#This Row],[spawner_sku]])),Table28[Entity Prefab],0)),25,1,1,"Entities"))</f>
        <v>no</v>
      </c>
      <c r="DD35" s="71">
        <v>10</v>
      </c>
      <c r="DE35" s="71">
        <v>14</v>
      </c>
      <c r="DF35" s="71" t="b">
        <v>1</v>
      </c>
      <c r="DH35" t="s">
        <v>214</v>
      </c>
      <c r="DI35">
        <v>11</v>
      </c>
      <c r="DJ35">
        <v>280</v>
      </c>
      <c r="DK35">
        <v>100</v>
      </c>
      <c r="DL35" s="74">
        <f ca="1">INDIRECT(ADDRESS(11+(MATCH(RIGHT(Table13[[#This Row],[spawner_sku]],LEN(Table13[[#This Row],[spawner_sku]])-FIND("/",Table13[[#This Row],[spawner_sku]])),Table1[Entity Prefab],0)),10,1,1,"Entities"))</f>
        <v>25</v>
      </c>
      <c r="DM35" s="74">
        <f ca="1">ROUND((Table13[[#This Row],[XP]]*Table13[[#This Row],[entity_spawned (AVG)]])*(Table13[[#This Row],[activating_chance]]/100),0)</f>
        <v>275</v>
      </c>
      <c r="DN35" s="144" t="str">
        <f ca="1">INDIRECT(ADDRESS(11+(MATCH(RIGHT(Table13[[#This Row],[spawner_sku]],LEN(Table13[[#This Row],[spawner_sku]])-FIND("/",Table13[[#This Row],[spawner_sku]])),Table28[Entity Prefab],0)),25,1,1,"Entities"))</f>
        <v>no</v>
      </c>
      <c r="DO35" s="71">
        <v>8</v>
      </c>
      <c r="DP35" s="71">
        <v>14</v>
      </c>
      <c r="DQ35" s="71" t="b">
        <v>1</v>
      </c>
      <c r="DS35" t="s">
        <v>213</v>
      </c>
      <c r="DT35">
        <v>2</v>
      </c>
      <c r="DU35">
        <v>200</v>
      </c>
      <c r="DV35">
        <v>100</v>
      </c>
      <c r="DW35" s="74">
        <f ca="1">INDIRECT(ADDRESS(11+(MATCH(RIGHT(Table14[[#This Row],[spawner_sku]],LEN(Table14[[#This Row],[spawner_sku]])-FIND("/",Table14[[#This Row],[spawner_sku]])),Table1[Entity Prefab],0)),10,1,1,"Entities"))</f>
        <v>55</v>
      </c>
      <c r="DX35" s="74">
        <f ca="1">ROUND((Table14[[#This Row],[XP]]*Table14[[#This Row],[entity_spawned (AVG)]])*(Table14[[#This Row],[activating_chance]]/100),0)</f>
        <v>110</v>
      </c>
      <c r="DY35" s="144" t="str">
        <f ca="1">INDIRECT(ADDRESS(11+(MATCH(RIGHT(Table14[[#This Row],[spawner_sku]],LEN(Table14[[#This Row],[spawner_sku]])-FIND("/",Table14[[#This Row],[spawner_sku]])),Table28[Entity Prefab],0)),25,1,1,"Entities"))</f>
        <v>yes</v>
      </c>
      <c r="DZ35" s="71">
        <v>1</v>
      </c>
      <c r="EA35" s="71">
        <v>3</v>
      </c>
      <c r="EB35" s="71" t="b">
        <v>0</v>
      </c>
      <c r="EC35" s="71"/>
      <c r="ED35" s="147" t="s">
        <v>570</v>
      </c>
      <c r="EE35" s="71">
        <v>1</v>
      </c>
      <c r="EF35" s="71">
        <v>120</v>
      </c>
      <c r="EG35" s="71">
        <v>100</v>
      </c>
      <c r="EH35" s="71">
        <f ca="1">INDIRECT(ADDRESS(11+(MATCH(RIGHT(Table36[[#This Row],[spawner_sku]],LEN(Table36[[#This Row],[spawner_sku]])-FIND("/",Table36[[#This Row],[spawner_sku]])),Table1[Entity Prefab],0)),10,1,1,"Entities"))</f>
        <v>50</v>
      </c>
      <c r="EI35" s="71">
        <f ca="1">ROUND((Table36[[#This Row],[XP]]*Table36[[#This Row],[entity_spawned (AVG)]])*(Table36[[#This Row],[activating_chance]]/100),0)</f>
        <v>50</v>
      </c>
      <c r="EJ35" s="71" t="str">
        <f ca="1">INDIRECT(ADDRESS(11+(MATCH(RIGHT(Table36[[#This Row],[spawner_sku]],LEN(Table36[[#This Row],[spawner_sku]])-FIND("/",Table36[[#This Row],[spawner_sku]])),Table28[Entity Prefab],0)),25,1,1,"Entities"))</f>
        <v>no</v>
      </c>
      <c r="EK35" s="71">
        <v>1</v>
      </c>
      <c r="EL35" s="71">
        <v>1</v>
      </c>
      <c r="EM35" s="71" t="b">
        <v>0</v>
      </c>
      <c r="EO35" t="s">
        <v>214</v>
      </c>
      <c r="EP35">
        <v>4</v>
      </c>
      <c r="EQ35">
        <v>120</v>
      </c>
      <c r="ER35">
        <v>100</v>
      </c>
      <c r="ES35" s="74">
        <f ca="1">INDIRECT(ADDRESS(11+(MATCH(RIGHT(Table18[[#This Row],[spawner_sku]],LEN(Table18[[#This Row],[spawner_sku]])-FIND("/",Table18[[#This Row],[spawner_sku]])),Table1[Entity Prefab],0)),10,1,1,"Entities"))</f>
        <v>25</v>
      </c>
      <c r="ET35" s="74">
        <f ca="1">ROUND((Table18[[#This Row],[XP]]*Table18[[#This Row],[entity_spawned (AVG)]])*(Table18[[#This Row],[activating_chance]]/100),0)</f>
        <v>100</v>
      </c>
      <c r="EU35" s="74" t="str">
        <f ca="1">INDIRECT(ADDRESS(11+(MATCH(RIGHT(Table18[[#This Row],[spawner_sku]],LEN(Table18[[#This Row],[spawner_sku]])-FIND("/",Table18[[#This Row],[spawner_sku]])),Table28[Entity Prefab],0)),26,1,1,"Entities"))</f>
        <v>no</v>
      </c>
      <c r="EV35">
        <v>4</v>
      </c>
      <c r="EW35">
        <v>4</v>
      </c>
      <c r="EX35" t="b">
        <v>0</v>
      </c>
      <c r="EZ35" t="s">
        <v>214</v>
      </c>
      <c r="FA35">
        <v>3.5</v>
      </c>
      <c r="FB35">
        <v>140</v>
      </c>
      <c r="FC35">
        <v>100</v>
      </c>
      <c r="FD35" s="74">
        <f ca="1">INDIRECT(ADDRESS(11+(MATCH(RIGHT(Table1820[[#This Row],[spawner_sku]],LEN(Table1820[[#This Row],[spawner_sku]])-FIND("/",Table1820[[#This Row],[spawner_sku]])),Table1[Entity Prefab],0)),10,1,1,"Entities"))</f>
        <v>25</v>
      </c>
      <c r="FE35" s="74">
        <f ca="1">ROUND((Table1820[[#This Row],[XP]]*Table1820[[#This Row],[entity_spawned (AVG)]])*(Table1820[[#This Row],[activating_chance]]/100),0)</f>
        <v>88</v>
      </c>
      <c r="FF35" s="74" t="str">
        <f ca="1">INDIRECT(ADDRESS(11+(MATCH(RIGHT(Table1820[[#This Row],[spawner_sku]],LEN(Table1820[[#This Row],[spawner_sku]])-FIND("/",Table1820[[#This Row],[spawner_sku]])),Table28[Entity Prefab],0)),26,1,1,"Entities"))</f>
        <v>no</v>
      </c>
      <c r="FG35">
        <v>3</v>
      </c>
      <c r="FH35">
        <v>4</v>
      </c>
      <c r="FI35" t="b">
        <v>0</v>
      </c>
      <c r="FK35" t="s">
        <v>233</v>
      </c>
      <c r="FL35">
        <v>1</v>
      </c>
      <c r="FM35">
        <v>500</v>
      </c>
      <c r="FN35">
        <v>80</v>
      </c>
      <c r="FO35">
        <f ca="1">INDIRECT(ADDRESS(11+(MATCH(RIGHT(Table182023[[#This Row],[spawner_sku]],LEN(Table182023[[#This Row],[spawner_sku]])-FIND("/",Table182023[[#This Row],[spawner_sku]])),Table1[Entity Prefab],0)),10,1,1,"Entities"))</f>
        <v>25</v>
      </c>
      <c r="FP35">
        <f ca="1">ROUND((Table182023[[#This Row],[XP]]*Table182023[[#This Row],[entity_spawned (AVG)]])*(Table182023[[#This Row],[activating_chance]]/100),0)</f>
        <v>20</v>
      </c>
      <c r="FQ35" t="str">
        <f ca="1">INDIRECT(ADDRESS(11+(MATCH(RIGHT(Table182023[[#This Row],[spawner_sku]],LEN(Table182023[[#This Row],[spawner_sku]])-FIND("/",Table182023[[#This Row],[spawner_sku]])),Table28[Entity Prefab],0)),26,1,1,"Entities"))</f>
        <v>no</v>
      </c>
      <c r="FR35">
        <v>1</v>
      </c>
      <c r="FS35">
        <v>1</v>
      </c>
      <c r="FT35" t="b">
        <v>0</v>
      </c>
      <c r="FV35" t="s">
        <v>490</v>
      </c>
      <c r="FW35">
        <v>1</v>
      </c>
      <c r="FX35">
        <v>80</v>
      </c>
      <c r="FY35">
        <v>100</v>
      </c>
      <c r="FZ35" s="74">
        <f ca="1">INDIRECT(ADDRESS(11+(MATCH(RIGHT(Table18202324[[#This Row],[spawner_sku]],LEN(Table18202324[[#This Row],[spawner_sku]])-FIND("/",Table18202324[[#This Row],[spawner_sku]])),Table1[Entity Prefab],0)),10,1,1,"Entities"))</f>
        <v>95</v>
      </c>
      <c r="GA35" s="74">
        <f ca="1">ROUND((Table18202324[[#This Row],[XP]]*Table18202324[[#This Row],[entity_spawned (AVG)]])*(Table18202324[[#This Row],[activating_chance]]/100),0)</f>
        <v>95</v>
      </c>
      <c r="GB35" s="74" t="str">
        <f ca="1">INDIRECT(ADDRESS(11+(MATCH(RIGHT(Table18202324[[#This Row],[spawner_sku]],LEN(Table18202324[[#This Row],[spawner_sku]])-FIND("/",Table18202324[[#This Row],[spawner_sku]])),Table28[Entity Prefab],0)),26,1,1,"Entities"))</f>
        <v>yes</v>
      </c>
      <c r="GC35">
        <v>1</v>
      </c>
      <c r="GD35">
        <v>1</v>
      </c>
      <c r="GE35" t="b">
        <v>0</v>
      </c>
      <c r="GG35" t="s">
        <v>3820</v>
      </c>
      <c r="GH35">
        <v>1</v>
      </c>
      <c r="GI35">
        <v>240</v>
      </c>
      <c r="GJ35">
        <v>100</v>
      </c>
      <c r="GK35">
        <f ca="1">INDIRECT(ADDRESS(11+(MATCH(RIGHT(Table37[[#This Row],[spawner_sku]],LEN(Table37[[#This Row],[spawner_sku]])-FIND("/",Table37[[#This Row],[spawner_sku]])),Table1[Entity Prefab],0)),10,1,1,"Entities"))</f>
        <v>10</v>
      </c>
      <c r="GL35">
        <f ca="1">ROUND((Table37[[#This Row],[XP]]*Table37[[#This Row],[entity_spawned (AVG)]])*(Table37[[#This Row],[activating_chance]]/100),0)</f>
        <v>10</v>
      </c>
      <c r="GM35" t="str">
        <f ca="1">INDIRECT(ADDRESS(11+(MATCH(RIGHT(Table37[[#This Row],[spawner_sku]],LEN(Table37[[#This Row],[spawner_sku]])-FIND("/",Table37[[#This Row],[spawner_sku]])),Table28[Entity Prefab],0)),26,1,1,"Entities"))</f>
        <v>no</v>
      </c>
      <c r="GN35">
        <v>1</v>
      </c>
      <c r="GO35">
        <v>1</v>
      </c>
      <c r="GP35" t="b">
        <v>0</v>
      </c>
    </row>
    <row r="36" spans="2:198" x14ac:dyDescent="0.25">
      <c r="B36" s="72" t="s">
        <v>215</v>
      </c>
      <c r="C36">
        <v>2.5</v>
      </c>
      <c r="D36">
        <v>120</v>
      </c>
      <c r="E36">
        <v>100</v>
      </c>
      <c r="F36" s="74">
        <f ca="1">INDIRECT(ADDRESS(11+(MATCH(RIGHT(Table245[[#This Row],[spawner_sku]],LEN(Table245[[#This Row],[spawner_sku]])-FIND("/",Table245[[#This Row],[spawner_sku]])),Table1[Entity Prefab],0)),10,1,1,"Entities"))</f>
        <v>25</v>
      </c>
      <c r="G36" s="74">
        <f ca="1">ROUND((Table245[[#This Row],[XP]]*Table245[[#This Row],[entity_spawned (AVG)]])*(Table245[[#This Row],[activating_chance]]/100),0)</f>
        <v>63</v>
      </c>
      <c r="H36" s="71" t="str">
        <f ca="1">INDIRECT(ADDRESS(11+(MATCH(RIGHT(Table245[[#This Row],[spawner_sku]],LEN(Table245[[#This Row],[spawner_sku]])-FIND("/",Table245[[#This Row],[spawner_sku]])),Table28[Entity Prefab],0)),24,1,1,"Entities"))</f>
        <v>no</v>
      </c>
      <c r="I36" s="71">
        <v>2</v>
      </c>
      <c r="J36" s="71">
        <v>3</v>
      </c>
      <c r="K36" s="71" t="b">
        <v>0</v>
      </c>
      <c r="M36" t="s">
        <v>215</v>
      </c>
      <c r="N36">
        <v>2</v>
      </c>
      <c r="O36">
        <v>130</v>
      </c>
      <c r="P36">
        <v>100</v>
      </c>
      <c r="Q36" s="74">
        <f ca="1">INDIRECT(ADDRESS(11+(MATCH(RIGHT(Table3[[#This Row],[spawner_sku]],LEN(Table3[[#This Row],[spawner_sku]])-FIND("/",Table3[[#This Row],[spawner_sku]])),Table1[Entity Prefab],0)),10,1,1,"Entities"))</f>
        <v>25</v>
      </c>
      <c r="R36" s="74">
        <f ca="1">ROUND((Table3[[#This Row],[XP]]*Table3[[#This Row],[entity_spawned (AVG)]])*(Table3[[#This Row],[activating_chance]]/100),0)</f>
        <v>50</v>
      </c>
      <c r="S36" t="str">
        <f ca="1">INDIRECT(ADDRESS(11+(MATCH(RIGHT(Table3[[#This Row],[spawner_sku]],LEN(Table3[[#This Row],[spawner_sku]])-FIND("/",Table3[[#This Row],[spawner_sku]])),Table28[Entity Prefab],0)),24,1,1,"Entities"))</f>
        <v>no</v>
      </c>
      <c r="T36">
        <v>1</v>
      </c>
      <c r="U36">
        <v>3</v>
      </c>
      <c r="V36" t="b">
        <v>0</v>
      </c>
      <c r="W36" s="71"/>
      <c r="X36" t="s">
        <v>219</v>
      </c>
      <c r="Y36">
        <v>1.5</v>
      </c>
      <c r="Z36">
        <v>250</v>
      </c>
      <c r="AA36">
        <v>100</v>
      </c>
      <c r="AB36" s="74">
        <f ca="1">INDIRECT(ADDRESS(11+(MATCH(RIGHT(Table39[[#This Row],[spawner_sku]],LEN(Table39[[#This Row],[spawner_sku]])-FIND("/",Table39[[#This Row],[spawner_sku]])),Table1[Entity Prefab],0)),10,1,1,"Entities"))</f>
        <v>143</v>
      </c>
      <c r="AC36" s="74">
        <f ca="1">ROUND((Table39[[#This Row],[XP]]*Table39[[#This Row],[entity_spawned (AVG)]])*(Table39[[#This Row],[activating_chance]]/100),0)</f>
        <v>215</v>
      </c>
      <c r="AD36" t="str">
        <f ca="1">INDIRECT(ADDRESS(11+(MATCH(RIGHT(Table39[[#This Row],[spawner_sku]],LEN(Table39[[#This Row],[spawner_sku]])-FIND("/",Table39[[#This Row],[spawner_sku]])),Table28[Entity Prefab],0)),24,1,1,"Entities"))</f>
        <v>yes</v>
      </c>
      <c r="AE36">
        <v>1</v>
      </c>
      <c r="AF36">
        <v>2</v>
      </c>
      <c r="AG36" t="b">
        <v>0</v>
      </c>
      <c r="AI36" t="s">
        <v>215</v>
      </c>
      <c r="AJ36">
        <v>3</v>
      </c>
      <c r="AK36">
        <v>120</v>
      </c>
      <c r="AL36">
        <v>100</v>
      </c>
      <c r="AM36" s="74">
        <f ca="1">INDIRECT(ADDRESS(11+(MATCH(RIGHT(Table2[[#This Row],[spawner_sku]],LEN(Table2[[#This Row],[spawner_sku]])-FIND("/",Table2[[#This Row],[spawner_sku]])),Table1[Entity Prefab],0)),10,1,1,"Entities"))</f>
        <v>25</v>
      </c>
      <c r="AN36" s="74">
        <f ca="1">ROUND((Table2[[#This Row],[XP]]*Table2[[#This Row],[entity_spawned (AVG)]])*(Table2[[#This Row],[activating_chance]]/100),0)</f>
        <v>75</v>
      </c>
      <c r="AO36" s="71" t="str">
        <f ca="1">INDIRECT(ADDRESS(11+(MATCH(RIGHT(Table2[[#This Row],[spawner_sku]],LEN(Table2[[#This Row],[spawner_sku]])-FIND("/",Table2[[#This Row],[spawner_sku]])),Table28[Entity Prefab],0)),24,1,1,"Entities"))</f>
        <v>no</v>
      </c>
      <c r="AP36" s="71">
        <v>2</v>
      </c>
      <c r="AQ36" s="71">
        <v>4</v>
      </c>
      <c r="AR36" s="71" t="b">
        <v>0</v>
      </c>
      <c r="AT36" t="s">
        <v>215</v>
      </c>
      <c r="AU36">
        <v>2.5</v>
      </c>
      <c r="AV36">
        <v>60</v>
      </c>
      <c r="AW36">
        <v>100</v>
      </c>
      <c r="AX36" s="74">
        <f ca="1">INDIRECT(ADDRESS(11+(MATCH(RIGHT(Table6[[#This Row],[spawner_sku]],LEN(Table6[[#This Row],[spawner_sku]])-FIND("/",Table6[[#This Row],[spawner_sku]])),Table1[Entity Prefab],0)),10,1,1,"Entities"))</f>
        <v>25</v>
      </c>
      <c r="AY36" s="74">
        <f ca="1">ROUND((Table6[[#This Row],[XP]]*Table6[[#This Row],[entity_spawned (AVG)]])*(Table6[[#This Row],[activating_chance]]/100),0)</f>
        <v>63</v>
      </c>
      <c r="AZ36" s="144" t="str">
        <f ca="1">INDIRECT(ADDRESS(11+(MATCH(RIGHT(Table6[[#This Row],[spawner_sku]],LEN(Table6[[#This Row],[spawner_sku]])-FIND("/",Table6[[#This Row],[spawner_sku]])),Table28[Entity Prefab],0)),24,1,1,"Entities"))</f>
        <v>no</v>
      </c>
      <c r="BA36">
        <v>2</v>
      </c>
      <c r="BB36">
        <v>3</v>
      </c>
      <c r="BC36" t="b">
        <v>0</v>
      </c>
      <c r="BE36" t="s">
        <v>214</v>
      </c>
      <c r="BF36">
        <v>3.5</v>
      </c>
      <c r="BG36">
        <v>110</v>
      </c>
      <c r="BH36">
        <v>100</v>
      </c>
      <c r="BI36" s="74">
        <f ca="1">INDIRECT(ADDRESS(11+(MATCH(RIGHT(Table610[[#This Row],[spawner_sku]],LEN(Table610[[#This Row],[spawner_sku]])-FIND("/",Table610[[#This Row],[spawner_sku]])),Table1[Entity Prefab],0)),10,1,1,"Entities"))</f>
        <v>25</v>
      </c>
      <c r="BJ36" s="74">
        <f ca="1">ROUND((Table610[[#This Row],[XP]]*Table610[[#This Row],[entity_spawned (AVG)]])*(Table610[[#This Row],[activating_chance]]/100),0)</f>
        <v>88</v>
      </c>
      <c r="BK36" s="71" t="str">
        <f ca="1">INDIRECT(ADDRESS(11+(MATCH(RIGHT(Table610[[#This Row],[spawner_sku]],LEN(Table610[[#This Row],[spawner_sku]])-FIND("/",Table610[[#This Row],[spawner_sku]])),Table28[Entity Prefab],0)),24,1,1,"Entities"))</f>
        <v>no</v>
      </c>
      <c r="BL36">
        <v>3</v>
      </c>
      <c r="BM36">
        <v>4</v>
      </c>
      <c r="BN36" t="b">
        <v>0</v>
      </c>
      <c r="BP36" t="s">
        <v>215</v>
      </c>
      <c r="BQ36">
        <v>5</v>
      </c>
      <c r="BR36">
        <v>220</v>
      </c>
      <c r="BS36">
        <v>80</v>
      </c>
      <c r="BT36" s="74">
        <f ca="1">INDIRECT(ADDRESS(11+(MATCH(RIGHT(Table61011[[#This Row],[spawner_sku]],LEN(Table61011[[#This Row],[spawner_sku]])-FIND("/",Table61011[[#This Row],[spawner_sku]])),Table1[Entity Prefab],0)),10,1,1,"Entities"))</f>
        <v>25</v>
      </c>
      <c r="BU36" s="74">
        <f ca="1">ROUND((Table61011[[#This Row],[XP]]*Table61011[[#This Row],[entity_spawned (AVG)]])*(Table61011[[#This Row],[activating_chance]]/100),0)</f>
        <v>100</v>
      </c>
      <c r="BV36" s="71" t="str">
        <f ca="1">INDIRECT(ADDRESS(11+(MATCH(RIGHT(Table61011[[#This Row],[spawner_sku]],LEN(Table61011[[#This Row],[spawner_sku]])-FIND("/",Table61011[[#This Row],[spawner_sku]])),Table28[Entity Prefab],0)),24,1,1,"Entities"))</f>
        <v>no</v>
      </c>
      <c r="BW36" s="71">
        <v>5</v>
      </c>
      <c r="BX36" s="71">
        <v>5</v>
      </c>
      <c r="BY36" s="71" t="b">
        <v>1</v>
      </c>
      <c r="BZ36" s="71"/>
      <c r="CA36" s="147" t="s">
        <v>230</v>
      </c>
      <c r="CB36">
        <v>1</v>
      </c>
      <c r="CC36">
        <v>200</v>
      </c>
      <c r="CD36">
        <v>100</v>
      </c>
      <c r="CE36" s="74">
        <f ca="1">INDIRECT(ADDRESS(11+(MATCH(RIGHT(Table35[[#This Row],[spawner_sku]],LEN(Table35[[#This Row],[spawner_sku]])-FIND("/",Table35[[#This Row],[spawner_sku]])),Table1[Entity Prefab],0)),10,1,1,"Entities"))</f>
        <v>28</v>
      </c>
      <c r="CF36" s="74">
        <f ca="1">ROUND((Table35[[#This Row],[XP]]*Table35[[#This Row],[entity_spawned (AVG)]])*(Table35[[#This Row],[activating_chance]]/100),0)</f>
        <v>28</v>
      </c>
      <c r="CG36" s="144" t="str">
        <f ca="1">INDIRECT(ADDRESS(11+(MATCH(RIGHT(Table35[[#This Row],[spawner_sku]],LEN(Table35[[#This Row],[spawner_sku]])-FIND("/",Table35[[#This Row],[spawner_sku]])),Table28[Entity Prefab],0)),24,1,1,"Entities"))</f>
        <v>no</v>
      </c>
      <c r="CH36">
        <v>1</v>
      </c>
      <c r="CI36">
        <v>1</v>
      </c>
      <c r="CJ36" s="71" t="b">
        <v>0</v>
      </c>
      <c r="CL36" t="s">
        <v>215</v>
      </c>
      <c r="CM36">
        <v>9</v>
      </c>
      <c r="CN36">
        <v>180</v>
      </c>
      <c r="CO36">
        <v>100</v>
      </c>
      <c r="CP36" s="74">
        <f ca="1">INDIRECT(ADDRESS(11+(MATCH(RIGHT(Table11[[#This Row],[spawner_sku]],LEN(Table11[[#This Row],[spawner_sku]])-FIND("/",Table11[[#This Row],[spawner_sku]])),Table1[Entity Prefab],0)),10,1,1,"Entities"))</f>
        <v>25</v>
      </c>
      <c r="CQ36">
        <f ca="1">ROUND((Table11[[#This Row],[XP]]*Table11[[#This Row],[entity_spawned (AVG)]])*(Table11[[#This Row],[activating_chance]]/100),0)</f>
        <v>225</v>
      </c>
      <c r="CR36" s="144" t="str">
        <f ca="1">INDIRECT(ADDRESS(11+(MATCH(RIGHT(Table11[[#This Row],[spawner_sku]],LEN(Table11[[#This Row],[spawner_sku]])-FIND("/",Table11[[#This Row],[spawner_sku]])),Table28[Entity Prefab],0)),25,1,1,"Entities"))</f>
        <v>no</v>
      </c>
      <c r="CS36" s="71">
        <v>8</v>
      </c>
      <c r="CT36" s="71">
        <v>10</v>
      </c>
      <c r="CU36" s="71" t="b">
        <v>1</v>
      </c>
      <c r="CW36" t="s">
        <v>214</v>
      </c>
      <c r="CX36">
        <v>7</v>
      </c>
      <c r="CY36">
        <v>280</v>
      </c>
      <c r="CZ36">
        <v>100</v>
      </c>
      <c r="DA36" s="74">
        <f ca="1">INDIRECT(ADDRESS(11+(MATCH(RIGHT(Table12[[#This Row],[spawner_sku]],LEN(Table12[[#This Row],[spawner_sku]])-FIND("/",Table12[[#This Row],[spawner_sku]])),Table1[Entity Prefab],0)),10,1,1,"Entities"))</f>
        <v>25</v>
      </c>
      <c r="DB36" s="74">
        <f ca="1">ROUND((Table12[[#This Row],[XP]]*Table12[[#This Row],[entity_spawned (AVG)]])*(Table12[[#This Row],[activating_chance]]/100),0)</f>
        <v>175</v>
      </c>
      <c r="DC36" s="144" t="str">
        <f ca="1">INDIRECT(ADDRESS(11+(MATCH(RIGHT(Table12[[#This Row],[spawner_sku]],LEN(Table12[[#This Row],[spawner_sku]])-FIND("/",Table12[[#This Row],[spawner_sku]])),Table28[Entity Prefab],0)),25,1,1,"Entities"))</f>
        <v>no</v>
      </c>
      <c r="DD36" s="71">
        <v>6</v>
      </c>
      <c r="DE36" s="71">
        <v>8</v>
      </c>
      <c r="DF36" s="71" t="b">
        <v>1</v>
      </c>
      <c r="DH36" t="s">
        <v>214</v>
      </c>
      <c r="DI36">
        <v>9</v>
      </c>
      <c r="DJ36">
        <v>280</v>
      </c>
      <c r="DK36">
        <v>100</v>
      </c>
      <c r="DL36" s="74">
        <f ca="1">INDIRECT(ADDRESS(11+(MATCH(RIGHT(Table13[[#This Row],[spawner_sku]],LEN(Table13[[#This Row],[spawner_sku]])-FIND("/",Table13[[#This Row],[spawner_sku]])),Table1[Entity Prefab],0)),10,1,1,"Entities"))</f>
        <v>25</v>
      </c>
      <c r="DM36" s="74">
        <f ca="1">ROUND((Table13[[#This Row],[XP]]*Table13[[#This Row],[entity_spawned (AVG)]])*(Table13[[#This Row],[activating_chance]]/100),0)</f>
        <v>225</v>
      </c>
      <c r="DN36" s="144" t="str">
        <f ca="1">INDIRECT(ADDRESS(11+(MATCH(RIGHT(Table13[[#This Row],[spawner_sku]],LEN(Table13[[#This Row],[spawner_sku]])-FIND("/",Table13[[#This Row],[spawner_sku]])),Table28[Entity Prefab],0)),25,1,1,"Entities"))</f>
        <v>no</v>
      </c>
      <c r="DO36" s="71">
        <v>8</v>
      </c>
      <c r="DP36" s="71">
        <v>10</v>
      </c>
      <c r="DQ36" s="71" t="b">
        <v>1</v>
      </c>
      <c r="DS36" t="s">
        <v>213</v>
      </c>
      <c r="DT36">
        <v>1.5</v>
      </c>
      <c r="DU36">
        <v>220</v>
      </c>
      <c r="DV36">
        <v>80</v>
      </c>
      <c r="DW36" s="74">
        <f ca="1">INDIRECT(ADDRESS(11+(MATCH(RIGHT(Table14[[#This Row],[spawner_sku]],LEN(Table14[[#This Row],[spawner_sku]])-FIND("/",Table14[[#This Row],[spawner_sku]])),Table1[Entity Prefab],0)),10,1,1,"Entities"))</f>
        <v>55</v>
      </c>
      <c r="DX36" s="74">
        <f ca="1">ROUND((Table14[[#This Row],[XP]]*Table14[[#This Row],[entity_spawned (AVG)]])*(Table14[[#This Row],[activating_chance]]/100),0)</f>
        <v>66</v>
      </c>
      <c r="DY36" s="144" t="str">
        <f ca="1">INDIRECT(ADDRESS(11+(MATCH(RIGHT(Table14[[#This Row],[spawner_sku]],LEN(Table14[[#This Row],[spawner_sku]])-FIND("/",Table14[[#This Row],[spawner_sku]])),Table28[Entity Prefab],0)),25,1,1,"Entities"))</f>
        <v>yes</v>
      </c>
      <c r="DZ36" s="71">
        <v>1</v>
      </c>
      <c r="EA36" s="71">
        <v>2</v>
      </c>
      <c r="EB36" s="71" t="b">
        <v>0</v>
      </c>
      <c r="EC36" s="71"/>
      <c r="ED36" s="147" t="s">
        <v>570</v>
      </c>
      <c r="EE36" s="71">
        <v>1</v>
      </c>
      <c r="EF36" s="71">
        <v>120</v>
      </c>
      <c r="EG36" s="71">
        <v>100</v>
      </c>
      <c r="EH36" s="71">
        <f ca="1">INDIRECT(ADDRESS(11+(MATCH(RIGHT(Table36[[#This Row],[spawner_sku]],LEN(Table36[[#This Row],[spawner_sku]])-FIND("/",Table36[[#This Row],[spawner_sku]])),Table1[Entity Prefab],0)),10,1,1,"Entities"))</f>
        <v>50</v>
      </c>
      <c r="EI36" s="71">
        <f ca="1">ROUND((Table36[[#This Row],[XP]]*Table36[[#This Row],[entity_spawned (AVG)]])*(Table36[[#This Row],[activating_chance]]/100),0)</f>
        <v>50</v>
      </c>
      <c r="EJ36" s="71" t="str">
        <f ca="1">INDIRECT(ADDRESS(11+(MATCH(RIGHT(Table36[[#This Row],[spawner_sku]],LEN(Table36[[#This Row],[spawner_sku]])-FIND("/",Table36[[#This Row],[spawner_sku]])),Table28[Entity Prefab],0)),25,1,1,"Entities"))</f>
        <v>no</v>
      </c>
      <c r="EK36" s="71">
        <v>1</v>
      </c>
      <c r="EL36" s="71">
        <v>1</v>
      </c>
      <c r="EM36" s="71" t="b">
        <v>0</v>
      </c>
      <c r="EO36" t="s">
        <v>214</v>
      </c>
      <c r="EP36">
        <v>5.5</v>
      </c>
      <c r="EQ36">
        <v>180</v>
      </c>
      <c r="ER36">
        <v>100</v>
      </c>
      <c r="ES36" s="74">
        <f ca="1">INDIRECT(ADDRESS(11+(MATCH(RIGHT(Table18[[#This Row],[spawner_sku]],LEN(Table18[[#This Row],[spawner_sku]])-FIND("/",Table18[[#This Row],[spawner_sku]])),Table1[Entity Prefab],0)),10,1,1,"Entities"))</f>
        <v>25</v>
      </c>
      <c r="ET36" s="74">
        <f ca="1">ROUND((Table18[[#This Row],[XP]]*Table18[[#This Row],[entity_spawned (AVG)]])*(Table18[[#This Row],[activating_chance]]/100),0)</f>
        <v>138</v>
      </c>
      <c r="EU36" s="74" t="str">
        <f ca="1">INDIRECT(ADDRESS(11+(MATCH(RIGHT(Table18[[#This Row],[spawner_sku]],LEN(Table18[[#This Row],[spawner_sku]])-FIND("/",Table18[[#This Row],[spawner_sku]])),Table28[Entity Prefab],0)),26,1,1,"Entities"))</f>
        <v>no</v>
      </c>
      <c r="EV36">
        <v>5</v>
      </c>
      <c r="EW36">
        <v>6</v>
      </c>
      <c r="EX36" t="b">
        <v>1</v>
      </c>
      <c r="EZ36" t="s">
        <v>214</v>
      </c>
      <c r="FA36">
        <v>2.5</v>
      </c>
      <c r="FB36">
        <v>140</v>
      </c>
      <c r="FC36">
        <v>100</v>
      </c>
      <c r="FD36" s="74">
        <f ca="1">INDIRECT(ADDRESS(11+(MATCH(RIGHT(Table1820[[#This Row],[spawner_sku]],LEN(Table1820[[#This Row],[spawner_sku]])-FIND("/",Table1820[[#This Row],[spawner_sku]])),Table1[Entity Prefab],0)),10,1,1,"Entities"))</f>
        <v>25</v>
      </c>
      <c r="FE36" s="74">
        <f ca="1">ROUND((Table1820[[#This Row],[XP]]*Table1820[[#This Row],[entity_spawned (AVG)]])*(Table1820[[#This Row],[activating_chance]]/100),0)</f>
        <v>63</v>
      </c>
      <c r="FF36" s="74" t="str">
        <f ca="1">INDIRECT(ADDRESS(11+(MATCH(RIGHT(Table1820[[#This Row],[spawner_sku]],LEN(Table1820[[#This Row],[spawner_sku]])-FIND("/",Table1820[[#This Row],[spawner_sku]])),Table28[Entity Prefab],0)),26,1,1,"Entities"))</f>
        <v>no</v>
      </c>
      <c r="FG36">
        <v>2</v>
      </c>
      <c r="FH36">
        <v>3</v>
      </c>
      <c r="FI36" t="b">
        <v>0</v>
      </c>
      <c r="FK36" t="s">
        <v>233</v>
      </c>
      <c r="FL36">
        <v>1</v>
      </c>
      <c r="FM36">
        <v>500</v>
      </c>
      <c r="FN36">
        <v>80</v>
      </c>
      <c r="FO36">
        <f ca="1">INDIRECT(ADDRESS(11+(MATCH(RIGHT(Table182023[[#This Row],[spawner_sku]],LEN(Table182023[[#This Row],[spawner_sku]])-FIND("/",Table182023[[#This Row],[spawner_sku]])),Table1[Entity Prefab],0)),10,1,1,"Entities"))</f>
        <v>25</v>
      </c>
      <c r="FP36">
        <f ca="1">ROUND((Table182023[[#This Row],[XP]]*Table182023[[#This Row],[entity_spawned (AVG)]])*(Table182023[[#This Row],[activating_chance]]/100),0)</f>
        <v>20</v>
      </c>
      <c r="FQ36" t="str">
        <f ca="1">INDIRECT(ADDRESS(11+(MATCH(RIGHT(Table182023[[#This Row],[spawner_sku]],LEN(Table182023[[#This Row],[spawner_sku]])-FIND("/",Table182023[[#This Row],[spawner_sku]])),Table28[Entity Prefab],0)),26,1,1,"Entities"))</f>
        <v>no</v>
      </c>
      <c r="FR36">
        <v>1</v>
      </c>
      <c r="FS36">
        <v>1</v>
      </c>
      <c r="FT36" t="b">
        <v>0</v>
      </c>
      <c r="FV36" t="s">
        <v>490</v>
      </c>
      <c r="FW36">
        <v>1.5</v>
      </c>
      <c r="FX36">
        <v>80</v>
      </c>
      <c r="FY36">
        <v>80</v>
      </c>
      <c r="FZ36" s="74">
        <f ca="1">INDIRECT(ADDRESS(11+(MATCH(RIGHT(Table18202324[[#This Row],[spawner_sku]],LEN(Table18202324[[#This Row],[spawner_sku]])-FIND("/",Table18202324[[#This Row],[spawner_sku]])),Table1[Entity Prefab],0)),10,1,1,"Entities"))</f>
        <v>95</v>
      </c>
      <c r="GA36" s="74">
        <f ca="1">ROUND((Table18202324[[#This Row],[XP]]*Table18202324[[#This Row],[entity_spawned (AVG)]])*(Table18202324[[#This Row],[activating_chance]]/100),0)</f>
        <v>114</v>
      </c>
      <c r="GB36" s="74" t="str">
        <f ca="1">INDIRECT(ADDRESS(11+(MATCH(RIGHT(Table18202324[[#This Row],[spawner_sku]],LEN(Table18202324[[#This Row],[spawner_sku]])-FIND("/",Table18202324[[#This Row],[spawner_sku]])),Table28[Entity Prefab],0)),26,1,1,"Entities"))</f>
        <v>yes</v>
      </c>
      <c r="GC36">
        <v>1</v>
      </c>
      <c r="GD36">
        <v>2</v>
      </c>
      <c r="GE36" t="b">
        <v>0</v>
      </c>
      <c r="GG36" t="s">
        <v>3820</v>
      </c>
      <c r="GH36">
        <v>1</v>
      </c>
      <c r="GI36">
        <v>240</v>
      </c>
      <c r="GJ36">
        <v>100</v>
      </c>
      <c r="GK36">
        <f ca="1">INDIRECT(ADDRESS(11+(MATCH(RIGHT(Table37[[#This Row],[spawner_sku]],LEN(Table37[[#This Row],[spawner_sku]])-FIND("/",Table37[[#This Row],[spawner_sku]])),Table1[Entity Prefab],0)),10,1,1,"Entities"))</f>
        <v>10</v>
      </c>
      <c r="GL36">
        <f ca="1">ROUND((Table37[[#This Row],[XP]]*Table37[[#This Row],[entity_spawned (AVG)]])*(Table37[[#This Row],[activating_chance]]/100),0)</f>
        <v>10</v>
      </c>
      <c r="GM36" t="str">
        <f ca="1">INDIRECT(ADDRESS(11+(MATCH(RIGHT(Table37[[#This Row],[spawner_sku]],LEN(Table37[[#This Row],[spawner_sku]])-FIND("/",Table37[[#This Row],[spawner_sku]])),Table28[Entity Prefab],0)),26,1,1,"Entities"))</f>
        <v>no</v>
      </c>
      <c r="GN36">
        <v>1</v>
      </c>
      <c r="GO36">
        <v>1</v>
      </c>
      <c r="GP36" t="b">
        <v>0</v>
      </c>
    </row>
    <row r="37" spans="2:198" x14ac:dyDescent="0.25">
      <c r="B37" s="72" t="s">
        <v>215</v>
      </c>
      <c r="C37">
        <v>1.5</v>
      </c>
      <c r="D37">
        <v>110</v>
      </c>
      <c r="E37">
        <v>100</v>
      </c>
      <c r="F37" s="74">
        <f ca="1">INDIRECT(ADDRESS(11+(MATCH(RIGHT(Table245[[#This Row],[spawner_sku]],LEN(Table245[[#This Row],[spawner_sku]])-FIND("/",Table245[[#This Row],[spawner_sku]])),Table1[Entity Prefab],0)),10,1,1,"Entities"))</f>
        <v>25</v>
      </c>
      <c r="G37" s="74">
        <f ca="1">ROUND((Table245[[#This Row],[XP]]*Table245[[#This Row],[entity_spawned (AVG)]])*(Table245[[#This Row],[activating_chance]]/100),0)</f>
        <v>38</v>
      </c>
      <c r="H37" s="71" t="str">
        <f ca="1">INDIRECT(ADDRESS(11+(MATCH(RIGHT(Table245[[#This Row],[spawner_sku]],LEN(Table245[[#This Row],[spawner_sku]])-FIND("/",Table245[[#This Row],[spawner_sku]])),Table28[Entity Prefab],0)),24,1,1,"Entities"))</f>
        <v>no</v>
      </c>
      <c r="I37" s="71">
        <v>1</v>
      </c>
      <c r="J37" s="71">
        <v>2</v>
      </c>
      <c r="K37" s="71" t="b">
        <v>0</v>
      </c>
      <c r="M37" t="s">
        <v>215</v>
      </c>
      <c r="N37">
        <v>2</v>
      </c>
      <c r="O37">
        <v>130</v>
      </c>
      <c r="P37">
        <v>100</v>
      </c>
      <c r="Q37" s="74">
        <f ca="1">INDIRECT(ADDRESS(11+(MATCH(RIGHT(Table3[[#This Row],[spawner_sku]],LEN(Table3[[#This Row],[spawner_sku]])-FIND("/",Table3[[#This Row],[spawner_sku]])),Table1[Entity Prefab],0)),10,1,1,"Entities"))</f>
        <v>25</v>
      </c>
      <c r="R37" s="74">
        <f ca="1">ROUND((Table3[[#This Row],[XP]]*Table3[[#This Row],[entity_spawned (AVG)]])*(Table3[[#This Row],[activating_chance]]/100),0)</f>
        <v>50</v>
      </c>
      <c r="S37" t="str">
        <f ca="1">INDIRECT(ADDRESS(11+(MATCH(RIGHT(Table3[[#This Row],[spawner_sku]],LEN(Table3[[#This Row],[spawner_sku]])-FIND("/",Table3[[#This Row],[spawner_sku]])),Table28[Entity Prefab],0)),24,1,1,"Entities"))</f>
        <v>no</v>
      </c>
      <c r="T37">
        <v>1</v>
      </c>
      <c r="U37">
        <v>3</v>
      </c>
      <c r="V37" t="b">
        <v>0</v>
      </c>
      <c r="W37" s="71"/>
      <c r="X37" t="s">
        <v>321</v>
      </c>
      <c r="Y37">
        <v>1</v>
      </c>
      <c r="Z37">
        <v>300</v>
      </c>
      <c r="AA37">
        <v>100</v>
      </c>
      <c r="AB37" s="74">
        <f ca="1">INDIRECT(ADDRESS(11+(MATCH(RIGHT(Table39[[#This Row],[spawner_sku]],LEN(Table39[[#This Row],[spawner_sku]])-FIND("/",Table39[[#This Row],[spawner_sku]])),Table1[Entity Prefab],0)),10,1,1,"Entities"))</f>
        <v>195</v>
      </c>
      <c r="AC37" s="74">
        <f ca="1">ROUND((Table39[[#This Row],[XP]]*Table39[[#This Row],[entity_spawned (AVG)]])*(Table39[[#This Row],[activating_chance]]/100),0)</f>
        <v>195</v>
      </c>
      <c r="AD37" t="str">
        <f ca="1">INDIRECT(ADDRESS(11+(MATCH(RIGHT(Table39[[#This Row],[spawner_sku]],LEN(Table39[[#This Row],[spawner_sku]])-FIND("/",Table39[[#This Row],[spawner_sku]])),Table28[Entity Prefab],0)),24,1,1,"Entities"))</f>
        <v>yes</v>
      </c>
      <c r="AE37">
        <v>1</v>
      </c>
      <c r="AF37">
        <v>1</v>
      </c>
      <c r="AG37" t="b">
        <v>0</v>
      </c>
      <c r="AI37" t="s">
        <v>215</v>
      </c>
      <c r="AJ37">
        <v>3.5</v>
      </c>
      <c r="AK37">
        <v>90</v>
      </c>
      <c r="AL37">
        <v>100</v>
      </c>
      <c r="AM37" s="74">
        <f ca="1">INDIRECT(ADDRESS(11+(MATCH(RIGHT(Table2[[#This Row],[spawner_sku]],LEN(Table2[[#This Row],[spawner_sku]])-FIND("/",Table2[[#This Row],[spawner_sku]])),Table1[Entity Prefab],0)),10,1,1,"Entities"))</f>
        <v>25</v>
      </c>
      <c r="AN37" s="74">
        <f ca="1">ROUND((Table2[[#This Row],[XP]]*Table2[[#This Row],[entity_spawned (AVG)]])*(Table2[[#This Row],[activating_chance]]/100),0)</f>
        <v>88</v>
      </c>
      <c r="AO37" s="71" t="str">
        <f ca="1">INDIRECT(ADDRESS(11+(MATCH(RIGHT(Table2[[#This Row],[spawner_sku]],LEN(Table2[[#This Row],[spawner_sku]])-FIND("/",Table2[[#This Row],[spawner_sku]])),Table28[Entity Prefab],0)),24,1,1,"Entities"))</f>
        <v>no</v>
      </c>
      <c r="AP37" s="71">
        <v>3</v>
      </c>
      <c r="AQ37" s="71">
        <v>4</v>
      </c>
      <c r="AR37" s="71" t="b">
        <v>0</v>
      </c>
      <c r="AT37" t="s">
        <v>215</v>
      </c>
      <c r="AU37">
        <v>3.5</v>
      </c>
      <c r="AV37">
        <v>90</v>
      </c>
      <c r="AW37">
        <v>100</v>
      </c>
      <c r="AX37" s="74">
        <f ca="1">INDIRECT(ADDRESS(11+(MATCH(RIGHT(Table6[[#This Row],[spawner_sku]],LEN(Table6[[#This Row],[spawner_sku]])-FIND("/",Table6[[#This Row],[spawner_sku]])),Table1[Entity Prefab],0)),10,1,1,"Entities"))</f>
        <v>25</v>
      </c>
      <c r="AY37" s="74">
        <f ca="1">ROUND((Table6[[#This Row],[XP]]*Table6[[#This Row],[entity_spawned (AVG)]])*(Table6[[#This Row],[activating_chance]]/100),0)</f>
        <v>88</v>
      </c>
      <c r="AZ37" s="144" t="str">
        <f ca="1">INDIRECT(ADDRESS(11+(MATCH(RIGHT(Table6[[#This Row],[spawner_sku]],LEN(Table6[[#This Row],[spawner_sku]])-FIND("/",Table6[[#This Row],[spawner_sku]])),Table28[Entity Prefab],0)),24,1,1,"Entities"))</f>
        <v>no</v>
      </c>
      <c r="BA37">
        <v>3</v>
      </c>
      <c r="BB37">
        <v>4</v>
      </c>
      <c r="BC37" t="b">
        <v>0</v>
      </c>
      <c r="BE37" t="s">
        <v>214</v>
      </c>
      <c r="BF37">
        <v>3</v>
      </c>
      <c r="BG37">
        <v>110</v>
      </c>
      <c r="BH37">
        <v>100</v>
      </c>
      <c r="BI37" s="74">
        <f ca="1">INDIRECT(ADDRESS(11+(MATCH(RIGHT(Table610[[#This Row],[spawner_sku]],LEN(Table610[[#This Row],[spawner_sku]])-FIND("/",Table610[[#This Row],[spawner_sku]])),Table1[Entity Prefab],0)),10,1,1,"Entities"))</f>
        <v>25</v>
      </c>
      <c r="BJ37" s="74">
        <f ca="1">ROUND((Table610[[#This Row],[XP]]*Table610[[#This Row],[entity_spawned (AVG)]])*(Table610[[#This Row],[activating_chance]]/100),0)</f>
        <v>75</v>
      </c>
      <c r="BK37" s="71" t="str">
        <f ca="1">INDIRECT(ADDRESS(11+(MATCH(RIGHT(Table610[[#This Row],[spawner_sku]],LEN(Table610[[#This Row],[spawner_sku]])-FIND("/",Table610[[#This Row],[spawner_sku]])),Table28[Entity Prefab],0)),24,1,1,"Entities"))</f>
        <v>no</v>
      </c>
      <c r="BL37">
        <v>2</v>
      </c>
      <c r="BM37">
        <v>4</v>
      </c>
      <c r="BN37" t="b">
        <v>0</v>
      </c>
      <c r="BP37" t="s">
        <v>215</v>
      </c>
      <c r="BQ37">
        <v>2.5</v>
      </c>
      <c r="BR37">
        <v>140</v>
      </c>
      <c r="BS37">
        <v>100</v>
      </c>
      <c r="BT37" s="74">
        <f ca="1">INDIRECT(ADDRESS(11+(MATCH(RIGHT(Table61011[[#This Row],[spawner_sku]],LEN(Table61011[[#This Row],[spawner_sku]])-FIND("/",Table61011[[#This Row],[spawner_sku]])),Table1[Entity Prefab],0)),10,1,1,"Entities"))</f>
        <v>25</v>
      </c>
      <c r="BU37" s="74">
        <f ca="1">ROUND((Table61011[[#This Row],[XP]]*Table61011[[#This Row],[entity_spawned (AVG)]])*(Table61011[[#This Row],[activating_chance]]/100),0)</f>
        <v>63</v>
      </c>
      <c r="BV37" s="71" t="str">
        <f ca="1">INDIRECT(ADDRESS(11+(MATCH(RIGHT(Table61011[[#This Row],[spawner_sku]],LEN(Table61011[[#This Row],[spawner_sku]])-FIND("/",Table61011[[#This Row],[spawner_sku]])),Table28[Entity Prefab],0)),24,1,1,"Entities"))</f>
        <v>no</v>
      </c>
      <c r="BW37" s="71">
        <v>2</v>
      </c>
      <c r="BX37" s="71">
        <v>3</v>
      </c>
      <c r="BY37" s="71" t="b">
        <v>0</v>
      </c>
      <c r="BZ37" s="71"/>
      <c r="CA37" s="147" t="s">
        <v>230</v>
      </c>
      <c r="CB37">
        <v>1</v>
      </c>
      <c r="CC37">
        <v>200</v>
      </c>
      <c r="CD37">
        <v>100</v>
      </c>
      <c r="CE37" s="74">
        <f ca="1">INDIRECT(ADDRESS(11+(MATCH(RIGHT(Table35[[#This Row],[spawner_sku]],LEN(Table35[[#This Row],[spawner_sku]])-FIND("/",Table35[[#This Row],[spawner_sku]])),Table1[Entity Prefab],0)),10,1,1,"Entities"))</f>
        <v>28</v>
      </c>
      <c r="CF37" s="74">
        <f ca="1">ROUND((Table35[[#This Row],[XP]]*Table35[[#This Row],[entity_spawned (AVG)]])*(Table35[[#This Row],[activating_chance]]/100),0)</f>
        <v>28</v>
      </c>
      <c r="CG37" s="144" t="str">
        <f ca="1">INDIRECT(ADDRESS(11+(MATCH(RIGHT(Table35[[#This Row],[spawner_sku]],LEN(Table35[[#This Row],[spawner_sku]])-FIND("/",Table35[[#This Row],[spawner_sku]])),Table28[Entity Prefab],0)),24,1,1,"Entities"))</f>
        <v>no</v>
      </c>
      <c r="CH37">
        <v>1</v>
      </c>
      <c r="CI37">
        <v>1</v>
      </c>
      <c r="CJ37" s="71" t="b">
        <v>0</v>
      </c>
      <c r="CL37" t="s">
        <v>215</v>
      </c>
      <c r="CM37">
        <v>3.5</v>
      </c>
      <c r="CN37">
        <v>180</v>
      </c>
      <c r="CO37">
        <v>100</v>
      </c>
      <c r="CP37" s="74">
        <f ca="1">INDIRECT(ADDRESS(11+(MATCH(RIGHT(Table11[[#This Row],[spawner_sku]],LEN(Table11[[#This Row],[spawner_sku]])-FIND("/",Table11[[#This Row],[spawner_sku]])),Table1[Entity Prefab],0)),10,1,1,"Entities"))</f>
        <v>25</v>
      </c>
      <c r="CQ37">
        <f ca="1">ROUND((Table11[[#This Row],[XP]]*Table11[[#This Row],[entity_spawned (AVG)]])*(Table11[[#This Row],[activating_chance]]/100),0)</f>
        <v>88</v>
      </c>
      <c r="CR37" s="144" t="str">
        <f ca="1">INDIRECT(ADDRESS(11+(MATCH(RIGHT(Table11[[#This Row],[spawner_sku]],LEN(Table11[[#This Row],[spawner_sku]])-FIND("/",Table11[[#This Row],[spawner_sku]])),Table28[Entity Prefab],0)),25,1,1,"Entities"))</f>
        <v>no</v>
      </c>
      <c r="CS37" s="71">
        <v>3</v>
      </c>
      <c r="CT37" s="71">
        <v>4</v>
      </c>
      <c r="CU37" s="71" t="b">
        <v>0</v>
      </c>
      <c r="CW37" t="s">
        <v>214</v>
      </c>
      <c r="CX37">
        <v>11</v>
      </c>
      <c r="CY37">
        <v>280</v>
      </c>
      <c r="CZ37">
        <v>80</v>
      </c>
      <c r="DA37" s="74">
        <f ca="1">INDIRECT(ADDRESS(11+(MATCH(RIGHT(Table12[[#This Row],[spawner_sku]],LEN(Table12[[#This Row],[spawner_sku]])-FIND("/",Table12[[#This Row],[spawner_sku]])),Table1[Entity Prefab],0)),10,1,1,"Entities"))</f>
        <v>25</v>
      </c>
      <c r="DB37" s="74">
        <f ca="1">ROUND((Table12[[#This Row],[XP]]*Table12[[#This Row],[entity_spawned (AVG)]])*(Table12[[#This Row],[activating_chance]]/100),0)</f>
        <v>220</v>
      </c>
      <c r="DC37" s="144" t="str">
        <f ca="1">INDIRECT(ADDRESS(11+(MATCH(RIGHT(Table12[[#This Row],[spawner_sku]],LEN(Table12[[#This Row],[spawner_sku]])-FIND("/",Table12[[#This Row],[spawner_sku]])),Table28[Entity Prefab],0)),25,1,1,"Entities"))</f>
        <v>no</v>
      </c>
      <c r="DD37" s="71">
        <v>10</v>
      </c>
      <c r="DE37" s="71">
        <v>12</v>
      </c>
      <c r="DF37" s="71" t="b">
        <v>1</v>
      </c>
      <c r="DH37" t="s">
        <v>214</v>
      </c>
      <c r="DI37">
        <v>10</v>
      </c>
      <c r="DJ37">
        <v>280</v>
      </c>
      <c r="DK37">
        <v>100</v>
      </c>
      <c r="DL37" s="74">
        <f ca="1">INDIRECT(ADDRESS(11+(MATCH(RIGHT(Table13[[#This Row],[spawner_sku]],LEN(Table13[[#This Row],[spawner_sku]])-FIND("/",Table13[[#This Row],[spawner_sku]])),Table1[Entity Prefab],0)),10,1,1,"Entities"))</f>
        <v>25</v>
      </c>
      <c r="DM37" s="74">
        <f ca="1">ROUND((Table13[[#This Row],[XP]]*Table13[[#This Row],[entity_spawned (AVG)]])*(Table13[[#This Row],[activating_chance]]/100),0)</f>
        <v>250</v>
      </c>
      <c r="DN37" s="144" t="str">
        <f ca="1">INDIRECT(ADDRESS(11+(MATCH(RIGHT(Table13[[#This Row],[spawner_sku]],LEN(Table13[[#This Row],[spawner_sku]])-FIND("/",Table13[[#This Row],[spawner_sku]])),Table28[Entity Prefab],0)),25,1,1,"Entities"))</f>
        <v>no</v>
      </c>
      <c r="DO37" s="71">
        <v>8</v>
      </c>
      <c r="DP37" s="71">
        <v>12</v>
      </c>
      <c r="DQ37" s="71" t="b">
        <v>1</v>
      </c>
      <c r="DS37" t="s">
        <v>213</v>
      </c>
      <c r="DT37">
        <v>2</v>
      </c>
      <c r="DU37">
        <v>200</v>
      </c>
      <c r="DV37">
        <v>70</v>
      </c>
      <c r="DW37" s="74">
        <f ca="1">INDIRECT(ADDRESS(11+(MATCH(RIGHT(Table14[[#This Row],[spawner_sku]],LEN(Table14[[#This Row],[spawner_sku]])-FIND("/",Table14[[#This Row],[spawner_sku]])),Table1[Entity Prefab],0)),10,1,1,"Entities"))</f>
        <v>55</v>
      </c>
      <c r="DX37" s="74">
        <f ca="1">ROUND((Table14[[#This Row],[XP]]*Table14[[#This Row],[entity_spawned (AVG)]])*(Table14[[#This Row],[activating_chance]]/100),0)</f>
        <v>77</v>
      </c>
      <c r="DY37" s="144" t="str">
        <f ca="1">INDIRECT(ADDRESS(11+(MATCH(RIGHT(Table14[[#This Row],[spawner_sku]],LEN(Table14[[#This Row],[spawner_sku]])-FIND("/",Table14[[#This Row],[spawner_sku]])),Table28[Entity Prefab],0)),25,1,1,"Entities"))</f>
        <v>yes</v>
      </c>
      <c r="DZ37" s="71">
        <v>2</v>
      </c>
      <c r="EA37" s="71">
        <v>2</v>
      </c>
      <c r="EB37" s="71" t="b">
        <v>0</v>
      </c>
      <c r="EC37" s="71"/>
      <c r="ED37" s="147" t="s">
        <v>570</v>
      </c>
      <c r="EE37" s="71">
        <v>1</v>
      </c>
      <c r="EF37" s="71">
        <v>120</v>
      </c>
      <c r="EG37" s="71">
        <v>100</v>
      </c>
      <c r="EH37" s="71">
        <f ca="1">INDIRECT(ADDRESS(11+(MATCH(RIGHT(Table36[[#This Row],[spawner_sku]],LEN(Table36[[#This Row],[spawner_sku]])-FIND("/",Table36[[#This Row],[spawner_sku]])),Table1[Entity Prefab],0)),10,1,1,"Entities"))</f>
        <v>50</v>
      </c>
      <c r="EI37" s="71">
        <f ca="1">ROUND((Table36[[#This Row],[XP]]*Table36[[#This Row],[entity_spawned (AVG)]])*(Table36[[#This Row],[activating_chance]]/100),0)</f>
        <v>50</v>
      </c>
      <c r="EJ37" s="71" t="str">
        <f ca="1">INDIRECT(ADDRESS(11+(MATCH(RIGHT(Table36[[#This Row],[spawner_sku]],LEN(Table36[[#This Row],[spawner_sku]])-FIND("/",Table36[[#This Row],[spawner_sku]])),Table28[Entity Prefab],0)),25,1,1,"Entities"))</f>
        <v>no</v>
      </c>
      <c r="EK37" s="71">
        <v>1</v>
      </c>
      <c r="EL37" s="71">
        <v>1</v>
      </c>
      <c r="EM37" s="71" t="b">
        <v>0</v>
      </c>
      <c r="EO37" t="s">
        <v>214</v>
      </c>
      <c r="EP37">
        <v>3.5</v>
      </c>
      <c r="EQ37">
        <v>140</v>
      </c>
      <c r="ER37">
        <v>100</v>
      </c>
      <c r="ES37" s="74">
        <f ca="1">INDIRECT(ADDRESS(11+(MATCH(RIGHT(Table18[[#This Row],[spawner_sku]],LEN(Table18[[#This Row],[spawner_sku]])-FIND("/",Table18[[#This Row],[spawner_sku]])),Table1[Entity Prefab],0)),10,1,1,"Entities"))</f>
        <v>25</v>
      </c>
      <c r="ET37" s="74">
        <f ca="1">ROUND((Table18[[#This Row],[XP]]*Table18[[#This Row],[entity_spawned (AVG)]])*(Table18[[#This Row],[activating_chance]]/100),0)</f>
        <v>88</v>
      </c>
      <c r="EU37" s="74" t="str">
        <f ca="1">INDIRECT(ADDRESS(11+(MATCH(RIGHT(Table18[[#This Row],[spawner_sku]],LEN(Table18[[#This Row],[spawner_sku]])-FIND("/",Table18[[#This Row],[spawner_sku]])),Table28[Entity Prefab],0)),26,1,1,"Entities"))</f>
        <v>no</v>
      </c>
      <c r="EV37">
        <v>3</v>
      </c>
      <c r="EW37">
        <v>4</v>
      </c>
      <c r="EX37" t="b">
        <v>0</v>
      </c>
      <c r="EZ37" t="s">
        <v>214</v>
      </c>
      <c r="FA37">
        <v>9</v>
      </c>
      <c r="FB37">
        <v>160</v>
      </c>
      <c r="FC37">
        <v>100</v>
      </c>
      <c r="FD37" s="74">
        <f ca="1">INDIRECT(ADDRESS(11+(MATCH(RIGHT(Table1820[[#This Row],[spawner_sku]],LEN(Table1820[[#This Row],[spawner_sku]])-FIND("/",Table1820[[#This Row],[spawner_sku]])),Table1[Entity Prefab],0)),10,1,1,"Entities"))</f>
        <v>25</v>
      </c>
      <c r="FE37" s="74">
        <f ca="1">ROUND((Table1820[[#This Row],[XP]]*Table1820[[#This Row],[entity_spawned (AVG)]])*(Table1820[[#This Row],[activating_chance]]/100),0)</f>
        <v>225</v>
      </c>
      <c r="FF37" s="74" t="str">
        <f ca="1">INDIRECT(ADDRESS(11+(MATCH(RIGHT(Table1820[[#This Row],[spawner_sku]],LEN(Table1820[[#This Row],[spawner_sku]])-FIND("/",Table1820[[#This Row],[spawner_sku]])),Table28[Entity Prefab],0)),26,1,1,"Entities"))</f>
        <v>no</v>
      </c>
      <c r="FG37">
        <v>8</v>
      </c>
      <c r="FH37">
        <v>10</v>
      </c>
      <c r="FI37" t="b">
        <v>1</v>
      </c>
      <c r="FK37" t="s">
        <v>233</v>
      </c>
      <c r="FL37">
        <v>1</v>
      </c>
      <c r="FM37">
        <v>500</v>
      </c>
      <c r="FN37">
        <v>80</v>
      </c>
      <c r="FO37">
        <f ca="1">INDIRECT(ADDRESS(11+(MATCH(RIGHT(Table182023[[#This Row],[spawner_sku]],LEN(Table182023[[#This Row],[spawner_sku]])-FIND("/",Table182023[[#This Row],[spawner_sku]])),Table1[Entity Prefab],0)),10,1,1,"Entities"))</f>
        <v>25</v>
      </c>
      <c r="FP37">
        <f ca="1">ROUND((Table182023[[#This Row],[XP]]*Table182023[[#This Row],[entity_spawned (AVG)]])*(Table182023[[#This Row],[activating_chance]]/100),0)</f>
        <v>20</v>
      </c>
      <c r="FQ37" t="str">
        <f ca="1">INDIRECT(ADDRESS(11+(MATCH(RIGHT(Table182023[[#This Row],[spawner_sku]],LEN(Table182023[[#This Row],[spawner_sku]])-FIND("/",Table182023[[#This Row],[spawner_sku]])),Table28[Entity Prefab],0)),26,1,1,"Entities"))</f>
        <v>no</v>
      </c>
      <c r="FR37">
        <v>1</v>
      </c>
      <c r="FS37">
        <v>1</v>
      </c>
      <c r="FT37" t="b">
        <v>0</v>
      </c>
      <c r="FV37" t="s">
        <v>493</v>
      </c>
      <c r="FW37">
        <v>1.5</v>
      </c>
      <c r="FX37">
        <v>90</v>
      </c>
      <c r="FY37">
        <v>100</v>
      </c>
      <c r="FZ37" s="74">
        <f ca="1">INDIRECT(ADDRESS(11+(MATCH(RIGHT(Table18202324[[#This Row],[spawner_sku]],LEN(Table18202324[[#This Row],[spawner_sku]])-FIND("/",Table18202324[[#This Row],[spawner_sku]])),Table1[Entity Prefab],0)),10,1,1,"Entities"))</f>
        <v>35</v>
      </c>
      <c r="GA37" s="74">
        <f ca="1">ROUND((Table18202324[[#This Row],[XP]]*Table18202324[[#This Row],[entity_spawned (AVG)]])*(Table18202324[[#This Row],[activating_chance]]/100),0)</f>
        <v>53</v>
      </c>
      <c r="GB37" s="74" t="str">
        <f ca="1">INDIRECT(ADDRESS(11+(MATCH(RIGHT(Table18202324[[#This Row],[spawner_sku]],LEN(Table18202324[[#This Row],[spawner_sku]])-FIND("/",Table18202324[[#This Row],[spawner_sku]])),Table28[Entity Prefab],0)),26,1,1,"Entities"))</f>
        <v>no</v>
      </c>
      <c r="GC37">
        <v>1</v>
      </c>
      <c r="GD37">
        <v>2</v>
      </c>
      <c r="GE37" t="b">
        <v>0</v>
      </c>
      <c r="GG37" t="s">
        <v>3820</v>
      </c>
      <c r="GH37">
        <v>1</v>
      </c>
      <c r="GI37">
        <v>240</v>
      </c>
      <c r="GJ37">
        <v>100</v>
      </c>
      <c r="GK37">
        <f ca="1">INDIRECT(ADDRESS(11+(MATCH(RIGHT(Table37[[#This Row],[spawner_sku]],LEN(Table37[[#This Row],[spawner_sku]])-FIND("/",Table37[[#This Row],[spawner_sku]])),Table1[Entity Prefab],0)),10,1,1,"Entities"))</f>
        <v>10</v>
      </c>
      <c r="GL37">
        <f ca="1">ROUND((Table37[[#This Row],[XP]]*Table37[[#This Row],[entity_spawned (AVG)]])*(Table37[[#This Row],[activating_chance]]/100),0)</f>
        <v>10</v>
      </c>
      <c r="GM37" t="str">
        <f ca="1">INDIRECT(ADDRESS(11+(MATCH(RIGHT(Table37[[#This Row],[spawner_sku]],LEN(Table37[[#This Row],[spawner_sku]])-FIND("/",Table37[[#This Row],[spawner_sku]])),Table28[Entity Prefab],0)),26,1,1,"Entities"))</f>
        <v>no</v>
      </c>
      <c r="GN37">
        <v>1</v>
      </c>
      <c r="GO37">
        <v>1</v>
      </c>
      <c r="GP37" t="b">
        <v>0</v>
      </c>
    </row>
    <row r="38" spans="2:198" x14ac:dyDescent="0.25">
      <c r="B38" s="72" t="s">
        <v>215</v>
      </c>
      <c r="C38">
        <v>8</v>
      </c>
      <c r="D38">
        <v>200</v>
      </c>
      <c r="E38">
        <v>100</v>
      </c>
      <c r="F38" s="74">
        <f ca="1">INDIRECT(ADDRESS(11+(MATCH(RIGHT(Table245[[#This Row],[spawner_sku]],LEN(Table245[[#This Row],[spawner_sku]])-FIND("/",Table245[[#This Row],[spawner_sku]])),Table1[Entity Prefab],0)),10,1,1,"Entities"))</f>
        <v>25</v>
      </c>
      <c r="G38" s="74">
        <f ca="1">ROUND((Table245[[#This Row],[XP]]*Table245[[#This Row],[entity_spawned (AVG)]])*(Table245[[#This Row],[activating_chance]]/100),0)</f>
        <v>200</v>
      </c>
      <c r="H38" s="71" t="str">
        <f ca="1">INDIRECT(ADDRESS(11+(MATCH(RIGHT(Table245[[#This Row],[spawner_sku]],LEN(Table245[[#This Row],[spawner_sku]])-FIND("/",Table245[[#This Row],[spawner_sku]])),Table28[Entity Prefab],0)),24,1,1,"Entities"))</f>
        <v>no</v>
      </c>
      <c r="I38" s="71">
        <v>6</v>
      </c>
      <c r="J38" s="71">
        <v>10</v>
      </c>
      <c r="K38" s="71" t="b">
        <v>1</v>
      </c>
      <c r="M38" t="s">
        <v>215</v>
      </c>
      <c r="N38">
        <v>3</v>
      </c>
      <c r="O38">
        <v>200</v>
      </c>
      <c r="P38">
        <v>100</v>
      </c>
      <c r="Q38" s="74">
        <f ca="1">INDIRECT(ADDRESS(11+(MATCH(RIGHT(Table3[[#This Row],[spawner_sku]],LEN(Table3[[#This Row],[spawner_sku]])-FIND("/",Table3[[#This Row],[spawner_sku]])),Table1[Entity Prefab],0)),10,1,1,"Entities"))</f>
        <v>25</v>
      </c>
      <c r="R38" s="74">
        <f ca="1">ROUND((Table3[[#This Row],[XP]]*Table3[[#This Row],[entity_spawned (AVG)]])*(Table3[[#This Row],[activating_chance]]/100),0)</f>
        <v>75</v>
      </c>
      <c r="S38" t="str">
        <f ca="1">INDIRECT(ADDRESS(11+(MATCH(RIGHT(Table3[[#This Row],[spawner_sku]],LEN(Table3[[#This Row],[spawner_sku]])-FIND("/",Table3[[#This Row],[spawner_sku]])),Table28[Entity Prefab],0)),24,1,1,"Entities"))</f>
        <v>no</v>
      </c>
      <c r="T38">
        <v>2</v>
      </c>
      <c r="U38">
        <v>4</v>
      </c>
      <c r="V38" t="b">
        <v>0</v>
      </c>
      <c r="W38" s="71"/>
      <c r="X38" t="s">
        <v>321</v>
      </c>
      <c r="Y38">
        <v>1</v>
      </c>
      <c r="Z38">
        <v>300</v>
      </c>
      <c r="AA38">
        <v>100</v>
      </c>
      <c r="AB38" s="74">
        <f ca="1">INDIRECT(ADDRESS(11+(MATCH(RIGHT(Table39[[#This Row],[spawner_sku]],LEN(Table39[[#This Row],[spawner_sku]])-FIND("/",Table39[[#This Row],[spawner_sku]])),Table1[Entity Prefab],0)),10,1,1,"Entities"))</f>
        <v>195</v>
      </c>
      <c r="AC38" s="74">
        <f ca="1">ROUND((Table39[[#This Row],[XP]]*Table39[[#This Row],[entity_spawned (AVG)]])*(Table39[[#This Row],[activating_chance]]/100),0)</f>
        <v>195</v>
      </c>
      <c r="AD38" t="str">
        <f ca="1">INDIRECT(ADDRESS(11+(MATCH(RIGHT(Table39[[#This Row],[spawner_sku]],LEN(Table39[[#This Row],[spawner_sku]])-FIND("/",Table39[[#This Row],[spawner_sku]])),Table28[Entity Prefab],0)),24,1,1,"Entities"))</f>
        <v>yes</v>
      </c>
      <c r="AE38">
        <v>1</v>
      </c>
      <c r="AF38">
        <v>1</v>
      </c>
      <c r="AG38" t="b">
        <v>0</v>
      </c>
      <c r="AI38" t="s">
        <v>215</v>
      </c>
      <c r="AJ38">
        <v>3.5</v>
      </c>
      <c r="AK38">
        <v>120</v>
      </c>
      <c r="AL38">
        <v>100</v>
      </c>
      <c r="AM38" s="74">
        <f ca="1">INDIRECT(ADDRESS(11+(MATCH(RIGHT(Table2[[#This Row],[spawner_sku]],LEN(Table2[[#This Row],[spawner_sku]])-FIND("/",Table2[[#This Row],[spawner_sku]])),Table1[Entity Prefab],0)),10,1,1,"Entities"))</f>
        <v>25</v>
      </c>
      <c r="AN38" s="74">
        <f ca="1">ROUND((Table2[[#This Row],[XP]]*Table2[[#This Row],[entity_spawned (AVG)]])*(Table2[[#This Row],[activating_chance]]/100),0)</f>
        <v>88</v>
      </c>
      <c r="AO38" s="71" t="str">
        <f ca="1">INDIRECT(ADDRESS(11+(MATCH(RIGHT(Table2[[#This Row],[spawner_sku]],LEN(Table2[[#This Row],[spawner_sku]])-FIND("/",Table2[[#This Row],[spawner_sku]])),Table28[Entity Prefab],0)),24,1,1,"Entities"))</f>
        <v>no</v>
      </c>
      <c r="AP38" s="71">
        <v>3</v>
      </c>
      <c r="AQ38" s="71">
        <v>4</v>
      </c>
      <c r="AR38" s="71" t="b">
        <v>0</v>
      </c>
      <c r="AT38" t="s">
        <v>215</v>
      </c>
      <c r="AU38">
        <v>3</v>
      </c>
      <c r="AV38">
        <v>90</v>
      </c>
      <c r="AW38">
        <v>100</v>
      </c>
      <c r="AX38" s="74">
        <f ca="1">INDIRECT(ADDRESS(11+(MATCH(RIGHT(Table6[[#This Row],[spawner_sku]],LEN(Table6[[#This Row],[spawner_sku]])-FIND("/",Table6[[#This Row],[spawner_sku]])),Table1[Entity Prefab],0)),10,1,1,"Entities"))</f>
        <v>25</v>
      </c>
      <c r="AY38" s="74">
        <f ca="1">ROUND((Table6[[#This Row],[XP]]*Table6[[#This Row],[entity_spawned (AVG)]])*(Table6[[#This Row],[activating_chance]]/100),0)</f>
        <v>75</v>
      </c>
      <c r="AZ38" s="144" t="str">
        <f ca="1">INDIRECT(ADDRESS(11+(MATCH(RIGHT(Table6[[#This Row],[spawner_sku]],LEN(Table6[[#This Row],[spawner_sku]])-FIND("/",Table6[[#This Row],[spawner_sku]])),Table28[Entity Prefab],0)),24,1,1,"Entities"))</f>
        <v>no</v>
      </c>
      <c r="BA38">
        <v>2</v>
      </c>
      <c r="BB38">
        <v>4</v>
      </c>
      <c r="BC38" t="b">
        <v>0</v>
      </c>
      <c r="BE38" t="s">
        <v>214</v>
      </c>
      <c r="BF38">
        <v>6.5</v>
      </c>
      <c r="BG38">
        <v>120</v>
      </c>
      <c r="BH38">
        <v>100</v>
      </c>
      <c r="BI38" s="74">
        <f ca="1">INDIRECT(ADDRESS(11+(MATCH(RIGHT(Table610[[#This Row],[spawner_sku]],LEN(Table610[[#This Row],[spawner_sku]])-FIND("/",Table610[[#This Row],[spawner_sku]])),Table1[Entity Prefab],0)),10,1,1,"Entities"))</f>
        <v>25</v>
      </c>
      <c r="BJ38" s="74">
        <f ca="1">ROUND((Table610[[#This Row],[XP]]*Table610[[#This Row],[entity_spawned (AVG)]])*(Table610[[#This Row],[activating_chance]]/100),0)</f>
        <v>163</v>
      </c>
      <c r="BK38" s="71" t="str">
        <f ca="1">INDIRECT(ADDRESS(11+(MATCH(RIGHT(Table610[[#This Row],[spawner_sku]],LEN(Table610[[#This Row],[spawner_sku]])-FIND("/",Table610[[#This Row],[spawner_sku]])),Table28[Entity Prefab],0)),24,1,1,"Entities"))</f>
        <v>no</v>
      </c>
      <c r="BL38">
        <v>5</v>
      </c>
      <c r="BM38">
        <v>8</v>
      </c>
      <c r="BN38" t="b">
        <v>1</v>
      </c>
      <c r="BP38" t="s">
        <v>215</v>
      </c>
      <c r="BQ38">
        <v>2.5</v>
      </c>
      <c r="BR38">
        <v>210</v>
      </c>
      <c r="BS38">
        <v>100</v>
      </c>
      <c r="BT38" s="74">
        <f ca="1">INDIRECT(ADDRESS(11+(MATCH(RIGHT(Table61011[[#This Row],[spawner_sku]],LEN(Table61011[[#This Row],[spawner_sku]])-FIND("/",Table61011[[#This Row],[spawner_sku]])),Table1[Entity Prefab],0)),10,1,1,"Entities"))</f>
        <v>25</v>
      </c>
      <c r="BU38" s="74">
        <f ca="1">ROUND((Table61011[[#This Row],[XP]]*Table61011[[#This Row],[entity_spawned (AVG)]])*(Table61011[[#This Row],[activating_chance]]/100),0)</f>
        <v>63</v>
      </c>
      <c r="BV38" s="71" t="str">
        <f ca="1">INDIRECT(ADDRESS(11+(MATCH(RIGHT(Table61011[[#This Row],[spawner_sku]],LEN(Table61011[[#This Row],[spawner_sku]])-FIND("/",Table61011[[#This Row],[spawner_sku]])),Table28[Entity Prefab],0)),24,1,1,"Entities"))</f>
        <v>no</v>
      </c>
      <c r="BW38" s="71">
        <v>2</v>
      </c>
      <c r="BX38" s="71">
        <v>3</v>
      </c>
      <c r="BY38" s="71" t="b">
        <v>0</v>
      </c>
      <c r="BZ38" s="71"/>
      <c r="CA38" s="147" t="s">
        <v>230</v>
      </c>
      <c r="CB38">
        <v>1</v>
      </c>
      <c r="CC38">
        <v>200</v>
      </c>
      <c r="CD38">
        <v>100</v>
      </c>
      <c r="CE38" s="74">
        <f ca="1">INDIRECT(ADDRESS(11+(MATCH(RIGHT(Table35[[#This Row],[spawner_sku]],LEN(Table35[[#This Row],[spawner_sku]])-FIND("/",Table35[[#This Row],[spawner_sku]])),Table1[Entity Prefab],0)),10,1,1,"Entities"))</f>
        <v>28</v>
      </c>
      <c r="CF38" s="74">
        <f ca="1">ROUND((Table35[[#This Row],[XP]]*Table35[[#This Row],[entity_spawned (AVG)]])*(Table35[[#This Row],[activating_chance]]/100),0)</f>
        <v>28</v>
      </c>
      <c r="CG38" s="144" t="str">
        <f ca="1">INDIRECT(ADDRESS(11+(MATCH(RIGHT(Table35[[#This Row],[spawner_sku]],LEN(Table35[[#This Row],[spawner_sku]])-FIND("/",Table35[[#This Row],[spawner_sku]])),Table28[Entity Prefab],0)),24,1,1,"Entities"))</f>
        <v>no</v>
      </c>
      <c r="CH38">
        <v>1</v>
      </c>
      <c r="CI38">
        <v>1</v>
      </c>
      <c r="CJ38" s="71" t="b">
        <v>0</v>
      </c>
      <c r="CL38" t="s">
        <v>215</v>
      </c>
      <c r="CM38">
        <v>1.5</v>
      </c>
      <c r="CN38">
        <v>180</v>
      </c>
      <c r="CO38">
        <v>30</v>
      </c>
      <c r="CP38" s="74">
        <f ca="1">INDIRECT(ADDRESS(11+(MATCH(RIGHT(Table11[[#This Row],[spawner_sku]],LEN(Table11[[#This Row],[spawner_sku]])-FIND("/",Table11[[#This Row],[spawner_sku]])),Table1[Entity Prefab],0)),10,1,1,"Entities"))</f>
        <v>25</v>
      </c>
      <c r="CQ38">
        <f ca="1">ROUND((Table11[[#This Row],[XP]]*Table11[[#This Row],[entity_spawned (AVG)]])*(Table11[[#This Row],[activating_chance]]/100),0)</f>
        <v>11</v>
      </c>
      <c r="CR38" s="144" t="str">
        <f ca="1">INDIRECT(ADDRESS(11+(MATCH(RIGHT(Table11[[#This Row],[spawner_sku]],LEN(Table11[[#This Row],[spawner_sku]])-FIND("/",Table11[[#This Row],[spawner_sku]])),Table28[Entity Prefab],0)),25,1,1,"Entities"))</f>
        <v>no</v>
      </c>
      <c r="CS38" s="71">
        <v>1</v>
      </c>
      <c r="CT38" s="71">
        <v>2</v>
      </c>
      <c r="CU38" s="71" t="b">
        <v>0</v>
      </c>
      <c r="CW38" t="s">
        <v>214</v>
      </c>
      <c r="CX38">
        <v>7</v>
      </c>
      <c r="CY38">
        <v>280</v>
      </c>
      <c r="CZ38">
        <v>80</v>
      </c>
      <c r="DA38" s="74">
        <f ca="1">INDIRECT(ADDRESS(11+(MATCH(RIGHT(Table12[[#This Row],[spawner_sku]],LEN(Table12[[#This Row],[spawner_sku]])-FIND("/",Table12[[#This Row],[spawner_sku]])),Table1[Entity Prefab],0)),10,1,1,"Entities"))</f>
        <v>25</v>
      </c>
      <c r="DB38" s="74">
        <f ca="1">ROUND((Table12[[#This Row],[XP]]*Table12[[#This Row],[entity_spawned (AVG)]])*(Table12[[#This Row],[activating_chance]]/100),0)</f>
        <v>140</v>
      </c>
      <c r="DC38" s="144" t="str">
        <f ca="1">INDIRECT(ADDRESS(11+(MATCH(RIGHT(Table12[[#This Row],[spawner_sku]],LEN(Table12[[#This Row],[spawner_sku]])-FIND("/",Table12[[#This Row],[spawner_sku]])),Table28[Entity Prefab],0)),25,1,1,"Entities"))</f>
        <v>no</v>
      </c>
      <c r="DD38" s="71">
        <v>6</v>
      </c>
      <c r="DE38" s="71">
        <v>8</v>
      </c>
      <c r="DF38" s="71" t="b">
        <v>1</v>
      </c>
      <c r="DH38" t="s">
        <v>214</v>
      </c>
      <c r="DI38">
        <v>11</v>
      </c>
      <c r="DJ38">
        <v>280</v>
      </c>
      <c r="DK38">
        <v>100</v>
      </c>
      <c r="DL38" s="74">
        <f ca="1">INDIRECT(ADDRESS(11+(MATCH(RIGHT(Table13[[#This Row],[spawner_sku]],LEN(Table13[[#This Row],[spawner_sku]])-FIND("/",Table13[[#This Row],[spawner_sku]])),Table1[Entity Prefab],0)),10,1,1,"Entities"))</f>
        <v>25</v>
      </c>
      <c r="DM38" s="74">
        <f ca="1">ROUND((Table13[[#This Row],[XP]]*Table13[[#This Row],[entity_spawned (AVG)]])*(Table13[[#This Row],[activating_chance]]/100),0)</f>
        <v>275</v>
      </c>
      <c r="DN38" s="144" t="str">
        <f ca="1">INDIRECT(ADDRESS(11+(MATCH(RIGHT(Table13[[#This Row],[spawner_sku]],LEN(Table13[[#This Row],[spawner_sku]])-FIND("/",Table13[[#This Row],[spawner_sku]])),Table28[Entity Prefab],0)),25,1,1,"Entities"))</f>
        <v>no</v>
      </c>
      <c r="DO38" s="71">
        <v>10</v>
      </c>
      <c r="DP38" s="71">
        <v>12</v>
      </c>
      <c r="DQ38" s="71" t="b">
        <v>1</v>
      </c>
      <c r="DS38" t="s">
        <v>213</v>
      </c>
      <c r="DT38">
        <v>2</v>
      </c>
      <c r="DU38">
        <v>200</v>
      </c>
      <c r="DV38">
        <v>70</v>
      </c>
      <c r="DW38" s="74">
        <f ca="1">INDIRECT(ADDRESS(11+(MATCH(RIGHT(Table14[[#This Row],[spawner_sku]],LEN(Table14[[#This Row],[spawner_sku]])-FIND("/",Table14[[#This Row],[spawner_sku]])),Table1[Entity Prefab],0)),10,1,1,"Entities"))</f>
        <v>55</v>
      </c>
      <c r="DX38" s="74">
        <f ca="1">ROUND((Table14[[#This Row],[XP]]*Table14[[#This Row],[entity_spawned (AVG)]])*(Table14[[#This Row],[activating_chance]]/100),0)</f>
        <v>77</v>
      </c>
      <c r="DY38" s="144" t="str">
        <f ca="1">INDIRECT(ADDRESS(11+(MATCH(RIGHT(Table14[[#This Row],[spawner_sku]],LEN(Table14[[#This Row],[spawner_sku]])-FIND("/",Table14[[#This Row],[spawner_sku]])),Table28[Entity Prefab],0)),25,1,1,"Entities"))</f>
        <v>yes</v>
      </c>
      <c r="DZ38" s="71">
        <v>2</v>
      </c>
      <c r="EA38" s="71">
        <v>2</v>
      </c>
      <c r="EB38" s="71" t="b">
        <v>0</v>
      </c>
      <c r="EC38" s="71"/>
      <c r="ED38" s="147" t="s">
        <v>570</v>
      </c>
      <c r="EE38" s="71">
        <v>1</v>
      </c>
      <c r="EF38" s="71">
        <v>120</v>
      </c>
      <c r="EG38" s="71">
        <v>100</v>
      </c>
      <c r="EH38" s="71">
        <f ca="1">INDIRECT(ADDRESS(11+(MATCH(RIGHT(Table36[[#This Row],[spawner_sku]],LEN(Table36[[#This Row],[spawner_sku]])-FIND("/",Table36[[#This Row],[spawner_sku]])),Table1[Entity Prefab],0)),10,1,1,"Entities"))</f>
        <v>50</v>
      </c>
      <c r="EI38" s="71">
        <f ca="1">ROUND((Table36[[#This Row],[XP]]*Table36[[#This Row],[entity_spawned (AVG)]])*(Table36[[#This Row],[activating_chance]]/100),0)</f>
        <v>50</v>
      </c>
      <c r="EJ38" s="71" t="str">
        <f ca="1">INDIRECT(ADDRESS(11+(MATCH(RIGHT(Table36[[#This Row],[spawner_sku]],LEN(Table36[[#This Row],[spawner_sku]])-FIND("/",Table36[[#This Row],[spawner_sku]])),Table28[Entity Prefab],0)),25,1,1,"Entities"))</f>
        <v>no</v>
      </c>
      <c r="EK38" s="71">
        <v>1</v>
      </c>
      <c r="EL38" s="71">
        <v>1</v>
      </c>
      <c r="EM38" s="71" t="b">
        <v>0</v>
      </c>
      <c r="EO38" t="s">
        <v>214</v>
      </c>
      <c r="EP38">
        <v>7</v>
      </c>
      <c r="EQ38">
        <v>160</v>
      </c>
      <c r="ER38">
        <v>30</v>
      </c>
      <c r="ES38" s="74">
        <f ca="1">INDIRECT(ADDRESS(11+(MATCH(RIGHT(Table18[[#This Row],[spawner_sku]],LEN(Table18[[#This Row],[spawner_sku]])-FIND("/",Table18[[#This Row],[spawner_sku]])),Table1[Entity Prefab],0)),10,1,1,"Entities"))</f>
        <v>25</v>
      </c>
      <c r="ET38" s="74">
        <f ca="1">ROUND((Table18[[#This Row],[XP]]*Table18[[#This Row],[entity_spawned (AVG)]])*(Table18[[#This Row],[activating_chance]]/100),0)</f>
        <v>53</v>
      </c>
      <c r="EU38" s="74" t="str">
        <f ca="1">INDIRECT(ADDRESS(11+(MATCH(RIGHT(Table18[[#This Row],[spawner_sku]],LEN(Table18[[#This Row],[spawner_sku]])-FIND("/",Table18[[#This Row],[spawner_sku]])),Table28[Entity Prefab],0)),26,1,1,"Entities"))</f>
        <v>no</v>
      </c>
      <c r="EV38">
        <v>6</v>
      </c>
      <c r="EW38">
        <v>8</v>
      </c>
      <c r="EX38" t="b">
        <v>1</v>
      </c>
      <c r="EZ38" t="s">
        <v>214</v>
      </c>
      <c r="FA38">
        <v>3.5</v>
      </c>
      <c r="FB38">
        <v>140</v>
      </c>
      <c r="FC38">
        <v>100</v>
      </c>
      <c r="FD38" s="74">
        <f ca="1">INDIRECT(ADDRESS(11+(MATCH(RIGHT(Table1820[[#This Row],[spawner_sku]],LEN(Table1820[[#This Row],[spawner_sku]])-FIND("/",Table1820[[#This Row],[spawner_sku]])),Table1[Entity Prefab],0)),10,1,1,"Entities"))</f>
        <v>25</v>
      </c>
      <c r="FE38" s="74">
        <f ca="1">ROUND((Table1820[[#This Row],[XP]]*Table1820[[#This Row],[entity_spawned (AVG)]])*(Table1820[[#This Row],[activating_chance]]/100),0)</f>
        <v>88</v>
      </c>
      <c r="FF38" s="74" t="str">
        <f ca="1">INDIRECT(ADDRESS(11+(MATCH(RIGHT(Table1820[[#This Row],[spawner_sku]],LEN(Table1820[[#This Row],[spawner_sku]])-FIND("/",Table1820[[#This Row],[spawner_sku]])),Table28[Entity Prefab],0)),26,1,1,"Entities"))</f>
        <v>no</v>
      </c>
      <c r="FG38">
        <v>3</v>
      </c>
      <c r="FH38">
        <v>4</v>
      </c>
      <c r="FI38" t="b">
        <v>0</v>
      </c>
      <c r="FK38" t="s">
        <v>233</v>
      </c>
      <c r="FL38">
        <v>1</v>
      </c>
      <c r="FM38">
        <v>500</v>
      </c>
      <c r="FN38">
        <v>80</v>
      </c>
      <c r="FO38">
        <f ca="1">INDIRECT(ADDRESS(11+(MATCH(RIGHT(Table182023[[#This Row],[spawner_sku]],LEN(Table182023[[#This Row],[spawner_sku]])-FIND("/",Table182023[[#This Row],[spawner_sku]])),Table1[Entity Prefab],0)),10,1,1,"Entities"))</f>
        <v>25</v>
      </c>
      <c r="FP38">
        <f ca="1">ROUND((Table182023[[#This Row],[XP]]*Table182023[[#This Row],[entity_spawned (AVG)]])*(Table182023[[#This Row],[activating_chance]]/100),0)</f>
        <v>20</v>
      </c>
      <c r="FQ38" t="str">
        <f ca="1">INDIRECT(ADDRESS(11+(MATCH(RIGHT(Table182023[[#This Row],[spawner_sku]],LEN(Table182023[[#This Row],[spawner_sku]])-FIND("/",Table182023[[#This Row],[spawner_sku]])),Table28[Entity Prefab],0)),26,1,1,"Entities"))</f>
        <v>no</v>
      </c>
      <c r="FR38">
        <v>1</v>
      </c>
      <c r="FS38">
        <v>1</v>
      </c>
      <c r="FT38" t="b">
        <v>0</v>
      </c>
      <c r="FV38" t="s">
        <v>493</v>
      </c>
      <c r="FW38">
        <v>2.5</v>
      </c>
      <c r="FX38">
        <v>90</v>
      </c>
      <c r="FY38">
        <v>100</v>
      </c>
      <c r="FZ38" s="74">
        <f ca="1">INDIRECT(ADDRESS(11+(MATCH(RIGHT(Table18202324[[#This Row],[spawner_sku]],LEN(Table18202324[[#This Row],[spawner_sku]])-FIND("/",Table18202324[[#This Row],[spawner_sku]])),Table1[Entity Prefab],0)),10,1,1,"Entities"))</f>
        <v>35</v>
      </c>
      <c r="GA38" s="74">
        <f ca="1">ROUND((Table18202324[[#This Row],[XP]]*Table18202324[[#This Row],[entity_spawned (AVG)]])*(Table18202324[[#This Row],[activating_chance]]/100),0)</f>
        <v>88</v>
      </c>
      <c r="GB38" s="74" t="str">
        <f ca="1">INDIRECT(ADDRESS(11+(MATCH(RIGHT(Table18202324[[#This Row],[spawner_sku]],LEN(Table18202324[[#This Row],[spawner_sku]])-FIND("/",Table18202324[[#This Row],[spawner_sku]])),Table28[Entity Prefab],0)),26,1,1,"Entities"))</f>
        <v>no</v>
      </c>
      <c r="GC38">
        <v>2</v>
      </c>
      <c r="GD38">
        <v>3</v>
      </c>
      <c r="GE38" t="b">
        <v>0</v>
      </c>
      <c r="GG38" t="s">
        <v>3820</v>
      </c>
      <c r="GH38">
        <v>1</v>
      </c>
      <c r="GI38">
        <v>240</v>
      </c>
      <c r="GJ38">
        <v>100</v>
      </c>
      <c r="GK38">
        <f ca="1">INDIRECT(ADDRESS(11+(MATCH(RIGHT(Table37[[#This Row],[spawner_sku]],LEN(Table37[[#This Row],[spawner_sku]])-FIND("/",Table37[[#This Row],[spawner_sku]])),Table1[Entity Prefab],0)),10,1,1,"Entities"))</f>
        <v>10</v>
      </c>
      <c r="GL38">
        <f ca="1">ROUND((Table37[[#This Row],[XP]]*Table37[[#This Row],[entity_spawned (AVG)]])*(Table37[[#This Row],[activating_chance]]/100),0)</f>
        <v>10</v>
      </c>
      <c r="GM38" t="str">
        <f ca="1">INDIRECT(ADDRESS(11+(MATCH(RIGHT(Table37[[#This Row],[spawner_sku]],LEN(Table37[[#This Row],[spawner_sku]])-FIND("/",Table37[[#This Row],[spawner_sku]])),Table28[Entity Prefab],0)),26,1,1,"Entities"))</f>
        <v>no</v>
      </c>
      <c r="GN38">
        <v>1</v>
      </c>
      <c r="GO38">
        <v>1</v>
      </c>
      <c r="GP38" t="b">
        <v>0</v>
      </c>
    </row>
    <row r="39" spans="2:198" x14ac:dyDescent="0.25">
      <c r="B39" s="72" t="s">
        <v>215</v>
      </c>
      <c r="C39">
        <v>1</v>
      </c>
      <c r="D39">
        <v>60</v>
      </c>
      <c r="E39">
        <v>100</v>
      </c>
      <c r="F39" s="74">
        <f ca="1">INDIRECT(ADDRESS(11+(MATCH(RIGHT(Table245[[#This Row],[spawner_sku]],LEN(Table245[[#This Row],[spawner_sku]])-FIND("/",Table245[[#This Row],[spawner_sku]])),Table1[Entity Prefab],0)),10,1,1,"Entities"))</f>
        <v>25</v>
      </c>
      <c r="G39" s="74">
        <f ca="1">ROUND((Table245[[#This Row],[XP]]*Table245[[#This Row],[entity_spawned (AVG)]])*(Table245[[#This Row],[activating_chance]]/100),0)</f>
        <v>25</v>
      </c>
      <c r="H39" s="71" t="str">
        <f ca="1">INDIRECT(ADDRESS(11+(MATCH(RIGHT(Table245[[#This Row],[spawner_sku]],LEN(Table245[[#This Row],[spawner_sku]])-FIND("/",Table245[[#This Row],[spawner_sku]])),Table28[Entity Prefab],0)),24,1,1,"Entities"))</f>
        <v>no</v>
      </c>
      <c r="I39" s="71">
        <v>1</v>
      </c>
      <c r="J39" s="71">
        <v>1</v>
      </c>
      <c r="K39" s="71" t="b">
        <v>0</v>
      </c>
      <c r="M39" t="s">
        <v>215</v>
      </c>
      <c r="N39">
        <v>6</v>
      </c>
      <c r="O39">
        <v>180</v>
      </c>
      <c r="P39">
        <v>100</v>
      </c>
      <c r="Q39" s="74">
        <f ca="1">INDIRECT(ADDRESS(11+(MATCH(RIGHT(Table3[[#This Row],[spawner_sku]],LEN(Table3[[#This Row],[spawner_sku]])-FIND("/",Table3[[#This Row],[spawner_sku]])),Table1[Entity Prefab],0)),10,1,1,"Entities"))</f>
        <v>25</v>
      </c>
      <c r="R39" s="74">
        <f ca="1">ROUND((Table3[[#This Row],[XP]]*Table3[[#This Row],[entity_spawned (AVG)]])*(Table3[[#This Row],[activating_chance]]/100),0)</f>
        <v>150</v>
      </c>
      <c r="S39" t="str">
        <f ca="1">INDIRECT(ADDRESS(11+(MATCH(RIGHT(Table3[[#This Row],[spawner_sku]],LEN(Table3[[#This Row],[spawner_sku]])-FIND("/",Table3[[#This Row],[spawner_sku]])),Table28[Entity Prefab],0)),24,1,1,"Entities"))</f>
        <v>no</v>
      </c>
      <c r="T39">
        <v>5</v>
      </c>
      <c r="U39">
        <v>7</v>
      </c>
      <c r="V39" t="b">
        <v>1</v>
      </c>
      <c r="W39" s="71"/>
      <c r="X39" t="s">
        <v>383</v>
      </c>
      <c r="Y39">
        <v>1</v>
      </c>
      <c r="Z39">
        <v>340</v>
      </c>
      <c r="AA39">
        <v>100</v>
      </c>
      <c r="AB39" s="74">
        <f ca="1">INDIRECT(ADDRESS(11+(MATCH(RIGHT(Table39[[#This Row],[spawner_sku]],LEN(Table39[[#This Row],[spawner_sku]])-FIND("/",Table39[[#This Row],[spawner_sku]])),Table1[Entity Prefab],0)),10,1,1,"Entities"))</f>
        <v>263</v>
      </c>
      <c r="AC39" s="74">
        <f ca="1">ROUND((Table39[[#This Row],[XP]]*Table39[[#This Row],[entity_spawned (AVG)]])*(Table39[[#This Row],[activating_chance]]/100),0)</f>
        <v>263</v>
      </c>
      <c r="AD39" t="str">
        <f ca="1">INDIRECT(ADDRESS(11+(MATCH(RIGHT(Table39[[#This Row],[spawner_sku]],LEN(Table39[[#This Row],[spawner_sku]])-FIND("/",Table39[[#This Row],[spawner_sku]])),Table28[Entity Prefab],0)),24,1,1,"Entities"))</f>
        <v>yes</v>
      </c>
      <c r="AE39">
        <v>1</v>
      </c>
      <c r="AF39">
        <v>1</v>
      </c>
      <c r="AG39" t="b">
        <v>0</v>
      </c>
      <c r="AI39" t="s">
        <v>215</v>
      </c>
      <c r="AJ39">
        <v>9</v>
      </c>
      <c r="AK39">
        <v>200</v>
      </c>
      <c r="AL39">
        <v>40</v>
      </c>
      <c r="AM39" s="74">
        <f ca="1">INDIRECT(ADDRESS(11+(MATCH(RIGHT(Table2[[#This Row],[spawner_sku]],LEN(Table2[[#This Row],[spawner_sku]])-FIND("/",Table2[[#This Row],[spawner_sku]])),Table1[Entity Prefab],0)),10,1,1,"Entities"))</f>
        <v>25</v>
      </c>
      <c r="AN39" s="74">
        <f ca="1">ROUND((Table2[[#This Row],[XP]]*Table2[[#This Row],[entity_spawned (AVG)]])*(Table2[[#This Row],[activating_chance]]/100),0)</f>
        <v>90</v>
      </c>
      <c r="AO39" s="71" t="str">
        <f ca="1">INDIRECT(ADDRESS(11+(MATCH(RIGHT(Table2[[#This Row],[spawner_sku]],LEN(Table2[[#This Row],[spawner_sku]])-FIND("/",Table2[[#This Row],[spawner_sku]])),Table28[Entity Prefab],0)),24,1,1,"Entities"))</f>
        <v>no</v>
      </c>
      <c r="AP39" s="71">
        <v>6</v>
      </c>
      <c r="AQ39" s="71">
        <v>12</v>
      </c>
      <c r="AR39" s="71" t="b">
        <v>1</v>
      </c>
      <c r="AT39" t="s">
        <v>215</v>
      </c>
      <c r="AU39">
        <v>2</v>
      </c>
      <c r="AV39">
        <v>60</v>
      </c>
      <c r="AW39">
        <v>100</v>
      </c>
      <c r="AX39" s="74">
        <f ca="1">INDIRECT(ADDRESS(11+(MATCH(RIGHT(Table6[[#This Row],[spawner_sku]],LEN(Table6[[#This Row],[spawner_sku]])-FIND("/",Table6[[#This Row],[spawner_sku]])),Table1[Entity Prefab],0)),10,1,1,"Entities"))</f>
        <v>25</v>
      </c>
      <c r="AY39" s="74">
        <f ca="1">ROUND((Table6[[#This Row],[XP]]*Table6[[#This Row],[entity_spawned (AVG)]])*(Table6[[#This Row],[activating_chance]]/100),0)</f>
        <v>50</v>
      </c>
      <c r="AZ39" s="144" t="str">
        <f ca="1">INDIRECT(ADDRESS(11+(MATCH(RIGHT(Table6[[#This Row],[spawner_sku]],LEN(Table6[[#This Row],[spawner_sku]])-FIND("/",Table6[[#This Row],[spawner_sku]])),Table28[Entity Prefab],0)),24,1,1,"Entities"))</f>
        <v>no</v>
      </c>
      <c r="BA39">
        <v>2</v>
      </c>
      <c r="BB39">
        <v>2</v>
      </c>
      <c r="BC39" t="b">
        <v>0</v>
      </c>
      <c r="BE39" t="s">
        <v>214</v>
      </c>
      <c r="BF39">
        <v>6.5</v>
      </c>
      <c r="BG39">
        <v>110</v>
      </c>
      <c r="BH39">
        <v>100</v>
      </c>
      <c r="BI39" s="74">
        <f ca="1">INDIRECT(ADDRESS(11+(MATCH(RIGHT(Table610[[#This Row],[spawner_sku]],LEN(Table610[[#This Row],[spawner_sku]])-FIND("/",Table610[[#This Row],[spawner_sku]])),Table1[Entity Prefab],0)),10,1,1,"Entities"))</f>
        <v>25</v>
      </c>
      <c r="BJ39" s="74">
        <f ca="1">ROUND((Table610[[#This Row],[XP]]*Table610[[#This Row],[entity_spawned (AVG)]])*(Table610[[#This Row],[activating_chance]]/100),0)</f>
        <v>163</v>
      </c>
      <c r="BK39" s="71" t="str">
        <f ca="1">INDIRECT(ADDRESS(11+(MATCH(RIGHT(Table610[[#This Row],[spawner_sku]],LEN(Table610[[#This Row],[spawner_sku]])-FIND("/",Table610[[#This Row],[spawner_sku]])),Table28[Entity Prefab],0)),24,1,1,"Entities"))</f>
        <v>no</v>
      </c>
      <c r="BL39">
        <v>5</v>
      </c>
      <c r="BM39">
        <v>8</v>
      </c>
      <c r="BN39" t="b">
        <v>1</v>
      </c>
      <c r="BP39" t="s">
        <v>215</v>
      </c>
      <c r="BQ39">
        <v>5</v>
      </c>
      <c r="BR39">
        <v>200</v>
      </c>
      <c r="BS39">
        <v>100</v>
      </c>
      <c r="BT39" s="74">
        <f ca="1">INDIRECT(ADDRESS(11+(MATCH(RIGHT(Table61011[[#This Row],[spawner_sku]],LEN(Table61011[[#This Row],[spawner_sku]])-FIND("/",Table61011[[#This Row],[spawner_sku]])),Table1[Entity Prefab],0)),10,1,1,"Entities"))</f>
        <v>25</v>
      </c>
      <c r="BU39" s="74">
        <f ca="1">ROUND((Table61011[[#This Row],[XP]]*Table61011[[#This Row],[entity_spawned (AVG)]])*(Table61011[[#This Row],[activating_chance]]/100),0)</f>
        <v>125</v>
      </c>
      <c r="BV39" s="71" t="str">
        <f ca="1">INDIRECT(ADDRESS(11+(MATCH(RIGHT(Table61011[[#This Row],[spawner_sku]],LEN(Table61011[[#This Row],[spawner_sku]])-FIND("/",Table61011[[#This Row],[spawner_sku]])),Table28[Entity Prefab],0)),24,1,1,"Entities"))</f>
        <v>no</v>
      </c>
      <c r="BW39" s="71">
        <v>5</v>
      </c>
      <c r="BX39" s="71">
        <v>5</v>
      </c>
      <c r="BY39" s="71" t="b">
        <v>1</v>
      </c>
      <c r="BZ39" s="71"/>
      <c r="CA39" s="147" t="s">
        <v>230</v>
      </c>
      <c r="CB39">
        <v>1</v>
      </c>
      <c r="CC39">
        <v>200</v>
      </c>
      <c r="CD39">
        <v>100</v>
      </c>
      <c r="CE39" s="74">
        <f ca="1">INDIRECT(ADDRESS(11+(MATCH(RIGHT(Table35[[#This Row],[spawner_sku]],LEN(Table35[[#This Row],[spawner_sku]])-FIND("/",Table35[[#This Row],[spawner_sku]])),Table1[Entity Prefab],0)),10,1,1,"Entities"))</f>
        <v>28</v>
      </c>
      <c r="CF39" s="74">
        <f ca="1">ROUND((Table35[[#This Row],[XP]]*Table35[[#This Row],[entity_spawned (AVG)]])*(Table35[[#This Row],[activating_chance]]/100),0)</f>
        <v>28</v>
      </c>
      <c r="CG39" s="144" t="str">
        <f ca="1">INDIRECT(ADDRESS(11+(MATCH(RIGHT(Table35[[#This Row],[spawner_sku]],LEN(Table35[[#This Row],[spawner_sku]])-FIND("/",Table35[[#This Row],[spawner_sku]])),Table28[Entity Prefab],0)),24,1,1,"Entities"))</f>
        <v>no</v>
      </c>
      <c r="CH39">
        <v>1</v>
      </c>
      <c r="CI39">
        <v>1</v>
      </c>
      <c r="CJ39" s="71" t="b">
        <v>0</v>
      </c>
      <c r="CL39" t="s">
        <v>215</v>
      </c>
      <c r="CM39">
        <v>2</v>
      </c>
      <c r="CN39">
        <v>180</v>
      </c>
      <c r="CO39">
        <v>100</v>
      </c>
      <c r="CP39" s="74">
        <f ca="1">INDIRECT(ADDRESS(11+(MATCH(RIGHT(Table11[[#This Row],[spawner_sku]],LEN(Table11[[#This Row],[spawner_sku]])-FIND("/",Table11[[#This Row],[spawner_sku]])),Table1[Entity Prefab],0)),10,1,1,"Entities"))</f>
        <v>25</v>
      </c>
      <c r="CQ39">
        <f ca="1">ROUND((Table11[[#This Row],[XP]]*Table11[[#This Row],[entity_spawned (AVG)]])*(Table11[[#This Row],[activating_chance]]/100),0)</f>
        <v>50</v>
      </c>
      <c r="CR39" s="144" t="str">
        <f ca="1">INDIRECT(ADDRESS(11+(MATCH(RIGHT(Table11[[#This Row],[spawner_sku]],LEN(Table11[[#This Row],[spawner_sku]])-FIND("/",Table11[[#This Row],[spawner_sku]])),Table28[Entity Prefab],0)),25,1,1,"Entities"))</f>
        <v>no</v>
      </c>
      <c r="CS39" s="71">
        <v>2</v>
      </c>
      <c r="CT39" s="71">
        <v>2</v>
      </c>
      <c r="CU39" s="71" t="b">
        <v>0</v>
      </c>
      <c r="CW39" t="s">
        <v>214</v>
      </c>
      <c r="CX39">
        <v>9</v>
      </c>
      <c r="CY39">
        <v>280</v>
      </c>
      <c r="CZ39">
        <v>80</v>
      </c>
      <c r="DA39" s="74">
        <f ca="1">INDIRECT(ADDRESS(11+(MATCH(RIGHT(Table12[[#This Row],[spawner_sku]],LEN(Table12[[#This Row],[spawner_sku]])-FIND("/",Table12[[#This Row],[spawner_sku]])),Table1[Entity Prefab],0)),10,1,1,"Entities"))</f>
        <v>25</v>
      </c>
      <c r="DB39" s="74">
        <f ca="1">ROUND((Table12[[#This Row],[XP]]*Table12[[#This Row],[entity_spawned (AVG)]])*(Table12[[#This Row],[activating_chance]]/100),0)</f>
        <v>180</v>
      </c>
      <c r="DC39" s="144" t="str">
        <f ca="1">INDIRECT(ADDRESS(11+(MATCH(RIGHT(Table12[[#This Row],[spawner_sku]],LEN(Table12[[#This Row],[spawner_sku]])-FIND("/",Table12[[#This Row],[spawner_sku]])),Table28[Entity Prefab],0)),25,1,1,"Entities"))</f>
        <v>no</v>
      </c>
      <c r="DD39" s="71">
        <v>8</v>
      </c>
      <c r="DE39" s="71">
        <v>10</v>
      </c>
      <c r="DF39" s="71" t="b">
        <v>1</v>
      </c>
      <c r="DH39" t="s">
        <v>214</v>
      </c>
      <c r="DI39">
        <v>11</v>
      </c>
      <c r="DJ39">
        <v>280</v>
      </c>
      <c r="DK39">
        <v>100</v>
      </c>
      <c r="DL39" s="74">
        <f ca="1">INDIRECT(ADDRESS(11+(MATCH(RIGHT(Table13[[#This Row],[spawner_sku]],LEN(Table13[[#This Row],[spawner_sku]])-FIND("/",Table13[[#This Row],[spawner_sku]])),Table1[Entity Prefab],0)),10,1,1,"Entities"))</f>
        <v>25</v>
      </c>
      <c r="DM39" s="74">
        <f ca="1">ROUND((Table13[[#This Row],[XP]]*Table13[[#This Row],[entity_spawned (AVG)]])*(Table13[[#This Row],[activating_chance]]/100),0)</f>
        <v>275</v>
      </c>
      <c r="DN39" s="144" t="str">
        <f ca="1">INDIRECT(ADDRESS(11+(MATCH(RIGHT(Table13[[#This Row],[spawner_sku]],LEN(Table13[[#This Row],[spawner_sku]])-FIND("/",Table13[[#This Row],[spawner_sku]])),Table28[Entity Prefab],0)),25,1,1,"Entities"))</f>
        <v>no</v>
      </c>
      <c r="DO39" s="71">
        <v>10</v>
      </c>
      <c r="DP39" s="71">
        <v>12</v>
      </c>
      <c r="DQ39" s="71" t="b">
        <v>1</v>
      </c>
      <c r="DS39" t="s">
        <v>214</v>
      </c>
      <c r="DT39">
        <v>7</v>
      </c>
      <c r="DU39">
        <v>150</v>
      </c>
      <c r="DV39">
        <v>100</v>
      </c>
      <c r="DW39" s="74">
        <f ca="1">INDIRECT(ADDRESS(11+(MATCH(RIGHT(Table14[[#This Row],[spawner_sku]],LEN(Table14[[#This Row],[spawner_sku]])-FIND("/",Table14[[#This Row],[spawner_sku]])),Table1[Entity Prefab],0)),10,1,1,"Entities"))</f>
        <v>25</v>
      </c>
      <c r="DX39" s="74">
        <f ca="1">ROUND((Table14[[#This Row],[XP]]*Table14[[#This Row],[entity_spawned (AVG)]])*(Table14[[#This Row],[activating_chance]]/100),0)</f>
        <v>175</v>
      </c>
      <c r="DY39" s="144" t="str">
        <f ca="1">INDIRECT(ADDRESS(11+(MATCH(RIGHT(Table14[[#This Row],[spawner_sku]],LEN(Table14[[#This Row],[spawner_sku]])-FIND("/",Table14[[#This Row],[spawner_sku]])),Table28[Entity Prefab],0)),25,1,1,"Entities"))</f>
        <v>no</v>
      </c>
      <c r="DZ39" s="71">
        <v>6</v>
      </c>
      <c r="EA39" s="71">
        <v>8</v>
      </c>
      <c r="EB39" s="71" t="b">
        <v>1</v>
      </c>
      <c r="EC39" s="71"/>
      <c r="ED39" s="147" t="s">
        <v>570</v>
      </c>
      <c r="EE39" s="71">
        <v>1</v>
      </c>
      <c r="EF39" s="71">
        <v>120</v>
      </c>
      <c r="EG39" s="71">
        <v>100</v>
      </c>
      <c r="EH39" s="71">
        <f ca="1">INDIRECT(ADDRESS(11+(MATCH(RIGHT(Table36[[#This Row],[spawner_sku]],LEN(Table36[[#This Row],[spawner_sku]])-FIND("/",Table36[[#This Row],[spawner_sku]])),Table1[Entity Prefab],0)),10,1,1,"Entities"))</f>
        <v>50</v>
      </c>
      <c r="EI39" s="71">
        <f ca="1">ROUND((Table36[[#This Row],[XP]]*Table36[[#This Row],[entity_spawned (AVG)]])*(Table36[[#This Row],[activating_chance]]/100),0)</f>
        <v>50</v>
      </c>
      <c r="EJ39" s="71" t="str">
        <f ca="1">INDIRECT(ADDRESS(11+(MATCH(RIGHT(Table36[[#This Row],[spawner_sku]],LEN(Table36[[#This Row],[spawner_sku]])-FIND("/",Table36[[#This Row],[spawner_sku]])),Table28[Entity Prefab],0)),25,1,1,"Entities"))</f>
        <v>no</v>
      </c>
      <c r="EK39" s="71">
        <v>1</v>
      </c>
      <c r="EL39" s="71">
        <v>1</v>
      </c>
      <c r="EM39" s="71" t="b">
        <v>0</v>
      </c>
      <c r="EO39" t="s">
        <v>214</v>
      </c>
      <c r="EP39">
        <v>7</v>
      </c>
      <c r="EQ39">
        <v>160</v>
      </c>
      <c r="ER39">
        <v>80</v>
      </c>
      <c r="ES39" s="74">
        <f ca="1">INDIRECT(ADDRESS(11+(MATCH(RIGHT(Table18[[#This Row],[spawner_sku]],LEN(Table18[[#This Row],[spawner_sku]])-FIND("/",Table18[[#This Row],[spawner_sku]])),Table1[Entity Prefab],0)),10,1,1,"Entities"))</f>
        <v>25</v>
      </c>
      <c r="ET39" s="74">
        <f ca="1">ROUND((Table18[[#This Row],[XP]]*Table18[[#This Row],[entity_spawned (AVG)]])*(Table18[[#This Row],[activating_chance]]/100),0)</f>
        <v>140</v>
      </c>
      <c r="EU39" s="74" t="str">
        <f ca="1">INDIRECT(ADDRESS(11+(MATCH(RIGHT(Table18[[#This Row],[spawner_sku]],LEN(Table18[[#This Row],[spawner_sku]])-FIND("/",Table18[[#This Row],[spawner_sku]])),Table28[Entity Prefab],0)),26,1,1,"Entities"))</f>
        <v>no</v>
      </c>
      <c r="EV39">
        <v>6</v>
      </c>
      <c r="EW39">
        <v>8</v>
      </c>
      <c r="EX39" t="b">
        <v>1</v>
      </c>
      <c r="EZ39" t="s">
        <v>214</v>
      </c>
      <c r="FA39">
        <v>2.5</v>
      </c>
      <c r="FB39">
        <v>140</v>
      </c>
      <c r="FC39">
        <v>80</v>
      </c>
      <c r="FD39" s="74">
        <f ca="1">INDIRECT(ADDRESS(11+(MATCH(RIGHT(Table1820[[#This Row],[spawner_sku]],LEN(Table1820[[#This Row],[spawner_sku]])-FIND("/",Table1820[[#This Row],[spawner_sku]])),Table1[Entity Prefab],0)),10,1,1,"Entities"))</f>
        <v>25</v>
      </c>
      <c r="FE39" s="74">
        <f ca="1">ROUND((Table1820[[#This Row],[XP]]*Table1820[[#This Row],[entity_spawned (AVG)]])*(Table1820[[#This Row],[activating_chance]]/100),0)</f>
        <v>50</v>
      </c>
      <c r="FF39" s="74" t="str">
        <f ca="1">INDIRECT(ADDRESS(11+(MATCH(RIGHT(Table1820[[#This Row],[spawner_sku]],LEN(Table1820[[#This Row],[spawner_sku]])-FIND("/",Table1820[[#This Row],[spawner_sku]])),Table28[Entity Prefab],0)),26,1,1,"Entities"))</f>
        <v>no</v>
      </c>
      <c r="FG39">
        <v>2</v>
      </c>
      <c r="FH39">
        <v>3</v>
      </c>
      <c r="FI39" t="b">
        <v>0</v>
      </c>
      <c r="FK39" t="s">
        <v>5003</v>
      </c>
      <c r="FL39">
        <v>1</v>
      </c>
      <c r="FM39">
        <v>5000</v>
      </c>
      <c r="FN39">
        <v>100</v>
      </c>
      <c r="FO39">
        <f ca="1">INDIRECT(ADDRESS(11+(MATCH(RIGHT(Table182023[[#This Row],[spawner_sku]],LEN(Table182023[[#This Row],[spawner_sku]])-FIND("/",Table182023[[#This Row],[spawner_sku]])),Table1[Entity Prefab],0)),10,1,1,"Entities"))</f>
        <v>25</v>
      </c>
      <c r="FP39">
        <f ca="1">ROUND((Table182023[[#This Row],[XP]]*Table182023[[#This Row],[entity_spawned (AVG)]])*(Table182023[[#This Row],[activating_chance]]/100),0)</f>
        <v>25</v>
      </c>
      <c r="FQ39" t="str">
        <f ca="1">INDIRECT(ADDRESS(11+(MATCH(RIGHT(Table182023[[#This Row],[spawner_sku]],LEN(Table182023[[#This Row],[spawner_sku]])-FIND("/",Table182023[[#This Row],[spawner_sku]])),Table28[Entity Prefab],0)),26,1,1,"Entities"))</f>
        <v>no</v>
      </c>
      <c r="FR39">
        <v>1</v>
      </c>
      <c r="FS39">
        <v>1</v>
      </c>
      <c r="FT39" t="b">
        <v>0</v>
      </c>
      <c r="FV39" t="s">
        <v>493</v>
      </c>
      <c r="FW39">
        <v>2</v>
      </c>
      <c r="FX39">
        <v>90</v>
      </c>
      <c r="FY39">
        <v>100</v>
      </c>
      <c r="FZ39" s="74">
        <f ca="1">INDIRECT(ADDRESS(11+(MATCH(RIGHT(Table18202324[[#This Row],[spawner_sku]],LEN(Table18202324[[#This Row],[spawner_sku]])-FIND("/",Table18202324[[#This Row],[spawner_sku]])),Table1[Entity Prefab],0)),10,1,1,"Entities"))</f>
        <v>35</v>
      </c>
      <c r="GA39" s="74">
        <f ca="1">ROUND((Table18202324[[#This Row],[XP]]*Table18202324[[#This Row],[entity_spawned (AVG)]])*(Table18202324[[#This Row],[activating_chance]]/100),0)</f>
        <v>70</v>
      </c>
      <c r="GB39" s="74" t="str">
        <f ca="1">INDIRECT(ADDRESS(11+(MATCH(RIGHT(Table18202324[[#This Row],[spawner_sku]],LEN(Table18202324[[#This Row],[spawner_sku]])-FIND("/",Table18202324[[#This Row],[spawner_sku]])),Table28[Entity Prefab],0)),26,1,1,"Entities"))</f>
        <v>no</v>
      </c>
      <c r="GC39">
        <v>1</v>
      </c>
      <c r="GD39">
        <v>3</v>
      </c>
      <c r="GE39" t="b">
        <v>0</v>
      </c>
      <c r="GG39" t="s">
        <v>3820</v>
      </c>
      <c r="GH39">
        <v>1</v>
      </c>
      <c r="GI39">
        <v>240</v>
      </c>
      <c r="GJ39">
        <v>100</v>
      </c>
      <c r="GK39">
        <f ca="1">INDIRECT(ADDRESS(11+(MATCH(RIGHT(Table37[[#This Row],[spawner_sku]],LEN(Table37[[#This Row],[spawner_sku]])-FIND("/",Table37[[#This Row],[spawner_sku]])),Table1[Entity Prefab],0)),10,1,1,"Entities"))</f>
        <v>10</v>
      </c>
      <c r="GL39">
        <f ca="1">ROUND((Table37[[#This Row],[XP]]*Table37[[#This Row],[entity_spawned (AVG)]])*(Table37[[#This Row],[activating_chance]]/100),0)</f>
        <v>10</v>
      </c>
      <c r="GM39" t="str">
        <f ca="1">INDIRECT(ADDRESS(11+(MATCH(RIGHT(Table37[[#This Row],[spawner_sku]],LEN(Table37[[#This Row],[spawner_sku]])-FIND("/",Table37[[#This Row],[spawner_sku]])),Table28[Entity Prefab],0)),26,1,1,"Entities"))</f>
        <v>no</v>
      </c>
      <c r="GN39">
        <v>1</v>
      </c>
      <c r="GO39">
        <v>1</v>
      </c>
      <c r="GP39" t="b">
        <v>0</v>
      </c>
    </row>
    <row r="40" spans="2:198" x14ac:dyDescent="0.25">
      <c r="B40" s="72" t="s">
        <v>215</v>
      </c>
      <c r="C40">
        <v>3.5</v>
      </c>
      <c r="D40">
        <v>140</v>
      </c>
      <c r="E40">
        <v>80</v>
      </c>
      <c r="F40" s="74">
        <f ca="1">INDIRECT(ADDRESS(11+(MATCH(RIGHT(Table245[[#This Row],[spawner_sku]],LEN(Table245[[#This Row],[spawner_sku]])-FIND("/",Table245[[#This Row],[spawner_sku]])),Table1[Entity Prefab],0)),10,1,1,"Entities"))</f>
        <v>25</v>
      </c>
      <c r="G40" s="74">
        <f ca="1">ROUND((Table245[[#This Row],[XP]]*Table245[[#This Row],[entity_spawned (AVG)]])*(Table245[[#This Row],[activating_chance]]/100),0)</f>
        <v>70</v>
      </c>
      <c r="H40" s="71" t="str">
        <f ca="1">INDIRECT(ADDRESS(11+(MATCH(RIGHT(Table245[[#This Row],[spawner_sku]],LEN(Table245[[#This Row],[spawner_sku]])-FIND("/",Table245[[#This Row],[spawner_sku]])),Table28[Entity Prefab],0)),24,1,1,"Entities"))</f>
        <v>no</v>
      </c>
      <c r="I40" s="71">
        <v>3</v>
      </c>
      <c r="J40" s="71">
        <v>4</v>
      </c>
      <c r="K40" s="71" t="b">
        <v>0</v>
      </c>
      <c r="M40" t="s">
        <v>215</v>
      </c>
      <c r="N40">
        <v>2</v>
      </c>
      <c r="O40">
        <v>110</v>
      </c>
      <c r="P40">
        <v>100</v>
      </c>
      <c r="Q40" s="74">
        <f ca="1">INDIRECT(ADDRESS(11+(MATCH(RIGHT(Table3[[#This Row],[spawner_sku]],LEN(Table3[[#This Row],[spawner_sku]])-FIND("/",Table3[[#This Row],[spawner_sku]])),Table1[Entity Prefab],0)),10,1,1,"Entities"))</f>
        <v>25</v>
      </c>
      <c r="R40" s="74">
        <f ca="1">ROUND((Table3[[#This Row],[XP]]*Table3[[#This Row],[entity_spawned (AVG)]])*(Table3[[#This Row],[activating_chance]]/100),0)</f>
        <v>50</v>
      </c>
      <c r="S40" t="str">
        <f ca="1">INDIRECT(ADDRESS(11+(MATCH(RIGHT(Table3[[#This Row],[spawner_sku]],LEN(Table3[[#This Row],[spawner_sku]])-FIND("/",Table3[[#This Row],[spawner_sku]])),Table28[Entity Prefab],0)),24,1,1,"Entities"))</f>
        <v>no</v>
      </c>
      <c r="T40">
        <v>1</v>
      </c>
      <c r="U40">
        <v>3</v>
      </c>
      <c r="V40" t="b">
        <v>0</v>
      </c>
      <c r="W40" s="71"/>
      <c r="X40" t="s">
        <v>224</v>
      </c>
      <c r="Y40">
        <v>1</v>
      </c>
      <c r="Z40">
        <v>2500</v>
      </c>
      <c r="AA40">
        <v>100</v>
      </c>
      <c r="AB40" s="74">
        <f ca="1">INDIRECT(ADDRESS(11+(MATCH(RIGHT(Table39[[#This Row],[spawner_sku]],LEN(Table39[[#This Row],[spawner_sku]])-FIND("/",Table39[[#This Row],[spawner_sku]])),Table1[Entity Prefab],0)),10,1,1,"Entities"))</f>
        <v>263</v>
      </c>
      <c r="AC40" s="74">
        <f ca="1">ROUND((Table39[[#This Row],[XP]]*Table39[[#This Row],[entity_spawned (AVG)]])*(Table39[[#This Row],[activating_chance]]/100),0)</f>
        <v>263</v>
      </c>
      <c r="AD40" t="str">
        <f ca="1">INDIRECT(ADDRESS(11+(MATCH(RIGHT(Table39[[#This Row],[spawner_sku]],LEN(Table39[[#This Row],[spawner_sku]])-FIND("/",Table39[[#This Row],[spawner_sku]])),Table28[Entity Prefab],0)),24,1,1,"Entities"))</f>
        <v>yes</v>
      </c>
      <c r="AE40">
        <v>1</v>
      </c>
      <c r="AF40">
        <v>1</v>
      </c>
      <c r="AG40" t="b">
        <v>0</v>
      </c>
      <c r="AI40" t="s">
        <v>215</v>
      </c>
      <c r="AJ40">
        <v>1</v>
      </c>
      <c r="AK40">
        <v>70</v>
      </c>
      <c r="AL40">
        <v>100</v>
      </c>
      <c r="AM40" s="74">
        <f ca="1">INDIRECT(ADDRESS(11+(MATCH(RIGHT(Table2[[#This Row],[spawner_sku]],LEN(Table2[[#This Row],[spawner_sku]])-FIND("/",Table2[[#This Row],[spawner_sku]])),Table1[Entity Prefab],0)),10,1,1,"Entities"))</f>
        <v>25</v>
      </c>
      <c r="AN40" s="74">
        <f ca="1">ROUND((Table2[[#This Row],[XP]]*Table2[[#This Row],[entity_spawned (AVG)]])*(Table2[[#This Row],[activating_chance]]/100),0)</f>
        <v>25</v>
      </c>
      <c r="AO40" s="71" t="str">
        <f ca="1">INDIRECT(ADDRESS(11+(MATCH(RIGHT(Table2[[#This Row],[spawner_sku]],LEN(Table2[[#This Row],[spawner_sku]])-FIND("/",Table2[[#This Row],[spawner_sku]])),Table28[Entity Prefab],0)),24,1,1,"Entities"))</f>
        <v>no</v>
      </c>
      <c r="AP40" s="71">
        <v>1</v>
      </c>
      <c r="AQ40" s="71">
        <v>1</v>
      </c>
      <c r="AR40" s="71" t="b">
        <v>0</v>
      </c>
      <c r="AT40" t="s">
        <v>215</v>
      </c>
      <c r="AU40">
        <v>2.5</v>
      </c>
      <c r="AV40">
        <v>90</v>
      </c>
      <c r="AW40">
        <v>100</v>
      </c>
      <c r="AX40" s="74">
        <f ca="1">INDIRECT(ADDRESS(11+(MATCH(RIGHT(Table6[[#This Row],[spawner_sku]],LEN(Table6[[#This Row],[spawner_sku]])-FIND("/",Table6[[#This Row],[spawner_sku]])),Table1[Entity Prefab],0)),10,1,1,"Entities"))</f>
        <v>25</v>
      </c>
      <c r="AY40" s="74">
        <f ca="1">ROUND((Table6[[#This Row],[XP]]*Table6[[#This Row],[entity_spawned (AVG)]])*(Table6[[#This Row],[activating_chance]]/100),0)</f>
        <v>63</v>
      </c>
      <c r="AZ40" s="144" t="str">
        <f ca="1">INDIRECT(ADDRESS(11+(MATCH(RIGHT(Table6[[#This Row],[spawner_sku]],LEN(Table6[[#This Row],[spawner_sku]])-FIND("/",Table6[[#This Row],[spawner_sku]])),Table28[Entity Prefab],0)),24,1,1,"Entities"))</f>
        <v>no</v>
      </c>
      <c r="BA40">
        <v>2</v>
      </c>
      <c r="BB40">
        <v>3</v>
      </c>
      <c r="BC40" t="b">
        <v>0</v>
      </c>
      <c r="BE40" t="s">
        <v>214</v>
      </c>
      <c r="BF40">
        <v>10</v>
      </c>
      <c r="BG40">
        <v>120</v>
      </c>
      <c r="BH40">
        <v>100</v>
      </c>
      <c r="BI40" s="74">
        <f ca="1">INDIRECT(ADDRESS(11+(MATCH(RIGHT(Table610[[#This Row],[spawner_sku]],LEN(Table610[[#This Row],[spawner_sku]])-FIND("/",Table610[[#This Row],[spawner_sku]])),Table1[Entity Prefab],0)),10,1,1,"Entities"))</f>
        <v>25</v>
      </c>
      <c r="BJ40" s="74">
        <f ca="1">ROUND((Table610[[#This Row],[XP]]*Table610[[#This Row],[entity_spawned (AVG)]])*(Table610[[#This Row],[activating_chance]]/100),0)</f>
        <v>250</v>
      </c>
      <c r="BK40" s="71" t="str">
        <f ca="1">INDIRECT(ADDRESS(11+(MATCH(RIGHT(Table610[[#This Row],[spawner_sku]],LEN(Table610[[#This Row],[spawner_sku]])-FIND("/",Table610[[#This Row],[spawner_sku]])),Table28[Entity Prefab],0)),24,1,1,"Entities"))</f>
        <v>no</v>
      </c>
      <c r="BL40">
        <v>8</v>
      </c>
      <c r="BM40">
        <v>12</v>
      </c>
      <c r="BN40" t="b">
        <v>1</v>
      </c>
      <c r="BP40" t="s">
        <v>215</v>
      </c>
      <c r="BQ40">
        <v>6</v>
      </c>
      <c r="BR40">
        <v>160</v>
      </c>
      <c r="BS40">
        <v>100</v>
      </c>
      <c r="BT40" s="74">
        <f ca="1">INDIRECT(ADDRESS(11+(MATCH(RIGHT(Table61011[[#This Row],[spawner_sku]],LEN(Table61011[[#This Row],[spawner_sku]])-FIND("/",Table61011[[#This Row],[spawner_sku]])),Table1[Entity Prefab],0)),10,1,1,"Entities"))</f>
        <v>25</v>
      </c>
      <c r="BU40" s="74">
        <f ca="1">ROUND((Table61011[[#This Row],[XP]]*Table61011[[#This Row],[entity_spawned (AVG)]])*(Table61011[[#This Row],[activating_chance]]/100),0)</f>
        <v>150</v>
      </c>
      <c r="BV40" s="71" t="str">
        <f ca="1">INDIRECT(ADDRESS(11+(MATCH(RIGHT(Table61011[[#This Row],[spawner_sku]],LEN(Table61011[[#This Row],[spawner_sku]])-FIND("/",Table61011[[#This Row],[spawner_sku]])),Table28[Entity Prefab],0)),24,1,1,"Entities"))</f>
        <v>no</v>
      </c>
      <c r="BW40" s="71">
        <v>5</v>
      </c>
      <c r="BX40" s="71">
        <v>7</v>
      </c>
      <c r="BY40" s="71" t="b">
        <v>1</v>
      </c>
      <c r="BZ40" s="71"/>
      <c r="CA40" s="147" t="s">
        <v>230</v>
      </c>
      <c r="CB40">
        <v>1</v>
      </c>
      <c r="CC40">
        <v>200</v>
      </c>
      <c r="CD40">
        <v>100</v>
      </c>
      <c r="CE40" s="74">
        <f ca="1">INDIRECT(ADDRESS(11+(MATCH(RIGHT(Table35[[#This Row],[spawner_sku]],LEN(Table35[[#This Row],[spawner_sku]])-FIND("/",Table35[[#This Row],[spawner_sku]])),Table1[Entity Prefab],0)),10,1,1,"Entities"))</f>
        <v>28</v>
      </c>
      <c r="CF40" s="74">
        <f ca="1">ROUND((Table35[[#This Row],[XP]]*Table35[[#This Row],[entity_spawned (AVG)]])*(Table35[[#This Row],[activating_chance]]/100),0)</f>
        <v>28</v>
      </c>
      <c r="CG40" s="144" t="str">
        <f ca="1">INDIRECT(ADDRESS(11+(MATCH(RIGHT(Table35[[#This Row],[spawner_sku]],LEN(Table35[[#This Row],[spawner_sku]])-FIND("/",Table35[[#This Row],[spawner_sku]])),Table28[Entity Prefab],0)),24,1,1,"Entities"))</f>
        <v>no</v>
      </c>
      <c r="CH40">
        <v>1</v>
      </c>
      <c r="CI40">
        <v>1</v>
      </c>
      <c r="CJ40" s="71" t="b">
        <v>0</v>
      </c>
      <c r="CL40" t="s">
        <v>215</v>
      </c>
      <c r="CM40">
        <v>5.5</v>
      </c>
      <c r="CN40">
        <v>180</v>
      </c>
      <c r="CO40">
        <v>100</v>
      </c>
      <c r="CP40" s="74">
        <f ca="1">INDIRECT(ADDRESS(11+(MATCH(RIGHT(Table11[[#This Row],[spawner_sku]],LEN(Table11[[#This Row],[spawner_sku]])-FIND("/",Table11[[#This Row],[spawner_sku]])),Table1[Entity Prefab],0)),10,1,1,"Entities"))</f>
        <v>25</v>
      </c>
      <c r="CQ40">
        <f ca="1">ROUND((Table11[[#This Row],[XP]]*Table11[[#This Row],[entity_spawned (AVG)]])*(Table11[[#This Row],[activating_chance]]/100),0)</f>
        <v>138</v>
      </c>
      <c r="CR40" s="144" t="str">
        <f ca="1">INDIRECT(ADDRESS(11+(MATCH(RIGHT(Table11[[#This Row],[spawner_sku]],LEN(Table11[[#This Row],[spawner_sku]])-FIND("/",Table11[[#This Row],[spawner_sku]])),Table28[Entity Prefab],0)),25,1,1,"Entities"))</f>
        <v>no</v>
      </c>
      <c r="CS40" s="71">
        <v>5</v>
      </c>
      <c r="CT40" s="71">
        <v>6</v>
      </c>
      <c r="CU40" s="71" t="b">
        <v>1</v>
      </c>
      <c r="CW40" t="s">
        <v>215</v>
      </c>
      <c r="CX40">
        <v>3.5</v>
      </c>
      <c r="CY40">
        <v>180</v>
      </c>
      <c r="CZ40">
        <v>100</v>
      </c>
      <c r="DA40" s="74">
        <f ca="1">INDIRECT(ADDRESS(11+(MATCH(RIGHT(Table12[[#This Row],[spawner_sku]],LEN(Table12[[#This Row],[spawner_sku]])-FIND("/",Table12[[#This Row],[spawner_sku]])),Table1[Entity Prefab],0)),10,1,1,"Entities"))</f>
        <v>25</v>
      </c>
      <c r="DB40" s="74">
        <f ca="1">ROUND((Table12[[#This Row],[XP]]*Table12[[#This Row],[entity_spawned (AVG)]])*(Table12[[#This Row],[activating_chance]]/100),0)</f>
        <v>88</v>
      </c>
      <c r="DC40" s="144" t="str">
        <f ca="1">INDIRECT(ADDRESS(11+(MATCH(RIGHT(Table12[[#This Row],[spawner_sku]],LEN(Table12[[#This Row],[spawner_sku]])-FIND("/",Table12[[#This Row],[spawner_sku]])),Table28[Entity Prefab],0)),25,1,1,"Entities"))</f>
        <v>no</v>
      </c>
      <c r="DD40" s="71">
        <v>3</v>
      </c>
      <c r="DE40" s="71">
        <v>4</v>
      </c>
      <c r="DF40" s="71" t="b">
        <v>0</v>
      </c>
      <c r="DH40" t="s">
        <v>214</v>
      </c>
      <c r="DI40">
        <v>9</v>
      </c>
      <c r="DJ40">
        <v>280</v>
      </c>
      <c r="DK40">
        <v>100</v>
      </c>
      <c r="DL40" s="74">
        <f ca="1">INDIRECT(ADDRESS(11+(MATCH(RIGHT(Table13[[#This Row],[spawner_sku]],LEN(Table13[[#This Row],[spawner_sku]])-FIND("/",Table13[[#This Row],[spawner_sku]])),Table1[Entity Prefab],0)),10,1,1,"Entities"))</f>
        <v>25</v>
      </c>
      <c r="DM40" s="74">
        <f ca="1">ROUND((Table13[[#This Row],[XP]]*Table13[[#This Row],[entity_spawned (AVG)]])*(Table13[[#This Row],[activating_chance]]/100),0)</f>
        <v>225</v>
      </c>
      <c r="DN40" s="144" t="str">
        <f ca="1">INDIRECT(ADDRESS(11+(MATCH(RIGHT(Table13[[#This Row],[spawner_sku]],LEN(Table13[[#This Row],[spawner_sku]])-FIND("/",Table13[[#This Row],[spawner_sku]])),Table28[Entity Prefab],0)),25,1,1,"Entities"))</f>
        <v>no</v>
      </c>
      <c r="DO40" s="71">
        <v>8</v>
      </c>
      <c r="DP40" s="71">
        <v>10</v>
      </c>
      <c r="DQ40" s="71" t="b">
        <v>1</v>
      </c>
      <c r="DS40" t="s">
        <v>214</v>
      </c>
      <c r="DT40">
        <v>8</v>
      </c>
      <c r="DU40">
        <v>220</v>
      </c>
      <c r="DV40">
        <v>100</v>
      </c>
      <c r="DW40" s="74">
        <f ca="1">INDIRECT(ADDRESS(11+(MATCH(RIGHT(Table14[[#This Row],[spawner_sku]],LEN(Table14[[#This Row],[spawner_sku]])-FIND("/",Table14[[#This Row],[spawner_sku]])),Table1[Entity Prefab],0)),10,1,1,"Entities"))</f>
        <v>25</v>
      </c>
      <c r="DX40" s="74">
        <f ca="1">ROUND((Table14[[#This Row],[XP]]*Table14[[#This Row],[entity_spawned (AVG)]])*(Table14[[#This Row],[activating_chance]]/100),0)</f>
        <v>200</v>
      </c>
      <c r="DY40" s="144" t="str">
        <f ca="1">INDIRECT(ADDRESS(11+(MATCH(RIGHT(Table14[[#This Row],[spawner_sku]],LEN(Table14[[#This Row],[spawner_sku]])-FIND("/",Table14[[#This Row],[spawner_sku]])),Table28[Entity Prefab],0)),25,1,1,"Entities"))</f>
        <v>no</v>
      </c>
      <c r="DZ40" s="71">
        <v>6</v>
      </c>
      <c r="EA40" s="71">
        <v>10</v>
      </c>
      <c r="EB40" s="71" t="b">
        <v>1</v>
      </c>
      <c r="EC40" s="71"/>
      <c r="ED40" s="147" t="s">
        <v>570</v>
      </c>
      <c r="EE40" s="71">
        <v>1</v>
      </c>
      <c r="EF40" s="71">
        <v>120</v>
      </c>
      <c r="EG40" s="71">
        <v>100</v>
      </c>
      <c r="EH40" s="71">
        <f ca="1">INDIRECT(ADDRESS(11+(MATCH(RIGHT(Table36[[#This Row],[spawner_sku]],LEN(Table36[[#This Row],[spawner_sku]])-FIND("/",Table36[[#This Row],[spawner_sku]])),Table1[Entity Prefab],0)),10,1,1,"Entities"))</f>
        <v>50</v>
      </c>
      <c r="EI40" s="71">
        <f ca="1">ROUND((Table36[[#This Row],[XP]]*Table36[[#This Row],[entity_spawned (AVG)]])*(Table36[[#This Row],[activating_chance]]/100),0)</f>
        <v>50</v>
      </c>
      <c r="EJ40" s="71" t="str">
        <f ca="1">INDIRECT(ADDRESS(11+(MATCH(RIGHT(Table36[[#This Row],[spawner_sku]],LEN(Table36[[#This Row],[spawner_sku]])-FIND("/",Table36[[#This Row],[spawner_sku]])),Table28[Entity Prefab],0)),25,1,1,"Entities"))</f>
        <v>no</v>
      </c>
      <c r="EK40" s="71">
        <v>1</v>
      </c>
      <c r="EL40" s="71">
        <v>1</v>
      </c>
      <c r="EM40" s="71" t="b">
        <v>0</v>
      </c>
      <c r="EO40" t="s">
        <v>214</v>
      </c>
      <c r="EP40">
        <v>11</v>
      </c>
      <c r="EQ40">
        <v>150</v>
      </c>
      <c r="ER40">
        <v>100</v>
      </c>
      <c r="ES40" s="74">
        <f ca="1">INDIRECT(ADDRESS(11+(MATCH(RIGHT(Table18[[#This Row],[spawner_sku]],LEN(Table18[[#This Row],[spawner_sku]])-FIND("/",Table18[[#This Row],[spawner_sku]])),Table1[Entity Prefab],0)),10,1,1,"Entities"))</f>
        <v>25</v>
      </c>
      <c r="ET40" s="74">
        <f ca="1">ROUND((Table18[[#This Row],[XP]]*Table18[[#This Row],[entity_spawned (AVG)]])*(Table18[[#This Row],[activating_chance]]/100),0)</f>
        <v>275</v>
      </c>
      <c r="EU40" s="74" t="str">
        <f ca="1">INDIRECT(ADDRESS(11+(MATCH(RIGHT(Table18[[#This Row],[spawner_sku]],LEN(Table18[[#This Row],[spawner_sku]])-FIND("/",Table18[[#This Row],[spawner_sku]])),Table28[Entity Prefab],0)),26,1,1,"Entities"))</f>
        <v>no</v>
      </c>
      <c r="EV40">
        <v>10</v>
      </c>
      <c r="EW40">
        <v>12</v>
      </c>
      <c r="EX40" t="b">
        <v>1</v>
      </c>
      <c r="EZ40" t="s">
        <v>214</v>
      </c>
      <c r="FA40">
        <v>2.5</v>
      </c>
      <c r="FB40">
        <v>140</v>
      </c>
      <c r="FC40">
        <v>30</v>
      </c>
      <c r="FD40" s="74">
        <f ca="1">INDIRECT(ADDRESS(11+(MATCH(RIGHT(Table1820[[#This Row],[spawner_sku]],LEN(Table1820[[#This Row],[spawner_sku]])-FIND("/",Table1820[[#This Row],[spawner_sku]])),Table1[Entity Prefab],0)),10,1,1,"Entities"))</f>
        <v>25</v>
      </c>
      <c r="FE40" s="74">
        <f ca="1">ROUND((Table1820[[#This Row],[XP]]*Table1820[[#This Row],[entity_spawned (AVG)]])*(Table1820[[#This Row],[activating_chance]]/100),0)</f>
        <v>19</v>
      </c>
      <c r="FF40" s="74" t="str">
        <f ca="1">INDIRECT(ADDRESS(11+(MATCH(RIGHT(Table1820[[#This Row],[spawner_sku]],LEN(Table1820[[#This Row],[spawner_sku]])-FIND("/",Table1820[[#This Row],[spawner_sku]])),Table28[Entity Prefab],0)),26,1,1,"Entities"))</f>
        <v>no</v>
      </c>
      <c r="FG40">
        <v>2</v>
      </c>
      <c r="FH40">
        <v>3</v>
      </c>
      <c r="FI40" t="b">
        <v>0</v>
      </c>
      <c r="FK40" t="s">
        <v>5003</v>
      </c>
      <c r="FL40">
        <v>1</v>
      </c>
      <c r="FM40">
        <v>5000</v>
      </c>
      <c r="FN40">
        <v>100</v>
      </c>
      <c r="FO40">
        <f ca="1">INDIRECT(ADDRESS(11+(MATCH(RIGHT(Table182023[[#This Row],[spawner_sku]],LEN(Table182023[[#This Row],[spawner_sku]])-FIND("/",Table182023[[#This Row],[spawner_sku]])),Table1[Entity Prefab],0)),10,1,1,"Entities"))</f>
        <v>25</v>
      </c>
      <c r="FP40">
        <f ca="1">ROUND((Table182023[[#This Row],[XP]]*Table182023[[#This Row],[entity_spawned (AVG)]])*(Table182023[[#This Row],[activating_chance]]/100),0)</f>
        <v>25</v>
      </c>
      <c r="FQ40" t="str">
        <f ca="1">INDIRECT(ADDRESS(11+(MATCH(RIGHT(Table182023[[#This Row],[spawner_sku]],LEN(Table182023[[#This Row],[spawner_sku]])-FIND("/",Table182023[[#This Row],[spawner_sku]])),Table28[Entity Prefab],0)),26,1,1,"Entities"))</f>
        <v>no</v>
      </c>
      <c r="FR40">
        <v>1</v>
      </c>
      <c r="FS40">
        <v>1</v>
      </c>
      <c r="FT40" t="b">
        <v>0</v>
      </c>
      <c r="FV40" t="s">
        <v>493</v>
      </c>
      <c r="FW40">
        <v>1.5</v>
      </c>
      <c r="FX40">
        <v>90</v>
      </c>
      <c r="FY40">
        <v>100</v>
      </c>
      <c r="FZ40" s="74">
        <f ca="1">INDIRECT(ADDRESS(11+(MATCH(RIGHT(Table18202324[[#This Row],[spawner_sku]],LEN(Table18202324[[#This Row],[spawner_sku]])-FIND("/",Table18202324[[#This Row],[spawner_sku]])),Table1[Entity Prefab],0)),10,1,1,"Entities"))</f>
        <v>35</v>
      </c>
      <c r="GA40" s="74">
        <f ca="1">ROUND((Table18202324[[#This Row],[XP]]*Table18202324[[#This Row],[entity_spawned (AVG)]])*(Table18202324[[#This Row],[activating_chance]]/100),0)</f>
        <v>53</v>
      </c>
      <c r="GB40" s="74" t="str">
        <f ca="1">INDIRECT(ADDRESS(11+(MATCH(RIGHT(Table18202324[[#This Row],[spawner_sku]],LEN(Table18202324[[#This Row],[spawner_sku]])-FIND("/",Table18202324[[#This Row],[spawner_sku]])),Table28[Entity Prefab],0)),26,1,1,"Entities"))</f>
        <v>no</v>
      </c>
      <c r="GC40">
        <v>1</v>
      </c>
      <c r="GD40">
        <v>2</v>
      </c>
      <c r="GE40" t="b">
        <v>0</v>
      </c>
      <c r="GG40" t="s">
        <v>5003</v>
      </c>
      <c r="GH40">
        <v>1</v>
      </c>
      <c r="GI40">
        <v>5000</v>
      </c>
      <c r="GJ40">
        <v>100</v>
      </c>
      <c r="GK40">
        <f ca="1">INDIRECT(ADDRESS(11+(MATCH(RIGHT(Table37[[#This Row],[spawner_sku]],LEN(Table37[[#This Row],[spawner_sku]])-FIND("/",Table37[[#This Row],[spawner_sku]])),Table1[Entity Prefab],0)),10,1,1,"Entities"))</f>
        <v>25</v>
      </c>
      <c r="GL40">
        <f ca="1">ROUND((Table37[[#This Row],[XP]]*Table37[[#This Row],[entity_spawned (AVG)]])*(Table37[[#This Row],[activating_chance]]/100),0)</f>
        <v>25</v>
      </c>
      <c r="GM40" t="str">
        <f ca="1">INDIRECT(ADDRESS(11+(MATCH(RIGHT(Table37[[#This Row],[spawner_sku]],LEN(Table37[[#This Row],[spawner_sku]])-FIND("/",Table37[[#This Row],[spawner_sku]])),Table28[Entity Prefab],0)),26,1,1,"Entities"))</f>
        <v>no</v>
      </c>
      <c r="GN40">
        <v>1</v>
      </c>
      <c r="GO40">
        <v>1</v>
      </c>
      <c r="GP40" t="b">
        <v>0</v>
      </c>
    </row>
    <row r="41" spans="2:198" x14ac:dyDescent="0.25">
      <c r="B41" s="72" t="s">
        <v>215</v>
      </c>
      <c r="C41">
        <v>7</v>
      </c>
      <c r="D41">
        <v>170</v>
      </c>
      <c r="E41">
        <v>100</v>
      </c>
      <c r="F41" s="74">
        <f ca="1">INDIRECT(ADDRESS(11+(MATCH(RIGHT(Table245[[#This Row],[spawner_sku]],LEN(Table245[[#This Row],[spawner_sku]])-FIND("/",Table245[[#This Row],[spawner_sku]])),Table1[Entity Prefab],0)),10,1,1,"Entities"))</f>
        <v>25</v>
      </c>
      <c r="G41" s="74">
        <f ca="1">ROUND((Table245[[#This Row],[XP]]*Table245[[#This Row],[entity_spawned (AVG)]])*(Table245[[#This Row],[activating_chance]]/100),0)</f>
        <v>175</v>
      </c>
      <c r="H41" s="71" t="str">
        <f ca="1">INDIRECT(ADDRESS(11+(MATCH(RIGHT(Table245[[#This Row],[spawner_sku]],LEN(Table245[[#This Row],[spawner_sku]])-FIND("/",Table245[[#This Row],[spawner_sku]])),Table28[Entity Prefab],0)),24,1,1,"Entities"))</f>
        <v>no</v>
      </c>
      <c r="I41" s="71">
        <v>6</v>
      </c>
      <c r="J41" s="71">
        <v>8</v>
      </c>
      <c r="K41" s="71" t="b">
        <v>1</v>
      </c>
      <c r="M41" t="s">
        <v>215</v>
      </c>
      <c r="N41">
        <v>6</v>
      </c>
      <c r="O41">
        <v>160</v>
      </c>
      <c r="P41">
        <v>100</v>
      </c>
      <c r="Q41" s="74">
        <f ca="1">INDIRECT(ADDRESS(11+(MATCH(RIGHT(Table3[[#This Row],[spawner_sku]],LEN(Table3[[#This Row],[spawner_sku]])-FIND("/",Table3[[#This Row],[spawner_sku]])),Table1[Entity Prefab],0)),10,1,1,"Entities"))</f>
        <v>25</v>
      </c>
      <c r="R41" s="74">
        <f ca="1">ROUND((Table3[[#This Row],[XP]]*Table3[[#This Row],[entity_spawned (AVG)]])*(Table3[[#This Row],[activating_chance]]/100),0)</f>
        <v>150</v>
      </c>
      <c r="S41" t="str">
        <f ca="1">INDIRECT(ADDRESS(11+(MATCH(RIGHT(Table3[[#This Row],[spawner_sku]],LEN(Table3[[#This Row],[spawner_sku]])-FIND("/",Table3[[#This Row],[spawner_sku]])),Table28[Entity Prefab],0)),24,1,1,"Entities"))</f>
        <v>no</v>
      </c>
      <c r="T41">
        <v>5</v>
      </c>
      <c r="U41">
        <v>7</v>
      </c>
      <c r="V41" t="b">
        <v>1</v>
      </c>
      <c r="W41" s="71"/>
      <c r="X41" t="s">
        <v>445</v>
      </c>
      <c r="Y41">
        <v>1</v>
      </c>
      <c r="Z41">
        <v>220</v>
      </c>
      <c r="AA41">
        <v>100</v>
      </c>
      <c r="AB41" s="74">
        <f ca="1">INDIRECT(ADDRESS(11+(MATCH(RIGHT(Table39[[#This Row],[spawner_sku]],LEN(Table39[[#This Row],[spawner_sku]])-FIND("/",Table39[[#This Row],[spawner_sku]])),Table1[Entity Prefab],0)),10,1,1,"Entities"))</f>
        <v>50</v>
      </c>
      <c r="AC41" s="74">
        <f ca="1">ROUND((Table39[[#This Row],[XP]]*Table39[[#This Row],[entity_spawned (AVG)]])*(Table39[[#This Row],[activating_chance]]/100),0)</f>
        <v>50</v>
      </c>
      <c r="AD41" t="str">
        <f ca="1">INDIRECT(ADDRESS(11+(MATCH(RIGHT(Table39[[#This Row],[spawner_sku]],LEN(Table39[[#This Row],[spawner_sku]])-FIND("/",Table39[[#This Row],[spawner_sku]])),Table28[Entity Prefab],0)),24,1,1,"Entities"))</f>
        <v>yes</v>
      </c>
      <c r="AE41">
        <v>1</v>
      </c>
      <c r="AF41">
        <v>1</v>
      </c>
      <c r="AG41" t="b">
        <v>0</v>
      </c>
      <c r="AI41" t="s">
        <v>215</v>
      </c>
      <c r="AJ41">
        <v>2.5</v>
      </c>
      <c r="AK41">
        <v>150</v>
      </c>
      <c r="AL41">
        <v>100</v>
      </c>
      <c r="AM41" s="74">
        <f ca="1">INDIRECT(ADDRESS(11+(MATCH(RIGHT(Table2[[#This Row],[spawner_sku]],LEN(Table2[[#This Row],[spawner_sku]])-FIND("/",Table2[[#This Row],[spawner_sku]])),Table1[Entity Prefab],0)),10,1,1,"Entities"))</f>
        <v>25</v>
      </c>
      <c r="AN41" s="74">
        <f ca="1">ROUND((Table2[[#This Row],[XP]]*Table2[[#This Row],[entity_spawned (AVG)]])*(Table2[[#This Row],[activating_chance]]/100),0)</f>
        <v>63</v>
      </c>
      <c r="AO41" s="71" t="str">
        <f ca="1">INDIRECT(ADDRESS(11+(MATCH(RIGHT(Table2[[#This Row],[spawner_sku]],LEN(Table2[[#This Row],[spawner_sku]])-FIND("/",Table2[[#This Row],[spawner_sku]])),Table28[Entity Prefab],0)),24,1,1,"Entities"))</f>
        <v>no</v>
      </c>
      <c r="AP41" s="71">
        <v>2</v>
      </c>
      <c r="AQ41" s="71">
        <v>3</v>
      </c>
      <c r="AR41" s="71" t="b">
        <v>0</v>
      </c>
      <c r="AT41" t="s">
        <v>215</v>
      </c>
      <c r="AU41">
        <v>2.5</v>
      </c>
      <c r="AV41">
        <v>90</v>
      </c>
      <c r="AW41">
        <v>100</v>
      </c>
      <c r="AX41" s="74">
        <f ca="1">INDIRECT(ADDRESS(11+(MATCH(RIGHT(Table6[[#This Row],[spawner_sku]],LEN(Table6[[#This Row],[spawner_sku]])-FIND("/",Table6[[#This Row],[spawner_sku]])),Table1[Entity Prefab],0)),10,1,1,"Entities"))</f>
        <v>25</v>
      </c>
      <c r="AY41" s="74">
        <f ca="1">ROUND((Table6[[#This Row],[XP]]*Table6[[#This Row],[entity_spawned (AVG)]])*(Table6[[#This Row],[activating_chance]]/100),0)</f>
        <v>63</v>
      </c>
      <c r="AZ41" s="144" t="str">
        <f ca="1">INDIRECT(ADDRESS(11+(MATCH(RIGHT(Table6[[#This Row],[spawner_sku]],LEN(Table6[[#This Row],[spawner_sku]])-FIND("/",Table6[[#This Row],[spawner_sku]])),Table28[Entity Prefab],0)),24,1,1,"Entities"))</f>
        <v>no</v>
      </c>
      <c r="BA41">
        <v>2</v>
      </c>
      <c r="BB41">
        <v>3</v>
      </c>
      <c r="BC41" t="b">
        <v>0</v>
      </c>
      <c r="BE41" t="s">
        <v>214</v>
      </c>
      <c r="BF41">
        <v>6</v>
      </c>
      <c r="BG41">
        <v>100</v>
      </c>
      <c r="BH41">
        <v>100</v>
      </c>
      <c r="BI41" s="74">
        <f ca="1">INDIRECT(ADDRESS(11+(MATCH(RIGHT(Table610[[#This Row],[spawner_sku]],LEN(Table610[[#This Row],[spawner_sku]])-FIND("/",Table610[[#This Row],[spawner_sku]])),Table1[Entity Prefab],0)),10,1,1,"Entities"))</f>
        <v>25</v>
      </c>
      <c r="BJ41" s="74">
        <f ca="1">ROUND((Table610[[#This Row],[XP]]*Table610[[#This Row],[entity_spawned (AVG)]])*(Table610[[#This Row],[activating_chance]]/100),0)</f>
        <v>150</v>
      </c>
      <c r="BK41" s="71" t="str">
        <f ca="1">INDIRECT(ADDRESS(11+(MATCH(RIGHT(Table610[[#This Row],[spawner_sku]],LEN(Table610[[#This Row],[spawner_sku]])-FIND("/",Table610[[#This Row],[spawner_sku]])),Table28[Entity Prefab],0)),24,1,1,"Entities"))</f>
        <v>no</v>
      </c>
      <c r="BL41">
        <v>5</v>
      </c>
      <c r="BM41">
        <v>7</v>
      </c>
      <c r="BN41" t="b">
        <v>1</v>
      </c>
      <c r="BP41" t="s">
        <v>215</v>
      </c>
      <c r="BQ41">
        <v>3.5</v>
      </c>
      <c r="BR41">
        <v>210</v>
      </c>
      <c r="BS41">
        <v>100</v>
      </c>
      <c r="BT41" s="74">
        <f ca="1">INDIRECT(ADDRESS(11+(MATCH(RIGHT(Table61011[[#This Row],[spawner_sku]],LEN(Table61011[[#This Row],[spawner_sku]])-FIND("/",Table61011[[#This Row],[spawner_sku]])),Table1[Entity Prefab],0)),10,1,1,"Entities"))</f>
        <v>25</v>
      </c>
      <c r="BU41" s="74">
        <f ca="1">ROUND((Table61011[[#This Row],[XP]]*Table61011[[#This Row],[entity_spawned (AVG)]])*(Table61011[[#This Row],[activating_chance]]/100),0)</f>
        <v>88</v>
      </c>
      <c r="BV41" s="71" t="str">
        <f ca="1">INDIRECT(ADDRESS(11+(MATCH(RIGHT(Table61011[[#This Row],[spawner_sku]],LEN(Table61011[[#This Row],[spawner_sku]])-FIND("/",Table61011[[#This Row],[spawner_sku]])),Table28[Entity Prefab],0)),24,1,1,"Entities"))</f>
        <v>no</v>
      </c>
      <c r="BW41" s="71">
        <v>3</v>
      </c>
      <c r="BX41" s="71">
        <v>4</v>
      </c>
      <c r="BY41" s="71" t="b">
        <v>0</v>
      </c>
      <c r="BZ41" s="71"/>
      <c r="CA41" s="147" t="s">
        <v>232</v>
      </c>
      <c r="CB41">
        <v>10</v>
      </c>
      <c r="CC41">
        <v>90</v>
      </c>
      <c r="CD41">
        <v>100</v>
      </c>
      <c r="CE41" s="74">
        <f ca="1">INDIRECT(ADDRESS(11+(MATCH(RIGHT(Table35[[#This Row],[spawner_sku]],LEN(Table35[[#This Row],[spawner_sku]])-FIND("/",Table35[[#This Row],[spawner_sku]])),Table1[Entity Prefab],0)),10,1,1,"Entities"))</f>
        <v>25</v>
      </c>
      <c r="CF41" s="74">
        <f ca="1">ROUND((Table35[[#This Row],[XP]]*Table35[[#This Row],[entity_spawned (AVG)]])*(Table35[[#This Row],[activating_chance]]/100),0)</f>
        <v>250</v>
      </c>
      <c r="CG41" s="144" t="str">
        <f ca="1">INDIRECT(ADDRESS(11+(MATCH(RIGHT(Table35[[#This Row],[spawner_sku]],LEN(Table35[[#This Row],[spawner_sku]])-FIND("/",Table35[[#This Row],[spawner_sku]])),Table28[Entity Prefab],0)),24,1,1,"Entities"))</f>
        <v>no</v>
      </c>
      <c r="CH41">
        <v>10</v>
      </c>
      <c r="CI41">
        <v>10</v>
      </c>
      <c r="CJ41" s="71" t="b">
        <v>1</v>
      </c>
      <c r="CL41" t="s">
        <v>215</v>
      </c>
      <c r="CM41">
        <v>2.5</v>
      </c>
      <c r="CN41">
        <v>180</v>
      </c>
      <c r="CO41">
        <v>100</v>
      </c>
      <c r="CP41" s="74">
        <f ca="1">INDIRECT(ADDRESS(11+(MATCH(RIGHT(Table11[[#This Row],[spawner_sku]],LEN(Table11[[#This Row],[spawner_sku]])-FIND("/",Table11[[#This Row],[spawner_sku]])),Table1[Entity Prefab],0)),10,1,1,"Entities"))</f>
        <v>25</v>
      </c>
      <c r="CQ41">
        <f ca="1">ROUND((Table11[[#This Row],[XP]]*Table11[[#This Row],[entity_spawned (AVG)]])*(Table11[[#This Row],[activating_chance]]/100),0)</f>
        <v>63</v>
      </c>
      <c r="CR41" s="144" t="str">
        <f ca="1">INDIRECT(ADDRESS(11+(MATCH(RIGHT(Table11[[#This Row],[spawner_sku]],LEN(Table11[[#This Row],[spawner_sku]])-FIND("/",Table11[[#This Row],[spawner_sku]])),Table28[Entity Prefab],0)),25,1,1,"Entities"))</f>
        <v>no</v>
      </c>
      <c r="CS41" s="71">
        <v>1</v>
      </c>
      <c r="CT41" s="71">
        <v>4</v>
      </c>
      <c r="CU41" s="71" t="b">
        <v>0</v>
      </c>
      <c r="CW41" t="s">
        <v>215</v>
      </c>
      <c r="CX41">
        <v>2.5</v>
      </c>
      <c r="CY41">
        <v>180</v>
      </c>
      <c r="CZ41">
        <v>30</v>
      </c>
      <c r="DA41" s="74">
        <f ca="1">INDIRECT(ADDRESS(11+(MATCH(RIGHT(Table12[[#This Row],[spawner_sku]],LEN(Table12[[#This Row],[spawner_sku]])-FIND("/",Table12[[#This Row],[spawner_sku]])),Table1[Entity Prefab],0)),10,1,1,"Entities"))</f>
        <v>25</v>
      </c>
      <c r="DB41" s="74">
        <f ca="1">ROUND((Table12[[#This Row],[XP]]*Table12[[#This Row],[entity_spawned (AVG)]])*(Table12[[#This Row],[activating_chance]]/100),0)</f>
        <v>19</v>
      </c>
      <c r="DC41" s="144" t="str">
        <f ca="1">INDIRECT(ADDRESS(11+(MATCH(RIGHT(Table12[[#This Row],[spawner_sku]],LEN(Table12[[#This Row],[spawner_sku]])-FIND("/",Table12[[#This Row],[spawner_sku]])),Table28[Entity Prefab],0)),25,1,1,"Entities"))</f>
        <v>no</v>
      </c>
      <c r="DD41" s="71">
        <v>2</v>
      </c>
      <c r="DE41" s="71">
        <v>3</v>
      </c>
      <c r="DF41" s="71" t="b">
        <v>0</v>
      </c>
      <c r="DH41" t="s">
        <v>214</v>
      </c>
      <c r="DI41">
        <v>11</v>
      </c>
      <c r="DJ41">
        <v>280</v>
      </c>
      <c r="DK41">
        <v>100</v>
      </c>
      <c r="DL41" s="74">
        <f ca="1">INDIRECT(ADDRESS(11+(MATCH(RIGHT(Table13[[#This Row],[spawner_sku]],LEN(Table13[[#This Row],[spawner_sku]])-FIND("/",Table13[[#This Row],[spawner_sku]])),Table1[Entity Prefab],0)),10,1,1,"Entities"))</f>
        <v>25</v>
      </c>
      <c r="DM41" s="74">
        <f ca="1">ROUND((Table13[[#This Row],[XP]]*Table13[[#This Row],[entity_spawned (AVG)]])*(Table13[[#This Row],[activating_chance]]/100),0)</f>
        <v>275</v>
      </c>
      <c r="DN41" s="144" t="str">
        <f ca="1">INDIRECT(ADDRESS(11+(MATCH(RIGHT(Table13[[#This Row],[spawner_sku]],LEN(Table13[[#This Row],[spawner_sku]])-FIND("/",Table13[[#This Row],[spawner_sku]])),Table28[Entity Prefab],0)),25,1,1,"Entities"))</f>
        <v>no</v>
      </c>
      <c r="DO41" s="71">
        <v>10</v>
      </c>
      <c r="DP41" s="71">
        <v>12</v>
      </c>
      <c r="DQ41" s="71" t="b">
        <v>1</v>
      </c>
      <c r="DS41" t="s">
        <v>214</v>
      </c>
      <c r="DT41">
        <v>3.5</v>
      </c>
      <c r="DU41">
        <v>100</v>
      </c>
      <c r="DV41">
        <v>80</v>
      </c>
      <c r="DW41" s="74">
        <f ca="1">INDIRECT(ADDRESS(11+(MATCH(RIGHT(Table14[[#This Row],[spawner_sku]],LEN(Table14[[#This Row],[spawner_sku]])-FIND("/",Table14[[#This Row],[spawner_sku]])),Table1[Entity Prefab],0)),10,1,1,"Entities"))</f>
        <v>25</v>
      </c>
      <c r="DX41" s="74">
        <f ca="1">ROUND((Table14[[#This Row],[XP]]*Table14[[#This Row],[entity_spawned (AVG)]])*(Table14[[#This Row],[activating_chance]]/100),0)</f>
        <v>70</v>
      </c>
      <c r="DY41" s="144" t="str">
        <f ca="1">INDIRECT(ADDRESS(11+(MATCH(RIGHT(Table14[[#This Row],[spawner_sku]],LEN(Table14[[#This Row],[spawner_sku]])-FIND("/",Table14[[#This Row],[spawner_sku]])),Table28[Entity Prefab],0)),25,1,1,"Entities"))</f>
        <v>no</v>
      </c>
      <c r="DZ41" s="71">
        <v>3</v>
      </c>
      <c r="EA41" s="71">
        <v>4</v>
      </c>
      <c r="EB41" s="71" t="b">
        <v>0</v>
      </c>
      <c r="EC41" s="71"/>
      <c r="ED41" s="147" t="s">
        <v>570</v>
      </c>
      <c r="EE41" s="71">
        <v>1</v>
      </c>
      <c r="EF41" s="71">
        <v>120</v>
      </c>
      <c r="EG41" s="71">
        <v>100</v>
      </c>
      <c r="EH41" s="71">
        <f ca="1">INDIRECT(ADDRESS(11+(MATCH(RIGHT(Table36[[#This Row],[spawner_sku]],LEN(Table36[[#This Row],[spawner_sku]])-FIND("/",Table36[[#This Row],[spawner_sku]])),Table1[Entity Prefab],0)),10,1,1,"Entities"))</f>
        <v>50</v>
      </c>
      <c r="EI41" s="71">
        <f ca="1">ROUND((Table36[[#This Row],[XP]]*Table36[[#This Row],[entity_spawned (AVG)]])*(Table36[[#This Row],[activating_chance]]/100),0)</f>
        <v>50</v>
      </c>
      <c r="EJ41" s="71" t="str">
        <f ca="1">INDIRECT(ADDRESS(11+(MATCH(RIGHT(Table36[[#This Row],[spawner_sku]],LEN(Table36[[#This Row],[spawner_sku]])-FIND("/",Table36[[#This Row],[spawner_sku]])),Table28[Entity Prefab],0)),25,1,1,"Entities"))</f>
        <v>no</v>
      </c>
      <c r="EK41" s="71">
        <v>1</v>
      </c>
      <c r="EL41" s="71">
        <v>1</v>
      </c>
      <c r="EM41" s="71" t="b">
        <v>0</v>
      </c>
      <c r="EO41" t="s">
        <v>214</v>
      </c>
      <c r="EP41">
        <v>3.5</v>
      </c>
      <c r="EQ41">
        <v>100</v>
      </c>
      <c r="ER41">
        <v>100</v>
      </c>
      <c r="ES41" s="74">
        <f ca="1">INDIRECT(ADDRESS(11+(MATCH(RIGHT(Table18[[#This Row],[spawner_sku]],LEN(Table18[[#This Row],[spawner_sku]])-FIND("/",Table18[[#This Row],[spawner_sku]])),Table1[Entity Prefab],0)),10,1,1,"Entities"))</f>
        <v>25</v>
      </c>
      <c r="ET41" s="74">
        <f ca="1">ROUND((Table18[[#This Row],[XP]]*Table18[[#This Row],[entity_spawned (AVG)]])*(Table18[[#This Row],[activating_chance]]/100),0)</f>
        <v>88</v>
      </c>
      <c r="EU41" s="74" t="str">
        <f ca="1">INDIRECT(ADDRESS(11+(MATCH(RIGHT(Table18[[#This Row],[spawner_sku]],LEN(Table18[[#This Row],[spawner_sku]])-FIND("/",Table18[[#This Row],[spawner_sku]])),Table28[Entity Prefab],0)),26,1,1,"Entities"))</f>
        <v>no</v>
      </c>
      <c r="EV41">
        <v>3</v>
      </c>
      <c r="EW41">
        <v>4</v>
      </c>
      <c r="EX41" t="b">
        <v>0</v>
      </c>
      <c r="EZ41" t="s">
        <v>214</v>
      </c>
      <c r="FA41">
        <v>3.5</v>
      </c>
      <c r="FB41">
        <v>140</v>
      </c>
      <c r="FC41">
        <v>100</v>
      </c>
      <c r="FD41" s="74">
        <f ca="1">INDIRECT(ADDRESS(11+(MATCH(RIGHT(Table1820[[#This Row],[spawner_sku]],LEN(Table1820[[#This Row],[spawner_sku]])-FIND("/",Table1820[[#This Row],[spawner_sku]])),Table1[Entity Prefab],0)),10,1,1,"Entities"))</f>
        <v>25</v>
      </c>
      <c r="FE41" s="74">
        <f ca="1">ROUND((Table1820[[#This Row],[XP]]*Table1820[[#This Row],[entity_spawned (AVG)]])*(Table1820[[#This Row],[activating_chance]]/100),0)</f>
        <v>88</v>
      </c>
      <c r="FF41" s="74" t="str">
        <f ca="1">INDIRECT(ADDRESS(11+(MATCH(RIGHT(Table1820[[#This Row],[spawner_sku]],LEN(Table1820[[#This Row],[spawner_sku]])-FIND("/",Table1820[[#This Row],[spawner_sku]])),Table28[Entity Prefab],0)),26,1,1,"Entities"))</f>
        <v>no</v>
      </c>
      <c r="FG41">
        <v>3</v>
      </c>
      <c r="FH41">
        <v>4</v>
      </c>
      <c r="FI41" t="b">
        <v>0</v>
      </c>
      <c r="FK41" t="s">
        <v>5003</v>
      </c>
      <c r="FL41">
        <v>1</v>
      </c>
      <c r="FM41">
        <v>5000</v>
      </c>
      <c r="FN41">
        <v>50</v>
      </c>
      <c r="FO41">
        <f ca="1">INDIRECT(ADDRESS(11+(MATCH(RIGHT(Table182023[[#This Row],[spawner_sku]],LEN(Table182023[[#This Row],[spawner_sku]])-FIND("/",Table182023[[#This Row],[spawner_sku]])),Table1[Entity Prefab],0)),10,1,1,"Entities"))</f>
        <v>25</v>
      </c>
      <c r="FP41">
        <f ca="1">ROUND((Table182023[[#This Row],[XP]]*Table182023[[#This Row],[entity_spawned (AVG)]])*(Table182023[[#This Row],[activating_chance]]/100),0)</f>
        <v>13</v>
      </c>
      <c r="FQ41" t="str">
        <f ca="1">INDIRECT(ADDRESS(11+(MATCH(RIGHT(Table182023[[#This Row],[spawner_sku]],LEN(Table182023[[#This Row],[spawner_sku]])-FIND("/",Table182023[[#This Row],[spawner_sku]])),Table28[Entity Prefab],0)),26,1,1,"Entities"))</f>
        <v>no</v>
      </c>
      <c r="FR41">
        <v>1</v>
      </c>
      <c r="FS41">
        <v>1</v>
      </c>
      <c r="FT41" t="b">
        <v>0</v>
      </c>
      <c r="FV41" t="s">
        <v>493</v>
      </c>
      <c r="FW41">
        <v>2.5</v>
      </c>
      <c r="FX41">
        <v>90</v>
      </c>
      <c r="FY41">
        <v>100</v>
      </c>
      <c r="FZ41" s="74">
        <f ca="1">INDIRECT(ADDRESS(11+(MATCH(RIGHT(Table18202324[[#This Row],[spawner_sku]],LEN(Table18202324[[#This Row],[spawner_sku]])-FIND("/",Table18202324[[#This Row],[spawner_sku]])),Table1[Entity Prefab],0)),10,1,1,"Entities"))</f>
        <v>35</v>
      </c>
      <c r="GA41" s="74">
        <f ca="1">ROUND((Table18202324[[#This Row],[XP]]*Table18202324[[#This Row],[entity_spawned (AVG)]])*(Table18202324[[#This Row],[activating_chance]]/100),0)</f>
        <v>88</v>
      </c>
      <c r="GB41" s="74" t="str">
        <f ca="1">INDIRECT(ADDRESS(11+(MATCH(RIGHT(Table18202324[[#This Row],[spawner_sku]],LEN(Table18202324[[#This Row],[spawner_sku]])-FIND("/",Table18202324[[#This Row],[spawner_sku]])),Table28[Entity Prefab],0)),26,1,1,"Entities"))</f>
        <v>no</v>
      </c>
      <c r="GC41">
        <v>2</v>
      </c>
      <c r="GD41">
        <v>3</v>
      </c>
      <c r="GE41" t="b">
        <v>0</v>
      </c>
      <c r="GG41" t="s">
        <v>3821</v>
      </c>
      <c r="GH41">
        <v>1</v>
      </c>
      <c r="GI41">
        <v>240</v>
      </c>
      <c r="GJ41">
        <v>100</v>
      </c>
      <c r="GK41">
        <f ca="1">INDIRECT(ADDRESS(11+(MATCH(RIGHT(Table37[[#This Row],[spawner_sku]],LEN(Table37[[#This Row],[spawner_sku]])-FIND("/",Table37[[#This Row],[spawner_sku]])),Table1[Entity Prefab],0)),10,1,1,"Entities"))</f>
        <v>10</v>
      </c>
      <c r="GL41">
        <f ca="1">ROUND((Table37[[#This Row],[XP]]*Table37[[#This Row],[entity_spawned (AVG)]])*(Table37[[#This Row],[activating_chance]]/100),0)</f>
        <v>10</v>
      </c>
      <c r="GM41" t="str">
        <f ca="1">INDIRECT(ADDRESS(11+(MATCH(RIGHT(Table37[[#This Row],[spawner_sku]],LEN(Table37[[#This Row],[spawner_sku]])-FIND("/",Table37[[#This Row],[spawner_sku]])),Table28[Entity Prefab],0)),26,1,1,"Entities"))</f>
        <v>no</v>
      </c>
      <c r="GN41">
        <v>1</v>
      </c>
      <c r="GO41">
        <v>1</v>
      </c>
      <c r="GP41" t="b">
        <v>0</v>
      </c>
    </row>
    <row r="42" spans="2:198" x14ac:dyDescent="0.25">
      <c r="B42" s="72" t="s">
        <v>215</v>
      </c>
      <c r="C42">
        <v>2.5</v>
      </c>
      <c r="D42">
        <v>80</v>
      </c>
      <c r="E42">
        <v>100</v>
      </c>
      <c r="F42" s="74">
        <f ca="1">INDIRECT(ADDRESS(11+(MATCH(RIGHT(Table245[[#This Row],[spawner_sku]],LEN(Table245[[#This Row],[spawner_sku]])-FIND("/",Table245[[#This Row],[spawner_sku]])),Table1[Entity Prefab],0)),10,1,1,"Entities"))</f>
        <v>25</v>
      </c>
      <c r="G42" s="74">
        <f ca="1">ROUND((Table245[[#This Row],[XP]]*Table245[[#This Row],[entity_spawned (AVG)]])*(Table245[[#This Row],[activating_chance]]/100),0)</f>
        <v>63</v>
      </c>
      <c r="H42" s="71" t="str">
        <f ca="1">INDIRECT(ADDRESS(11+(MATCH(RIGHT(Table245[[#This Row],[spawner_sku]],LEN(Table245[[#This Row],[spawner_sku]])-FIND("/",Table245[[#This Row],[spawner_sku]])),Table28[Entity Prefab],0)),24,1,1,"Entities"))</f>
        <v>no</v>
      </c>
      <c r="I42" s="71">
        <v>2</v>
      </c>
      <c r="J42" s="71">
        <v>3</v>
      </c>
      <c r="K42" s="71" t="b">
        <v>0</v>
      </c>
      <c r="M42" t="s">
        <v>215</v>
      </c>
      <c r="N42">
        <v>3</v>
      </c>
      <c r="O42">
        <v>200</v>
      </c>
      <c r="P42">
        <v>100</v>
      </c>
      <c r="Q42" s="74">
        <f ca="1">INDIRECT(ADDRESS(11+(MATCH(RIGHT(Table3[[#This Row],[spawner_sku]],LEN(Table3[[#This Row],[spawner_sku]])-FIND("/",Table3[[#This Row],[spawner_sku]])),Table1[Entity Prefab],0)),10,1,1,"Entities"))</f>
        <v>25</v>
      </c>
      <c r="R42" s="74">
        <f ca="1">ROUND((Table3[[#This Row],[XP]]*Table3[[#This Row],[entity_spawned (AVG)]])*(Table3[[#This Row],[activating_chance]]/100),0)</f>
        <v>75</v>
      </c>
      <c r="S42" t="str">
        <f ca="1">INDIRECT(ADDRESS(11+(MATCH(RIGHT(Table3[[#This Row],[spawner_sku]],LEN(Table3[[#This Row],[spawner_sku]])-FIND("/",Table3[[#This Row],[spawner_sku]])),Table28[Entity Prefab],0)),24,1,1,"Entities"))</f>
        <v>no</v>
      </c>
      <c r="T42">
        <v>2</v>
      </c>
      <c r="U42">
        <v>4</v>
      </c>
      <c r="V42" t="b">
        <v>0</v>
      </c>
      <c r="W42" s="71"/>
      <c r="X42" t="s">
        <v>446</v>
      </c>
      <c r="Y42">
        <v>1</v>
      </c>
      <c r="Z42">
        <v>240</v>
      </c>
      <c r="AA42">
        <v>100</v>
      </c>
      <c r="AB42" s="74">
        <f ca="1">INDIRECT(ADDRESS(11+(MATCH(RIGHT(Table39[[#This Row],[spawner_sku]],LEN(Table39[[#This Row],[spawner_sku]])-FIND("/",Table39[[#This Row],[spawner_sku]])),Table1[Entity Prefab],0)),10,1,1,"Entities"))</f>
        <v>83</v>
      </c>
      <c r="AC42" s="74">
        <f ca="1">ROUND((Table39[[#This Row],[XP]]*Table39[[#This Row],[entity_spawned (AVG)]])*(Table39[[#This Row],[activating_chance]]/100),0)</f>
        <v>83</v>
      </c>
      <c r="AD42" t="str">
        <f ca="1">INDIRECT(ADDRESS(11+(MATCH(RIGHT(Table39[[#This Row],[spawner_sku]],LEN(Table39[[#This Row],[spawner_sku]])-FIND("/",Table39[[#This Row],[spawner_sku]])),Table28[Entity Prefab],0)),24,1,1,"Entities"))</f>
        <v>yes</v>
      </c>
      <c r="AE42">
        <v>1</v>
      </c>
      <c r="AF42">
        <v>1</v>
      </c>
      <c r="AG42" t="b">
        <v>0</v>
      </c>
      <c r="AI42" t="s">
        <v>215</v>
      </c>
      <c r="AJ42">
        <v>3</v>
      </c>
      <c r="AK42">
        <v>100</v>
      </c>
      <c r="AL42">
        <v>85</v>
      </c>
      <c r="AM42" s="74">
        <f ca="1">INDIRECT(ADDRESS(11+(MATCH(RIGHT(Table2[[#This Row],[spawner_sku]],LEN(Table2[[#This Row],[spawner_sku]])-FIND("/",Table2[[#This Row],[spawner_sku]])),Table1[Entity Prefab],0)),10,1,1,"Entities"))</f>
        <v>25</v>
      </c>
      <c r="AN42" s="74">
        <f ca="1">ROUND((Table2[[#This Row],[XP]]*Table2[[#This Row],[entity_spawned (AVG)]])*(Table2[[#This Row],[activating_chance]]/100),0)</f>
        <v>64</v>
      </c>
      <c r="AO42" s="71" t="str">
        <f ca="1">INDIRECT(ADDRESS(11+(MATCH(RIGHT(Table2[[#This Row],[spawner_sku]],LEN(Table2[[#This Row],[spawner_sku]])-FIND("/",Table2[[#This Row],[spawner_sku]])),Table28[Entity Prefab],0)),24,1,1,"Entities"))</f>
        <v>no</v>
      </c>
      <c r="AP42" s="71">
        <v>2</v>
      </c>
      <c r="AQ42" s="71">
        <v>4</v>
      </c>
      <c r="AR42" s="71" t="b">
        <v>0</v>
      </c>
      <c r="AT42" t="s">
        <v>215</v>
      </c>
      <c r="AU42">
        <v>2.5</v>
      </c>
      <c r="AV42">
        <v>90</v>
      </c>
      <c r="AW42">
        <v>70</v>
      </c>
      <c r="AX42" s="74">
        <f ca="1">INDIRECT(ADDRESS(11+(MATCH(RIGHT(Table6[[#This Row],[spawner_sku]],LEN(Table6[[#This Row],[spawner_sku]])-FIND("/",Table6[[#This Row],[spawner_sku]])),Table1[Entity Prefab],0)),10,1,1,"Entities"))</f>
        <v>25</v>
      </c>
      <c r="AY42" s="74">
        <f ca="1">ROUND((Table6[[#This Row],[XP]]*Table6[[#This Row],[entity_spawned (AVG)]])*(Table6[[#This Row],[activating_chance]]/100),0)</f>
        <v>44</v>
      </c>
      <c r="AZ42" s="144" t="str">
        <f ca="1">INDIRECT(ADDRESS(11+(MATCH(RIGHT(Table6[[#This Row],[spawner_sku]],LEN(Table6[[#This Row],[spawner_sku]])-FIND("/",Table6[[#This Row],[spawner_sku]])),Table28[Entity Prefab],0)),24,1,1,"Entities"))</f>
        <v>no</v>
      </c>
      <c r="BA42">
        <v>2</v>
      </c>
      <c r="BB42">
        <v>3</v>
      </c>
      <c r="BC42" t="b">
        <v>0</v>
      </c>
      <c r="BE42" t="s">
        <v>214</v>
      </c>
      <c r="BF42">
        <v>6.5</v>
      </c>
      <c r="BG42">
        <v>120</v>
      </c>
      <c r="BH42">
        <v>100</v>
      </c>
      <c r="BI42" s="74">
        <f ca="1">INDIRECT(ADDRESS(11+(MATCH(RIGHT(Table610[[#This Row],[spawner_sku]],LEN(Table610[[#This Row],[spawner_sku]])-FIND("/",Table610[[#This Row],[spawner_sku]])),Table1[Entity Prefab],0)),10,1,1,"Entities"))</f>
        <v>25</v>
      </c>
      <c r="BJ42" s="74">
        <f ca="1">ROUND((Table610[[#This Row],[XP]]*Table610[[#This Row],[entity_spawned (AVG)]])*(Table610[[#This Row],[activating_chance]]/100),0)</f>
        <v>163</v>
      </c>
      <c r="BK42" s="71" t="str">
        <f ca="1">INDIRECT(ADDRESS(11+(MATCH(RIGHT(Table610[[#This Row],[spawner_sku]],LEN(Table610[[#This Row],[spawner_sku]])-FIND("/",Table610[[#This Row],[spawner_sku]])),Table28[Entity Prefab],0)),24,1,1,"Entities"))</f>
        <v>no</v>
      </c>
      <c r="BL42">
        <v>5</v>
      </c>
      <c r="BM42">
        <v>8</v>
      </c>
      <c r="BN42" t="b">
        <v>1</v>
      </c>
      <c r="BP42" t="s">
        <v>215</v>
      </c>
      <c r="BQ42">
        <v>3</v>
      </c>
      <c r="BR42">
        <v>110</v>
      </c>
      <c r="BS42">
        <v>100</v>
      </c>
      <c r="BT42" s="74">
        <f ca="1">INDIRECT(ADDRESS(11+(MATCH(RIGHT(Table61011[[#This Row],[spawner_sku]],LEN(Table61011[[#This Row],[spawner_sku]])-FIND("/",Table61011[[#This Row],[spawner_sku]])),Table1[Entity Prefab],0)),10,1,1,"Entities"))</f>
        <v>25</v>
      </c>
      <c r="BU42" s="74">
        <f ca="1">ROUND((Table61011[[#This Row],[XP]]*Table61011[[#This Row],[entity_spawned (AVG)]])*(Table61011[[#This Row],[activating_chance]]/100),0)</f>
        <v>75</v>
      </c>
      <c r="BV42" s="71" t="str">
        <f ca="1">INDIRECT(ADDRESS(11+(MATCH(RIGHT(Table61011[[#This Row],[spawner_sku]],LEN(Table61011[[#This Row],[spawner_sku]])-FIND("/",Table61011[[#This Row],[spawner_sku]])),Table28[Entity Prefab],0)),24,1,1,"Entities"))</f>
        <v>no</v>
      </c>
      <c r="BW42" s="71">
        <v>2</v>
      </c>
      <c r="BX42" s="71">
        <v>4</v>
      </c>
      <c r="BY42" s="71" t="b">
        <v>0</v>
      </c>
      <c r="BZ42" s="71"/>
      <c r="CA42" s="147" t="s">
        <v>232</v>
      </c>
      <c r="CB42">
        <v>10</v>
      </c>
      <c r="CC42">
        <v>90</v>
      </c>
      <c r="CD42">
        <v>100</v>
      </c>
      <c r="CE42" s="74">
        <f ca="1">INDIRECT(ADDRESS(11+(MATCH(RIGHT(Table35[[#This Row],[spawner_sku]],LEN(Table35[[#This Row],[spawner_sku]])-FIND("/",Table35[[#This Row],[spawner_sku]])),Table1[Entity Prefab],0)),10,1,1,"Entities"))</f>
        <v>25</v>
      </c>
      <c r="CF42" s="74">
        <f ca="1">ROUND((Table35[[#This Row],[XP]]*Table35[[#This Row],[entity_spawned (AVG)]])*(Table35[[#This Row],[activating_chance]]/100),0)</f>
        <v>250</v>
      </c>
      <c r="CG42" s="144" t="str">
        <f ca="1">INDIRECT(ADDRESS(11+(MATCH(RIGHT(Table35[[#This Row],[spawner_sku]],LEN(Table35[[#This Row],[spawner_sku]])-FIND("/",Table35[[#This Row],[spawner_sku]])),Table28[Entity Prefab],0)),24,1,1,"Entities"))</f>
        <v>no</v>
      </c>
      <c r="CH42">
        <v>10</v>
      </c>
      <c r="CI42">
        <v>10</v>
      </c>
      <c r="CJ42" s="71" t="b">
        <v>1</v>
      </c>
      <c r="CL42" t="s">
        <v>215</v>
      </c>
      <c r="CM42">
        <v>6.5</v>
      </c>
      <c r="CN42">
        <v>180</v>
      </c>
      <c r="CO42">
        <v>100</v>
      </c>
      <c r="CP42" s="74">
        <f ca="1">INDIRECT(ADDRESS(11+(MATCH(RIGHT(Table11[[#This Row],[spawner_sku]],LEN(Table11[[#This Row],[spawner_sku]])-FIND("/",Table11[[#This Row],[spawner_sku]])),Table1[Entity Prefab],0)),10,1,1,"Entities"))</f>
        <v>25</v>
      </c>
      <c r="CQ42">
        <f ca="1">ROUND((Table11[[#This Row],[XP]]*Table11[[#This Row],[entity_spawned (AVG)]])*(Table11[[#This Row],[activating_chance]]/100),0)</f>
        <v>163</v>
      </c>
      <c r="CR42" s="144" t="str">
        <f ca="1">INDIRECT(ADDRESS(11+(MATCH(RIGHT(Table11[[#This Row],[spawner_sku]],LEN(Table11[[#This Row],[spawner_sku]])-FIND("/",Table11[[#This Row],[spawner_sku]])),Table28[Entity Prefab],0)),25,1,1,"Entities"))</f>
        <v>no</v>
      </c>
      <c r="CS42" s="71">
        <v>5</v>
      </c>
      <c r="CT42" s="71">
        <v>8</v>
      </c>
      <c r="CU42" s="71" t="b">
        <v>1</v>
      </c>
      <c r="CW42" t="s">
        <v>215</v>
      </c>
      <c r="CX42">
        <v>10</v>
      </c>
      <c r="CY42">
        <v>180</v>
      </c>
      <c r="CZ42">
        <v>100</v>
      </c>
      <c r="DA42" s="74">
        <f ca="1">INDIRECT(ADDRESS(11+(MATCH(RIGHT(Table12[[#This Row],[spawner_sku]],LEN(Table12[[#This Row],[spawner_sku]])-FIND("/",Table12[[#This Row],[spawner_sku]])),Table1[Entity Prefab],0)),10,1,1,"Entities"))</f>
        <v>25</v>
      </c>
      <c r="DB42" s="74">
        <f ca="1">ROUND((Table12[[#This Row],[XP]]*Table12[[#This Row],[entity_spawned (AVG)]])*(Table12[[#This Row],[activating_chance]]/100),0)</f>
        <v>250</v>
      </c>
      <c r="DC42" s="144" t="str">
        <f ca="1">INDIRECT(ADDRESS(11+(MATCH(RIGHT(Table12[[#This Row],[spawner_sku]],LEN(Table12[[#This Row],[spawner_sku]])-FIND("/",Table12[[#This Row],[spawner_sku]])),Table28[Entity Prefab],0)),25,1,1,"Entities"))</f>
        <v>no</v>
      </c>
      <c r="DD42" s="71">
        <v>8</v>
      </c>
      <c r="DE42" s="71">
        <v>12</v>
      </c>
      <c r="DF42" s="71" t="b">
        <v>1</v>
      </c>
      <c r="DH42" t="s">
        <v>214</v>
      </c>
      <c r="DI42">
        <v>11</v>
      </c>
      <c r="DJ42">
        <v>280</v>
      </c>
      <c r="DK42">
        <v>100</v>
      </c>
      <c r="DL42" s="74">
        <f ca="1">INDIRECT(ADDRESS(11+(MATCH(RIGHT(Table13[[#This Row],[spawner_sku]],LEN(Table13[[#This Row],[spawner_sku]])-FIND("/",Table13[[#This Row],[spawner_sku]])),Table1[Entity Prefab],0)),10,1,1,"Entities"))</f>
        <v>25</v>
      </c>
      <c r="DM42" s="74">
        <f ca="1">ROUND((Table13[[#This Row],[XP]]*Table13[[#This Row],[entity_spawned (AVG)]])*(Table13[[#This Row],[activating_chance]]/100),0)</f>
        <v>275</v>
      </c>
      <c r="DN42" s="144" t="str">
        <f ca="1">INDIRECT(ADDRESS(11+(MATCH(RIGHT(Table13[[#This Row],[spawner_sku]],LEN(Table13[[#This Row],[spawner_sku]])-FIND("/",Table13[[#This Row],[spawner_sku]])),Table28[Entity Prefab],0)),25,1,1,"Entities"))</f>
        <v>no</v>
      </c>
      <c r="DO42" s="71">
        <v>10</v>
      </c>
      <c r="DP42" s="71">
        <v>12</v>
      </c>
      <c r="DQ42" s="71" t="b">
        <v>1</v>
      </c>
      <c r="DS42" t="s">
        <v>214</v>
      </c>
      <c r="DT42">
        <v>4</v>
      </c>
      <c r="DU42">
        <v>200</v>
      </c>
      <c r="DV42">
        <v>100</v>
      </c>
      <c r="DW42" s="74">
        <f ca="1">INDIRECT(ADDRESS(11+(MATCH(RIGHT(Table14[[#This Row],[spawner_sku]],LEN(Table14[[#This Row],[spawner_sku]])-FIND("/",Table14[[#This Row],[spawner_sku]])),Table1[Entity Prefab],0)),10,1,1,"Entities"))</f>
        <v>25</v>
      </c>
      <c r="DX42" s="74">
        <f ca="1">ROUND((Table14[[#This Row],[XP]]*Table14[[#This Row],[entity_spawned (AVG)]])*(Table14[[#This Row],[activating_chance]]/100),0)</f>
        <v>100</v>
      </c>
      <c r="DY42" s="144" t="str">
        <f ca="1">INDIRECT(ADDRESS(11+(MATCH(RIGHT(Table14[[#This Row],[spawner_sku]],LEN(Table14[[#This Row],[spawner_sku]])-FIND("/",Table14[[#This Row],[spawner_sku]])),Table28[Entity Prefab],0)),25,1,1,"Entities"))</f>
        <v>no</v>
      </c>
      <c r="DZ42" s="71">
        <v>4</v>
      </c>
      <c r="EA42" s="71">
        <v>4</v>
      </c>
      <c r="EB42" s="71" t="b">
        <v>0</v>
      </c>
      <c r="EC42" s="71"/>
      <c r="ED42" s="147" t="s">
        <v>570</v>
      </c>
      <c r="EE42" s="71">
        <v>1</v>
      </c>
      <c r="EF42" s="71">
        <v>120</v>
      </c>
      <c r="EG42" s="71">
        <v>100</v>
      </c>
      <c r="EH42" s="71">
        <f ca="1">INDIRECT(ADDRESS(11+(MATCH(RIGHT(Table36[[#This Row],[spawner_sku]],LEN(Table36[[#This Row],[spawner_sku]])-FIND("/",Table36[[#This Row],[spawner_sku]])),Table1[Entity Prefab],0)),10,1,1,"Entities"))</f>
        <v>50</v>
      </c>
      <c r="EI42" s="71">
        <f ca="1">ROUND((Table36[[#This Row],[XP]]*Table36[[#This Row],[entity_spawned (AVG)]])*(Table36[[#This Row],[activating_chance]]/100),0)</f>
        <v>50</v>
      </c>
      <c r="EJ42" s="71" t="str">
        <f ca="1">INDIRECT(ADDRESS(11+(MATCH(RIGHT(Table36[[#This Row],[spawner_sku]],LEN(Table36[[#This Row],[spawner_sku]])-FIND("/",Table36[[#This Row],[spawner_sku]])),Table28[Entity Prefab],0)),25,1,1,"Entities"))</f>
        <v>no</v>
      </c>
      <c r="EK42" s="71">
        <v>1</v>
      </c>
      <c r="EL42" s="71">
        <v>1</v>
      </c>
      <c r="EM42" s="71" t="b">
        <v>0</v>
      </c>
      <c r="EO42" t="s">
        <v>214</v>
      </c>
      <c r="EP42">
        <v>4</v>
      </c>
      <c r="EQ42">
        <v>120</v>
      </c>
      <c r="ER42">
        <v>100</v>
      </c>
      <c r="ES42" s="74">
        <f ca="1">INDIRECT(ADDRESS(11+(MATCH(RIGHT(Table18[[#This Row],[spawner_sku]],LEN(Table18[[#This Row],[spawner_sku]])-FIND("/",Table18[[#This Row],[spawner_sku]])),Table1[Entity Prefab],0)),10,1,1,"Entities"))</f>
        <v>25</v>
      </c>
      <c r="ET42" s="74">
        <f ca="1">ROUND((Table18[[#This Row],[XP]]*Table18[[#This Row],[entity_spawned (AVG)]])*(Table18[[#This Row],[activating_chance]]/100),0)</f>
        <v>100</v>
      </c>
      <c r="EU42" s="74" t="str">
        <f ca="1">INDIRECT(ADDRESS(11+(MATCH(RIGHT(Table18[[#This Row],[spawner_sku]],LEN(Table18[[#This Row],[spawner_sku]])-FIND("/",Table18[[#This Row],[spawner_sku]])),Table28[Entity Prefab],0)),26,1,1,"Entities"))</f>
        <v>no</v>
      </c>
      <c r="EV42">
        <v>4</v>
      </c>
      <c r="EW42">
        <v>4</v>
      </c>
      <c r="EX42" t="b">
        <v>0</v>
      </c>
      <c r="EZ42" t="s">
        <v>214</v>
      </c>
      <c r="FA42">
        <v>3.5</v>
      </c>
      <c r="FB42">
        <v>100</v>
      </c>
      <c r="FC42">
        <v>100</v>
      </c>
      <c r="FD42" s="74">
        <f ca="1">INDIRECT(ADDRESS(11+(MATCH(RIGHT(Table1820[[#This Row],[spawner_sku]],LEN(Table1820[[#This Row],[spawner_sku]])-FIND("/",Table1820[[#This Row],[spawner_sku]])),Table1[Entity Prefab],0)),10,1,1,"Entities"))</f>
        <v>25</v>
      </c>
      <c r="FE42" s="74">
        <f ca="1">ROUND((Table1820[[#This Row],[XP]]*Table1820[[#This Row],[entity_spawned (AVG)]])*(Table1820[[#This Row],[activating_chance]]/100),0)</f>
        <v>88</v>
      </c>
      <c r="FF42" s="74" t="str">
        <f ca="1">INDIRECT(ADDRESS(11+(MATCH(RIGHT(Table1820[[#This Row],[spawner_sku]],LEN(Table1820[[#This Row],[spawner_sku]])-FIND("/",Table1820[[#This Row],[spawner_sku]])),Table28[Entity Prefab],0)),26,1,1,"Entities"))</f>
        <v>no</v>
      </c>
      <c r="FG42">
        <v>3</v>
      </c>
      <c r="FH42">
        <v>4</v>
      </c>
      <c r="FI42" t="b">
        <v>0</v>
      </c>
      <c r="FK42" t="s">
        <v>464</v>
      </c>
      <c r="FL42">
        <v>1</v>
      </c>
      <c r="FM42">
        <v>110</v>
      </c>
      <c r="FN42">
        <v>100</v>
      </c>
      <c r="FO42">
        <f ca="1">INDIRECT(ADDRESS(11+(MATCH(RIGHT(Table182023[[#This Row],[spawner_sku]],LEN(Table182023[[#This Row],[spawner_sku]])-FIND("/",Table182023[[#This Row],[spawner_sku]])),Table1[Entity Prefab],0)),10,1,1,"Entities"))</f>
        <v>28</v>
      </c>
      <c r="FP42">
        <f ca="1">ROUND((Table182023[[#This Row],[XP]]*Table182023[[#This Row],[entity_spawned (AVG)]])*(Table182023[[#This Row],[activating_chance]]/100),0)</f>
        <v>28</v>
      </c>
      <c r="FQ42" t="str">
        <f ca="1">INDIRECT(ADDRESS(11+(MATCH(RIGHT(Table182023[[#This Row],[spawner_sku]],LEN(Table182023[[#This Row],[spawner_sku]])-FIND("/",Table182023[[#This Row],[spawner_sku]])),Table28[Entity Prefab],0)),26,1,1,"Entities"))</f>
        <v>no</v>
      </c>
      <c r="FR42">
        <v>1</v>
      </c>
      <c r="FS42">
        <v>1</v>
      </c>
      <c r="FT42" t="b">
        <v>0</v>
      </c>
      <c r="FV42" t="s">
        <v>493</v>
      </c>
      <c r="FW42">
        <v>2.5</v>
      </c>
      <c r="FX42">
        <v>90</v>
      </c>
      <c r="FY42">
        <v>100</v>
      </c>
      <c r="FZ42" s="74">
        <f ca="1">INDIRECT(ADDRESS(11+(MATCH(RIGHT(Table18202324[[#This Row],[spawner_sku]],LEN(Table18202324[[#This Row],[spawner_sku]])-FIND("/",Table18202324[[#This Row],[spawner_sku]])),Table1[Entity Prefab],0)),10,1,1,"Entities"))</f>
        <v>35</v>
      </c>
      <c r="GA42" s="74">
        <f ca="1">ROUND((Table18202324[[#This Row],[XP]]*Table18202324[[#This Row],[entity_spawned (AVG)]])*(Table18202324[[#This Row],[activating_chance]]/100),0)</f>
        <v>88</v>
      </c>
      <c r="GB42" s="74" t="str">
        <f ca="1">INDIRECT(ADDRESS(11+(MATCH(RIGHT(Table18202324[[#This Row],[spawner_sku]],LEN(Table18202324[[#This Row],[spawner_sku]])-FIND("/",Table18202324[[#This Row],[spawner_sku]])),Table28[Entity Prefab],0)),26,1,1,"Entities"))</f>
        <v>no</v>
      </c>
      <c r="GC42">
        <v>2</v>
      </c>
      <c r="GD42">
        <v>3</v>
      </c>
      <c r="GE42" t="b">
        <v>0</v>
      </c>
      <c r="GG42" t="s">
        <v>3823</v>
      </c>
      <c r="GH42">
        <v>1</v>
      </c>
      <c r="GI42">
        <v>240</v>
      </c>
      <c r="GJ42">
        <v>100</v>
      </c>
      <c r="GK42">
        <f ca="1">INDIRECT(ADDRESS(11+(MATCH(RIGHT(Table37[[#This Row],[spawner_sku]],LEN(Table37[[#This Row],[spawner_sku]])-FIND("/",Table37[[#This Row],[spawner_sku]])),Table1[Entity Prefab],0)),10,1,1,"Entities"))</f>
        <v>10</v>
      </c>
      <c r="GL42">
        <f ca="1">ROUND((Table37[[#This Row],[XP]]*Table37[[#This Row],[entity_spawned (AVG)]])*(Table37[[#This Row],[activating_chance]]/100),0)</f>
        <v>10</v>
      </c>
      <c r="GM42" t="str">
        <f ca="1">INDIRECT(ADDRESS(11+(MATCH(RIGHT(Table37[[#This Row],[spawner_sku]],LEN(Table37[[#This Row],[spawner_sku]])-FIND("/",Table37[[#This Row],[spawner_sku]])),Table28[Entity Prefab],0)),26,1,1,"Entities"))</f>
        <v>no</v>
      </c>
      <c r="GN42">
        <v>1</v>
      </c>
      <c r="GO42">
        <v>1</v>
      </c>
      <c r="GP42" t="b">
        <v>0</v>
      </c>
    </row>
    <row r="43" spans="2:198" x14ac:dyDescent="0.25">
      <c r="B43" s="72" t="s">
        <v>215</v>
      </c>
      <c r="C43">
        <v>3.5</v>
      </c>
      <c r="D43">
        <v>160</v>
      </c>
      <c r="E43">
        <v>80</v>
      </c>
      <c r="F43" s="74">
        <f ca="1">INDIRECT(ADDRESS(11+(MATCH(RIGHT(Table245[[#This Row],[spawner_sku]],LEN(Table245[[#This Row],[spawner_sku]])-FIND("/",Table245[[#This Row],[spawner_sku]])),Table1[Entity Prefab],0)),10,1,1,"Entities"))</f>
        <v>25</v>
      </c>
      <c r="G43" s="74">
        <f ca="1">ROUND((Table245[[#This Row],[XP]]*Table245[[#This Row],[entity_spawned (AVG)]])*(Table245[[#This Row],[activating_chance]]/100),0)</f>
        <v>70</v>
      </c>
      <c r="H43" s="71" t="str">
        <f ca="1">INDIRECT(ADDRESS(11+(MATCH(RIGHT(Table245[[#This Row],[spawner_sku]],LEN(Table245[[#This Row],[spawner_sku]])-FIND("/",Table245[[#This Row],[spawner_sku]])),Table28[Entity Prefab],0)),24,1,1,"Entities"))</f>
        <v>no</v>
      </c>
      <c r="I43" s="71">
        <v>3</v>
      </c>
      <c r="J43" s="71">
        <v>4</v>
      </c>
      <c r="K43" s="71" t="b">
        <v>0</v>
      </c>
      <c r="M43" t="s">
        <v>215</v>
      </c>
      <c r="N43">
        <v>3</v>
      </c>
      <c r="O43">
        <v>110</v>
      </c>
      <c r="P43">
        <v>100</v>
      </c>
      <c r="Q43" s="74">
        <f ca="1">INDIRECT(ADDRESS(11+(MATCH(RIGHT(Table3[[#This Row],[spawner_sku]],LEN(Table3[[#This Row],[spawner_sku]])-FIND("/",Table3[[#This Row],[spawner_sku]])),Table1[Entity Prefab],0)),10,1,1,"Entities"))</f>
        <v>25</v>
      </c>
      <c r="R43" s="74">
        <f ca="1">ROUND((Table3[[#This Row],[XP]]*Table3[[#This Row],[entity_spawned (AVG)]])*(Table3[[#This Row],[activating_chance]]/100),0)</f>
        <v>75</v>
      </c>
      <c r="S43" t="str">
        <f ca="1">INDIRECT(ADDRESS(11+(MATCH(RIGHT(Table3[[#This Row],[spawner_sku]],LEN(Table3[[#This Row],[spawner_sku]])-FIND("/",Table3[[#This Row],[spawner_sku]])),Table28[Entity Prefab],0)),24,1,1,"Entities"))</f>
        <v>no</v>
      </c>
      <c r="T43">
        <v>2</v>
      </c>
      <c r="U43">
        <v>4</v>
      </c>
      <c r="V43" t="b">
        <v>0</v>
      </c>
      <c r="W43" s="71"/>
      <c r="X43" t="s">
        <v>8112</v>
      </c>
      <c r="Y43">
        <v>1</v>
      </c>
      <c r="Z43">
        <v>300</v>
      </c>
      <c r="AA43">
        <v>100</v>
      </c>
      <c r="AB43" s="74">
        <f ca="1">INDIRECT(ADDRESS(11+(MATCH(RIGHT(Table39[[#This Row],[spawner_sku]],LEN(Table39[[#This Row],[spawner_sku]])-FIND("/",Table39[[#This Row],[spawner_sku]])),Table1[Entity Prefab],0)),10,1,1,"Entities"))</f>
        <v>150</v>
      </c>
      <c r="AC43" s="74">
        <f ca="1">ROUND((Table39[[#This Row],[XP]]*Table39[[#This Row],[entity_spawned (AVG)]])*(Table39[[#This Row],[activating_chance]]/100),0)</f>
        <v>150</v>
      </c>
      <c r="AD43" t="str">
        <f ca="1">INDIRECT(ADDRESS(11+(MATCH(RIGHT(Table39[[#This Row],[spawner_sku]],LEN(Table39[[#This Row],[spawner_sku]])-FIND("/",Table39[[#This Row],[spawner_sku]])),Table28[Entity Prefab],0)),24,1,1,"Entities"))</f>
        <v>yes</v>
      </c>
      <c r="AE43">
        <v>1</v>
      </c>
      <c r="AF43">
        <v>1</v>
      </c>
      <c r="AG43" t="b">
        <v>0</v>
      </c>
      <c r="AI43" t="s">
        <v>215</v>
      </c>
      <c r="AJ43">
        <v>2</v>
      </c>
      <c r="AK43">
        <v>110</v>
      </c>
      <c r="AL43">
        <v>100</v>
      </c>
      <c r="AM43" s="74">
        <f ca="1">INDIRECT(ADDRESS(11+(MATCH(RIGHT(Table2[[#This Row],[spawner_sku]],LEN(Table2[[#This Row],[spawner_sku]])-FIND("/",Table2[[#This Row],[spawner_sku]])),Table1[Entity Prefab],0)),10,1,1,"Entities"))</f>
        <v>25</v>
      </c>
      <c r="AN43" s="74">
        <f ca="1">ROUND((Table2[[#This Row],[XP]]*Table2[[#This Row],[entity_spawned (AVG)]])*(Table2[[#This Row],[activating_chance]]/100),0)</f>
        <v>50</v>
      </c>
      <c r="AO43" s="71" t="str">
        <f ca="1">INDIRECT(ADDRESS(11+(MATCH(RIGHT(Table2[[#This Row],[spawner_sku]],LEN(Table2[[#This Row],[spawner_sku]])-FIND("/",Table2[[#This Row],[spawner_sku]])),Table28[Entity Prefab],0)),24,1,1,"Entities"))</f>
        <v>no</v>
      </c>
      <c r="AP43" s="71">
        <v>1</v>
      </c>
      <c r="AQ43" s="71">
        <v>3</v>
      </c>
      <c r="AR43" s="71" t="b">
        <v>0</v>
      </c>
      <c r="AT43" t="s">
        <v>215</v>
      </c>
      <c r="AU43">
        <v>2.5</v>
      </c>
      <c r="AV43">
        <v>90</v>
      </c>
      <c r="AW43">
        <v>100</v>
      </c>
      <c r="AX43" s="74">
        <f ca="1">INDIRECT(ADDRESS(11+(MATCH(RIGHT(Table6[[#This Row],[spawner_sku]],LEN(Table6[[#This Row],[spawner_sku]])-FIND("/",Table6[[#This Row],[spawner_sku]])),Table1[Entity Prefab],0)),10,1,1,"Entities"))</f>
        <v>25</v>
      </c>
      <c r="AY43" s="74">
        <f ca="1">ROUND((Table6[[#This Row],[XP]]*Table6[[#This Row],[entity_spawned (AVG)]])*(Table6[[#This Row],[activating_chance]]/100),0)</f>
        <v>63</v>
      </c>
      <c r="AZ43" s="144" t="str">
        <f ca="1">INDIRECT(ADDRESS(11+(MATCH(RIGHT(Table6[[#This Row],[spawner_sku]],LEN(Table6[[#This Row],[spawner_sku]])-FIND("/",Table6[[#This Row],[spawner_sku]])),Table28[Entity Prefab],0)),24,1,1,"Entities"))</f>
        <v>no</v>
      </c>
      <c r="BA43">
        <v>2</v>
      </c>
      <c r="BB43">
        <v>3</v>
      </c>
      <c r="BC43" t="b">
        <v>0</v>
      </c>
      <c r="BE43" t="s">
        <v>214</v>
      </c>
      <c r="BF43">
        <v>6.5</v>
      </c>
      <c r="BG43">
        <v>120</v>
      </c>
      <c r="BH43">
        <v>100</v>
      </c>
      <c r="BI43" s="74">
        <f ca="1">INDIRECT(ADDRESS(11+(MATCH(RIGHT(Table610[[#This Row],[spawner_sku]],LEN(Table610[[#This Row],[spawner_sku]])-FIND("/",Table610[[#This Row],[spawner_sku]])),Table1[Entity Prefab],0)),10,1,1,"Entities"))</f>
        <v>25</v>
      </c>
      <c r="BJ43" s="74">
        <f ca="1">ROUND((Table610[[#This Row],[XP]]*Table610[[#This Row],[entity_spawned (AVG)]])*(Table610[[#This Row],[activating_chance]]/100),0)</f>
        <v>163</v>
      </c>
      <c r="BK43" s="71" t="str">
        <f ca="1">INDIRECT(ADDRESS(11+(MATCH(RIGHT(Table610[[#This Row],[spawner_sku]],LEN(Table610[[#This Row],[spawner_sku]])-FIND("/",Table610[[#This Row],[spawner_sku]])),Table28[Entity Prefab],0)),24,1,1,"Entities"))</f>
        <v>no</v>
      </c>
      <c r="BL43">
        <v>5</v>
      </c>
      <c r="BM43">
        <v>8</v>
      </c>
      <c r="BN43" t="b">
        <v>1</v>
      </c>
      <c r="BP43" t="s">
        <v>215</v>
      </c>
      <c r="BQ43">
        <v>3</v>
      </c>
      <c r="BR43">
        <v>170</v>
      </c>
      <c r="BS43">
        <v>100</v>
      </c>
      <c r="BT43" s="74">
        <f ca="1">INDIRECT(ADDRESS(11+(MATCH(RIGHT(Table61011[[#This Row],[spawner_sku]],LEN(Table61011[[#This Row],[spawner_sku]])-FIND("/",Table61011[[#This Row],[spawner_sku]])),Table1[Entity Prefab],0)),10,1,1,"Entities"))</f>
        <v>25</v>
      </c>
      <c r="BU43" s="74">
        <f ca="1">ROUND((Table61011[[#This Row],[XP]]*Table61011[[#This Row],[entity_spawned (AVG)]])*(Table61011[[#This Row],[activating_chance]]/100),0)</f>
        <v>75</v>
      </c>
      <c r="BV43" s="71" t="str">
        <f ca="1">INDIRECT(ADDRESS(11+(MATCH(RIGHT(Table61011[[#This Row],[spawner_sku]],LEN(Table61011[[#This Row],[spawner_sku]])-FIND("/",Table61011[[#This Row],[spawner_sku]])),Table28[Entity Prefab],0)),24,1,1,"Entities"))</f>
        <v>no</v>
      </c>
      <c r="BW43" s="71">
        <v>2</v>
      </c>
      <c r="BX43" s="71">
        <v>4</v>
      </c>
      <c r="BY43" s="71" t="b">
        <v>0</v>
      </c>
      <c r="BZ43" s="71"/>
      <c r="CA43" s="147" t="s">
        <v>232</v>
      </c>
      <c r="CB43">
        <v>10</v>
      </c>
      <c r="CC43">
        <v>90</v>
      </c>
      <c r="CD43">
        <v>100</v>
      </c>
      <c r="CE43" s="74">
        <f ca="1">INDIRECT(ADDRESS(11+(MATCH(RIGHT(Table35[[#This Row],[spawner_sku]],LEN(Table35[[#This Row],[spawner_sku]])-FIND("/",Table35[[#This Row],[spawner_sku]])),Table1[Entity Prefab],0)),10,1,1,"Entities"))</f>
        <v>25</v>
      </c>
      <c r="CF43" s="74">
        <f ca="1">ROUND((Table35[[#This Row],[XP]]*Table35[[#This Row],[entity_spawned (AVG)]])*(Table35[[#This Row],[activating_chance]]/100),0)</f>
        <v>250</v>
      </c>
      <c r="CG43" s="144" t="str">
        <f ca="1">INDIRECT(ADDRESS(11+(MATCH(RIGHT(Table35[[#This Row],[spawner_sku]],LEN(Table35[[#This Row],[spawner_sku]])-FIND("/",Table35[[#This Row],[spawner_sku]])),Table28[Entity Prefab],0)),24,1,1,"Entities"))</f>
        <v>no</v>
      </c>
      <c r="CH43">
        <v>10</v>
      </c>
      <c r="CI43">
        <v>10</v>
      </c>
      <c r="CJ43" s="71" t="b">
        <v>1</v>
      </c>
      <c r="CL43" t="s">
        <v>215</v>
      </c>
      <c r="CM43">
        <v>2</v>
      </c>
      <c r="CN43">
        <v>180</v>
      </c>
      <c r="CO43">
        <v>100</v>
      </c>
      <c r="CP43" s="74">
        <f ca="1">INDIRECT(ADDRESS(11+(MATCH(RIGHT(Table11[[#This Row],[spawner_sku]],LEN(Table11[[#This Row],[spawner_sku]])-FIND("/",Table11[[#This Row],[spawner_sku]])),Table1[Entity Prefab],0)),10,1,1,"Entities"))</f>
        <v>25</v>
      </c>
      <c r="CQ43">
        <f ca="1">ROUND((Table11[[#This Row],[XP]]*Table11[[#This Row],[entity_spawned (AVG)]])*(Table11[[#This Row],[activating_chance]]/100),0)</f>
        <v>50</v>
      </c>
      <c r="CR43" s="144" t="str">
        <f ca="1">INDIRECT(ADDRESS(11+(MATCH(RIGHT(Table11[[#This Row],[spawner_sku]],LEN(Table11[[#This Row],[spawner_sku]])-FIND("/",Table11[[#This Row],[spawner_sku]])),Table28[Entity Prefab],0)),25,1,1,"Entities"))</f>
        <v>no</v>
      </c>
      <c r="CS43" s="71">
        <v>2</v>
      </c>
      <c r="CT43" s="71">
        <v>2</v>
      </c>
      <c r="CU43" s="71" t="b">
        <v>0</v>
      </c>
      <c r="CW43" t="s">
        <v>215</v>
      </c>
      <c r="CX43">
        <v>1.5</v>
      </c>
      <c r="CY43">
        <v>180</v>
      </c>
      <c r="CZ43">
        <v>100</v>
      </c>
      <c r="DA43" s="74">
        <f ca="1">INDIRECT(ADDRESS(11+(MATCH(RIGHT(Table12[[#This Row],[spawner_sku]],LEN(Table12[[#This Row],[spawner_sku]])-FIND("/",Table12[[#This Row],[spawner_sku]])),Table1[Entity Prefab],0)),10,1,1,"Entities"))</f>
        <v>25</v>
      </c>
      <c r="DB43" s="74">
        <f ca="1">ROUND((Table12[[#This Row],[XP]]*Table12[[#This Row],[entity_spawned (AVG)]])*(Table12[[#This Row],[activating_chance]]/100),0)</f>
        <v>38</v>
      </c>
      <c r="DC43" s="144" t="str">
        <f ca="1">INDIRECT(ADDRESS(11+(MATCH(RIGHT(Table12[[#This Row],[spawner_sku]],LEN(Table12[[#This Row],[spawner_sku]])-FIND("/",Table12[[#This Row],[spawner_sku]])),Table28[Entity Prefab],0)),25,1,1,"Entities"))</f>
        <v>no</v>
      </c>
      <c r="DD43" s="71">
        <v>1</v>
      </c>
      <c r="DE43" s="71">
        <v>2</v>
      </c>
      <c r="DF43" s="71" t="b">
        <v>0</v>
      </c>
      <c r="DH43" t="s">
        <v>214</v>
      </c>
      <c r="DI43">
        <v>9</v>
      </c>
      <c r="DJ43">
        <v>280</v>
      </c>
      <c r="DK43">
        <v>100</v>
      </c>
      <c r="DL43" s="74">
        <f ca="1">INDIRECT(ADDRESS(11+(MATCH(RIGHT(Table13[[#This Row],[spawner_sku]],LEN(Table13[[#This Row],[spawner_sku]])-FIND("/",Table13[[#This Row],[spawner_sku]])),Table1[Entity Prefab],0)),10,1,1,"Entities"))</f>
        <v>25</v>
      </c>
      <c r="DM43" s="74">
        <f ca="1">ROUND((Table13[[#This Row],[XP]]*Table13[[#This Row],[entity_spawned (AVG)]])*(Table13[[#This Row],[activating_chance]]/100),0)</f>
        <v>225</v>
      </c>
      <c r="DN43" s="144" t="str">
        <f ca="1">INDIRECT(ADDRESS(11+(MATCH(RIGHT(Table13[[#This Row],[spawner_sku]],LEN(Table13[[#This Row],[spawner_sku]])-FIND("/",Table13[[#This Row],[spawner_sku]])),Table28[Entity Prefab],0)),25,1,1,"Entities"))</f>
        <v>no</v>
      </c>
      <c r="DO43" s="71">
        <v>8</v>
      </c>
      <c r="DP43" s="71">
        <v>10</v>
      </c>
      <c r="DQ43" s="71" t="b">
        <v>1</v>
      </c>
      <c r="DS43" t="s">
        <v>214</v>
      </c>
      <c r="DT43">
        <v>7</v>
      </c>
      <c r="DU43">
        <v>200</v>
      </c>
      <c r="DV43">
        <v>100</v>
      </c>
      <c r="DW43" s="74">
        <f ca="1">INDIRECT(ADDRESS(11+(MATCH(RIGHT(Table14[[#This Row],[spawner_sku]],LEN(Table14[[#This Row],[spawner_sku]])-FIND("/",Table14[[#This Row],[spawner_sku]])),Table1[Entity Prefab],0)),10,1,1,"Entities"))</f>
        <v>25</v>
      </c>
      <c r="DX43" s="74">
        <f ca="1">ROUND((Table14[[#This Row],[XP]]*Table14[[#This Row],[entity_spawned (AVG)]])*(Table14[[#This Row],[activating_chance]]/100),0)</f>
        <v>175</v>
      </c>
      <c r="DY43" s="144" t="str">
        <f ca="1">INDIRECT(ADDRESS(11+(MATCH(RIGHT(Table14[[#This Row],[spawner_sku]],LEN(Table14[[#This Row],[spawner_sku]])-FIND("/",Table14[[#This Row],[spawner_sku]])),Table28[Entity Prefab],0)),25,1,1,"Entities"))</f>
        <v>no</v>
      </c>
      <c r="DZ43" s="71">
        <v>6</v>
      </c>
      <c r="EA43" s="71">
        <v>8</v>
      </c>
      <c r="EB43" s="71" t="b">
        <v>1</v>
      </c>
      <c r="EC43" s="71"/>
      <c r="ED43" s="147" t="s">
        <v>570</v>
      </c>
      <c r="EE43" s="71">
        <v>1</v>
      </c>
      <c r="EF43" s="71">
        <v>120</v>
      </c>
      <c r="EG43" s="71">
        <v>100</v>
      </c>
      <c r="EH43" s="71">
        <f ca="1">INDIRECT(ADDRESS(11+(MATCH(RIGHT(Table36[[#This Row],[spawner_sku]],LEN(Table36[[#This Row],[spawner_sku]])-FIND("/",Table36[[#This Row],[spawner_sku]])),Table1[Entity Prefab],0)),10,1,1,"Entities"))</f>
        <v>50</v>
      </c>
      <c r="EI43" s="71">
        <f ca="1">ROUND((Table36[[#This Row],[XP]]*Table36[[#This Row],[entity_spawned (AVG)]])*(Table36[[#This Row],[activating_chance]]/100),0)</f>
        <v>50</v>
      </c>
      <c r="EJ43" s="71" t="str">
        <f ca="1">INDIRECT(ADDRESS(11+(MATCH(RIGHT(Table36[[#This Row],[spawner_sku]],LEN(Table36[[#This Row],[spawner_sku]])-FIND("/",Table36[[#This Row],[spawner_sku]])),Table28[Entity Prefab],0)),25,1,1,"Entities"))</f>
        <v>no</v>
      </c>
      <c r="EK43" s="71">
        <v>1</v>
      </c>
      <c r="EL43" s="71">
        <v>1</v>
      </c>
      <c r="EM43" s="71" t="b">
        <v>0</v>
      </c>
      <c r="EO43" t="s">
        <v>214</v>
      </c>
      <c r="EP43">
        <v>7</v>
      </c>
      <c r="EQ43">
        <v>160</v>
      </c>
      <c r="ER43">
        <v>100</v>
      </c>
      <c r="ES43" s="74">
        <f ca="1">INDIRECT(ADDRESS(11+(MATCH(RIGHT(Table18[[#This Row],[spawner_sku]],LEN(Table18[[#This Row],[spawner_sku]])-FIND("/",Table18[[#This Row],[spawner_sku]])),Table1[Entity Prefab],0)),10,1,1,"Entities"))</f>
        <v>25</v>
      </c>
      <c r="ET43" s="74">
        <f ca="1">ROUND((Table18[[#This Row],[XP]]*Table18[[#This Row],[entity_spawned (AVG)]])*(Table18[[#This Row],[activating_chance]]/100),0)</f>
        <v>175</v>
      </c>
      <c r="EU43" s="74" t="str">
        <f ca="1">INDIRECT(ADDRESS(11+(MATCH(RIGHT(Table18[[#This Row],[spawner_sku]],LEN(Table18[[#This Row],[spawner_sku]])-FIND("/",Table18[[#This Row],[spawner_sku]])),Table28[Entity Prefab],0)),26,1,1,"Entities"))</f>
        <v>no</v>
      </c>
      <c r="EV43">
        <v>6</v>
      </c>
      <c r="EW43">
        <v>8</v>
      </c>
      <c r="EX43" t="b">
        <v>1</v>
      </c>
      <c r="EZ43" t="s">
        <v>214</v>
      </c>
      <c r="FA43">
        <v>10</v>
      </c>
      <c r="FB43">
        <v>90</v>
      </c>
      <c r="FC43">
        <v>100</v>
      </c>
      <c r="FD43" s="74">
        <f ca="1">INDIRECT(ADDRESS(11+(MATCH(RIGHT(Table1820[[#This Row],[spawner_sku]],LEN(Table1820[[#This Row],[spawner_sku]])-FIND("/",Table1820[[#This Row],[spawner_sku]])),Table1[Entity Prefab],0)),10,1,1,"Entities"))</f>
        <v>25</v>
      </c>
      <c r="FE43" s="74">
        <f ca="1">ROUND((Table1820[[#This Row],[XP]]*Table1820[[#This Row],[entity_spawned (AVG)]])*(Table1820[[#This Row],[activating_chance]]/100),0)</f>
        <v>250</v>
      </c>
      <c r="FF43" s="74" t="str">
        <f ca="1">INDIRECT(ADDRESS(11+(MATCH(RIGHT(Table1820[[#This Row],[spawner_sku]],LEN(Table1820[[#This Row],[spawner_sku]])-FIND("/",Table1820[[#This Row],[spawner_sku]])),Table28[Entity Prefab],0)),26,1,1,"Entities"))</f>
        <v>no</v>
      </c>
      <c r="FG43">
        <v>8</v>
      </c>
      <c r="FH43">
        <v>12</v>
      </c>
      <c r="FI43" t="b">
        <v>1</v>
      </c>
      <c r="FK43" t="s">
        <v>464</v>
      </c>
      <c r="FL43">
        <v>1</v>
      </c>
      <c r="FM43">
        <v>110</v>
      </c>
      <c r="FN43">
        <v>100</v>
      </c>
      <c r="FO43">
        <f ca="1">INDIRECT(ADDRESS(11+(MATCH(RIGHT(Table182023[[#This Row],[spawner_sku]],LEN(Table182023[[#This Row],[spawner_sku]])-FIND("/",Table182023[[#This Row],[spawner_sku]])),Table1[Entity Prefab],0)),10,1,1,"Entities"))</f>
        <v>28</v>
      </c>
      <c r="FP43">
        <f ca="1">ROUND((Table182023[[#This Row],[XP]]*Table182023[[#This Row],[entity_spawned (AVG)]])*(Table182023[[#This Row],[activating_chance]]/100),0)</f>
        <v>28</v>
      </c>
      <c r="FQ43" t="str">
        <f ca="1">INDIRECT(ADDRESS(11+(MATCH(RIGHT(Table182023[[#This Row],[spawner_sku]],LEN(Table182023[[#This Row],[spawner_sku]])-FIND("/",Table182023[[#This Row],[spawner_sku]])),Table28[Entity Prefab],0)),26,1,1,"Entities"))</f>
        <v>no</v>
      </c>
      <c r="FR43">
        <v>1</v>
      </c>
      <c r="FS43">
        <v>1</v>
      </c>
      <c r="FT43" t="b">
        <v>0</v>
      </c>
      <c r="FV43" t="s">
        <v>493</v>
      </c>
      <c r="FW43">
        <v>2.5</v>
      </c>
      <c r="FX43">
        <v>90</v>
      </c>
      <c r="FY43">
        <v>100</v>
      </c>
      <c r="FZ43" s="74">
        <f ca="1">INDIRECT(ADDRESS(11+(MATCH(RIGHT(Table18202324[[#This Row],[spawner_sku]],LEN(Table18202324[[#This Row],[spawner_sku]])-FIND("/",Table18202324[[#This Row],[spawner_sku]])),Table1[Entity Prefab],0)),10,1,1,"Entities"))</f>
        <v>35</v>
      </c>
      <c r="GA43" s="74">
        <f ca="1">ROUND((Table18202324[[#This Row],[XP]]*Table18202324[[#This Row],[entity_spawned (AVG)]])*(Table18202324[[#This Row],[activating_chance]]/100),0)</f>
        <v>88</v>
      </c>
      <c r="GB43" s="74" t="str">
        <f ca="1">INDIRECT(ADDRESS(11+(MATCH(RIGHT(Table18202324[[#This Row],[spawner_sku]],LEN(Table18202324[[#This Row],[spawner_sku]])-FIND("/",Table18202324[[#This Row],[spawner_sku]])),Table28[Entity Prefab],0)),26,1,1,"Entities"))</f>
        <v>no</v>
      </c>
      <c r="GC43">
        <v>2</v>
      </c>
      <c r="GD43">
        <v>3</v>
      </c>
      <c r="GE43" t="b">
        <v>0</v>
      </c>
      <c r="GG43" t="s">
        <v>3818</v>
      </c>
      <c r="GH43">
        <v>1</v>
      </c>
      <c r="GI43">
        <v>240</v>
      </c>
      <c r="GJ43">
        <v>100</v>
      </c>
      <c r="GK43">
        <f ca="1">INDIRECT(ADDRESS(11+(MATCH(RIGHT(Table37[[#This Row],[spawner_sku]],LEN(Table37[[#This Row],[spawner_sku]])-FIND("/",Table37[[#This Row],[spawner_sku]])),Table1[Entity Prefab],0)),10,1,1,"Entities"))</f>
        <v>10</v>
      </c>
      <c r="GL43">
        <f ca="1">ROUND((Table37[[#This Row],[XP]]*Table37[[#This Row],[entity_spawned (AVG)]])*(Table37[[#This Row],[activating_chance]]/100),0)</f>
        <v>10</v>
      </c>
      <c r="GM43" t="str">
        <f ca="1">INDIRECT(ADDRESS(11+(MATCH(RIGHT(Table37[[#This Row],[spawner_sku]],LEN(Table37[[#This Row],[spawner_sku]])-FIND("/",Table37[[#This Row],[spawner_sku]])),Table28[Entity Prefab],0)),26,1,1,"Entities"))</f>
        <v>no</v>
      </c>
      <c r="GN43">
        <v>1</v>
      </c>
      <c r="GO43">
        <v>1</v>
      </c>
      <c r="GP43" t="b">
        <v>0</v>
      </c>
    </row>
    <row r="44" spans="2:198" x14ac:dyDescent="0.25">
      <c r="B44" s="72" t="s">
        <v>215</v>
      </c>
      <c r="C44">
        <v>1</v>
      </c>
      <c r="D44">
        <v>70</v>
      </c>
      <c r="E44">
        <v>100</v>
      </c>
      <c r="F44" s="74">
        <f ca="1">INDIRECT(ADDRESS(11+(MATCH(RIGHT(Table245[[#This Row],[spawner_sku]],LEN(Table245[[#This Row],[spawner_sku]])-FIND("/",Table245[[#This Row],[spawner_sku]])),Table1[Entity Prefab],0)),10,1,1,"Entities"))</f>
        <v>25</v>
      </c>
      <c r="G44" s="74">
        <f ca="1">ROUND((Table245[[#This Row],[XP]]*Table245[[#This Row],[entity_spawned (AVG)]])*(Table245[[#This Row],[activating_chance]]/100),0)</f>
        <v>25</v>
      </c>
      <c r="H44" s="71" t="str">
        <f ca="1">INDIRECT(ADDRESS(11+(MATCH(RIGHT(Table245[[#This Row],[spawner_sku]],LEN(Table245[[#This Row],[spawner_sku]])-FIND("/",Table245[[#This Row],[spawner_sku]])),Table28[Entity Prefab],0)),24,1,1,"Entities"))</f>
        <v>no</v>
      </c>
      <c r="I44" s="71">
        <v>1</v>
      </c>
      <c r="J44" s="71">
        <v>1</v>
      </c>
      <c r="K44" s="71" t="b">
        <v>0</v>
      </c>
      <c r="M44" t="s">
        <v>215</v>
      </c>
      <c r="N44">
        <v>6</v>
      </c>
      <c r="O44">
        <v>200</v>
      </c>
      <c r="P44">
        <v>100</v>
      </c>
      <c r="Q44" s="74">
        <f ca="1">INDIRECT(ADDRESS(11+(MATCH(RIGHT(Table3[[#This Row],[spawner_sku]],LEN(Table3[[#This Row],[spawner_sku]])-FIND("/",Table3[[#This Row],[spawner_sku]])),Table1[Entity Prefab],0)),10,1,1,"Entities"))</f>
        <v>25</v>
      </c>
      <c r="R44" s="74">
        <f ca="1">ROUND((Table3[[#This Row],[XP]]*Table3[[#This Row],[entity_spawned (AVG)]])*(Table3[[#This Row],[activating_chance]]/100),0)</f>
        <v>150</v>
      </c>
      <c r="S44" t="str">
        <f ca="1">INDIRECT(ADDRESS(11+(MATCH(RIGHT(Table3[[#This Row],[spawner_sku]],LEN(Table3[[#This Row],[spawner_sku]])-FIND("/",Table3[[#This Row],[spawner_sku]])),Table28[Entity Prefab],0)),24,1,1,"Entities"))</f>
        <v>no</v>
      </c>
      <c r="T44">
        <v>5</v>
      </c>
      <c r="U44">
        <v>7</v>
      </c>
      <c r="V44" t="b">
        <v>1</v>
      </c>
      <c r="W44" s="71"/>
      <c r="X44" t="s">
        <v>369</v>
      </c>
      <c r="Y44">
        <v>1</v>
      </c>
      <c r="Z44">
        <v>200</v>
      </c>
      <c r="AA44">
        <v>100</v>
      </c>
      <c r="AB44" s="74">
        <f ca="1">INDIRECT(ADDRESS(11+(MATCH(RIGHT(Table39[[#This Row],[spawner_sku]],LEN(Table39[[#This Row],[spawner_sku]])-FIND("/",Table39[[#This Row],[spawner_sku]])),Table1[Entity Prefab],0)),10,1,1,"Entities"))</f>
        <v>75</v>
      </c>
      <c r="AC44" s="74">
        <f ca="1">ROUND((Table39[[#This Row],[XP]]*Table39[[#This Row],[entity_spawned (AVG)]])*(Table39[[#This Row],[activating_chance]]/100),0)</f>
        <v>75</v>
      </c>
      <c r="AD44" t="str">
        <f ca="1">INDIRECT(ADDRESS(11+(MATCH(RIGHT(Table39[[#This Row],[spawner_sku]],LEN(Table39[[#This Row],[spawner_sku]])-FIND("/",Table39[[#This Row],[spawner_sku]])),Table28[Entity Prefab],0)),24,1,1,"Entities"))</f>
        <v>yes</v>
      </c>
      <c r="AE44">
        <v>1</v>
      </c>
      <c r="AF44">
        <v>1</v>
      </c>
      <c r="AG44" t="b">
        <v>0</v>
      </c>
      <c r="AI44" t="s">
        <v>215</v>
      </c>
      <c r="AJ44">
        <v>2</v>
      </c>
      <c r="AK44">
        <v>100</v>
      </c>
      <c r="AL44">
        <v>85</v>
      </c>
      <c r="AM44" s="74">
        <f ca="1">INDIRECT(ADDRESS(11+(MATCH(RIGHT(Table2[[#This Row],[spawner_sku]],LEN(Table2[[#This Row],[spawner_sku]])-FIND("/",Table2[[#This Row],[spawner_sku]])),Table1[Entity Prefab],0)),10,1,1,"Entities"))</f>
        <v>25</v>
      </c>
      <c r="AN44" s="74">
        <f ca="1">ROUND((Table2[[#This Row],[XP]]*Table2[[#This Row],[entity_spawned (AVG)]])*(Table2[[#This Row],[activating_chance]]/100),0)</f>
        <v>43</v>
      </c>
      <c r="AO44" s="71" t="str">
        <f ca="1">INDIRECT(ADDRESS(11+(MATCH(RIGHT(Table2[[#This Row],[spawner_sku]],LEN(Table2[[#This Row],[spawner_sku]])-FIND("/",Table2[[#This Row],[spawner_sku]])),Table28[Entity Prefab],0)),24,1,1,"Entities"))</f>
        <v>no</v>
      </c>
      <c r="AP44" s="71">
        <v>1</v>
      </c>
      <c r="AQ44" s="71">
        <v>3</v>
      </c>
      <c r="AR44" s="71" t="b">
        <v>0</v>
      </c>
      <c r="AT44" t="s">
        <v>215</v>
      </c>
      <c r="AU44">
        <v>3</v>
      </c>
      <c r="AV44">
        <v>80</v>
      </c>
      <c r="AW44">
        <v>100</v>
      </c>
      <c r="AX44" s="74">
        <f ca="1">INDIRECT(ADDRESS(11+(MATCH(RIGHT(Table6[[#This Row],[spawner_sku]],LEN(Table6[[#This Row],[spawner_sku]])-FIND("/",Table6[[#This Row],[spawner_sku]])),Table1[Entity Prefab],0)),10,1,1,"Entities"))</f>
        <v>25</v>
      </c>
      <c r="AY44" s="74">
        <f ca="1">ROUND((Table6[[#This Row],[XP]]*Table6[[#This Row],[entity_spawned (AVG)]])*(Table6[[#This Row],[activating_chance]]/100),0)</f>
        <v>75</v>
      </c>
      <c r="AZ44" s="144" t="str">
        <f ca="1">INDIRECT(ADDRESS(11+(MATCH(RIGHT(Table6[[#This Row],[spawner_sku]],LEN(Table6[[#This Row],[spawner_sku]])-FIND("/",Table6[[#This Row],[spawner_sku]])),Table28[Entity Prefab],0)),24,1,1,"Entities"))</f>
        <v>no</v>
      </c>
      <c r="BA44">
        <v>2</v>
      </c>
      <c r="BB44">
        <v>4</v>
      </c>
      <c r="BC44" t="b">
        <v>0</v>
      </c>
      <c r="BE44" t="s">
        <v>214</v>
      </c>
      <c r="BF44">
        <v>6.5</v>
      </c>
      <c r="BG44">
        <v>120</v>
      </c>
      <c r="BH44">
        <v>100</v>
      </c>
      <c r="BI44" s="74">
        <f ca="1">INDIRECT(ADDRESS(11+(MATCH(RIGHT(Table610[[#This Row],[spawner_sku]],LEN(Table610[[#This Row],[spawner_sku]])-FIND("/",Table610[[#This Row],[spawner_sku]])),Table1[Entity Prefab],0)),10,1,1,"Entities"))</f>
        <v>25</v>
      </c>
      <c r="BJ44" s="74">
        <f ca="1">ROUND((Table610[[#This Row],[XP]]*Table610[[#This Row],[entity_spawned (AVG)]])*(Table610[[#This Row],[activating_chance]]/100),0)</f>
        <v>163</v>
      </c>
      <c r="BK44" s="71" t="str">
        <f ca="1">INDIRECT(ADDRESS(11+(MATCH(RIGHT(Table610[[#This Row],[spawner_sku]],LEN(Table610[[#This Row],[spawner_sku]])-FIND("/",Table610[[#This Row],[spawner_sku]])),Table28[Entity Prefab],0)),24,1,1,"Entities"))</f>
        <v>no</v>
      </c>
      <c r="BL44">
        <v>5</v>
      </c>
      <c r="BM44">
        <v>8</v>
      </c>
      <c r="BN44" t="b">
        <v>1</v>
      </c>
      <c r="BP44" t="s">
        <v>215</v>
      </c>
      <c r="BQ44">
        <v>4</v>
      </c>
      <c r="BR44">
        <v>130</v>
      </c>
      <c r="BS44">
        <v>100</v>
      </c>
      <c r="BT44" s="74">
        <f ca="1">INDIRECT(ADDRESS(11+(MATCH(RIGHT(Table61011[[#This Row],[spawner_sku]],LEN(Table61011[[#This Row],[spawner_sku]])-FIND("/",Table61011[[#This Row],[spawner_sku]])),Table1[Entity Prefab],0)),10,1,1,"Entities"))</f>
        <v>25</v>
      </c>
      <c r="BU44" s="74">
        <f ca="1">ROUND((Table61011[[#This Row],[XP]]*Table61011[[#This Row],[entity_spawned (AVG)]])*(Table61011[[#This Row],[activating_chance]]/100),0)</f>
        <v>100</v>
      </c>
      <c r="BV44" s="71" t="str">
        <f ca="1">INDIRECT(ADDRESS(11+(MATCH(RIGHT(Table61011[[#This Row],[spawner_sku]],LEN(Table61011[[#This Row],[spawner_sku]])-FIND("/",Table61011[[#This Row],[spawner_sku]])),Table28[Entity Prefab],0)),24,1,1,"Entities"))</f>
        <v>no</v>
      </c>
      <c r="BW44" s="71">
        <v>4</v>
      </c>
      <c r="BX44" s="71">
        <v>4</v>
      </c>
      <c r="BY44" s="71" t="b">
        <v>0</v>
      </c>
      <c r="BZ44" s="71"/>
      <c r="CA44" s="147" t="s">
        <v>232</v>
      </c>
      <c r="CB44">
        <v>10</v>
      </c>
      <c r="CC44">
        <v>90</v>
      </c>
      <c r="CD44">
        <v>100</v>
      </c>
      <c r="CE44" s="74">
        <f ca="1">INDIRECT(ADDRESS(11+(MATCH(RIGHT(Table35[[#This Row],[spawner_sku]],LEN(Table35[[#This Row],[spawner_sku]])-FIND("/",Table35[[#This Row],[spawner_sku]])),Table1[Entity Prefab],0)),10,1,1,"Entities"))</f>
        <v>25</v>
      </c>
      <c r="CF44" s="74">
        <f ca="1">ROUND((Table35[[#This Row],[XP]]*Table35[[#This Row],[entity_spawned (AVG)]])*(Table35[[#This Row],[activating_chance]]/100),0)</f>
        <v>250</v>
      </c>
      <c r="CG44" s="144" t="str">
        <f ca="1">INDIRECT(ADDRESS(11+(MATCH(RIGHT(Table35[[#This Row],[spawner_sku]],LEN(Table35[[#This Row],[spawner_sku]])-FIND("/",Table35[[#This Row],[spawner_sku]])),Table28[Entity Prefab],0)),24,1,1,"Entities"))</f>
        <v>no</v>
      </c>
      <c r="CH44">
        <v>10</v>
      </c>
      <c r="CI44">
        <v>10</v>
      </c>
      <c r="CJ44" s="71" t="b">
        <v>1</v>
      </c>
      <c r="CL44" t="s">
        <v>215</v>
      </c>
      <c r="CM44">
        <v>8</v>
      </c>
      <c r="CN44">
        <v>180</v>
      </c>
      <c r="CO44">
        <v>100</v>
      </c>
      <c r="CP44" s="74">
        <f ca="1">INDIRECT(ADDRESS(11+(MATCH(RIGHT(Table11[[#This Row],[spawner_sku]],LEN(Table11[[#This Row],[spawner_sku]])-FIND("/",Table11[[#This Row],[spawner_sku]])),Table1[Entity Prefab],0)),10,1,1,"Entities"))</f>
        <v>25</v>
      </c>
      <c r="CQ44">
        <f ca="1">ROUND((Table11[[#This Row],[XP]]*Table11[[#This Row],[entity_spawned (AVG)]])*(Table11[[#This Row],[activating_chance]]/100),0)</f>
        <v>200</v>
      </c>
      <c r="CR44" s="144" t="str">
        <f ca="1">INDIRECT(ADDRESS(11+(MATCH(RIGHT(Table11[[#This Row],[spawner_sku]],LEN(Table11[[#This Row],[spawner_sku]])-FIND("/",Table11[[#This Row],[spawner_sku]])),Table28[Entity Prefab],0)),25,1,1,"Entities"))</f>
        <v>no</v>
      </c>
      <c r="CS44" s="71">
        <v>6</v>
      </c>
      <c r="CT44" s="71">
        <v>10</v>
      </c>
      <c r="CU44" s="71" t="b">
        <v>1</v>
      </c>
      <c r="CW44" t="s">
        <v>215</v>
      </c>
      <c r="CX44">
        <v>1</v>
      </c>
      <c r="CY44">
        <v>180</v>
      </c>
      <c r="CZ44">
        <v>100</v>
      </c>
      <c r="DA44" s="74">
        <f ca="1">INDIRECT(ADDRESS(11+(MATCH(RIGHT(Table12[[#This Row],[spawner_sku]],LEN(Table12[[#This Row],[spawner_sku]])-FIND("/",Table12[[#This Row],[spawner_sku]])),Table1[Entity Prefab],0)),10,1,1,"Entities"))</f>
        <v>25</v>
      </c>
      <c r="DB44" s="74">
        <f ca="1">ROUND((Table12[[#This Row],[XP]]*Table12[[#This Row],[entity_spawned (AVG)]])*(Table12[[#This Row],[activating_chance]]/100),0)</f>
        <v>25</v>
      </c>
      <c r="DC44" s="144" t="str">
        <f ca="1">INDIRECT(ADDRESS(11+(MATCH(RIGHT(Table12[[#This Row],[spawner_sku]],LEN(Table12[[#This Row],[spawner_sku]])-FIND("/",Table12[[#This Row],[spawner_sku]])),Table28[Entity Prefab],0)),25,1,1,"Entities"))</f>
        <v>no</v>
      </c>
      <c r="DD44" s="71">
        <v>1</v>
      </c>
      <c r="DE44" s="71">
        <v>1</v>
      </c>
      <c r="DF44" s="71" t="b">
        <v>0</v>
      </c>
      <c r="DH44" t="s">
        <v>214</v>
      </c>
      <c r="DI44">
        <v>10</v>
      </c>
      <c r="DJ44">
        <v>280</v>
      </c>
      <c r="DK44">
        <v>100</v>
      </c>
      <c r="DL44" s="74">
        <f ca="1">INDIRECT(ADDRESS(11+(MATCH(RIGHT(Table13[[#This Row],[spawner_sku]],LEN(Table13[[#This Row],[spawner_sku]])-FIND("/",Table13[[#This Row],[spawner_sku]])),Table1[Entity Prefab],0)),10,1,1,"Entities"))</f>
        <v>25</v>
      </c>
      <c r="DM44" s="74">
        <f ca="1">ROUND((Table13[[#This Row],[XP]]*Table13[[#This Row],[entity_spawned (AVG)]])*(Table13[[#This Row],[activating_chance]]/100),0)</f>
        <v>250</v>
      </c>
      <c r="DN44" s="144" t="str">
        <f ca="1">INDIRECT(ADDRESS(11+(MATCH(RIGHT(Table13[[#This Row],[spawner_sku]],LEN(Table13[[#This Row],[spawner_sku]])-FIND("/",Table13[[#This Row],[spawner_sku]])),Table28[Entity Prefab],0)),25,1,1,"Entities"))</f>
        <v>no</v>
      </c>
      <c r="DO44" s="71">
        <v>8</v>
      </c>
      <c r="DP44" s="71">
        <v>12</v>
      </c>
      <c r="DQ44" s="71" t="b">
        <v>1</v>
      </c>
      <c r="DS44" t="s">
        <v>214</v>
      </c>
      <c r="DT44">
        <v>2.5</v>
      </c>
      <c r="DU44">
        <v>80</v>
      </c>
      <c r="DV44">
        <v>100</v>
      </c>
      <c r="DW44" s="74">
        <f ca="1">INDIRECT(ADDRESS(11+(MATCH(RIGHT(Table14[[#This Row],[spawner_sku]],LEN(Table14[[#This Row],[spawner_sku]])-FIND("/",Table14[[#This Row],[spawner_sku]])),Table1[Entity Prefab],0)),10,1,1,"Entities"))</f>
        <v>25</v>
      </c>
      <c r="DX44" s="74">
        <f ca="1">ROUND((Table14[[#This Row],[XP]]*Table14[[#This Row],[entity_spawned (AVG)]])*(Table14[[#This Row],[activating_chance]]/100),0)</f>
        <v>63</v>
      </c>
      <c r="DY44" s="144" t="str">
        <f ca="1">INDIRECT(ADDRESS(11+(MATCH(RIGHT(Table14[[#This Row],[spawner_sku]],LEN(Table14[[#This Row],[spawner_sku]])-FIND("/",Table14[[#This Row],[spawner_sku]])),Table28[Entity Prefab],0)),25,1,1,"Entities"))</f>
        <v>no</v>
      </c>
      <c r="DZ44" s="71">
        <v>2</v>
      </c>
      <c r="EA44" s="71">
        <v>3</v>
      </c>
      <c r="EB44" s="71" t="b">
        <v>0</v>
      </c>
      <c r="EC44" s="71"/>
      <c r="ED44" s="147" t="s">
        <v>570</v>
      </c>
      <c r="EE44" s="71">
        <v>1</v>
      </c>
      <c r="EF44" s="71">
        <v>120</v>
      </c>
      <c r="EG44" s="71">
        <v>100</v>
      </c>
      <c r="EH44" s="71">
        <f ca="1">INDIRECT(ADDRESS(11+(MATCH(RIGHT(Table36[[#This Row],[spawner_sku]],LEN(Table36[[#This Row],[spawner_sku]])-FIND("/",Table36[[#This Row],[spawner_sku]])),Table1[Entity Prefab],0)),10,1,1,"Entities"))</f>
        <v>50</v>
      </c>
      <c r="EI44" s="71">
        <f ca="1">ROUND((Table36[[#This Row],[XP]]*Table36[[#This Row],[entity_spawned (AVG)]])*(Table36[[#This Row],[activating_chance]]/100),0)</f>
        <v>50</v>
      </c>
      <c r="EJ44" s="71" t="str">
        <f ca="1">INDIRECT(ADDRESS(11+(MATCH(RIGHT(Table36[[#This Row],[spawner_sku]],LEN(Table36[[#This Row],[spawner_sku]])-FIND("/",Table36[[#This Row],[spawner_sku]])),Table28[Entity Prefab],0)),25,1,1,"Entities"))</f>
        <v>no</v>
      </c>
      <c r="EK44" s="71">
        <v>1</v>
      </c>
      <c r="EL44" s="71">
        <v>1</v>
      </c>
      <c r="EM44" s="71" t="b">
        <v>0</v>
      </c>
      <c r="EO44" t="s">
        <v>214</v>
      </c>
      <c r="EP44">
        <v>1.5</v>
      </c>
      <c r="EQ44">
        <v>180</v>
      </c>
      <c r="ER44">
        <v>100</v>
      </c>
      <c r="ES44" s="74">
        <f ca="1">INDIRECT(ADDRESS(11+(MATCH(RIGHT(Table18[[#This Row],[spawner_sku]],LEN(Table18[[#This Row],[spawner_sku]])-FIND("/",Table18[[#This Row],[spawner_sku]])),Table1[Entity Prefab],0)),10,1,1,"Entities"))</f>
        <v>25</v>
      </c>
      <c r="ET44" s="74">
        <f ca="1">ROUND((Table18[[#This Row],[XP]]*Table18[[#This Row],[entity_spawned (AVG)]])*(Table18[[#This Row],[activating_chance]]/100),0)</f>
        <v>38</v>
      </c>
      <c r="EU44" s="74" t="str">
        <f ca="1">INDIRECT(ADDRESS(11+(MATCH(RIGHT(Table18[[#This Row],[spawner_sku]],LEN(Table18[[#This Row],[spawner_sku]])-FIND("/",Table18[[#This Row],[spawner_sku]])),Table28[Entity Prefab],0)),26,1,1,"Entities"))</f>
        <v>no</v>
      </c>
      <c r="EV44">
        <v>1</v>
      </c>
      <c r="EW44">
        <v>2</v>
      </c>
      <c r="EX44" t="b">
        <v>0</v>
      </c>
      <c r="EZ44" t="s">
        <v>214</v>
      </c>
      <c r="FA44">
        <v>6.5</v>
      </c>
      <c r="FB44">
        <v>100</v>
      </c>
      <c r="FC44">
        <v>100</v>
      </c>
      <c r="FD44" s="74">
        <f ca="1">INDIRECT(ADDRESS(11+(MATCH(RIGHT(Table1820[[#This Row],[spawner_sku]],LEN(Table1820[[#This Row],[spawner_sku]])-FIND("/",Table1820[[#This Row],[spawner_sku]])),Table1[Entity Prefab],0)),10,1,1,"Entities"))</f>
        <v>25</v>
      </c>
      <c r="FE44" s="74">
        <f ca="1">ROUND((Table1820[[#This Row],[XP]]*Table1820[[#This Row],[entity_spawned (AVG)]])*(Table1820[[#This Row],[activating_chance]]/100),0)</f>
        <v>163</v>
      </c>
      <c r="FF44" s="74" t="str">
        <f ca="1">INDIRECT(ADDRESS(11+(MATCH(RIGHT(Table1820[[#This Row],[spawner_sku]],LEN(Table1820[[#This Row],[spawner_sku]])-FIND("/",Table1820[[#This Row],[spawner_sku]])),Table28[Entity Prefab],0)),26,1,1,"Entities"))</f>
        <v>no</v>
      </c>
      <c r="FG44">
        <v>5</v>
      </c>
      <c r="FH44">
        <v>8</v>
      </c>
      <c r="FI44" t="b">
        <v>1</v>
      </c>
      <c r="FK44" t="s">
        <v>464</v>
      </c>
      <c r="FL44">
        <v>1</v>
      </c>
      <c r="FM44">
        <v>110</v>
      </c>
      <c r="FN44">
        <v>100</v>
      </c>
      <c r="FO44">
        <f ca="1">INDIRECT(ADDRESS(11+(MATCH(RIGHT(Table182023[[#This Row],[spawner_sku]],LEN(Table182023[[#This Row],[spawner_sku]])-FIND("/",Table182023[[#This Row],[spawner_sku]])),Table1[Entity Prefab],0)),10,1,1,"Entities"))</f>
        <v>28</v>
      </c>
      <c r="FP44">
        <f ca="1">ROUND((Table182023[[#This Row],[XP]]*Table182023[[#This Row],[entity_spawned (AVG)]])*(Table182023[[#This Row],[activating_chance]]/100),0)</f>
        <v>28</v>
      </c>
      <c r="FQ44" t="str">
        <f ca="1">INDIRECT(ADDRESS(11+(MATCH(RIGHT(Table182023[[#This Row],[spawner_sku]],LEN(Table182023[[#This Row],[spawner_sku]])-FIND("/",Table182023[[#This Row],[spawner_sku]])),Table28[Entity Prefab],0)),26,1,1,"Entities"))</f>
        <v>no</v>
      </c>
      <c r="FR44">
        <v>1</v>
      </c>
      <c r="FS44">
        <v>1</v>
      </c>
      <c r="FT44" t="b">
        <v>0</v>
      </c>
      <c r="FV44" t="s">
        <v>493</v>
      </c>
      <c r="FW44">
        <v>2.5</v>
      </c>
      <c r="FX44">
        <v>90</v>
      </c>
      <c r="FY44">
        <v>100</v>
      </c>
      <c r="FZ44" s="74">
        <f ca="1">INDIRECT(ADDRESS(11+(MATCH(RIGHT(Table18202324[[#This Row],[spawner_sku]],LEN(Table18202324[[#This Row],[spawner_sku]])-FIND("/",Table18202324[[#This Row],[spawner_sku]])),Table1[Entity Prefab],0)),10,1,1,"Entities"))</f>
        <v>35</v>
      </c>
      <c r="GA44" s="74">
        <f ca="1">ROUND((Table18202324[[#This Row],[XP]]*Table18202324[[#This Row],[entity_spawned (AVG)]])*(Table18202324[[#This Row],[activating_chance]]/100),0)</f>
        <v>88</v>
      </c>
      <c r="GB44" s="74" t="str">
        <f ca="1">INDIRECT(ADDRESS(11+(MATCH(RIGHT(Table18202324[[#This Row],[spawner_sku]],LEN(Table18202324[[#This Row],[spawner_sku]])-FIND("/",Table18202324[[#This Row],[spawner_sku]])),Table28[Entity Prefab],0)),26,1,1,"Entities"))</f>
        <v>no</v>
      </c>
      <c r="GC44">
        <v>2</v>
      </c>
      <c r="GD44">
        <v>3</v>
      </c>
      <c r="GE44" t="b">
        <v>0</v>
      </c>
      <c r="GG44" t="s">
        <v>3818</v>
      </c>
      <c r="GH44">
        <v>1</v>
      </c>
      <c r="GI44">
        <v>240</v>
      </c>
      <c r="GJ44">
        <v>100</v>
      </c>
      <c r="GK44">
        <f ca="1">INDIRECT(ADDRESS(11+(MATCH(RIGHT(Table37[[#This Row],[spawner_sku]],LEN(Table37[[#This Row],[spawner_sku]])-FIND("/",Table37[[#This Row],[spawner_sku]])),Table1[Entity Prefab],0)),10,1,1,"Entities"))</f>
        <v>10</v>
      </c>
      <c r="GL44">
        <f ca="1">ROUND((Table37[[#This Row],[XP]]*Table37[[#This Row],[entity_spawned (AVG)]])*(Table37[[#This Row],[activating_chance]]/100),0)</f>
        <v>10</v>
      </c>
      <c r="GM44" t="str">
        <f ca="1">INDIRECT(ADDRESS(11+(MATCH(RIGHT(Table37[[#This Row],[spawner_sku]],LEN(Table37[[#This Row],[spawner_sku]])-FIND("/",Table37[[#This Row],[spawner_sku]])),Table28[Entity Prefab],0)),26,1,1,"Entities"))</f>
        <v>no</v>
      </c>
      <c r="GN44">
        <v>1</v>
      </c>
      <c r="GO44">
        <v>1</v>
      </c>
      <c r="GP44" t="b">
        <v>0</v>
      </c>
    </row>
    <row r="45" spans="2:198" x14ac:dyDescent="0.25">
      <c r="B45" s="72" t="s">
        <v>215</v>
      </c>
      <c r="C45">
        <v>2.5</v>
      </c>
      <c r="D45">
        <v>160</v>
      </c>
      <c r="E45">
        <v>100</v>
      </c>
      <c r="F45" s="74">
        <f ca="1">INDIRECT(ADDRESS(11+(MATCH(RIGHT(Table245[[#This Row],[spawner_sku]],LEN(Table245[[#This Row],[spawner_sku]])-FIND("/",Table245[[#This Row],[spawner_sku]])),Table1[Entity Prefab],0)),10,1,1,"Entities"))</f>
        <v>25</v>
      </c>
      <c r="G45" s="74">
        <f ca="1">ROUND((Table245[[#This Row],[XP]]*Table245[[#This Row],[entity_spawned (AVG)]])*(Table245[[#This Row],[activating_chance]]/100),0)</f>
        <v>63</v>
      </c>
      <c r="H45" s="71" t="str">
        <f ca="1">INDIRECT(ADDRESS(11+(MATCH(RIGHT(Table245[[#This Row],[spawner_sku]],LEN(Table245[[#This Row],[spawner_sku]])-FIND("/",Table245[[#This Row],[spawner_sku]])),Table28[Entity Prefab],0)),24,1,1,"Entities"))</f>
        <v>no</v>
      </c>
      <c r="I45" s="71">
        <v>2</v>
      </c>
      <c r="J45" s="71">
        <v>3</v>
      </c>
      <c r="K45" s="71" t="b">
        <v>0</v>
      </c>
      <c r="M45" t="s">
        <v>215</v>
      </c>
      <c r="N45">
        <v>3.5</v>
      </c>
      <c r="O45">
        <v>200</v>
      </c>
      <c r="P45">
        <v>100</v>
      </c>
      <c r="Q45" s="74">
        <f ca="1">INDIRECT(ADDRESS(11+(MATCH(RIGHT(Table3[[#This Row],[spawner_sku]],LEN(Table3[[#This Row],[spawner_sku]])-FIND("/",Table3[[#This Row],[spawner_sku]])),Table1[Entity Prefab],0)),10,1,1,"Entities"))</f>
        <v>25</v>
      </c>
      <c r="R45" s="74">
        <f ca="1">ROUND((Table3[[#This Row],[XP]]*Table3[[#This Row],[entity_spawned (AVG)]])*(Table3[[#This Row],[activating_chance]]/100),0)</f>
        <v>88</v>
      </c>
      <c r="S45" t="str">
        <f ca="1">INDIRECT(ADDRESS(11+(MATCH(RIGHT(Table3[[#This Row],[spawner_sku]],LEN(Table3[[#This Row],[spawner_sku]])-FIND("/",Table3[[#This Row],[spawner_sku]])),Table28[Entity Prefab],0)),24,1,1,"Entities"))</f>
        <v>no</v>
      </c>
      <c r="T45">
        <v>3</v>
      </c>
      <c r="U45">
        <v>4</v>
      </c>
      <c r="V45" t="b">
        <v>0</v>
      </c>
      <c r="W45" s="71"/>
      <c r="X45" t="s">
        <v>369</v>
      </c>
      <c r="Y45">
        <v>1</v>
      </c>
      <c r="Z45">
        <v>180</v>
      </c>
      <c r="AA45">
        <v>100</v>
      </c>
      <c r="AB45" s="74">
        <f ca="1">INDIRECT(ADDRESS(11+(MATCH(RIGHT(Table39[[#This Row],[spawner_sku]],LEN(Table39[[#This Row],[spawner_sku]])-FIND("/",Table39[[#This Row],[spawner_sku]])),Table1[Entity Prefab],0)),10,1,1,"Entities"))</f>
        <v>75</v>
      </c>
      <c r="AC45" s="74">
        <f ca="1">ROUND((Table39[[#This Row],[XP]]*Table39[[#This Row],[entity_spawned (AVG)]])*(Table39[[#This Row],[activating_chance]]/100),0)</f>
        <v>75</v>
      </c>
      <c r="AD45" t="str">
        <f ca="1">INDIRECT(ADDRESS(11+(MATCH(RIGHT(Table39[[#This Row],[spawner_sku]],LEN(Table39[[#This Row],[spawner_sku]])-FIND("/",Table39[[#This Row],[spawner_sku]])),Table28[Entity Prefab],0)),24,1,1,"Entities"))</f>
        <v>yes</v>
      </c>
      <c r="AE45">
        <v>1</v>
      </c>
      <c r="AF45">
        <v>1</v>
      </c>
      <c r="AG45" t="b">
        <v>0</v>
      </c>
      <c r="AI45" t="s">
        <v>215</v>
      </c>
      <c r="AJ45">
        <v>3.5</v>
      </c>
      <c r="AK45">
        <v>120</v>
      </c>
      <c r="AL45">
        <v>100</v>
      </c>
      <c r="AM45" s="74">
        <f ca="1">INDIRECT(ADDRESS(11+(MATCH(RIGHT(Table2[[#This Row],[spawner_sku]],LEN(Table2[[#This Row],[spawner_sku]])-FIND("/",Table2[[#This Row],[spawner_sku]])),Table1[Entity Prefab],0)),10,1,1,"Entities"))</f>
        <v>25</v>
      </c>
      <c r="AN45" s="74">
        <f ca="1">ROUND((Table2[[#This Row],[XP]]*Table2[[#This Row],[entity_spawned (AVG)]])*(Table2[[#This Row],[activating_chance]]/100),0)</f>
        <v>88</v>
      </c>
      <c r="AO45" s="71" t="str">
        <f ca="1">INDIRECT(ADDRESS(11+(MATCH(RIGHT(Table2[[#This Row],[spawner_sku]],LEN(Table2[[#This Row],[spawner_sku]])-FIND("/",Table2[[#This Row],[spawner_sku]])),Table28[Entity Prefab],0)),24,1,1,"Entities"))</f>
        <v>no</v>
      </c>
      <c r="AP45" s="71">
        <v>3</v>
      </c>
      <c r="AQ45" s="71">
        <v>4</v>
      </c>
      <c r="AR45" s="71" t="b">
        <v>0</v>
      </c>
      <c r="AT45" t="s">
        <v>215</v>
      </c>
      <c r="AU45">
        <v>2.5</v>
      </c>
      <c r="AV45">
        <v>90</v>
      </c>
      <c r="AW45">
        <v>80</v>
      </c>
      <c r="AX45" s="74">
        <f ca="1">INDIRECT(ADDRESS(11+(MATCH(RIGHT(Table6[[#This Row],[spawner_sku]],LEN(Table6[[#This Row],[spawner_sku]])-FIND("/",Table6[[#This Row],[spawner_sku]])),Table1[Entity Prefab],0)),10,1,1,"Entities"))</f>
        <v>25</v>
      </c>
      <c r="AY45" s="74">
        <f ca="1">ROUND((Table6[[#This Row],[XP]]*Table6[[#This Row],[entity_spawned (AVG)]])*(Table6[[#This Row],[activating_chance]]/100),0)</f>
        <v>50</v>
      </c>
      <c r="AZ45" s="144" t="str">
        <f ca="1">INDIRECT(ADDRESS(11+(MATCH(RIGHT(Table6[[#This Row],[spawner_sku]],LEN(Table6[[#This Row],[spawner_sku]])-FIND("/",Table6[[#This Row],[spawner_sku]])),Table28[Entity Prefab],0)),24,1,1,"Entities"))</f>
        <v>no</v>
      </c>
      <c r="BA45">
        <v>2</v>
      </c>
      <c r="BB45">
        <v>3</v>
      </c>
      <c r="BC45" t="b">
        <v>0</v>
      </c>
      <c r="BE45" t="s">
        <v>214</v>
      </c>
      <c r="BF45">
        <v>6.5</v>
      </c>
      <c r="BG45">
        <v>120</v>
      </c>
      <c r="BH45">
        <v>100</v>
      </c>
      <c r="BI45" s="74">
        <f ca="1">INDIRECT(ADDRESS(11+(MATCH(RIGHT(Table610[[#This Row],[spawner_sku]],LEN(Table610[[#This Row],[spawner_sku]])-FIND("/",Table610[[#This Row],[spawner_sku]])),Table1[Entity Prefab],0)),10,1,1,"Entities"))</f>
        <v>25</v>
      </c>
      <c r="BJ45" s="74">
        <f ca="1">ROUND((Table610[[#This Row],[XP]]*Table610[[#This Row],[entity_spawned (AVG)]])*(Table610[[#This Row],[activating_chance]]/100),0)</f>
        <v>163</v>
      </c>
      <c r="BK45" s="71" t="str">
        <f ca="1">INDIRECT(ADDRESS(11+(MATCH(RIGHT(Table610[[#This Row],[spawner_sku]],LEN(Table610[[#This Row],[spawner_sku]])-FIND("/",Table610[[#This Row],[spawner_sku]])),Table28[Entity Prefab],0)),24,1,1,"Entities"))</f>
        <v>no</v>
      </c>
      <c r="BL45">
        <v>5</v>
      </c>
      <c r="BM45">
        <v>8</v>
      </c>
      <c r="BN45" t="b">
        <v>1</v>
      </c>
      <c r="BP45" t="s">
        <v>215</v>
      </c>
      <c r="BQ45">
        <v>3</v>
      </c>
      <c r="BR45">
        <v>200</v>
      </c>
      <c r="BS45">
        <v>100</v>
      </c>
      <c r="BT45" s="74">
        <f ca="1">INDIRECT(ADDRESS(11+(MATCH(RIGHT(Table61011[[#This Row],[spawner_sku]],LEN(Table61011[[#This Row],[spawner_sku]])-FIND("/",Table61011[[#This Row],[spawner_sku]])),Table1[Entity Prefab],0)),10,1,1,"Entities"))</f>
        <v>25</v>
      </c>
      <c r="BU45" s="74">
        <f ca="1">ROUND((Table61011[[#This Row],[XP]]*Table61011[[#This Row],[entity_spawned (AVG)]])*(Table61011[[#This Row],[activating_chance]]/100),0)</f>
        <v>75</v>
      </c>
      <c r="BV45" s="71" t="str">
        <f ca="1">INDIRECT(ADDRESS(11+(MATCH(RIGHT(Table61011[[#This Row],[spawner_sku]],LEN(Table61011[[#This Row],[spawner_sku]])-FIND("/",Table61011[[#This Row],[spawner_sku]])),Table28[Entity Prefab],0)),24,1,1,"Entities"))</f>
        <v>no</v>
      </c>
      <c r="BW45" s="71">
        <v>3</v>
      </c>
      <c r="BX45" s="71">
        <v>3</v>
      </c>
      <c r="BY45" s="71" t="b">
        <v>0</v>
      </c>
      <c r="BZ45" s="71"/>
      <c r="CA45" s="147" t="s">
        <v>232</v>
      </c>
      <c r="CB45">
        <v>5</v>
      </c>
      <c r="CC45">
        <v>90</v>
      </c>
      <c r="CD45">
        <v>100</v>
      </c>
      <c r="CE45" s="74">
        <f ca="1">INDIRECT(ADDRESS(11+(MATCH(RIGHT(Table35[[#This Row],[spawner_sku]],LEN(Table35[[#This Row],[spawner_sku]])-FIND("/",Table35[[#This Row],[spawner_sku]])),Table1[Entity Prefab],0)),10,1,1,"Entities"))</f>
        <v>25</v>
      </c>
      <c r="CF45" s="74">
        <f ca="1">ROUND((Table35[[#This Row],[XP]]*Table35[[#This Row],[entity_spawned (AVG)]])*(Table35[[#This Row],[activating_chance]]/100),0)</f>
        <v>125</v>
      </c>
      <c r="CG45" s="144" t="str">
        <f ca="1">INDIRECT(ADDRESS(11+(MATCH(RIGHT(Table35[[#This Row],[spawner_sku]],LEN(Table35[[#This Row],[spawner_sku]])-FIND("/",Table35[[#This Row],[spawner_sku]])),Table28[Entity Prefab],0)),24,1,1,"Entities"))</f>
        <v>no</v>
      </c>
      <c r="CH45">
        <v>5</v>
      </c>
      <c r="CI45">
        <v>5</v>
      </c>
      <c r="CJ45" s="71" t="b">
        <v>1</v>
      </c>
      <c r="CL45" t="s">
        <v>215</v>
      </c>
      <c r="CM45">
        <v>1.5</v>
      </c>
      <c r="CN45">
        <v>170</v>
      </c>
      <c r="CO45">
        <v>30</v>
      </c>
      <c r="CP45" s="74">
        <f ca="1">INDIRECT(ADDRESS(11+(MATCH(RIGHT(Table11[[#This Row],[spawner_sku]],LEN(Table11[[#This Row],[spawner_sku]])-FIND("/",Table11[[#This Row],[spawner_sku]])),Table1[Entity Prefab],0)),10,1,1,"Entities"))</f>
        <v>25</v>
      </c>
      <c r="CQ45">
        <f ca="1">ROUND((Table11[[#This Row],[XP]]*Table11[[#This Row],[entity_spawned (AVG)]])*(Table11[[#This Row],[activating_chance]]/100),0)</f>
        <v>11</v>
      </c>
      <c r="CR45" s="144" t="str">
        <f ca="1">INDIRECT(ADDRESS(11+(MATCH(RIGHT(Table11[[#This Row],[spawner_sku]],LEN(Table11[[#This Row],[spawner_sku]])-FIND("/",Table11[[#This Row],[spawner_sku]])),Table28[Entity Prefab],0)),25,1,1,"Entities"))</f>
        <v>no</v>
      </c>
      <c r="CS45" s="71">
        <v>1</v>
      </c>
      <c r="CT45" s="71">
        <v>2</v>
      </c>
      <c r="CU45" s="71" t="b">
        <v>0</v>
      </c>
      <c r="CW45" t="s">
        <v>215</v>
      </c>
      <c r="CX45">
        <v>9</v>
      </c>
      <c r="CY45">
        <v>180</v>
      </c>
      <c r="CZ45">
        <v>80</v>
      </c>
      <c r="DA45" s="74">
        <f ca="1">INDIRECT(ADDRESS(11+(MATCH(RIGHT(Table12[[#This Row],[spawner_sku]],LEN(Table12[[#This Row],[spawner_sku]])-FIND("/",Table12[[#This Row],[spawner_sku]])),Table1[Entity Prefab],0)),10,1,1,"Entities"))</f>
        <v>25</v>
      </c>
      <c r="DB45" s="74">
        <f ca="1">ROUND((Table12[[#This Row],[XP]]*Table12[[#This Row],[entity_spawned (AVG)]])*(Table12[[#This Row],[activating_chance]]/100),0)</f>
        <v>180</v>
      </c>
      <c r="DC45" s="144" t="str">
        <f ca="1">INDIRECT(ADDRESS(11+(MATCH(RIGHT(Table12[[#This Row],[spawner_sku]],LEN(Table12[[#This Row],[spawner_sku]])-FIND("/",Table12[[#This Row],[spawner_sku]])),Table28[Entity Prefab],0)),25,1,1,"Entities"))</f>
        <v>no</v>
      </c>
      <c r="DD45" s="71">
        <v>8</v>
      </c>
      <c r="DE45" s="71">
        <v>10</v>
      </c>
      <c r="DF45" s="71" t="b">
        <v>1</v>
      </c>
      <c r="DH45" t="s">
        <v>214</v>
      </c>
      <c r="DI45">
        <v>5.5</v>
      </c>
      <c r="DJ45">
        <v>280</v>
      </c>
      <c r="DK45">
        <v>100</v>
      </c>
      <c r="DL45" s="74">
        <f ca="1">INDIRECT(ADDRESS(11+(MATCH(RIGHT(Table13[[#This Row],[spawner_sku]],LEN(Table13[[#This Row],[spawner_sku]])-FIND("/",Table13[[#This Row],[spawner_sku]])),Table1[Entity Prefab],0)),10,1,1,"Entities"))</f>
        <v>25</v>
      </c>
      <c r="DM45" s="74">
        <f ca="1">ROUND((Table13[[#This Row],[XP]]*Table13[[#This Row],[entity_spawned (AVG)]])*(Table13[[#This Row],[activating_chance]]/100),0)</f>
        <v>138</v>
      </c>
      <c r="DN45" s="144" t="str">
        <f ca="1">INDIRECT(ADDRESS(11+(MATCH(RIGHT(Table13[[#This Row],[spawner_sku]],LEN(Table13[[#This Row],[spawner_sku]])-FIND("/",Table13[[#This Row],[spawner_sku]])),Table28[Entity Prefab],0)),25,1,1,"Entities"))</f>
        <v>no</v>
      </c>
      <c r="DO45" s="71">
        <v>5</v>
      </c>
      <c r="DP45" s="71">
        <v>6</v>
      </c>
      <c r="DQ45" s="71" t="b">
        <v>1</v>
      </c>
      <c r="DS45" t="s">
        <v>214</v>
      </c>
      <c r="DT45">
        <v>2.5</v>
      </c>
      <c r="DU45">
        <v>180</v>
      </c>
      <c r="DV45">
        <v>100</v>
      </c>
      <c r="DW45" s="74">
        <f ca="1">INDIRECT(ADDRESS(11+(MATCH(RIGHT(Table14[[#This Row],[spawner_sku]],LEN(Table14[[#This Row],[spawner_sku]])-FIND("/",Table14[[#This Row],[spawner_sku]])),Table1[Entity Prefab],0)),10,1,1,"Entities"))</f>
        <v>25</v>
      </c>
      <c r="DX45" s="74">
        <f ca="1">ROUND((Table14[[#This Row],[XP]]*Table14[[#This Row],[entity_spawned (AVG)]])*(Table14[[#This Row],[activating_chance]]/100),0)</f>
        <v>63</v>
      </c>
      <c r="DY45" s="144" t="str">
        <f ca="1">INDIRECT(ADDRESS(11+(MATCH(RIGHT(Table14[[#This Row],[spawner_sku]],LEN(Table14[[#This Row],[spawner_sku]])-FIND("/",Table14[[#This Row],[spawner_sku]])),Table28[Entity Prefab],0)),25,1,1,"Entities"))</f>
        <v>no</v>
      </c>
      <c r="DZ45" s="71">
        <v>2</v>
      </c>
      <c r="EA45" s="71">
        <v>3</v>
      </c>
      <c r="EB45" s="71" t="b">
        <v>0</v>
      </c>
      <c r="EC45" s="71"/>
      <c r="ED45" s="147" t="s">
        <v>570</v>
      </c>
      <c r="EE45" s="71">
        <v>1</v>
      </c>
      <c r="EF45" s="71">
        <v>120</v>
      </c>
      <c r="EG45" s="71">
        <v>100</v>
      </c>
      <c r="EH45" s="71">
        <f ca="1">INDIRECT(ADDRESS(11+(MATCH(RIGHT(Table36[[#This Row],[spawner_sku]],LEN(Table36[[#This Row],[spawner_sku]])-FIND("/",Table36[[#This Row],[spawner_sku]])),Table1[Entity Prefab],0)),10,1,1,"Entities"))</f>
        <v>50</v>
      </c>
      <c r="EI45" s="71">
        <f ca="1">ROUND((Table36[[#This Row],[XP]]*Table36[[#This Row],[entity_spawned (AVG)]])*(Table36[[#This Row],[activating_chance]]/100),0)</f>
        <v>50</v>
      </c>
      <c r="EJ45" s="71" t="str">
        <f ca="1">INDIRECT(ADDRESS(11+(MATCH(RIGHT(Table36[[#This Row],[spawner_sku]],LEN(Table36[[#This Row],[spawner_sku]])-FIND("/",Table36[[#This Row],[spawner_sku]])),Table28[Entity Prefab],0)),25,1,1,"Entities"))</f>
        <v>no</v>
      </c>
      <c r="EK45" s="71">
        <v>1</v>
      </c>
      <c r="EL45" s="71">
        <v>1</v>
      </c>
      <c r="EM45" s="71" t="b">
        <v>0</v>
      </c>
      <c r="EO45" t="s">
        <v>214</v>
      </c>
      <c r="EP45">
        <v>3</v>
      </c>
      <c r="EQ45">
        <v>140</v>
      </c>
      <c r="ER45">
        <v>100</v>
      </c>
      <c r="ES45" s="74">
        <f ca="1">INDIRECT(ADDRESS(11+(MATCH(RIGHT(Table18[[#This Row],[spawner_sku]],LEN(Table18[[#This Row],[spawner_sku]])-FIND("/",Table18[[#This Row],[spawner_sku]])),Table1[Entity Prefab],0)),10,1,1,"Entities"))</f>
        <v>25</v>
      </c>
      <c r="ET45" s="74">
        <f ca="1">ROUND((Table18[[#This Row],[XP]]*Table18[[#This Row],[entity_spawned (AVG)]])*(Table18[[#This Row],[activating_chance]]/100),0)</f>
        <v>75</v>
      </c>
      <c r="EU45" s="74" t="str">
        <f ca="1">INDIRECT(ADDRESS(11+(MATCH(RIGHT(Table18[[#This Row],[spawner_sku]],LEN(Table18[[#This Row],[spawner_sku]])-FIND("/",Table18[[#This Row],[spawner_sku]])),Table28[Entity Prefab],0)),26,1,1,"Entities"))</f>
        <v>no</v>
      </c>
      <c r="EV45">
        <v>2</v>
      </c>
      <c r="EW45">
        <v>4</v>
      </c>
      <c r="EX45" t="b">
        <v>0</v>
      </c>
      <c r="EZ45" t="s">
        <v>214</v>
      </c>
      <c r="FA45">
        <v>12</v>
      </c>
      <c r="FB45">
        <v>180</v>
      </c>
      <c r="FC45">
        <v>100</v>
      </c>
      <c r="FD45" s="74">
        <f ca="1">INDIRECT(ADDRESS(11+(MATCH(RIGHT(Table1820[[#This Row],[spawner_sku]],LEN(Table1820[[#This Row],[spawner_sku]])-FIND("/",Table1820[[#This Row],[spawner_sku]])),Table1[Entity Prefab],0)),10,1,1,"Entities"))</f>
        <v>25</v>
      </c>
      <c r="FE45" s="74">
        <f ca="1">ROUND((Table1820[[#This Row],[XP]]*Table1820[[#This Row],[entity_spawned (AVG)]])*(Table1820[[#This Row],[activating_chance]]/100),0)</f>
        <v>300</v>
      </c>
      <c r="FF45" s="74" t="str">
        <f ca="1">INDIRECT(ADDRESS(11+(MATCH(RIGHT(Table1820[[#This Row],[spawner_sku]],LEN(Table1820[[#This Row],[spawner_sku]])-FIND("/",Table1820[[#This Row],[spawner_sku]])),Table28[Entity Prefab],0)),26,1,1,"Entities"))</f>
        <v>no</v>
      </c>
      <c r="FG45">
        <v>10</v>
      </c>
      <c r="FH45">
        <v>14</v>
      </c>
      <c r="FI45" t="b">
        <v>1</v>
      </c>
      <c r="FK45" t="s">
        <v>464</v>
      </c>
      <c r="FL45">
        <v>1</v>
      </c>
      <c r="FM45">
        <v>110</v>
      </c>
      <c r="FN45">
        <v>100</v>
      </c>
      <c r="FO45">
        <f ca="1">INDIRECT(ADDRESS(11+(MATCH(RIGHT(Table182023[[#This Row],[spawner_sku]],LEN(Table182023[[#This Row],[spawner_sku]])-FIND("/",Table182023[[#This Row],[spawner_sku]])),Table1[Entity Prefab],0)),10,1,1,"Entities"))</f>
        <v>28</v>
      </c>
      <c r="FP45">
        <f ca="1">ROUND((Table182023[[#This Row],[XP]]*Table182023[[#This Row],[entity_spawned (AVG)]])*(Table182023[[#This Row],[activating_chance]]/100),0)</f>
        <v>28</v>
      </c>
      <c r="FQ45" t="str">
        <f ca="1">INDIRECT(ADDRESS(11+(MATCH(RIGHT(Table182023[[#This Row],[spawner_sku]],LEN(Table182023[[#This Row],[spawner_sku]])-FIND("/",Table182023[[#This Row],[spawner_sku]])),Table28[Entity Prefab],0)),26,1,1,"Entities"))</f>
        <v>no</v>
      </c>
      <c r="FR45">
        <v>1</v>
      </c>
      <c r="FS45">
        <v>1</v>
      </c>
      <c r="FT45" t="b">
        <v>0</v>
      </c>
      <c r="FV45" t="s">
        <v>493</v>
      </c>
      <c r="FW45">
        <v>2.5</v>
      </c>
      <c r="FX45">
        <v>90</v>
      </c>
      <c r="FY45">
        <v>100</v>
      </c>
      <c r="FZ45" s="74">
        <f ca="1">INDIRECT(ADDRESS(11+(MATCH(RIGHT(Table18202324[[#This Row],[spawner_sku]],LEN(Table18202324[[#This Row],[spawner_sku]])-FIND("/",Table18202324[[#This Row],[spawner_sku]])),Table1[Entity Prefab],0)),10,1,1,"Entities"))</f>
        <v>35</v>
      </c>
      <c r="GA45" s="74">
        <f ca="1">ROUND((Table18202324[[#This Row],[XP]]*Table18202324[[#This Row],[entity_spawned (AVG)]])*(Table18202324[[#This Row],[activating_chance]]/100),0)</f>
        <v>88</v>
      </c>
      <c r="GB45" s="74" t="str">
        <f ca="1">INDIRECT(ADDRESS(11+(MATCH(RIGHT(Table18202324[[#This Row],[spawner_sku]],LEN(Table18202324[[#This Row],[spawner_sku]])-FIND("/",Table18202324[[#This Row],[spawner_sku]])),Table28[Entity Prefab],0)),26,1,1,"Entities"))</f>
        <v>no</v>
      </c>
      <c r="GC45">
        <v>2</v>
      </c>
      <c r="GD45">
        <v>3</v>
      </c>
      <c r="GE45" t="b">
        <v>0</v>
      </c>
      <c r="GG45" t="s">
        <v>3818</v>
      </c>
      <c r="GH45">
        <v>1</v>
      </c>
      <c r="GI45">
        <v>240</v>
      </c>
      <c r="GJ45">
        <v>100</v>
      </c>
      <c r="GK45">
        <f ca="1">INDIRECT(ADDRESS(11+(MATCH(RIGHT(Table37[[#This Row],[spawner_sku]],LEN(Table37[[#This Row],[spawner_sku]])-FIND("/",Table37[[#This Row],[spawner_sku]])),Table1[Entity Prefab],0)),10,1,1,"Entities"))</f>
        <v>10</v>
      </c>
      <c r="GL45">
        <f ca="1">ROUND((Table37[[#This Row],[XP]]*Table37[[#This Row],[entity_spawned (AVG)]])*(Table37[[#This Row],[activating_chance]]/100),0)</f>
        <v>10</v>
      </c>
      <c r="GM45" t="str">
        <f ca="1">INDIRECT(ADDRESS(11+(MATCH(RIGHT(Table37[[#This Row],[spawner_sku]],LEN(Table37[[#This Row],[spawner_sku]])-FIND("/",Table37[[#This Row],[spawner_sku]])),Table28[Entity Prefab],0)),26,1,1,"Entities"))</f>
        <v>no</v>
      </c>
      <c r="GN45">
        <v>1</v>
      </c>
      <c r="GO45">
        <v>1</v>
      </c>
      <c r="GP45" t="b">
        <v>0</v>
      </c>
    </row>
    <row r="46" spans="2:198" x14ac:dyDescent="0.25">
      <c r="B46" s="72" t="s">
        <v>215</v>
      </c>
      <c r="C46">
        <v>5.5</v>
      </c>
      <c r="D46">
        <v>160</v>
      </c>
      <c r="E46">
        <v>30</v>
      </c>
      <c r="F46" s="74">
        <f ca="1">INDIRECT(ADDRESS(11+(MATCH(RIGHT(Table245[[#This Row],[spawner_sku]],LEN(Table245[[#This Row],[spawner_sku]])-FIND("/",Table245[[#This Row],[spawner_sku]])),Table1[Entity Prefab],0)),10,1,1,"Entities"))</f>
        <v>25</v>
      </c>
      <c r="G46" s="74">
        <f ca="1">ROUND((Table245[[#This Row],[XP]]*Table245[[#This Row],[entity_spawned (AVG)]])*(Table245[[#This Row],[activating_chance]]/100),0)</f>
        <v>41</v>
      </c>
      <c r="H46" s="71" t="str">
        <f ca="1">INDIRECT(ADDRESS(11+(MATCH(RIGHT(Table245[[#This Row],[spawner_sku]],LEN(Table245[[#This Row],[spawner_sku]])-FIND("/",Table245[[#This Row],[spawner_sku]])),Table28[Entity Prefab],0)),24,1,1,"Entities"))</f>
        <v>no</v>
      </c>
      <c r="I46" s="71">
        <v>5</v>
      </c>
      <c r="J46" s="71">
        <v>6</v>
      </c>
      <c r="K46" s="71" t="b">
        <v>1</v>
      </c>
      <c r="M46" t="s">
        <v>215</v>
      </c>
      <c r="N46">
        <v>5.5</v>
      </c>
      <c r="O46">
        <v>200</v>
      </c>
      <c r="P46">
        <v>60</v>
      </c>
      <c r="Q46" s="74">
        <f ca="1">INDIRECT(ADDRESS(11+(MATCH(RIGHT(Table3[[#This Row],[spawner_sku]],LEN(Table3[[#This Row],[spawner_sku]])-FIND("/",Table3[[#This Row],[spawner_sku]])),Table1[Entity Prefab],0)),10,1,1,"Entities"))</f>
        <v>25</v>
      </c>
      <c r="R46" s="74">
        <f ca="1">ROUND((Table3[[#This Row],[XP]]*Table3[[#This Row],[entity_spawned (AVG)]])*(Table3[[#This Row],[activating_chance]]/100),0)</f>
        <v>83</v>
      </c>
      <c r="S46" t="str">
        <f ca="1">INDIRECT(ADDRESS(11+(MATCH(RIGHT(Table3[[#This Row],[spawner_sku]],LEN(Table3[[#This Row],[spawner_sku]])-FIND("/",Table3[[#This Row],[spawner_sku]])),Table28[Entity Prefab],0)),24,1,1,"Entities"))</f>
        <v>no</v>
      </c>
      <c r="T46">
        <v>5</v>
      </c>
      <c r="U46">
        <v>6</v>
      </c>
      <c r="V46" t="b">
        <v>1</v>
      </c>
      <c r="W46" s="71"/>
      <c r="X46" t="s">
        <v>369</v>
      </c>
      <c r="Y46">
        <v>1</v>
      </c>
      <c r="Z46">
        <v>180</v>
      </c>
      <c r="AA46">
        <v>100</v>
      </c>
      <c r="AB46" s="74">
        <f ca="1">INDIRECT(ADDRESS(11+(MATCH(RIGHT(Table39[[#This Row],[spawner_sku]],LEN(Table39[[#This Row],[spawner_sku]])-FIND("/",Table39[[#This Row],[spawner_sku]])),Table1[Entity Prefab],0)),10,1,1,"Entities"))</f>
        <v>75</v>
      </c>
      <c r="AC46" s="74">
        <f ca="1">ROUND((Table39[[#This Row],[XP]]*Table39[[#This Row],[entity_spawned (AVG)]])*(Table39[[#This Row],[activating_chance]]/100),0)</f>
        <v>75</v>
      </c>
      <c r="AD46" t="str">
        <f ca="1">INDIRECT(ADDRESS(11+(MATCH(RIGHT(Table39[[#This Row],[spawner_sku]],LEN(Table39[[#This Row],[spawner_sku]])-FIND("/",Table39[[#This Row],[spawner_sku]])),Table28[Entity Prefab],0)),24,1,1,"Entities"))</f>
        <v>yes</v>
      </c>
      <c r="AE46">
        <v>1</v>
      </c>
      <c r="AF46">
        <v>1</v>
      </c>
      <c r="AG46" t="b">
        <v>0</v>
      </c>
      <c r="AI46" t="s">
        <v>215</v>
      </c>
      <c r="AJ46">
        <v>7.5</v>
      </c>
      <c r="AK46">
        <v>160</v>
      </c>
      <c r="AL46">
        <v>100</v>
      </c>
      <c r="AM46" s="74">
        <f ca="1">INDIRECT(ADDRESS(11+(MATCH(RIGHT(Table2[[#This Row],[spawner_sku]],LEN(Table2[[#This Row],[spawner_sku]])-FIND("/",Table2[[#This Row],[spawner_sku]])),Table1[Entity Prefab],0)),10,1,1,"Entities"))</f>
        <v>25</v>
      </c>
      <c r="AN46" s="74">
        <f ca="1">ROUND((Table2[[#This Row],[XP]]*Table2[[#This Row],[entity_spawned (AVG)]])*(Table2[[#This Row],[activating_chance]]/100),0)</f>
        <v>188</v>
      </c>
      <c r="AO46" s="71" t="str">
        <f ca="1">INDIRECT(ADDRESS(11+(MATCH(RIGHT(Table2[[#This Row],[spawner_sku]],LEN(Table2[[#This Row],[spawner_sku]])-FIND("/",Table2[[#This Row],[spawner_sku]])),Table28[Entity Prefab],0)),24,1,1,"Entities"))</f>
        <v>no</v>
      </c>
      <c r="AP46" s="71">
        <v>5</v>
      </c>
      <c r="AQ46" s="71">
        <v>10</v>
      </c>
      <c r="AR46" s="71" t="b">
        <v>1</v>
      </c>
      <c r="AT46" t="s">
        <v>376</v>
      </c>
      <c r="AU46">
        <v>6</v>
      </c>
      <c r="AV46">
        <v>200</v>
      </c>
      <c r="AW46">
        <v>100</v>
      </c>
      <c r="AX46" s="74">
        <f ca="1">INDIRECT(ADDRESS(11+(MATCH(RIGHT(Table6[[#This Row],[spawner_sku]],LEN(Table6[[#This Row],[spawner_sku]])-FIND("/",Table6[[#This Row],[spawner_sku]])),Table1[Entity Prefab],0)),10,1,1,"Entities"))</f>
        <v>25</v>
      </c>
      <c r="AY46" s="74">
        <f ca="1">ROUND((Table6[[#This Row],[XP]]*Table6[[#This Row],[entity_spawned (AVG)]])*(Table6[[#This Row],[activating_chance]]/100),0)</f>
        <v>150</v>
      </c>
      <c r="AZ46" s="144" t="str">
        <f ca="1">INDIRECT(ADDRESS(11+(MATCH(RIGHT(Table6[[#This Row],[spawner_sku]],LEN(Table6[[#This Row],[spawner_sku]])-FIND("/",Table6[[#This Row],[spawner_sku]])),Table28[Entity Prefab],0)),24,1,1,"Entities"))</f>
        <v>no</v>
      </c>
      <c r="BA46">
        <v>5</v>
      </c>
      <c r="BB46">
        <v>7</v>
      </c>
      <c r="BC46" t="b">
        <v>1</v>
      </c>
      <c r="BE46" t="s">
        <v>214</v>
      </c>
      <c r="BF46">
        <v>6.5</v>
      </c>
      <c r="BG46">
        <v>120</v>
      </c>
      <c r="BH46">
        <v>100</v>
      </c>
      <c r="BI46" s="74">
        <f ca="1">INDIRECT(ADDRESS(11+(MATCH(RIGHT(Table610[[#This Row],[spawner_sku]],LEN(Table610[[#This Row],[spawner_sku]])-FIND("/",Table610[[#This Row],[spawner_sku]])),Table1[Entity Prefab],0)),10,1,1,"Entities"))</f>
        <v>25</v>
      </c>
      <c r="BJ46" s="74">
        <f ca="1">ROUND((Table610[[#This Row],[XP]]*Table610[[#This Row],[entity_spawned (AVG)]])*(Table610[[#This Row],[activating_chance]]/100),0)</f>
        <v>163</v>
      </c>
      <c r="BK46" s="71" t="str">
        <f ca="1">INDIRECT(ADDRESS(11+(MATCH(RIGHT(Table610[[#This Row],[spawner_sku]],LEN(Table610[[#This Row],[spawner_sku]])-FIND("/",Table610[[#This Row],[spawner_sku]])),Table28[Entity Prefab],0)),24,1,1,"Entities"))</f>
        <v>no</v>
      </c>
      <c r="BL46">
        <v>5</v>
      </c>
      <c r="BM46">
        <v>8</v>
      </c>
      <c r="BN46" t="b">
        <v>1</v>
      </c>
      <c r="BP46" t="s">
        <v>215</v>
      </c>
      <c r="BQ46">
        <v>5</v>
      </c>
      <c r="BR46">
        <v>220</v>
      </c>
      <c r="BS46">
        <v>100</v>
      </c>
      <c r="BT46" s="74">
        <f ca="1">INDIRECT(ADDRESS(11+(MATCH(RIGHT(Table61011[[#This Row],[spawner_sku]],LEN(Table61011[[#This Row],[spawner_sku]])-FIND("/",Table61011[[#This Row],[spawner_sku]])),Table1[Entity Prefab],0)),10,1,1,"Entities"))</f>
        <v>25</v>
      </c>
      <c r="BU46" s="74">
        <f ca="1">ROUND((Table61011[[#This Row],[XP]]*Table61011[[#This Row],[entity_spawned (AVG)]])*(Table61011[[#This Row],[activating_chance]]/100),0)</f>
        <v>125</v>
      </c>
      <c r="BV46" s="71" t="str">
        <f ca="1">INDIRECT(ADDRESS(11+(MATCH(RIGHT(Table61011[[#This Row],[spawner_sku]],LEN(Table61011[[#This Row],[spawner_sku]])-FIND("/",Table61011[[#This Row],[spawner_sku]])),Table28[Entity Prefab],0)),24,1,1,"Entities"))</f>
        <v>no</v>
      </c>
      <c r="BW46" s="71">
        <v>5</v>
      </c>
      <c r="BX46" s="71">
        <v>5</v>
      </c>
      <c r="BY46" s="71" t="b">
        <v>1</v>
      </c>
      <c r="BZ46" s="71"/>
      <c r="CA46" s="147" t="s">
        <v>232</v>
      </c>
      <c r="CB46">
        <v>10</v>
      </c>
      <c r="CC46">
        <v>90</v>
      </c>
      <c r="CD46">
        <v>100</v>
      </c>
      <c r="CE46" s="74">
        <f ca="1">INDIRECT(ADDRESS(11+(MATCH(RIGHT(Table35[[#This Row],[spawner_sku]],LEN(Table35[[#This Row],[spawner_sku]])-FIND("/",Table35[[#This Row],[spawner_sku]])),Table1[Entity Prefab],0)),10,1,1,"Entities"))</f>
        <v>25</v>
      </c>
      <c r="CF46" s="74">
        <f ca="1">ROUND((Table35[[#This Row],[XP]]*Table35[[#This Row],[entity_spawned (AVG)]])*(Table35[[#This Row],[activating_chance]]/100),0)</f>
        <v>250</v>
      </c>
      <c r="CG46" s="144" t="str">
        <f ca="1">INDIRECT(ADDRESS(11+(MATCH(RIGHT(Table35[[#This Row],[spawner_sku]],LEN(Table35[[#This Row],[spawner_sku]])-FIND("/",Table35[[#This Row],[spawner_sku]])),Table28[Entity Prefab],0)),24,1,1,"Entities"))</f>
        <v>no</v>
      </c>
      <c r="CH46">
        <v>10</v>
      </c>
      <c r="CI46">
        <v>10</v>
      </c>
      <c r="CJ46" s="71" t="b">
        <v>1</v>
      </c>
      <c r="CL46" t="s">
        <v>215</v>
      </c>
      <c r="CM46">
        <v>3.5</v>
      </c>
      <c r="CN46">
        <v>180</v>
      </c>
      <c r="CO46">
        <v>100</v>
      </c>
      <c r="CP46" s="74">
        <f ca="1">INDIRECT(ADDRESS(11+(MATCH(RIGHT(Table11[[#This Row],[spawner_sku]],LEN(Table11[[#This Row],[spawner_sku]])-FIND("/",Table11[[#This Row],[spawner_sku]])),Table1[Entity Prefab],0)),10,1,1,"Entities"))</f>
        <v>25</v>
      </c>
      <c r="CQ46">
        <f ca="1">ROUND((Table11[[#This Row],[XP]]*Table11[[#This Row],[entity_spawned (AVG)]])*(Table11[[#This Row],[activating_chance]]/100),0)</f>
        <v>88</v>
      </c>
      <c r="CR46" s="144" t="str">
        <f ca="1">INDIRECT(ADDRESS(11+(MATCH(RIGHT(Table11[[#This Row],[spawner_sku]],LEN(Table11[[#This Row],[spawner_sku]])-FIND("/",Table11[[#This Row],[spawner_sku]])),Table28[Entity Prefab],0)),25,1,1,"Entities"))</f>
        <v>no</v>
      </c>
      <c r="CS46" s="71">
        <v>3</v>
      </c>
      <c r="CT46" s="71">
        <v>4</v>
      </c>
      <c r="CU46" s="71" t="b">
        <v>0</v>
      </c>
      <c r="CW46" t="s">
        <v>215</v>
      </c>
      <c r="CX46">
        <v>2.5</v>
      </c>
      <c r="CY46">
        <v>180</v>
      </c>
      <c r="CZ46">
        <v>80</v>
      </c>
      <c r="DA46" s="74">
        <f ca="1">INDIRECT(ADDRESS(11+(MATCH(RIGHT(Table12[[#This Row],[spawner_sku]],LEN(Table12[[#This Row],[spawner_sku]])-FIND("/",Table12[[#This Row],[spawner_sku]])),Table1[Entity Prefab],0)),10,1,1,"Entities"))</f>
        <v>25</v>
      </c>
      <c r="DB46" s="74">
        <f ca="1">ROUND((Table12[[#This Row],[XP]]*Table12[[#This Row],[entity_spawned (AVG)]])*(Table12[[#This Row],[activating_chance]]/100),0)</f>
        <v>50</v>
      </c>
      <c r="DC46" s="144" t="str">
        <f ca="1">INDIRECT(ADDRESS(11+(MATCH(RIGHT(Table12[[#This Row],[spawner_sku]],LEN(Table12[[#This Row],[spawner_sku]])-FIND("/",Table12[[#This Row],[spawner_sku]])),Table28[Entity Prefab],0)),25,1,1,"Entities"))</f>
        <v>no</v>
      </c>
      <c r="DD46" s="71">
        <v>2</v>
      </c>
      <c r="DE46" s="71">
        <v>3</v>
      </c>
      <c r="DF46" s="71" t="b">
        <v>0</v>
      </c>
      <c r="DH46" t="s">
        <v>425</v>
      </c>
      <c r="DI46">
        <v>8</v>
      </c>
      <c r="DJ46">
        <v>5000</v>
      </c>
      <c r="DK46">
        <v>100</v>
      </c>
      <c r="DL46" s="74">
        <f ca="1">INDIRECT(ADDRESS(11+(MATCH(RIGHT(Table13[[#This Row],[spawner_sku]],LEN(Table13[[#This Row],[spawner_sku]])-FIND("/",Table13[[#This Row],[spawner_sku]])),Table1[Entity Prefab],0)),10,1,1,"Entities"))</f>
        <v>25</v>
      </c>
      <c r="DM46" s="74">
        <f ca="1">ROUND((Table13[[#This Row],[XP]]*Table13[[#This Row],[entity_spawned (AVG)]])*(Table13[[#This Row],[activating_chance]]/100),0)</f>
        <v>200</v>
      </c>
      <c r="DN46" s="144" t="str">
        <f ca="1">INDIRECT(ADDRESS(11+(MATCH(RIGHT(Table13[[#This Row],[spawner_sku]],LEN(Table13[[#This Row],[spawner_sku]])-FIND("/",Table13[[#This Row],[spawner_sku]])),Table28[Entity Prefab],0)),25,1,1,"Entities"))</f>
        <v>no</v>
      </c>
      <c r="DO46" s="71">
        <v>6</v>
      </c>
      <c r="DP46" s="71">
        <v>10</v>
      </c>
      <c r="DQ46" s="71" t="b">
        <v>1</v>
      </c>
      <c r="DS46" t="s">
        <v>214</v>
      </c>
      <c r="DT46">
        <v>5.5</v>
      </c>
      <c r="DU46">
        <v>200</v>
      </c>
      <c r="DV46">
        <v>100</v>
      </c>
      <c r="DW46" s="74">
        <f ca="1">INDIRECT(ADDRESS(11+(MATCH(RIGHT(Table14[[#This Row],[spawner_sku]],LEN(Table14[[#This Row],[spawner_sku]])-FIND("/",Table14[[#This Row],[spawner_sku]])),Table1[Entity Prefab],0)),10,1,1,"Entities"))</f>
        <v>25</v>
      </c>
      <c r="DX46" s="74">
        <f ca="1">ROUND((Table14[[#This Row],[XP]]*Table14[[#This Row],[entity_spawned (AVG)]])*(Table14[[#This Row],[activating_chance]]/100),0)</f>
        <v>138</v>
      </c>
      <c r="DY46" s="144" t="str">
        <f ca="1">INDIRECT(ADDRESS(11+(MATCH(RIGHT(Table14[[#This Row],[spawner_sku]],LEN(Table14[[#This Row],[spawner_sku]])-FIND("/",Table14[[#This Row],[spawner_sku]])),Table28[Entity Prefab],0)),25,1,1,"Entities"))</f>
        <v>no</v>
      </c>
      <c r="DZ46" s="71">
        <v>5</v>
      </c>
      <c r="EA46" s="71">
        <v>6</v>
      </c>
      <c r="EB46" s="71" t="b">
        <v>1</v>
      </c>
      <c r="EC46" s="71"/>
      <c r="ED46" s="147" t="s">
        <v>570</v>
      </c>
      <c r="EE46" s="71">
        <v>1</v>
      </c>
      <c r="EF46" s="71">
        <v>120</v>
      </c>
      <c r="EG46" s="71">
        <v>100</v>
      </c>
      <c r="EH46" s="71">
        <f ca="1">INDIRECT(ADDRESS(11+(MATCH(RIGHT(Table36[[#This Row],[spawner_sku]],LEN(Table36[[#This Row],[spawner_sku]])-FIND("/",Table36[[#This Row],[spawner_sku]])),Table1[Entity Prefab],0)),10,1,1,"Entities"))</f>
        <v>50</v>
      </c>
      <c r="EI46" s="71">
        <f ca="1">ROUND((Table36[[#This Row],[XP]]*Table36[[#This Row],[entity_spawned (AVG)]])*(Table36[[#This Row],[activating_chance]]/100),0)</f>
        <v>50</v>
      </c>
      <c r="EJ46" s="71" t="str">
        <f ca="1">INDIRECT(ADDRESS(11+(MATCH(RIGHT(Table36[[#This Row],[spawner_sku]],LEN(Table36[[#This Row],[spawner_sku]])-FIND("/",Table36[[#This Row],[spawner_sku]])),Table28[Entity Prefab],0)),25,1,1,"Entities"))</f>
        <v>no</v>
      </c>
      <c r="EK46" s="71">
        <v>1</v>
      </c>
      <c r="EL46" s="71">
        <v>1</v>
      </c>
      <c r="EM46" s="71" t="b">
        <v>0</v>
      </c>
      <c r="EO46" t="s">
        <v>214</v>
      </c>
      <c r="EP46">
        <v>7</v>
      </c>
      <c r="EQ46">
        <v>160</v>
      </c>
      <c r="ER46">
        <v>30</v>
      </c>
      <c r="ES46" s="74">
        <f ca="1">INDIRECT(ADDRESS(11+(MATCH(RIGHT(Table18[[#This Row],[spawner_sku]],LEN(Table18[[#This Row],[spawner_sku]])-FIND("/",Table18[[#This Row],[spawner_sku]])),Table1[Entity Prefab],0)),10,1,1,"Entities"))</f>
        <v>25</v>
      </c>
      <c r="ET46" s="74">
        <f ca="1">ROUND((Table18[[#This Row],[XP]]*Table18[[#This Row],[entity_spawned (AVG)]])*(Table18[[#This Row],[activating_chance]]/100),0)</f>
        <v>53</v>
      </c>
      <c r="EU46" s="74" t="str">
        <f ca="1">INDIRECT(ADDRESS(11+(MATCH(RIGHT(Table18[[#This Row],[spawner_sku]],LEN(Table18[[#This Row],[spawner_sku]])-FIND("/",Table18[[#This Row],[spawner_sku]])),Table28[Entity Prefab],0)),26,1,1,"Entities"))</f>
        <v>no</v>
      </c>
      <c r="EV46">
        <v>6</v>
      </c>
      <c r="EW46">
        <v>8</v>
      </c>
      <c r="EX46" t="b">
        <v>1</v>
      </c>
      <c r="EZ46" t="s">
        <v>214</v>
      </c>
      <c r="FA46">
        <v>9</v>
      </c>
      <c r="FB46">
        <v>160</v>
      </c>
      <c r="FC46">
        <v>100</v>
      </c>
      <c r="FD46" s="74">
        <f ca="1">INDIRECT(ADDRESS(11+(MATCH(RIGHT(Table1820[[#This Row],[spawner_sku]],LEN(Table1820[[#This Row],[spawner_sku]])-FIND("/",Table1820[[#This Row],[spawner_sku]])),Table1[Entity Prefab],0)),10,1,1,"Entities"))</f>
        <v>25</v>
      </c>
      <c r="FE46" s="74">
        <f ca="1">ROUND((Table1820[[#This Row],[XP]]*Table1820[[#This Row],[entity_spawned (AVG)]])*(Table1820[[#This Row],[activating_chance]]/100),0)</f>
        <v>225</v>
      </c>
      <c r="FF46" s="74" t="str">
        <f ca="1">INDIRECT(ADDRESS(11+(MATCH(RIGHT(Table1820[[#This Row],[spawner_sku]],LEN(Table1820[[#This Row],[spawner_sku]])-FIND("/",Table1820[[#This Row],[spawner_sku]])),Table28[Entity Prefab],0)),26,1,1,"Entities"))</f>
        <v>no</v>
      </c>
      <c r="FG46">
        <v>8</v>
      </c>
      <c r="FH46">
        <v>10</v>
      </c>
      <c r="FI46" t="b">
        <v>1</v>
      </c>
      <c r="FK46" t="s">
        <v>2699</v>
      </c>
      <c r="FL46">
        <v>1</v>
      </c>
      <c r="FM46">
        <v>70</v>
      </c>
      <c r="FN46">
        <v>100</v>
      </c>
      <c r="FO46">
        <f ca="1">INDIRECT(ADDRESS(11+(MATCH(RIGHT(Table182023[[#This Row],[spawner_sku]],LEN(Table182023[[#This Row],[spawner_sku]])-FIND("/",Table182023[[#This Row],[spawner_sku]])),Table1[Entity Prefab],0)),10,1,1,"Entities"))</f>
        <v>100</v>
      </c>
      <c r="FP46">
        <f ca="1">ROUND((Table182023[[#This Row],[XP]]*Table182023[[#This Row],[entity_spawned (AVG)]])*(Table182023[[#This Row],[activating_chance]]/100),0)</f>
        <v>100</v>
      </c>
      <c r="FQ46" t="str">
        <f ca="1">INDIRECT(ADDRESS(11+(MATCH(RIGHT(Table182023[[#This Row],[spawner_sku]],LEN(Table182023[[#This Row],[spawner_sku]])-FIND("/",Table182023[[#This Row],[spawner_sku]])),Table28[Entity Prefab],0)),26,1,1,"Entities"))</f>
        <v>no</v>
      </c>
      <c r="FR46">
        <v>1</v>
      </c>
      <c r="FS46">
        <v>1</v>
      </c>
      <c r="FT46" t="b">
        <v>0</v>
      </c>
      <c r="FV46" t="s">
        <v>493</v>
      </c>
      <c r="FW46">
        <v>2</v>
      </c>
      <c r="FX46">
        <v>90</v>
      </c>
      <c r="FY46">
        <v>100</v>
      </c>
      <c r="FZ46" s="74">
        <f ca="1">INDIRECT(ADDRESS(11+(MATCH(RIGHT(Table18202324[[#This Row],[spawner_sku]],LEN(Table18202324[[#This Row],[spawner_sku]])-FIND("/",Table18202324[[#This Row],[spawner_sku]])),Table1[Entity Prefab],0)),10,1,1,"Entities"))</f>
        <v>35</v>
      </c>
      <c r="GA46" s="74">
        <f ca="1">ROUND((Table18202324[[#This Row],[XP]]*Table18202324[[#This Row],[entity_spawned (AVG)]])*(Table18202324[[#This Row],[activating_chance]]/100),0)</f>
        <v>70</v>
      </c>
      <c r="GB46" s="74" t="str">
        <f ca="1">INDIRECT(ADDRESS(11+(MATCH(RIGHT(Table18202324[[#This Row],[spawner_sku]],LEN(Table18202324[[#This Row],[spawner_sku]])-FIND("/",Table18202324[[#This Row],[spawner_sku]])),Table28[Entity Prefab],0)),26,1,1,"Entities"))</f>
        <v>no</v>
      </c>
      <c r="GC46">
        <v>1</v>
      </c>
      <c r="GD46">
        <v>3</v>
      </c>
      <c r="GE46" t="b">
        <v>0</v>
      </c>
      <c r="GG46" t="s">
        <v>3818</v>
      </c>
      <c r="GH46">
        <v>1</v>
      </c>
      <c r="GI46">
        <v>240</v>
      </c>
      <c r="GJ46">
        <v>100</v>
      </c>
      <c r="GK46">
        <f ca="1">INDIRECT(ADDRESS(11+(MATCH(RIGHT(Table37[[#This Row],[spawner_sku]],LEN(Table37[[#This Row],[spawner_sku]])-FIND("/",Table37[[#This Row],[spawner_sku]])),Table1[Entity Prefab],0)),10,1,1,"Entities"))</f>
        <v>10</v>
      </c>
      <c r="GL46">
        <f ca="1">ROUND((Table37[[#This Row],[XP]]*Table37[[#This Row],[entity_spawned (AVG)]])*(Table37[[#This Row],[activating_chance]]/100),0)</f>
        <v>10</v>
      </c>
      <c r="GM46" t="str">
        <f ca="1">INDIRECT(ADDRESS(11+(MATCH(RIGHT(Table37[[#This Row],[spawner_sku]],LEN(Table37[[#This Row],[spawner_sku]])-FIND("/",Table37[[#This Row],[spawner_sku]])),Table28[Entity Prefab],0)),26,1,1,"Entities"))</f>
        <v>no</v>
      </c>
      <c r="GN46">
        <v>1</v>
      </c>
      <c r="GO46">
        <v>1</v>
      </c>
      <c r="GP46" t="b">
        <v>0</v>
      </c>
    </row>
    <row r="47" spans="2:198" x14ac:dyDescent="0.25">
      <c r="B47" s="72" t="s">
        <v>215</v>
      </c>
      <c r="C47">
        <v>1</v>
      </c>
      <c r="D47">
        <v>75</v>
      </c>
      <c r="E47">
        <v>100</v>
      </c>
      <c r="F47" s="74">
        <f ca="1">INDIRECT(ADDRESS(11+(MATCH(RIGHT(Table245[[#This Row],[spawner_sku]],LEN(Table245[[#This Row],[spawner_sku]])-FIND("/",Table245[[#This Row],[spawner_sku]])),Table1[Entity Prefab],0)),10,1,1,"Entities"))</f>
        <v>25</v>
      </c>
      <c r="G47" s="74">
        <f ca="1">ROUND((Table245[[#This Row],[XP]]*Table245[[#This Row],[entity_spawned (AVG)]])*(Table245[[#This Row],[activating_chance]]/100),0)</f>
        <v>25</v>
      </c>
      <c r="H47" s="71" t="str">
        <f ca="1">INDIRECT(ADDRESS(11+(MATCH(RIGHT(Table245[[#This Row],[spawner_sku]],LEN(Table245[[#This Row],[spawner_sku]])-FIND("/",Table245[[#This Row],[spawner_sku]])),Table28[Entity Prefab],0)),24,1,1,"Entities"))</f>
        <v>no</v>
      </c>
      <c r="I47" s="71">
        <v>1</v>
      </c>
      <c r="J47" s="71">
        <v>1</v>
      </c>
      <c r="K47" s="71" t="b">
        <v>0</v>
      </c>
      <c r="M47" t="s">
        <v>216</v>
      </c>
      <c r="N47">
        <v>6.5</v>
      </c>
      <c r="O47">
        <v>140</v>
      </c>
      <c r="P47">
        <v>100</v>
      </c>
      <c r="Q47" s="74">
        <f ca="1">INDIRECT(ADDRESS(11+(MATCH(RIGHT(Table3[[#This Row],[spawner_sku]],LEN(Table3[[#This Row],[spawner_sku]])-FIND("/",Table3[[#This Row],[spawner_sku]])),Table1[Entity Prefab],0)),10,1,1,"Entities"))</f>
        <v>25</v>
      </c>
      <c r="R47" s="74">
        <f ca="1">ROUND((Table3[[#This Row],[XP]]*Table3[[#This Row],[entity_spawned (AVG)]])*(Table3[[#This Row],[activating_chance]]/100),0)</f>
        <v>163</v>
      </c>
      <c r="S47" t="str">
        <f ca="1">INDIRECT(ADDRESS(11+(MATCH(RIGHT(Table3[[#This Row],[spawner_sku]],LEN(Table3[[#This Row],[spawner_sku]])-FIND("/",Table3[[#This Row],[spawner_sku]])),Table28[Entity Prefab],0)),24,1,1,"Entities"))</f>
        <v>no</v>
      </c>
      <c r="T47">
        <v>5</v>
      </c>
      <c r="U47">
        <v>8</v>
      </c>
      <c r="V47" t="b">
        <v>1</v>
      </c>
      <c r="W47" s="71"/>
      <c r="X47" t="s">
        <v>367</v>
      </c>
      <c r="Y47">
        <v>1</v>
      </c>
      <c r="Z47">
        <v>170</v>
      </c>
      <c r="AA47">
        <v>100</v>
      </c>
      <c r="AB47" s="74">
        <f ca="1">INDIRECT(ADDRESS(11+(MATCH(RIGHT(Table39[[#This Row],[spawner_sku]],LEN(Table39[[#This Row],[spawner_sku]])-FIND("/",Table39[[#This Row],[spawner_sku]])),Table1[Entity Prefab],0)),10,1,1,"Entities"))</f>
        <v>75</v>
      </c>
      <c r="AC47" s="74">
        <f ca="1">ROUND((Table39[[#This Row],[XP]]*Table39[[#This Row],[entity_spawned (AVG)]])*(Table39[[#This Row],[activating_chance]]/100),0)</f>
        <v>75</v>
      </c>
      <c r="AD47" t="str">
        <f ca="1">INDIRECT(ADDRESS(11+(MATCH(RIGHT(Table39[[#This Row],[spawner_sku]],LEN(Table39[[#This Row],[spawner_sku]])-FIND("/",Table39[[#This Row],[spawner_sku]])),Table28[Entity Prefab],0)),24,1,1,"Entities"))</f>
        <v>no</v>
      </c>
      <c r="AE47">
        <v>1</v>
      </c>
      <c r="AF47">
        <v>1</v>
      </c>
      <c r="AG47" t="b">
        <v>0</v>
      </c>
      <c r="AI47" t="s">
        <v>215</v>
      </c>
      <c r="AJ47">
        <v>6</v>
      </c>
      <c r="AK47">
        <v>160</v>
      </c>
      <c r="AL47">
        <v>100</v>
      </c>
      <c r="AM47" s="74">
        <f ca="1">INDIRECT(ADDRESS(11+(MATCH(RIGHT(Table2[[#This Row],[spawner_sku]],LEN(Table2[[#This Row],[spawner_sku]])-FIND("/",Table2[[#This Row],[spawner_sku]])),Table1[Entity Prefab],0)),10,1,1,"Entities"))</f>
        <v>25</v>
      </c>
      <c r="AN47" s="74">
        <f ca="1">ROUND((Table2[[#This Row],[XP]]*Table2[[#This Row],[entity_spawned (AVG)]])*(Table2[[#This Row],[activating_chance]]/100),0)</f>
        <v>150</v>
      </c>
      <c r="AO47" s="71" t="str">
        <f ca="1">INDIRECT(ADDRESS(11+(MATCH(RIGHT(Table2[[#This Row],[spawner_sku]],LEN(Table2[[#This Row],[spawner_sku]])-FIND("/",Table2[[#This Row],[spawner_sku]])),Table28[Entity Prefab],0)),24,1,1,"Entities"))</f>
        <v>no</v>
      </c>
      <c r="AP47" s="71">
        <v>5</v>
      </c>
      <c r="AQ47" s="71">
        <v>7</v>
      </c>
      <c r="AR47" s="71" t="b">
        <v>1</v>
      </c>
      <c r="AT47" t="s">
        <v>376</v>
      </c>
      <c r="AU47">
        <v>3.5</v>
      </c>
      <c r="AV47">
        <v>200</v>
      </c>
      <c r="AW47">
        <v>100</v>
      </c>
      <c r="AX47" s="74">
        <f ca="1">INDIRECT(ADDRESS(11+(MATCH(RIGHT(Table6[[#This Row],[spawner_sku]],LEN(Table6[[#This Row],[spawner_sku]])-FIND("/",Table6[[#This Row],[spawner_sku]])),Table1[Entity Prefab],0)),10,1,1,"Entities"))</f>
        <v>25</v>
      </c>
      <c r="AY47" s="74">
        <f ca="1">ROUND((Table6[[#This Row],[XP]]*Table6[[#This Row],[entity_spawned (AVG)]])*(Table6[[#This Row],[activating_chance]]/100),0)</f>
        <v>88</v>
      </c>
      <c r="AZ47" s="144" t="str">
        <f ca="1">INDIRECT(ADDRESS(11+(MATCH(RIGHT(Table6[[#This Row],[spawner_sku]],LEN(Table6[[#This Row],[spawner_sku]])-FIND("/",Table6[[#This Row],[spawner_sku]])),Table28[Entity Prefab],0)),24,1,1,"Entities"))</f>
        <v>no</v>
      </c>
      <c r="BA47">
        <v>3</v>
      </c>
      <c r="BB47">
        <v>4</v>
      </c>
      <c r="BC47" t="b">
        <v>0</v>
      </c>
      <c r="BE47" t="s">
        <v>214</v>
      </c>
      <c r="BF47">
        <v>8</v>
      </c>
      <c r="BG47">
        <v>120</v>
      </c>
      <c r="BH47">
        <v>100</v>
      </c>
      <c r="BI47" s="74">
        <f ca="1">INDIRECT(ADDRESS(11+(MATCH(RIGHT(Table610[[#This Row],[spawner_sku]],LEN(Table610[[#This Row],[spawner_sku]])-FIND("/",Table610[[#This Row],[spawner_sku]])),Table1[Entity Prefab],0)),10,1,1,"Entities"))</f>
        <v>25</v>
      </c>
      <c r="BJ47" s="74">
        <f ca="1">ROUND((Table610[[#This Row],[XP]]*Table610[[#This Row],[entity_spawned (AVG)]])*(Table610[[#This Row],[activating_chance]]/100),0)</f>
        <v>200</v>
      </c>
      <c r="BK47" s="71" t="str">
        <f ca="1">INDIRECT(ADDRESS(11+(MATCH(RIGHT(Table610[[#This Row],[spawner_sku]],LEN(Table610[[#This Row],[spawner_sku]])-FIND("/",Table610[[#This Row],[spawner_sku]])),Table28[Entity Prefab],0)),24,1,1,"Entities"))</f>
        <v>no</v>
      </c>
      <c r="BL47">
        <v>6</v>
      </c>
      <c r="BM47">
        <v>10</v>
      </c>
      <c r="BN47" t="b">
        <v>1</v>
      </c>
      <c r="BP47" t="s">
        <v>215</v>
      </c>
      <c r="BQ47">
        <v>5</v>
      </c>
      <c r="BR47">
        <v>220</v>
      </c>
      <c r="BS47">
        <v>100</v>
      </c>
      <c r="BT47" s="74">
        <f ca="1">INDIRECT(ADDRESS(11+(MATCH(RIGHT(Table61011[[#This Row],[spawner_sku]],LEN(Table61011[[#This Row],[spawner_sku]])-FIND("/",Table61011[[#This Row],[spawner_sku]])),Table1[Entity Prefab],0)),10,1,1,"Entities"))</f>
        <v>25</v>
      </c>
      <c r="BU47" s="74">
        <f ca="1">ROUND((Table61011[[#This Row],[XP]]*Table61011[[#This Row],[entity_spawned (AVG)]])*(Table61011[[#This Row],[activating_chance]]/100),0)</f>
        <v>125</v>
      </c>
      <c r="BV47" s="71" t="str">
        <f ca="1">INDIRECT(ADDRESS(11+(MATCH(RIGHT(Table61011[[#This Row],[spawner_sku]],LEN(Table61011[[#This Row],[spawner_sku]])-FIND("/",Table61011[[#This Row],[spawner_sku]])),Table28[Entity Prefab],0)),24,1,1,"Entities"))</f>
        <v>no</v>
      </c>
      <c r="BW47" s="71">
        <v>5</v>
      </c>
      <c r="BX47" s="71">
        <v>5</v>
      </c>
      <c r="BY47" s="71" t="b">
        <v>1</v>
      </c>
      <c r="BZ47" s="71"/>
      <c r="CA47" s="147" t="s">
        <v>232</v>
      </c>
      <c r="CB47">
        <v>10</v>
      </c>
      <c r="CC47">
        <v>90</v>
      </c>
      <c r="CD47">
        <v>100</v>
      </c>
      <c r="CE47" s="74">
        <f ca="1">INDIRECT(ADDRESS(11+(MATCH(RIGHT(Table35[[#This Row],[spawner_sku]],LEN(Table35[[#This Row],[spawner_sku]])-FIND("/",Table35[[#This Row],[spawner_sku]])),Table1[Entity Prefab],0)),10,1,1,"Entities"))</f>
        <v>25</v>
      </c>
      <c r="CF47" s="74">
        <f ca="1">ROUND((Table35[[#This Row],[XP]]*Table35[[#This Row],[entity_spawned (AVG)]])*(Table35[[#This Row],[activating_chance]]/100),0)</f>
        <v>250</v>
      </c>
      <c r="CG47" s="144" t="str">
        <f ca="1">INDIRECT(ADDRESS(11+(MATCH(RIGHT(Table35[[#This Row],[spawner_sku]],LEN(Table35[[#This Row],[spawner_sku]])-FIND("/",Table35[[#This Row],[spawner_sku]])),Table28[Entity Prefab],0)),24,1,1,"Entities"))</f>
        <v>no</v>
      </c>
      <c r="CH47">
        <v>10</v>
      </c>
      <c r="CI47">
        <v>10</v>
      </c>
      <c r="CJ47" s="71" t="b">
        <v>1</v>
      </c>
      <c r="CL47" t="s">
        <v>215</v>
      </c>
      <c r="CM47">
        <v>7</v>
      </c>
      <c r="CN47">
        <v>180</v>
      </c>
      <c r="CO47">
        <v>30</v>
      </c>
      <c r="CP47" s="74">
        <f ca="1">INDIRECT(ADDRESS(11+(MATCH(RIGHT(Table11[[#This Row],[spawner_sku]],LEN(Table11[[#This Row],[spawner_sku]])-FIND("/",Table11[[#This Row],[spawner_sku]])),Table1[Entity Prefab],0)),10,1,1,"Entities"))</f>
        <v>25</v>
      </c>
      <c r="CQ47">
        <f ca="1">ROUND((Table11[[#This Row],[XP]]*Table11[[#This Row],[entity_spawned (AVG)]])*(Table11[[#This Row],[activating_chance]]/100),0)</f>
        <v>53</v>
      </c>
      <c r="CR47" s="144" t="str">
        <f ca="1">INDIRECT(ADDRESS(11+(MATCH(RIGHT(Table11[[#This Row],[spawner_sku]],LEN(Table11[[#This Row],[spawner_sku]])-FIND("/",Table11[[#This Row],[spawner_sku]])),Table28[Entity Prefab],0)),25,1,1,"Entities"))</f>
        <v>no</v>
      </c>
      <c r="CS47" s="71">
        <v>6</v>
      </c>
      <c r="CT47" s="71">
        <v>8</v>
      </c>
      <c r="CU47" s="71" t="b">
        <v>1</v>
      </c>
      <c r="CW47" t="s">
        <v>215</v>
      </c>
      <c r="CX47">
        <v>3</v>
      </c>
      <c r="CY47">
        <v>180</v>
      </c>
      <c r="CZ47">
        <v>100</v>
      </c>
      <c r="DA47" s="74">
        <f ca="1">INDIRECT(ADDRESS(11+(MATCH(RIGHT(Table12[[#This Row],[spawner_sku]],LEN(Table12[[#This Row],[spawner_sku]])-FIND("/",Table12[[#This Row],[spawner_sku]])),Table1[Entity Prefab],0)),10,1,1,"Entities"))</f>
        <v>25</v>
      </c>
      <c r="DB47" s="74">
        <f ca="1">ROUND((Table12[[#This Row],[XP]]*Table12[[#This Row],[entity_spawned (AVG)]])*(Table12[[#This Row],[activating_chance]]/100),0)</f>
        <v>75</v>
      </c>
      <c r="DC47" s="144" t="str">
        <f ca="1">INDIRECT(ADDRESS(11+(MATCH(RIGHT(Table12[[#This Row],[spawner_sku]],LEN(Table12[[#This Row],[spawner_sku]])-FIND("/",Table12[[#This Row],[spawner_sku]])),Table28[Entity Prefab],0)),25,1,1,"Entities"))</f>
        <v>no</v>
      </c>
      <c r="DD47" s="71">
        <v>2</v>
      </c>
      <c r="DE47" s="71">
        <v>4</v>
      </c>
      <c r="DF47" s="71" t="b">
        <v>0</v>
      </c>
      <c r="DH47" t="s">
        <v>425</v>
      </c>
      <c r="DI47">
        <v>10</v>
      </c>
      <c r="DJ47">
        <v>5000</v>
      </c>
      <c r="DK47">
        <v>100</v>
      </c>
      <c r="DL47" s="74">
        <f ca="1">INDIRECT(ADDRESS(11+(MATCH(RIGHT(Table13[[#This Row],[spawner_sku]],LEN(Table13[[#This Row],[spawner_sku]])-FIND("/",Table13[[#This Row],[spawner_sku]])),Table1[Entity Prefab],0)),10,1,1,"Entities"))</f>
        <v>25</v>
      </c>
      <c r="DM47" s="74">
        <f ca="1">ROUND((Table13[[#This Row],[XP]]*Table13[[#This Row],[entity_spawned (AVG)]])*(Table13[[#This Row],[activating_chance]]/100),0)</f>
        <v>250</v>
      </c>
      <c r="DN47" s="144" t="str">
        <f ca="1">INDIRECT(ADDRESS(11+(MATCH(RIGHT(Table13[[#This Row],[spawner_sku]],LEN(Table13[[#This Row],[spawner_sku]])-FIND("/",Table13[[#This Row],[spawner_sku]])),Table28[Entity Prefab],0)),25,1,1,"Entities"))</f>
        <v>no</v>
      </c>
      <c r="DO47" s="71">
        <v>8</v>
      </c>
      <c r="DP47" s="71">
        <v>12</v>
      </c>
      <c r="DQ47" s="71" t="b">
        <v>1</v>
      </c>
      <c r="DS47" t="s">
        <v>214</v>
      </c>
      <c r="DT47">
        <v>7</v>
      </c>
      <c r="DU47">
        <v>180</v>
      </c>
      <c r="DV47">
        <v>100</v>
      </c>
      <c r="DW47" s="74">
        <f ca="1">INDIRECT(ADDRESS(11+(MATCH(RIGHT(Table14[[#This Row],[spawner_sku]],LEN(Table14[[#This Row],[spawner_sku]])-FIND("/",Table14[[#This Row],[spawner_sku]])),Table1[Entity Prefab],0)),10,1,1,"Entities"))</f>
        <v>25</v>
      </c>
      <c r="DX47" s="74">
        <f ca="1">ROUND((Table14[[#This Row],[XP]]*Table14[[#This Row],[entity_spawned (AVG)]])*(Table14[[#This Row],[activating_chance]]/100),0)</f>
        <v>175</v>
      </c>
      <c r="DY47" s="144" t="str">
        <f ca="1">INDIRECT(ADDRESS(11+(MATCH(RIGHT(Table14[[#This Row],[spawner_sku]],LEN(Table14[[#This Row],[spawner_sku]])-FIND("/",Table14[[#This Row],[spawner_sku]])),Table28[Entity Prefab],0)),25,1,1,"Entities"))</f>
        <v>no</v>
      </c>
      <c r="DZ47" s="71">
        <v>6</v>
      </c>
      <c r="EA47" s="71">
        <v>8</v>
      </c>
      <c r="EB47" s="71" t="b">
        <v>1</v>
      </c>
      <c r="EC47" s="71"/>
      <c r="ED47" s="147" t="s">
        <v>570</v>
      </c>
      <c r="EE47" s="71">
        <v>1</v>
      </c>
      <c r="EF47" s="71">
        <v>120</v>
      </c>
      <c r="EG47" s="71">
        <v>100</v>
      </c>
      <c r="EH47" s="71">
        <f ca="1">INDIRECT(ADDRESS(11+(MATCH(RIGHT(Table36[[#This Row],[spawner_sku]],LEN(Table36[[#This Row],[spawner_sku]])-FIND("/",Table36[[#This Row],[spawner_sku]])),Table1[Entity Prefab],0)),10,1,1,"Entities"))</f>
        <v>50</v>
      </c>
      <c r="EI47" s="71">
        <f ca="1">ROUND((Table36[[#This Row],[XP]]*Table36[[#This Row],[entity_spawned (AVG)]])*(Table36[[#This Row],[activating_chance]]/100),0)</f>
        <v>50</v>
      </c>
      <c r="EJ47" s="71" t="str">
        <f ca="1">INDIRECT(ADDRESS(11+(MATCH(RIGHT(Table36[[#This Row],[spawner_sku]],LEN(Table36[[#This Row],[spawner_sku]])-FIND("/",Table36[[#This Row],[spawner_sku]])),Table28[Entity Prefab],0)),25,1,1,"Entities"))</f>
        <v>no</v>
      </c>
      <c r="EK47" s="71">
        <v>1</v>
      </c>
      <c r="EL47" s="71">
        <v>1</v>
      </c>
      <c r="EM47" s="71" t="b">
        <v>0</v>
      </c>
      <c r="EO47" t="s">
        <v>214</v>
      </c>
      <c r="EP47">
        <v>6.5</v>
      </c>
      <c r="EQ47">
        <v>140</v>
      </c>
      <c r="ER47">
        <v>100</v>
      </c>
      <c r="ES47" s="74">
        <f ca="1">INDIRECT(ADDRESS(11+(MATCH(RIGHT(Table18[[#This Row],[spawner_sku]],LEN(Table18[[#This Row],[spawner_sku]])-FIND("/",Table18[[#This Row],[spawner_sku]])),Table1[Entity Prefab],0)),10,1,1,"Entities"))</f>
        <v>25</v>
      </c>
      <c r="ET47" s="74">
        <f ca="1">ROUND((Table18[[#This Row],[XP]]*Table18[[#This Row],[entity_spawned (AVG)]])*(Table18[[#This Row],[activating_chance]]/100),0)</f>
        <v>163</v>
      </c>
      <c r="EU47" s="74" t="str">
        <f ca="1">INDIRECT(ADDRESS(11+(MATCH(RIGHT(Table18[[#This Row],[spawner_sku]],LEN(Table18[[#This Row],[spawner_sku]])-FIND("/",Table18[[#This Row],[spawner_sku]])),Table28[Entity Prefab],0)),26,1,1,"Entities"))</f>
        <v>no</v>
      </c>
      <c r="EV47">
        <v>5</v>
      </c>
      <c r="EW47">
        <v>8</v>
      </c>
      <c r="EX47" t="b">
        <v>1</v>
      </c>
      <c r="EZ47" t="s">
        <v>214</v>
      </c>
      <c r="FA47">
        <v>2.5</v>
      </c>
      <c r="FB47">
        <v>140</v>
      </c>
      <c r="FC47">
        <v>100</v>
      </c>
      <c r="FD47" s="74">
        <f ca="1">INDIRECT(ADDRESS(11+(MATCH(RIGHT(Table1820[[#This Row],[spawner_sku]],LEN(Table1820[[#This Row],[spawner_sku]])-FIND("/",Table1820[[#This Row],[spawner_sku]])),Table1[Entity Prefab],0)),10,1,1,"Entities"))</f>
        <v>25</v>
      </c>
      <c r="FE47" s="74">
        <f ca="1">ROUND((Table1820[[#This Row],[XP]]*Table1820[[#This Row],[entity_spawned (AVG)]])*(Table1820[[#This Row],[activating_chance]]/100),0)</f>
        <v>63</v>
      </c>
      <c r="FF47" s="74" t="str">
        <f ca="1">INDIRECT(ADDRESS(11+(MATCH(RIGHT(Table1820[[#This Row],[spawner_sku]],LEN(Table1820[[#This Row],[spawner_sku]])-FIND("/",Table1820[[#This Row],[spawner_sku]])),Table28[Entity Prefab],0)),26,1,1,"Entities"))</f>
        <v>no</v>
      </c>
      <c r="FG47">
        <v>2</v>
      </c>
      <c r="FH47">
        <v>3</v>
      </c>
      <c r="FI47" t="b">
        <v>0</v>
      </c>
      <c r="FK47" t="s">
        <v>2699</v>
      </c>
      <c r="FL47">
        <v>1</v>
      </c>
      <c r="FM47">
        <v>95</v>
      </c>
      <c r="FN47">
        <v>100</v>
      </c>
      <c r="FO47">
        <f ca="1">INDIRECT(ADDRESS(11+(MATCH(RIGHT(Table182023[[#This Row],[spawner_sku]],LEN(Table182023[[#This Row],[spawner_sku]])-FIND("/",Table182023[[#This Row],[spawner_sku]])),Table1[Entity Prefab],0)),10,1,1,"Entities"))</f>
        <v>100</v>
      </c>
      <c r="FP47">
        <f ca="1">ROUND((Table182023[[#This Row],[XP]]*Table182023[[#This Row],[entity_spawned (AVG)]])*(Table182023[[#This Row],[activating_chance]]/100),0)</f>
        <v>100</v>
      </c>
      <c r="FQ47" t="str">
        <f ca="1">INDIRECT(ADDRESS(11+(MATCH(RIGHT(Table182023[[#This Row],[spawner_sku]],LEN(Table182023[[#This Row],[spawner_sku]])-FIND("/",Table182023[[#This Row],[spawner_sku]])),Table28[Entity Prefab],0)),26,1,1,"Entities"))</f>
        <v>no</v>
      </c>
      <c r="FR47">
        <v>1</v>
      </c>
      <c r="FS47">
        <v>1</v>
      </c>
      <c r="FT47" t="b">
        <v>0</v>
      </c>
      <c r="FV47" t="s">
        <v>447</v>
      </c>
      <c r="FW47">
        <v>1</v>
      </c>
      <c r="FX47">
        <v>180</v>
      </c>
      <c r="FY47">
        <v>100</v>
      </c>
      <c r="FZ47" s="74">
        <f ca="1">INDIRECT(ADDRESS(11+(MATCH(RIGHT(Table18202324[[#This Row],[spawner_sku]],LEN(Table18202324[[#This Row],[spawner_sku]])-FIND("/",Table18202324[[#This Row],[spawner_sku]])),Table1[Entity Prefab],0)),10,1,1,"Entities"))</f>
        <v>105</v>
      </c>
      <c r="GA47" s="74">
        <f ca="1">ROUND((Table18202324[[#This Row],[XP]]*Table18202324[[#This Row],[entity_spawned (AVG)]])*(Table18202324[[#This Row],[activating_chance]]/100),0)</f>
        <v>105</v>
      </c>
      <c r="GB47" s="74" t="str">
        <f ca="1">INDIRECT(ADDRESS(11+(MATCH(RIGHT(Table18202324[[#This Row],[spawner_sku]],LEN(Table18202324[[#This Row],[spawner_sku]])-FIND("/",Table18202324[[#This Row],[spawner_sku]])),Table28[Entity Prefab],0)),26,1,1,"Entities"))</f>
        <v>yes</v>
      </c>
      <c r="GC47">
        <v>1</v>
      </c>
      <c r="GD47">
        <v>1</v>
      </c>
      <c r="GE47" t="b">
        <v>0</v>
      </c>
      <c r="GG47" t="s">
        <v>3818</v>
      </c>
      <c r="GH47">
        <v>1</v>
      </c>
      <c r="GI47">
        <v>240</v>
      </c>
      <c r="GJ47">
        <v>100</v>
      </c>
      <c r="GK47">
        <f ca="1">INDIRECT(ADDRESS(11+(MATCH(RIGHT(Table37[[#This Row],[spawner_sku]],LEN(Table37[[#This Row],[spawner_sku]])-FIND("/",Table37[[#This Row],[spawner_sku]])),Table1[Entity Prefab],0)),10,1,1,"Entities"))</f>
        <v>10</v>
      </c>
      <c r="GL47">
        <f ca="1">ROUND((Table37[[#This Row],[XP]]*Table37[[#This Row],[entity_spawned (AVG)]])*(Table37[[#This Row],[activating_chance]]/100),0)</f>
        <v>10</v>
      </c>
      <c r="GM47" t="str">
        <f ca="1">INDIRECT(ADDRESS(11+(MATCH(RIGHT(Table37[[#This Row],[spawner_sku]],LEN(Table37[[#This Row],[spawner_sku]])-FIND("/",Table37[[#This Row],[spawner_sku]])),Table28[Entity Prefab],0)),26,1,1,"Entities"))</f>
        <v>no</v>
      </c>
      <c r="GN47">
        <v>1</v>
      </c>
      <c r="GO47">
        <v>1</v>
      </c>
      <c r="GP47" t="b">
        <v>0</v>
      </c>
    </row>
    <row r="48" spans="2:198" x14ac:dyDescent="0.25">
      <c r="B48" s="72" t="s">
        <v>215</v>
      </c>
      <c r="C48">
        <v>1</v>
      </c>
      <c r="D48">
        <v>80</v>
      </c>
      <c r="E48">
        <v>100</v>
      </c>
      <c r="F48" s="74">
        <f ca="1">INDIRECT(ADDRESS(11+(MATCH(RIGHT(Table245[[#This Row],[spawner_sku]],LEN(Table245[[#This Row],[spawner_sku]])-FIND("/",Table245[[#This Row],[spawner_sku]])),Table1[Entity Prefab],0)),10,1,1,"Entities"))</f>
        <v>25</v>
      </c>
      <c r="G48" s="74">
        <f ca="1">ROUND((Table245[[#This Row],[XP]]*Table245[[#This Row],[entity_spawned (AVG)]])*(Table245[[#This Row],[activating_chance]]/100),0)</f>
        <v>25</v>
      </c>
      <c r="H48" s="71" t="str">
        <f ca="1">INDIRECT(ADDRESS(11+(MATCH(RIGHT(Table245[[#This Row],[spawner_sku]],LEN(Table245[[#This Row],[spawner_sku]])-FIND("/",Table245[[#This Row],[spawner_sku]])),Table28[Entity Prefab],0)),24,1,1,"Entities"))</f>
        <v>no</v>
      </c>
      <c r="I48" s="71">
        <v>1</v>
      </c>
      <c r="J48" s="71">
        <v>1</v>
      </c>
      <c r="K48" s="71" t="b">
        <v>0</v>
      </c>
      <c r="M48" t="s">
        <v>216</v>
      </c>
      <c r="N48">
        <v>6.5</v>
      </c>
      <c r="O48">
        <v>140</v>
      </c>
      <c r="P48">
        <v>100</v>
      </c>
      <c r="Q48" s="74">
        <f ca="1">INDIRECT(ADDRESS(11+(MATCH(RIGHT(Table3[[#This Row],[spawner_sku]],LEN(Table3[[#This Row],[spawner_sku]])-FIND("/",Table3[[#This Row],[spawner_sku]])),Table1[Entity Prefab],0)),10,1,1,"Entities"))</f>
        <v>25</v>
      </c>
      <c r="R48" s="74">
        <f ca="1">ROUND((Table3[[#This Row],[XP]]*Table3[[#This Row],[entity_spawned (AVG)]])*(Table3[[#This Row],[activating_chance]]/100),0)</f>
        <v>163</v>
      </c>
      <c r="S48" t="str">
        <f ca="1">INDIRECT(ADDRESS(11+(MATCH(RIGHT(Table3[[#This Row],[spawner_sku]],LEN(Table3[[#This Row],[spawner_sku]])-FIND("/",Table3[[#This Row],[spawner_sku]])),Table28[Entity Prefab],0)),24,1,1,"Entities"))</f>
        <v>no</v>
      </c>
      <c r="T48">
        <v>5</v>
      </c>
      <c r="U48">
        <v>8</v>
      </c>
      <c r="V48" t="b">
        <v>1</v>
      </c>
      <c r="W48" s="71"/>
      <c r="X48" t="s">
        <v>367</v>
      </c>
      <c r="Y48">
        <v>1.5</v>
      </c>
      <c r="Z48">
        <v>170</v>
      </c>
      <c r="AA48">
        <v>100</v>
      </c>
      <c r="AB48" s="74">
        <f ca="1">INDIRECT(ADDRESS(11+(MATCH(RIGHT(Table39[[#This Row],[spawner_sku]],LEN(Table39[[#This Row],[spawner_sku]])-FIND("/",Table39[[#This Row],[spawner_sku]])),Table1[Entity Prefab],0)),10,1,1,"Entities"))</f>
        <v>75</v>
      </c>
      <c r="AC48" s="74">
        <f ca="1">ROUND((Table39[[#This Row],[XP]]*Table39[[#This Row],[entity_spawned (AVG)]])*(Table39[[#This Row],[activating_chance]]/100),0)</f>
        <v>113</v>
      </c>
      <c r="AD48" t="str">
        <f ca="1">INDIRECT(ADDRESS(11+(MATCH(RIGHT(Table39[[#This Row],[spawner_sku]],LEN(Table39[[#This Row],[spawner_sku]])-FIND("/",Table39[[#This Row],[spawner_sku]])),Table28[Entity Prefab],0)),24,1,1,"Entities"))</f>
        <v>no</v>
      </c>
      <c r="AE48">
        <v>1</v>
      </c>
      <c r="AF48">
        <v>2</v>
      </c>
      <c r="AG48" t="b">
        <v>0</v>
      </c>
      <c r="AI48" t="s">
        <v>215</v>
      </c>
      <c r="AJ48">
        <v>7.5</v>
      </c>
      <c r="AK48">
        <v>150</v>
      </c>
      <c r="AL48">
        <v>40</v>
      </c>
      <c r="AM48" s="74">
        <f ca="1">INDIRECT(ADDRESS(11+(MATCH(RIGHT(Table2[[#This Row],[spawner_sku]],LEN(Table2[[#This Row],[spawner_sku]])-FIND("/",Table2[[#This Row],[spawner_sku]])),Table1[Entity Prefab],0)),10,1,1,"Entities"))</f>
        <v>25</v>
      </c>
      <c r="AN48" s="74">
        <f ca="1">ROUND((Table2[[#This Row],[XP]]*Table2[[#This Row],[entity_spawned (AVG)]])*(Table2[[#This Row],[activating_chance]]/100),0)</f>
        <v>75</v>
      </c>
      <c r="AO48" s="71" t="str">
        <f ca="1">INDIRECT(ADDRESS(11+(MATCH(RIGHT(Table2[[#This Row],[spawner_sku]],LEN(Table2[[#This Row],[spawner_sku]])-FIND("/",Table2[[#This Row],[spawner_sku]])),Table28[Entity Prefab],0)),24,1,1,"Entities"))</f>
        <v>no</v>
      </c>
      <c r="AP48" s="71">
        <v>5</v>
      </c>
      <c r="AQ48" s="71">
        <v>10</v>
      </c>
      <c r="AR48" s="71" t="b">
        <v>1</v>
      </c>
      <c r="AT48" t="s">
        <v>376</v>
      </c>
      <c r="AU48">
        <v>3</v>
      </c>
      <c r="AV48">
        <v>200</v>
      </c>
      <c r="AW48">
        <v>100</v>
      </c>
      <c r="AX48" s="74">
        <f ca="1">INDIRECT(ADDRESS(11+(MATCH(RIGHT(Table6[[#This Row],[spawner_sku]],LEN(Table6[[#This Row],[spawner_sku]])-FIND("/",Table6[[#This Row],[spawner_sku]])),Table1[Entity Prefab],0)),10,1,1,"Entities"))</f>
        <v>25</v>
      </c>
      <c r="AY48" s="74">
        <f ca="1">ROUND((Table6[[#This Row],[XP]]*Table6[[#This Row],[entity_spawned (AVG)]])*(Table6[[#This Row],[activating_chance]]/100),0)</f>
        <v>75</v>
      </c>
      <c r="AZ48" s="144" t="str">
        <f ca="1">INDIRECT(ADDRESS(11+(MATCH(RIGHT(Table6[[#This Row],[spawner_sku]],LEN(Table6[[#This Row],[spawner_sku]])-FIND("/",Table6[[#This Row],[spawner_sku]])),Table28[Entity Prefab],0)),24,1,1,"Entities"))</f>
        <v>no</v>
      </c>
      <c r="BA48">
        <v>2</v>
      </c>
      <c r="BB48">
        <v>4</v>
      </c>
      <c r="BC48" t="b">
        <v>0</v>
      </c>
      <c r="BE48" t="s">
        <v>214</v>
      </c>
      <c r="BF48">
        <v>6.5</v>
      </c>
      <c r="BG48">
        <v>120</v>
      </c>
      <c r="BH48">
        <v>100</v>
      </c>
      <c r="BI48" s="74">
        <f ca="1">INDIRECT(ADDRESS(11+(MATCH(RIGHT(Table610[[#This Row],[spawner_sku]],LEN(Table610[[#This Row],[spawner_sku]])-FIND("/",Table610[[#This Row],[spawner_sku]])),Table1[Entity Prefab],0)),10,1,1,"Entities"))</f>
        <v>25</v>
      </c>
      <c r="BJ48" s="74">
        <f ca="1">ROUND((Table610[[#This Row],[XP]]*Table610[[#This Row],[entity_spawned (AVG)]])*(Table610[[#This Row],[activating_chance]]/100),0)</f>
        <v>163</v>
      </c>
      <c r="BK48" s="71" t="str">
        <f ca="1">INDIRECT(ADDRESS(11+(MATCH(RIGHT(Table610[[#This Row],[spawner_sku]],LEN(Table610[[#This Row],[spawner_sku]])-FIND("/",Table610[[#This Row],[spawner_sku]])),Table28[Entity Prefab],0)),24,1,1,"Entities"))</f>
        <v>no</v>
      </c>
      <c r="BL48">
        <v>5</v>
      </c>
      <c r="BM48">
        <v>8</v>
      </c>
      <c r="BN48" t="b">
        <v>1</v>
      </c>
      <c r="BP48" t="s">
        <v>215</v>
      </c>
      <c r="BQ48">
        <v>5</v>
      </c>
      <c r="BR48">
        <v>200</v>
      </c>
      <c r="BS48">
        <v>100</v>
      </c>
      <c r="BT48" s="74">
        <f ca="1">INDIRECT(ADDRESS(11+(MATCH(RIGHT(Table61011[[#This Row],[spawner_sku]],LEN(Table61011[[#This Row],[spawner_sku]])-FIND("/",Table61011[[#This Row],[spawner_sku]])),Table1[Entity Prefab],0)),10,1,1,"Entities"))</f>
        <v>25</v>
      </c>
      <c r="BU48" s="74">
        <f ca="1">ROUND((Table61011[[#This Row],[XP]]*Table61011[[#This Row],[entity_spawned (AVG)]])*(Table61011[[#This Row],[activating_chance]]/100),0)</f>
        <v>125</v>
      </c>
      <c r="BV48" s="71" t="str">
        <f ca="1">INDIRECT(ADDRESS(11+(MATCH(RIGHT(Table61011[[#This Row],[spawner_sku]],LEN(Table61011[[#This Row],[spawner_sku]])-FIND("/",Table61011[[#This Row],[spawner_sku]])),Table28[Entity Prefab],0)),24,1,1,"Entities"))</f>
        <v>no</v>
      </c>
      <c r="BW48" s="71">
        <v>5</v>
      </c>
      <c r="BX48" s="71">
        <v>5</v>
      </c>
      <c r="BY48" s="71" t="b">
        <v>1</v>
      </c>
      <c r="BZ48" s="71"/>
      <c r="CA48" s="147" t="s">
        <v>232</v>
      </c>
      <c r="CB48">
        <v>10</v>
      </c>
      <c r="CC48">
        <v>90</v>
      </c>
      <c r="CD48">
        <v>100</v>
      </c>
      <c r="CE48" s="74">
        <f ca="1">INDIRECT(ADDRESS(11+(MATCH(RIGHT(Table35[[#This Row],[spawner_sku]],LEN(Table35[[#This Row],[spawner_sku]])-FIND("/",Table35[[#This Row],[spawner_sku]])),Table1[Entity Prefab],0)),10,1,1,"Entities"))</f>
        <v>25</v>
      </c>
      <c r="CF48" s="74">
        <f ca="1">ROUND((Table35[[#This Row],[XP]]*Table35[[#This Row],[entity_spawned (AVG)]])*(Table35[[#This Row],[activating_chance]]/100),0)</f>
        <v>250</v>
      </c>
      <c r="CG48" s="144" t="str">
        <f ca="1">INDIRECT(ADDRESS(11+(MATCH(RIGHT(Table35[[#This Row],[spawner_sku]],LEN(Table35[[#This Row],[spawner_sku]])-FIND("/",Table35[[#This Row],[spawner_sku]])),Table28[Entity Prefab],0)),24,1,1,"Entities"))</f>
        <v>no</v>
      </c>
      <c r="CH48">
        <v>10</v>
      </c>
      <c r="CI48">
        <v>10</v>
      </c>
      <c r="CJ48" s="71" t="b">
        <v>1</v>
      </c>
      <c r="CL48" t="s">
        <v>215</v>
      </c>
      <c r="CM48">
        <v>3</v>
      </c>
      <c r="CN48">
        <v>180</v>
      </c>
      <c r="CO48">
        <v>100</v>
      </c>
      <c r="CP48" s="74">
        <f ca="1">INDIRECT(ADDRESS(11+(MATCH(RIGHT(Table11[[#This Row],[spawner_sku]],LEN(Table11[[#This Row],[spawner_sku]])-FIND("/",Table11[[#This Row],[spawner_sku]])),Table1[Entity Prefab],0)),10,1,1,"Entities"))</f>
        <v>25</v>
      </c>
      <c r="CQ48">
        <f ca="1">ROUND((Table11[[#This Row],[XP]]*Table11[[#This Row],[entity_spawned (AVG)]])*(Table11[[#This Row],[activating_chance]]/100),0)</f>
        <v>75</v>
      </c>
      <c r="CR48" s="144" t="str">
        <f ca="1">INDIRECT(ADDRESS(11+(MATCH(RIGHT(Table11[[#This Row],[spawner_sku]],LEN(Table11[[#This Row],[spawner_sku]])-FIND("/",Table11[[#This Row],[spawner_sku]])),Table28[Entity Prefab],0)),25,1,1,"Entities"))</f>
        <v>no</v>
      </c>
      <c r="CS48" s="71">
        <v>2</v>
      </c>
      <c r="CT48" s="71">
        <v>4</v>
      </c>
      <c r="CU48" s="71" t="b">
        <v>0</v>
      </c>
      <c r="CW48" t="s">
        <v>215</v>
      </c>
      <c r="CX48">
        <v>1</v>
      </c>
      <c r="CY48">
        <v>180</v>
      </c>
      <c r="CZ48">
        <v>100</v>
      </c>
      <c r="DA48" s="74">
        <f ca="1">INDIRECT(ADDRESS(11+(MATCH(RIGHT(Table12[[#This Row],[spawner_sku]],LEN(Table12[[#This Row],[spawner_sku]])-FIND("/",Table12[[#This Row],[spawner_sku]])),Table1[Entity Prefab],0)),10,1,1,"Entities"))</f>
        <v>25</v>
      </c>
      <c r="DB48" s="74">
        <f ca="1">ROUND((Table12[[#This Row],[XP]]*Table12[[#This Row],[entity_spawned (AVG)]])*(Table12[[#This Row],[activating_chance]]/100),0)</f>
        <v>25</v>
      </c>
      <c r="DC48" s="144" t="str">
        <f ca="1">INDIRECT(ADDRESS(11+(MATCH(RIGHT(Table12[[#This Row],[spawner_sku]],LEN(Table12[[#This Row],[spawner_sku]])-FIND("/",Table12[[#This Row],[spawner_sku]])),Table28[Entity Prefab],0)),25,1,1,"Entities"))</f>
        <v>no</v>
      </c>
      <c r="DD48" s="71">
        <v>1</v>
      </c>
      <c r="DE48" s="71">
        <v>1</v>
      </c>
      <c r="DF48" s="71" t="b">
        <v>0</v>
      </c>
      <c r="DH48" t="s">
        <v>376</v>
      </c>
      <c r="DI48">
        <v>12</v>
      </c>
      <c r="DJ48">
        <v>200</v>
      </c>
      <c r="DK48">
        <v>100</v>
      </c>
      <c r="DL48" s="74">
        <f ca="1">INDIRECT(ADDRESS(11+(MATCH(RIGHT(Table13[[#This Row],[spawner_sku]],LEN(Table13[[#This Row],[spawner_sku]])-FIND("/",Table13[[#This Row],[spawner_sku]])),Table1[Entity Prefab],0)),10,1,1,"Entities"))</f>
        <v>25</v>
      </c>
      <c r="DM48" s="74">
        <f ca="1">ROUND((Table13[[#This Row],[XP]]*Table13[[#This Row],[entity_spawned (AVG)]])*(Table13[[#This Row],[activating_chance]]/100),0)</f>
        <v>300</v>
      </c>
      <c r="DN48" s="144" t="str">
        <f ca="1">INDIRECT(ADDRESS(11+(MATCH(RIGHT(Table13[[#This Row],[spawner_sku]],LEN(Table13[[#This Row],[spawner_sku]])-FIND("/",Table13[[#This Row],[spawner_sku]])),Table28[Entity Prefab],0)),25,1,1,"Entities"))</f>
        <v>no</v>
      </c>
      <c r="DO48" s="71">
        <v>10</v>
      </c>
      <c r="DP48" s="71">
        <v>14</v>
      </c>
      <c r="DQ48" s="71" t="b">
        <v>1</v>
      </c>
      <c r="DS48" t="s">
        <v>214</v>
      </c>
      <c r="DT48">
        <v>3.5</v>
      </c>
      <c r="DU48">
        <v>70</v>
      </c>
      <c r="DV48">
        <v>100</v>
      </c>
      <c r="DW48" s="74">
        <f ca="1">INDIRECT(ADDRESS(11+(MATCH(RIGHT(Table14[[#This Row],[spawner_sku]],LEN(Table14[[#This Row],[spawner_sku]])-FIND("/",Table14[[#This Row],[spawner_sku]])),Table1[Entity Prefab],0)),10,1,1,"Entities"))</f>
        <v>25</v>
      </c>
      <c r="DX48" s="74">
        <f ca="1">ROUND((Table14[[#This Row],[XP]]*Table14[[#This Row],[entity_spawned (AVG)]])*(Table14[[#This Row],[activating_chance]]/100),0)</f>
        <v>88</v>
      </c>
      <c r="DY48" s="144" t="str">
        <f ca="1">INDIRECT(ADDRESS(11+(MATCH(RIGHT(Table14[[#This Row],[spawner_sku]],LEN(Table14[[#This Row],[spawner_sku]])-FIND("/",Table14[[#This Row],[spawner_sku]])),Table28[Entity Prefab],0)),25,1,1,"Entities"))</f>
        <v>no</v>
      </c>
      <c r="DZ48" s="71">
        <v>3</v>
      </c>
      <c r="EA48" s="71">
        <v>4</v>
      </c>
      <c r="EB48" s="71" t="b">
        <v>0</v>
      </c>
      <c r="EC48" s="71"/>
      <c r="ED48" s="147" t="s">
        <v>570</v>
      </c>
      <c r="EE48" s="71">
        <v>1</v>
      </c>
      <c r="EF48" s="71">
        <v>120</v>
      </c>
      <c r="EG48" s="71">
        <v>100</v>
      </c>
      <c r="EH48" s="71">
        <f ca="1">INDIRECT(ADDRESS(11+(MATCH(RIGHT(Table36[[#This Row],[spawner_sku]],LEN(Table36[[#This Row],[spawner_sku]])-FIND("/",Table36[[#This Row],[spawner_sku]])),Table1[Entity Prefab],0)),10,1,1,"Entities"))</f>
        <v>50</v>
      </c>
      <c r="EI48" s="71">
        <f ca="1">ROUND((Table36[[#This Row],[XP]]*Table36[[#This Row],[entity_spawned (AVG)]])*(Table36[[#This Row],[activating_chance]]/100),0)</f>
        <v>50</v>
      </c>
      <c r="EJ48" s="71" t="str">
        <f ca="1">INDIRECT(ADDRESS(11+(MATCH(RIGHT(Table36[[#This Row],[spawner_sku]],LEN(Table36[[#This Row],[spawner_sku]])-FIND("/",Table36[[#This Row],[spawner_sku]])),Table28[Entity Prefab],0)),25,1,1,"Entities"))</f>
        <v>no</v>
      </c>
      <c r="EK48" s="71">
        <v>1</v>
      </c>
      <c r="EL48" s="71">
        <v>1</v>
      </c>
      <c r="EM48" s="71" t="b">
        <v>0</v>
      </c>
      <c r="EO48" t="s">
        <v>214</v>
      </c>
      <c r="EP48">
        <v>4</v>
      </c>
      <c r="EQ48">
        <v>120</v>
      </c>
      <c r="ER48">
        <v>100</v>
      </c>
      <c r="ES48" s="74">
        <f ca="1">INDIRECT(ADDRESS(11+(MATCH(RIGHT(Table18[[#This Row],[spawner_sku]],LEN(Table18[[#This Row],[spawner_sku]])-FIND("/",Table18[[#This Row],[spawner_sku]])),Table1[Entity Prefab],0)),10,1,1,"Entities"))</f>
        <v>25</v>
      </c>
      <c r="ET48" s="74">
        <f ca="1">ROUND((Table18[[#This Row],[XP]]*Table18[[#This Row],[entity_spawned (AVG)]])*(Table18[[#This Row],[activating_chance]]/100),0)</f>
        <v>100</v>
      </c>
      <c r="EU48" s="74" t="str">
        <f ca="1">INDIRECT(ADDRESS(11+(MATCH(RIGHT(Table18[[#This Row],[spawner_sku]],LEN(Table18[[#This Row],[spawner_sku]])-FIND("/",Table18[[#This Row],[spawner_sku]])),Table28[Entity Prefab],0)),26,1,1,"Entities"))</f>
        <v>no</v>
      </c>
      <c r="EV48">
        <v>4</v>
      </c>
      <c r="EW48">
        <v>4</v>
      </c>
      <c r="EX48" t="b">
        <v>0</v>
      </c>
      <c r="EZ48" t="s">
        <v>214</v>
      </c>
      <c r="FA48">
        <v>6.5</v>
      </c>
      <c r="FB48">
        <v>140</v>
      </c>
      <c r="FC48">
        <v>70</v>
      </c>
      <c r="FD48" s="74">
        <f ca="1">INDIRECT(ADDRESS(11+(MATCH(RIGHT(Table1820[[#This Row],[spawner_sku]],LEN(Table1820[[#This Row],[spawner_sku]])-FIND("/",Table1820[[#This Row],[spawner_sku]])),Table1[Entity Prefab],0)),10,1,1,"Entities"))</f>
        <v>25</v>
      </c>
      <c r="FE48" s="74">
        <f ca="1">ROUND((Table1820[[#This Row],[XP]]*Table1820[[#This Row],[entity_spawned (AVG)]])*(Table1820[[#This Row],[activating_chance]]/100),0)</f>
        <v>114</v>
      </c>
      <c r="FF48" s="74" t="str">
        <f ca="1">INDIRECT(ADDRESS(11+(MATCH(RIGHT(Table1820[[#This Row],[spawner_sku]],LEN(Table1820[[#This Row],[spawner_sku]])-FIND("/",Table1820[[#This Row],[spawner_sku]])),Table28[Entity Prefab],0)),26,1,1,"Entities"))</f>
        <v>no</v>
      </c>
      <c r="FG48">
        <v>5</v>
      </c>
      <c r="FH48">
        <v>8</v>
      </c>
      <c r="FI48" t="b">
        <v>1</v>
      </c>
      <c r="FK48" t="s">
        <v>2699</v>
      </c>
      <c r="FL48">
        <v>1</v>
      </c>
      <c r="FM48">
        <v>70</v>
      </c>
      <c r="FN48">
        <v>100</v>
      </c>
      <c r="FO48">
        <f ca="1">INDIRECT(ADDRESS(11+(MATCH(RIGHT(Table182023[[#This Row],[spawner_sku]],LEN(Table182023[[#This Row],[spawner_sku]])-FIND("/",Table182023[[#This Row],[spawner_sku]])),Table1[Entity Prefab],0)),10,1,1,"Entities"))</f>
        <v>100</v>
      </c>
      <c r="FP48">
        <f ca="1">ROUND((Table182023[[#This Row],[XP]]*Table182023[[#This Row],[entity_spawned (AVG)]])*(Table182023[[#This Row],[activating_chance]]/100),0)</f>
        <v>100</v>
      </c>
      <c r="FQ48" t="str">
        <f ca="1">INDIRECT(ADDRESS(11+(MATCH(RIGHT(Table182023[[#This Row],[spawner_sku]],LEN(Table182023[[#This Row],[spawner_sku]])-FIND("/",Table182023[[#This Row],[spawner_sku]])),Table28[Entity Prefab],0)),26,1,1,"Entities"))</f>
        <v>no</v>
      </c>
      <c r="FR48">
        <v>1</v>
      </c>
      <c r="FS48">
        <v>1</v>
      </c>
      <c r="FT48" t="b">
        <v>0</v>
      </c>
      <c r="FV48" t="s">
        <v>447</v>
      </c>
      <c r="FW48">
        <v>1</v>
      </c>
      <c r="FX48">
        <v>200</v>
      </c>
      <c r="FY48">
        <v>100</v>
      </c>
      <c r="FZ48" s="74">
        <f ca="1">INDIRECT(ADDRESS(11+(MATCH(RIGHT(Table18202324[[#This Row],[spawner_sku]],LEN(Table18202324[[#This Row],[spawner_sku]])-FIND("/",Table18202324[[#This Row],[spawner_sku]])),Table1[Entity Prefab],0)),10,1,1,"Entities"))</f>
        <v>105</v>
      </c>
      <c r="GA48" s="74">
        <f ca="1">ROUND((Table18202324[[#This Row],[XP]]*Table18202324[[#This Row],[entity_spawned (AVG)]])*(Table18202324[[#This Row],[activating_chance]]/100),0)</f>
        <v>105</v>
      </c>
      <c r="GB48" s="74" t="str">
        <f ca="1">INDIRECT(ADDRESS(11+(MATCH(RIGHT(Table18202324[[#This Row],[spawner_sku]],LEN(Table18202324[[#This Row],[spawner_sku]])-FIND("/",Table18202324[[#This Row],[spawner_sku]])),Table28[Entity Prefab],0)),26,1,1,"Entities"))</f>
        <v>yes</v>
      </c>
      <c r="GC48">
        <v>1</v>
      </c>
      <c r="GD48">
        <v>1</v>
      </c>
      <c r="GE48" t="b">
        <v>0</v>
      </c>
      <c r="GG48" t="s">
        <v>3818</v>
      </c>
      <c r="GH48">
        <v>1</v>
      </c>
      <c r="GI48">
        <v>240</v>
      </c>
      <c r="GJ48">
        <v>100</v>
      </c>
      <c r="GK48">
        <f ca="1">INDIRECT(ADDRESS(11+(MATCH(RIGHT(Table37[[#This Row],[spawner_sku]],LEN(Table37[[#This Row],[spawner_sku]])-FIND("/",Table37[[#This Row],[spawner_sku]])),Table1[Entity Prefab],0)),10,1,1,"Entities"))</f>
        <v>10</v>
      </c>
      <c r="GL48">
        <f ca="1">ROUND((Table37[[#This Row],[XP]]*Table37[[#This Row],[entity_spawned (AVG)]])*(Table37[[#This Row],[activating_chance]]/100),0)</f>
        <v>10</v>
      </c>
      <c r="GM48" t="str">
        <f ca="1">INDIRECT(ADDRESS(11+(MATCH(RIGHT(Table37[[#This Row],[spawner_sku]],LEN(Table37[[#This Row],[spawner_sku]])-FIND("/",Table37[[#This Row],[spawner_sku]])),Table28[Entity Prefab],0)),26,1,1,"Entities"))</f>
        <v>no</v>
      </c>
      <c r="GN48">
        <v>1</v>
      </c>
      <c r="GO48">
        <v>1</v>
      </c>
      <c r="GP48" t="b">
        <v>0</v>
      </c>
    </row>
    <row r="49" spans="2:198" x14ac:dyDescent="0.25">
      <c r="B49" s="72" t="s">
        <v>215</v>
      </c>
      <c r="C49">
        <v>6.5</v>
      </c>
      <c r="D49">
        <v>140</v>
      </c>
      <c r="E49">
        <v>100</v>
      </c>
      <c r="F49" s="74">
        <f ca="1">INDIRECT(ADDRESS(11+(MATCH(RIGHT(Table245[[#This Row],[spawner_sku]],LEN(Table245[[#This Row],[spawner_sku]])-FIND("/",Table245[[#This Row],[spawner_sku]])),Table1[Entity Prefab],0)),10,1,1,"Entities"))</f>
        <v>25</v>
      </c>
      <c r="G49" s="74">
        <f ca="1">ROUND((Table245[[#This Row],[XP]]*Table245[[#This Row],[entity_spawned (AVG)]])*(Table245[[#This Row],[activating_chance]]/100),0)</f>
        <v>163</v>
      </c>
      <c r="H49" s="71" t="str">
        <f ca="1">INDIRECT(ADDRESS(11+(MATCH(RIGHT(Table245[[#This Row],[spawner_sku]],LEN(Table245[[#This Row],[spawner_sku]])-FIND("/",Table245[[#This Row],[spawner_sku]])),Table28[Entity Prefab],0)),24,1,1,"Entities"))</f>
        <v>no</v>
      </c>
      <c r="I49" s="71">
        <v>5</v>
      </c>
      <c r="J49" s="71">
        <v>8</v>
      </c>
      <c r="K49" s="71" t="b">
        <v>1</v>
      </c>
      <c r="M49" t="s">
        <v>216</v>
      </c>
      <c r="N49">
        <v>6.5</v>
      </c>
      <c r="O49">
        <v>140</v>
      </c>
      <c r="P49">
        <v>100</v>
      </c>
      <c r="Q49" s="74">
        <f ca="1">INDIRECT(ADDRESS(11+(MATCH(RIGHT(Table3[[#This Row],[spawner_sku]],LEN(Table3[[#This Row],[spawner_sku]])-FIND("/",Table3[[#This Row],[spawner_sku]])),Table1[Entity Prefab],0)),10,1,1,"Entities"))</f>
        <v>25</v>
      </c>
      <c r="R49" s="74">
        <f ca="1">ROUND((Table3[[#This Row],[XP]]*Table3[[#This Row],[entity_spawned (AVG)]])*(Table3[[#This Row],[activating_chance]]/100),0)</f>
        <v>163</v>
      </c>
      <c r="S49" t="str">
        <f ca="1">INDIRECT(ADDRESS(11+(MATCH(RIGHT(Table3[[#This Row],[spawner_sku]],LEN(Table3[[#This Row],[spawner_sku]])-FIND("/",Table3[[#This Row],[spawner_sku]])),Table28[Entity Prefab],0)),24,1,1,"Entities"))</f>
        <v>no</v>
      </c>
      <c r="T49">
        <v>5</v>
      </c>
      <c r="U49">
        <v>8</v>
      </c>
      <c r="V49" t="b">
        <v>1</v>
      </c>
      <c r="W49" s="71"/>
      <c r="X49" t="s">
        <v>367</v>
      </c>
      <c r="Y49">
        <v>1</v>
      </c>
      <c r="Z49">
        <v>170</v>
      </c>
      <c r="AA49">
        <v>100</v>
      </c>
      <c r="AB49" s="74">
        <f ca="1">INDIRECT(ADDRESS(11+(MATCH(RIGHT(Table39[[#This Row],[spawner_sku]],LEN(Table39[[#This Row],[spawner_sku]])-FIND("/",Table39[[#This Row],[spawner_sku]])),Table1[Entity Prefab],0)),10,1,1,"Entities"))</f>
        <v>75</v>
      </c>
      <c r="AC49" s="74">
        <f ca="1">ROUND((Table39[[#This Row],[XP]]*Table39[[#This Row],[entity_spawned (AVG)]])*(Table39[[#This Row],[activating_chance]]/100),0)</f>
        <v>75</v>
      </c>
      <c r="AD49" t="str">
        <f ca="1">INDIRECT(ADDRESS(11+(MATCH(RIGHT(Table39[[#This Row],[spawner_sku]],LEN(Table39[[#This Row],[spawner_sku]])-FIND("/",Table39[[#This Row],[spawner_sku]])),Table28[Entity Prefab],0)),24,1,1,"Entities"))</f>
        <v>no</v>
      </c>
      <c r="AE49">
        <v>1</v>
      </c>
      <c r="AF49">
        <v>1</v>
      </c>
      <c r="AG49" t="b">
        <v>0</v>
      </c>
      <c r="AI49" t="s">
        <v>215</v>
      </c>
      <c r="AJ49">
        <v>2</v>
      </c>
      <c r="AK49">
        <v>100</v>
      </c>
      <c r="AL49">
        <v>85</v>
      </c>
      <c r="AM49" s="74">
        <f ca="1">INDIRECT(ADDRESS(11+(MATCH(RIGHT(Table2[[#This Row],[spawner_sku]],LEN(Table2[[#This Row],[spawner_sku]])-FIND("/",Table2[[#This Row],[spawner_sku]])),Table1[Entity Prefab],0)),10,1,1,"Entities"))</f>
        <v>25</v>
      </c>
      <c r="AN49" s="74">
        <f ca="1">ROUND((Table2[[#This Row],[XP]]*Table2[[#This Row],[entity_spawned (AVG)]])*(Table2[[#This Row],[activating_chance]]/100),0)</f>
        <v>43</v>
      </c>
      <c r="AO49" s="71" t="str">
        <f ca="1">INDIRECT(ADDRESS(11+(MATCH(RIGHT(Table2[[#This Row],[spawner_sku]],LEN(Table2[[#This Row],[spawner_sku]])-FIND("/",Table2[[#This Row],[spawner_sku]])),Table28[Entity Prefab],0)),24,1,1,"Entities"))</f>
        <v>no</v>
      </c>
      <c r="AP49" s="71">
        <v>1</v>
      </c>
      <c r="AQ49" s="71">
        <v>3</v>
      </c>
      <c r="AR49" s="71" t="b">
        <v>0</v>
      </c>
      <c r="AT49" t="s">
        <v>376</v>
      </c>
      <c r="AU49">
        <v>2.5</v>
      </c>
      <c r="AV49">
        <v>200</v>
      </c>
      <c r="AW49">
        <v>100</v>
      </c>
      <c r="AX49" s="74">
        <f ca="1">INDIRECT(ADDRESS(11+(MATCH(RIGHT(Table6[[#This Row],[spawner_sku]],LEN(Table6[[#This Row],[spawner_sku]])-FIND("/",Table6[[#This Row],[spawner_sku]])),Table1[Entity Prefab],0)),10,1,1,"Entities"))</f>
        <v>25</v>
      </c>
      <c r="AY49" s="74">
        <f ca="1">ROUND((Table6[[#This Row],[XP]]*Table6[[#This Row],[entity_spawned (AVG)]])*(Table6[[#This Row],[activating_chance]]/100),0)</f>
        <v>63</v>
      </c>
      <c r="AZ49" s="144" t="str">
        <f ca="1">INDIRECT(ADDRESS(11+(MATCH(RIGHT(Table6[[#This Row],[spawner_sku]],LEN(Table6[[#This Row],[spawner_sku]])-FIND("/",Table6[[#This Row],[spawner_sku]])),Table28[Entity Prefab],0)),24,1,1,"Entities"))</f>
        <v>no</v>
      </c>
      <c r="BA49">
        <v>2</v>
      </c>
      <c r="BB49">
        <v>3</v>
      </c>
      <c r="BC49" t="b">
        <v>0</v>
      </c>
      <c r="BE49" t="s">
        <v>214</v>
      </c>
      <c r="BF49">
        <v>3.5</v>
      </c>
      <c r="BG49">
        <v>100</v>
      </c>
      <c r="BH49">
        <v>100</v>
      </c>
      <c r="BI49" s="74">
        <f ca="1">INDIRECT(ADDRESS(11+(MATCH(RIGHT(Table610[[#This Row],[spawner_sku]],LEN(Table610[[#This Row],[spawner_sku]])-FIND("/",Table610[[#This Row],[spawner_sku]])),Table1[Entity Prefab],0)),10,1,1,"Entities"))</f>
        <v>25</v>
      </c>
      <c r="BJ49" s="74">
        <f ca="1">ROUND((Table610[[#This Row],[XP]]*Table610[[#This Row],[entity_spawned (AVG)]])*(Table610[[#This Row],[activating_chance]]/100),0)</f>
        <v>88</v>
      </c>
      <c r="BK49" s="71" t="str">
        <f ca="1">INDIRECT(ADDRESS(11+(MATCH(RIGHT(Table610[[#This Row],[spawner_sku]],LEN(Table610[[#This Row],[spawner_sku]])-FIND("/",Table610[[#This Row],[spawner_sku]])),Table28[Entity Prefab],0)),24,1,1,"Entities"))</f>
        <v>no</v>
      </c>
      <c r="BL49">
        <v>3</v>
      </c>
      <c r="BM49">
        <v>4</v>
      </c>
      <c r="BN49" t="b">
        <v>0</v>
      </c>
      <c r="BP49" t="s">
        <v>215</v>
      </c>
      <c r="BQ49">
        <v>5.5</v>
      </c>
      <c r="BR49">
        <v>200</v>
      </c>
      <c r="BS49">
        <v>100</v>
      </c>
      <c r="BT49" s="74">
        <f ca="1">INDIRECT(ADDRESS(11+(MATCH(RIGHT(Table61011[[#This Row],[spawner_sku]],LEN(Table61011[[#This Row],[spawner_sku]])-FIND("/",Table61011[[#This Row],[spawner_sku]])),Table1[Entity Prefab],0)),10,1,1,"Entities"))</f>
        <v>25</v>
      </c>
      <c r="BU49" s="74">
        <f ca="1">ROUND((Table61011[[#This Row],[XP]]*Table61011[[#This Row],[entity_spawned (AVG)]])*(Table61011[[#This Row],[activating_chance]]/100),0)</f>
        <v>138</v>
      </c>
      <c r="BV49" s="71" t="str">
        <f ca="1">INDIRECT(ADDRESS(11+(MATCH(RIGHT(Table61011[[#This Row],[spawner_sku]],LEN(Table61011[[#This Row],[spawner_sku]])-FIND("/",Table61011[[#This Row],[spawner_sku]])),Table28[Entity Prefab],0)),24,1,1,"Entities"))</f>
        <v>no</v>
      </c>
      <c r="BW49" s="71">
        <v>5</v>
      </c>
      <c r="BX49" s="71">
        <v>6</v>
      </c>
      <c r="BY49" s="71" t="b">
        <v>1</v>
      </c>
      <c r="BZ49" s="71"/>
      <c r="CA49" s="147" t="s">
        <v>232</v>
      </c>
      <c r="CB49">
        <v>5</v>
      </c>
      <c r="CC49">
        <v>90</v>
      </c>
      <c r="CD49">
        <v>100</v>
      </c>
      <c r="CE49" s="74">
        <f ca="1">INDIRECT(ADDRESS(11+(MATCH(RIGHT(Table35[[#This Row],[spawner_sku]],LEN(Table35[[#This Row],[spawner_sku]])-FIND("/",Table35[[#This Row],[spawner_sku]])),Table1[Entity Prefab],0)),10,1,1,"Entities"))</f>
        <v>25</v>
      </c>
      <c r="CF49" s="74">
        <f ca="1">ROUND((Table35[[#This Row],[XP]]*Table35[[#This Row],[entity_spawned (AVG)]])*(Table35[[#This Row],[activating_chance]]/100),0)</f>
        <v>125</v>
      </c>
      <c r="CG49" s="144" t="str">
        <f ca="1">INDIRECT(ADDRESS(11+(MATCH(RIGHT(Table35[[#This Row],[spawner_sku]],LEN(Table35[[#This Row],[spawner_sku]])-FIND("/",Table35[[#This Row],[spawner_sku]])),Table28[Entity Prefab],0)),24,1,1,"Entities"))</f>
        <v>no</v>
      </c>
      <c r="CH49">
        <v>5</v>
      </c>
      <c r="CI49">
        <v>5</v>
      </c>
      <c r="CJ49" s="71" t="b">
        <v>1</v>
      </c>
      <c r="CL49" t="s">
        <v>215</v>
      </c>
      <c r="CM49">
        <v>3.5</v>
      </c>
      <c r="CN49">
        <v>180</v>
      </c>
      <c r="CO49">
        <v>80</v>
      </c>
      <c r="CP49" s="74">
        <f ca="1">INDIRECT(ADDRESS(11+(MATCH(RIGHT(Table11[[#This Row],[spawner_sku]],LEN(Table11[[#This Row],[spawner_sku]])-FIND("/",Table11[[#This Row],[spawner_sku]])),Table1[Entity Prefab],0)),10,1,1,"Entities"))</f>
        <v>25</v>
      </c>
      <c r="CQ49">
        <f ca="1">ROUND((Table11[[#This Row],[XP]]*Table11[[#This Row],[entity_spawned (AVG)]])*(Table11[[#This Row],[activating_chance]]/100),0)</f>
        <v>70</v>
      </c>
      <c r="CR49" s="144" t="str">
        <f ca="1">INDIRECT(ADDRESS(11+(MATCH(RIGHT(Table11[[#This Row],[spawner_sku]],LEN(Table11[[#This Row],[spawner_sku]])-FIND("/",Table11[[#This Row],[spawner_sku]])),Table28[Entity Prefab],0)),25,1,1,"Entities"))</f>
        <v>no</v>
      </c>
      <c r="CS49" s="71">
        <v>3</v>
      </c>
      <c r="CT49" s="71">
        <v>4</v>
      </c>
      <c r="CU49" s="71" t="b">
        <v>0</v>
      </c>
      <c r="CW49" t="s">
        <v>215</v>
      </c>
      <c r="CX49">
        <v>1.5</v>
      </c>
      <c r="CY49">
        <v>180</v>
      </c>
      <c r="CZ49">
        <v>30</v>
      </c>
      <c r="DA49" s="74">
        <f ca="1">INDIRECT(ADDRESS(11+(MATCH(RIGHT(Table12[[#This Row],[spawner_sku]],LEN(Table12[[#This Row],[spawner_sku]])-FIND("/",Table12[[#This Row],[spawner_sku]])),Table1[Entity Prefab],0)),10,1,1,"Entities"))</f>
        <v>25</v>
      </c>
      <c r="DB49" s="74">
        <f ca="1">ROUND((Table12[[#This Row],[XP]]*Table12[[#This Row],[entity_spawned (AVG)]])*(Table12[[#This Row],[activating_chance]]/100),0)</f>
        <v>11</v>
      </c>
      <c r="DC49" s="144" t="str">
        <f ca="1">INDIRECT(ADDRESS(11+(MATCH(RIGHT(Table12[[#This Row],[spawner_sku]],LEN(Table12[[#This Row],[spawner_sku]])-FIND("/",Table12[[#This Row],[spawner_sku]])),Table28[Entity Prefab],0)),25,1,1,"Entities"))</f>
        <v>no</v>
      </c>
      <c r="DD49" s="71">
        <v>1</v>
      </c>
      <c r="DE49" s="71">
        <v>2</v>
      </c>
      <c r="DF49" s="71" t="b">
        <v>0</v>
      </c>
      <c r="DH49" t="s">
        <v>376</v>
      </c>
      <c r="DI49">
        <v>3.5</v>
      </c>
      <c r="DJ49">
        <v>200</v>
      </c>
      <c r="DK49">
        <v>80</v>
      </c>
      <c r="DL49" s="74">
        <f ca="1">INDIRECT(ADDRESS(11+(MATCH(RIGHT(Table13[[#This Row],[spawner_sku]],LEN(Table13[[#This Row],[spawner_sku]])-FIND("/",Table13[[#This Row],[spawner_sku]])),Table1[Entity Prefab],0)),10,1,1,"Entities"))</f>
        <v>25</v>
      </c>
      <c r="DM49" s="74">
        <f ca="1">ROUND((Table13[[#This Row],[XP]]*Table13[[#This Row],[entity_spawned (AVG)]])*(Table13[[#This Row],[activating_chance]]/100),0)</f>
        <v>70</v>
      </c>
      <c r="DN49" s="144" t="str">
        <f ca="1">INDIRECT(ADDRESS(11+(MATCH(RIGHT(Table13[[#This Row],[spawner_sku]],LEN(Table13[[#This Row],[spawner_sku]])-FIND("/",Table13[[#This Row],[spawner_sku]])),Table28[Entity Prefab],0)),25,1,1,"Entities"))</f>
        <v>no</v>
      </c>
      <c r="DO49" s="71">
        <v>3</v>
      </c>
      <c r="DP49" s="71">
        <v>4</v>
      </c>
      <c r="DQ49" s="71" t="b">
        <v>0</v>
      </c>
      <c r="DS49" t="s">
        <v>214</v>
      </c>
      <c r="DT49">
        <v>9</v>
      </c>
      <c r="DU49">
        <v>180</v>
      </c>
      <c r="DV49">
        <v>100</v>
      </c>
      <c r="DW49" s="74">
        <f ca="1">INDIRECT(ADDRESS(11+(MATCH(RIGHT(Table14[[#This Row],[spawner_sku]],LEN(Table14[[#This Row],[spawner_sku]])-FIND("/",Table14[[#This Row],[spawner_sku]])),Table1[Entity Prefab],0)),10,1,1,"Entities"))</f>
        <v>25</v>
      </c>
      <c r="DX49" s="74">
        <f ca="1">ROUND((Table14[[#This Row],[XP]]*Table14[[#This Row],[entity_spawned (AVG)]])*(Table14[[#This Row],[activating_chance]]/100),0)</f>
        <v>225</v>
      </c>
      <c r="DY49" s="144" t="str">
        <f ca="1">INDIRECT(ADDRESS(11+(MATCH(RIGHT(Table14[[#This Row],[spawner_sku]],LEN(Table14[[#This Row],[spawner_sku]])-FIND("/",Table14[[#This Row],[spawner_sku]])),Table28[Entity Prefab],0)),25,1,1,"Entities"))</f>
        <v>no</v>
      </c>
      <c r="DZ49" s="71">
        <v>8</v>
      </c>
      <c r="EA49" s="71">
        <v>10</v>
      </c>
      <c r="EB49" s="71" t="b">
        <v>1</v>
      </c>
      <c r="EC49" s="71"/>
      <c r="ED49" s="147" t="s">
        <v>570</v>
      </c>
      <c r="EE49" s="71">
        <v>1</v>
      </c>
      <c r="EF49" s="71">
        <v>120</v>
      </c>
      <c r="EG49" s="71">
        <v>100</v>
      </c>
      <c r="EH49" s="71">
        <f ca="1">INDIRECT(ADDRESS(11+(MATCH(RIGHT(Table36[[#This Row],[spawner_sku]],LEN(Table36[[#This Row],[spawner_sku]])-FIND("/",Table36[[#This Row],[spawner_sku]])),Table1[Entity Prefab],0)),10,1,1,"Entities"))</f>
        <v>50</v>
      </c>
      <c r="EI49" s="71">
        <f ca="1">ROUND((Table36[[#This Row],[XP]]*Table36[[#This Row],[entity_spawned (AVG)]])*(Table36[[#This Row],[activating_chance]]/100),0)</f>
        <v>50</v>
      </c>
      <c r="EJ49" s="71" t="str">
        <f ca="1">INDIRECT(ADDRESS(11+(MATCH(RIGHT(Table36[[#This Row],[spawner_sku]],LEN(Table36[[#This Row],[spawner_sku]])-FIND("/",Table36[[#This Row],[spawner_sku]])),Table28[Entity Prefab],0)),25,1,1,"Entities"))</f>
        <v>no</v>
      </c>
      <c r="EK49" s="71">
        <v>1</v>
      </c>
      <c r="EL49" s="71">
        <v>1</v>
      </c>
      <c r="EM49" s="71" t="b">
        <v>0</v>
      </c>
      <c r="EO49" t="s">
        <v>214</v>
      </c>
      <c r="EP49">
        <v>5.5</v>
      </c>
      <c r="EQ49">
        <v>160</v>
      </c>
      <c r="ER49">
        <v>100</v>
      </c>
      <c r="ES49" s="74">
        <f ca="1">INDIRECT(ADDRESS(11+(MATCH(RIGHT(Table18[[#This Row],[spawner_sku]],LEN(Table18[[#This Row],[spawner_sku]])-FIND("/",Table18[[#This Row],[spawner_sku]])),Table1[Entity Prefab],0)),10,1,1,"Entities"))</f>
        <v>25</v>
      </c>
      <c r="ET49" s="74">
        <f ca="1">ROUND((Table18[[#This Row],[XP]]*Table18[[#This Row],[entity_spawned (AVG)]])*(Table18[[#This Row],[activating_chance]]/100),0)</f>
        <v>138</v>
      </c>
      <c r="EU49" s="74" t="str">
        <f ca="1">INDIRECT(ADDRESS(11+(MATCH(RIGHT(Table18[[#This Row],[spawner_sku]],LEN(Table18[[#This Row],[spawner_sku]])-FIND("/",Table18[[#This Row],[spawner_sku]])),Table28[Entity Prefab],0)),26,1,1,"Entities"))</f>
        <v>no</v>
      </c>
      <c r="EV49">
        <v>5</v>
      </c>
      <c r="EW49">
        <v>6</v>
      </c>
      <c r="EX49" t="b">
        <v>1</v>
      </c>
      <c r="EZ49" t="s">
        <v>214</v>
      </c>
      <c r="FA49">
        <v>7.5</v>
      </c>
      <c r="FB49">
        <v>140</v>
      </c>
      <c r="FC49">
        <v>100</v>
      </c>
      <c r="FD49" s="74">
        <f ca="1">INDIRECT(ADDRESS(11+(MATCH(RIGHT(Table1820[[#This Row],[spawner_sku]],LEN(Table1820[[#This Row],[spawner_sku]])-FIND("/",Table1820[[#This Row],[spawner_sku]])),Table1[Entity Prefab],0)),10,1,1,"Entities"))</f>
        <v>25</v>
      </c>
      <c r="FE49" s="74">
        <f ca="1">ROUND((Table1820[[#This Row],[XP]]*Table1820[[#This Row],[entity_spawned (AVG)]])*(Table1820[[#This Row],[activating_chance]]/100),0)</f>
        <v>188</v>
      </c>
      <c r="FF49" s="74" t="str">
        <f ca="1">INDIRECT(ADDRESS(11+(MATCH(RIGHT(Table1820[[#This Row],[spawner_sku]],LEN(Table1820[[#This Row],[spawner_sku]])-FIND("/",Table1820[[#This Row],[spawner_sku]])),Table28[Entity Prefab],0)),26,1,1,"Entities"))</f>
        <v>no</v>
      </c>
      <c r="FG49">
        <v>5</v>
      </c>
      <c r="FH49">
        <v>10</v>
      </c>
      <c r="FI49" t="b">
        <v>1</v>
      </c>
      <c r="FK49" t="s">
        <v>2699</v>
      </c>
      <c r="FL49">
        <v>1</v>
      </c>
      <c r="FM49">
        <v>95</v>
      </c>
      <c r="FN49">
        <v>100</v>
      </c>
      <c r="FO49">
        <f ca="1">INDIRECT(ADDRESS(11+(MATCH(RIGHT(Table182023[[#This Row],[spawner_sku]],LEN(Table182023[[#This Row],[spawner_sku]])-FIND("/",Table182023[[#This Row],[spawner_sku]])),Table1[Entity Prefab],0)),10,1,1,"Entities"))</f>
        <v>100</v>
      </c>
      <c r="FP49">
        <f ca="1">ROUND((Table182023[[#This Row],[XP]]*Table182023[[#This Row],[entity_spawned (AVG)]])*(Table182023[[#This Row],[activating_chance]]/100),0)</f>
        <v>100</v>
      </c>
      <c r="FQ49" t="str">
        <f ca="1">INDIRECT(ADDRESS(11+(MATCH(RIGHT(Table182023[[#This Row],[spawner_sku]],LEN(Table182023[[#This Row],[spawner_sku]])-FIND("/",Table182023[[#This Row],[spawner_sku]])),Table28[Entity Prefab],0)),26,1,1,"Entities"))</f>
        <v>no</v>
      </c>
      <c r="FR49">
        <v>1</v>
      </c>
      <c r="FS49">
        <v>1</v>
      </c>
      <c r="FT49" t="b">
        <v>0</v>
      </c>
      <c r="FV49" t="s">
        <v>448</v>
      </c>
      <c r="FW49">
        <v>1</v>
      </c>
      <c r="FX49">
        <v>210</v>
      </c>
      <c r="FY49">
        <v>80</v>
      </c>
      <c r="FZ49" s="74">
        <f ca="1">INDIRECT(ADDRESS(11+(MATCH(RIGHT(Table18202324[[#This Row],[spawner_sku]],LEN(Table18202324[[#This Row],[spawner_sku]])-FIND("/",Table18202324[[#This Row],[spawner_sku]])),Table1[Entity Prefab],0)),10,1,1,"Entities"))</f>
        <v>143</v>
      </c>
      <c r="GA49" s="74">
        <f ca="1">ROUND((Table18202324[[#This Row],[XP]]*Table18202324[[#This Row],[entity_spawned (AVG)]])*(Table18202324[[#This Row],[activating_chance]]/100),0)</f>
        <v>114</v>
      </c>
      <c r="GB49" s="74" t="str">
        <f ca="1">INDIRECT(ADDRESS(11+(MATCH(RIGHT(Table18202324[[#This Row],[spawner_sku]],LEN(Table18202324[[#This Row],[spawner_sku]])-FIND("/",Table18202324[[#This Row],[spawner_sku]])),Table28[Entity Prefab],0)),26,1,1,"Entities"))</f>
        <v>yes</v>
      </c>
      <c r="GC49">
        <v>1</v>
      </c>
      <c r="GD49">
        <v>1</v>
      </c>
      <c r="GE49" t="b">
        <v>0</v>
      </c>
      <c r="GG49" t="s">
        <v>3818</v>
      </c>
      <c r="GH49">
        <v>1</v>
      </c>
      <c r="GI49">
        <v>240</v>
      </c>
      <c r="GJ49">
        <v>100</v>
      </c>
      <c r="GK49">
        <f ca="1">INDIRECT(ADDRESS(11+(MATCH(RIGHT(Table37[[#This Row],[spawner_sku]],LEN(Table37[[#This Row],[spawner_sku]])-FIND("/",Table37[[#This Row],[spawner_sku]])),Table1[Entity Prefab],0)),10,1,1,"Entities"))</f>
        <v>10</v>
      </c>
      <c r="GL49">
        <f ca="1">ROUND((Table37[[#This Row],[XP]]*Table37[[#This Row],[entity_spawned (AVG)]])*(Table37[[#This Row],[activating_chance]]/100),0)</f>
        <v>10</v>
      </c>
      <c r="GM49" t="str">
        <f ca="1">INDIRECT(ADDRESS(11+(MATCH(RIGHT(Table37[[#This Row],[spawner_sku]],LEN(Table37[[#This Row],[spawner_sku]])-FIND("/",Table37[[#This Row],[spawner_sku]])),Table28[Entity Prefab],0)),26,1,1,"Entities"))</f>
        <v>no</v>
      </c>
      <c r="GN49">
        <v>1</v>
      </c>
      <c r="GO49">
        <v>1</v>
      </c>
      <c r="GP49" t="b">
        <v>0</v>
      </c>
    </row>
    <row r="50" spans="2:198" x14ac:dyDescent="0.25">
      <c r="B50" s="72" t="s">
        <v>215</v>
      </c>
      <c r="C50">
        <v>1.5</v>
      </c>
      <c r="D50">
        <v>100</v>
      </c>
      <c r="E50">
        <v>100</v>
      </c>
      <c r="F50" s="74">
        <f ca="1">INDIRECT(ADDRESS(11+(MATCH(RIGHT(Table245[[#This Row],[spawner_sku]],LEN(Table245[[#This Row],[spawner_sku]])-FIND("/",Table245[[#This Row],[spawner_sku]])),Table1[Entity Prefab],0)),10,1,1,"Entities"))</f>
        <v>25</v>
      </c>
      <c r="G50" s="74">
        <f ca="1">ROUND((Table245[[#This Row],[XP]]*Table245[[#This Row],[entity_spawned (AVG)]])*(Table245[[#This Row],[activating_chance]]/100),0)</f>
        <v>38</v>
      </c>
      <c r="H50" s="71" t="str">
        <f ca="1">INDIRECT(ADDRESS(11+(MATCH(RIGHT(Table245[[#This Row],[spawner_sku]],LEN(Table245[[#This Row],[spawner_sku]])-FIND("/",Table245[[#This Row],[spawner_sku]])),Table28[Entity Prefab],0)),24,1,1,"Entities"))</f>
        <v>no</v>
      </c>
      <c r="I50" s="71">
        <v>1</v>
      </c>
      <c r="J50" s="71">
        <v>2</v>
      </c>
      <c r="K50" s="71" t="b">
        <v>0</v>
      </c>
      <c r="M50" t="s">
        <v>216</v>
      </c>
      <c r="N50">
        <v>6.5</v>
      </c>
      <c r="O50">
        <v>170</v>
      </c>
      <c r="P50">
        <v>100</v>
      </c>
      <c r="Q50" s="74">
        <f ca="1">INDIRECT(ADDRESS(11+(MATCH(RIGHT(Table3[[#This Row],[spawner_sku]],LEN(Table3[[#This Row],[spawner_sku]])-FIND("/",Table3[[#This Row],[spawner_sku]])),Table1[Entity Prefab],0)),10,1,1,"Entities"))</f>
        <v>25</v>
      </c>
      <c r="R50" s="74">
        <f ca="1">ROUND((Table3[[#This Row],[XP]]*Table3[[#This Row],[entity_spawned (AVG)]])*(Table3[[#This Row],[activating_chance]]/100),0)</f>
        <v>163</v>
      </c>
      <c r="S50" t="str">
        <f ca="1">INDIRECT(ADDRESS(11+(MATCH(RIGHT(Table3[[#This Row],[spawner_sku]],LEN(Table3[[#This Row],[spawner_sku]])-FIND("/",Table3[[#This Row],[spawner_sku]])),Table28[Entity Prefab],0)),24,1,1,"Entities"))</f>
        <v>no</v>
      </c>
      <c r="T50">
        <v>5</v>
      </c>
      <c r="U50">
        <v>8</v>
      </c>
      <c r="V50" t="b">
        <v>1</v>
      </c>
      <c r="W50" s="71"/>
      <c r="X50" t="s">
        <v>367</v>
      </c>
      <c r="Y50">
        <v>1.5</v>
      </c>
      <c r="Z50">
        <v>170</v>
      </c>
      <c r="AA50">
        <v>100</v>
      </c>
      <c r="AB50" s="74">
        <f ca="1">INDIRECT(ADDRESS(11+(MATCH(RIGHT(Table39[[#This Row],[spawner_sku]],LEN(Table39[[#This Row],[spawner_sku]])-FIND("/",Table39[[#This Row],[spawner_sku]])),Table1[Entity Prefab],0)),10,1,1,"Entities"))</f>
        <v>75</v>
      </c>
      <c r="AC50" s="74">
        <f ca="1">ROUND((Table39[[#This Row],[XP]]*Table39[[#This Row],[entity_spawned (AVG)]])*(Table39[[#This Row],[activating_chance]]/100),0)</f>
        <v>113</v>
      </c>
      <c r="AD50" t="str">
        <f ca="1">INDIRECT(ADDRESS(11+(MATCH(RIGHT(Table39[[#This Row],[spawner_sku]],LEN(Table39[[#This Row],[spawner_sku]])-FIND("/",Table39[[#This Row],[spawner_sku]])),Table28[Entity Prefab],0)),24,1,1,"Entities"))</f>
        <v>no</v>
      </c>
      <c r="AE50">
        <v>1</v>
      </c>
      <c r="AF50">
        <v>2</v>
      </c>
      <c r="AG50" t="b">
        <v>0</v>
      </c>
      <c r="AI50" t="s">
        <v>215</v>
      </c>
      <c r="AJ50">
        <v>3</v>
      </c>
      <c r="AK50">
        <v>120</v>
      </c>
      <c r="AL50">
        <v>100</v>
      </c>
      <c r="AM50" s="74">
        <f ca="1">INDIRECT(ADDRESS(11+(MATCH(RIGHT(Table2[[#This Row],[spawner_sku]],LEN(Table2[[#This Row],[spawner_sku]])-FIND("/",Table2[[#This Row],[spawner_sku]])),Table1[Entity Prefab],0)),10,1,1,"Entities"))</f>
        <v>25</v>
      </c>
      <c r="AN50" s="74">
        <f ca="1">ROUND((Table2[[#This Row],[XP]]*Table2[[#This Row],[entity_spawned (AVG)]])*(Table2[[#This Row],[activating_chance]]/100),0)</f>
        <v>75</v>
      </c>
      <c r="AO50" s="71" t="str">
        <f ca="1">INDIRECT(ADDRESS(11+(MATCH(RIGHT(Table2[[#This Row],[spawner_sku]],LEN(Table2[[#This Row],[spawner_sku]])-FIND("/",Table2[[#This Row],[spawner_sku]])),Table28[Entity Prefab],0)),24,1,1,"Entities"))</f>
        <v>no</v>
      </c>
      <c r="AP50" s="71">
        <v>2</v>
      </c>
      <c r="AQ50" s="71">
        <v>4</v>
      </c>
      <c r="AR50" s="71" t="b">
        <v>0</v>
      </c>
      <c r="AT50" t="s">
        <v>376</v>
      </c>
      <c r="AU50">
        <v>8</v>
      </c>
      <c r="AV50">
        <v>200</v>
      </c>
      <c r="AW50">
        <v>100</v>
      </c>
      <c r="AX50" s="74">
        <f ca="1">INDIRECT(ADDRESS(11+(MATCH(RIGHT(Table6[[#This Row],[spawner_sku]],LEN(Table6[[#This Row],[spawner_sku]])-FIND("/",Table6[[#This Row],[spawner_sku]])),Table1[Entity Prefab],0)),10,1,1,"Entities"))</f>
        <v>25</v>
      </c>
      <c r="AY50" s="74">
        <f ca="1">ROUND((Table6[[#This Row],[XP]]*Table6[[#This Row],[entity_spawned (AVG)]])*(Table6[[#This Row],[activating_chance]]/100),0)</f>
        <v>200</v>
      </c>
      <c r="AZ50" s="144" t="str">
        <f ca="1">INDIRECT(ADDRESS(11+(MATCH(RIGHT(Table6[[#This Row],[spawner_sku]],LEN(Table6[[#This Row],[spawner_sku]])-FIND("/",Table6[[#This Row],[spawner_sku]])),Table28[Entity Prefab],0)),24,1,1,"Entities"))</f>
        <v>no</v>
      </c>
      <c r="BA50">
        <v>8</v>
      </c>
      <c r="BB50">
        <v>8</v>
      </c>
      <c r="BC50" t="b">
        <v>1</v>
      </c>
      <c r="BE50" t="s">
        <v>214</v>
      </c>
      <c r="BF50">
        <v>3.5</v>
      </c>
      <c r="BG50">
        <v>100</v>
      </c>
      <c r="BH50">
        <v>100</v>
      </c>
      <c r="BI50" s="74">
        <f ca="1">INDIRECT(ADDRESS(11+(MATCH(RIGHT(Table610[[#This Row],[spawner_sku]],LEN(Table610[[#This Row],[spawner_sku]])-FIND("/",Table610[[#This Row],[spawner_sku]])),Table1[Entity Prefab],0)),10,1,1,"Entities"))</f>
        <v>25</v>
      </c>
      <c r="BJ50" s="74">
        <f ca="1">ROUND((Table610[[#This Row],[XP]]*Table610[[#This Row],[entity_spawned (AVG)]])*(Table610[[#This Row],[activating_chance]]/100),0)</f>
        <v>88</v>
      </c>
      <c r="BK50" s="71" t="str">
        <f ca="1">INDIRECT(ADDRESS(11+(MATCH(RIGHT(Table610[[#This Row],[spawner_sku]],LEN(Table610[[#This Row],[spawner_sku]])-FIND("/",Table610[[#This Row],[spawner_sku]])),Table28[Entity Prefab],0)),24,1,1,"Entities"))</f>
        <v>no</v>
      </c>
      <c r="BL50">
        <v>3</v>
      </c>
      <c r="BM50">
        <v>4</v>
      </c>
      <c r="BN50" t="b">
        <v>0</v>
      </c>
      <c r="BP50" t="s">
        <v>215</v>
      </c>
      <c r="BQ50">
        <v>5.5</v>
      </c>
      <c r="BR50">
        <v>210</v>
      </c>
      <c r="BS50">
        <v>100</v>
      </c>
      <c r="BT50" s="74">
        <f ca="1">INDIRECT(ADDRESS(11+(MATCH(RIGHT(Table61011[[#This Row],[spawner_sku]],LEN(Table61011[[#This Row],[spawner_sku]])-FIND("/",Table61011[[#This Row],[spawner_sku]])),Table1[Entity Prefab],0)),10,1,1,"Entities"))</f>
        <v>25</v>
      </c>
      <c r="BU50" s="74">
        <f ca="1">ROUND((Table61011[[#This Row],[XP]]*Table61011[[#This Row],[entity_spawned (AVG)]])*(Table61011[[#This Row],[activating_chance]]/100),0)</f>
        <v>138</v>
      </c>
      <c r="BV50" s="71" t="str">
        <f ca="1">INDIRECT(ADDRESS(11+(MATCH(RIGHT(Table61011[[#This Row],[spawner_sku]],LEN(Table61011[[#This Row],[spawner_sku]])-FIND("/",Table61011[[#This Row],[spawner_sku]])),Table28[Entity Prefab],0)),24,1,1,"Entities"))</f>
        <v>no</v>
      </c>
      <c r="BW50" s="71">
        <v>5</v>
      </c>
      <c r="BX50" s="71">
        <v>6</v>
      </c>
      <c r="BY50" s="71" t="b">
        <v>1</v>
      </c>
      <c r="BZ50" s="71"/>
      <c r="CA50" s="147" t="s">
        <v>232</v>
      </c>
      <c r="CB50">
        <v>5</v>
      </c>
      <c r="CC50">
        <v>90</v>
      </c>
      <c r="CD50">
        <v>100</v>
      </c>
      <c r="CE50" s="74">
        <f ca="1">INDIRECT(ADDRESS(11+(MATCH(RIGHT(Table35[[#This Row],[spawner_sku]],LEN(Table35[[#This Row],[spawner_sku]])-FIND("/",Table35[[#This Row],[spawner_sku]])),Table1[Entity Prefab],0)),10,1,1,"Entities"))</f>
        <v>25</v>
      </c>
      <c r="CF50" s="74">
        <f ca="1">ROUND((Table35[[#This Row],[XP]]*Table35[[#This Row],[entity_spawned (AVG)]])*(Table35[[#This Row],[activating_chance]]/100),0)</f>
        <v>125</v>
      </c>
      <c r="CG50" s="144" t="str">
        <f ca="1">INDIRECT(ADDRESS(11+(MATCH(RIGHT(Table35[[#This Row],[spawner_sku]],LEN(Table35[[#This Row],[spawner_sku]])-FIND("/",Table35[[#This Row],[spawner_sku]])),Table28[Entity Prefab],0)),24,1,1,"Entities"))</f>
        <v>no</v>
      </c>
      <c r="CH50">
        <v>5</v>
      </c>
      <c r="CI50">
        <v>5</v>
      </c>
      <c r="CJ50" s="71" t="b">
        <v>1</v>
      </c>
      <c r="CL50" t="s">
        <v>215</v>
      </c>
      <c r="CM50">
        <v>5</v>
      </c>
      <c r="CN50">
        <v>180</v>
      </c>
      <c r="CO50">
        <v>100</v>
      </c>
      <c r="CP50" s="74">
        <f ca="1">INDIRECT(ADDRESS(11+(MATCH(RIGHT(Table11[[#This Row],[spawner_sku]],LEN(Table11[[#This Row],[spawner_sku]])-FIND("/",Table11[[#This Row],[spawner_sku]])),Table1[Entity Prefab],0)),10,1,1,"Entities"))</f>
        <v>25</v>
      </c>
      <c r="CQ50">
        <f ca="1">ROUND((Table11[[#This Row],[XP]]*Table11[[#This Row],[entity_spawned (AVG)]])*(Table11[[#This Row],[activating_chance]]/100),0)</f>
        <v>125</v>
      </c>
      <c r="CR50" s="144" t="str">
        <f ca="1">INDIRECT(ADDRESS(11+(MATCH(RIGHT(Table11[[#This Row],[spawner_sku]],LEN(Table11[[#This Row],[spawner_sku]])-FIND("/",Table11[[#This Row],[spawner_sku]])),Table28[Entity Prefab],0)),25,1,1,"Entities"))</f>
        <v>no</v>
      </c>
      <c r="CS50" s="71">
        <v>5</v>
      </c>
      <c r="CT50" s="71">
        <v>5</v>
      </c>
      <c r="CU50" s="71" t="b">
        <v>1</v>
      </c>
      <c r="CW50" t="s">
        <v>215</v>
      </c>
      <c r="CX50">
        <v>1.5</v>
      </c>
      <c r="CY50">
        <v>180</v>
      </c>
      <c r="CZ50">
        <v>100</v>
      </c>
      <c r="DA50" s="74">
        <f ca="1">INDIRECT(ADDRESS(11+(MATCH(RIGHT(Table12[[#This Row],[spawner_sku]],LEN(Table12[[#This Row],[spawner_sku]])-FIND("/",Table12[[#This Row],[spawner_sku]])),Table1[Entity Prefab],0)),10,1,1,"Entities"))</f>
        <v>25</v>
      </c>
      <c r="DB50" s="74">
        <f ca="1">ROUND((Table12[[#This Row],[XP]]*Table12[[#This Row],[entity_spawned (AVG)]])*(Table12[[#This Row],[activating_chance]]/100),0)</f>
        <v>38</v>
      </c>
      <c r="DC50" s="144" t="str">
        <f ca="1">INDIRECT(ADDRESS(11+(MATCH(RIGHT(Table12[[#This Row],[spawner_sku]],LEN(Table12[[#This Row],[spawner_sku]])-FIND("/",Table12[[#This Row],[spawner_sku]])),Table28[Entity Prefab],0)),25,1,1,"Entities"))</f>
        <v>no</v>
      </c>
      <c r="DD50" s="71">
        <v>1</v>
      </c>
      <c r="DE50" s="71">
        <v>2</v>
      </c>
      <c r="DF50" s="71" t="b">
        <v>0</v>
      </c>
      <c r="DH50" t="s">
        <v>376</v>
      </c>
      <c r="DI50">
        <v>5.5</v>
      </c>
      <c r="DJ50">
        <v>200</v>
      </c>
      <c r="DK50">
        <v>100</v>
      </c>
      <c r="DL50" s="74">
        <f ca="1">INDIRECT(ADDRESS(11+(MATCH(RIGHT(Table13[[#This Row],[spawner_sku]],LEN(Table13[[#This Row],[spawner_sku]])-FIND("/",Table13[[#This Row],[spawner_sku]])),Table1[Entity Prefab],0)),10,1,1,"Entities"))</f>
        <v>25</v>
      </c>
      <c r="DM50" s="74">
        <f ca="1">ROUND((Table13[[#This Row],[XP]]*Table13[[#This Row],[entity_spawned (AVG)]])*(Table13[[#This Row],[activating_chance]]/100),0)</f>
        <v>138</v>
      </c>
      <c r="DN50" s="144" t="str">
        <f ca="1">INDIRECT(ADDRESS(11+(MATCH(RIGHT(Table13[[#This Row],[spawner_sku]],LEN(Table13[[#This Row],[spawner_sku]])-FIND("/",Table13[[#This Row],[spawner_sku]])),Table28[Entity Prefab],0)),25,1,1,"Entities"))</f>
        <v>no</v>
      </c>
      <c r="DO50" s="71">
        <v>5</v>
      </c>
      <c r="DP50" s="71">
        <v>6</v>
      </c>
      <c r="DQ50" s="71" t="b">
        <v>1</v>
      </c>
      <c r="DS50" t="s">
        <v>214</v>
      </c>
      <c r="DT50">
        <v>7</v>
      </c>
      <c r="DU50">
        <v>200</v>
      </c>
      <c r="DV50">
        <v>80</v>
      </c>
      <c r="DW50" s="74">
        <f ca="1">INDIRECT(ADDRESS(11+(MATCH(RIGHT(Table14[[#This Row],[spawner_sku]],LEN(Table14[[#This Row],[spawner_sku]])-FIND("/",Table14[[#This Row],[spawner_sku]])),Table1[Entity Prefab],0)),10,1,1,"Entities"))</f>
        <v>25</v>
      </c>
      <c r="DX50" s="74">
        <f ca="1">ROUND((Table14[[#This Row],[XP]]*Table14[[#This Row],[entity_spawned (AVG)]])*(Table14[[#This Row],[activating_chance]]/100),0)</f>
        <v>140</v>
      </c>
      <c r="DY50" s="144" t="str">
        <f ca="1">INDIRECT(ADDRESS(11+(MATCH(RIGHT(Table14[[#This Row],[spawner_sku]],LEN(Table14[[#This Row],[spawner_sku]])-FIND("/",Table14[[#This Row],[spawner_sku]])),Table28[Entity Prefab],0)),25,1,1,"Entities"))</f>
        <v>no</v>
      </c>
      <c r="DZ50" s="71">
        <v>6</v>
      </c>
      <c r="EA50" s="71">
        <v>8</v>
      </c>
      <c r="EB50" s="71" t="b">
        <v>1</v>
      </c>
      <c r="EC50" s="71"/>
      <c r="ED50" s="147" t="s">
        <v>570</v>
      </c>
      <c r="EE50" s="71">
        <v>1</v>
      </c>
      <c r="EF50" s="71">
        <v>120</v>
      </c>
      <c r="EG50" s="71">
        <v>100</v>
      </c>
      <c r="EH50" s="71">
        <f ca="1">INDIRECT(ADDRESS(11+(MATCH(RIGHT(Table36[[#This Row],[spawner_sku]],LEN(Table36[[#This Row],[spawner_sku]])-FIND("/",Table36[[#This Row],[spawner_sku]])),Table1[Entity Prefab],0)),10,1,1,"Entities"))</f>
        <v>50</v>
      </c>
      <c r="EI50" s="71">
        <f ca="1">ROUND((Table36[[#This Row],[XP]]*Table36[[#This Row],[entity_spawned (AVG)]])*(Table36[[#This Row],[activating_chance]]/100),0)</f>
        <v>50</v>
      </c>
      <c r="EJ50" s="71" t="str">
        <f ca="1">INDIRECT(ADDRESS(11+(MATCH(RIGHT(Table36[[#This Row],[spawner_sku]],LEN(Table36[[#This Row],[spawner_sku]])-FIND("/",Table36[[#This Row],[spawner_sku]])),Table28[Entity Prefab],0)),25,1,1,"Entities"))</f>
        <v>no</v>
      </c>
      <c r="EK50" s="71">
        <v>1</v>
      </c>
      <c r="EL50" s="71">
        <v>1</v>
      </c>
      <c r="EM50" s="71" t="b">
        <v>0</v>
      </c>
      <c r="EO50" t="s">
        <v>214</v>
      </c>
      <c r="EP50">
        <v>9</v>
      </c>
      <c r="EQ50">
        <v>150</v>
      </c>
      <c r="ER50">
        <v>100</v>
      </c>
      <c r="ES50" s="74">
        <f ca="1">INDIRECT(ADDRESS(11+(MATCH(RIGHT(Table18[[#This Row],[spawner_sku]],LEN(Table18[[#This Row],[spawner_sku]])-FIND("/",Table18[[#This Row],[spawner_sku]])),Table1[Entity Prefab],0)),10,1,1,"Entities"))</f>
        <v>25</v>
      </c>
      <c r="ET50" s="74">
        <f ca="1">ROUND((Table18[[#This Row],[XP]]*Table18[[#This Row],[entity_spawned (AVG)]])*(Table18[[#This Row],[activating_chance]]/100),0)</f>
        <v>225</v>
      </c>
      <c r="EU50" s="74" t="str">
        <f ca="1">INDIRECT(ADDRESS(11+(MATCH(RIGHT(Table18[[#This Row],[spawner_sku]],LEN(Table18[[#This Row],[spawner_sku]])-FIND("/",Table18[[#This Row],[spawner_sku]])),Table28[Entity Prefab],0)),26,1,1,"Entities"))</f>
        <v>no</v>
      </c>
      <c r="EV50">
        <v>8</v>
      </c>
      <c r="EW50">
        <v>10</v>
      </c>
      <c r="EX50" t="b">
        <v>1</v>
      </c>
      <c r="EZ50" t="s">
        <v>214</v>
      </c>
      <c r="FA50">
        <v>5.5</v>
      </c>
      <c r="FB50">
        <v>140</v>
      </c>
      <c r="FC50">
        <v>100</v>
      </c>
      <c r="FD50" s="74">
        <f ca="1">INDIRECT(ADDRESS(11+(MATCH(RIGHT(Table1820[[#This Row],[spawner_sku]],LEN(Table1820[[#This Row],[spawner_sku]])-FIND("/",Table1820[[#This Row],[spawner_sku]])),Table1[Entity Prefab],0)),10,1,1,"Entities"))</f>
        <v>25</v>
      </c>
      <c r="FE50" s="74">
        <f ca="1">ROUND((Table1820[[#This Row],[XP]]*Table1820[[#This Row],[entity_spawned (AVG)]])*(Table1820[[#This Row],[activating_chance]]/100),0)</f>
        <v>138</v>
      </c>
      <c r="FF50" s="74" t="str">
        <f ca="1">INDIRECT(ADDRESS(11+(MATCH(RIGHT(Table1820[[#This Row],[spawner_sku]],LEN(Table1820[[#This Row],[spawner_sku]])-FIND("/",Table1820[[#This Row],[spawner_sku]])),Table28[Entity Prefab],0)),26,1,1,"Entities"))</f>
        <v>no</v>
      </c>
      <c r="FG50">
        <v>5</v>
      </c>
      <c r="FH50">
        <v>6</v>
      </c>
      <c r="FI50" t="b">
        <v>1</v>
      </c>
      <c r="FK50" t="s">
        <v>2701</v>
      </c>
      <c r="FL50">
        <v>1</v>
      </c>
      <c r="FM50">
        <v>500</v>
      </c>
      <c r="FN50">
        <v>100</v>
      </c>
      <c r="FO50">
        <f ca="1">INDIRECT(ADDRESS(11+(MATCH(RIGHT(Table182023[[#This Row],[spawner_sku]],LEN(Table182023[[#This Row],[spawner_sku]])-FIND("/",Table182023[[#This Row],[spawner_sku]])),Table1[Entity Prefab],0)),10,1,1,"Entities"))</f>
        <v>130</v>
      </c>
      <c r="FP50">
        <f ca="1">ROUND((Table182023[[#This Row],[XP]]*Table182023[[#This Row],[entity_spawned (AVG)]])*(Table182023[[#This Row],[activating_chance]]/100),0)</f>
        <v>130</v>
      </c>
      <c r="FQ50" t="str">
        <f ca="1">INDIRECT(ADDRESS(11+(MATCH(RIGHT(Table182023[[#This Row],[spawner_sku]],LEN(Table182023[[#This Row],[spawner_sku]])-FIND("/",Table182023[[#This Row],[spawner_sku]])),Table28[Entity Prefab],0)),26,1,1,"Entities"))</f>
        <v>yes</v>
      </c>
      <c r="FR50">
        <v>1</v>
      </c>
      <c r="FS50">
        <v>1</v>
      </c>
      <c r="FT50" t="b">
        <v>0</v>
      </c>
      <c r="FV50" t="s">
        <v>448</v>
      </c>
      <c r="FW50">
        <v>1</v>
      </c>
      <c r="FX50">
        <v>200</v>
      </c>
      <c r="FY50">
        <v>100</v>
      </c>
      <c r="FZ50" s="74">
        <f ca="1">INDIRECT(ADDRESS(11+(MATCH(RIGHT(Table18202324[[#This Row],[spawner_sku]],LEN(Table18202324[[#This Row],[spawner_sku]])-FIND("/",Table18202324[[#This Row],[spawner_sku]])),Table1[Entity Prefab],0)),10,1,1,"Entities"))</f>
        <v>143</v>
      </c>
      <c r="GA50" s="74">
        <f ca="1">ROUND((Table18202324[[#This Row],[XP]]*Table18202324[[#This Row],[entity_spawned (AVG)]])*(Table18202324[[#This Row],[activating_chance]]/100),0)</f>
        <v>143</v>
      </c>
      <c r="GB50" s="74" t="str">
        <f ca="1">INDIRECT(ADDRESS(11+(MATCH(RIGHT(Table18202324[[#This Row],[spawner_sku]],LEN(Table18202324[[#This Row],[spawner_sku]])-FIND("/",Table18202324[[#This Row],[spawner_sku]])),Table28[Entity Prefab],0)),26,1,1,"Entities"))</f>
        <v>yes</v>
      </c>
      <c r="GC50">
        <v>1</v>
      </c>
      <c r="GD50">
        <v>1</v>
      </c>
      <c r="GE50" t="b">
        <v>0</v>
      </c>
      <c r="GG50" t="s">
        <v>3818</v>
      </c>
      <c r="GH50">
        <v>1</v>
      </c>
      <c r="GI50">
        <v>240</v>
      </c>
      <c r="GJ50">
        <v>100</v>
      </c>
      <c r="GK50">
        <f ca="1">INDIRECT(ADDRESS(11+(MATCH(RIGHT(Table37[[#This Row],[spawner_sku]],LEN(Table37[[#This Row],[spawner_sku]])-FIND("/",Table37[[#This Row],[spawner_sku]])),Table1[Entity Prefab],0)),10,1,1,"Entities"))</f>
        <v>10</v>
      </c>
      <c r="GL50">
        <f ca="1">ROUND((Table37[[#This Row],[XP]]*Table37[[#This Row],[entity_spawned (AVG)]])*(Table37[[#This Row],[activating_chance]]/100),0)</f>
        <v>10</v>
      </c>
      <c r="GM50" t="str">
        <f ca="1">INDIRECT(ADDRESS(11+(MATCH(RIGHT(Table37[[#This Row],[spawner_sku]],LEN(Table37[[#This Row],[spawner_sku]])-FIND("/",Table37[[#This Row],[spawner_sku]])),Table28[Entity Prefab],0)),26,1,1,"Entities"))</f>
        <v>no</v>
      </c>
      <c r="GN50">
        <v>1</v>
      </c>
      <c r="GO50">
        <v>1</v>
      </c>
      <c r="GP50" t="b">
        <v>0</v>
      </c>
    </row>
    <row r="51" spans="2:198" x14ac:dyDescent="0.25">
      <c r="B51" s="72" t="s">
        <v>215</v>
      </c>
      <c r="C51">
        <v>7.5</v>
      </c>
      <c r="D51">
        <v>170</v>
      </c>
      <c r="E51">
        <v>100</v>
      </c>
      <c r="F51" s="74">
        <f ca="1">INDIRECT(ADDRESS(11+(MATCH(RIGHT(Table245[[#This Row],[spawner_sku]],LEN(Table245[[#This Row],[spawner_sku]])-FIND("/",Table245[[#This Row],[spawner_sku]])),Table1[Entity Prefab],0)),10,1,1,"Entities"))</f>
        <v>25</v>
      </c>
      <c r="G51" s="74">
        <f ca="1">ROUND((Table245[[#This Row],[XP]]*Table245[[#This Row],[entity_spawned (AVG)]])*(Table245[[#This Row],[activating_chance]]/100),0)</f>
        <v>188</v>
      </c>
      <c r="H51" s="71" t="str">
        <f ca="1">INDIRECT(ADDRESS(11+(MATCH(RIGHT(Table245[[#This Row],[spawner_sku]],LEN(Table245[[#This Row],[spawner_sku]])-FIND("/",Table245[[#This Row],[spawner_sku]])),Table28[Entity Prefab],0)),24,1,1,"Entities"))</f>
        <v>no</v>
      </c>
      <c r="I51" s="71">
        <v>5</v>
      </c>
      <c r="J51" s="71">
        <v>10</v>
      </c>
      <c r="K51" s="71" t="b">
        <v>1</v>
      </c>
      <c r="M51" t="s">
        <v>217</v>
      </c>
      <c r="N51">
        <v>1</v>
      </c>
      <c r="O51">
        <v>200</v>
      </c>
      <c r="P51">
        <v>80</v>
      </c>
      <c r="Q51" s="74">
        <f ca="1">INDIRECT(ADDRESS(11+(MATCH(RIGHT(Table3[[#This Row],[spawner_sku]],LEN(Table3[[#This Row],[spawner_sku]])-FIND("/",Table3[[#This Row],[spawner_sku]])),Table1[Entity Prefab],0)),10,1,1,"Entities"))</f>
        <v>25</v>
      </c>
      <c r="R51" s="74">
        <f ca="1">ROUND((Table3[[#This Row],[XP]]*Table3[[#This Row],[entity_spawned (AVG)]])*(Table3[[#This Row],[activating_chance]]/100),0)</f>
        <v>20</v>
      </c>
      <c r="S51" t="str">
        <f ca="1">INDIRECT(ADDRESS(11+(MATCH(RIGHT(Table3[[#This Row],[spawner_sku]],LEN(Table3[[#This Row],[spawner_sku]])-FIND("/",Table3[[#This Row],[spawner_sku]])),Table28[Entity Prefab],0)),24,1,1,"Entities"))</f>
        <v>no</v>
      </c>
      <c r="T51">
        <v>1</v>
      </c>
      <c r="U51">
        <v>1</v>
      </c>
      <c r="V51" t="b">
        <v>0</v>
      </c>
      <c r="W51" s="71"/>
      <c r="X51" t="s">
        <v>367</v>
      </c>
      <c r="Y51">
        <v>1</v>
      </c>
      <c r="Z51">
        <v>170</v>
      </c>
      <c r="AA51">
        <v>100</v>
      </c>
      <c r="AB51" s="74">
        <f ca="1">INDIRECT(ADDRESS(11+(MATCH(RIGHT(Table39[[#This Row],[spawner_sku]],LEN(Table39[[#This Row],[spawner_sku]])-FIND("/",Table39[[#This Row],[spawner_sku]])),Table1[Entity Prefab],0)),10,1,1,"Entities"))</f>
        <v>75</v>
      </c>
      <c r="AC51" s="74">
        <f ca="1">ROUND((Table39[[#This Row],[XP]]*Table39[[#This Row],[entity_spawned (AVG)]])*(Table39[[#This Row],[activating_chance]]/100),0)</f>
        <v>75</v>
      </c>
      <c r="AD51" t="str">
        <f ca="1">INDIRECT(ADDRESS(11+(MATCH(RIGHT(Table39[[#This Row],[spawner_sku]],LEN(Table39[[#This Row],[spawner_sku]])-FIND("/",Table39[[#This Row],[spawner_sku]])),Table28[Entity Prefab],0)),24,1,1,"Entities"))</f>
        <v>no</v>
      </c>
      <c r="AE51">
        <v>1</v>
      </c>
      <c r="AF51">
        <v>1</v>
      </c>
      <c r="AG51" t="b">
        <v>0</v>
      </c>
      <c r="AI51" t="s">
        <v>215</v>
      </c>
      <c r="AJ51">
        <v>3.5</v>
      </c>
      <c r="AK51">
        <v>100</v>
      </c>
      <c r="AL51">
        <v>100</v>
      </c>
      <c r="AM51" s="74">
        <f ca="1">INDIRECT(ADDRESS(11+(MATCH(RIGHT(Table2[[#This Row],[spawner_sku]],LEN(Table2[[#This Row],[spawner_sku]])-FIND("/",Table2[[#This Row],[spawner_sku]])),Table1[Entity Prefab],0)),10,1,1,"Entities"))</f>
        <v>25</v>
      </c>
      <c r="AN51" s="74">
        <f ca="1">ROUND((Table2[[#This Row],[XP]]*Table2[[#This Row],[entity_spawned (AVG)]])*(Table2[[#This Row],[activating_chance]]/100),0)</f>
        <v>88</v>
      </c>
      <c r="AO51" s="71" t="str">
        <f ca="1">INDIRECT(ADDRESS(11+(MATCH(RIGHT(Table2[[#This Row],[spawner_sku]],LEN(Table2[[#This Row],[spawner_sku]])-FIND("/",Table2[[#This Row],[spawner_sku]])),Table28[Entity Prefab],0)),24,1,1,"Entities"))</f>
        <v>no</v>
      </c>
      <c r="AP51" s="71">
        <v>3</v>
      </c>
      <c r="AQ51" s="71">
        <v>4</v>
      </c>
      <c r="AR51" s="71" t="b">
        <v>0</v>
      </c>
      <c r="AT51" t="s">
        <v>376</v>
      </c>
      <c r="AU51">
        <v>3</v>
      </c>
      <c r="AV51">
        <v>200</v>
      </c>
      <c r="AW51">
        <v>100</v>
      </c>
      <c r="AX51" s="74">
        <f ca="1">INDIRECT(ADDRESS(11+(MATCH(RIGHT(Table6[[#This Row],[spawner_sku]],LEN(Table6[[#This Row],[spawner_sku]])-FIND("/",Table6[[#This Row],[spawner_sku]])),Table1[Entity Prefab],0)),10,1,1,"Entities"))</f>
        <v>25</v>
      </c>
      <c r="AY51" s="74">
        <f ca="1">ROUND((Table6[[#This Row],[XP]]*Table6[[#This Row],[entity_spawned (AVG)]])*(Table6[[#This Row],[activating_chance]]/100),0)</f>
        <v>75</v>
      </c>
      <c r="AZ51" s="144" t="str">
        <f ca="1">INDIRECT(ADDRESS(11+(MATCH(RIGHT(Table6[[#This Row],[spawner_sku]],LEN(Table6[[#This Row],[spawner_sku]])-FIND("/",Table6[[#This Row],[spawner_sku]])),Table28[Entity Prefab],0)),24,1,1,"Entities"))</f>
        <v>no</v>
      </c>
      <c r="BA51">
        <v>3</v>
      </c>
      <c r="BB51">
        <v>3</v>
      </c>
      <c r="BC51" t="b">
        <v>0</v>
      </c>
      <c r="BE51" t="s">
        <v>214</v>
      </c>
      <c r="BF51">
        <v>8</v>
      </c>
      <c r="BG51">
        <v>120</v>
      </c>
      <c r="BH51">
        <v>100</v>
      </c>
      <c r="BI51" s="74">
        <f ca="1">INDIRECT(ADDRESS(11+(MATCH(RIGHT(Table610[[#This Row],[spawner_sku]],LEN(Table610[[#This Row],[spawner_sku]])-FIND("/",Table610[[#This Row],[spawner_sku]])),Table1[Entity Prefab],0)),10,1,1,"Entities"))</f>
        <v>25</v>
      </c>
      <c r="BJ51" s="74">
        <f ca="1">ROUND((Table610[[#This Row],[XP]]*Table610[[#This Row],[entity_spawned (AVG)]])*(Table610[[#This Row],[activating_chance]]/100),0)</f>
        <v>200</v>
      </c>
      <c r="BK51" s="71" t="str">
        <f ca="1">INDIRECT(ADDRESS(11+(MATCH(RIGHT(Table610[[#This Row],[spawner_sku]],LEN(Table610[[#This Row],[spawner_sku]])-FIND("/",Table610[[#This Row],[spawner_sku]])),Table28[Entity Prefab],0)),24,1,1,"Entities"))</f>
        <v>no</v>
      </c>
      <c r="BL51">
        <v>6</v>
      </c>
      <c r="BM51">
        <v>10</v>
      </c>
      <c r="BN51" t="b">
        <v>1</v>
      </c>
      <c r="BP51" t="s">
        <v>215</v>
      </c>
      <c r="BQ51">
        <v>2</v>
      </c>
      <c r="BR51">
        <v>70</v>
      </c>
      <c r="BS51">
        <v>100</v>
      </c>
      <c r="BT51" s="74">
        <f ca="1">INDIRECT(ADDRESS(11+(MATCH(RIGHT(Table61011[[#This Row],[spawner_sku]],LEN(Table61011[[#This Row],[spawner_sku]])-FIND("/",Table61011[[#This Row],[spawner_sku]])),Table1[Entity Prefab],0)),10,1,1,"Entities"))</f>
        <v>25</v>
      </c>
      <c r="BU51" s="74">
        <f ca="1">ROUND((Table61011[[#This Row],[XP]]*Table61011[[#This Row],[entity_spawned (AVG)]])*(Table61011[[#This Row],[activating_chance]]/100),0)</f>
        <v>50</v>
      </c>
      <c r="BV51" s="71" t="str">
        <f ca="1">INDIRECT(ADDRESS(11+(MATCH(RIGHT(Table61011[[#This Row],[spawner_sku]],LEN(Table61011[[#This Row],[spawner_sku]])-FIND("/",Table61011[[#This Row],[spawner_sku]])),Table28[Entity Prefab],0)),24,1,1,"Entities"))</f>
        <v>no</v>
      </c>
      <c r="BW51" s="71">
        <v>2</v>
      </c>
      <c r="BX51" s="71">
        <v>2</v>
      </c>
      <c r="BY51" s="71" t="b">
        <v>0</v>
      </c>
      <c r="BZ51" s="71"/>
      <c r="CA51" s="147" t="s">
        <v>232</v>
      </c>
      <c r="CB51">
        <v>5</v>
      </c>
      <c r="CC51">
        <v>90</v>
      </c>
      <c r="CD51">
        <v>100</v>
      </c>
      <c r="CE51" s="74">
        <f ca="1">INDIRECT(ADDRESS(11+(MATCH(RIGHT(Table35[[#This Row],[spawner_sku]],LEN(Table35[[#This Row],[spawner_sku]])-FIND("/",Table35[[#This Row],[spawner_sku]])),Table1[Entity Prefab],0)),10,1,1,"Entities"))</f>
        <v>25</v>
      </c>
      <c r="CF51" s="74">
        <f ca="1">ROUND((Table35[[#This Row],[XP]]*Table35[[#This Row],[entity_spawned (AVG)]])*(Table35[[#This Row],[activating_chance]]/100),0)</f>
        <v>125</v>
      </c>
      <c r="CG51" s="144" t="str">
        <f ca="1">INDIRECT(ADDRESS(11+(MATCH(RIGHT(Table35[[#This Row],[spawner_sku]],LEN(Table35[[#This Row],[spawner_sku]])-FIND("/",Table35[[#This Row],[spawner_sku]])),Table28[Entity Prefab],0)),24,1,1,"Entities"))</f>
        <v>no</v>
      </c>
      <c r="CH51">
        <v>5</v>
      </c>
      <c r="CI51">
        <v>5</v>
      </c>
      <c r="CJ51" s="71" t="b">
        <v>1</v>
      </c>
      <c r="CL51" t="s">
        <v>215</v>
      </c>
      <c r="CM51">
        <v>1.5</v>
      </c>
      <c r="CN51">
        <v>195</v>
      </c>
      <c r="CO51">
        <v>80</v>
      </c>
      <c r="CP51" s="74">
        <f ca="1">INDIRECT(ADDRESS(11+(MATCH(RIGHT(Table11[[#This Row],[spawner_sku]],LEN(Table11[[#This Row],[spawner_sku]])-FIND("/",Table11[[#This Row],[spawner_sku]])),Table1[Entity Prefab],0)),10,1,1,"Entities"))</f>
        <v>25</v>
      </c>
      <c r="CQ51">
        <f ca="1">ROUND((Table11[[#This Row],[XP]]*Table11[[#This Row],[entity_spawned (AVG)]])*(Table11[[#This Row],[activating_chance]]/100),0)</f>
        <v>30</v>
      </c>
      <c r="CR51" s="144" t="str">
        <f ca="1">INDIRECT(ADDRESS(11+(MATCH(RIGHT(Table11[[#This Row],[spawner_sku]],LEN(Table11[[#This Row],[spawner_sku]])-FIND("/",Table11[[#This Row],[spawner_sku]])),Table28[Entity Prefab],0)),25,1,1,"Entities"))</f>
        <v>no</v>
      </c>
      <c r="CS51" s="71">
        <v>1</v>
      </c>
      <c r="CT51" s="71">
        <v>2</v>
      </c>
      <c r="CU51" s="71" t="b">
        <v>0</v>
      </c>
      <c r="CW51" t="s">
        <v>215</v>
      </c>
      <c r="CX51">
        <v>3</v>
      </c>
      <c r="CY51">
        <v>180</v>
      </c>
      <c r="CZ51">
        <v>100</v>
      </c>
      <c r="DA51" s="74">
        <f ca="1">INDIRECT(ADDRESS(11+(MATCH(RIGHT(Table12[[#This Row],[spawner_sku]],LEN(Table12[[#This Row],[spawner_sku]])-FIND("/",Table12[[#This Row],[spawner_sku]])),Table1[Entity Prefab],0)),10,1,1,"Entities"))</f>
        <v>25</v>
      </c>
      <c r="DB51" s="74">
        <f ca="1">ROUND((Table12[[#This Row],[XP]]*Table12[[#This Row],[entity_spawned (AVG)]])*(Table12[[#This Row],[activating_chance]]/100),0)</f>
        <v>75</v>
      </c>
      <c r="DC51" s="144" t="str">
        <f ca="1">INDIRECT(ADDRESS(11+(MATCH(RIGHT(Table12[[#This Row],[spawner_sku]],LEN(Table12[[#This Row],[spawner_sku]])-FIND("/",Table12[[#This Row],[spawner_sku]])),Table28[Entity Prefab],0)),25,1,1,"Entities"))</f>
        <v>no</v>
      </c>
      <c r="DD51" s="71">
        <v>2</v>
      </c>
      <c r="DE51" s="71">
        <v>4</v>
      </c>
      <c r="DF51" s="71" t="b">
        <v>0</v>
      </c>
      <c r="DH51" t="s">
        <v>376</v>
      </c>
      <c r="DI51">
        <v>3</v>
      </c>
      <c r="DJ51">
        <v>200</v>
      </c>
      <c r="DK51">
        <v>100</v>
      </c>
      <c r="DL51" s="74">
        <f ca="1">INDIRECT(ADDRESS(11+(MATCH(RIGHT(Table13[[#This Row],[spawner_sku]],LEN(Table13[[#This Row],[spawner_sku]])-FIND("/",Table13[[#This Row],[spawner_sku]])),Table1[Entity Prefab],0)),10,1,1,"Entities"))</f>
        <v>25</v>
      </c>
      <c r="DM51" s="74">
        <f ca="1">ROUND((Table13[[#This Row],[XP]]*Table13[[#This Row],[entity_spawned (AVG)]])*(Table13[[#This Row],[activating_chance]]/100),0)</f>
        <v>75</v>
      </c>
      <c r="DN51" s="144" t="str">
        <f ca="1">INDIRECT(ADDRESS(11+(MATCH(RIGHT(Table13[[#This Row],[spawner_sku]],LEN(Table13[[#This Row],[spawner_sku]])-FIND("/",Table13[[#This Row],[spawner_sku]])),Table28[Entity Prefab],0)),25,1,1,"Entities"))</f>
        <v>no</v>
      </c>
      <c r="DO51" s="71">
        <v>2</v>
      </c>
      <c r="DP51" s="71">
        <v>4</v>
      </c>
      <c r="DQ51" s="71" t="b">
        <v>0</v>
      </c>
      <c r="DS51" t="s">
        <v>214</v>
      </c>
      <c r="DT51">
        <v>4</v>
      </c>
      <c r="DU51">
        <v>120</v>
      </c>
      <c r="DV51">
        <v>100</v>
      </c>
      <c r="DW51" s="74">
        <f ca="1">INDIRECT(ADDRESS(11+(MATCH(RIGHT(Table14[[#This Row],[spawner_sku]],LEN(Table14[[#This Row],[spawner_sku]])-FIND("/",Table14[[#This Row],[spawner_sku]])),Table1[Entity Prefab],0)),10,1,1,"Entities"))</f>
        <v>25</v>
      </c>
      <c r="DX51" s="74">
        <f ca="1">ROUND((Table14[[#This Row],[XP]]*Table14[[#This Row],[entity_spawned (AVG)]])*(Table14[[#This Row],[activating_chance]]/100),0)</f>
        <v>100</v>
      </c>
      <c r="DY51" s="144" t="str">
        <f ca="1">INDIRECT(ADDRESS(11+(MATCH(RIGHT(Table14[[#This Row],[spawner_sku]],LEN(Table14[[#This Row],[spawner_sku]])-FIND("/",Table14[[#This Row],[spawner_sku]])),Table28[Entity Prefab],0)),25,1,1,"Entities"))</f>
        <v>no</v>
      </c>
      <c r="DZ51" s="71">
        <v>4</v>
      </c>
      <c r="EA51" s="71">
        <v>4</v>
      </c>
      <c r="EB51" s="71" t="b">
        <v>0</v>
      </c>
      <c r="EC51" s="71"/>
      <c r="ED51" s="147" t="s">
        <v>570</v>
      </c>
      <c r="EE51" s="71">
        <v>1</v>
      </c>
      <c r="EF51" s="71">
        <v>120</v>
      </c>
      <c r="EG51" s="71">
        <v>100</v>
      </c>
      <c r="EH51" s="71">
        <f ca="1">INDIRECT(ADDRESS(11+(MATCH(RIGHT(Table36[[#This Row],[spawner_sku]],LEN(Table36[[#This Row],[spawner_sku]])-FIND("/",Table36[[#This Row],[spawner_sku]])),Table1[Entity Prefab],0)),10,1,1,"Entities"))</f>
        <v>50</v>
      </c>
      <c r="EI51" s="71">
        <f ca="1">ROUND((Table36[[#This Row],[XP]]*Table36[[#This Row],[entity_spawned (AVG)]])*(Table36[[#This Row],[activating_chance]]/100),0)</f>
        <v>50</v>
      </c>
      <c r="EJ51" s="71" t="str">
        <f ca="1">INDIRECT(ADDRESS(11+(MATCH(RIGHT(Table36[[#This Row],[spawner_sku]],LEN(Table36[[#This Row],[spawner_sku]])-FIND("/",Table36[[#This Row],[spawner_sku]])),Table28[Entity Prefab],0)),25,1,1,"Entities"))</f>
        <v>no</v>
      </c>
      <c r="EK51" s="71">
        <v>1</v>
      </c>
      <c r="EL51" s="71">
        <v>1</v>
      </c>
      <c r="EM51" s="71" t="b">
        <v>0</v>
      </c>
      <c r="EO51" t="s">
        <v>214</v>
      </c>
      <c r="EP51">
        <v>3.5</v>
      </c>
      <c r="EQ51">
        <v>140</v>
      </c>
      <c r="ER51">
        <v>100</v>
      </c>
      <c r="ES51" s="74">
        <f ca="1">INDIRECT(ADDRESS(11+(MATCH(RIGHT(Table18[[#This Row],[spawner_sku]],LEN(Table18[[#This Row],[spawner_sku]])-FIND("/",Table18[[#This Row],[spawner_sku]])),Table1[Entity Prefab],0)),10,1,1,"Entities"))</f>
        <v>25</v>
      </c>
      <c r="ET51" s="74">
        <f ca="1">ROUND((Table18[[#This Row],[XP]]*Table18[[#This Row],[entity_spawned (AVG)]])*(Table18[[#This Row],[activating_chance]]/100),0)</f>
        <v>88</v>
      </c>
      <c r="EU51" s="74" t="str">
        <f ca="1">INDIRECT(ADDRESS(11+(MATCH(RIGHT(Table18[[#This Row],[spawner_sku]],LEN(Table18[[#This Row],[spawner_sku]])-FIND("/",Table18[[#This Row],[spawner_sku]])),Table28[Entity Prefab],0)),26,1,1,"Entities"))</f>
        <v>no</v>
      </c>
      <c r="EV51">
        <v>3</v>
      </c>
      <c r="EW51">
        <v>4</v>
      </c>
      <c r="EX51" t="b">
        <v>0</v>
      </c>
      <c r="EZ51" t="s">
        <v>214</v>
      </c>
      <c r="FA51">
        <v>3.5</v>
      </c>
      <c r="FB51">
        <v>140</v>
      </c>
      <c r="FC51">
        <v>100</v>
      </c>
      <c r="FD51" s="74">
        <f ca="1">INDIRECT(ADDRESS(11+(MATCH(RIGHT(Table1820[[#This Row],[spawner_sku]],LEN(Table1820[[#This Row],[spawner_sku]])-FIND("/",Table1820[[#This Row],[spawner_sku]])),Table1[Entity Prefab],0)),10,1,1,"Entities"))</f>
        <v>25</v>
      </c>
      <c r="FE51" s="74">
        <f ca="1">ROUND((Table1820[[#This Row],[XP]]*Table1820[[#This Row],[entity_spawned (AVG)]])*(Table1820[[#This Row],[activating_chance]]/100),0)</f>
        <v>88</v>
      </c>
      <c r="FF51" s="74" t="str">
        <f ca="1">INDIRECT(ADDRESS(11+(MATCH(RIGHT(Table1820[[#This Row],[spawner_sku]],LEN(Table1820[[#This Row],[spawner_sku]])-FIND("/",Table1820[[#This Row],[spawner_sku]])),Table28[Entity Prefab],0)),26,1,1,"Entities"))</f>
        <v>no</v>
      </c>
      <c r="FG51">
        <v>3</v>
      </c>
      <c r="FH51">
        <v>4</v>
      </c>
      <c r="FI51" t="b">
        <v>0</v>
      </c>
      <c r="FK51" t="s">
        <v>2694</v>
      </c>
      <c r="FL51">
        <v>2.5</v>
      </c>
      <c r="FM51">
        <v>70</v>
      </c>
      <c r="FN51">
        <v>100</v>
      </c>
      <c r="FO51">
        <f ca="1">INDIRECT(ADDRESS(11+(MATCH(RIGHT(Table182023[[#This Row],[spawner_sku]],LEN(Table182023[[#This Row],[spawner_sku]])-FIND("/",Table182023[[#This Row],[spawner_sku]])),Table1[Entity Prefab],0)),10,1,1,"Entities"))</f>
        <v>143</v>
      </c>
      <c r="FP51">
        <f ca="1">ROUND((Table182023[[#This Row],[XP]]*Table182023[[#This Row],[entity_spawned (AVG)]])*(Table182023[[#This Row],[activating_chance]]/100),0)</f>
        <v>358</v>
      </c>
      <c r="FQ51" t="str">
        <f ca="1">INDIRECT(ADDRESS(11+(MATCH(RIGHT(Table182023[[#This Row],[spawner_sku]],LEN(Table182023[[#This Row],[spawner_sku]])-FIND("/",Table182023[[#This Row],[spawner_sku]])),Table28[Entity Prefab],0)),26,1,1,"Entities"))</f>
        <v>no</v>
      </c>
      <c r="FR51">
        <v>2</v>
      </c>
      <c r="FS51">
        <v>3</v>
      </c>
      <c r="FT51" t="b">
        <v>0</v>
      </c>
      <c r="FV51" t="s">
        <v>448</v>
      </c>
      <c r="FW51">
        <v>1</v>
      </c>
      <c r="FX51">
        <v>210</v>
      </c>
      <c r="FY51">
        <v>100</v>
      </c>
      <c r="FZ51" s="74">
        <f ca="1">INDIRECT(ADDRESS(11+(MATCH(RIGHT(Table18202324[[#This Row],[spawner_sku]],LEN(Table18202324[[#This Row],[spawner_sku]])-FIND("/",Table18202324[[#This Row],[spawner_sku]])),Table1[Entity Prefab],0)),10,1,1,"Entities"))</f>
        <v>143</v>
      </c>
      <c r="GA51" s="74">
        <f ca="1">ROUND((Table18202324[[#This Row],[XP]]*Table18202324[[#This Row],[entity_spawned (AVG)]])*(Table18202324[[#This Row],[activating_chance]]/100),0)</f>
        <v>143</v>
      </c>
      <c r="GB51" s="74" t="str">
        <f ca="1">INDIRECT(ADDRESS(11+(MATCH(RIGHT(Table18202324[[#This Row],[spawner_sku]],LEN(Table18202324[[#This Row],[spawner_sku]])-FIND("/",Table18202324[[#This Row],[spawner_sku]])),Table28[Entity Prefab],0)),26,1,1,"Entities"))</f>
        <v>yes</v>
      </c>
      <c r="GC51">
        <v>1</v>
      </c>
      <c r="GD51">
        <v>1</v>
      </c>
      <c r="GE51" t="b">
        <v>0</v>
      </c>
      <c r="GG51" t="s">
        <v>3818</v>
      </c>
      <c r="GH51">
        <v>1</v>
      </c>
      <c r="GI51">
        <v>240</v>
      </c>
      <c r="GJ51">
        <v>100</v>
      </c>
      <c r="GK51">
        <f ca="1">INDIRECT(ADDRESS(11+(MATCH(RIGHT(Table37[[#This Row],[spawner_sku]],LEN(Table37[[#This Row],[spawner_sku]])-FIND("/",Table37[[#This Row],[spawner_sku]])),Table1[Entity Prefab],0)),10,1,1,"Entities"))</f>
        <v>10</v>
      </c>
      <c r="GL51">
        <f ca="1">ROUND((Table37[[#This Row],[XP]]*Table37[[#This Row],[entity_spawned (AVG)]])*(Table37[[#This Row],[activating_chance]]/100),0)</f>
        <v>10</v>
      </c>
      <c r="GM51" t="str">
        <f ca="1">INDIRECT(ADDRESS(11+(MATCH(RIGHT(Table37[[#This Row],[spawner_sku]],LEN(Table37[[#This Row],[spawner_sku]])-FIND("/",Table37[[#This Row],[spawner_sku]])),Table28[Entity Prefab],0)),26,1,1,"Entities"))</f>
        <v>no</v>
      </c>
      <c r="GN51">
        <v>1</v>
      </c>
      <c r="GO51">
        <v>1</v>
      </c>
      <c r="GP51" t="b">
        <v>0</v>
      </c>
    </row>
    <row r="52" spans="2:198" x14ac:dyDescent="0.25">
      <c r="B52" s="72" t="s">
        <v>215</v>
      </c>
      <c r="C52">
        <v>6</v>
      </c>
      <c r="D52">
        <v>170</v>
      </c>
      <c r="E52">
        <v>100</v>
      </c>
      <c r="F52" s="74">
        <f ca="1">INDIRECT(ADDRESS(11+(MATCH(RIGHT(Table245[[#This Row],[spawner_sku]],LEN(Table245[[#This Row],[spawner_sku]])-FIND("/",Table245[[#This Row],[spawner_sku]])),Table1[Entity Prefab],0)),10,1,1,"Entities"))</f>
        <v>25</v>
      </c>
      <c r="G52" s="74">
        <f ca="1">ROUND((Table245[[#This Row],[XP]]*Table245[[#This Row],[entity_spawned (AVG)]])*(Table245[[#This Row],[activating_chance]]/100),0)</f>
        <v>150</v>
      </c>
      <c r="H52" s="71" t="str">
        <f ca="1">INDIRECT(ADDRESS(11+(MATCH(RIGHT(Table245[[#This Row],[spawner_sku]],LEN(Table245[[#This Row],[spawner_sku]])-FIND("/",Table245[[#This Row],[spawner_sku]])),Table28[Entity Prefab],0)),24,1,1,"Entities"))</f>
        <v>no</v>
      </c>
      <c r="I52" s="71">
        <v>5</v>
      </c>
      <c r="J52" s="71">
        <v>7</v>
      </c>
      <c r="K52" s="71" t="b">
        <v>1</v>
      </c>
      <c r="M52" t="s">
        <v>217</v>
      </c>
      <c r="N52">
        <v>11.5</v>
      </c>
      <c r="O52">
        <v>200</v>
      </c>
      <c r="P52">
        <v>100</v>
      </c>
      <c r="Q52" s="74">
        <f ca="1">INDIRECT(ADDRESS(11+(MATCH(RIGHT(Table3[[#This Row],[spawner_sku]],LEN(Table3[[#This Row],[spawner_sku]])-FIND("/",Table3[[#This Row],[spawner_sku]])),Table1[Entity Prefab],0)),10,1,1,"Entities"))</f>
        <v>25</v>
      </c>
      <c r="R52" s="74">
        <f ca="1">ROUND((Table3[[#This Row],[XP]]*Table3[[#This Row],[entity_spawned (AVG)]])*(Table3[[#This Row],[activating_chance]]/100),0)</f>
        <v>288</v>
      </c>
      <c r="S52" t="str">
        <f ca="1">INDIRECT(ADDRESS(11+(MATCH(RIGHT(Table3[[#This Row],[spawner_sku]],LEN(Table3[[#This Row],[spawner_sku]])-FIND("/",Table3[[#This Row],[spawner_sku]])),Table28[Entity Prefab],0)),24,1,1,"Entities"))</f>
        <v>no</v>
      </c>
      <c r="T52">
        <v>8</v>
      </c>
      <c r="U52">
        <v>15</v>
      </c>
      <c r="V52" t="b">
        <v>1</v>
      </c>
      <c r="W52" s="71"/>
      <c r="X52" t="s">
        <v>423</v>
      </c>
      <c r="Y52">
        <v>2</v>
      </c>
      <c r="Z52">
        <v>180</v>
      </c>
      <c r="AA52">
        <v>80</v>
      </c>
      <c r="AB52" s="74">
        <f ca="1">INDIRECT(ADDRESS(11+(MATCH(RIGHT(Table39[[#This Row],[spawner_sku]],LEN(Table39[[#This Row],[spawner_sku]])-FIND("/",Table39[[#This Row],[spawner_sku]])),Table1[Entity Prefab],0)),10,1,1,"Entities"))</f>
        <v>0</v>
      </c>
      <c r="AC52" s="74">
        <f ca="1">ROUND((Table39[[#This Row],[XP]]*Table39[[#This Row],[entity_spawned (AVG)]])*(Table39[[#This Row],[activating_chance]]/100),0)</f>
        <v>0</v>
      </c>
      <c r="AD52" t="str">
        <f ca="1">INDIRECT(ADDRESS(11+(MATCH(RIGHT(Table39[[#This Row],[spawner_sku]],LEN(Table39[[#This Row],[spawner_sku]])-FIND("/",Table39[[#This Row],[spawner_sku]])),Table28[Entity Prefab],0)),24,1,1,"Entities"))</f>
        <v>yes</v>
      </c>
      <c r="AE52">
        <v>2</v>
      </c>
      <c r="AF52">
        <v>2</v>
      </c>
      <c r="AG52" t="b">
        <v>0</v>
      </c>
      <c r="AI52" t="s">
        <v>215</v>
      </c>
      <c r="AJ52">
        <v>2</v>
      </c>
      <c r="AK52">
        <v>160</v>
      </c>
      <c r="AL52">
        <v>100</v>
      </c>
      <c r="AM52" s="74">
        <f ca="1">INDIRECT(ADDRESS(11+(MATCH(RIGHT(Table2[[#This Row],[spawner_sku]],LEN(Table2[[#This Row],[spawner_sku]])-FIND("/",Table2[[#This Row],[spawner_sku]])),Table1[Entity Prefab],0)),10,1,1,"Entities"))</f>
        <v>25</v>
      </c>
      <c r="AN52" s="74">
        <f ca="1">ROUND((Table2[[#This Row],[XP]]*Table2[[#This Row],[entity_spawned (AVG)]])*(Table2[[#This Row],[activating_chance]]/100),0)</f>
        <v>50</v>
      </c>
      <c r="AO52" s="71" t="str">
        <f ca="1">INDIRECT(ADDRESS(11+(MATCH(RIGHT(Table2[[#This Row],[spawner_sku]],LEN(Table2[[#This Row],[spawner_sku]])-FIND("/",Table2[[#This Row],[spawner_sku]])),Table28[Entity Prefab],0)),24,1,1,"Entities"))</f>
        <v>no</v>
      </c>
      <c r="AP52" s="71">
        <v>1</v>
      </c>
      <c r="AQ52" s="71">
        <v>3</v>
      </c>
      <c r="AR52" s="71" t="b">
        <v>0</v>
      </c>
      <c r="AT52" t="s">
        <v>376</v>
      </c>
      <c r="AU52">
        <v>6</v>
      </c>
      <c r="AV52">
        <v>200</v>
      </c>
      <c r="AW52">
        <v>100</v>
      </c>
      <c r="AX52" s="74">
        <f ca="1">INDIRECT(ADDRESS(11+(MATCH(RIGHT(Table6[[#This Row],[spawner_sku]],LEN(Table6[[#This Row],[spawner_sku]])-FIND("/",Table6[[#This Row],[spawner_sku]])),Table1[Entity Prefab],0)),10,1,1,"Entities"))</f>
        <v>25</v>
      </c>
      <c r="AY52" s="74">
        <f ca="1">ROUND((Table6[[#This Row],[XP]]*Table6[[#This Row],[entity_spawned (AVG)]])*(Table6[[#This Row],[activating_chance]]/100),0)</f>
        <v>150</v>
      </c>
      <c r="AZ52" s="144" t="str">
        <f ca="1">INDIRECT(ADDRESS(11+(MATCH(RIGHT(Table6[[#This Row],[spawner_sku]],LEN(Table6[[#This Row],[spawner_sku]])-FIND("/",Table6[[#This Row],[spawner_sku]])),Table28[Entity Prefab],0)),24,1,1,"Entities"))</f>
        <v>no</v>
      </c>
      <c r="BA52">
        <v>5</v>
      </c>
      <c r="BB52">
        <v>7</v>
      </c>
      <c r="BC52" t="b">
        <v>1</v>
      </c>
      <c r="BE52" t="s">
        <v>214</v>
      </c>
      <c r="BF52">
        <v>3.5</v>
      </c>
      <c r="BG52">
        <v>100</v>
      </c>
      <c r="BH52">
        <v>100</v>
      </c>
      <c r="BI52" s="74">
        <f ca="1">INDIRECT(ADDRESS(11+(MATCH(RIGHT(Table610[[#This Row],[spawner_sku]],LEN(Table610[[#This Row],[spawner_sku]])-FIND("/",Table610[[#This Row],[spawner_sku]])),Table1[Entity Prefab],0)),10,1,1,"Entities"))</f>
        <v>25</v>
      </c>
      <c r="BJ52" s="74">
        <f ca="1">ROUND((Table610[[#This Row],[XP]]*Table610[[#This Row],[entity_spawned (AVG)]])*(Table610[[#This Row],[activating_chance]]/100),0)</f>
        <v>88</v>
      </c>
      <c r="BK52" s="71" t="str">
        <f ca="1">INDIRECT(ADDRESS(11+(MATCH(RIGHT(Table610[[#This Row],[spawner_sku]],LEN(Table610[[#This Row],[spawner_sku]])-FIND("/",Table610[[#This Row],[spawner_sku]])),Table28[Entity Prefab],0)),24,1,1,"Entities"))</f>
        <v>no</v>
      </c>
      <c r="BL52">
        <v>3</v>
      </c>
      <c r="BM52">
        <v>4</v>
      </c>
      <c r="BN52" t="b">
        <v>0</v>
      </c>
      <c r="BP52" t="s">
        <v>215</v>
      </c>
      <c r="BQ52">
        <v>3.5</v>
      </c>
      <c r="BR52">
        <v>160</v>
      </c>
      <c r="BS52">
        <v>100</v>
      </c>
      <c r="BT52" s="74">
        <f ca="1">INDIRECT(ADDRESS(11+(MATCH(RIGHT(Table61011[[#This Row],[spawner_sku]],LEN(Table61011[[#This Row],[spawner_sku]])-FIND("/",Table61011[[#This Row],[spawner_sku]])),Table1[Entity Prefab],0)),10,1,1,"Entities"))</f>
        <v>25</v>
      </c>
      <c r="BU52" s="74">
        <f ca="1">ROUND((Table61011[[#This Row],[XP]]*Table61011[[#This Row],[entity_spawned (AVG)]])*(Table61011[[#This Row],[activating_chance]]/100),0)</f>
        <v>88</v>
      </c>
      <c r="BV52" s="71" t="str">
        <f ca="1">INDIRECT(ADDRESS(11+(MATCH(RIGHT(Table61011[[#This Row],[spawner_sku]],LEN(Table61011[[#This Row],[spawner_sku]])-FIND("/",Table61011[[#This Row],[spawner_sku]])),Table28[Entity Prefab],0)),24,1,1,"Entities"))</f>
        <v>no</v>
      </c>
      <c r="BW52" s="71">
        <v>3</v>
      </c>
      <c r="BX52" s="71">
        <v>4</v>
      </c>
      <c r="BY52" s="71" t="b">
        <v>0</v>
      </c>
      <c r="BZ52" s="71"/>
      <c r="CA52" s="147" t="s">
        <v>570</v>
      </c>
      <c r="CB52">
        <v>1</v>
      </c>
      <c r="CC52">
        <v>120</v>
      </c>
      <c r="CD52">
        <v>100</v>
      </c>
      <c r="CE52" s="74">
        <f ca="1">INDIRECT(ADDRESS(11+(MATCH(RIGHT(Table35[[#This Row],[spawner_sku]],LEN(Table35[[#This Row],[spawner_sku]])-FIND("/",Table35[[#This Row],[spawner_sku]])),Table1[Entity Prefab],0)),10,1,1,"Entities"))</f>
        <v>50</v>
      </c>
      <c r="CF52" s="74">
        <f ca="1">ROUND((Table35[[#This Row],[XP]]*Table35[[#This Row],[entity_spawned (AVG)]])*(Table35[[#This Row],[activating_chance]]/100),0)</f>
        <v>50</v>
      </c>
      <c r="CG52" s="144" t="str">
        <f ca="1">INDIRECT(ADDRESS(11+(MATCH(RIGHT(Table35[[#This Row],[spawner_sku]],LEN(Table35[[#This Row],[spawner_sku]])-FIND("/",Table35[[#This Row],[spawner_sku]])),Table28[Entity Prefab],0)),24,1,1,"Entities"))</f>
        <v>no</v>
      </c>
      <c r="CH52">
        <v>1</v>
      </c>
      <c r="CI52">
        <v>1</v>
      </c>
      <c r="CJ52" s="71" t="b">
        <v>0</v>
      </c>
      <c r="CL52" t="s">
        <v>215</v>
      </c>
      <c r="CM52">
        <v>1.5</v>
      </c>
      <c r="CN52">
        <v>180</v>
      </c>
      <c r="CO52">
        <v>30</v>
      </c>
      <c r="CP52" s="74">
        <f ca="1">INDIRECT(ADDRESS(11+(MATCH(RIGHT(Table11[[#This Row],[spawner_sku]],LEN(Table11[[#This Row],[spawner_sku]])-FIND("/",Table11[[#This Row],[spawner_sku]])),Table1[Entity Prefab],0)),10,1,1,"Entities"))</f>
        <v>25</v>
      </c>
      <c r="CQ52">
        <f ca="1">ROUND((Table11[[#This Row],[XP]]*Table11[[#This Row],[entity_spawned (AVG)]])*(Table11[[#This Row],[activating_chance]]/100),0)</f>
        <v>11</v>
      </c>
      <c r="CR52" s="144" t="str">
        <f ca="1">INDIRECT(ADDRESS(11+(MATCH(RIGHT(Table11[[#This Row],[spawner_sku]],LEN(Table11[[#This Row],[spawner_sku]])-FIND("/",Table11[[#This Row],[spawner_sku]])),Table28[Entity Prefab],0)),25,1,1,"Entities"))</f>
        <v>no</v>
      </c>
      <c r="CS52" s="71">
        <v>1</v>
      </c>
      <c r="CT52" s="71">
        <v>2</v>
      </c>
      <c r="CU52" s="71" t="b">
        <v>0</v>
      </c>
      <c r="CW52" t="s">
        <v>215</v>
      </c>
      <c r="CX52">
        <v>1.5</v>
      </c>
      <c r="CY52">
        <v>180</v>
      </c>
      <c r="CZ52">
        <v>100</v>
      </c>
      <c r="DA52" s="74">
        <f ca="1">INDIRECT(ADDRESS(11+(MATCH(RIGHT(Table12[[#This Row],[spawner_sku]],LEN(Table12[[#This Row],[spawner_sku]])-FIND("/",Table12[[#This Row],[spawner_sku]])),Table1[Entity Prefab],0)),10,1,1,"Entities"))</f>
        <v>25</v>
      </c>
      <c r="DB52" s="74">
        <f ca="1">ROUND((Table12[[#This Row],[XP]]*Table12[[#This Row],[entity_spawned (AVG)]])*(Table12[[#This Row],[activating_chance]]/100),0)</f>
        <v>38</v>
      </c>
      <c r="DC52" s="144" t="str">
        <f ca="1">INDIRECT(ADDRESS(11+(MATCH(RIGHT(Table12[[#This Row],[spawner_sku]],LEN(Table12[[#This Row],[spawner_sku]])-FIND("/",Table12[[#This Row],[spawner_sku]])),Table28[Entity Prefab],0)),25,1,1,"Entities"))</f>
        <v>no</v>
      </c>
      <c r="DD52" s="71">
        <v>1</v>
      </c>
      <c r="DE52" s="71">
        <v>2</v>
      </c>
      <c r="DF52" s="71" t="b">
        <v>0</v>
      </c>
      <c r="DH52" t="s">
        <v>376</v>
      </c>
      <c r="DI52">
        <v>9</v>
      </c>
      <c r="DJ52">
        <v>200</v>
      </c>
      <c r="DK52">
        <v>30</v>
      </c>
      <c r="DL52" s="74">
        <f ca="1">INDIRECT(ADDRESS(11+(MATCH(RIGHT(Table13[[#This Row],[spawner_sku]],LEN(Table13[[#This Row],[spawner_sku]])-FIND("/",Table13[[#This Row],[spawner_sku]])),Table1[Entity Prefab],0)),10,1,1,"Entities"))</f>
        <v>25</v>
      </c>
      <c r="DM52" s="74">
        <f ca="1">ROUND((Table13[[#This Row],[XP]]*Table13[[#This Row],[entity_spawned (AVG)]])*(Table13[[#This Row],[activating_chance]]/100),0)</f>
        <v>68</v>
      </c>
      <c r="DN52" s="144" t="str">
        <f ca="1">INDIRECT(ADDRESS(11+(MATCH(RIGHT(Table13[[#This Row],[spawner_sku]],LEN(Table13[[#This Row],[spawner_sku]])-FIND("/",Table13[[#This Row],[spawner_sku]])),Table28[Entity Prefab],0)),25,1,1,"Entities"))</f>
        <v>no</v>
      </c>
      <c r="DO52" s="71">
        <v>6</v>
      </c>
      <c r="DP52" s="71">
        <v>12</v>
      </c>
      <c r="DQ52" s="71" t="b">
        <v>1</v>
      </c>
      <c r="DS52" t="s">
        <v>214</v>
      </c>
      <c r="DT52">
        <v>3.5</v>
      </c>
      <c r="DU52">
        <v>120</v>
      </c>
      <c r="DV52">
        <v>100</v>
      </c>
      <c r="DW52" s="74">
        <f ca="1">INDIRECT(ADDRESS(11+(MATCH(RIGHT(Table14[[#This Row],[spawner_sku]],LEN(Table14[[#This Row],[spawner_sku]])-FIND("/",Table14[[#This Row],[spawner_sku]])),Table1[Entity Prefab],0)),10,1,1,"Entities"))</f>
        <v>25</v>
      </c>
      <c r="DX52" s="74">
        <f ca="1">ROUND((Table14[[#This Row],[XP]]*Table14[[#This Row],[entity_spawned (AVG)]])*(Table14[[#This Row],[activating_chance]]/100),0)</f>
        <v>88</v>
      </c>
      <c r="DY52" s="144" t="str">
        <f ca="1">INDIRECT(ADDRESS(11+(MATCH(RIGHT(Table14[[#This Row],[spawner_sku]],LEN(Table14[[#This Row],[spawner_sku]])-FIND("/",Table14[[#This Row],[spawner_sku]])),Table28[Entity Prefab],0)),25,1,1,"Entities"))</f>
        <v>no</v>
      </c>
      <c r="DZ52" s="71">
        <v>3</v>
      </c>
      <c r="EA52" s="71">
        <v>4</v>
      </c>
      <c r="EB52" s="71" t="b">
        <v>0</v>
      </c>
      <c r="EC52" s="71"/>
      <c r="ED52" s="147" t="s">
        <v>570</v>
      </c>
      <c r="EE52" s="71">
        <v>1</v>
      </c>
      <c r="EF52" s="71">
        <v>120</v>
      </c>
      <c r="EG52" s="71">
        <v>100</v>
      </c>
      <c r="EH52" s="71">
        <f ca="1">INDIRECT(ADDRESS(11+(MATCH(RIGHT(Table36[[#This Row],[spawner_sku]],LEN(Table36[[#This Row],[spawner_sku]])-FIND("/",Table36[[#This Row],[spawner_sku]])),Table1[Entity Prefab],0)),10,1,1,"Entities"))</f>
        <v>50</v>
      </c>
      <c r="EI52" s="71">
        <f ca="1">ROUND((Table36[[#This Row],[XP]]*Table36[[#This Row],[entity_spawned (AVG)]])*(Table36[[#This Row],[activating_chance]]/100),0)</f>
        <v>50</v>
      </c>
      <c r="EJ52" s="71" t="str">
        <f ca="1">INDIRECT(ADDRESS(11+(MATCH(RIGHT(Table36[[#This Row],[spawner_sku]],LEN(Table36[[#This Row],[spawner_sku]])-FIND("/",Table36[[#This Row],[spawner_sku]])),Table28[Entity Prefab],0)),25,1,1,"Entities"))</f>
        <v>no</v>
      </c>
      <c r="EK52" s="71">
        <v>1</v>
      </c>
      <c r="EL52" s="71">
        <v>1</v>
      </c>
      <c r="EM52" s="71" t="b">
        <v>0</v>
      </c>
      <c r="EO52" t="s">
        <v>214</v>
      </c>
      <c r="EP52">
        <v>7</v>
      </c>
      <c r="EQ52">
        <v>160</v>
      </c>
      <c r="ER52">
        <v>100</v>
      </c>
      <c r="ES52" s="74">
        <f ca="1">INDIRECT(ADDRESS(11+(MATCH(RIGHT(Table18[[#This Row],[spawner_sku]],LEN(Table18[[#This Row],[spawner_sku]])-FIND("/",Table18[[#This Row],[spawner_sku]])),Table1[Entity Prefab],0)),10,1,1,"Entities"))</f>
        <v>25</v>
      </c>
      <c r="ET52" s="74">
        <f ca="1">ROUND((Table18[[#This Row],[XP]]*Table18[[#This Row],[entity_spawned (AVG)]])*(Table18[[#This Row],[activating_chance]]/100),0)</f>
        <v>175</v>
      </c>
      <c r="EU52" s="74" t="str">
        <f ca="1">INDIRECT(ADDRESS(11+(MATCH(RIGHT(Table18[[#This Row],[spawner_sku]],LEN(Table18[[#This Row],[spawner_sku]])-FIND("/",Table18[[#This Row],[spawner_sku]])),Table28[Entity Prefab],0)),26,1,1,"Entities"))</f>
        <v>no</v>
      </c>
      <c r="EV52">
        <v>6</v>
      </c>
      <c r="EW52">
        <v>8</v>
      </c>
      <c r="EX52" t="b">
        <v>1</v>
      </c>
      <c r="EZ52" t="s">
        <v>214</v>
      </c>
      <c r="FA52">
        <v>3.5</v>
      </c>
      <c r="FB52">
        <v>140</v>
      </c>
      <c r="FC52">
        <v>100</v>
      </c>
      <c r="FD52" s="74">
        <f ca="1">INDIRECT(ADDRESS(11+(MATCH(RIGHT(Table1820[[#This Row],[spawner_sku]],LEN(Table1820[[#This Row],[spawner_sku]])-FIND("/",Table1820[[#This Row],[spawner_sku]])),Table1[Entity Prefab],0)),10,1,1,"Entities"))</f>
        <v>25</v>
      </c>
      <c r="FE52" s="74">
        <f ca="1">ROUND((Table1820[[#This Row],[XP]]*Table1820[[#This Row],[entity_spawned (AVG)]])*(Table1820[[#This Row],[activating_chance]]/100),0)</f>
        <v>88</v>
      </c>
      <c r="FF52" s="74" t="str">
        <f ca="1">INDIRECT(ADDRESS(11+(MATCH(RIGHT(Table1820[[#This Row],[spawner_sku]],LEN(Table1820[[#This Row],[spawner_sku]])-FIND("/",Table1820[[#This Row],[spawner_sku]])),Table28[Entity Prefab],0)),26,1,1,"Entities"))</f>
        <v>no</v>
      </c>
      <c r="FG52">
        <v>3</v>
      </c>
      <c r="FH52">
        <v>4</v>
      </c>
      <c r="FI52" t="b">
        <v>0</v>
      </c>
      <c r="FK52" t="s">
        <v>2694</v>
      </c>
      <c r="FL52">
        <v>2</v>
      </c>
      <c r="FM52">
        <v>60</v>
      </c>
      <c r="FN52">
        <v>100</v>
      </c>
      <c r="FO52">
        <f ca="1">INDIRECT(ADDRESS(11+(MATCH(RIGHT(Table182023[[#This Row],[spawner_sku]],LEN(Table182023[[#This Row],[spawner_sku]])-FIND("/",Table182023[[#This Row],[spawner_sku]])),Table1[Entity Prefab],0)),10,1,1,"Entities"))</f>
        <v>143</v>
      </c>
      <c r="FP52">
        <f ca="1">ROUND((Table182023[[#This Row],[XP]]*Table182023[[#This Row],[entity_spawned (AVG)]])*(Table182023[[#This Row],[activating_chance]]/100),0)</f>
        <v>286</v>
      </c>
      <c r="FQ52" t="str">
        <f ca="1">INDIRECT(ADDRESS(11+(MATCH(RIGHT(Table182023[[#This Row],[spawner_sku]],LEN(Table182023[[#This Row],[spawner_sku]])-FIND("/",Table182023[[#This Row],[spawner_sku]])),Table28[Entity Prefab],0)),26,1,1,"Entities"))</f>
        <v>no</v>
      </c>
      <c r="FR52">
        <v>1</v>
      </c>
      <c r="FS52">
        <v>3</v>
      </c>
      <c r="FT52" t="b">
        <v>0</v>
      </c>
      <c r="FV52" t="s">
        <v>449</v>
      </c>
      <c r="FW52">
        <v>1</v>
      </c>
      <c r="FX52">
        <v>220</v>
      </c>
      <c r="FY52">
        <v>80</v>
      </c>
      <c r="FZ52" s="74">
        <f ca="1">INDIRECT(ADDRESS(11+(MATCH(RIGHT(Table18202324[[#This Row],[spawner_sku]],LEN(Table18202324[[#This Row],[spawner_sku]])-FIND("/",Table18202324[[#This Row],[spawner_sku]])),Table1[Entity Prefab],0)),10,1,1,"Entities"))</f>
        <v>130</v>
      </c>
      <c r="GA52" s="74">
        <f ca="1">ROUND((Table18202324[[#This Row],[XP]]*Table18202324[[#This Row],[entity_spawned (AVG)]])*(Table18202324[[#This Row],[activating_chance]]/100),0)</f>
        <v>104</v>
      </c>
      <c r="GB52" s="74" t="str">
        <f ca="1">INDIRECT(ADDRESS(11+(MATCH(RIGHT(Table18202324[[#This Row],[spawner_sku]],LEN(Table18202324[[#This Row],[spawner_sku]])-FIND("/",Table18202324[[#This Row],[spawner_sku]])),Table28[Entity Prefab],0)),26,1,1,"Entities"))</f>
        <v>yes</v>
      </c>
      <c r="GC52">
        <v>1</v>
      </c>
      <c r="GD52">
        <v>1</v>
      </c>
      <c r="GE52" t="b">
        <v>0</v>
      </c>
      <c r="GG52" t="s">
        <v>3816</v>
      </c>
      <c r="GH52">
        <v>1</v>
      </c>
      <c r="GI52">
        <v>240</v>
      </c>
      <c r="GJ52">
        <v>100</v>
      </c>
      <c r="GK52">
        <f ca="1">INDIRECT(ADDRESS(11+(MATCH(RIGHT(Table37[[#This Row],[spawner_sku]],LEN(Table37[[#This Row],[spawner_sku]])-FIND("/",Table37[[#This Row],[spawner_sku]])),Table1[Entity Prefab],0)),10,1,1,"Entities"))</f>
        <v>50</v>
      </c>
      <c r="GL52">
        <f ca="1">ROUND((Table37[[#This Row],[XP]]*Table37[[#This Row],[entity_spawned (AVG)]])*(Table37[[#This Row],[activating_chance]]/100),0)</f>
        <v>50</v>
      </c>
      <c r="GM52" t="str">
        <f ca="1">INDIRECT(ADDRESS(11+(MATCH(RIGHT(Table37[[#This Row],[spawner_sku]],LEN(Table37[[#This Row],[spawner_sku]])-FIND("/",Table37[[#This Row],[spawner_sku]])),Table28[Entity Prefab],0)),26,1,1,"Entities"))</f>
        <v>no</v>
      </c>
      <c r="GN52">
        <v>1</v>
      </c>
      <c r="GO52">
        <v>1</v>
      </c>
      <c r="GP52" t="b">
        <v>0</v>
      </c>
    </row>
    <row r="53" spans="2:198" x14ac:dyDescent="0.25">
      <c r="B53" s="72" t="s">
        <v>215</v>
      </c>
      <c r="C53">
        <v>2</v>
      </c>
      <c r="D53">
        <v>110</v>
      </c>
      <c r="E53">
        <v>100</v>
      </c>
      <c r="F53" s="74">
        <f ca="1">INDIRECT(ADDRESS(11+(MATCH(RIGHT(Table245[[#This Row],[spawner_sku]],LEN(Table245[[#This Row],[spawner_sku]])-FIND("/",Table245[[#This Row],[spawner_sku]])),Table1[Entity Prefab],0)),10,1,1,"Entities"))</f>
        <v>25</v>
      </c>
      <c r="G53" s="74">
        <f ca="1">ROUND((Table245[[#This Row],[XP]]*Table245[[#This Row],[entity_spawned (AVG)]])*(Table245[[#This Row],[activating_chance]]/100),0)</f>
        <v>50</v>
      </c>
      <c r="H53" s="71" t="str">
        <f ca="1">INDIRECT(ADDRESS(11+(MATCH(RIGHT(Table245[[#This Row],[spawner_sku]],LEN(Table245[[#This Row],[spawner_sku]])-FIND("/",Table245[[#This Row],[spawner_sku]])),Table28[Entity Prefab],0)),24,1,1,"Entities"))</f>
        <v>no</v>
      </c>
      <c r="I53" s="71">
        <v>1</v>
      </c>
      <c r="J53" s="71">
        <v>3</v>
      </c>
      <c r="K53" s="71" t="b">
        <v>0</v>
      </c>
      <c r="M53" t="s">
        <v>217</v>
      </c>
      <c r="N53">
        <v>7.5</v>
      </c>
      <c r="O53">
        <v>130</v>
      </c>
      <c r="P53">
        <v>100</v>
      </c>
      <c r="Q53" s="74">
        <f ca="1">INDIRECT(ADDRESS(11+(MATCH(RIGHT(Table3[[#This Row],[spawner_sku]],LEN(Table3[[#This Row],[spawner_sku]])-FIND("/",Table3[[#This Row],[spawner_sku]])),Table1[Entity Prefab],0)),10,1,1,"Entities"))</f>
        <v>25</v>
      </c>
      <c r="R53" s="74">
        <f ca="1">ROUND((Table3[[#This Row],[XP]]*Table3[[#This Row],[entity_spawned (AVG)]])*(Table3[[#This Row],[activating_chance]]/100),0)</f>
        <v>188</v>
      </c>
      <c r="S53" t="str">
        <f ca="1">INDIRECT(ADDRESS(11+(MATCH(RIGHT(Table3[[#This Row],[spawner_sku]],LEN(Table3[[#This Row],[spawner_sku]])-FIND("/",Table3[[#This Row],[spawner_sku]])),Table28[Entity Prefab],0)),24,1,1,"Entities"))</f>
        <v>no</v>
      </c>
      <c r="T53">
        <v>5</v>
      </c>
      <c r="U53">
        <v>10</v>
      </c>
      <c r="V53" t="b">
        <v>1</v>
      </c>
      <c r="W53" s="71"/>
      <c r="X53" t="s">
        <v>423</v>
      </c>
      <c r="Y53">
        <v>2</v>
      </c>
      <c r="Z53">
        <v>180</v>
      </c>
      <c r="AA53">
        <v>100</v>
      </c>
      <c r="AB53" s="74">
        <f ca="1">INDIRECT(ADDRESS(11+(MATCH(RIGHT(Table39[[#This Row],[spawner_sku]],LEN(Table39[[#This Row],[spawner_sku]])-FIND("/",Table39[[#This Row],[spawner_sku]])),Table1[Entity Prefab],0)),10,1,1,"Entities"))</f>
        <v>0</v>
      </c>
      <c r="AC53" s="74">
        <f ca="1">ROUND((Table39[[#This Row],[XP]]*Table39[[#This Row],[entity_spawned (AVG)]])*(Table39[[#This Row],[activating_chance]]/100),0)</f>
        <v>0</v>
      </c>
      <c r="AD53" t="str">
        <f ca="1">INDIRECT(ADDRESS(11+(MATCH(RIGHT(Table39[[#This Row],[spawner_sku]],LEN(Table39[[#This Row],[spawner_sku]])-FIND("/",Table39[[#This Row],[spawner_sku]])),Table28[Entity Prefab],0)),24,1,1,"Entities"))</f>
        <v>yes</v>
      </c>
      <c r="AE53">
        <v>2</v>
      </c>
      <c r="AF53">
        <v>2</v>
      </c>
      <c r="AG53" t="b">
        <v>0</v>
      </c>
      <c r="AI53" t="s">
        <v>215</v>
      </c>
      <c r="AJ53">
        <v>2</v>
      </c>
      <c r="AK53">
        <v>110</v>
      </c>
      <c r="AL53">
        <v>80</v>
      </c>
      <c r="AM53" s="74">
        <f ca="1">INDIRECT(ADDRESS(11+(MATCH(RIGHT(Table2[[#This Row],[spawner_sku]],LEN(Table2[[#This Row],[spawner_sku]])-FIND("/",Table2[[#This Row],[spawner_sku]])),Table1[Entity Prefab],0)),10,1,1,"Entities"))</f>
        <v>25</v>
      </c>
      <c r="AN53" s="74">
        <f ca="1">ROUND((Table2[[#This Row],[XP]]*Table2[[#This Row],[entity_spawned (AVG)]])*(Table2[[#This Row],[activating_chance]]/100),0)</f>
        <v>40</v>
      </c>
      <c r="AO53" s="71" t="str">
        <f ca="1">INDIRECT(ADDRESS(11+(MATCH(RIGHT(Table2[[#This Row],[spawner_sku]],LEN(Table2[[#This Row],[spawner_sku]])-FIND("/",Table2[[#This Row],[spawner_sku]])),Table28[Entity Prefab],0)),24,1,1,"Entities"))</f>
        <v>no</v>
      </c>
      <c r="AP53" s="71">
        <v>1</v>
      </c>
      <c r="AQ53" s="71">
        <v>3</v>
      </c>
      <c r="AR53" s="71" t="b">
        <v>0</v>
      </c>
      <c r="AT53" t="s">
        <v>376</v>
      </c>
      <c r="AU53">
        <v>5.5</v>
      </c>
      <c r="AV53">
        <v>200</v>
      </c>
      <c r="AW53">
        <v>100</v>
      </c>
      <c r="AX53" s="74">
        <f ca="1">INDIRECT(ADDRESS(11+(MATCH(RIGHT(Table6[[#This Row],[spawner_sku]],LEN(Table6[[#This Row],[spawner_sku]])-FIND("/",Table6[[#This Row],[spawner_sku]])),Table1[Entity Prefab],0)),10,1,1,"Entities"))</f>
        <v>25</v>
      </c>
      <c r="AY53" s="74">
        <f ca="1">ROUND((Table6[[#This Row],[XP]]*Table6[[#This Row],[entity_spawned (AVG)]])*(Table6[[#This Row],[activating_chance]]/100),0)</f>
        <v>138</v>
      </c>
      <c r="AZ53" s="144" t="str">
        <f ca="1">INDIRECT(ADDRESS(11+(MATCH(RIGHT(Table6[[#This Row],[spawner_sku]],LEN(Table6[[#This Row],[spawner_sku]])-FIND("/",Table6[[#This Row],[spawner_sku]])),Table28[Entity Prefab],0)),24,1,1,"Entities"))</f>
        <v>no</v>
      </c>
      <c r="BA53">
        <v>5</v>
      </c>
      <c r="BB53">
        <v>6</v>
      </c>
      <c r="BC53" t="b">
        <v>1</v>
      </c>
      <c r="BE53" t="s">
        <v>376</v>
      </c>
      <c r="BF53">
        <v>6</v>
      </c>
      <c r="BG53">
        <v>220</v>
      </c>
      <c r="BH53">
        <v>100</v>
      </c>
      <c r="BI53" s="74">
        <f ca="1">INDIRECT(ADDRESS(11+(MATCH(RIGHT(Table610[[#This Row],[spawner_sku]],LEN(Table610[[#This Row],[spawner_sku]])-FIND("/",Table610[[#This Row],[spawner_sku]])),Table1[Entity Prefab],0)),10,1,1,"Entities"))</f>
        <v>25</v>
      </c>
      <c r="BJ53" s="74">
        <f ca="1">ROUND((Table610[[#This Row],[XP]]*Table610[[#This Row],[entity_spawned (AVG)]])*(Table610[[#This Row],[activating_chance]]/100),0)</f>
        <v>150</v>
      </c>
      <c r="BK53" s="71" t="str">
        <f ca="1">INDIRECT(ADDRESS(11+(MATCH(RIGHT(Table610[[#This Row],[spawner_sku]],LEN(Table610[[#This Row],[spawner_sku]])-FIND("/",Table610[[#This Row],[spawner_sku]])),Table28[Entity Prefab],0)),24,1,1,"Entities"))</f>
        <v>no</v>
      </c>
      <c r="BL53">
        <v>5</v>
      </c>
      <c r="BM53">
        <v>7</v>
      </c>
      <c r="BN53" t="b">
        <v>1</v>
      </c>
      <c r="BP53" t="s">
        <v>215</v>
      </c>
      <c r="BQ53">
        <v>3.5</v>
      </c>
      <c r="BR53">
        <v>130</v>
      </c>
      <c r="BS53">
        <v>100</v>
      </c>
      <c r="BT53" s="74">
        <f ca="1">INDIRECT(ADDRESS(11+(MATCH(RIGHT(Table61011[[#This Row],[spawner_sku]],LEN(Table61011[[#This Row],[spawner_sku]])-FIND("/",Table61011[[#This Row],[spawner_sku]])),Table1[Entity Prefab],0)),10,1,1,"Entities"))</f>
        <v>25</v>
      </c>
      <c r="BU53" s="74">
        <f ca="1">ROUND((Table61011[[#This Row],[XP]]*Table61011[[#This Row],[entity_spawned (AVG)]])*(Table61011[[#This Row],[activating_chance]]/100),0)</f>
        <v>88</v>
      </c>
      <c r="BV53" s="71" t="str">
        <f ca="1">INDIRECT(ADDRESS(11+(MATCH(RIGHT(Table61011[[#This Row],[spawner_sku]],LEN(Table61011[[#This Row],[spawner_sku]])-FIND("/",Table61011[[#This Row],[spawner_sku]])),Table28[Entity Prefab],0)),24,1,1,"Entities"))</f>
        <v>no</v>
      </c>
      <c r="BW53" s="71">
        <v>3</v>
      </c>
      <c r="BX53" s="71">
        <v>4</v>
      </c>
      <c r="BY53" s="71" t="b">
        <v>0</v>
      </c>
      <c r="BZ53" s="71"/>
      <c r="CA53" s="147" t="s">
        <v>570</v>
      </c>
      <c r="CB53">
        <v>1</v>
      </c>
      <c r="CC53">
        <v>120</v>
      </c>
      <c r="CD53">
        <v>100</v>
      </c>
      <c r="CE53" s="74">
        <f ca="1">INDIRECT(ADDRESS(11+(MATCH(RIGHT(Table35[[#This Row],[spawner_sku]],LEN(Table35[[#This Row],[spawner_sku]])-FIND("/",Table35[[#This Row],[spawner_sku]])),Table1[Entity Prefab],0)),10,1,1,"Entities"))</f>
        <v>50</v>
      </c>
      <c r="CF53" s="74">
        <f ca="1">ROUND((Table35[[#This Row],[XP]]*Table35[[#This Row],[entity_spawned (AVG)]])*(Table35[[#This Row],[activating_chance]]/100),0)</f>
        <v>50</v>
      </c>
      <c r="CG53" s="144" t="str">
        <f ca="1">INDIRECT(ADDRESS(11+(MATCH(RIGHT(Table35[[#This Row],[spawner_sku]],LEN(Table35[[#This Row],[spawner_sku]])-FIND("/",Table35[[#This Row],[spawner_sku]])),Table28[Entity Prefab],0)),24,1,1,"Entities"))</f>
        <v>no</v>
      </c>
      <c r="CH53">
        <v>1</v>
      </c>
      <c r="CI53">
        <v>1</v>
      </c>
      <c r="CJ53" s="71" t="b">
        <v>0</v>
      </c>
      <c r="CL53" t="s">
        <v>215</v>
      </c>
      <c r="CM53">
        <v>1.5</v>
      </c>
      <c r="CN53">
        <v>180</v>
      </c>
      <c r="CO53">
        <v>30</v>
      </c>
      <c r="CP53" s="74">
        <f ca="1">INDIRECT(ADDRESS(11+(MATCH(RIGHT(Table11[[#This Row],[spawner_sku]],LEN(Table11[[#This Row],[spawner_sku]])-FIND("/",Table11[[#This Row],[spawner_sku]])),Table1[Entity Prefab],0)),10,1,1,"Entities"))</f>
        <v>25</v>
      </c>
      <c r="CQ53">
        <f ca="1">ROUND((Table11[[#This Row],[XP]]*Table11[[#This Row],[entity_spawned (AVG)]])*(Table11[[#This Row],[activating_chance]]/100),0)</f>
        <v>11</v>
      </c>
      <c r="CR53" s="144" t="str">
        <f ca="1">INDIRECT(ADDRESS(11+(MATCH(RIGHT(Table11[[#This Row],[spawner_sku]],LEN(Table11[[#This Row],[spawner_sku]])-FIND("/",Table11[[#This Row],[spawner_sku]])),Table28[Entity Prefab],0)),25,1,1,"Entities"))</f>
        <v>no</v>
      </c>
      <c r="CS53" s="71">
        <v>1</v>
      </c>
      <c r="CT53" s="71">
        <v>2</v>
      </c>
      <c r="CU53" s="71" t="b">
        <v>0</v>
      </c>
      <c r="CW53" t="s">
        <v>215</v>
      </c>
      <c r="CX53">
        <v>3</v>
      </c>
      <c r="CY53">
        <v>180</v>
      </c>
      <c r="CZ53">
        <v>100</v>
      </c>
      <c r="DA53" s="74">
        <f ca="1">INDIRECT(ADDRESS(11+(MATCH(RIGHT(Table12[[#This Row],[spawner_sku]],LEN(Table12[[#This Row],[spawner_sku]])-FIND("/",Table12[[#This Row],[spawner_sku]])),Table1[Entity Prefab],0)),10,1,1,"Entities"))</f>
        <v>25</v>
      </c>
      <c r="DB53" s="74">
        <f ca="1">ROUND((Table12[[#This Row],[XP]]*Table12[[#This Row],[entity_spawned (AVG)]])*(Table12[[#This Row],[activating_chance]]/100),0)</f>
        <v>75</v>
      </c>
      <c r="DC53" s="144" t="str">
        <f ca="1">INDIRECT(ADDRESS(11+(MATCH(RIGHT(Table12[[#This Row],[spawner_sku]],LEN(Table12[[#This Row],[spawner_sku]])-FIND("/",Table12[[#This Row],[spawner_sku]])),Table28[Entity Prefab],0)),25,1,1,"Entities"))</f>
        <v>no</v>
      </c>
      <c r="DD53" s="71">
        <v>2</v>
      </c>
      <c r="DE53" s="71">
        <v>4</v>
      </c>
      <c r="DF53" s="71" t="b">
        <v>0</v>
      </c>
      <c r="DH53" t="s">
        <v>376</v>
      </c>
      <c r="DI53">
        <v>10</v>
      </c>
      <c r="DJ53">
        <v>200</v>
      </c>
      <c r="DK53">
        <v>100</v>
      </c>
      <c r="DL53" s="74">
        <f ca="1">INDIRECT(ADDRESS(11+(MATCH(RIGHT(Table13[[#This Row],[spawner_sku]],LEN(Table13[[#This Row],[spawner_sku]])-FIND("/",Table13[[#This Row],[spawner_sku]])),Table1[Entity Prefab],0)),10,1,1,"Entities"))</f>
        <v>25</v>
      </c>
      <c r="DM53" s="74">
        <f ca="1">ROUND((Table13[[#This Row],[XP]]*Table13[[#This Row],[entity_spawned (AVG)]])*(Table13[[#This Row],[activating_chance]]/100),0)</f>
        <v>250</v>
      </c>
      <c r="DN53" s="144" t="str">
        <f ca="1">INDIRECT(ADDRESS(11+(MATCH(RIGHT(Table13[[#This Row],[spawner_sku]],LEN(Table13[[#This Row],[spawner_sku]])-FIND("/",Table13[[#This Row],[spawner_sku]])),Table28[Entity Prefab],0)),25,1,1,"Entities"))</f>
        <v>no</v>
      </c>
      <c r="DO53" s="71">
        <v>8</v>
      </c>
      <c r="DP53" s="71">
        <v>12</v>
      </c>
      <c r="DQ53" s="71" t="b">
        <v>1</v>
      </c>
      <c r="DS53" t="s">
        <v>214</v>
      </c>
      <c r="DT53">
        <v>3.5</v>
      </c>
      <c r="DU53">
        <v>150</v>
      </c>
      <c r="DV53">
        <v>80</v>
      </c>
      <c r="DW53" s="74">
        <f ca="1">INDIRECT(ADDRESS(11+(MATCH(RIGHT(Table14[[#This Row],[spawner_sku]],LEN(Table14[[#This Row],[spawner_sku]])-FIND("/",Table14[[#This Row],[spawner_sku]])),Table1[Entity Prefab],0)),10,1,1,"Entities"))</f>
        <v>25</v>
      </c>
      <c r="DX53" s="74">
        <f ca="1">ROUND((Table14[[#This Row],[XP]]*Table14[[#This Row],[entity_spawned (AVG)]])*(Table14[[#This Row],[activating_chance]]/100),0)</f>
        <v>70</v>
      </c>
      <c r="DY53" s="144" t="str">
        <f ca="1">INDIRECT(ADDRESS(11+(MATCH(RIGHT(Table14[[#This Row],[spawner_sku]],LEN(Table14[[#This Row],[spawner_sku]])-FIND("/",Table14[[#This Row],[spawner_sku]])),Table28[Entity Prefab],0)),25,1,1,"Entities"))</f>
        <v>no</v>
      </c>
      <c r="DZ53" s="71">
        <v>3</v>
      </c>
      <c r="EA53" s="71">
        <v>4</v>
      </c>
      <c r="EB53" s="71" t="b">
        <v>0</v>
      </c>
      <c r="EC53" s="71"/>
      <c r="ED53" s="147" t="s">
        <v>570</v>
      </c>
      <c r="EE53" s="71">
        <v>1</v>
      </c>
      <c r="EF53" s="71">
        <v>120</v>
      </c>
      <c r="EG53" s="71">
        <v>100</v>
      </c>
      <c r="EH53" s="71">
        <f ca="1">INDIRECT(ADDRESS(11+(MATCH(RIGHT(Table36[[#This Row],[spawner_sku]],LEN(Table36[[#This Row],[spawner_sku]])-FIND("/",Table36[[#This Row],[spawner_sku]])),Table1[Entity Prefab],0)),10,1,1,"Entities"))</f>
        <v>50</v>
      </c>
      <c r="EI53" s="71">
        <f ca="1">ROUND((Table36[[#This Row],[XP]]*Table36[[#This Row],[entity_spawned (AVG)]])*(Table36[[#This Row],[activating_chance]]/100),0)</f>
        <v>50</v>
      </c>
      <c r="EJ53" s="71" t="str">
        <f ca="1">INDIRECT(ADDRESS(11+(MATCH(RIGHT(Table36[[#This Row],[spawner_sku]],LEN(Table36[[#This Row],[spawner_sku]])-FIND("/",Table36[[#This Row],[spawner_sku]])),Table28[Entity Prefab],0)),25,1,1,"Entities"))</f>
        <v>no</v>
      </c>
      <c r="EK53" s="71">
        <v>1</v>
      </c>
      <c r="EL53" s="71">
        <v>1</v>
      </c>
      <c r="EM53" s="71" t="b">
        <v>0</v>
      </c>
      <c r="EO53" t="s">
        <v>214</v>
      </c>
      <c r="EP53">
        <v>8</v>
      </c>
      <c r="EQ53">
        <v>120</v>
      </c>
      <c r="ER53">
        <v>100</v>
      </c>
      <c r="ES53" s="74">
        <f ca="1">INDIRECT(ADDRESS(11+(MATCH(RIGHT(Table18[[#This Row],[spawner_sku]],LEN(Table18[[#This Row],[spawner_sku]])-FIND("/",Table18[[#This Row],[spawner_sku]])),Table1[Entity Prefab],0)),10,1,1,"Entities"))</f>
        <v>25</v>
      </c>
      <c r="ET53" s="74">
        <f ca="1">ROUND((Table18[[#This Row],[XP]]*Table18[[#This Row],[entity_spawned (AVG)]])*(Table18[[#This Row],[activating_chance]]/100),0)</f>
        <v>200</v>
      </c>
      <c r="EU53" s="74" t="str">
        <f ca="1">INDIRECT(ADDRESS(11+(MATCH(RIGHT(Table18[[#This Row],[spawner_sku]],LEN(Table18[[#This Row],[spawner_sku]])-FIND("/",Table18[[#This Row],[spawner_sku]])),Table28[Entity Prefab],0)),26,1,1,"Entities"))</f>
        <v>no</v>
      </c>
      <c r="EV53">
        <v>6</v>
      </c>
      <c r="EW53">
        <v>10</v>
      </c>
      <c r="EX53" t="b">
        <v>1</v>
      </c>
      <c r="EZ53" t="s">
        <v>214</v>
      </c>
      <c r="FA53">
        <v>11</v>
      </c>
      <c r="FB53">
        <v>180</v>
      </c>
      <c r="FC53">
        <v>80</v>
      </c>
      <c r="FD53" s="74">
        <f ca="1">INDIRECT(ADDRESS(11+(MATCH(RIGHT(Table1820[[#This Row],[spawner_sku]],LEN(Table1820[[#This Row],[spawner_sku]])-FIND("/",Table1820[[#This Row],[spawner_sku]])),Table1[Entity Prefab],0)),10,1,1,"Entities"))</f>
        <v>25</v>
      </c>
      <c r="FE53" s="74">
        <f ca="1">ROUND((Table1820[[#This Row],[XP]]*Table1820[[#This Row],[entity_spawned (AVG)]])*(Table1820[[#This Row],[activating_chance]]/100),0)</f>
        <v>220</v>
      </c>
      <c r="FF53" s="74" t="str">
        <f ca="1">INDIRECT(ADDRESS(11+(MATCH(RIGHT(Table1820[[#This Row],[spawner_sku]],LEN(Table1820[[#This Row],[spawner_sku]])-FIND("/",Table1820[[#This Row],[spawner_sku]])),Table28[Entity Prefab],0)),26,1,1,"Entities"))</f>
        <v>no</v>
      </c>
      <c r="FG53">
        <v>10</v>
      </c>
      <c r="FH53">
        <v>12</v>
      </c>
      <c r="FI53" t="b">
        <v>1</v>
      </c>
      <c r="FK53" t="s">
        <v>2694</v>
      </c>
      <c r="FL53">
        <v>1</v>
      </c>
      <c r="FM53">
        <v>60</v>
      </c>
      <c r="FN53">
        <v>100</v>
      </c>
      <c r="FO53">
        <f ca="1">INDIRECT(ADDRESS(11+(MATCH(RIGHT(Table182023[[#This Row],[spawner_sku]],LEN(Table182023[[#This Row],[spawner_sku]])-FIND("/",Table182023[[#This Row],[spawner_sku]])),Table1[Entity Prefab],0)),10,1,1,"Entities"))</f>
        <v>143</v>
      </c>
      <c r="FP53">
        <f ca="1">ROUND((Table182023[[#This Row],[XP]]*Table182023[[#This Row],[entity_spawned (AVG)]])*(Table182023[[#This Row],[activating_chance]]/100),0)</f>
        <v>143</v>
      </c>
      <c r="FQ53" t="str">
        <f ca="1">INDIRECT(ADDRESS(11+(MATCH(RIGHT(Table182023[[#This Row],[spawner_sku]],LEN(Table182023[[#This Row],[spawner_sku]])-FIND("/",Table182023[[#This Row],[spawner_sku]])),Table28[Entity Prefab],0)),26,1,1,"Entities"))</f>
        <v>no</v>
      </c>
      <c r="FR53">
        <v>1</v>
      </c>
      <c r="FS53">
        <v>1</v>
      </c>
      <c r="FT53" t="b">
        <v>0</v>
      </c>
      <c r="FV53" t="s">
        <v>8112</v>
      </c>
      <c r="FW53">
        <v>1</v>
      </c>
      <c r="FX53">
        <v>300</v>
      </c>
      <c r="FY53">
        <v>100</v>
      </c>
      <c r="FZ53" s="74">
        <f ca="1">INDIRECT(ADDRESS(11+(MATCH(RIGHT(Table18202324[[#This Row],[spawner_sku]],LEN(Table18202324[[#This Row],[spawner_sku]])-FIND("/",Table18202324[[#This Row],[spawner_sku]])),Table1[Entity Prefab],0)),10,1,1,"Entities"))</f>
        <v>150</v>
      </c>
      <c r="GA53" s="74">
        <f ca="1">ROUND((Table18202324[[#This Row],[XP]]*Table18202324[[#This Row],[entity_spawned (AVG)]])*(Table18202324[[#This Row],[activating_chance]]/100),0)</f>
        <v>150</v>
      </c>
      <c r="GB53" s="74" t="str">
        <f ca="1">INDIRECT(ADDRESS(11+(MATCH(RIGHT(Table18202324[[#This Row],[spawner_sku]],LEN(Table18202324[[#This Row],[spawner_sku]])-FIND("/",Table18202324[[#This Row],[spawner_sku]])),Table28[Entity Prefab],0)),26,1,1,"Entities"))</f>
        <v>yes</v>
      </c>
      <c r="GC53">
        <v>1</v>
      </c>
      <c r="GD53">
        <v>1</v>
      </c>
      <c r="GE53" t="b">
        <v>0</v>
      </c>
      <c r="GG53" t="s">
        <v>3816</v>
      </c>
      <c r="GH53">
        <v>1</v>
      </c>
      <c r="GI53">
        <v>240</v>
      </c>
      <c r="GJ53">
        <v>100</v>
      </c>
      <c r="GK53">
        <f ca="1">INDIRECT(ADDRESS(11+(MATCH(RIGHT(Table37[[#This Row],[spawner_sku]],LEN(Table37[[#This Row],[spawner_sku]])-FIND("/",Table37[[#This Row],[spawner_sku]])),Table1[Entity Prefab],0)),10,1,1,"Entities"))</f>
        <v>50</v>
      </c>
      <c r="GL53">
        <f ca="1">ROUND((Table37[[#This Row],[XP]]*Table37[[#This Row],[entity_spawned (AVG)]])*(Table37[[#This Row],[activating_chance]]/100),0)</f>
        <v>50</v>
      </c>
      <c r="GM53" t="str">
        <f ca="1">INDIRECT(ADDRESS(11+(MATCH(RIGHT(Table37[[#This Row],[spawner_sku]],LEN(Table37[[#This Row],[spawner_sku]])-FIND("/",Table37[[#This Row],[spawner_sku]])),Table28[Entity Prefab],0)),26,1,1,"Entities"))</f>
        <v>no</v>
      </c>
      <c r="GN53">
        <v>1</v>
      </c>
      <c r="GO53">
        <v>1</v>
      </c>
      <c r="GP53" t="b">
        <v>0</v>
      </c>
    </row>
    <row r="54" spans="2:198" x14ac:dyDescent="0.25">
      <c r="B54" s="72" t="s">
        <v>215</v>
      </c>
      <c r="C54">
        <v>2</v>
      </c>
      <c r="D54">
        <v>80</v>
      </c>
      <c r="E54">
        <v>100</v>
      </c>
      <c r="F54" s="74">
        <f ca="1">INDIRECT(ADDRESS(11+(MATCH(RIGHT(Table245[[#This Row],[spawner_sku]],LEN(Table245[[#This Row],[spawner_sku]])-FIND("/",Table245[[#This Row],[spawner_sku]])),Table1[Entity Prefab],0)),10,1,1,"Entities"))</f>
        <v>25</v>
      </c>
      <c r="G54" s="74">
        <f ca="1">ROUND((Table245[[#This Row],[XP]]*Table245[[#This Row],[entity_spawned (AVG)]])*(Table245[[#This Row],[activating_chance]]/100),0)</f>
        <v>50</v>
      </c>
      <c r="H54" s="71" t="str">
        <f ca="1">INDIRECT(ADDRESS(11+(MATCH(RIGHT(Table245[[#This Row],[spawner_sku]],LEN(Table245[[#This Row],[spawner_sku]])-FIND("/",Table245[[#This Row],[spawner_sku]])),Table28[Entity Prefab],0)),24,1,1,"Entities"))</f>
        <v>no</v>
      </c>
      <c r="I54" s="71">
        <v>2</v>
      </c>
      <c r="J54" s="71">
        <v>2</v>
      </c>
      <c r="K54" s="71" t="b">
        <v>0</v>
      </c>
      <c r="M54" t="s">
        <v>372</v>
      </c>
      <c r="N54">
        <v>1.5</v>
      </c>
      <c r="O54">
        <v>200</v>
      </c>
      <c r="P54">
        <v>40</v>
      </c>
      <c r="Q54" s="74">
        <f ca="1">INDIRECT(ADDRESS(11+(MATCH(RIGHT(Table3[[#This Row],[spawner_sku]],LEN(Table3[[#This Row],[spawner_sku]])-FIND("/",Table3[[#This Row],[spawner_sku]])),Table1[Entity Prefab],0)),10,1,1,"Entities"))</f>
        <v>25</v>
      </c>
      <c r="R54" s="74">
        <f ca="1">ROUND((Table3[[#This Row],[XP]]*Table3[[#This Row],[entity_spawned (AVG)]])*(Table3[[#This Row],[activating_chance]]/100),0)</f>
        <v>15</v>
      </c>
      <c r="S54" t="str">
        <f ca="1">INDIRECT(ADDRESS(11+(MATCH(RIGHT(Table3[[#This Row],[spawner_sku]],LEN(Table3[[#This Row],[spawner_sku]])-FIND("/",Table3[[#This Row],[spawner_sku]])),Table28[Entity Prefab],0)),24,1,1,"Entities"))</f>
        <v>no</v>
      </c>
      <c r="T54">
        <v>1</v>
      </c>
      <c r="U54">
        <v>2</v>
      </c>
      <c r="V54" t="b">
        <v>0</v>
      </c>
      <c r="W54" s="71"/>
      <c r="X54" t="s">
        <v>423</v>
      </c>
      <c r="Y54">
        <v>3</v>
      </c>
      <c r="Z54">
        <v>180</v>
      </c>
      <c r="AA54">
        <v>100</v>
      </c>
      <c r="AB54" s="74">
        <f ca="1">INDIRECT(ADDRESS(11+(MATCH(RIGHT(Table39[[#This Row],[spawner_sku]],LEN(Table39[[#This Row],[spawner_sku]])-FIND("/",Table39[[#This Row],[spawner_sku]])),Table1[Entity Prefab],0)),10,1,1,"Entities"))</f>
        <v>0</v>
      </c>
      <c r="AC54" s="74">
        <f ca="1">ROUND((Table39[[#This Row],[XP]]*Table39[[#This Row],[entity_spawned (AVG)]])*(Table39[[#This Row],[activating_chance]]/100),0)</f>
        <v>0</v>
      </c>
      <c r="AD54" t="str">
        <f ca="1">INDIRECT(ADDRESS(11+(MATCH(RIGHT(Table39[[#This Row],[spawner_sku]],LEN(Table39[[#This Row],[spawner_sku]])-FIND("/",Table39[[#This Row],[spawner_sku]])),Table28[Entity Prefab],0)),24,1,1,"Entities"))</f>
        <v>yes</v>
      </c>
      <c r="AE54">
        <v>3</v>
      </c>
      <c r="AF54">
        <v>3</v>
      </c>
      <c r="AG54" t="b">
        <v>0</v>
      </c>
      <c r="AI54" t="s">
        <v>215</v>
      </c>
      <c r="AJ54">
        <v>2</v>
      </c>
      <c r="AK54">
        <v>120</v>
      </c>
      <c r="AL54">
        <v>100</v>
      </c>
      <c r="AM54" s="74">
        <f ca="1">INDIRECT(ADDRESS(11+(MATCH(RIGHT(Table2[[#This Row],[spawner_sku]],LEN(Table2[[#This Row],[spawner_sku]])-FIND("/",Table2[[#This Row],[spawner_sku]])),Table1[Entity Prefab],0)),10,1,1,"Entities"))</f>
        <v>25</v>
      </c>
      <c r="AN54" s="74">
        <f ca="1">ROUND((Table2[[#This Row],[XP]]*Table2[[#This Row],[entity_spawned (AVG)]])*(Table2[[#This Row],[activating_chance]]/100),0)</f>
        <v>50</v>
      </c>
      <c r="AO54" s="71" t="str">
        <f ca="1">INDIRECT(ADDRESS(11+(MATCH(RIGHT(Table2[[#This Row],[spawner_sku]],LEN(Table2[[#This Row],[spawner_sku]])-FIND("/",Table2[[#This Row],[spawner_sku]])),Table28[Entity Prefab],0)),24,1,1,"Entities"))</f>
        <v>no</v>
      </c>
      <c r="AP54" s="71">
        <v>1</v>
      </c>
      <c r="AQ54" s="71">
        <v>3</v>
      </c>
      <c r="AR54" s="71" t="b">
        <v>0</v>
      </c>
      <c r="AT54" t="s">
        <v>376</v>
      </c>
      <c r="AU54">
        <v>6</v>
      </c>
      <c r="AV54">
        <v>200</v>
      </c>
      <c r="AW54">
        <v>100</v>
      </c>
      <c r="AX54" s="74">
        <f ca="1">INDIRECT(ADDRESS(11+(MATCH(RIGHT(Table6[[#This Row],[spawner_sku]],LEN(Table6[[#This Row],[spawner_sku]])-FIND("/",Table6[[#This Row],[spawner_sku]])),Table1[Entity Prefab],0)),10,1,1,"Entities"))</f>
        <v>25</v>
      </c>
      <c r="AY54" s="74">
        <f ca="1">ROUND((Table6[[#This Row],[XP]]*Table6[[#This Row],[entity_spawned (AVG)]])*(Table6[[#This Row],[activating_chance]]/100),0)</f>
        <v>150</v>
      </c>
      <c r="AZ54" s="144" t="str">
        <f ca="1">INDIRECT(ADDRESS(11+(MATCH(RIGHT(Table6[[#This Row],[spawner_sku]],LEN(Table6[[#This Row],[spawner_sku]])-FIND("/",Table6[[#This Row],[spawner_sku]])),Table28[Entity Prefab],0)),24,1,1,"Entities"))</f>
        <v>no</v>
      </c>
      <c r="BA54">
        <v>5</v>
      </c>
      <c r="BB54">
        <v>7</v>
      </c>
      <c r="BC54" t="b">
        <v>1</v>
      </c>
      <c r="BE54" t="s">
        <v>376</v>
      </c>
      <c r="BF54">
        <v>3.5</v>
      </c>
      <c r="BG54">
        <v>200</v>
      </c>
      <c r="BH54">
        <v>100</v>
      </c>
      <c r="BI54" s="74">
        <f ca="1">INDIRECT(ADDRESS(11+(MATCH(RIGHT(Table610[[#This Row],[spawner_sku]],LEN(Table610[[#This Row],[spawner_sku]])-FIND("/",Table610[[#This Row],[spawner_sku]])),Table1[Entity Prefab],0)),10,1,1,"Entities"))</f>
        <v>25</v>
      </c>
      <c r="BJ54" s="74">
        <f ca="1">ROUND((Table610[[#This Row],[XP]]*Table610[[#This Row],[entity_spawned (AVG)]])*(Table610[[#This Row],[activating_chance]]/100),0)</f>
        <v>88</v>
      </c>
      <c r="BK54" s="71" t="str">
        <f ca="1">INDIRECT(ADDRESS(11+(MATCH(RIGHT(Table610[[#This Row],[spawner_sku]],LEN(Table610[[#This Row],[spawner_sku]])-FIND("/",Table610[[#This Row],[spawner_sku]])),Table28[Entity Prefab],0)),24,1,1,"Entities"))</f>
        <v>no</v>
      </c>
      <c r="BL54">
        <v>3</v>
      </c>
      <c r="BM54">
        <v>4</v>
      </c>
      <c r="BN54" t="b">
        <v>0</v>
      </c>
      <c r="BP54" t="s">
        <v>215</v>
      </c>
      <c r="BQ54">
        <v>3.5</v>
      </c>
      <c r="BR54">
        <v>200</v>
      </c>
      <c r="BS54">
        <v>100</v>
      </c>
      <c r="BT54" s="74">
        <f ca="1">INDIRECT(ADDRESS(11+(MATCH(RIGHT(Table61011[[#This Row],[spawner_sku]],LEN(Table61011[[#This Row],[spawner_sku]])-FIND("/",Table61011[[#This Row],[spawner_sku]])),Table1[Entity Prefab],0)),10,1,1,"Entities"))</f>
        <v>25</v>
      </c>
      <c r="BU54" s="74">
        <f ca="1">ROUND((Table61011[[#This Row],[XP]]*Table61011[[#This Row],[entity_spawned (AVG)]])*(Table61011[[#This Row],[activating_chance]]/100),0)</f>
        <v>88</v>
      </c>
      <c r="BV54" s="71" t="str">
        <f ca="1">INDIRECT(ADDRESS(11+(MATCH(RIGHT(Table61011[[#This Row],[spawner_sku]],LEN(Table61011[[#This Row],[spawner_sku]])-FIND("/",Table61011[[#This Row],[spawner_sku]])),Table28[Entity Prefab],0)),24,1,1,"Entities"))</f>
        <v>no</v>
      </c>
      <c r="BW54" s="71">
        <v>3</v>
      </c>
      <c r="BX54" s="71">
        <v>4</v>
      </c>
      <c r="BY54" s="71" t="b">
        <v>0</v>
      </c>
      <c r="BZ54" s="71"/>
      <c r="CA54" s="147" t="s">
        <v>570</v>
      </c>
      <c r="CB54">
        <v>1</v>
      </c>
      <c r="CC54">
        <v>120</v>
      </c>
      <c r="CD54">
        <v>100</v>
      </c>
      <c r="CE54" s="74">
        <f ca="1">INDIRECT(ADDRESS(11+(MATCH(RIGHT(Table35[[#This Row],[spawner_sku]],LEN(Table35[[#This Row],[spawner_sku]])-FIND("/",Table35[[#This Row],[spawner_sku]])),Table1[Entity Prefab],0)),10,1,1,"Entities"))</f>
        <v>50</v>
      </c>
      <c r="CF54" s="74">
        <f ca="1">ROUND((Table35[[#This Row],[XP]]*Table35[[#This Row],[entity_spawned (AVG)]])*(Table35[[#This Row],[activating_chance]]/100),0)</f>
        <v>50</v>
      </c>
      <c r="CG54" s="144" t="str">
        <f ca="1">INDIRECT(ADDRESS(11+(MATCH(RIGHT(Table35[[#This Row],[spawner_sku]],LEN(Table35[[#This Row],[spawner_sku]])-FIND("/",Table35[[#This Row],[spawner_sku]])),Table28[Entity Prefab],0)),24,1,1,"Entities"))</f>
        <v>no</v>
      </c>
      <c r="CH54">
        <v>1</v>
      </c>
      <c r="CI54">
        <v>1</v>
      </c>
      <c r="CJ54" s="71" t="b">
        <v>0</v>
      </c>
      <c r="CL54" t="s">
        <v>215</v>
      </c>
      <c r="CM54">
        <v>1.5</v>
      </c>
      <c r="CN54">
        <v>180</v>
      </c>
      <c r="CO54">
        <v>30</v>
      </c>
      <c r="CP54" s="74">
        <f ca="1">INDIRECT(ADDRESS(11+(MATCH(RIGHT(Table11[[#This Row],[spawner_sku]],LEN(Table11[[#This Row],[spawner_sku]])-FIND("/",Table11[[#This Row],[spawner_sku]])),Table1[Entity Prefab],0)),10,1,1,"Entities"))</f>
        <v>25</v>
      </c>
      <c r="CQ54">
        <f ca="1">ROUND((Table11[[#This Row],[XP]]*Table11[[#This Row],[entity_spawned (AVG)]])*(Table11[[#This Row],[activating_chance]]/100),0)</f>
        <v>11</v>
      </c>
      <c r="CR54" s="144" t="str">
        <f ca="1">INDIRECT(ADDRESS(11+(MATCH(RIGHT(Table11[[#This Row],[spawner_sku]],LEN(Table11[[#This Row],[spawner_sku]])-FIND("/",Table11[[#This Row],[spawner_sku]])),Table28[Entity Prefab],0)),25,1,1,"Entities"))</f>
        <v>no</v>
      </c>
      <c r="CS54" s="71">
        <v>1</v>
      </c>
      <c r="CT54" s="71">
        <v>2</v>
      </c>
      <c r="CU54" s="71" t="b">
        <v>0</v>
      </c>
      <c r="CW54" t="s">
        <v>225</v>
      </c>
      <c r="CX54">
        <v>1</v>
      </c>
      <c r="CY54">
        <v>2500</v>
      </c>
      <c r="CZ54">
        <v>100</v>
      </c>
      <c r="DA54" s="74">
        <f ca="1">INDIRECT(ADDRESS(11+(MATCH(RIGHT(Table12[[#This Row],[spawner_sku]],LEN(Table12[[#This Row],[spawner_sku]])-FIND("/",Table12[[#This Row],[spawner_sku]])),Table1[Entity Prefab],0)),10,1,1,"Entities"))</f>
        <v>263</v>
      </c>
      <c r="DB54" s="74">
        <f ca="1">ROUND((Table12[[#This Row],[XP]]*Table12[[#This Row],[entity_spawned (AVG)]])*(Table12[[#This Row],[activating_chance]]/100),0)</f>
        <v>263</v>
      </c>
      <c r="DC54" s="144" t="str">
        <f ca="1">INDIRECT(ADDRESS(11+(MATCH(RIGHT(Table12[[#This Row],[spawner_sku]],LEN(Table12[[#This Row],[spawner_sku]])-FIND("/",Table12[[#This Row],[spawner_sku]])),Table28[Entity Prefab],0)),25,1,1,"Entities"))</f>
        <v>yes</v>
      </c>
      <c r="DD54" s="71">
        <v>1</v>
      </c>
      <c r="DE54" s="71">
        <v>1</v>
      </c>
      <c r="DF54" s="71" t="b">
        <v>0</v>
      </c>
      <c r="DH54" t="s">
        <v>376</v>
      </c>
      <c r="DI54">
        <v>3</v>
      </c>
      <c r="DJ54">
        <v>200</v>
      </c>
      <c r="DK54">
        <v>80</v>
      </c>
      <c r="DL54" s="74">
        <f ca="1">INDIRECT(ADDRESS(11+(MATCH(RIGHT(Table13[[#This Row],[spawner_sku]],LEN(Table13[[#This Row],[spawner_sku]])-FIND("/",Table13[[#This Row],[spawner_sku]])),Table1[Entity Prefab],0)),10,1,1,"Entities"))</f>
        <v>25</v>
      </c>
      <c r="DM54" s="74">
        <f ca="1">ROUND((Table13[[#This Row],[XP]]*Table13[[#This Row],[entity_spawned (AVG)]])*(Table13[[#This Row],[activating_chance]]/100),0)</f>
        <v>60</v>
      </c>
      <c r="DN54" s="144" t="str">
        <f ca="1">INDIRECT(ADDRESS(11+(MATCH(RIGHT(Table13[[#This Row],[spawner_sku]],LEN(Table13[[#This Row],[spawner_sku]])-FIND("/",Table13[[#This Row],[spawner_sku]])),Table28[Entity Prefab],0)),25,1,1,"Entities"))</f>
        <v>no</v>
      </c>
      <c r="DO54" s="71">
        <v>2</v>
      </c>
      <c r="DP54" s="71">
        <v>4</v>
      </c>
      <c r="DQ54" s="71" t="b">
        <v>0</v>
      </c>
      <c r="DS54" t="s">
        <v>214</v>
      </c>
      <c r="DT54">
        <v>5.5</v>
      </c>
      <c r="DU54">
        <v>120</v>
      </c>
      <c r="DV54">
        <v>100</v>
      </c>
      <c r="DW54" s="74">
        <f ca="1">INDIRECT(ADDRESS(11+(MATCH(RIGHT(Table14[[#This Row],[spawner_sku]],LEN(Table14[[#This Row],[spawner_sku]])-FIND("/",Table14[[#This Row],[spawner_sku]])),Table1[Entity Prefab],0)),10,1,1,"Entities"))</f>
        <v>25</v>
      </c>
      <c r="DX54" s="74">
        <f ca="1">ROUND((Table14[[#This Row],[XP]]*Table14[[#This Row],[entity_spawned (AVG)]])*(Table14[[#This Row],[activating_chance]]/100),0)</f>
        <v>138</v>
      </c>
      <c r="DY54" s="144" t="str">
        <f ca="1">INDIRECT(ADDRESS(11+(MATCH(RIGHT(Table14[[#This Row],[spawner_sku]],LEN(Table14[[#This Row],[spawner_sku]])-FIND("/",Table14[[#This Row],[spawner_sku]])),Table28[Entity Prefab],0)),25,1,1,"Entities"))</f>
        <v>no</v>
      </c>
      <c r="DZ54" s="71">
        <v>5</v>
      </c>
      <c r="EA54" s="71">
        <v>6</v>
      </c>
      <c r="EB54" s="71" t="b">
        <v>1</v>
      </c>
      <c r="EC54" s="71"/>
      <c r="ED54" s="147" t="s">
        <v>570</v>
      </c>
      <c r="EE54" s="71">
        <v>1</v>
      </c>
      <c r="EF54" s="71">
        <v>120</v>
      </c>
      <c r="EG54" s="71">
        <v>100</v>
      </c>
      <c r="EH54" s="71">
        <f ca="1">INDIRECT(ADDRESS(11+(MATCH(RIGHT(Table36[[#This Row],[spawner_sku]],LEN(Table36[[#This Row],[spawner_sku]])-FIND("/",Table36[[#This Row],[spawner_sku]])),Table1[Entity Prefab],0)),10,1,1,"Entities"))</f>
        <v>50</v>
      </c>
      <c r="EI54" s="71">
        <f ca="1">ROUND((Table36[[#This Row],[XP]]*Table36[[#This Row],[entity_spawned (AVG)]])*(Table36[[#This Row],[activating_chance]]/100),0)</f>
        <v>50</v>
      </c>
      <c r="EJ54" s="71" t="str">
        <f ca="1">INDIRECT(ADDRESS(11+(MATCH(RIGHT(Table36[[#This Row],[spawner_sku]],LEN(Table36[[#This Row],[spawner_sku]])-FIND("/",Table36[[#This Row],[spawner_sku]])),Table28[Entity Prefab],0)),25,1,1,"Entities"))</f>
        <v>no</v>
      </c>
      <c r="EK54" s="71">
        <v>1</v>
      </c>
      <c r="EL54" s="71">
        <v>1</v>
      </c>
      <c r="EM54" s="71" t="b">
        <v>0</v>
      </c>
      <c r="EO54" t="s">
        <v>214</v>
      </c>
      <c r="EP54">
        <v>3.5</v>
      </c>
      <c r="EQ54">
        <v>140</v>
      </c>
      <c r="ER54">
        <v>100</v>
      </c>
      <c r="ES54" s="74">
        <f ca="1">INDIRECT(ADDRESS(11+(MATCH(RIGHT(Table18[[#This Row],[spawner_sku]],LEN(Table18[[#This Row],[spawner_sku]])-FIND("/",Table18[[#This Row],[spawner_sku]])),Table1[Entity Prefab],0)),10,1,1,"Entities"))</f>
        <v>25</v>
      </c>
      <c r="ET54" s="74">
        <f ca="1">ROUND((Table18[[#This Row],[XP]]*Table18[[#This Row],[entity_spawned (AVG)]])*(Table18[[#This Row],[activating_chance]]/100),0)</f>
        <v>88</v>
      </c>
      <c r="EU54" s="74" t="str">
        <f ca="1">INDIRECT(ADDRESS(11+(MATCH(RIGHT(Table18[[#This Row],[spawner_sku]],LEN(Table18[[#This Row],[spawner_sku]])-FIND("/",Table18[[#This Row],[spawner_sku]])),Table28[Entity Prefab],0)),26,1,1,"Entities"))</f>
        <v>no</v>
      </c>
      <c r="EV54">
        <v>3</v>
      </c>
      <c r="EW54">
        <v>4</v>
      </c>
      <c r="EX54" t="b">
        <v>0</v>
      </c>
      <c r="EZ54" t="s">
        <v>214</v>
      </c>
      <c r="FA54">
        <v>2.5</v>
      </c>
      <c r="FB54">
        <v>140</v>
      </c>
      <c r="FC54">
        <v>80</v>
      </c>
      <c r="FD54" s="74">
        <f ca="1">INDIRECT(ADDRESS(11+(MATCH(RIGHT(Table1820[[#This Row],[spawner_sku]],LEN(Table1820[[#This Row],[spawner_sku]])-FIND("/",Table1820[[#This Row],[spawner_sku]])),Table1[Entity Prefab],0)),10,1,1,"Entities"))</f>
        <v>25</v>
      </c>
      <c r="FE54" s="74">
        <f ca="1">ROUND((Table1820[[#This Row],[XP]]*Table1820[[#This Row],[entity_spawned (AVG)]])*(Table1820[[#This Row],[activating_chance]]/100),0)</f>
        <v>50</v>
      </c>
      <c r="FF54" s="74" t="str">
        <f ca="1">INDIRECT(ADDRESS(11+(MATCH(RIGHT(Table1820[[#This Row],[spawner_sku]],LEN(Table1820[[#This Row],[spawner_sku]])-FIND("/",Table1820[[#This Row],[spawner_sku]])),Table28[Entity Prefab],0)),26,1,1,"Entities"))</f>
        <v>no</v>
      </c>
      <c r="FG54">
        <v>2</v>
      </c>
      <c r="FH54">
        <v>3</v>
      </c>
      <c r="FI54" t="b">
        <v>0</v>
      </c>
      <c r="FK54" t="s">
        <v>2694</v>
      </c>
      <c r="FL54">
        <v>1</v>
      </c>
      <c r="FM54">
        <v>70</v>
      </c>
      <c r="FN54">
        <v>100</v>
      </c>
      <c r="FO54">
        <f ca="1">INDIRECT(ADDRESS(11+(MATCH(RIGHT(Table182023[[#This Row],[spawner_sku]],LEN(Table182023[[#This Row],[spawner_sku]])-FIND("/",Table182023[[#This Row],[spawner_sku]])),Table1[Entity Prefab],0)),10,1,1,"Entities"))</f>
        <v>143</v>
      </c>
      <c r="FP54">
        <f ca="1">ROUND((Table182023[[#This Row],[XP]]*Table182023[[#This Row],[entity_spawned (AVG)]])*(Table182023[[#This Row],[activating_chance]]/100),0)</f>
        <v>143</v>
      </c>
      <c r="FQ54" t="str">
        <f ca="1">INDIRECT(ADDRESS(11+(MATCH(RIGHT(Table182023[[#This Row],[spawner_sku]],LEN(Table182023[[#This Row],[spawner_sku]])-FIND("/",Table182023[[#This Row],[spawner_sku]])),Table28[Entity Prefab],0)),26,1,1,"Entities"))</f>
        <v>no</v>
      </c>
      <c r="FR54">
        <v>1</v>
      </c>
      <c r="FS54">
        <v>1</v>
      </c>
      <c r="FT54" t="b">
        <v>0</v>
      </c>
      <c r="FV54" t="s">
        <v>8112</v>
      </c>
      <c r="FW54">
        <v>1</v>
      </c>
      <c r="FX54">
        <v>300</v>
      </c>
      <c r="FY54">
        <v>100</v>
      </c>
      <c r="FZ54" s="74">
        <f ca="1">INDIRECT(ADDRESS(11+(MATCH(RIGHT(Table18202324[[#This Row],[spawner_sku]],LEN(Table18202324[[#This Row],[spawner_sku]])-FIND("/",Table18202324[[#This Row],[spawner_sku]])),Table1[Entity Prefab],0)),10,1,1,"Entities"))</f>
        <v>150</v>
      </c>
      <c r="GA54" s="74">
        <f ca="1">ROUND((Table18202324[[#This Row],[XP]]*Table18202324[[#This Row],[entity_spawned (AVG)]])*(Table18202324[[#This Row],[activating_chance]]/100),0)</f>
        <v>150</v>
      </c>
      <c r="GB54" s="74" t="str">
        <f ca="1">INDIRECT(ADDRESS(11+(MATCH(RIGHT(Table18202324[[#This Row],[spawner_sku]],LEN(Table18202324[[#This Row],[spawner_sku]])-FIND("/",Table18202324[[#This Row],[spawner_sku]])),Table28[Entity Prefab],0)),26,1,1,"Entities"))</f>
        <v>yes</v>
      </c>
      <c r="GC54">
        <v>1</v>
      </c>
      <c r="GD54">
        <v>1</v>
      </c>
      <c r="GE54" t="b">
        <v>0</v>
      </c>
      <c r="GG54" t="s">
        <v>3816</v>
      </c>
      <c r="GH54">
        <v>1</v>
      </c>
      <c r="GI54">
        <v>240</v>
      </c>
      <c r="GJ54">
        <v>100</v>
      </c>
      <c r="GK54">
        <f ca="1">INDIRECT(ADDRESS(11+(MATCH(RIGHT(Table37[[#This Row],[spawner_sku]],LEN(Table37[[#This Row],[spawner_sku]])-FIND("/",Table37[[#This Row],[spawner_sku]])),Table1[Entity Prefab],0)),10,1,1,"Entities"))</f>
        <v>50</v>
      </c>
      <c r="GL54">
        <f ca="1">ROUND((Table37[[#This Row],[XP]]*Table37[[#This Row],[entity_spawned (AVG)]])*(Table37[[#This Row],[activating_chance]]/100),0)</f>
        <v>50</v>
      </c>
      <c r="GM54" t="str">
        <f ca="1">INDIRECT(ADDRESS(11+(MATCH(RIGHT(Table37[[#This Row],[spawner_sku]],LEN(Table37[[#This Row],[spawner_sku]])-FIND("/",Table37[[#This Row],[spawner_sku]])),Table28[Entity Prefab],0)),26,1,1,"Entities"))</f>
        <v>no</v>
      </c>
      <c r="GN54">
        <v>1</v>
      </c>
      <c r="GO54">
        <v>1</v>
      </c>
      <c r="GP54" t="b">
        <v>0</v>
      </c>
    </row>
    <row r="55" spans="2:198" x14ac:dyDescent="0.25">
      <c r="B55" s="72" t="s">
        <v>215</v>
      </c>
      <c r="C55">
        <v>1.5</v>
      </c>
      <c r="D55">
        <v>110</v>
      </c>
      <c r="E55">
        <v>100</v>
      </c>
      <c r="F55" s="74">
        <f ca="1">INDIRECT(ADDRESS(11+(MATCH(RIGHT(Table245[[#This Row],[spawner_sku]],LEN(Table245[[#This Row],[spawner_sku]])-FIND("/",Table245[[#This Row],[spawner_sku]])),Table1[Entity Prefab],0)),10,1,1,"Entities"))</f>
        <v>25</v>
      </c>
      <c r="G55" s="74">
        <f ca="1">ROUND((Table245[[#This Row],[XP]]*Table245[[#This Row],[entity_spawned (AVG)]])*(Table245[[#This Row],[activating_chance]]/100),0)</f>
        <v>38</v>
      </c>
      <c r="H55" s="71" t="str">
        <f ca="1">INDIRECT(ADDRESS(11+(MATCH(RIGHT(Table245[[#This Row],[spawner_sku]],LEN(Table245[[#This Row],[spawner_sku]])-FIND("/",Table245[[#This Row],[spawner_sku]])),Table28[Entity Prefab],0)),24,1,1,"Entities"))</f>
        <v>no</v>
      </c>
      <c r="I55" s="71">
        <v>1</v>
      </c>
      <c r="J55" s="71">
        <v>2</v>
      </c>
      <c r="K55" s="71" t="b">
        <v>0</v>
      </c>
      <c r="M55" t="s">
        <v>372</v>
      </c>
      <c r="N55">
        <v>2</v>
      </c>
      <c r="O55">
        <v>90</v>
      </c>
      <c r="P55">
        <v>100</v>
      </c>
      <c r="Q55" s="74">
        <f ca="1">INDIRECT(ADDRESS(11+(MATCH(RIGHT(Table3[[#This Row],[spawner_sku]],LEN(Table3[[#This Row],[spawner_sku]])-FIND("/",Table3[[#This Row],[spawner_sku]])),Table1[Entity Prefab],0)),10,1,1,"Entities"))</f>
        <v>25</v>
      </c>
      <c r="R55" s="74">
        <f ca="1">ROUND((Table3[[#This Row],[XP]]*Table3[[#This Row],[entity_spawned (AVG)]])*(Table3[[#This Row],[activating_chance]]/100),0)</f>
        <v>50</v>
      </c>
      <c r="S55" t="str">
        <f ca="1">INDIRECT(ADDRESS(11+(MATCH(RIGHT(Table3[[#This Row],[spawner_sku]],LEN(Table3[[#This Row],[spawner_sku]])-FIND("/",Table3[[#This Row],[spawner_sku]])),Table28[Entity Prefab],0)),24,1,1,"Entities"))</f>
        <v>no</v>
      </c>
      <c r="T55">
        <v>1</v>
      </c>
      <c r="U55">
        <v>3</v>
      </c>
      <c r="V55" t="b">
        <v>0</v>
      </c>
      <c r="W55" s="71"/>
      <c r="X55" t="s">
        <v>423</v>
      </c>
      <c r="Y55">
        <v>3</v>
      </c>
      <c r="Z55">
        <v>180</v>
      </c>
      <c r="AA55">
        <v>100</v>
      </c>
      <c r="AB55" s="74">
        <f ca="1">INDIRECT(ADDRESS(11+(MATCH(RIGHT(Table39[[#This Row],[spawner_sku]],LEN(Table39[[#This Row],[spawner_sku]])-FIND("/",Table39[[#This Row],[spawner_sku]])),Table1[Entity Prefab],0)),10,1,1,"Entities"))</f>
        <v>0</v>
      </c>
      <c r="AC55" s="74">
        <f ca="1">ROUND((Table39[[#This Row],[XP]]*Table39[[#This Row],[entity_spawned (AVG)]])*(Table39[[#This Row],[activating_chance]]/100),0)</f>
        <v>0</v>
      </c>
      <c r="AD55" t="str">
        <f ca="1">INDIRECT(ADDRESS(11+(MATCH(RIGHT(Table39[[#This Row],[spawner_sku]],LEN(Table39[[#This Row],[spawner_sku]])-FIND("/",Table39[[#This Row],[spawner_sku]])),Table28[Entity Prefab],0)),24,1,1,"Entities"))</f>
        <v>yes</v>
      </c>
      <c r="AE55">
        <v>3</v>
      </c>
      <c r="AF55">
        <v>3</v>
      </c>
      <c r="AG55" t="b">
        <v>0</v>
      </c>
      <c r="AI55" t="s">
        <v>215</v>
      </c>
      <c r="AJ55">
        <v>1</v>
      </c>
      <c r="AK55">
        <v>60</v>
      </c>
      <c r="AL55">
        <v>100</v>
      </c>
      <c r="AM55" s="74">
        <f ca="1">INDIRECT(ADDRESS(11+(MATCH(RIGHT(Table2[[#This Row],[spawner_sku]],LEN(Table2[[#This Row],[spawner_sku]])-FIND("/",Table2[[#This Row],[spawner_sku]])),Table1[Entity Prefab],0)),10,1,1,"Entities"))</f>
        <v>25</v>
      </c>
      <c r="AN55" s="74">
        <f ca="1">ROUND((Table2[[#This Row],[XP]]*Table2[[#This Row],[entity_spawned (AVG)]])*(Table2[[#This Row],[activating_chance]]/100),0)</f>
        <v>25</v>
      </c>
      <c r="AO55" s="71" t="str">
        <f ca="1">INDIRECT(ADDRESS(11+(MATCH(RIGHT(Table2[[#This Row],[spawner_sku]],LEN(Table2[[#This Row],[spawner_sku]])-FIND("/",Table2[[#This Row],[spawner_sku]])),Table28[Entity Prefab],0)),24,1,1,"Entities"))</f>
        <v>no</v>
      </c>
      <c r="AP55" s="71">
        <v>1</v>
      </c>
      <c r="AQ55" s="71">
        <v>1</v>
      </c>
      <c r="AR55" s="71" t="b">
        <v>0</v>
      </c>
      <c r="AT55" t="s">
        <v>376</v>
      </c>
      <c r="AU55">
        <v>1.5</v>
      </c>
      <c r="AV55">
        <v>200</v>
      </c>
      <c r="AW55">
        <v>80</v>
      </c>
      <c r="AX55" s="74">
        <f ca="1">INDIRECT(ADDRESS(11+(MATCH(RIGHT(Table6[[#This Row],[spawner_sku]],LEN(Table6[[#This Row],[spawner_sku]])-FIND("/",Table6[[#This Row],[spawner_sku]])),Table1[Entity Prefab],0)),10,1,1,"Entities"))</f>
        <v>25</v>
      </c>
      <c r="AY55" s="74">
        <f ca="1">ROUND((Table6[[#This Row],[XP]]*Table6[[#This Row],[entity_spawned (AVG)]])*(Table6[[#This Row],[activating_chance]]/100),0)</f>
        <v>30</v>
      </c>
      <c r="AZ55" s="144" t="str">
        <f ca="1">INDIRECT(ADDRESS(11+(MATCH(RIGHT(Table6[[#This Row],[spawner_sku]],LEN(Table6[[#This Row],[spawner_sku]])-FIND("/",Table6[[#This Row],[spawner_sku]])),Table28[Entity Prefab],0)),24,1,1,"Entities"))</f>
        <v>no</v>
      </c>
      <c r="BA55">
        <v>1</v>
      </c>
      <c r="BB55">
        <v>2</v>
      </c>
      <c r="BC55" t="b">
        <v>0</v>
      </c>
      <c r="BE55" t="s">
        <v>376</v>
      </c>
      <c r="BF55">
        <v>3.5</v>
      </c>
      <c r="BG55">
        <v>220</v>
      </c>
      <c r="BH55">
        <v>100</v>
      </c>
      <c r="BI55" s="74">
        <f ca="1">INDIRECT(ADDRESS(11+(MATCH(RIGHT(Table610[[#This Row],[spawner_sku]],LEN(Table610[[#This Row],[spawner_sku]])-FIND("/",Table610[[#This Row],[spawner_sku]])),Table1[Entity Prefab],0)),10,1,1,"Entities"))</f>
        <v>25</v>
      </c>
      <c r="BJ55" s="74">
        <f ca="1">ROUND((Table610[[#This Row],[XP]]*Table610[[#This Row],[entity_spawned (AVG)]])*(Table610[[#This Row],[activating_chance]]/100),0)</f>
        <v>88</v>
      </c>
      <c r="BK55" s="71" t="str">
        <f ca="1">INDIRECT(ADDRESS(11+(MATCH(RIGHT(Table610[[#This Row],[spawner_sku]],LEN(Table610[[#This Row],[spawner_sku]])-FIND("/",Table610[[#This Row],[spawner_sku]])),Table28[Entity Prefab],0)),24,1,1,"Entities"))</f>
        <v>no</v>
      </c>
      <c r="BL55">
        <v>3</v>
      </c>
      <c r="BM55">
        <v>4</v>
      </c>
      <c r="BN55" t="b">
        <v>0</v>
      </c>
      <c r="BP55" t="s">
        <v>215</v>
      </c>
      <c r="BQ55">
        <v>3.5</v>
      </c>
      <c r="BR55">
        <v>160</v>
      </c>
      <c r="BS55">
        <v>100</v>
      </c>
      <c r="BT55" s="74">
        <f ca="1">INDIRECT(ADDRESS(11+(MATCH(RIGHT(Table61011[[#This Row],[spawner_sku]],LEN(Table61011[[#This Row],[spawner_sku]])-FIND("/",Table61011[[#This Row],[spawner_sku]])),Table1[Entity Prefab],0)),10,1,1,"Entities"))</f>
        <v>25</v>
      </c>
      <c r="BU55" s="74">
        <f ca="1">ROUND((Table61011[[#This Row],[XP]]*Table61011[[#This Row],[entity_spawned (AVG)]])*(Table61011[[#This Row],[activating_chance]]/100),0)</f>
        <v>88</v>
      </c>
      <c r="BV55" s="71" t="str">
        <f ca="1">INDIRECT(ADDRESS(11+(MATCH(RIGHT(Table61011[[#This Row],[spawner_sku]],LEN(Table61011[[#This Row],[spawner_sku]])-FIND("/",Table61011[[#This Row],[spawner_sku]])),Table28[Entity Prefab],0)),24,1,1,"Entities"))</f>
        <v>no</v>
      </c>
      <c r="BW55" s="71">
        <v>3</v>
      </c>
      <c r="BX55" s="71">
        <v>4</v>
      </c>
      <c r="BY55" s="71" t="b">
        <v>0</v>
      </c>
      <c r="BZ55" s="71"/>
      <c r="CA55" s="147" t="s">
        <v>570</v>
      </c>
      <c r="CB55">
        <v>1</v>
      </c>
      <c r="CC55">
        <v>120</v>
      </c>
      <c r="CD55">
        <v>100</v>
      </c>
      <c r="CE55" s="74">
        <f ca="1">INDIRECT(ADDRESS(11+(MATCH(RIGHT(Table35[[#This Row],[spawner_sku]],LEN(Table35[[#This Row],[spawner_sku]])-FIND("/",Table35[[#This Row],[spawner_sku]])),Table1[Entity Prefab],0)),10,1,1,"Entities"))</f>
        <v>50</v>
      </c>
      <c r="CF55" s="74">
        <f ca="1">ROUND((Table35[[#This Row],[XP]]*Table35[[#This Row],[entity_spawned (AVG)]])*(Table35[[#This Row],[activating_chance]]/100),0)</f>
        <v>50</v>
      </c>
      <c r="CG55" s="144" t="str">
        <f ca="1">INDIRECT(ADDRESS(11+(MATCH(RIGHT(Table35[[#This Row],[spawner_sku]],LEN(Table35[[#This Row],[spawner_sku]])-FIND("/",Table35[[#This Row],[spawner_sku]])),Table28[Entity Prefab],0)),24,1,1,"Entities"))</f>
        <v>no</v>
      </c>
      <c r="CH55">
        <v>1</v>
      </c>
      <c r="CI55">
        <v>1</v>
      </c>
      <c r="CJ55" s="71" t="b">
        <v>0</v>
      </c>
      <c r="CL55" t="s">
        <v>215</v>
      </c>
      <c r="CM55">
        <v>2.5</v>
      </c>
      <c r="CN55">
        <v>180</v>
      </c>
      <c r="CO55">
        <v>100</v>
      </c>
      <c r="CP55" s="74">
        <f ca="1">INDIRECT(ADDRESS(11+(MATCH(RIGHT(Table11[[#This Row],[spawner_sku]],LEN(Table11[[#This Row],[spawner_sku]])-FIND("/",Table11[[#This Row],[spawner_sku]])),Table1[Entity Prefab],0)),10,1,1,"Entities"))</f>
        <v>25</v>
      </c>
      <c r="CQ55">
        <f ca="1">ROUND((Table11[[#This Row],[XP]]*Table11[[#This Row],[entity_spawned (AVG)]])*(Table11[[#This Row],[activating_chance]]/100),0)</f>
        <v>63</v>
      </c>
      <c r="CR55" s="144" t="str">
        <f ca="1">INDIRECT(ADDRESS(11+(MATCH(RIGHT(Table11[[#This Row],[spawner_sku]],LEN(Table11[[#This Row],[spawner_sku]])-FIND("/",Table11[[#This Row],[spawner_sku]])),Table28[Entity Prefab],0)),25,1,1,"Entities"))</f>
        <v>no</v>
      </c>
      <c r="CS55" s="71">
        <v>1</v>
      </c>
      <c r="CT55" s="71">
        <v>4</v>
      </c>
      <c r="CU55" s="71" t="b">
        <v>0</v>
      </c>
      <c r="CW55" t="s">
        <v>225</v>
      </c>
      <c r="CX55">
        <v>1</v>
      </c>
      <c r="CY55">
        <v>2500</v>
      </c>
      <c r="CZ55">
        <v>100</v>
      </c>
      <c r="DA55" s="74">
        <f ca="1">INDIRECT(ADDRESS(11+(MATCH(RIGHT(Table12[[#This Row],[spawner_sku]],LEN(Table12[[#This Row],[spawner_sku]])-FIND("/",Table12[[#This Row],[spawner_sku]])),Table1[Entity Prefab],0)),10,1,1,"Entities"))</f>
        <v>263</v>
      </c>
      <c r="DB55" s="74">
        <f ca="1">ROUND((Table12[[#This Row],[XP]]*Table12[[#This Row],[entity_spawned (AVG)]])*(Table12[[#This Row],[activating_chance]]/100),0)</f>
        <v>263</v>
      </c>
      <c r="DC55" s="144" t="str">
        <f ca="1">INDIRECT(ADDRESS(11+(MATCH(RIGHT(Table12[[#This Row],[spawner_sku]],LEN(Table12[[#This Row],[spawner_sku]])-FIND("/",Table12[[#This Row],[spawner_sku]])),Table28[Entity Prefab],0)),25,1,1,"Entities"))</f>
        <v>yes</v>
      </c>
      <c r="DD55" s="71">
        <v>1</v>
      </c>
      <c r="DE55" s="71">
        <v>1</v>
      </c>
      <c r="DF55" s="71" t="b">
        <v>0</v>
      </c>
      <c r="DH55" t="s">
        <v>376</v>
      </c>
      <c r="DI55">
        <v>7</v>
      </c>
      <c r="DJ55">
        <v>200</v>
      </c>
      <c r="DK55">
        <v>100</v>
      </c>
      <c r="DL55" s="74">
        <f ca="1">INDIRECT(ADDRESS(11+(MATCH(RIGHT(Table13[[#This Row],[spawner_sku]],LEN(Table13[[#This Row],[spawner_sku]])-FIND("/",Table13[[#This Row],[spawner_sku]])),Table1[Entity Prefab],0)),10,1,1,"Entities"))</f>
        <v>25</v>
      </c>
      <c r="DM55" s="74">
        <f ca="1">ROUND((Table13[[#This Row],[XP]]*Table13[[#This Row],[entity_spawned (AVG)]])*(Table13[[#This Row],[activating_chance]]/100),0)</f>
        <v>175</v>
      </c>
      <c r="DN55" s="144" t="str">
        <f ca="1">INDIRECT(ADDRESS(11+(MATCH(RIGHT(Table13[[#This Row],[spawner_sku]],LEN(Table13[[#This Row],[spawner_sku]])-FIND("/",Table13[[#This Row],[spawner_sku]])),Table28[Entity Prefab],0)),25,1,1,"Entities"))</f>
        <v>no</v>
      </c>
      <c r="DO55" s="71">
        <v>6</v>
      </c>
      <c r="DP55" s="71">
        <v>8</v>
      </c>
      <c r="DQ55" s="71" t="b">
        <v>1</v>
      </c>
      <c r="DS55" t="s">
        <v>214</v>
      </c>
      <c r="DT55">
        <v>5</v>
      </c>
      <c r="DU55">
        <v>170</v>
      </c>
      <c r="DV55">
        <v>100</v>
      </c>
      <c r="DW55" s="74">
        <f ca="1">INDIRECT(ADDRESS(11+(MATCH(RIGHT(Table14[[#This Row],[spawner_sku]],LEN(Table14[[#This Row],[spawner_sku]])-FIND("/",Table14[[#This Row],[spawner_sku]])),Table1[Entity Prefab],0)),10,1,1,"Entities"))</f>
        <v>25</v>
      </c>
      <c r="DX55" s="74">
        <f ca="1">ROUND((Table14[[#This Row],[XP]]*Table14[[#This Row],[entity_spawned (AVG)]])*(Table14[[#This Row],[activating_chance]]/100),0)</f>
        <v>125</v>
      </c>
      <c r="DY55" s="144" t="str">
        <f ca="1">INDIRECT(ADDRESS(11+(MATCH(RIGHT(Table14[[#This Row],[spawner_sku]],LEN(Table14[[#This Row],[spawner_sku]])-FIND("/",Table14[[#This Row],[spawner_sku]])),Table28[Entity Prefab],0)),25,1,1,"Entities"))</f>
        <v>no</v>
      </c>
      <c r="DZ55" s="71">
        <v>5</v>
      </c>
      <c r="EA55" s="71">
        <v>5</v>
      </c>
      <c r="EB55" s="71" t="b">
        <v>1</v>
      </c>
      <c r="EC55" s="71"/>
      <c r="ED55" s="147" t="s">
        <v>510</v>
      </c>
      <c r="EE55" s="71">
        <v>1</v>
      </c>
      <c r="EF55" s="71">
        <v>165</v>
      </c>
      <c r="EG55" s="71">
        <v>100</v>
      </c>
      <c r="EH55" s="71">
        <f ca="1">INDIRECT(ADDRESS(11+(MATCH(RIGHT(Table36[[#This Row],[spawner_sku]],LEN(Table36[[#This Row],[spawner_sku]])-FIND("/",Table36[[#This Row],[spawner_sku]])),Table1[Entity Prefab],0)),10,1,1,"Entities"))</f>
        <v>90</v>
      </c>
      <c r="EI55" s="71">
        <f ca="1">ROUND((Table36[[#This Row],[XP]]*Table36[[#This Row],[entity_spawned (AVG)]])*(Table36[[#This Row],[activating_chance]]/100),0)</f>
        <v>90</v>
      </c>
      <c r="EJ55" s="71" t="str">
        <f ca="1">INDIRECT(ADDRESS(11+(MATCH(RIGHT(Table36[[#This Row],[spawner_sku]],LEN(Table36[[#This Row],[spawner_sku]])-FIND("/",Table36[[#This Row],[spawner_sku]])),Table28[Entity Prefab],0)),25,1,1,"Entities"))</f>
        <v>no</v>
      </c>
      <c r="EK55" s="71">
        <v>1</v>
      </c>
      <c r="EL55" s="71">
        <v>1</v>
      </c>
      <c r="EM55" s="71" t="b">
        <v>0</v>
      </c>
      <c r="EO55" t="s">
        <v>214</v>
      </c>
      <c r="EP55">
        <v>3.5</v>
      </c>
      <c r="EQ55">
        <v>100</v>
      </c>
      <c r="ER55">
        <v>100</v>
      </c>
      <c r="ES55" s="74">
        <f ca="1">INDIRECT(ADDRESS(11+(MATCH(RIGHT(Table18[[#This Row],[spawner_sku]],LEN(Table18[[#This Row],[spawner_sku]])-FIND("/",Table18[[#This Row],[spawner_sku]])),Table1[Entity Prefab],0)),10,1,1,"Entities"))</f>
        <v>25</v>
      </c>
      <c r="ET55" s="74">
        <f ca="1">ROUND((Table18[[#This Row],[XP]]*Table18[[#This Row],[entity_spawned (AVG)]])*(Table18[[#This Row],[activating_chance]]/100),0)</f>
        <v>88</v>
      </c>
      <c r="EU55" s="74" t="str">
        <f ca="1">INDIRECT(ADDRESS(11+(MATCH(RIGHT(Table18[[#This Row],[spawner_sku]],LEN(Table18[[#This Row],[spawner_sku]])-FIND("/",Table18[[#This Row],[spawner_sku]])),Table28[Entity Prefab],0)),26,1,1,"Entities"))</f>
        <v>no</v>
      </c>
      <c r="EV55">
        <v>3</v>
      </c>
      <c r="EW55">
        <v>4</v>
      </c>
      <c r="EX55" t="b">
        <v>0</v>
      </c>
      <c r="EZ55" t="s">
        <v>214</v>
      </c>
      <c r="FA55">
        <v>3.5</v>
      </c>
      <c r="FB55">
        <v>140</v>
      </c>
      <c r="FC55">
        <v>100</v>
      </c>
      <c r="FD55" s="74">
        <f ca="1">INDIRECT(ADDRESS(11+(MATCH(RIGHT(Table1820[[#This Row],[spawner_sku]],LEN(Table1820[[#This Row],[spawner_sku]])-FIND("/",Table1820[[#This Row],[spawner_sku]])),Table1[Entity Prefab],0)),10,1,1,"Entities"))</f>
        <v>25</v>
      </c>
      <c r="FE55" s="74">
        <f ca="1">ROUND((Table1820[[#This Row],[XP]]*Table1820[[#This Row],[entity_spawned (AVG)]])*(Table1820[[#This Row],[activating_chance]]/100),0)</f>
        <v>88</v>
      </c>
      <c r="FF55" s="74" t="str">
        <f ca="1">INDIRECT(ADDRESS(11+(MATCH(RIGHT(Table1820[[#This Row],[spawner_sku]],LEN(Table1820[[#This Row],[spawner_sku]])-FIND("/",Table1820[[#This Row],[spawner_sku]])),Table28[Entity Prefab],0)),26,1,1,"Entities"))</f>
        <v>no</v>
      </c>
      <c r="FG55">
        <v>3</v>
      </c>
      <c r="FH55">
        <v>4</v>
      </c>
      <c r="FI55" t="b">
        <v>0</v>
      </c>
      <c r="FK55" t="s">
        <v>2694</v>
      </c>
      <c r="FL55">
        <v>2.5</v>
      </c>
      <c r="FM55">
        <v>70</v>
      </c>
      <c r="FN55">
        <v>100</v>
      </c>
      <c r="FO55">
        <f ca="1">INDIRECT(ADDRESS(11+(MATCH(RIGHT(Table182023[[#This Row],[spawner_sku]],LEN(Table182023[[#This Row],[spawner_sku]])-FIND("/",Table182023[[#This Row],[spawner_sku]])),Table1[Entity Prefab],0)),10,1,1,"Entities"))</f>
        <v>143</v>
      </c>
      <c r="FP55">
        <f ca="1">ROUND((Table182023[[#This Row],[XP]]*Table182023[[#This Row],[entity_spawned (AVG)]])*(Table182023[[#This Row],[activating_chance]]/100),0)</f>
        <v>358</v>
      </c>
      <c r="FQ55" t="str">
        <f ca="1">INDIRECT(ADDRESS(11+(MATCH(RIGHT(Table182023[[#This Row],[spawner_sku]],LEN(Table182023[[#This Row],[spawner_sku]])-FIND("/",Table182023[[#This Row],[spawner_sku]])),Table28[Entity Prefab],0)),26,1,1,"Entities"))</f>
        <v>no</v>
      </c>
      <c r="FR55">
        <v>2</v>
      </c>
      <c r="FS55">
        <v>3</v>
      </c>
      <c r="FT55" t="b">
        <v>0</v>
      </c>
      <c r="FV55" t="s">
        <v>233</v>
      </c>
      <c r="FW55">
        <v>1</v>
      </c>
      <c r="FX55">
        <v>500</v>
      </c>
      <c r="FY55">
        <v>85</v>
      </c>
      <c r="FZ55" s="74">
        <f ca="1">INDIRECT(ADDRESS(11+(MATCH(RIGHT(Table18202324[[#This Row],[spawner_sku]],LEN(Table18202324[[#This Row],[spawner_sku]])-FIND("/",Table18202324[[#This Row],[spawner_sku]])),Table1[Entity Prefab],0)),10,1,1,"Entities"))</f>
        <v>25</v>
      </c>
      <c r="GA55" s="74">
        <f ca="1">ROUND((Table18202324[[#This Row],[XP]]*Table18202324[[#This Row],[entity_spawned (AVG)]])*(Table18202324[[#This Row],[activating_chance]]/100),0)</f>
        <v>21</v>
      </c>
      <c r="GB55" s="74" t="str">
        <f ca="1">INDIRECT(ADDRESS(11+(MATCH(RIGHT(Table18202324[[#This Row],[spawner_sku]],LEN(Table18202324[[#This Row],[spawner_sku]])-FIND("/",Table18202324[[#This Row],[spawner_sku]])),Table28[Entity Prefab],0)),26,1,1,"Entities"))</f>
        <v>no</v>
      </c>
      <c r="GC55">
        <v>1</v>
      </c>
      <c r="GD55">
        <v>1</v>
      </c>
      <c r="GE55" t="b">
        <v>0</v>
      </c>
      <c r="GG55" t="s">
        <v>3816</v>
      </c>
      <c r="GH55">
        <v>1</v>
      </c>
      <c r="GI55">
        <v>240</v>
      </c>
      <c r="GJ55">
        <v>100</v>
      </c>
      <c r="GK55">
        <f ca="1">INDIRECT(ADDRESS(11+(MATCH(RIGHT(Table37[[#This Row],[spawner_sku]],LEN(Table37[[#This Row],[spawner_sku]])-FIND("/",Table37[[#This Row],[spawner_sku]])),Table1[Entity Prefab],0)),10,1,1,"Entities"))</f>
        <v>50</v>
      </c>
      <c r="GL55">
        <f ca="1">ROUND((Table37[[#This Row],[XP]]*Table37[[#This Row],[entity_spawned (AVG)]])*(Table37[[#This Row],[activating_chance]]/100),0)</f>
        <v>50</v>
      </c>
      <c r="GM55" t="str">
        <f ca="1">INDIRECT(ADDRESS(11+(MATCH(RIGHT(Table37[[#This Row],[spawner_sku]],LEN(Table37[[#This Row],[spawner_sku]])-FIND("/",Table37[[#This Row],[spawner_sku]])),Table28[Entity Prefab],0)),26,1,1,"Entities"))</f>
        <v>no</v>
      </c>
      <c r="GN55">
        <v>1</v>
      </c>
      <c r="GO55">
        <v>1</v>
      </c>
      <c r="GP55" t="b">
        <v>0</v>
      </c>
    </row>
    <row r="56" spans="2:198" x14ac:dyDescent="0.25">
      <c r="B56" s="72" t="s">
        <v>215</v>
      </c>
      <c r="C56">
        <v>2</v>
      </c>
      <c r="D56">
        <v>160</v>
      </c>
      <c r="E56">
        <v>100</v>
      </c>
      <c r="F56" s="74">
        <f ca="1">INDIRECT(ADDRESS(11+(MATCH(RIGHT(Table245[[#This Row],[spawner_sku]],LEN(Table245[[#This Row],[spawner_sku]])-FIND("/",Table245[[#This Row],[spawner_sku]])),Table1[Entity Prefab],0)),10,1,1,"Entities"))</f>
        <v>25</v>
      </c>
      <c r="G56" s="74">
        <f ca="1">ROUND((Table245[[#This Row],[XP]]*Table245[[#This Row],[entity_spawned (AVG)]])*(Table245[[#This Row],[activating_chance]]/100),0)</f>
        <v>50</v>
      </c>
      <c r="H56" s="71" t="str">
        <f ca="1">INDIRECT(ADDRESS(11+(MATCH(RIGHT(Table245[[#This Row],[spawner_sku]],LEN(Table245[[#This Row],[spawner_sku]])-FIND("/",Table245[[#This Row],[spawner_sku]])),Table28[Entity Prefab],0)),24,1,1,"Entities"))</f>
        <v>no</v>
      </c>
      <c r="I56" s="71">
        <v>2</v>
      </c>
      <c r="J56" s="71">
        <v>2</v>
      </c>
      <c r="K56" s="71" t="b">
        <v>0</v>
      </c>
      <c r="M56" t="s">
        <v>372</v>
      </c>
      <c r="N56">
        <v>6.5</v>
      </c>
      <c r="O56">
        <v>100</v>
      </c>
      <c r="P56">
        <v>80</v>
      </c>
      <c r="Q56" s="74">
        <f ca="1">INDIRECT(ADDRESS(11+(MATCH(RIGHT(Table3[[#This Row],[spawner_sku]],LEN(Table3[[#This Row],[spawner_sku]])-FIND("/",Table3[[#This Row],[spawner_sku]])),Table1[Entity Prefab],0)),10,1,1,"Entities"))</f>
        <v>25</v>
      </c>
      <c r="R56" s="74">
        <f ca="1">ROUND((Table3[[#This Row],[XP]]*Table3[[#This Row],[entity_spawned (AVG)]])*(Table3[[#This Row],[activating_chance]]/100),0)</f>
        <v>130</v>
      </c>
      <c r="S56" t="str">
        <f ca="1">INDIRECT(ADDRESS(11+(MATCH(RIGHT(Table3[[#This Row],[spawner_sku]],LEN(Table3[[#This Row],[spawner_sku]])-FIND("/",Table3[[#This Row],[spawner_sku]])),Table28[Entity Prefab],0)),24,1,1,"Entities"))</f>
        <v>no</v>
      </c>
      <c r="T56">
        <v>5</v>
      </c>
      <c r="U56">
        <v>8</v>
      </c>
      <c r="V56" t="b">
        <v>1</v>
      </c>
      <c r="W56" s="71"/>
      <c r="X56" t="s">
        <v>233</v>
      </c>
      <c r="Y56">
        <v>1</v>
      </c>
      <c r="Z56">
        <v>500</v>
      </c>
      <c r="AA56">
        <v>100</v>
      </c>
      <c r="AB56" s="74">
        <f ca="1">INDIRECT(ADDRESS(11+(MATCH(RIGHT(Table39[[#This Row],[spawner_sku]],LEN(Table39[[#This Row],[spawner_sku]])-FIND("/",Table39[[#This Row],[spawner_sku]])),Table1[Entity Prefab],0)),10,1,1,"Entities"))</f>
        <v>25</v>
      </c>
      <c r="AC56" s="74">
        <f ca="1">ROUND((Table39[[#This Row],[XP]]*Table39[[#This Row],[entity_spawned (AVG)]])*(Table39[[#This Row],[activating_chance]]/100),0)</f>
        <v>25</v>
      </c>
      <c r="AD56" t="str">
        <f ca="1">INDIRECT(ADDRESS(11+(MATCH(RIGHT(Table39[[#This Row],[spawner_sku]],LEN(Table39[[#This Row],[spawner_sku]])-FIND("/",Table39[[#This Row],[spawner_sku]])),Table28[Entity Prefab],0)),24,1,1,"Entities"))</f>
        <v>no</v>
      </c>
      <c r="AE56">
        <v>1</v>
      </c>
      <c r="AF56">
        <v>1</v>
      </c>
      <c r="AG56" t="b">
        <v>0</v>
      </c>
      <c r="AI56" t="s">
        <v>215</v>
      </c>
      <c r="AJ56">
        <v>3</v>
      </c>
      <c r="AK56">
        <v>160</v>
      </c>
      <c r="AL56">
        <v>100</v>
      </c>
      <c r="AM56" s="74">
        <f ca="1">INDIRECT(ADDRESS(11+(MATCH(RIGHT(Table2[[#This Row],[spawner_sku]],LEN(Table2[[#This Row],[spawner_sku]])-FIND("/",Table2[[#This Row],[spawner_sku]])),Table1[Entity Prefab],0)),10,1,1,"Entities"))</f>
        <v>25</v>
      </c>
      <c r="AN56" s="74">
        <f ca="1">ROUND((Table2[[#This Row],[XP]]*Table2[[#This Row],[entity_spawned (AVG)]])*(Table2[[#This Row],[activating_chance]]/100),0)</f>
        <v>75</v>
      </c>
      <c r="AO56" s="71" t="str">
        <f ca="1">INDIRECT(ADDRESS(11+(MATCH(RIGHT(Table2[[#This Row],[spawner_sku]],LEN(Table2[[#This Row],[spawner_sku]])-FIND("/",Table2[[#This Row],[spawner_sku]])),Table28[Entity Prefab],0)),24,1,1,"Entities"))</f>
        <v>no</v>
      </c>
      <c r="AP56" s="71">
        <v>2</v>
      </c>
      <c r="AQ56" s="71">
        <v>4</v>
      </c>
      <c r="AR56" s="71" t="b">
        <v>0</v>
      </c>
      <c r="AT56" t="s">
        <v>376</v>
      </c>
      <c r="AU56">
        <v>3.5</v>
      </c>
      <c r="AV56">
        <v>200</v>
      </c>
      <c r="AW56">
        <v>100</v>
      </c>
      <c r="AX56" s="74">
        <f ca="1">INDIRECT(ADDRESS(11+(MATCH(RIGHT(Table6[[#This Row],[spawner_sku]],LEN(Table6[[#This Row],[spawner_sku]])-FIND("/",Table6[[#This Row],[spawner_sku]])),Table1[Entity Prefab],0)),10,1,1,"Entities"))</f>
        <v>25</v>
      </c>
      <c r="AY56" s="74">
        <f ca="1">ROUND((Table6[[#This Row],[XP]]*Table6[[#This Row],[entity_spawned (AVG)]])*(Table6[[#This Row],[activating_chance]]/100),0)</f>
        <v>88</v>
      </c>
      <c r="AZ56" s="144" t="str">
        <f ca="1">INDIRECT(ADDRESS(11+(MATCH(RIGHT(Table6[[#This Row],[spawner_sku]],LEN(Table6[[#This Row],[spawner_sku]])-FIND("/",Table6[[#This Row],[spawner_sku]])),Table28[Entity Prefab],0)),24,1,1,"Entities"))</f>
        <v>no</v>
      </c>
      <c r="BA56">
        <v>3</v>
      </c>
      <c r="BB56">
        <v>4</v>
      </c>
      <c r="BC56" t="b">
        <v>0</v>
      </c>
      <c r="BE56" t="s">
        <v>218</v>
      </c>
      <c r="BF56">
        <v>1</v>
      </c>
      <c r="BG56">
        <v>5000</v>
      </c>
      <c r="BH56">
        <v>90</v>
      </c>
      <c r="BI56" s="74">
        <f ca="1">INDIRECT(ADDRESS(11+(MATCH(RIGHT(Table610[[#This Row],[spawner_sku]],LEN(Table610[[#This Row],[spawner_sku]])-FIND("/",Table610[[#This Row],[spawner_sku]])),Table1[Entity Prefab],0)),10,1,1,"Entities"))</f>
        <v>75</v>
      </c>
      <c r="BJ56" s="74">
        <f ca="1">ROUND((Table610[[#This Row],[XP]]*Table610[[#This Row],[entity_spawned (AVG)]])*(Table610[[#This Row],[activating_chance]]/100),0)</f>
        <v>68</v>
      </c>
      <c r="BK56" s="71" t="str">
        <f ca="1">INDIRECT(ADDRESS(11+(MATCH(RIGHT(Table610[[#This Row],[spawner_sku]],LEN(Table610[[#This Row],[spawner_sku]])-FIND("/",Table610[[#This Row],[spawner_sku]])),Table28[Entity Prefab],0)),24,1,1,"Entities"))</f>
        <v>no</v>
      </c>
      <c r="BL56">
        <v>1</v>
      </c>
      <c r="BM56">
        <v>1</v>
      </c>
      <c r="BN56" t="b">
        <v>0</v>
      </c>
      <c r="BP56" t="s">
        <v>215</v>
      </c>
      <c r="BQ56">
        <v>5</v>
      </c>
      <c r="BR56">
        <v>220</v>
      </c>
      <c r="BS56">
        <v>100</v>
      </c>
      <c r="BT56" s="74">
        <f ca="1">INDIRECT(ADDRESS(11+(MATCH(RIGHT(Table61011[[#This Row],[spawner_sku]],LEN(Table61011[[#This Row],[spawner_sku]])-FIND("/",Table61011[[#This Row],[spawner_sku]])),Table1[Entity Prefab],0)),10,1,1,"Entities"))</f>
        <v>25</v>
      </c>
      <c r="BU56" s="74">
        <f ca="1">ROUND((Table61011[[#This Row],[XP]]*Table61011[[#This Row],[entity_spawned (AVG)]])*(Table61011[[#This Row],[activating_chance]]/100),0)</f>
        <v>125</v>
      </c>
      <c r="BV56" s="71" t="str">
        <f ca="1">INDIRECT(ADDRESS(11+(MATCH(RIGHT(Table61011[[#This Row],[spawner_sku]],LEN(Table61011[[#This Row],[spawner_sku]])-FIND("/",Table61011[[#This Row],[spawner_sku]])),Table28[Entity Prefab],0)),24,1,1,"Entities"))</f>
        <v>no</v>
      </c>
      <c r="BW56" s="71">
        <v>5</v>
      </c>
      <c r="BX56" s="71">
        <v>5</v>
      </c>
      <c r="BY56" s="71" t="b">
        <v>1</v>
      </c>
      <c r="BZ56" s="71"/>
      <c r="CA56" s="147" t="s">
        <v>570</v>
      </c>
      <c r="CB56">
        <v>1</v>
      </c>
      <c r="CC56">
        <v>120</v>
      </c>
      <c r="CD56">
        <v>100</v>
      </c>
      <c r="CE56" s="74">
        <f ca="1">INDIRECT(ADDRESS(11+(MATCH(RIGHT(Table35[[#This Row],[spawner_sku]],LEN(Table35[[#This Row],[spawner_sku]])-FIND("/",Table35[[#This Row],[spawner_sku]])),Table1[Entity Prefab],0)),10,1,1,"Entities"))</f>
        <v>50</v>
      </c>
      <c r="CF56" s="74">
        <f ca="1">ROUND((Table35[[#This Row],[XP]]*Table35[[#This Row],[entity_spawned (AVG)]])*(Table35[[#This Row],[activating_chance]]/100),0)</f>
        <v>50</v>
      </c>
      <c r="CG56" s="144" t="str">
        <f ca="1">INDIRECT(ADDRESS(11+(MATCH(RIGHT(Table35[[#This Row],[spawner_sku]],LEN(Table35[[#This Row],[spawner_sku]])-FIND("/",Table35[[#This Row],[spawner_sku]])),Table28[Entity Prefab],0)),24,1,1,"Entities"))</f>
        <v>no</v>
      </c>
      <c r="CH56">
        <v>1</v>
      </c>
      <c r="CI56">
        <v>1</v>
      </c>
      <c r="CJ56" s="71" t="b">
        <v>0</v>
      </c>
      <c r="CL56" t="s">
        <v>215</v>
      </c>
      <c r="CM56">
        <v>8</v>
      </c>
      <c r="CN56">
        <v>180</v>
      </c>
      <c r="CO56">
        <v>100</v>
      </c>
      <c r="CP56" s="74">
        <f ca="1">INDIRECT(ADDRESS(11+(MATCH(RIGHT(Table11[[#This Row],[spawner_sku]],LEN(Table11[[#This Row],[spawner_sku]])-FIND("/",Table11[[#This Row],[spawner_sku]])),Table1[Entity Prefab],0)),10,1,1,"Entities"))</f>
        <v>25</v>
      </c>
      <c r="CQ56">
        <f ca="1">ROUND((Table11[[#This Row],[XP]]*Table11[[#This Row],[entity_spawned (AVG)]])*(Table11[[#This Row],[activating_chance]]/100),0)</f>
        <v>200</v>
      </c>
      <c r="CR56" s="144" t="str">
        <f ca="1">INDIRECT(ADDRESS(11+(MATCH(RIGHT(Table11[[#This Row],[spawner_sku]],LEN(Table11[[#This Row],[spawner_sku]])-FIND("/",Table11[[#This Row],[spawner_sku]])),Table28[Entity Prefab],0)),25,1,1,"Entities"))</f>
        <v>no</v>
      </c>
      <c r="CS56" s="71">
        <v>6</v>
      </c>
      <c r="CT56" s="71">
        <v>10</v>
      </c>
      <c r="CU56" s="71" t="b">
        <v>1</v>
      </c>
      <c r="CW56" t="s">
        <v>225</v>
      </c>
      <c r="CX56">
        <v>1</v>
      </c>
      <c r="CY56">
        <v>2500</v>
      </c>
      <c r="CZ56">
        <v>100</v>
      </c>
      <c r="DA56" s="74">
        <f ca="1">INDIRECT(ADDRESS(11+(MATCH(RIGHT(Table12[[#This Row],[spawner_sku]],LEN(Table12[[#This Row],[spawner_sku]])-FIND("/",Table12[[#This Row],[spawner_sku]])),Table1[Entity Prefab],0)),10,1,1,"Entities"))</f>
        <v>263</v>
      </c>
      <c r="DB56" s="74">
        <f ca="1">ROUND((Table12[[#This Row],[XP]]*Table12[[#This Row],[entity_spawned (AVG)]])*(Table12[[#This Row],[activating_chance]]/100),0)</f>
        <v>263</v>
      </c>
      <c r="DC56" s="144" t="str">
        <f ca="1">INDIRECT(ADDRESS(11+(MATCH(RIGHT(Table12[[#This Row],[spawner_sku]],LEN(Table12[[#This Row],[spawner_sku]])-FIND("/",Table12[[#This Row],[spawner_sku]])),Table28[Entity Prefab],0)),25,1,1,"Entities"))</f>
        <v>yes</v>
      </c>
      <c r="DD56" s="71">
        <v>1</v>
      </c>
      <c r="DE56" s="71">
        <v>1</v>
      </c>
      <c r="DF56" s="71" t="b">
        <v>0</v>
      </c>
      <c r="DH56" t="s">
        <v>376</v>
      </c>
      <c r="DI56">
        <v>3.5</v>
      </c>
      <c r="DJ56">
        <v>200</v>
      </c>
      <c r="DK56">
        <v>100</v>
      </c>
      <c r="DL56" s="74">
        <f ca="1">INDIRECT(ADDRESS(11+(MATCH(RIGHT(Table13[[#This Row],[spawner_sku]],LEN(Table13[[#This Row],[spawner_sku]])-FIND("/",Table13[[#This Row],[spawner_sku]])),Table1[Entity Prefab],0)),10,1,1,"Entities"))</f>
        <v>25</v>
      </c>
      <c r="DM56" s="74">
        <f ca="1">ROUND((Table13[[#This Row],[XP]]*Table13[[#This Row],[entity_spawned (AVG)]])*(Table13[[#This Row],[activating_chance]]/100),0)</f>
        <v>88</v>
      </c>
      <c r="DN56" s="144" t="str">
        <f ca="1">INDIRECT(ADDRESS(11+(MATCH(RIGHT(Table13[[#This Row],[spawner_sku]],LEN(Table13[[#This Row],[spawner_sku]])-FIND("/",Table13[[#This Row],[spawner_sku]])),Table28[Entity Prefab],0)),25,1,1,"Entities"))</f>
        <v>no</v>
      </c>
      <c r="DO56" s="71">
        <v>3</v>
      </c>
      <c r="DP56" s="71">
        <v>4</v>
      </c>
      <c r="DQ56" s="71" t="b">
        <v>0</v>
      </c>
      <c r="DS56" t="s">
        <v>214</v>
      </c>
      <c r="DT56">
        <v>9</v>
      </c>
      <c r="DU56">
        <v>200</v>
      </c>
      <c r="DV56">
        <v>100</v>
      </c>
      <c r="DW56" s="74">
        <f ca="1">INDIRECT(ADDRESS(11+(MATCH(RIGHT(Table14[[#This Row],[spawner_sku]],LEN(Table14[[#This Row],[spawner_sku]])-FIND("/",Table14[[#This Row],[spawner_sku]])),Table1[Entity Prefab],0)),10,1,1,"Entities"))</f>
        <v>25</v>
      </c>
      <c r="DX56" s="74">
        <f ca="1">ROUND((Table14[[#This Row],[XP]]*Table14[[#This Row],[entity_spawned (AVG)]])*(Table14[[#This Row],[activating_chance]]/100),0)</f>
        <v>225</v>
      </c>
      <c r="DY56" s="144" t="str">
        <f ca="1">INDIRECT(ADDRESS(11+(MATCH(RIGHT(Table14[[#This Row],[spawner_sku]],LEN(Table14[[#This Row],[spawner_sku]])-FIND("/",Table14[[#This Row],[spawner_sku]])),Table28[Entity Prefab],0)),25,1,1,"Entities"))</f>
        <v>no</v>
      </c>
      <c r="DZ56" s="71">
        <v>8</v>
      </c>
      <c r="EA56" s="71">
        <v>10</v>
      </c>
      <c r="EB56" s="71" t="b">
        <v>1</v>
      </c>
      <c r="EC56" s="71"/>
      <c r="ED56" s="147" t="s">
        <v>510</v>
      </c>
      <c r="EE56" s="71">
        <v>1</v>
      </c>
      <c r="EF56" s="71">
        <v>135</v>
      </c>
      <c r="EG56" s="71">
        <v>100</v>
      </c>
      <c r="EH56" s="71">
        <f ca="1">INDIRECT(ADDRESS(11+(MATCH(RIGHT(Table36[[#This Row],[spawner_sku]],LEN(Table36[[#This Row],[spawner_sku]])-FIND("/",Table36[[#This Row],[spawner_sku]])),Table1[Entity Prefab],0)),10,1,1,"Entities"))</f>
        <v>90</v>
      </c>
      <c r="EI56" s="71">
        <f ca="1">ROUND((Table36[[#This Row],[XP]]*Table36[[#This Row],[entity_spawned (AVG)]])*(Table36[[#This Row],[activating_chance]]/100),0)</f>
        <v>90</v>
      </c>
      <c r="EJ56" s="71" t="str">
        <f ca="1">INDIRECT(ADDRESS(11+(MATCH(RIGHT(Table36[[#This Row],[spawner_sku]],LEN(Table36[[#This Row],[spawner_sku]])-FIND("/",Table36[[#This Row],[spawner_sku]])),Table28[Entity Prefab],0)),25,1,1,"Entities"))</f>
        <v>no</v>
      </c>
      <c r="EK56" s="71">
        <v>1</v>
      </c>
      <c r="EL56" s="71">
        <v>1</v>
      </c>
      <c r="EM56" s="71" t="b">
        <v>0</v>
      </c>
      <c r="EO56" t="s">
        <v>214</v>
      </c>
      <c r="EP56">
        <v>4</v>
      </c>
      <c r="EQ56">
        <v>120</v>
      </c>
      <c r="ER56">
        <v>100</v>
      </c>
      <c r="ES56" s="74">
        <f ca="1">INDIRECT(ADDRESS(11+(MATCH(RIGHT(Table18[[#This Row],[spawner_sku]],LEN(Table18[[#This Row],[spawner_sku]])-FIND("/",Table18[[#This Row],[spawner_sku]])),Table1[Entity Prefab],0)),10,1,1,"Entities"))</f>
        <v>25</v>
      </c>
      <c r="ET56" s="74">
        <f ca="1">ROUND((Table18[[#This Row],[XP]]*Table18[[#This Row],[entity_spawned (AVG)]])*(Table18[[#This Row],[activating_chance]]/100),0)</f>
        <v>100</v>
      </c>
      <c r="EU56" s="74" t="str">
        <f ca="1">INDIRECT(ADDRESS(11+(MATCH(RIGHT(Table18[[#This Row],[spawner_sku]],LEN(Table18[[#This Row],[spawner_sku]])-FIND("/",Table18[[#This Row],[spawner_sku]])),Table28[Entity Prefab],0)),26,1,1,"Entities"))</f>
        <v>no</v>
      </c>
      <c r="EV56">
        <v>4</v>
      </c>
      <c r="EW56">
        <v>4</v>
      </c>
      <c r="EX56" t="b">
        <v>0</v>
      </c>
      <c r="EZ56" t="s">
        <v>214</v>
      </c>
      <c r="FA56">
        <v>2.5</v>
      </c>
      <c r="FB56">
        <v>140</v>
      </c>
      <c r="FC56">
        <v>30</v>
      </c>
      <c r="FD56" s="74">
        <f ca="1">INDIRECT(ADDRESS(11+(MATCH(RIGHT(Table1820[[#This Row],[spawner_sku]],LEN(Table1820[[#This Row],[spawner_sku]])-FIND("/",Table1820[[#This Row],[spawner_sku]])),Table1[Entity Prefab],0)),10,1,1,"Entities"))</f>
        <v>25</v>
      </c>
      <c r="FE56" s="74">
        <f ca="1">ROUND((Table1820[[#This Row],[XP]]*Table1820[[#This Row],[entity_spawned (AVG)]])*(Table1820[[#This Row],[activating_chance]]/100),0)</f>
        <v>19</v>
      </c>
      <c r="FF56" s="74" t="str">
        <f ca="1">INDIRECT(ADDRESS(11+(MATCH(RIGHT(Table1820[[#This Row],[spawner_sku]],LEN(Table1820[[#This Row],[spawner_sku]])-FIND("/",Table1820[[#This Row],[spawner_sku]])),Table28[Entity Prefab],0)),26,1,1,"Entities"))</f>
        <v>no</v>
      </c>
      <c r="FG56">
        <v>2</v>
      </c>
      <c r="FH56">
        <v>3</v>
      </c>
      <c r="FI56" t="b">
        <v>0</v>
      </c>
      <c r="FK56" t="s">
        <v>2694</v>
      </c>
      <c r="FL56">
        <v>1.5</v>
      </c>
      <c r="FM56">
        <v>70</v>
      </c>
      <c r="FN56">
        <v>100</v>
      </c>
      <c r="FO56">
        <f ca="1">INDIRECT(ADDRESS(11+(MATCH(RIGHT(Table182023[[#This Row],[spawner_sku]],LEN(Table182023[[#This Row],[spawner_sku]])-FIND("/",Table182023[[#This Row],[spawner_sku]])),Table1[Entity Prefab],0)),10,1,1,"Entities"))</f>
        <v>143</v>
      </c>
      <c r="FP56">
        <f ca="1">ROUND((Table182023[[#This Row],[XP]]*Table182023[[#This Row],[entity_spawned (AVG)]])*(Table182023[[#This Row],[activating_chance]]/100),0)</f>
        <v>215</v>
      </c>
      <c r="FQ56" t="str">
        <f ca="1">INDIRECT(ADDRESS(11+(MATCH(RIGHT(Table182023[[#This Row],[spawner_sku]],LEN(Table182023[[#This Row],[spawner_sku]])-FIND("/",Table182023[[#This Row],[spawner_sku]])),Table28[Entity Prefab],0)),26,1,1,"Entities"))</f>
        <v>no</v>
      </c>
      <c r="FR56">
        <v>1</v>
      </c>
      <c r="FS56">
        <v>2</v>
      </c>
      <c r="FT56" t="b">
        <v>0</v>
      </c>
      <c r="FV56" t="s">
        <v>233</v>
      </c>
      <c r="FW56">
        <v>1</v>
      </c>
      <c r="FX56">
        <v>500</v>
      </c>
      <c r="FY56">
        <v>80</v>
      </c>
      <c r="FZ56" s="74">
        <f ca="1">INDIRECT(ADDRESS(11+(MATCH(RIGHT(Table18202324[[#This Row],[spawner_sku]],LEN(Table18202324[[#This Row],[spawner_sku]])-FIND("/",Table18202324[[#This Row],[spawner_sku]])),Table1[Entity Prefab],0)),10,1,1,"Entities"))</f>
        <v>25</v>
      </c>
      <c r="GA56" s="74">
        <f ca="1">ROUND((Table18202324[[#This Row],[XP]]*Table18202324[[#This Row],[entity_spawned (AVG)]])*(Table18202324[[#This Row],[activating_chance]]/100),0)</f>
        <v>20</v>
      </c>
      <c r="GB56" s="74" t="str">
        <f ca="1">INDIRECT(ADDRESS(11+(MATCH(RIGHT(Table18202324[[#This Row],[spawner_sku]],LEN(Table18202324[[#This Row],[spawner_sku]])-FIND("/",Table18202324[[#This Row],[spawner_sku]])),Table28[Entity Prefab],0)),26,1,1,"Entities"))</f>
        <v>no</v>
      </c>
      <c r="GC56">
        <v>1</v>
      </c>
      <c r="GD56">
        <v>1</v>
      </c>
      <c r="GE56" t="b">
        <v>0</v>
      </c>
      <c r="GG56" t="s">
        <v>3816</v>
      </c>
      <c r="GH56">
        <v>1</v>
      </c>
      <c r="GI56">
        <v>240</v>
      </c>
      <c r="GJ56">
        <v>100</v>
      </c>
      <c r="GK56">
        <f ca="1">INDIRECT(ADDRESS(11+(MATCH(RIGHT(Table37[[#This Row],[spawner_sku]],LEN(Table37[[#This Row],[spawner_sku]])-FIND("/",Table37[[#This Row],[spawner_sku]])),Table1[Entity Prefab],0)),10,1,1,"Entities"))</f>
        <v>50</v>
      </c>
      <c r="GL56">
        <f ca="1">ROUND((Table37[[#This Row],[XP]]*Table37[[#This Row],[entity_spawned (AVG)]])*(Table37[[#This Row],[activating_chance]]/100),0)</f>
        <v>50</v>
      </c>
      <c r="GM56" t="str">
        <f ca="1">INDIRECT(ADDRESS(11+(MATCH(RIGHT(Table37[[#This Row],[spawner_sku]],LEN(Table37[[#This Row],[spawner_sku]])-FIND("/",Table37[[#This Row],[spawner_sku]])),Table28[Entity Prefab],0)),26,1,1,"Entities"))</f>
        <v>no</v>
      </c>
      <c r="GN56">
        <v>1</v>
      </c>
      <c r="GO56">
        <v>1</v>
      </c>
      <c r="GP56" t="b">
        <v>0</v>
      </c>
    </row>
    <row r="57" spans="2:198" x14ac:dyDescent="0.25">
      <c r="B57" s="72" t="s">
        <v>215</v>
      </c>
      <c r="C57">
        <v>3</v>
      </c>
      <c r="D57">
        <v>160</v>
      </c>
      <c r="E57">
        <v>100</v>
      </c>
      <c r="F57" s="74">
        <f ca="1">INDIRECT(ADDRESS(11+(MATCH(RIGHT(Table245[[#This Row],[spawner_sku]],LEN(Table245[[#This Row],[spawner_sku]])-FIND("/",Table245[[#This Row],[spawner_sku]])),Table1[Entity Prefab],0)),10,1,1,"Entities"))</f>
        <v>25</v>
      </c>
      <c r="G57" s="74">
        <f ca="1">ROUND((Table245[[#This Row],[XP]]*Table245[[#This Row],[entity_spawned (AVG)]])*(Table245[[#This Row],[activating_chance]]/100),0)</f>
        <v>75</v>
      </c>
      <c r="H57" s="71" t="str">
        <f ca="1">INDIRECT(ADDRESS(11+(MATCH(RIGHT(Table245[[#This Row],[spawner_sku]],LEN(Table245[[#This Row],[spawner_sku]])-FIND("/",Table245[[#This Row],[spawner_sku]])),Table28[Entity Prefab],0)),24,1,1,"Entities"))</f>
        <v>no</v>
      </c>
      <c r="I57" s="71">
        <v>2</v>
      </c>
      <c r="J57" s="71">
        <v>4</v>
      </c>
      <c r="K57" s="71" t="b">
        <v>0</v>
      </c>
      <c r="M57" t="s">
        <v>219</v>
      </c>
      <c r="N57">
        <v>1</v>
      </c>
      <c r="O57">
        <v>250</v>
      </c>
      <c r="P57">
        <v>100</v>
      </c>
      <c r="Q57" s="74">
        <f ca="1">INDIRECT(ADDRESS(11+(MATCH(RIGHT(Table3[[#This Row],[spawner_sku]],LEN(Table3[[#This Row],[spawner_sku]])-FIND("/",Table3[[#This Row],[spawner_sku]])),Table1[Entity Prefab],0)),10,1,1,"Entities"))</f>
        <v>143</v>
      </c>
      <c r="R57" s="74">
        <f ca="1">ROUND((Table3[[#This Row],[XP]]*Table3[[#This Row],[entity_spawned (AVG)]])*(Table3[[#This Row],[activating_chance]]/100),0)</f>
        <v>143</v>
      </c>
      <c r="S57" t="str">
        <f ca="1">INDIRECT(ADDRESS(11+(MATCH(RIGHT(Table3[[#This Row],[spawner_sku]],LEN(Table3[[#This Row],[spawner_sku]])-FIND("/",Table3[[#This Row],[spawner_sku]])),Table28[Entity Prefab],0)),24,1,1,"Entities"))</f>
        <v>yes</v>
      </c>
      <c r="T57">
        <v>1</v>
      </c>
      <c r="U57">
        <v>1</v>
      </c>
      <c r="V57" t="b">
        <v>0</v>
      </c>
      <c r="W57" s="71"/>
      <c r="X57" t="s">
        <v>233</v>
      </c>
      <c r="Y57">
        <v>1</v>
      </c>
      <c r="Z57">
        <v>500</v>
      </c>
      <c r="AA57">
        <v>100</v>
      </c>
      <c r="AB57" s="74">
        <f ca="1">INDIRECT(ADDRESS(11+(MATCH(RIGHT(Table39[[#This Row],[spawner_sku]],LEN(Table39[[#This Row],[spawner_sku]])-FIND("/",Table39[[#This Row],[spawner_sku]])),Table1[Entity Prefab],0)),10,1,1,"Entities"))</f>
        <v>25</v>
      </c>
      <c r="AC57" s="74">
        <f ca="1">ROUND((Table39[[#This Row],[XP]]*Table39[[#This Row],[entity_spawned (AVG)]])*(Table39[[#This Row],[activating_chance]]/100),0)</f>
        <v>25</v>
      </c>
      <c r="AD57" t="str">
        <f ca="1">INDIRECT(ADDRESS(11+(MATCH(RIGHT(Table39[[#This Row],[spawner_sku]],LEN(Table39[[#This Row],[spawner_sku]])-FIND("/",Table39[[#This Row],[spawner_sku]])),Table28[Entity Prefab],0)),24,1,1,"Entities"))</f>
        <v>no</v>
      </c>
      <c r="AE57">
        <v>1</v>
      </c>
      <c r="AF57">
        <v>1</v>
      </c>
      <c r="AG57" t="b">
        <v>0</v>
      </c>
      <c r="AI57" t="s">
        <v>215</v>
      </c>
      <c r="AJ57">
        <v>2</v>
      </c>
      <c r="AK57">
        <v>160</v>
      </c>
      <c r="AL57">
        <v>80</v>
      </c>
      <c r="AM57" s="74">
        <f ca="1">INDIRECT(ADDRESS(11+(MATCH(RIGHT(Table2[[#This Row],[spawner_sku]],LEN(Table2[[#This Row],[spawner_sku]])-FIND("/",Table2[[#This Row],[spawner_sku]])),Table1[Entity Prefab],0)),10,1,1,"Entities"))</f>
        <v>25</v>
      </c>
      <c r="AN57" s="74">
        <f ca="1">ROUND((Table2[[#This Row],[XP]]*Table2[[#This Row],[entity_spawned (AVG)]])*(Table2[[#This Row],[activating_chance]]/100),0)</f>
        <v>40</v>
      </c>
      <c r="AO57" s="71" t="str">
        <f ca="1">INDIRECT(ADDRESS(11+(MATCH(RIGHT(Table2[[#This Row],[spawner_sku]],LEN(Table2[[#This Row],[spawner_sku]])-FIND("/",Table2[[#This Row],[spawner_sku]])),Table28[Entity Prefab],0)),24,1,1,"Entities"))</f>
        <v>no</v>
      </c>
      <c r="AP57" s="71">
        <v>1</v>
      </c>
      <c r="AQ57" s="71">
        <v>3</v>
      </c>
      <c r="AR57" s="71" t="b">
        <v>0</v>
      </c>
      <c r="AT57" t="s">
        <v>376</v>
      </c>
      <c r="AU57">
        <v>6</v>
      </c>
      <c r="AV57">
        <v>200</v>
      </c>
      <c r="AW57">
        <v>30</v>
      </c>
      <c r="AX57" s="74">
        <f ca="1">INDIRECT(ADDRESS(11+(MATCH(RIGHT(Table6[[#This Row],[spawner_sku]],LEN(Table6[[#This Row],[spawner_sku]])-FIND("/",Table6[[#This Row],[spawner_sku]])),Table1[Entity Prefab],0)),10,1,1,"Entities"))</f>
        <v>25</v>
      </c>
      <c r="AY57" s="74">
        <f ca="1">ROUND((Table6[[#This Row],[XP]]*Table6[[#This Row],[entity_spawned (AVG)]])*(Table6[[#This Row],[activating_chance]]/100),0)</f>
        <v>45</v>
      </c>
      <c r="AZ57" s="144" t="str">
        <f ca="1">INDIRECT(ADDRESS(11+(MATCH(RIGHT(Table6[[#This Row],[spawner_sku]],LEN(Table6[[#This Row],[spawner_sku]])-FIND("/",Table6[[#This Row],[spawner_sku]])),Table28[Entity Prefab],0)),24,1,1,"Entities"))</f>
        <v>no</v>
      </c>
      <c r="BA57">
        <v>5</v>
      </c>
      <c r="BB57">
        <v>7</v>
      </c>
      <c r="BC57" t="b">
        <v>1</v>
      </c>
      <c r="BE57" t="s">
        <v>218</v>
      </c>
      <c r="BF57">
        <v>1</v>
      </c>
      <c r="BG57">
        <v>5000</v>
      </c>
      <c r="BH57">
        <v>70</v>
      </c>
      <c r="BI57" s="74">
        <f ca="1">INDIRECT(ADDRESS(11+(MATCH(RIGHT(Table610[[#This Row],[spawner_sku]],LEN(Table610[[#This Row],[spawner_sku]])-FIND("/",Table610[[#This Row],[spawner_sku]])),Table1[Entity Prefab],0)),10,1,1,"Entities"))</f>
        <v>75</v>
      </c>
      <c r="BJ57" s="74">
        <f ca="1">ROUND((Table610[[#This Row],[XP]]*Table610[[#This Row],[entity_spawned (AVG)]])*(Table610[[#This Row],[activating_chance]]/100),0)</f>
        <v>53</v>
      </c>
      <c r="BK57" s="71" t="str">
        <f ca="1">INDIRECT(ADDRESS(11+(MATCH(RIGHT(Table610[[#This Row],[spawner_sku]],LEN(Table610[[#This Row],[spawner_sku]])-FIND("/",Table610[[#This Row],[spawner_sku]])),Table28[Entity Prefab],0)),24,1,1,"Entities"))</f>
        <v>no</v>
      </c>
      <c r="BL57">
        <v>1</v>
      </c>
      <c r="BM57">
        <v>1</v>
      </c>
      <c r="BN57" t="b">
        <v>0</v>
      </c>
      <c r="BP57" t="s">
        <v>215</v>
      </c>
      <c r="BQ57">
        <v>1.5</v>
      </c>
      <c r="BR57">
        <v>140</v>
      </c>
      <c r="BS57">
        <v>80</v>
      </c>
      <c r="BT57" s="74">
        <f ca="1">INDIRECT(ADDRESS(11+(MATCH(RIGHT(Table61011[[#This Row],[spawner_sku]],LEN(Table61011[[#This Row],[spawner_sku]])-FIND("/",Table61011[[#This Row],[spawner_sku]])),Table1[Entity Prefab],0)),10,1,1,"Entities"))</f>
        <v>25</v>
      </c>
      <c r="BU57" s="74">
        <f ca="1">ROUND((Table61011[[#This Row],[XP]]*Table61011[[#This Row],[entity_spawned (AVG)]])*(Table61011[[#This Row],[activating_chance]]/100),0)</f>
        <v>30</v>
      </c>
      <c r="BV57" s="71" t="str">
        <f ca="1">INDIRECT(ADDRESS(11+(MATCH(RIGHT(Table61011[[#This Row],[spawner_sku]],LEN(Table61011[[#This Row],[spawner_sku]])-FIND("/",Table61011[[#This Row],[spawner_sku]])),Table28[Entity Prefab],0)),24,1,1,"Entities"))</f>
        <v>no</v>
      </c>
      <c r="BW57" s="71">
        <v>1</v>
      </c>
      <c r="BX57" s="71">
        <v>2</v>
      </c>
      <c r="BY57" s="71" t="b">
        <v>0</v>
      </c>
      <c r="BZ57" s="71"/>
      <c r="CA57" s="147" t="s">
        <v>570</v>
      </c>
      <c r="CB57">
        <v>1</v>
      </c>
      <c r="CC57">
        <v>120</v>
      </c>
      <c r="CD57">
        <v>100</v>
      </c>
      <c r="CE57" s="74">
        <f ca="1">INDIRECT(ADDRESS(11+(MATCH(RIGHT(Table35[[#This Row],[spawner_sku]],LEN(Table35[[#This Row],[spawner_sku]])-FIND("/",Table35[[#This Row],[spawner_sku]])),Table1[Entity Prefab],0)),10,1,1,"Entities"))</f>
        <v>50</v>
      </c>
      <c r="CF57" s="74">
        <f ca="1">ROUND((Table35[[#This Row],[XP]]*Table35[[#This Row],[entity_spawned (AVG)]])*(Table35[[#This Row],[activating_chance]]/100),0)</f>
        <v>50</v>
      </c>
      <c r="CG57" s="144" t="str">
        <f ca="1">INDIRECT(ADDRESS(11+(MATCH(RIGHT(Table35[[#This Row],[spawner_sku]],LEN(Table35[[#This Row],[spawner_sku]])-FIND("/",Table35[[#This Row],[spawner_sku]])),Table28[Entity Prefab],0)),24,1,1,"Entities"))</f>
        <v>no</v>
      </c>
      <c r="CH57">
        <v>1</v>
      </c>
      <c r="CI57">
        <v>1</v>
      </c>
      <c r="CJ57" s="71" t="b">
        <v>0</v>
      </c>
      <c r="CL57" t="s">
        <v>215</v>
      </c>
      <c r="CM57">
        <v>3</v>
      </c>
      <c r="CN57">
        <v>180</v>
      </c>
      <c r="CO57">
        <v>100</v>
      </c>
      <c r="CP57" s="74">
        <f ca="1">INDIRECT(ADDRESS(11+(MATCH(RIGHT(Table11[[#This Row],[spawner_sku]],LEN(Table11[[#This Row],[spawner_sku]])-FIND("/",Table11[[#This Row],[spawner_sku]])),Table1[Entity Prefab],0)),10,1,1,"Entities"))</f>
        <v>25</v>
      </c>
      <c r="CQ57">
        <f ca="1">ROUND((Table11[[#This Row],[XP]]*Table11[[#This Row],[entity_spawned (AVG)]])*(Table11[[#This Row],[activating_chance]]/100),0)</f>
        <v>75</v>
      </c>
      <c r="CR57" s="144" t="str">
        <f ca="1">INDIRECT(ADDRESS(11+(MATCH(RIGHT(Table11[[#This Row],[spawner_sku]],LEN(Table11[[#This Row],[spawner_sku]])-FIND("/",Table11[[#This Row],[spawner_sku]])),Table28[Entity Prefab],0)),25,1,1,"Entities"))</f>
        <v>no</v>
      </c>
      <c r="CS57" s="71">
        <v>2</v>
      </c>
      <c r="CT57" s="71">
        <v>4</v>
      </c>
      <c r="CU57" s="71" t="b">
        <v>0</v>
      </c>
      <c r="CW57" t="s">
        <v>226</v>
      </c>
      <c r="CX57">
        <v>1</v>
      </c>
      <c r="CY57">
        <v>2000</v>
      </c>
      <c r="CZ57">
        <v>100</v>
      </c>
      <c r="DA57" s="74">
        <f ca="1">INDIRECT(ADDRESS(11+(MATCH(RIGHT(Table12[[#This Row],[spawner_sku]],LEN(Table12[[#This Row],[spawner_sku]])-FIND("/",Table12[[#This Row],[spawner_sku]])),Table1[Entity Prefab],0)),10,1,1,"Entities"))</f>
        <v>175</v>
      </c>
      <c r="DB57" s="74">
        <f ca="1">ROUND((Table12[[#This Row],[XP]]*Table12[[#This Row],[entity_spawned (AVG)]])*(Table12[[#This Row],[activating_chance]]/100),0)</f>
        <v>175</v>
      </c>
      <c r="DC57" s="144" t="str">
        <f ca="1">INDIRECT(ADDRESS(11+(MATCH(RIGHT(Table12[[#This Row],[spawner_sku]],LEN(Table12[[#This Row],[spawner_sku]])-FIND("/",Table12[[#This Row],[spawner_sku]])),Table28[Entity Prefab],0)),25,1,1,"Entities"))</f>
        <v>yes</v>
      </c>
      <c r="DD57" s="71">
        <v>1</v>
      </c>
      <c r="DE57" s="71">
        <v>1</v>
      </c>
      <c r="DF57" s="71" t="b">
        <v>0</v>
      </c>
      <c r="DH57" t="s">
        <v>218</v>
      </c>
      <c r="DI57">
        <v>1</v>
      </c>
      <c r="DJ57">
        <v>5000</v>
      </c>
      <c r="DK57">
        <v>75</v>
      </c>
      <c r="DL57" s="74">
        <f ca="1">INDIRECT(ADDRESS(11+(MATCH(RIGHT(Table13[[#This Row],[spawner_sku]],LEN(Table13[[#This Row],[spawner_sku]])-FIND("/",Table13[[#This Row],[spawner_sku]])),Table1[Entity Prefab],0)),10,1,1,"Entities"))</f>
        <v>75</v>
      </c>
      <c r="DM57" s="74">
        <f ca="1">ROUND((Table13[[#This Row],[XP]]*Table13[[#This Row],[entity_spawned (AVG)]])*(Table13[[#This Row],[activating_chance]]/100),0)</f>
        <v>56</v>
      </c>
      <c r="DN57" s="144" t="str">
        <f ca="1">INDIRECT(ADDRESS(11+(MATCH(RIGHT(Table13[[#This Row],[spawner_sku]],LEN(Table13[[#This Row],[spawner_sku]])-FIND("/",Table13[[#This Row],[spawner_sku]])),Table28[Entity Prefab],0)),25,1,1,"Entities"))</f>
        <v>no</v>
      </c>
      <c r="DO57" s="71">
        <v>1</v>
      </c>
      <c r="DP57" s="71">
        <v>1</v>
      </c>
      <c r="DQ57" s="71" t="b">
        <v>0</v>
      </c>
      <c r="DS57" t="s">
        <v>214</v>
      </c>
      <c r="DT57">
        <v>3.5</v>
      </c>
      <c r="DU57">
        <v>200</v>
      </c>
      <c r="DV57">
        <v>100</v>
      </c>
      <c r="DW57" s="74">
        <f ca="1">INDIRECT(ADDRESS(11+(MATCH(RIGHT(Table14[[#This Row],[spawner_sku]],LEN(Table14[[#This Row],[spawner_sku]])-FIND("/",Table14[[#This Row],[spawner_sku]])),Table1[Entity Prefab],0)),10,1,1,"Entities"))</f>
        <v>25</v>
      </c>
      <c r="DX57" s="74">
        <f ca="1">ROUND((Table14[[#This Row],[XP]]*Table14[[#This Row],[entity_spawned (AVG)]])*(Table14[[#This Row],[activating_chance]]/100),0)</f>
        <v>88</v>
      </c>
      <c r="DY57" s="144" t="str">
        <f ca="1">INDIRECT(ADDRESS(11+(MATCH(RIGHT(Table14[[#This Row],[spawner_sku]],LEN(Table14[[#This Row],[spawner_sku]])-FIND("/",Table14[[#This Row],[spawner_sku]])),Table28[Entity Prefab],0)),25,1,1,"Entities"))</f>
        <v>no</v>
      </c>
      <c r="DZ57" s="71">
        <v>3</v>
      </c>
      <c r="EA57" s="71">
        <v>4</v>
      </c>
      <c r="EB57" s="71" t="b">
        <v>0</v>
      </c>
      <c r="EC57" s="71"/>
      <c r="ED57" s="147" t="s">
        <v>510</v>
      </c>
      <c r="EE57" s="71">
        <v>1</v>
      </c>
      <c r="EF57" s="71">
        <v>150</v>
      </c>
      <c r="EG57" s="71">
        <v>100</v>
      </c>
      <c r="EH57" s="71">
        <f ca="1">INDIRECT(ADDRESS(11+(MATCH(RIGHT(Table36[[#This Row],[spawner_sku]],LEN(Table36[[#This Row],[spawner_sku]])-FIND("/",Table36[[#This Row],[spawner_sku]])),Table1[Entity Prefab],0)),10,1,1,"Entities"))</f>
        <v>90</v>
      </c>
      <c r="EI57" s="71">
        <f ca="1">ROUND((Table36[[#This Row],[XP]]*Table36[[#This Row],[entity_spawned (AVG)]])*(Table36[[#This Row],[activating_chance]]/100),0)</f>
        <v>90</v>
      </c>
      <c r="EJ57" s="71" t="str">
        <f ca="1">INDIRECT(ADDRESS(11+(MATCH(RIGHT(Table36[[#This Row],[spawner_sku]],LEN(Table36[[#This Row],[spawner_sku]])-FIND("/",Table36[[#This Row],[spawner_sku]])),Table28[Entity Prefab],0)),25,1,1,"Entities"))</f>
        <v>no</v>
      </c>
      <c r="EK57" s="71">
        <v>1</v>
      </c>
      <c r="EL57" s="71">
        <v>1</v>
      </c>
      <c r="EM57" s="71" t="b">
        <v>0</v>
      </c>
      <c r="EO57" t="s">
        <v>214</v>
      </c>
      <c r="EP57">
        <v>5.5</v>
      </c>
      <c r="EQ57">
        <v>100</v>
      </c>
      <c r="ER57">
        <v>30</v>
      </c>
      <c r="ES57" s="74">
        <f ca="1">INDIRECT(ADDRESS(11+(MATCH(RIGHT(Table18[[#This Row],[spawner_sku]],LEN(Table18[[#This Row],[spawner_sku]])-FIND("/",Table18[[#This Row],[spawner_sku]])),Table1[Entity Prefab],0)),10,1,1,"Entities"))</f>
        <v>25</v>
      </c>
      <c r="ET57" s="74">
        <f ca="1">ROUND((Table18[[#This Row],[XP]]*Table18[[#This Row],[entity_spawned (AVG)]])*(Table18[[#This Row],[activating_chance]]/100),0)</f>
        <v>41</v>
      </c>
      <c r="EU57" s="74" t="str">
        <f ca="1">INDIRECT(ADDRESS(11+(MATCH(RIGHT(Table18[[#This Row],[spawner_sku]],LEN(Table18[[#This Row],[spawner_sku]])-FIND("/",Table18[[#This Row],[spawner_sku]])),Table28[Entity Prefab],0)),26,1,1,"Entities"))</f>
        <v>no</v>
      </c>
      <c r="EV57">
        <v>5</v>
      </c>
      <c r="EW57">
        <v>6</v>
      </c>
      <c r="EX57" t="b">
        <v>1</v>
      </c>
      <c r="EZ57" t="s">
        <v>214</v>
      </c>
      <c r="FA57">
        <v>5.5</v>
      </c>
      <c r="FB57">
        <v>140</v>
      </c>
      <c r="FC57">
        <v>100</v>
      </c>
      <c r="FD57" s="74">
        <f ca="1">INDIRECT(ADDRESS(11+(MATCH(RIGHT(Table1820[[#This Row],[spawner_sku]],LEN(Table1820[[#This Row],[spawner_sku]])-FIND("/",Table1820[[#This Row],[spawner_sku]])),Table1[Entity Prefab],0)),10,1,1,"Entities"))</f>
        <v>25</v>
      </c>
      <c r="FE57" s="74">
        <f ca="1">ROUND((Table1820[[#This Row],[XP]]*Table1820[[#This Row],[entity_spawned (AVG)]])*(Table1820[[#This Row],[activating_chance]]/100),0)</f>
        <v>138</v>
      </c>
      <c r="FF57" s="74" t="str">
        <f ca="1">INDIRECT(ADDRESS(11+(MATCH(RIGHT(Table1820[[#This Row],[spawner_sku]],LEN(Table1820[[#This Row],[spawner_sku]])-FIND("/",Table1820[[#This Row],[spawner_sku]])),Table28[Entity Prefab],0)),26,1,1,"Entities"))</f>
        <v>no</v>
      </c>
      <c r="FG57">
        <v>5</v>
      </c>
      <c r="FH57">
        <v>6</v>
      </c>
      <c r="FI57" t="b">
        <v>1</v>
      </c>
      <c r="FK57" t="s">
        <v>2694</v>
      </c>
      <c r="FL57">
        <v>2</v>
      </c>
      <c r="FM57">
        <v>60</v>
      </c>
      <c r="FN57">
        <v>100</v>
      </c>
      <c r="FO57">
        <f ca="1">INDIRECT(ADDRESS(11+(MATCH(RIGHT(Table182023[[#This Row],[spawner_sku]],LEN(Table182023[[#This Row],[spawner_sku]])-FIND("/",Table182023[[#This Row],[spawner_sku]])),Table1[Entity Prefab],0)),10,1,1,"Entities"))</f>
        <v>143</v>
      </c>
      <c r="FP57">
        <f ca="1">ROUND((Table182023[[#This Row],[XP]]*Table182023[[#This Row],[entity_spawned (AVG)]])*(Table182023[[#This Row],[activating_chance]]/100),0)</f>
        <v>286</v>
      </c>
      <c r="FQ57" t="str">
        <f ca="1">INDIRECT(ADDRESS(11+(MATCH(RIGHT(Table182023[[#This Row],[spawner_sku]],LEN(Table182023[[#This Row],[spawner_sku]])-FIND("/",Table182023[[#This Row],[spawner_sku]])),Table28[Entity Prefab],0)),26,1,1,"Entities"))</f>
        <v>no</v>
      </c>
      <c r="FR57">
        <v>1</v>
      </c>
      <c r="FS57">
        <v>3</v>
      </c>
      <c r="FT57" t="b">
        <v>0</v>
      </c>
      <c r="FV57" t="s">
        <v>233</v>
      </c>
      <c r="FW57">
        <v>1</v>
      </c>
      <c r="FX57">
        <v>500</v>
      </c>
      <c r="FY57">
        <v>85</v>
      </c>
      <c r="FZ57" s="74">
        <f ca="1">INDIRECT(ADDRESS(11+(MATCH(RIGHT(Table18202324[[#This Row],[spawner_sku]],LEN(Table18202324[[#This Row],[spawner_sku]])-FIND("/",Table18202324[[#This Row],[spawner_sku]])),Table1[Entity Prefab],0)),10,1,1,"Entities"))</f>
        <v>25</v>
      </c>
      <c r="GA57" s="74">
        <f ca="1">ROUND((Table18202324[[#This Row],[XP]]*Table18202324[[#This Row],[entity_spawned (AVG)]])*(Table18202324[[#This Row],[activating_chance]]/100),0)</f>
        <v>21</v>
      </c>
      <c r="GB57" s="74" t="str">
        <f ca="1">INDIRECT(ADDRESS(11+(MATCH(RIGHT(Table18202324[[#This Row],[spawner_sku]],LEN(Table18202324[[#This Row],[spawner_sku]])-FIND("/",Table18202324[[#This Row],[spawner_sku]])),Table28[Entity Prefab],0)),26,1,1,"Entities"))</f>
        <v>no</v>
      </c>
      <c r="GC57">
        <v>1</v>
      </c>
      <c r="GD57">
        <v>1</v>
      </c>
      <c r="GE57" t="b">
        <v>0</v>
      </c>
      <c r="GG57" t="s">
        <v>3816</v>
      </c>
      <c r="GH57">
        <v>1</v>
      </c>
      <c r="GI57">
        <v>240</v>
      </c>
      <c r="GJ57">
        <v>100</v>
      </c>
      <c r="GK57">
        <f ca="1">INDIRECT(ADDRESS(11+(MATCH(RIGHT(Table37[[#This Row],[spawner_sku]],LEN(Table37[[#This Row],[spawner_sku]])-FIND("/",Table37[[#This Row],[spawner_sku]])),Table1[Entity Prefab],0)),10,1,1,"Entities"))</f>
        <v>50</v>
      </c>
      <c r="GL57">
        <f ca="1">ROUND((Table37[[#This Row],[XP]]*Table37[[#This Row],[entity_spawned (AVG)]])*(Table37[[#This Row],[activating_chance]]/100),0)</f>
        <v>50</v>
      </c>
      <c r="GM57" t="str">
        <f ca="1">INDIRECT(ADDRESS(11+(MATCH(RIGHT(Table37[[#This Row],[spawner_sku]],LEN(Table37[[#This Row],[spawner_sku]])-FIND("/",Table37[[#This Row],[spawner_sku]])),Table28[Entity Prefab],0)),26,1,1,"Entities"))</f>
        <v>no</v>
      </c>
      <c r="GN57">
        <v>1</v>
      </c>
      <c r="GO57">
        <v>1</v>
      </c>
      <c r="GP57" t="b">
        <v>0</v>
      </c>
    </row>
    <row r="58" spans="2:198" x14ac:dyDescent="0.25">
      <c r="B58" s="72" t="s">
        <v>215</v>
      </c>
      <c r="C58">
        <v>3</v>
      </c>
      <c r="D58">
        <v>130</v>
      </c>
      <c r="E58">
        <v>40</v>
      </c>
      <c r="F58" s="74">
        <f ca="1">INDIRECT(ADDRESS(11+(MATCH(RIGHT(Table245[[#This Row],[spawner_sku]],LEN(Table245[[#This Row],[spawner_sku]])-FIND("/",Table245[[#This Row],[spawner_sku]])),Table1[Entity Prefab],0)),10,1,1,"Entities"))</f>
        <v>25</v>
      </c>
      <c r="G58" s="74">
        <f ca="1">ROUND((Table245[[#This Row],[XP]]*Table245[[#This Row],[entity_spawned (AVG)]])*(Table245[[#This Row],[activating_chance]]/100),0)</f>
        <v>30</v>
      </c>
      <c r="H58" s="71" t="str">
        <f ca="1">INDIRECT(ADDRESS(11+(MATCH(RIGHT(Table245[[#This Row],[spawner_sku]],LEN(Table245[[#This Row],[spawner_sku]])-FIND("/",Table245[[#This Row],[spawner_sku]])),Table28[Entity Prefab],0)),24,1,1,"Entities"))</f>
        <v>no</v>
      </c>
      <c r="I58" s="71">
        <v>2</v>
      </c>
      <c r="J58" s="71">
        <v>4</v>
      </c>
      <c r="K58" s="71" t="b">
        <v>0</v>
      </c>
      <c r="M58" t="s">
        <v>320</v>
      </c>
      <c r="N58">
        <v>1</v>
      </c>
      <c r="O58">
        <v>250</v>
      </c>
      <c r="P58">
        <v>100</v>
      </c>
      <c r="Q58" s="74">
        <f ca="1">INDIRECT(ADDRESS(11+(MATCH(RIGHT(Table3[[#This Row],[spawner_sku]],LEN(Table3[[#This Row],[spawner_sku]])-FIND("/",Table3[[#This Row],[spawner_sku]])),Table1[Entity Prefab],0)),10,1,1,"Entities"))</f>
        <v>143</v>
      </c>
      <c r="R58" s="74">
        <f ca="1">ROUND((Table3[[#This Row],[XP]]*Table3[[#This Row],[entity_spawned (AVG)]])*(Table3[[#This Row],[activating_chance]]/100),0)</f>
        <v>143</v>
      </c>
      <c r="S58" t="str">
        <f ca="1">INDIRECT(ADDRESS(11+(MATCH(RIGHT(Table3[[#This Row],[spawner_sku]],LEN(Table3[[#This Row],[spawner_sku]])-FIND("/",Table3[[#This Row],[spawner_sku]])),Table28[Entity Prefab],0)),24,1,1,"Entities"))</f>
        <v>yes</v>
      </c>
      <c r="T58">
        <v>1</v>
      </c>
      <c r="U58">
        <v>1</v>
      </c>
      <c r="V58" t="b">
        <v>0</v>
      </c>
      <c r="W58" s="71"/>
      <c r="X58" t="s">
        <v>5003</v>
      </c>
      <c r="Y58">
        <v>1</v>
      </c>
      <c r="Z58">
        <v>5000</v>
      </c>
      <c r="AA58">
        <v>80</v>
      </c>
      <c r="AB58" s="74">
        <f ca="1">INDIRECT(ADDRESS(11+(MATCH(RIGHT(Table39[[#This Row],[spawner_sku]],LEN(Table39[[#This Row],[spawner_sku]])-FIND("/",Table39[[#This Row],[spawner_sku]])),Table1[Entity Prefab],0)),10,1,1,"Entities"))</f>
        <v>25</v>
      </c>
      <c r="AC58" s="74">
        <f ca="1">ROUND((Table39[[#This Row],[XP]]*Table39[[#This Row],[entity_spawned (AVG)]])*(Table39[[#This Row],[activating_chance]]/100),0)</f>
        <v>20</v>
      </c>
      <c r="AD58" t="str">
        <f ca="1">INDIRECT(ADDRESS(11+(MATCH(RIGHT(Table39[[#This Row],[spawner_sku]],LEN(Table39[[#This Row],[spawner_sku]])-FIND("/",Table39[[#This Row],[spawner_sku]])),Table28[Entity Prefab],0)),24,1,1,"Entities"))</f>
        <v>no</v>
      </c>
      <c r="AE58">
        <v>1</v>
      </c>
      <c r="AF58">
        <v>1</v>
      </c>
      <c r="AG58" t="b">
        <v>0</v>
      </c>
      <c r="AI58" t="s">
        <v>215</v>
      </c>
      <c r="AJ58">
        <v>3.5</v>
      </c>
      <c r="AK58">
        <v>120</v>
      </c>
      <c r="AL58">
        <v>100</v>
      </c>
      <c r="AM58" s="74">
        <f ca="1">INDIRECT(ADDRESS(11+(MATCH(RIGHT(Table2[[#This Row],[spawner_sku]],LEN(Table2[[#This Row],[spawner_sku]])-FIND("/",Table2[[#This Row],[spawner_sku]])),Table1[Entity Prefab],0)),10,1,1,"Entities"))</f>
        <v>25</v>
      </c>
      <c r="AN58" s="74">
        <f ca="1">ROUND((Table2[[#This Row],[XP]]*Table2[[#This Row],[entity_spawned (AVG)]])*(Table2[[#This Row],[activating_chance]]/100),0)</f>
        <v>88</v>
      </c>
      <c r="AO58" s="71" t="str">
        <f ca="1">INDIRECT(ADDRESS(11+(MATCH(RIGHT(Table2[[#This Row],[spawner_sku]],LEN(Table2[[#This Row],[spawner_sku]])-FIND("/",Table2[[#This Row],[spawner_sku]])),Table28[Entity Prefab],0)),24,1,1,"Entities"))</f>
        <v>no</v>
      </c>
      <c r="AP58" s="71">
        <v>3</v>
      </c>
      <c r="AQ58" s="71">
        <v>4</v>
      </c>
      <c r="AR58" s="71" t="b">
        <v>0</v>
      </c>
      <c r="AT58" t="s">
        <v>376</v>
      </c>
      <c r="AU58">
        <v>5</v>
      </c>
      <c r="AV58">
        <v>200</v>
      </c>
      <c r="AW58">
        <v>30</v>
      </c>
      <c r="AX58" s="74">
        <f ca="1">INDIRECT(ADDRESS(11+(MATCH(RIGHT(Table6[[#This Row],[spawner_sku]],LEN(Table6[[#This Row],[spawner_sku]])-FIND("/",Table6[[#This Row],[spawner_sku]])),Table1[Entity Prefab],0)),10,1,1,"Entities"))</f>
        <v>25</v>
      </c>
      <c r="AY58" s="74">
        <f ca="1">ROUND((Table6[[#This Row],[XP]]*Table6[[#This Row],[entity_spawned (AVG)]])*(Table6[[#This Row],[activating_chance]]/100),0)</f>
        <v>38</v>
      </c>
      <c r="AZ58" s="144" t="str">
        <f ca="1">INDIRECT(ADDRESS(11+(MATCH(RIGHT(Table6[[#This Row],[spawner_sku]],LEN(Table6[[#This Row],[spawner_sku]])-FIND("/",Table6[[#This Row],[spawner_sku]])),Table28[Entity Prefab],0)),24,1,1,"Entities"))</f>
        <v>no</v>
      </c>
      <c r="BA58">
        <v>5</v>
      </c>
      <c r="BB58">
        <v>5</v>
      </c>
      <c r="BC58" t="b">
        <v>1</v>
      </c>
      <c r="BE58" t="s">
        <v>218</v>
      </c>
      <c r="BF58">
        <v>1</v>
      </c>
      <c r="BG58">
        <v>5000</v>
      </c>
      <c r="BH58">
        <v>100</v>
      </c>
      <c r="BI58" s="74">
        <f ca="1">INDIRECT(ADDRESS(11+(MATCH(RIGHT(Table610[[#This Row],[spawner_sku]],LEN(Table610[[#This Row],[spawner_sku]])-FIND("/",Table610[[#This Row],[spawner_sku]])),Table1[Entity Prefab],0)),10,1,1,"Entities"))</f>
        <v>75</v>
      </c>
      <c r="BJ58" s="74">
        <f ca="1">ROUND((Table610[[#This Row],[XP]]*Table610[[#This Row],[entity_spawned (AVG)]])*(Table610[[#This Row],[activating_chance]]/100),0)</f>
        <v>75</v>
      </c>
      <c r="BK58" s="71" t="str">
        <f ca="1">INDIRECT(ADDRESS(11+(MATCH(RIGHT(Table610[[#This Row],[spawner_sku]],LEN(Table610[[#This Row],[spawner_sku]])-FIND("/",Table610[[#This Row],[spawner_sku]])),Table28[Entity Prefab],0)),24,1,1,"Entities"))</f>
        <v>no</v>
      </c>
      <c r="BL58">
        <v>1</v>
      </c>
      <c r="BM58">
        <v>1</v>
      </c>
      <c r="BN58" t="b">
        <v>0</v>
      </c>
      <c r="BP58" t="s">
        <v>215</v>
      </c>
      <c r="BQ58">
        <v>8.5</v>
      </c>
      <c r="BR58">
        <v>220</v>
      </c>
      <c r="BS58">
        <v>100</v>
      </c>
      <c r="BT58" s="74">
        <f ca="1">INDIRECT(ADDRESS(11+(MATCH(RIGHT(Table61011[[#This Row],[spawner_sku]],LEN(Table61011[[#This Row],[spawner_sku]])-FIND("/",Table61011[[#This Row],[spawner_sku]])),Table1[Entity Prefab],0)),10,1,1,"Entities"))</f>
        <v>25</v>
      </c>
      <c r="BU58" s="74">
        <f ca="1">ROUND((Table61011[[#This Row],[XP]]*Table61011[[#This Row],[entity_spawned (AVG)]])*(Table61011[[#This Row],[activating_chance]]/100),0)</f>
        <v>213</v>
      </c>
      <c r="BV58" s="71" t="str">
        <f ca="1">INDIRECT(ADDRESS(11+(MATCH(RIGHT(Table61011[[#This Row],[spawner_sku]],LEN(Table61011[[#This Row],[spawner_sku]])-FIND("/",Table61011[[#This Row],[spawner_sku]])),Table28[Entity Prefab],0)),24,1,1,"Entities"))</f>
        <v>no</v>
      </c>
      <c r="BW58" s="71">
        <v>5</v>
      </c>
      <c r="BX58" s="71">
        <v>12</v>
      </c>
      <c r="BY58" s="71" t="b">
        <v>1</v>
      </c>
      <c r="BZ58" s="71"/>
      <c r="CA58" s="147" t="s">
        <v>570</v>
      </c>
      <c r="CB58">
        <v>1</v>
      </c>
      <c r="CC58">
        <v>120</v>
      </c>
      <c r="CD58">
        <v>100</v>
      </c>
      <c r="CE58" s="74">
        <f ca="1">INDIRECT(ADDRESS(11+(MATCH(RIGHT(Table35[[#This Row],[spawner_sku]],LEN(Table35[[#This Row],[spawner_sku]])-FIND("/",Table35[[#This Row],[spawner_sku]])),Table1[Entity Prefab],0)),10,1,1,"Entities"))</f>
        <v>50</v>
      </c>
      <c r="CF58" s="74">
        <f ca="1">ROUND((Table35[[#This Row],[XP]]*Table35[[#This Row],[entity_spawned (AVG)]])*(Table35[[#This Row],[activating_chance]]/100),0)</f>
        <v>50</v>
      </c>
      <c r="CG58" s="144" t="str">
        <f ca="1">INDIRECT(ADDRESS(11+(MATCH(RIGHT(Table35[[#This Row],[spawner_sku]],LEN(Table35[[#This Row],[spawner_sku]])-FIND("/",Table35[[#This Row],[spawner_sku]])),Table28[Entity Prefab],0)),24,1,1,"Entities"))</f>
        <v>no</v>
      </c>
      <c r="CH58">
        <v>1</v>
      </c>
      <c r="CI58">
        <v>1</v>
      </c>
      <c r="CJ58" s="71" t="b">
        <v>0</v>
      </c>
      <c r="CL58" t="s">
        <v>215</v>
      </c>
      <c r="CM58">
        <v>3</v>
      </c>
      <c r="CN58">
        <v>180</v>
      </c>
      <c r="CO58">
        <v>100</v>
      </c>
      <c r="CP58" s="74">
        <f ca="1">INDIRECT(ADDRESS(11+(MATCH(RIGHT(Table11[[#This Row],[spawner_sku]],LEN(Table11[[#This Row],[spawner_sku]])-FIND("/",Table11[[#This Row],[spawner_sku]])),Table1[Entity Prefab],0)),10,1,1,"Entities"))</f>
        <v>25</v>
      </c>
      <c r="CQ58">
        <f ca="1">ROUND((Table11[[#This Row],[XP]]*Table11[[#This Row],[entity_spawned (AVG)]])*(Table11[[#This Row],[activating_chance]]/100),0)</f>
        <v>75</v>
      </c>
      <c r="CR58" s="144" t="str">
        <f ca="1">INDIRECT(ADDRESS(11+(MATCH(RIGHT(Table11[[#This Row],[spawner_sku]],LEN(Table11[[#This Row],[spawner_sku]])-FIND("/",Table11[[#This Row],[spawner_sku]])),Table28[Entity Prefab],0)),25,1,1,"Entities"))</f>
        <v>no</v>
      </c>
      <c r="CS58" s="71">
        <v>2</v>
      </c>
      <c r="CT58" s="71">
        <v>4</v>
      </c>
      <c r="CU58" s="71" t="b">
        <v>0</v>
      </c>
      <c r="CW58" t="s">
        <v>226</v>
      </c>
      <c r="CX58">
        <v>1</v>
      </c>
      <c r="CY58">
        <v>2000</v>
      </c>
      <c r="CZ58">
        <v>100</v>
      </c>
      <c r="DA58" s="74">
        <f ca="1">INDIRECT(ADDRESS(11+(MATCH(RIGHT(Table12[[#This Row],[spawner_sku]],LEN(Table12[[#This Row],[spawner_sku]])-FIND("/",Table12[[#This Row],[spawner_sku]])),Table1[Entity Prefab],0)),10,1,1,"Entities"))</f>
        <v>175</v>
      </c>
      <c r="DB58" s="74">
        <f ca="1">ROUND((Table12[[#This Row],[XP]]*Table12[[#This Row],[entity_spawned (AVG)]])*(Table12[[#This Row],[activating_chance]]/100),0)</f>
        <v>175</v>
      </c>
      <c r="DC58" s="144" t="str">
        <f ca="1">INDIRECT(ADDRESS(11+(MATCH(RIGHT(Table12[[#This Row],[spawner_sku]],LEN(Table12[[#This Row],[spawner_sku]])-FIND("/",Table12[[#This Row],[spawner_sku]])),Table28[Entity Prefab],0)),25,1,1,"Entities"))</f>
        <v>yes</v>
      </c>
      <c r="DD58" s="71">
        <v>1</v>
      </c>
      <c r="DE58" s="71">
        <v>1</v>
      </c>
      <c r="DF58" s="71" t="b">
        <v>0</v>
      </c>
      <c r="DH58" t="s">
        <v>218</v>
      </c>
      <c r="DI58">
        <v>1</v>
      </c>
      <c r="DJ58">
        <v>5000</v>
      </c>
      <c r="DK58">
        <v>75</v>
      </c>
      <c r="DL58" s="74">
        <f ca="1">INDIRECT(ADDRESS(11+(MATCH(RIGHT(Table13[[#This Row],[spawner_sku]],LEN(Table13[[#This Row],[spawner_sku]])-FIND("/",Table13[[#This Row],[spawner_sku]])),Table1[Entity Prefab],0)),10,1,1,"Entities"))</f>
        <v>75</v>
      </c>
      <c r="DM58" s="74">
        <f ca="1">ROUND((Table13[[#This Row],[XP]]*Table13[[#This Row],[entity_spawned (AVG)]])*(Table13[[#This Row],[activating_chance]]/100),0)</f>
        <v>56</v>
      </c>
      <c r="DN58" s="144" t="str">
        <f ca="1">INDIRECT(ADDRESS(11+(MATCH(RIGHT(Table13[[#This Row],[spawner_sku]],LEN(Table13[[#This Row],[spawner_sku]])-FIND("/",Table13[[#This Row],[spawner_sku]])),Table28[Entity Prefab],0)),25,1,1,"Entities"))</f>
        <v>no</v>
      </c>
      <c r="DO58" s="71">
        <v>1</v>
      </c>
      <c r="DP58" s="71">
        <v>1</v>
      </c>
      <c r="DQ58" s="71" t="b">
        <v>0</v>
      </c>
      <c r="DS58" t="s">
        <v>214</v>
      </c>
      <c r="DT58">
        <v>4</v>
      </c>
      <c r="DU58">
        <v>120</v>
      </c>
      <c r="DV58">
        <v>80</v>
      </c>
      <c r="DW58" s="74">
        <f ca="1">INDIRECT(ADDRESS(11+(MATCH(RIGHT(Table14[[#This Row],[spawner_sku]],LEN(Table14[[#This Row],[spawner_sku]])-FIND("/",Table14[[#This Row],[spawner_sku]])),Table1[Entity Prefab],0)),10,1,1,"Entities"))</f>
        <v>25</v>
      </c>
      <c r="DX58" s="74">
        <f ca="1">ROUND((Table14[[#This Row],[XP]]*Table14[[#This Row],[entity_spawned (AVG)]])*(Table14[[#This Row],[activating_chance]]/100),0)</f>
        <v>80</v>
      </c>
      <c r="DY58" s="144" t="str">
        <f ca="1">INDIRECT(ADDRESS(11+(MATCH(RIGHT(Table14[[#This Row],[spawner_sku]],LEN(Table14[[#This Row],[spawner_sku]])-FIND("/",Table14[[#This Row],[spawner_sku]])),Table28[Entity Prefab],0)),25,1,1,"Entities"))</f>
        <v>no</v>
      </c>
      <c r="DZ58" s="71">
        <v>4</v>
      </c>
      <c r="EA58" s="71">
        <v>4</v>
      </c>
      <c r="EB58" s="71" t="b">
        <v>0</v>
      </c>
      <c r="EC58" s="71"/>
      <c r="ED58" s="147" t="s">
        <v>8142</v>
      </c>
      <c r="EE58" s="71">
        <v>1</v>
      </c>
      <c r="EF58" s="71">
        <v>200</v>
      </c>
      <c r="EG58" s="71">
        <v>80</v>
      </c>
      <c r="EH58" s="71">
        <f ca="1">INDIRECT(ADDRESS(11+(MATCH(RIGHT(Table36[[#This Row],[spawner_sku]],LEN(Table36[[#This Row],[spawner_sku]])-FIND("/",Table36[[#This Row],[spawner_sku]])),Table1[Entity Prefab],0)),10,1,1,"Entities"))</f>
        <v>75</v>
      </c>
      <c r="EI58" s="71">
        <f ca="1">ROUND((Table36[[#This Row],[XP]]*Table36[[#This Row],[entity_spawned (AVG)]])*(Table36[[#This Row],[activating_chance]]/100),0)</f>
        <v>60</v>
      </c>
      <c r="EJ58" s="71" t="str">
        <f ca="1">INDIRECT(ADDRESS(11+(MATCH(RIGHT(Table36[[#This Row],[spawner_sku]],LEN(Table36[[#This Row],[spawner_sku]])-FIND("/",Table36[[#This Row],[spawner_sku]])),Table28[Entity Prefab],0)),25,1,1,"Entities"))</f>
        <v>no</v>
      </c>
      <c r="EK58" s="71">
        <v>1</v>
      </c>
      <c r="EL58" s="71">
        <v>1</v>
      </c>
      <c r="EM58" s="71" t="b">
        <v>0</v>
      </c>
      <c r="EO58" t="s">
        <v>214</v>
      </c>
      <c r="EP58">
        <v>4</v>
      </c>
      <c r="EQ58">
        <v>140</v>
      </c>
      <c r="ER58">
        <v>100</v>
      </c>
      <c r="ES58" s="74">
        <f ca="1">INDIRECT(ADDRESS(11+(MATCH(RIGHT(Table18[[#This Row],[spawner_sku]],LEN(Table18[[#This Row],[spawner_sku]])-FIND("/",Table18[[#This Row],[spawner_sku]])),Table1[Entity Prefab],0)),10,1,1,"Entities"))</f>
        <v>25</v>
      </c>
      <c r="ET58" s="74">
        <f ca="1">ROUND((Table18[[#This Row],[XP]]*Table18[[#This Row],[entity_spawned (AVG)]])*(Table18[[#This Row],[activating_chance]]/100),0)</f>
        <v>100</v>
      </c>
      <c r="EU58" s="74" t="str">
        <f ca="1">INDIRECT(ADDRESS(11+(MATCH(RIGHT(Table18[[#This Row],[spawner_sku]],LEN(Table18[[#This Row],[spawner_sku]])-FIND("/",Table18[[#This Row],[spawner_sku]])),Table28[Entity Prefab],0)),26,1,1,"Entities"))</f>
        <v>no</v>
      </c>
      <c r="EV58">
        <v>4</v>
      </c>
      <c r="EW58">
        <v>4</v>
      </c>
      <c r="EX58" t="b">
        <v>0</v>
      </c>
      <c r="EZ58" t="s">
        <v>214</v>
      </c>
      <c r="FA58">
        <v>3</v>
      </c>
      <c r="FB58">
        <v>90</v>
      </c>
      <c r="FC58">
        <v>100</v>
      </c>
      <c r="FD58" s="74">
        <f ca="1">INDIRECT(ADDRESS(11+(MATCH(RIGHT(Table1820[[#This Row],[spawner_sku]],LEN(Table1820[[#This Row],[spawner_sku]])-FIND("/",Table1820[[#This Row],[spawner_sku]])),Table1[Entity Prefab],0)),10,1,1,"Entities"))</f>
        <v>25</v>
      </c>
      <c r="FE58" s="74">
        <f ca="1">ROUND((Table1820[[#This Row],[XP]]*Table1820[[#This Row],[entity_spawned (AVG)]])*(Table1820[[#This Row],[activating_chance]]/100),0)</f>
        <v>75</v>
      </c>
      <c r="FF58" s="74" t="str">
        <f ca="1">INDIRECT(ADDRESS(11+(MATCH(RIGHT(Table1820[[#This Row],[spawner_sku]],LEN(Table1820[[#This Row],[spawner_sku]])-FIND("/",Table1820[[#This Row],[spawner_sku]])),Table28[Entity Prefab],0)),26,1,1,"Entities"))</f>
        <v>no</v>
      </c>
      <c r="FG58">
        <v>2</v>
      </c>
      <c r="FH58">
        <v>4</v>
      </c>
      <c r="FI58" t="b">
        <v>0</v>
      </c>
      <c r="FK58" t="s">
        <v>2694</v>
      </c>
      <c r="FL58">
        <v>1.5</v>
      </c>
      <c r="FM58">
        <v>60</v>
      </c>
      <c r="FN58">
        <v>100</v>
      </c>
      <c r="FO58">
        <f ca="1">INDIRECT(ADDRESS(11+(MATCH(RIGHT(Table182023[[#This Row],[spawner_sku]],LEN(Table182023[[#This Row],[spawner_sku]])-FIND("/",Table182023[[#This Row],[spawner_sku]])),Table1[Entity Prefab],0)),10,1,1,"Entities"))</f>
        <v>143</v>
      </c>
      <c r="FP58">
        <f ca="1">ROUND((Table182023[[#This Row],[XP]]*Table182023[[#This Row],[entity_spawned (AVG)]])*(Table182023[[#This Row],[activating_chance]]/100),0)</f>
        <v>215</v>
      </c>
      <c r="FQ58" t="str">
        <f ca="1">INDIRECT(ADDRESS(11+(MATCH(RIGHT(Table182023[[#This Row],[spawner_sku]],LEN(Table182023[[#This Row],[spawner_sku]])-FIND("/",Table182023[[#This Row],[spawner_sku]])),Table28[Entity Prefab],0)),26,1,1,"Entities"))</f>
        <v>no</v>
      </c>
      <c r="FR58">
        <v>1</v>
      </c>
      <c r="FS58">
        <v>2</v>
      </c>
      <c r="FT58" t="b">
        <v>0</v>
      </c>
      <c r="FV58" t="s">
        <v>233</v>
      </c>
      <c r="FW58">
        <v>1</v>
      </c>
      <c r="FX58">
        <v>500</v>
      </c>
      <c r="FY58">
        <v>85</v>
      </c>
      <c r="FZ58" s="74">
        <f ca="1">INDIRECT(ADDRESS(11+(MATCH(RIGHT(Table18202324[[#This Row],[spawner_sku]],LEN(Table18202324[[#This Row],[spawner_sku]])-FIND("/",Table18202324[[#This Row],[spawner_sku]])),Table1[Entity Prefab],0)),10,1,1,"Entities"))</f>
        <v>25</v>
      </c>
      <c r="GA58" s="74">
        <f ca="1">ROUND((Table18202324[[#This Row],[XP]]*Table18202324[[#This Row],[entity_spawned (AVG)]])*(Table18202324[[#This Row],[activating_chance]]/100),0)</f>
        <v>21</v>
      </c>
      <c r="GB58" s="74" t="str">
        <f ca="1">INDIRECT(ADDRESS(11+(MATCH(RIGHT(Table18202324[[#This Row],[spawner_sku]],LEN(Table18202324[[#This Row],[spawner_sku]])-FIND("/",Table18202324[[#This Row],[spawner_sku]])),Table28[Entity Prefab],0)),26,1,1,"Entities"))</f>
        <v>no</v>
      </c>
      <c r="GC58">
        <v>1</v>
      </c>
      <c r="GD58">
        <v>1</v>
      </c>
      <c r="GE58" t="b">
        <v>0</v>
      </c>
      <c r="GG58" t="s">
        <v>3816</v>
      </c>
      <c r="GH58">
        <v>1</v>
      </c>
      <c r="GI58">
        <v>240</v>
      </c>
      <c r="GJ58">
        <v>100</v>
      </c>
      <c r="GK58">
        <f ca="1">INDIRECT(ADDRESS(11+(MATCH(RIGHT(Table37[[#This Row],[spawner_sku]],LEN(Table37[[#This Row],[spawner_sku]])-FIND("/",Table37[[#This Row],[spawner_sku]])),Table1[Entity Prefab],0)),10,1,1,"Entities"))</f>
        <v>50</v>
      </c>
      <c r="GL58">
        <f ca="1">ROUND((Table37[[#This Row],[XP]]*Table37[[#This Row],[entity_spawned (AVG)]])*(Table37[[#This Row],[activating_chance]]/100),0)</f>
        <v>50</v>
      </c>
      <c r="GM58" t="str">
        <f ca="1">INDIRECT(ADDRESS(11+(MATCH(RIGHT(Table37[[#This Row],[spawner_sku]],LEN(Table37[[#This Row],[spawner_sku]])-FIND("/",Table37[[#This Row],[spawner_sku]])),Table28[Entity Prefab],0)),26,1,1,"Entities"))</f>
        <v>no</v>
      </c>
      <c r="GN58">
        <v>1</v>
      </c>
      <c r="GO58">
        <v>1</v>
      </c>
      <c r="GP58" t="b">
        <v>0</v>
      </c>
    </row>
    <row r="59" spans="2:198" x14ac:dyDescent="0.25">
      <c r="B59" s="72" t="s">
        <v>215</v>
      </c>
      <c r="C59">
        <v>3</v>
      </c>
      <c r="D59">
        <v>140</v>
      </c>
      <c r="E59">
        <v>90</v>
      </c>
      <c r="F59" s="74">
        <f ca="1">INDIRECT(ADDRESS(11+(MATCH(RIGHT(Table245[[#This Row],[spawner_sku]],LEN(Table245[[#This Row],[spawner_sku]])-FIND("/",Table245[[#This Row],[spawner_sku]])),Table1[Entity Prefab],0)),10,1,1,"Entities"))</f>
        <v>25</v>
      </c>
      <c r="G59" s="74">
        <f ca="1">ROUND((Table245[[#This Row],[XP]]*Table245[[#This Row],[entity_spawned (AVG)]])*(Table245[[#This Row],[activating_chance]]/100),0)</f>
        <v>68</v>
      </c>
      <c r="H59" s="71" t="str">
        <f ca="1">INDIRECT(ADDRESS(11+(MATCH(RIGHT(Table245[[#This Row],[spawner_sku]],LEN(Table245[[#This Row],[spawner_sku]])-FIND("/",Table245[[#This Row],[spawner_sku]])),Table28[Entity Prefab],0)),24,1,1,"Entities"))</f>
        <v>no</v>
      </c>
      <c r="I59" s="71">
        <v>2</v>
      </c>
      <c r="J59" s="71">
        <v>4</v>
      </c>
      <c r="K59" s="71" t="b">
        <v>0</v>
      </c>
      <c r="M59" t="s">
        <v>320</v>
      </c>
      <c r="N59">
        <v>1.5</v>
      </c>
      <c r="O59">
        <v>250</v>
      </c>
      <c r="P59">
        <v>100</v>
      </c>
      <c r="Q59" s="74">
        <f ca="1">INDIRECT(ADDRESS(11+(MATCH(RIGHT(Table3[[#This Row],[spawner_sku]],LEN(Table3[[#This Row],[spawner_sku]])-FIND("/",Table3[[#This Row],[spawner_sku]])),Table1[Entity Prefab],0)),10,1,1,"Entities"))</f>
        <v>143</v>
      </c>
      <c r="R59" s="74">
        <f ca="1">ROUND((Table3[[#This Row],[XP]]*Table3[[#This Row],[entity_spawned (AVG)]])*(Table3[[#This Row],[activating_chance]]/100),0)</f>
        <v>215</v>
      </c>
      <c r="S59" t="str">
        <f ca="1">INDIRECT(ADDRESS(11+(MATCH(RIGHT(Table3[[#This Row],[spawner_sku]],LEN(Table3[[#This Row],[spawner_sku]])-FIND("/",Table3[[#This Row],[spawner_sku]])),Table28[Entity Prefab],0)),24,1,1,"Entities"))</f>
        <v>yes</v>
      </c>
      <c r="T59">
        <v>1</v>
      </c>
      <c r="U59">
        <v>2</v>
      </c>
      <c r="V59" t="b">
        <v>0</v>
      </c>
      <c r="W59" s="71"/>
      <c r="X59" t="s">
        <v>465</v>
      </c>
      <c r="Y59">
        <v>1</v>
      </c>
      <c r="Z59">
        <v>110</v>
      </c>
      <c r="AA59">
        <v>100</v>
      </c>
      <c r="AB59" s="74">
        <f ca="1">INDIRECT(ADDRESS(11+(MATCH(RIGHT(Table39[[#This Row],[spawner_sku]],LEN(Table39[[#This Row],[spawner_sku]])-FIND("/",Table39[[#This Row],[spawner_sku]])),Table1[Entity Prefab],0)),10,1,1,"Entities"))</f>
        <v>25</v>
      </c>
      <c r="AC59" s="74">
        <f ca="1">ROUND((Table39[[#This Row],[XP]]*Table39[[#This Row],[entity_spawned (AVG)]])*(Table39[[#This Row],[activating_chance]]/100),0)</f>
        <v>25</v>
      </c>
      <c r="AD59" t="str">
        <f ca="1">INDIRECT(ADDRESS(11+(MATCH(RIGHT(Table39[[#This Row],[spawner_sku]],LEN(Table39[[#This Row],[spawner_sku]])-FIND("/",Table39[[#This Row],[spawner_sku]])),Table28[Entity Prefab],0)),24,1,1,"Entities"))</f>
        <v>no</v>
      </c>
      <c r="AE59">
        <v>1</v>
      </c>
      <c r="AF59">
        <v>1</v>
      </c>
      <c r="AG59" t="b">
        <v>0</v>
      </c>
      <c r="AI59" t="s">
        <v>215</v>
      </c>
      <c r="AJ59">
        <v>6.5</v>
      </c>
      <c r="AK59">
        <v>160</v>
      </c>
      <c r="AL59">
        <v>100</v>
      </c>
      <c r="AM59" s="74">
        <f ca="1">INDIRECT(ADDRESS(11+(MATCH(RIGHT(Table2[[#This Row],[spawner_sku]],LEN(Table2[[#This Row],[spawner_sku]])-FIND("/",Table2[[#This Row],[spawner_sku]])),Table1[Entity Prefab],0)),10,1,1,"Entities"))</f>
        <v>25</v>
      </c>
      <c r="AN59" s="74">
        <f ca="1">ROUND((Table2[[#This Row],[XP]]*Table2[[#This Row],[entity_spawned (AVG)]])*(Table2[[#This Row],[activating_chance]]/100),0)</f>
        <v>163</v>
      </c>
      <c r="AO59" s="71" t="str">
        <f ca="1">INDIRECT(ADDRESS(11+(MATCH(RIGHT(Table2[[#This Row],[spawner_sku]],LEN(Table2[[#This Row],[spawner_sku]])-FIND("/",Table2[[#This Row],[spawner_sku]])),Table28[Entity Prefab],0)),24,1,1,"Entities"))</f>
        <v>no</v>
      </c>
      <c r="AP59" s="71">
        <v>5</v>
      </c>
      <c r="AQ59" s="71">
        <v>8</v>
      </c>
      <c r="AR59" s="71" t="b">
        <v>1</v>
      </c>
      <c r="AT59" t="s">
        <v>376</v>
      </c>
      <c r="AU59">
        <v>2.5</v>
      </c>
      <c r="AV59">
        <v>200</v>
      </c>
      <c r="AW59">
        <v>80</v>
      </c>
      <c r="AX59" s="74">
        <f ca="1">INDIRECT(ADDRESS(11+(MATCH(RIGHT(Table6[[#This Row],[spawner_sku]],LEN(Table6[[#This Row],[spawner_sku]])-FIND("/",Table6[[#This Row],[spawner_sku]])),Table1[Entity Prefab],0)),10,1,1,"Entities"))</f>
        <v>25</v>
      </c>
      <c r="AY59" s="74">
        <f ca="1">ROUND((Table6[[#This Row],[XP]]*Table6[[#This Row],[entity_spawned (AVG)]])*(Table6[[#This Row],[activating_chance]]/100),0)</f>
        <v>50</v>
      </c>
      <c r="AZ59" s="144" t="str">
        <f ca="1">INDIRECT(ADDRESS(11+(MATCH(RIGHT(Table6[[#This Row],[spawner_sku]],LEN(Table6[[#This Row],[spawner_sku]])-FIND("/",Table6[[#This Row],[spawner_sku]])),Table28[Entity Prefab],0)),24,1,1,"Entities"))</f>
        <v>no</v>
      </c>
      <c r="BA59">
        <v>2</v>
      </c>
      <c r="BB59">
        <v>3</v>
      </c>
      <c r="BC59" t="b">
        <v>0</v>
      </c>
      <c r="BE59" t="s">
        <v>219</v>
      </c>
      <c r="BF59">
        <v>1.5</v>
      </c>
      <c r="BG59">
        <v>250</v>
      </c>
      <c r="BH59">
        <v>100</v>
      </c>
      <c r="BI59" s="74">
        <f ca="1">INDIRECT(ADDRESS(11+(MATCH(RIGHT(Table610[[#This Row],[spawner_sku]],LEN(Table610[[#This Row],[spawner_sku]])-FIND("/",Table610[[#This Row],[spawner_sku]])),Table1[Entity Prefab],0)),10,1,1,"Entities"))</f>
        <v>143</v>
      </c>
      <c r="BJ59" s="74">
        <f ca="1">ROUND((Table610[[#This Row],[XP]]*Table610[[#This Row],[entity_spawned (AVG)]])*(Table610[[#This Row],[activating_chance]]/100),0)</f>
        <v>215</v>
      </c>
      <c r="BK59" s="71" t="str">
        <f ca="1">INDIRECT(ADDRESS(11+(MATCH(RIGHT(Table610[[#This Row],[spawner_sku]],LEN(Table610[[#This Row],[spawner_sku]])-FIND("/",Table610[[#This Row],[spawner_sku]])),Table28[Entity Prefab],0)),24,1,1,"Entities"))</f>
        <v>yes</v>
      </c>
      <c r="BL59">
        <v>1</v>
      </c>
      <c r="BM59">
        <v>2</v>
      </c>
      <c r="BN59" t="b">
        <v>0</v>
      </c>
      <c r="BP59" t="s">
        <v>215</v>
      </c>
      <c r="BQ59">
        <v>5.5</v>
      </c>
      <c r="BR59">
        <v>220</v>
      </c>
      <c r="BS59">
        <v>80</v>
      </c>
      <c r="BT59" s="74">
        <f ca="1">INDIRECT(ADDRESS(11+(MATCH(RIGHT(Table61011[[#This Row],[spawner_sku]],LEN(Table61011[[#This Row],[spawner_sku]])-FIND("/",Table61011[[#This Row],[spawner_sku]])),Table1[Entity Prefab],0)),10,1,1,"Entities"))</f>
        <v>25</v>
      </c>
      <c r="BU59" s="74">
        <f ca="1">ROUND((Table61011[[#This Row],[XP]]*Table61011[[#This Row],[entity_spawned (AVG)]])*(Table61011[[#This Row],[activating_chance]]/100),0)</f>
        <v>110</v>
      </c>
      <c r="BV59" s="71" t="str">
        <f ca="1">INDIRECT(ADDRESS(11+(MATCH(RIGHT(Table61011[[#This Row],[spawner_sku]],LEN(Table61011[[#This Row],[spawner_sku]])-FIND("/",Table61011[[#This Row],[spawner_sku]])),Table28[Entity Prefab],0)),24,1,1,"Entities"))</f>
        <v>no</v>
      </c>
      <c r="BW59" s="71">
        <v>5</v>
      </c>
      <c r="BX59" s="71">
        <v>6</v>
      </c>
      <c r="BY59" s="71" t="b">
        <v>1</v>
      </c>
      <c r="BZ59" s="71"/>
      <c r="CA59" s="147" t="s">
        <v>570</v>
      </c>
      <c r="CB59">
        <v>1</v>
      </c>
      <c r="CC59">
        <v>120</v>
      </c>
      <c r="CD59">
        <v>100</v>
      </c>
      <c r="CE59" s="74">
        <f ca="1">INDIRECT(ADDRESS(11+(MATCH(RIGHT(Table35[[#This Row],[spawner_sku]],LEN(Table35[[#This Row],[spawner_sku]])-FIND("/",Table35[[#This Row],[spawner_sku]])),Table1[Entity Prefab],0)),10,1,1,"Entities"))</f>
        <v>50</v>
      </c>
      <c r="CF59" s="74">
        <f ca="1">ROUND((Table35[[#This Row],[XP]]*Table35[[#This Row],[entity_spawned (AVG)]])*(Table35[[#This Row],[activating_chance]]/100),0)</f>
        <v>50</v>
      </c>
      <c r="CG59" s="144" t="str">
        <f ca="1">INDIRECT(ADDRESS(11+(MATCH(RIGHT(Table35[[#This Row],[spawner_sku]],LEN(Table35[[#This Row],[spawner_sku]])-FIND("/",Table35[[#This Row],[spawner_sku]])),Table28[Entity Prefab],0)),24,1,1,"Entities"))</f>
        <v>no</v>
      </c>
      <c r="CH59">
        <v>1</v>
      </c>
      <c r="CI59">
        <v>1</v>
      </c>
      <c r="CJ59" s="71" t="b">
        <v>0</v>
      </c>
      <c r="CL59" t="s">
        <v>215</v>
      </c>
      <c r="CM59">
        <v>7.5</v>
      </c>
      <c r="CN59">
        <v>190</v>
      </c>
      <c r="CO59">
        <v>100</v>
      </c>
      <c r="CP59" s="74">
        <f ca="1">INDIRECT(ADDRESS(11+(MATCH(RIGHT(Table11[[#This Row],[spawner_sku]],LEN(Table11[[#This Row],[spawner_sku]])-FIND("/",Table11[[#This Row],[spawner_sku]])),Table1[Entity Prefab],0)),10,1,1,"Entities"))</f>
        <v>25</v>
      </c>
      <c r="CQ59">
        <f ca="1">ROUND((Table11[[#This Row],[XP]]*Table11[[#This Row],[entity_spawned (AVG)]])*(Table11[[#This Row],[activating_chance]]/100),0)</f>
        <v>188</v>
      </c>
      <c r="CR59" s="144" t="str">
        <f ca="1">INDIRECT(ADDRESS(11+(MATCH(RIGHT(Table11[[#This Row],[spawner_sku]],LEN(Table11[[#This Row],[spawner_sku]])-FIND("/",Table11[[#This Row],[spawner_sku]])),Table28[Entity Prefab],0)),25,1,1,"Entities"))</f>
        <v>no</v>
      </c>
      <c r="CS59" s="71">
        <v>6</v>
      </c>
      <c r="CT59" s="71">
        <v>9</v>
      </c>
      <c r="CU59" s="71" t="b">
        <v>1</v>
      </c>
      <c r="CW59" t="s">
        <v>226</v>
      </c>
      <c r="CX59">
        <v>1</v>
      </c>
      <c r="CY59">
        <v>2000</v>
      </c>
      <c r="CZ59">
        <v>100</v>
      </c>
      <c r="DA59" s="74">
        <f ca="1">INDIRECT(ADDRESS(11+(MATCH(RIGHT(Table12[[#This Row],[spawner_sku]],LEN(Table12[[#This Row],[spawner_sku]])-FIND("/",Table12[[#This Row],[spawner_sku]])),Table1[Entity Prefab],0)),10,1,1,"Entities"))</f>
        <v>175</v>
      </c>
      <c r="DB59" s="74">
        <f ca="1">ROUND((Table12[[#This Row],[XP]]*Table12[[#This Row],[entity_spawned (AVG)]])*(Table12[[#This Row],[activating_chance]]/100),0)</f>
        <v>175</v>
      </c>
      <c r="DC59" s="144" t="str">
        <f ca="1">INDIRECT(ADDRESS(11+(MATCH(RIGHT(Table12[[#This Row],[spawner_sku]],LEN(Table12[[#This Row],[spawner_sku]])-FIND("/",Table12[[#This Row],[spawner_sku]])),Table28[Entity Prefab],0)),25,1,1,"Entities"))</f>
        <v>yes</v>
      </c>
      <c r="DD59" s="71">
        <v>1</v>
      </c>
      <c r="DE59" s="71">
        <v>1</v>
      </c>
      <c r="DF59" s="71" t="b">
        <v>0</v>
      </c>
      <c r="DH59" t="s">
        <v>219</v>
      </c>
      <c r="DI59">
        <v>1.5</v>
      </c>
      <c r="DJ59">
        <v>250</v>
      </c>
      <c r="DK59">
        <v>100</v>
      </c>
      <c r="DL59" s="74">
        <f ca="1">INDIRECT(ADDRESS(11+(MATCH(RIGHT(Table13[[#This Row],[spawner_sku]],LEN(Table13[[#This Row],[spawner_sku]])-FIND("/",Table13[[#This Row],[spawner_sku]])),Table1[Entity Prefab],0)),10,1,1,"Entities"))</f>
        <v>143</v>
      </c>
      <c r="DM59" s="74">
        <f ca="1">ROUND((Table13[[#This Row],[XP]]*Table13[[#This Row],[entity_spawned (AVG)]])*(Table13[[#This Row],[activating_chance]]/100),0)</f>
        <v>215</v>
      </c>
      <c r="DN59" s="144" t="str">
        <f ca="1">INDIRECT(ADDRESS(11+(MATCH(RIGHT(Table13[[#This Row],[spawner_sku]],LEN(Table13[[#This Row],[spawner_sku]])-FIND("/",Table13[[#This Row],[spawner_sku]])),Table28[Entity Prefab],0)),25,1,1,"Entities"))</f>
        <v>yes</v>
      </c>
      <c r="DO59" s="71">
        <v>1</v>
      </c>
      <c r="DP59" s="71">
        <v>2</v>
      </c>
      <c r="DQ59" s="71" t="b">
        <v>0</v>
      </c>
      <c r="DS59" t="s">
        <v>214</v>
      </c>
      <c r="DT59">
        <v>6</v>
      </c>
      <c r="DU59">
        <v>200</v>
      </c>
      <c r="DV59">
        <v>100</v>
      </c>
      <c r="DW59" s="74">
        <f ca="1">INDIRECT(ADDRESS(11+(MATCH(RIGHT(Table14[[#This Row],[spawner_sku]],LEN(Table14[[#This Row],[spawner_sku]])-FIND("/",Table14[[#This Row],[spawner_sku]])),Table1[Entity Prefab],0)),10,1,1,"Entities"))</f>
        <v>25</v>
      </c>
      <c r="DX59" s="74">
        <f ca="1">ROUND((Table14[[#This Row],[XP]]*Table14[[#This Row],[entity_spawned (AVG)]])*(Table14[[#This Row],[activating_chance]]/100),0)</f>
        <v>150</v>
      </c>
      <c r="DY59" s="144" t="str">
        <f ca="1">INDIRECT(ADDRESS(11+(MATCH(RIGHT(Table14[[#This Row],[spawner_sku]],LEN(Table14[[#This Row],[spawner_sku]])-FIND("/",Table14[[#This Row],[spawner_sku]])),Table28[Entity Prefab],0)),25,1,1,"Entities"))</f>
        <v>no</v>
      </c>
      <c r="DZ59" s="71">
        <v>5</v>
      </c>
      <c r="EA59" s="71">
        <v>7</v>
      </c>
      <c r="EB59" s="71" t="b">
        <v>1</v>
      </c>
      <c r="EC59" s="71"/>
      <c r="ED59" s="147" t="s">
        <v>8142</v>
      </c>
      <c r="EE59" s="71">
        <v>1</v>
      </c>
      <c r="EF59" s="71">
        <v>200</v>
      </c>
      <c r="EG59" s="71">
        <v>80</v>
      </c>
      <c r="EH59" s="71">
        <f ca="1">INDIRECT(ADDRESS(11+(MATCH(RIGHT(Table36[[#This Row],[spawner_sku]],LEN(Table36[[#This Row],[spawner_sku]])-FIND("/",Table36[[#This Row],[spawner_sku]])),Table1[Entity Prefab],0)),10,1,1,"Entities"))</f>
        <v>75</v>
      </c>
      <c r="EI59" s="71">
        <f ca="1">ROUND((Table36[[#This Row],[XP]]*Table36[[#This Row],[entity_spawned (AVG)]])*(Table36[[#This Row],[activating_chance]]/100),0)</f>
        <v>60</v>
      </c>
      <c r="EJ59" s="71" t="str">
        <f ca="1">INDIRECT(ADDRESS(11+(MATCH(RIGHT(Table36[[#This Row],[spawner_sku]],LEN(Table36[[#This Row],[spawner_sku]])-FIND("/",Table36[[#This Row],[spawner_sku]])),Table28[Entity Prefab],0)),25,1,1,"Entities"))</f>
        <v>no</v>
      </c>
      <c r="EK59" s="71">
        <v>1</v>
      </c>
      <c r="EL59" s="71">
        <v>1</v>
      </c>
      <c r="EM59" s="71" t="b">
        <v>0</v>
      </c>
      <c r="EO59" t="s">
        <v>214</v>
      </c>
      <c r="EP59">
        <v>10</v>
      </c>
      <c r="EQ59">
        <v>160</v>
      </c>
      <c r="ER59">
        <v>100</v>
      </c>
      <c r="ES59" s="74">
        <f ca="1">INDIRECT(ADDRESS(11+(MATCH(RIGHT(Table18[[#This Row],[spawner_sku]],LEN(Table18[[#This Row],[spawner_sku]])-FIND("/",Table18[[#This Row],[spawner_sku]])),Table1[Entity Prefab],0)),10,1,1,"Entities"))</f>
        <v>25</v>
      </c>
      <c r="ET59" s="74">
        <f ca="1">ROUND((Table18[[#This Row],[XP]]*Table18[[#This Row],[entity_spawned (AVG)]])*(Table18[[#This Row],[activating_chance]]/100),0)</f>
        <v>250</v>
      </c>
      <c r="EU59" s="74" t="str">
        <f ca="1">INDIRECT(ADDRESS(11+(MATCH(RIGHT(Table18[[#This Row],[spawner_sku]],LEN(Table18[[#This Row],[spawner_sku]])-FIND("/",Table18[[#This Row],[spawner_sku]])),Table28[Entity Prefab],0)),26,1,1,"Entities"))</f>
        <v>no</v>
      </c>
      <c r="EV59">
        <v>8</v>
      </c>
      <c r="EW59">
        <v>12</v>
      </c>
      <c r="EX59" t="b">
        <v>1</v>
      </c>
      <c r="EZ59" t="s">
        <v>214</v>
      </c>
      <c r="FA59">
        <v>5.5</v>
      </c>
      <c r="FB59">
        <v>160</v>
      </c>
      <c r="FC59">
        <v>100</v>
      </c>
      <c r="FD59" s="74">
        <f ca="1">INDIRECT(ADDRESS(11+(MATCH(RIGHT(Table1820[[#This Row],[spawner_sku]],LEN(Table1820[[#This Row],[spawner_sku]])-FIND("/",Table1820[[#This Row],[spawner_sku]])),Table1[Entity Prefab],0)),10,1,1,"Entities"))</f>
        <v>25</v>
      </c>
      <c r="FE59" s="74">
        <f ca="1">ROUND((Table1820[[#This Row],[XP]]*Table1820[[#This Row],[entity_spawned (AVG)]])*(Table1820[[#This Row],[activating_chance]]/100),0)</f>
        <v>138</v>
      </c>
      <c r="FF59" s="74" t="str">
        <f ca="1">INDIRECT(ADDRESS(11+(MATCH(RIGHT(Table1820[[#This Row],[spawner_sku]],LEN(Table1820[[#This Row],[spawner_sku]])-FIND("/",Table1820[[#This Row],[spawner_sku]])),Table28[Entity Prefab],0)),26,1,1,"Entities"))</f>
        <v>no</v>
      </c>
      <c r="FG59">
        <v>5</v>
      </c>
      <c r="FH59">
        <v>6</v>
      </c>
      <c r="FI59" t="b">
        <v>1</v>
      </c>
      <c r="FK59" t="s">
        <v>2694</v>
      </c>
      <c r="FL59">
        <v>1.5</v>
      </c>
      <c r="FM59">
        <v>60</v>
      </c>
      <c r="FN59">
        <v>100</v>
      </c>
      <c r="FO59">
        <f ca="1">INDIRECT(ADDRESS(11+(MATCH(RIGHT(Table182023[[#This Row],[spawner_sku]],LEN(Table182023[[#This Row],[spawner_sku]])-FIND("/",Table182023[[#This Row],[spawner_sku]])),Table1[Entity Prefab],0)),10,1,1,"Entities"))</f>
        <v>143</v>
      </c>
      <c r="FP59">
        <f ca="1">ROUND((Table182023[[#This Row],[XP]]*Table182023[[#This Row],[entity_spawned (AVG)]])*(Table182023[[#This Row],[activating_chance]]/100),0)</f>
        <v>215</v>
      </c>
      <c r="FQ59" t="str">
        <f ca="1">INDIRECT(ADDRESS(11+(MATCH(RIGHT(Table182023[[#This Row],[spawner_sku]],LEN(Table182023[[#This Row],[spawner_sku]])-FIND("/",Table182023[[#This Row],[spawner_sku]])),Table28[Entity Prefab],0)),26,1,1,"Entities"))</f>
        <v>no</v>
      </c>
      <c r="FR59">
        <v>1</v>
      </c>
      <c r="FS59">
        <v>2</v>
      </c>
      <c r="FT59" t="b">
        <v>0</v>
      </c>
      <c r="FV59" t="s">
        <v>233</v>
      </c>
      <c r="FW59">
        <v>1</v>
      </c>
      <c r="FX59">
        <v>500</v>
      </c>
      <c r="FY59">
        <v>100</v>
      </c>
      <c r="FZ59" s="74">
        <f ca="1">INDIRECT(ADDRESS(11+(MATCH(RIGHT(Table18202324[[#This Row],[spawner_sku]],LEN(Table18202324[[#This Row],[spawner_sku]])-FIND("/",Table18202324[[#This Row],[spawner_sku]])),Table1[Entity Prefab],0)),10,1,1,"Entities"))</f>
        <v>25</v>
      </c>
      <c r="GA59" s="74">
        <f ca="1">ROUND((Table18202324[[#This Row],[XP]]*Table18202324[[#This Row],[entity_spawned (AVG)]])*(Table18202324[[#This Row],[activating_chance]]/100),0)</f>
        <v>25</v>
      </c>
      <c r="GB59" s="74" t="str">
        <f ca="1">INDIRECT(ADDRESS(11+(MATCH(RIGHT(Table18202324[[#This Row],[spawner_sku]],LEN(Table18202324[[#This Row],[spawner_sku]])-FIND("/",Table18202324[[#This Row],[spawner_sku]])),Table28[Entity Prefab],0)),26,1,1,"Entities"))</f>
        <v>no</v>
      </c>
      <c r="GC59">
        <v>1</v>
      </c>
      <c r="GD59">
        <v>1</v>
      </c>
      <c r="GE59" t="b">
        <v>0</v>
      </c>
      <c r="GG59" t="s">
        <v>3816</v>
      </c>
      <c r="GH59">
        <v>1</v>
      </c>
      <c r="GI59">
        <v>240</v>
      </c>
      <c r="GJ59">
        <v>100</v>
      </c>
      <c r="GK59">
        <f ca="1">INDIRECT(ADDRESS(11+(MATCH(RIGHT(Table37[[#This Row],[spawner_sku]],LEN(Table37[[#This Row],[spawner_sku]])-FIND("/",Table37[[#This Row],[spawner_sku]])),Table1[Entity Prefab],0)),10,1,1,"Entities"))</f>
        <v>50</v>
      </c>
      <c r="GL59">
        <f ca="1">ROUND((Table37[[#This Row],[XP]]*Table37[[#This Row],[entity_spawned (AVG)]])*(Table37[[#This Row],[activating_chance]]/100),0)</f>
        <v>50</v>
      </c>
      <c r="GM59" t="str">
        <f ca="1">INDIRECT(ADDRESS(11+(MATCH(RIGHT(Table37[[#This Row],[spawner_sku]],LEN(Table37[[#This Row],[spawner_sku]])-FIND("/",Table37[[#This Row],[spawner_sku]])),Table28[Entity Prefab],0)),26,1,1,"Entities"))</f>
        <v>no</v>
      </c>
      <c r="GN59">
        <v>1</v>
      </c>
      <c r="GO59">
        <v>1</v>
      </c>
      <c r="GP59" t="b">
        <v>0</v>
      </c>
    </row>
    <row r="60" spans="2:198" x14ac:dyDescent="0.25">
      <c r="B60" s="72" t="s">
        <v>215</v>
      </c>
      <c r="C60">
        <v>7.5</v>
      </c>
      <c r="D60">
        <v>170</v>
      </c>
      <c r="E60">
        <v>100</v>
      </c>
      <c r="F60" s="74">
        <f ca="1">INDIRECT(ADDRESS(11+(MATCH(RIGHT(Table245[[#This Row],[spawner_sku]],LEN(Table245[[#This Row],[spawner_sku]])-FIND("/",Table245[[#This Row],[spawner_sku]])),Table1[Entity Prefab],0)),10,1,1,"Entities"))</f>
        <v>25</v>
      </c>
      <c r="G60" s="74">
        <f ca="1">ROUND((Table245[[#This Row],[XP]]*Table245[[#This Row],[entity_spawned (AVG)]])*(Table245[[#This Row],[activating_chance]]/100),0)</f>
        <v>188</v>
      </c>
      <c r="H60" s="71" t="str">
        <f ca="1">INDIRECT(ADDRESS(11+(MATCH(RIGHT(Table245[[#This Row],[spawner_sku]],LEN(Table245[[#This Row],[spawner_sku]])-FIND("/",Table245[[#This Row],[spawner_sku]])),Table28[Entity Prefab],0)),24,1,1,"Entities"))</f>
        <v>no</v>
      </c>
      <c r="I60" s="71">
        <v>5</v>
      </c>
      <c r="J60" s="71">
        <v>10</v>
      </c>
      <c r="K60" s="71" t="b">
        <v>1</v>
      </c>
      <c r="M60" t="s">
        <v>320</v>
      </c>
      <c r="N60">
        <v>1</v>
      </c>
      <c r="O60">
        <v>250</v>
      </c>
      <c r="P60">
        <v>100</v>
      </c>
      <c r="Q60" s="74">
        <f ca="1">INDIRECT(ADDRESS(11+(MATCH(RIGHT(Table3[[#This Row],[spawner_sku]],LEN(Table3[[#This Row],[spawner_sku]])-FIND("/",Table3[[#This Row],[spawner_sku]])),Table1[Entity Prefab],0)),10,1,1,"Entities"))</f>
        <v>143</v>
      </c>
      <c r="R60" s="74">
        <f ca="1">ROUND((Table3[[#This Row],[XP]]*Table3[[#This Row],[entity_spawned (AVG)]])*(Table3[[#This Row],[activating_chance]]/100),0)</f>
        <v>143</v>
      </c>
      <c r="S60" t="str">
        <f ca="1">INDIRECT(ADDRESS(11+(MATCH(RIGHT(Table3[[#This Row],[spawner_sku]],LEN(Table3[[#This Row],[spawner_sku]])-FIND("/",Table3[[#This Row],[spawner_sku]])),Table28[Entity Prefab],0)),24,1,1,"Entities"))</f>
        <v>yes</v>
      </c>
      <c r="T60">
        <v>1</v>
      </c>
      <c r="U60">
        <v>1</v>
      </c>
      <c r="V60" t="b">
        <v>0</v>
      </c>
      <c r="W60" s="71"/>
      <c r="X60" t="s">
        <v>466</v>
      </c>
      <c r="Y60">
        <v>1</v>
      </c>
      <c r="Z60">
        <v>110</v>
      </c>
      <c r="AA60">
        <v>100</v>
      </c>
      <c r="AB60" s="74">
        <f ca="1">INDIRECT(ADDRESS(11+(MATCH(RIGHT(Table39[[#This Row],[spawner_sku]],LEN(Table39[[#This Row],[spawner_sku]])-FIND("/",Table39[[#This Row],[spawner_sku]])),Table1[Entity Prefab],0)),10,1,1,"Entities"))</f>
        <v>75</v>
      </c>
      <c r="AC60" s="74">
        <f ca="1">ROUND((Table39[[#This Row],[XP]]*Table39[[#This Row],[entity_spawned (AVG)]])*(Table39[[#This Row],[activating_chance]]/100),0)</f>
        <v>75</v>
      </c>
      <c r="AD60" t="str">
        <f ca="1">INDIRECT(ADDRESS(11+(MATCH(RIGHT(Table39[[#This Row],[spawner_sku]],LEN(Table39[[#This Row],[spawner_sku]])-FIND("/",Table39[[#This Row],[spawner_sku]])),Table28[Entity Prefab],0)),24,1,1,"Entities"))</f>
        <v>no</v>
      </c>
      <c r="AE60">
        <v>1</v>
      </c>
      <c r="AF60">
        <v>1</v>
      </c>
      <c r="AG60" t="b">
        <v>0</v>
      </c>
      <c r="AI60" t="s">
        <v>215</v>
      </c>
      <c r="AJ60">
        <v>2</v>
      </c>
      <c r="AK60">
        <v>110</v>
      </c>
      <c r="AL60">
        <v>100</v>
      </c>
      <c r="AM60" s="74">
        <f ca="1">INDIRECT(ADDRESS(11+(MATCH(RIGHT(Table2[[#This Row],[spawner_sku]],LEN(Table2[[#This Row],[spawner_sku]])-FIND("/",Table2[[#This Row],[spawner_sku]])),Table1[Entity Prefab],0)),10,1,1,"Entities"))</f>
        <v>25</v>
      </c>
      <c r="AN60" s="74">
        <f ca="1">ROUND((Table2[[#This Row],[XP]]*Table2[[#This Row],[entity_spawned (AVG)]])*(Table2[[#This Row],[activating_chance]]/100),0)</f>
        <v>50</v>
      </c>
      <c r="AO60" s="71" t="str">
        <f ca="1">INDIRECT(ADDRESS(11+(MATCH(RIGHT(Table2[[#This Row],[spawner_sku]],LEN(Table2[[#This Row],[spawner_sku]])-FIND("/",Table2[[#This Row],[spawner_sku]])),Table28[Entity Prefab],0)),24,1,1,"Entities"))</f>
        <v>no</v>
      </c>
      <c r="AP60" s="71">
        <v>1</v>
      </c>
      <c r="AQ60" s="71">
        <v>3</v>
      </c>
      <c r="AR60" s="71" t="b">
        <v>0</v>
      </c>
      <c r="AT60" t="s">
        <v>376</v>
      </c>
      <c r="AU60">
        <v>2</v>
      </c>
      <c r="AV60">
        <v>200</v>
      </c>
      <c r="AW60">
        <v>100</v>
      </c>
      <c r="AX60" s="74">
        <f ca="1">INDIRECT(ADDRESS(11+(MATCH(RIGHT(Table6[[#This Row],[spawner_sku]],LEN(Table6[[#This Row],[spawner_sku]])-FIND("/",Table6[[#This Row],[spawner_sku]])),Table1[Entity Prefab],0)),10,1,1,"Entities"))</f>
        <v>25</v>
      </c>
      <c r="AY60" s="74">
        <f ca="1">ROUND((Table6[[#This Row],[XP]]*Table6[[#This Row],[entity_spawned (AVG)]])*(Table6[[#This Row],[activating_chance]]/100),0)</f>
        <v>50</v>
      </c>
      <c r="AZ60" s="144" t="str">
        <f ca="1">INDIRECT(ADDRESS(11+(MATCH(RIGHT(Table6[[#This Row],[spawner_sku]],LEN(Table6[[#This Row],[spawner_sku]])-FIND("/",Table6[[#This Row],[spawner_sku]])),Table28[Entity Prefab],0)),24,1,1,"Entities"))</f>
        <v>no</v>
      </c>
      <c r="BA60">
        <v>1</v>
      </c>
      <c r="BB60">
        <v>3</v>
      </c>
      <c r="BC60" t="b">
        <v>0</v>
      </c>
      <c r="BE60" t="s">
        <v>219</v>
      </c>
      <c r="BF60">
        <v>1.5</v>
      </c>
      <c r="BG60">
        <v>250</v>
      </c>
      <c r="BH60">
        <v>100</v>
      </c>
      <c r="BI60" s="74">
        <f ca="1">INDIRECT(ADDRESS(11+(MATCH(RIGHT(Table610[[#This Row],[spawner_sku]],LEN(Table610[[#This Row],[spawner_sku]])-FIND("/",Table610[[#This Row],[spawner_sku]])),Table1[Entity Prefab],0)),10,1,1,"Entities"))</f>
        <v>143</v>
      </c>
      <c r="BJ60" s="74">
        <f ca="1">ROUND((Table610[[#This Row],[XP]]*Table610[[#This Row],[entity_spawned (AVG)]])*(Table610[[#This Row],[activating_chance]]/100),0)</f>
        <v>215</v>
      </c>
      <c r="BK60" s="71" t="str">
        <f ca="1">INDIRECT(ADDRESS(11+(MATCH(RIGHT(Table610[[#This Row],[spawner_sku]],LEN(Table610[[#This Row],[spawner_sku]])-FIND("/",Table610[[#This Row],[spawner_sku]])),Table28[Entity Prefab],0)),24,1,1,"Entities"))</f>
        <v>yes</v>
      </c>
      <c r="BL60">
        <v>1</v>
      </c>
      <c r="BM60">
        <v>2</v>
      </c>
      <c r="BN60" t="b">
        <v>0</v>
      </c>
      <c r="BP60" t="s">
        <v>215</v>
      </c>
      <c r="BQ60">
        <v>5.5</v>
      </c>
      <c r="BR60">
        <v>200</v>
      </c>
      <c r="BS60">
        <v>100</v>
      </c>
      <c r="BT60" s="74">
        <f ca="1">INDIRECT(ADDRESS(11+(MATCH(RIGHT(Table61011[[#This Row],[spawner_sku]],LEN(Table61011[[#This Row],[spawner_sku]])-FIND("/",Table61011[[#This Row],[spawner_sku]])),Table1[Entity Prefab],0)),10,1,1,"Entities"))</f>
        <v>25</v>
      </c>
      <c r="BU60" s="74">
        <f ca="1">ROUND((Table61011[[#This Row],[XP]]*Table61011[[#This Row],[entity_spawned (AVG)]])*(Table61011[[#This Row],[activating_chance]]/100),0)</f>
        <v>138</v>
      </c>
      <c r="BV60" s="71" t="str">
        <f ca="1">INDIRECT(ADDRESS(11+(MATCH(RIGHT(Table61011[[#This Row],[spawner_sku]],LEN(Table61011[[#This Row],[spawner_sku]])-FIND("/",Table61011[[#This Row],[spawner_sku]])),Table28[Entity Prefab],0)),24,1,1,"Entities"))</f>
        <v>no</v>
      </c>
      <c r="BW60" s="71">
        <v>5</v>
      </c>
      <c r="BX60" s="71">
        <v>6</v>
      </c>
      <c r="BY60" s="71" t="b">
        <v>1</v>
      </c>
      <c r="BZ60" s="71"/>
      <c r="CA60" s="147" t="s">
        <v>570</v>
      </c>
      <c r="CB60">
        <v>1</v>
      </c>
      <c r="CC60">
        <v>120</v>
      </c>
      <c r="CD60">
        <v>100</v>
      </c>
      <c r="CE60" s="74">
        <f ca="1">INDIRECT(ADDRESS(11+(MATCH(RIGHT(Table35[[#This Row],[spawner_sku]],LEN(Table35[[#This Row],[spawner_sku]])-FIND("/",Table35[[#This Row],[spawner_sku]])),Table1[Entity Prefab],0)),10,1,1,"Entities"))</f>
        <v>50</v>
      </c>
      <c r="CF60" s="74">
        <f ca="1">ROUND((Table35[[#This Row],[XP]]*Table35[[#This Row],[entity_spawned (AVG)]])*(Table35[[#This Row],[activating_chance]]/100),0)</f>
        <v>50</v>
      </c>
      <c r="CG60" s="144" t="str">
        <f ca="1">INDIRECT(ADDRESS(11+(MATCH(RIGHT(Table35[[#This Row],[spawner_sku]],LEN(Table35[[#This Row],[spawner_sku]])-FIND("/",Table35[[#This Row],[spawner_sku]])),Table28[Entity Prefab],0)),24,1,1,"Entities"))</f>
        <v>no</v>
      </c>
      <c r="CH60">
        <v>1</v>
      </c>
      <c r="CI60">
        <v>1</v>
      </c>
      <c r="CJ60" s="71" t="b">
        <v>0</v>
      </c>
      <c r="CL60" t="s">
        <v>215</v>
      </c>
      <c r="CM60">
        <v>3.5</v>
      </c>
      <c r="CN60">
        <v>180</v>
      </c>
      <c r="CO60">
        <v>100</v>
      </c>
      <c r="CP60" s="74">
        <f ca="1">INDIRECT(ADDRESS(11+(MATCH(RIGHT(Table11[[#This Row],[spawner_sku]],LEN(Table11[[#This Row],[spawner_sku]])-FIND("/",Table11[[#This Row],[spawner_sku]])),Table1[Entity Prefab],0)),10,1,1,"Entities"))</f>
        <v>25</v>
      </c>
      <c r="CQ60">
        <f ca="1">ROUND((Table11[[#This Row],[XP]]*Table11[[#This Row],[entity_spawned (AVG)]])*(Table11[[#This Row],[activating_chance]]/100),0)</f>
        <v>88</v>
      </c>
      <c r="CR60" s="144" t="str">
        <f ca="1">INDIRECT(ADDRESS(11+(MATCH(RIGHT(Table11[[#This Row],[spawner_sku]],LEN(Table11[[#This Row],[spawner_sku]])-FIND("/",Table11[[#This Row],[spawner_sku]])),Table28[Entity Prefab],0)),25,1,1,"Entities"))</f>
        <v>no</v>
      </c>
      <c r="CS60" s="71">
        <v>3</v>
      </c>
      <c r="CT60" s="71">
        <v>4</v>
      </c>
      <c r="CU60" s="71" t="b">
        <v>0</v>
      </c>
      <c r="CW60" t="s">
        <v>227</v>
      </c>
      <c r="CX60">
        <v>1</v>
      </c>
      <c r="CY60">
        <v>2000</v>
      </c>
      <c r="CZ60">
        <v>100</v>
      </c>
      <c r="DA60" s="74">
        <f ca="1">INDIRECT(ADDRESS(11+(MATCH(RIGHT(Table12[[#This Row],[spawner_sku]],LEN(Table12[[#This Row],[spawner_sku]])-FIND("/",Table12[[#This Row],[spawner_sku]])),Table1[Entity Prefab],0)),10,1,1,"Entities"))</f>
        <v>175</v>
      </c>
      <c r="DB60" s="74">
        <f ca="1">ROUND((Table12[[#This Row],[XP]]*Table12[[#This Row],[entity_spawned (AVG)]])*(Table12[[#This Row],[activating_chance]]/100),0)</f>
        <v>175</v>
      </c>
      <c r="DC60" s="144" t="str">
        <f ca="1">INDIRECT(ADDRESS(11+(MATCH(RIGHT(Table12[[#This Row],[spawner_sku]],LEN(Table12[[#This Row],[spawner_sku]])-FIND("/",Table12[[#This Row],[spawner_sku]])),Table28[Entity Prefab],0)),25,1,1,"Entities"))</f>
        <v>yes</v>
      </c>
      <c r="DD60" s="71">
        <v>1</v>
      </c>
      <c r="DE60" s="71">
        <v>1</v>
      </c>
      <c r="DF60" s="71" t="b">
        <v>0</v>
      </c>
      <c r="DH60" t="s">
        <v>219</v>
      </c>
      <c r="DI60">
        <v>2.5</v>
      </c>
      <c r="DJ60">
        <v>250</v>
      </c>
      <c r="DK60">
        <v>100</v>
      </c>
      <c r="DL60" s="74">
        <f ca="1">INDIRECT(ADDRESS(11+(MATCH(RIGHT(Table13[[#This Row],[spawner_sku]],LEN(Table13[[#This Row],[spawner_sku]])-FIND("/",Table13[[#This Row],[spawner_sku]])),Table1[Entity Prefab],0)),10,1,1,"Entities"))</f>
        <v>143</v>
      </c>
      <c r="DM60" s="74">
        <f ca="1">ROUND((Table13[[#This Row],[XP]]*Table13[[#This Row],[entity_spawned (AVG)]])*(Table13[[#This Row],[activating_chance]]/100),0)</f>
        <v>358</v>
      </c>
      <c r="DN60" s="144" t="str">
        <f ca="1">INDIRECT(ADDRESS(11+(MATCH(RIGHT(Table13[[#This Row],[spawner_sku]],LEN(Table13[[#This Row],[spawner_sku]])-FIND("/",Table13[[#This Row],[spawner_sku]])),Table28[Entity Prefab],0)),25,1,1,"Entities"))</f>
        <v>yes</v>
      </c>
      <c r="DO60" s="71">
        <v>2</v>
      </c>
      <c r="DP60" s="71">
        <v>3</v>
      </c>
      <c r="DQ60" s="71" t="b">
        <v>0</v>
      </c>
      <c r="DS60" t="s">
        <v>214</v>
      </c>
      <c r="DT60">
        <v>5.5</v>
      </c>
      <c r="DU60">
        <v>140</v>
      </c>
      <c r="DV60">
        <v>100</v>
      </c>
      <c r="DW60" s="74">
        <f ca="1">INDIRECT(ADDRESS(11+(MATCH(RIGHT(Table14[[#This Row],[spawner_sku]],LEN(Table14[[#This Row],[spawner_sku]])-FIND("/",Table14[[#This Row],[spawner_sku]])),Table1[Entity Prefab],0)),10,1,1,"Entities"))</f>
        <v>25</v>
      </c>
      <c r="DX60" s="74">
        <f ca="1">ROUND((Table14[[#This Row],[XP]]*Table14[[#This Row],[entity_spawned (AVG)]])*(Table14[[#This Row],[activating_chance]]/100),0)</f>
        <v>138</v>
      </c>
      <c r="DY60" s="144" t="str">
        <f ca="1">INDIRECT(ADDRESS(11+(MATCH(RIGHT(Table14[[#This Row],[spawner_sku]],LEN(Table14[[#This Row],[spawner_sku]])-FIND("/",Table14[[#This Row],[spawner_sku]])),Table28[Entity Prefab],0)),25,1,1,"Entities"))</f>
        <v>no</v>
      </c>
      <c r="DZ60" s="71">
        <v>5</v>
      </c>
      <c r="EA60" s="71">
        <v>6</v>
      </c>
      <c r="EB60" s="71" t="b">
        <v>1</v>
      </c>
      <c r="EC60" s="71"/>
      <c r="ED60" s="147" t="s">
        <v>8142</v>
      </c>
      <c r="EE60" s="71">
        <v>1</v>
      </c>
      <c r="EF60" s="71">
        <v>200</v>
      </c>
      <c r="EG60" s="71">
        <v>100</v>
      </c>
      <c r="EH60" s="71">
        <f ca="1">INDIRECT(ADDRESS(11+(MATCH(RIGHT(Table36[[#This Row],[spawner_sku]],LEN(Table36[[#This Row],[spawner_sku]])-FIND("/",Table36[[#This Row],[spawner_sku]])),Table1[Entity Prefab],0)),10,1,1,"Entities"))</f>
        <v>75</v>
      </c>
      <c r="EI60" s="71">
        <f ca="1">ROUND((Table36[[#This Row],[XP]]*Table36[[#This Row],[entity_spawned (AVG)]])*(Table36[[#This Row],[activating_chance]]/100),0)</f>
        <v>75</v>
      </c>
      <c r="EJ60" s="71" t="str">
        <f ca="1">INDIRECT(ADDRESS(11+(MATCH(RIGHT(Table36[[#This Row],[spawner_sku]],LEN(Table36[[#This Row],[spawner_sku]])-FIND("/",Table36[[#This Row],[spawner_sku]])),Table28[Entity Prefab],0)),25,1,1,"Entities"))</f>
        <v>no</v>
      </c>
      <c r="EK60" s="71">
        <v>1</v>
      </c>
      <c r="EL60" s="71">
        <v>1</v>
      </c>
      <c r="EM60" s="71" t="b">
        <v>0</v>
      </c>
      <c r="EO60" t="s">
        <v>214</v>
      </c>
      <c r="EP60">
        <v>3</v>
      </c>
      <c r="EQ60">
        <v>140</v>
      </c>
      <c r="ER60">
        <v>30</v>
      </c>
      <c r="ES60" s="74">
        <f ca="1">INDIRECT(ADDRESS(11+(MATCH(RIGHT(Table18[[#This Row],[spawner_sku]],LEN(Table18[[#This Row],[spawner_sku]])-FIND("/",Table18[[#This Row],[spawner_sku]])),Table1[Entity Prefab],0)),10,1,1,"Entities"))</f>
        <v>25</v>
      </c>
      <c r="ET60" s="74">
        <f ca="1">ROUND((Table18[[#This Row],[XP]]*Table18[[#This Row],[entity_spawned (AVG)]])*(Table18[[#This Row],[activating_chance]]/100),0)</f>
        <v>23</v>
      </c>
      <c r="EU60" s="74" t="str">
        <f ca="1">INDIRECT(ADDRESS(11+(MATCH(RIGHT(Table18[[#This Row],[spawner_sku]],LEN(Table18[[#This Row],[spawner_sku]])-FIND("/",Table18[[#This Row],[spawner_sku]])),Table28[Entity Prefab],0)),26,1,1,"Entities"))</f>
        <v>no</v>
      </c>
      <c r="EV60">
        <v>2</v>
      </c>
      <c r="EW60">
        <v>4</v>
      </c>
      <c r="EX60" t="b">
        <v>0</v>
      </c>
      <c r="EZ60" t="s">
        <v>214</v>
      </c>
      <c r="FA60">
        <v>7</v>
      </c>
      <c r="FB60">
        <v>140</v>
      </c>
      <c r="FC60">
        <v>100</v>
      </c>
      <c r="FD60" s="74">
        <f ca="1">INDIRECT(ADDRESS(11+(MATCH(RIGHT(Table1820[[#This Row],[spawner_sku]],LEN(Table1820[[#This Row],[spawner_sku]])-FIND("/",Table1820[[#This Row],[spawner_sku]])),Table1[Entity Prefab],0)),10,1,1,"Entities"))</f>
        <v>25</v>
      </c>
      <c r="FE60" s="74">
        <f ca="1">ROUND((Table1820[[#This Row],[XP]]*Table1820[[#This Row],[entity_spawned (AVG)]])*(Table1820[[#This Row],[activating_chance]]/100),0)</f>
        <v>175</v>
      </c>
      <c r="FF60" s="74" t="str">
        <f ca="1">INDIRECT(ADDRESS(11+(MATCH(RIGHT(Table1820[[#This Row],[spawner_sku]],LEN(Table1820[[#This Row],[spawner_sku]])-FIND("/",Table1820[[#This Row],[spawner_sku]])),Table28[Entity Prefab],0)),26,1,1,"Entities"))</f>
        <v>no</v>
      </c>
      <c r="FG60">
        <v>6</v>
      </c>
      <c r="FH60">
        <v>8</v>
      </c>
      <c r="FI60" t="b">
        <v>1</v>
      </c>
      <c r="FK60" t="s">
        <v>2694</v>
      </c>
      <c r="FL60">
        <v>1.5</v>
      </c>
      <c r="FM60">
        <v>60</v>
      </c>
      <c r="FN60">
        <v>100</v>
      </c>
      <c r="FO60">
        <f ca="1">INDIRECT(ADDRESS(11+(MATCH(RIGHT(Table182023[[#This Row],[spawner_sku]],LEN(Table182023[[#This Row],[spawner_sku]])-FIND("/",Table182023[[#This Row],[spawner_sku]])),Table1[Entity Prefab],0)),10,1,1,"Entities"))</f>
        <v>143</v>
      </c>
      <c r="FP60">
        <f ca="1">ROUND((Table182023[[#This Row],[XP]]*Table182023[[#This Row],[entity_spawned (AVG)]])*(Table182023[[#This Row],[activating_chance]]/100),0)</f>
        <v>215</v>
      </c>
      <c r="FQ60" t="str">
        <f ca="1">INDIRECT(ADDRESS(11+(MATCH(RIGHT(Table182023[[#This Row],[spawner_sku]],LEN(Table182023[[#This Row],[spawner_sku]])-FIND("/",Table182023[[#This Row],[spawner_sku]])),Table28[Entity Prefab],0)),26,1,1,"Entities"))</f>
        <v>no</v>
      </c>
      <c r="FR60">
        <v>1</v>
      </c>
      <c r="FS60">
        <v>2</v>
      </c>
      <c r="FT60" t="b">
        <v>0</v>
      </c>
      <c r="FV60" t="s">
        <v>233</v>
      </c>
      <c r="FW60">
        <v>1</v>
      </c>
      <c r="FX60">
        <v>500</v>
      </c>
      <c r="FY60">
        <v>80</v>
      </c>
      <c r="FZ60" s="74">
        <f ca="1">INDIRECT(ADDRESS(11+(MATCH(RIGHT(Table18202324[[#This Row],[spawner_sku]],LEN(Table18202324[[#This Row],[spawner_sku]])-FIND("/",Table18202324[[#This Row],[spawner_sku]])),Table1[Entity Prefab],0)),10,1,1,"Entities"))</f>
        <v>25</v>
      </c>
      <c r="GA60" s="74">
        <f ca="1">ROUND((Table18202324[[#This Row],[XP]]*Table18202324[[#This Row],[entity_spawned (AVG)]])*(Table18202324[[#This Row],[activating_chance]]/100),0)</f>
        <v>20</v>
      </c>
      <c r="GB60" s="74" t="str">
        <f ca="1">INDIRECT(ADDRESS(11+(MATCH(RIGHT(Table18202324[[#This Row],[spawner_sku]],LEN(Table18202324[[#This Row],[spawner_sku]])-FIND("/",Table18202324[[#This Row],[spawner_sku]])),Table28[Entity Prefab],0)),26,1,1,"Entities"))</f>
        <v>no</v>
      </c>
      <c r="GC60">
        <v>1</v>
      </c>
      <c r="GD60">
        <v>1</v>
      </c>
      <c r="GE60" t="b">
        <v>0</v>
      </c>
      <c r="GG60" t="s">
        <v>3816</v>
      </c>
      <c r="GH60">
        <v>1</v>
      </c>
      <c r="GI60">
        <v>240</v>
      </c>
      <c r="GJ60">
        <v>100</v>
      </c>
      <c r="GK60">
        <f ca="1">INDIRECT(ADDRESS(11+(MATCH(RIGHT(Table37[[#This Row],[spawner_sku]],LEN(Table37[[#This Row],[spawner_sku]])-FIND("/",Table37[[#This Row],[spawner_sku]])),Table1[Entity Prefab],0)),10,1,1,"Entities"))</f>
        <v>50</v>
      </c>
      <c r="GL60">
        <f ca="1">ROUND((Table37[[#This Row],[XP]]*Table37[[#This Row],[entity_spawned (AVG)]])*(Table37[[#This Row],[activating_chance]]/100),0)</f>
        <v>50</v>
      </c>
      <c r="GM60" t="str">
        <f ca="1">INDIRECT(ADDRESS(11+(MATCH(RIGHT(Table37[[#This Row],[spawner_sku]],LEN(Table37[[#This Row],[spawner_sku]])-FIND("/",Table37[[#This Row],[spawner_sku]])),Table28[Entity Prefab],0)),26,1,1,"Entities"))</f>
        <v>no</v>
      </c>
      <c r="GN60">
        <v>1</v>
      </c>
      <c r="GO60">
        <v>1</v>
      </c>
      <c r="GP60" t="b">
        <v>0</v>
      </c>
    </row>
    <row r="61" spans="2:198" x14ac:dyDescent="0.25">
      <c r="B61" s="72" t="s">
        <v>215</v>
      </c>
      <c r="C61">
        <v>1.5</v>
      </c>
      <c r="D61">
        <v>100</v>
      </c>
      <c r="E61">
        <v>40</v>
      </c>
      <c r="F61" s="74">
        <f ca="1">INDIRECT(ADDRESS(11+(MATCH(RIGHT(Table245[[#This Row],[spawner_sku]],LEN(Table245[[#This Row],[spawner_sku]])-FIND("/",Table245[[#This Row],[spawner_sku]])),Table1[Entity Prefab],0)),10,1,1,"Entities"))</f>
        <v>25</v>
      </c>
      <c r="G61" s="74">
        <f ca="1">ROUND((Table245[[#This Row],[XP]]*Table245[[#This Row],[entity_spawned (AVG)]])*(Table245[[#This Row],[activating_chance]]/100),0)</f>
        <v>15</v>
      </c>
      <c r="H61" s="71" t="str">
        <f ca="1">INDIRECT(ADDRESS(11+(MATCH(RIGHT(Table245[[#This Row],[spawner_sku]],LEN(Table245[[#This Row],[spawner_sku]])-FIND("/",Table245[[#This Row],[spawner_sku]])),Table28[Entity Prefab],0)),24,1,1,"Entities"))</f>
        <v>no</v>
      </c>
      <c r="I61" s="71">
        <v>1</v>
      </c>
      <c r="J61" s="71">
        <v>2</v>
      </c>
      <c r="K61" s="71" t="b">
        <v>0</v>
      </c>
      <c r="M61" t="s">
        <v>320</v>
      </c>
      <c r="N61">
        <v>2.5</v>
      </c>
      <c r="O61">
        <v>250</v>
      </c>
      <c r="P61">
        <v>100</v>
      </c>
      <c r="Q61" s="74">
        <f ca="1">INDIRECT(ADDRESS(11+(MATCH(RIGHT(Table3[[#This Row],[spawner_sku]],LEN(Table3[[#This Row],[spawner_sku]])-FIND("/",Table3[[#This Row],[spawner_sku]])),Table1[Entity Prefab],0)),10,1,1,"Entities"))</f>
        <v>143</v>
      </c>
      <c r="R61" s="74">
        <f ca="1">ROUND((Table3[[#This Row],[XP]]*Table3[[#This Row],[entity_spawned (AVG)]])*(Table3[[#This Row],[activating_chance]]/100),0)</f>
        <v>358</v>
      </c>
      <c r="S61" t="str">
        <f ca="1">INDIRECT(ADDRESS(11+(MATCH(RIGHT(Table3[[#This Row],[spawner_sku]],LEN(Table3[[#This Row],[spawner_sku]])-FIND("/",Table3[[#This Row],[spawner_sku]])),Table28[Entity Prefab],0)),24,1,1,"Entities"))</f>
        <v>yes</v>
      </c>
      <c r="T61">
        <v>2</v>
      </c>
      <c r="U61">
        <v>3</v>
      </c>
      <c r="V61" t="b">
        <v>0</v>
      </c>
      <c r="W61" s="71"/>
      <c r="X61" t="s">
        <v>466</v>
      </c>
      <c r="Y61">
        <v>1</v>
      </c>
      <c r="Z61">
        <v>110</v>
      </c>
      <c r="AA61">
        <v>100</v>
      </c>
      <c r="AB61" s="74">
        <f ca="1">INDIRECT(ADDRESS(11+(MATCH(RIGHT(Table39[[#This Row],[spawner_sku]],LEN(Table39[[#This Row],[spawner_sku]])-FIND("/",Table39[[#This Row],[spawner_sku]])),Table1[Entity Prefab],0)),10,1,1,"Entities"))</f>
        <v>75</v>
      </c>
      <c r="AC61" s="74">
        <f ca="1">ROUND((Table39[[#This Row],[XP]]*Table39[[#This Row],[entity_spawned (AVG)]])*(Table39[[#This Row],[activating_chance]]/100),0)</f>
        <v>75</v>
      </c>
      <c r="AD61" t="str">
        <f ca="1">INDIRECT(ADDRESS(11+(MATCH(RIGHT(Table39[[#This Row],[spawner_sku]],LEN(Table39[[#This Row],[spawner_sku]])-FIND("/",Table39[[#This Row],[spawner_sku]])),Table28[Entity Prefab],0)),24,1,1,"Entities"))</f>
        <v>no</v>
      </c>
      <c r="AE61">
        <v>1</v>
      </c>
      <c r="AF61">
        <v>1</v>
      </c>
      <c r="AG61" t="b">
        <v>0</v>
      </c>
      <c r="AI61" t="s">
        <v>215</v>
      </c>
      <c r="AJ61">
        <v>1.5</v>
      </c>
      <c r="AK61">
        <v>100</v>
      </c>
      <c r="AL61">
        <v>100</v>
      </c>
      <c r="AM61" s="74">
        <f ca="1">INDIRECT(ADDRESS(11+(MATCH(RIGHT(Table2[[#This Row],[spawner_sku]],LEN(Table2[[#This Row],[spawner_sku]])-FIND("/",Table2[[#This Row],[spawner_sku]])),Table1[Entity Prefab],0)),10,1,1,"Entities"))</f>
        <v>25</v>
      </c>
      <c r="AN61" s="74">
        <f ca="1">ROUND((Table2[[#This Row],[XP]]*Table2[[#This Row],[entity_spawned (AVG)]])*(Table2[[#This Row],[activating_chance]]/100),0)</f>
        <v>38</v>
      </c>
      <c r="AO61" s="71" t="str">
        <f ca="1">INDIRECT(ADDRESS(11+(MATCH(RIGHT(Table2[[#This Row],[spawner_sku]],LEN(Table2[[#This Row],[spawner_sku]])-FIND("/",Table2[[#This Row],[spawner_sku]])),Table28[Entity Prefab],0)),24,1,1,"Entities"))</f>
        <v>no</v>
      </c>
      <c r="AP61" s="71">
        <v>1</v>
      </c>
      <c r="AQ61" s="71">
        <v>2</v>
      </c>
      <c r="AR61" s="71" t="b">
        <v>0</v>
      </c>
      <c r="AT61" t="s">
        <v>376</v>
      </c>
      <c r="AU61">
        <v>2.5</v>
      </c>
      <c r="AV61">
        <v>200</v>
      </c>
      <c r="AW61">
        <v>100</v>
      </c>
      <c r="AX61" s="74">
        <f ca="1">INDIRECT(ADDRESS(11+(MATCH(RIGHT(Table6[[#This Row],[spawner_sku]],LEN(Table6[[#This Row],[spawner_sku]])-FIND("/",Table6[[#This Row],[spawner_sku]])),Table1[Entity Prefab],0)),10,1,1,"Entities"))</f>
        <v>25</v>
      </c>
      <c r="AY61" s="74">
        <f ca="1">ROUND((Table6[[#This Row],[XP]]*Table6[[#This Row],[entity_spawned (AVG)]])*(Table6[[#This Row],[activating_chance]]/100),0)</f>
        <v>63</v>
      </c>
      <c r="AZ61" s="144" t="str">
        <f ca="1">INDIRECT(ADDRESS(11+(MATCH(RIGHT(Table6[[#This Row],[spawner_sku]],LEN(Table6[[#This Row],[spawner_sku]])-FIND("/",Table6[[#This Row],[spawner_sku]])),Table28[Entity Prefab],0)),24,1,1,"Entities"))</f>
        <v>no</v>
      </c>
      <c r="BA61">
        <v>2</v>
      </c>
      <c r="BB61">
        <v>3</v>
      </c>
      <c r="BC61" t="b">
        <v>0</v>
      </c>
      <c r="BE61" t="s">
        <v>219</v>
      </c>
      <c r="BF61">
        <v>1.5</v>
      </c>
      <c r="BG61">
        <v>250</v>
      </c>
      <c r="BH61">
        <v>100</v>
      </c>
      <c r="BI61" s="74">
        <f ca="1">INDIRECT(ADDRESS(11+(MATCH(RIGHT(Table610[[#This Row],[spawner_sku]],LEN(Table610[[#This Row],[spawner_sku]])-FIND("/",Table610[[#This Row],[spawner_sku]])),Table1[Entity Prefab],0)),10,1,1,"Entities"))</f>
        <v>143</v>
      </c>
      <c r="BJ61" s="74">
        <f ca="1">ROUND((Table610[[#This Row],[XP]]*Table610[[#This Row],[entity_spawned (AVG)]])*(Table610[[#This Row],[activating_chance]]/100),0)</f>
        <v>215</v>
      </c>
      <c r="BK61" s="71" t="str">
        <f ca="1">INDIRECT(ADDRESS(11+(MATCH(RIGHT(Table610[[#This Row],[spawner_sku]],LEN(Table610[[#This Row],[spawner_sku]])-FIND("/",Table610[[#This Row],[spawner_sku]])),Table28[Entity Prefab],0)),24,1,1,"Entities"))</f>
        <v>yes</v>
      </c>
      <c r="BL61">
        <v>1</v>
      </c>
      <c r="BM61">
        <v>2</v>
      </c>
      <c r="BN61" t="b">
        <v>0</v>
      </c>
      <c r="BP61" t="s">
        <v>215</v>
      </c>
      <c r="BQ61">
        <v>5</v>
      </c>
      <c r="BR61">
        <v>210</v>
      </c>
      <c r="BS61">
        <v>100</v>
      </c>
      <c r="BT61" s="74">
        <f ca="1">INDIRECT(ADDRESS(11+(MATCH(RIGHT(Table61011[[#This Row],[spawner_sku]],LEN(Table61011[[#This Row],[spawner_sku]])-FIND("/",Table61011[[#This Row],[spawner_sku]])),Table1[Entity Prefab],0)),10,1,1,"Entities"))</f>
        <v>25</v>
      </c>
      <c r="BU61" s="74">
        <f ca="1">ROUND((Table61011[[#This Row],[XP]]*Table61011[[#This Row],[entity_spawned (AVG)]])*(Table61011[[#This Row],[activating_chance]]/100),0)</f>
        <v>125</v>
      </c>
      <c r="BV61" s="71" t="str">
        <f ca="1">INDIRECT(ADDRESS(11+(MATCH(RIGHT(Table61011[[#This Row],[spawner_sku]],LEN(Table61011[[#This Row],[spawner_sku]])-FIND("/",Table61011[[#This Row],[spawner_sku]])),Table28[Entity Prefab],0)),24,1,1,"Entities"))</f>
        <v>no</v>
      </c>
      <c r="BW61" s="71">
        <v>5</v>
      </c>
      <c r="BX61" s="71">
        <v>5</v>
      </c>
      <c r="BY61" s="71" t="b">
        <v>1</v>
      </c>
      <c r="BZ61" s="71"/>
      <c r="CA61" s="147" t="s">
        <v>570</v>
      </c>
      <c r="CB61">
        <v>1</v>
      </c>
      <c r="CC61">
        <v>120</v>
      </c>
      <c r="CD61">
        <v>100</v>
      </c>
      <c r="CE61" s="74">
        <f ca="1">INDIRECT(ADDRESS(11+(MATCH(RIGHT(Table35[[#This Row],[spawner_sku]],LEN(Table35[[#This Row],[spawner_sku]])-FIND("/",Table35[[#This Row],[spawner_sku]])),Table1[Entity Prefab],0)),10,1,1,"Entities"))</f>
        <v>50</v>
      </c>
      <c r="CF61" s="74">
        <f ca="1">ROUND((Table35[[#This Row],[XP]]*Table35[[#This Row],[entity_spawned (AVG)]])*(Table35[[#This Row],[activating_chance]]/100),0)</f>
        <v>50</v>
      </c>
      <c r="CG61" s="144" t="str">
        <f ca="1">INDIRECT(ADDRESS(11+(MATCH(RIGHT(Table35[[#This Row],[spawner_sku]],LEN(Table35[[#This Row],[spawner_sku]])-FIND("/",Table35[[#This Row],[spawner_sku]])),Table28[Entity Prefab],0)),24,1,1,"Entities"))</f>
        <v>no</v>
      </c>
      <c r="CH61">
        <v>1</v>
      </c>
      <c r="CI61">
        <v>1</v>
      </c>
      <c r="CJ61" s="71" t="b">
        <v>0</v>
      </c>
      <c r="CL61" t="s">
        <v>215</v>
      </c>
      <c r="CM61">
        <v>2.5</v>
      </c>
      <c r="CN61">
        <v>180</v>
      </c>
      <c r="CO61">
        <v>100</v>
      </c>
      <c r="CP61" s="74">
        <f ca="1">INDIRECT(ADDRESS(11+(MATCH(RIGHT(Table11[[#This Row],[spawner_sku]],LEN(Table11[[#This Row],[spawner_sku]])-FIND("/",Table11[[#This Row],[spawner_sku]])),Table1[Entity Prefab],0)),10,1,1,"Entities"))</f>
        <v>25</v>
      </c>
      <c r="CQ61">
        <f ca="1">ROUND((Table11[[#This Row],[XP]]*Table11[[#This Row],[entity_spawned (AVG)]])*(Table11[[#This Row],[activating_chance]]/100),0)</f>
        <v>63</v>
      </c>
      <c r="CR61" s="144" t="str">
        <f ca="1">INDIRECT(ADDRESS(11+(MATCH(RIGHT(Table11[[#This Row],[spawner_sku]],LEN(Table11[[#This Row],[spawner_sku]])-FIND("/",Table11[[#This Row],[spawner_sku]])),Table28[Entity Prefab],0)),25,1,1,"Entities"))</f>
        <v>no</v>
      </c>
      <c r="CS61" s="71">
        <v>2</v>
      </c>
      <c r="CT61" s="71">
        <v>3</v>
      </c>
      <c r="CU61" s="71" t="b">
        <v>0</v>
      </c>
      <c r="CW61" t="s">
        <v>227</v>
      </c>
      <c r="CX61">
        <v>1</v>
      </c>
      <c r="CY61">
        <v>2000</v>
      </c>
      <c r="CZ61">
        <v>30</v>
      </c>
      <c r="DA61" s="74">
        <f ca="1">INDIRECT(ADDRESS(11+(MATCH(RIGHT(Table12[[#This Row],[spawner_sku]],LEN(Table12[[#This Row],[spawner_sku]])-FIND("/",Table12[[#This Row],[spawner_sku]])),Table1[Entity Prefab],0)),10,1,1,"Entities"))</f>
        <v>175</v>
      </c>
      <c r="DB61" s="74">
        <f ca="1">ROUND((Table12[[#This Row],[XP]]*Table12[[#This Row],[entity_spawned (AVG)]])*(Table12[[#This Row],[activating_chance]]/100),0)</f>
        <v>53</v>
      </c>
      <c r="DC61" s="144" t="str">
        <f ca="1">INDIRECT(ADDRESS(11+(MATCH(RIGHT(Table12[[#This Row],[spawner_sku]],LEN(Table12[[#This Row],[spawner_sku]])-FIND("/",Table12[[#This Row],[spawner_sku]])),Table28[Entity Prefab],0)),25,1,1,"Entities"))</f>
        <v>yes</v>
      </c>
      <c r="DD61" s="71">
        <v>1</v>
      </c>
      <c r="DE61" s="71">
        <v>1</v>
      </c>
      <c r="DF61" s="71" t="b">
        <v>0</v>
      </c>
      <c r="DH61" t="s">
        <v>219</v>
      </c>
      <c r="DI61">
        <v>1</v>
      </c>
      <c r="DJ61">
        <v>250</v>
      </c>
      <c r="DK61">
        <v>100</v>
      </c>
      <c r="DL61" s="74">
        <f ca="1">INDIRECT(ADDRESS(11+(MATCH(RIGHT(Table13[[#This Row],[spawner_sku]],LEN(Table13[[#This Row],[spawner_sku]])-FIND("/",Table13[[#This Row],[spawner_sku]])),Table1[Entity Prefab],0)),10,1,1,"Entities"))</f>
        <v>143</v>
      </c>
      <c r="DM61" s="74">
        <f ca="1">ROUND((Table13[[#This Row],[XP]]*Table13[[#This Row],[entity_spawned (AVG)]])*(Table13[[#This Row],[activating_chance]]/100),0)</f>
        <v>143</v>
      </c>
      <c r="DN61" s="144" t="str">
        <f ca="1">INDIRECT(ADDRESS(11+(MATCH(RIGHT(Table13[[#This Row],[spawner_sku]],LEN(Table13[[#This Row],[spawner_sku]])-FIND("/",Table13[[#This Row],[spawner_sku]])),Table28[Entity Prefab],0)),25,1,1,"Entities"))</f>
        <v>yes</v>
      </c>
      <c r="DO61" s="71">
        <v>1</v>
      </c>
      <c r="DP61" s="71">
        <v>1</v>
      </c>
      <c r="DQ61" s="71" t="b">
        <v>0</v>
      </c>
      <c r="DS61" t="s">
        <v>214</v>
      </c>
      <c r="DT61">
        <v>3.5</v>
      </c>
      <c r="DU61">
        <v>200</v>
      </c>
      <c r="DV61">
        <v>100</v>
      </c>
      <c r="DW61" s="74">
        <f ca="1">INDIRECT(ADDRESS(11+(MATCH(RIGHT(Table14[[#This Row],[spawner_sku]],LEN(Table14[[#This Row],[spawner_sku]])-FIND("/",Table14[[#This Row],[spawner_sku]])),Table1[Entity Prefab],0)),10,1,1,"Entities"))</f>
        <v>25</v>
      </c>
      <c r="DX61" s="74">
        <f ca="1">ROUND((Table14[[#This Row],[XP]]*Table14[[#This Row],[entity_spawned (AVG)]])*(Table14[[#This Row],[activating_chance]]/100),0)</f>
        <v>88</v>
      </c>
      <c r="DY61" s="144" t="str">
        <f ca="1">INDIRECT(ADDRESS(11+(MATCH(RIGHT(Table14[[#This Row],[spawner_sku]],LEN(Table14[[#This Row],[spawner_sku]])-FIND("/",Table14[[#This Row],[spawner_sku]])),Table28[Entity Prefab],0)),25,1,1,"Entities"))</f>
        <v>no</v>
      </c>
      <c r="DZ61" s="71">
        <v>3</v>
      </c>
      <c r="EA61" s="71">
        <v>4</v>
      </c>
      <c r="EB61" s="71" t="b">
        <v>0</v>
      </c>
      <c r="EC61" s="71"/>
      <c r="ED61" s="147" t="s">
        <v>8142</v>
      </c>
      <c r="EE61" s="71">
        <v>1</v>
      </c>
      <c r="EF61" s="71">
        <v>200</v>
      </c>
      <c r="EG61" s="71">
        <v>80</v>
      </c>
      <c r="EH61" s="71">
        <f ca="1">INDIRECT(ADDRESS(11+(MATCH(RIGHT(Table36[[#This Row],[spawner_sku]],LEN(Table36[[#This Row],[spawner_sku]])-FIND("/",Table36[[#This Row],[spawner_sku]])),Table1[Entity Prefab],0)),10,1,1,"Entities"))</f>
        <v>75</v>
      </c>
      <c r="EI61" s="71">
        <f ca="1">ROUND((Table36[[#This Row],[XP]]*Table36[[#This Row],[entity_spawned (AVG)]])*(Table36[[#This Row],[activating_chance]]/100),0)</f>
        <v>60</v>
      </c>
      <c r="EJ61" s="71" t="str">
        <f ca="1">INDIRECT(ADDRESS(11+(MATCH(RIGHT(Table36[[#This Row],[spawner_sku]],LEN(Table36[[#This Row],[spawner_sku]])-FIND("/",Table36[[#This Row],[spawner_sku]])),Table28[Entity Prefab],0)),25,1,1,"Entities"))</f>
        <v>no</v>
      </c>
      <c r="EK61" s="71">
        <v>1</v>
      </c>
      <c r="EL61" s="71">
        <v>1</v>
      </c>
      <c r="EM61" s="71" t="b">
        <v>0</v>
      </c>
      <c r="EO61" t="s">
        <v>214</v>
      </c>
      <c r="EP61">
        <v>3.5</v>
      </c>
      <c r="EQ61">
        <v>140</v>
      </c>
      <c r="ER61">
        <v>100</v>
      </c>
      <c r="ES61" s="74">
        <f ca="1">INDIRECT(ADDRESS(11+(MATCH(RIGHT(Table18[[#This Row],[spawner_sku]],LEN(Table18[[#This Row],[spawner_sku]])-FIND("/",Table18[[#This Row],[spawner_sku]])),Table1[Entity Prefab],0)),10,1,1,"Entities"))</f>
        <v>25</v>
      </c>
      <c r="ET61" s="74">
        <f ca="1">ROUND((Table18[[#This Row],[XP]]*Table18[[#This Row],[entity_spawned (AVG)]])*(Table18[[#This Row],[activating_chance]]/100),0)</f>
        <v>88</v>
      </c>
      <c r="EU61" s="74" t="str">
        <f ca="1">INDIRECT(ADDRESS(11+(MATCH(RIGHT(Table18[[#This Row],[spawner_sku]],LEN(Table18[[#This Row],[spawner_sku]])-FIND("/",Table18[[#This Row],[spawner_sku]])),Table28[Entity Prefab],0)),26,1,1,"Entities"))</f>
        <v>no</v>
      </c>
      <c r="EV61">
        <v>3</v>
      </c>
      <c r="EW61">
        <v>4</v>
      </c>
      <c r="EX61" t="b">
        <v>0</v>
      </c>
      <c r="EZ61" t="s">
        <v>214</v>
      </c>
      <c r="FA61">
        <v>3.5</v>
      </c>
      <c r="FB61">
        <v>140</v>
      </c>
      <c r="FC61">
        <v>100</v>
      </c>
      <c r="FD61" s="74">
        <f ca="1">INDIRECT(ADDRESS(11+(MATCH(RIGHT(Table1820[[#This Row],[spawner_sku]],LEN(Table1820[[#This Row],[spawner_sku]])-FIND("/",Table1820[[#This Row],[spawner_sku]])),Table1[Entity Prefab],0)),10,1,1,"Entities"))</f>
        <v>25</v>
      </c>
      <c r="FE61" s="74">
        <f ca="1">ROUND((Table1820[[#This Row],[XP]]*Table1820[[#This Row],[entity_spawned (AVG)]])*(Table1820[[#This Row],[activating_chance]]/100),0)</f>
        <v>88</v>
      </c>
      <c r="FF61" s="74" t="str">
        <f ca="1">INDIRECT(ADDRESS(11+(MATCH(RIGHT(Table1820[[#This Row],[spawner_sku]],LEN(Table1820[[#This Row],[spawner_sku]])-FIND("/",Table1820[[#This Row],[spawner_sku]])),Table28[Entity Prefab],0)),26,1,1,"Entities"))</f>
        <v>no</v>
      </c>
      <c r="FG61">
        <v>3</v>
      </c>
      <c r="FH61">
        <v>4</v>
      </c>
      <c r="FI61" t="b">
        <v>0</v>
      </c>
      <c r="FK61" t="s">
        <v>2694</v>
      </c>
      <c r="FL61">
        <v>1.5</v>
      </c>
      <c r="FM61">
        <v>60</v>
      </c>
      <c r="FN61">
        <v>100</v>
      </c>
      <c r="FO61">
        <f ca="1">INDIRECT(ADDRESS(11+(MATCH(RIGHT(Table182023[[#This Row],[spawner_sku]],LEN(Table182023[[#This Row],[spawner_sku]])-FIND("/",Table182023[[#This Row],[spawner_sku]])),Table1[Entity Prefab],0)),10,1,1,"Entities"))</f>
        <v>143</v>
      </c>
      <c r="FP61">
        <f ca="1">ROUND((Table182023[[#This Row],[XP]]*Table182023[[#This Row],[entity_spawned (AVG)]])*(Table182023[[#This Row],[activating_chance]]/100),0)</f>
        <v>215</v>
      </c>
      <c r="FQ61" t="str">
        <f ca="1">INDIRECT(ADDRESS(11+(MATCH(RIGHT(Table182023[[#This Row],[spawner_sku]],LEN(Table182023[[#This Row],[spawner_sku]])-FIND("/",Table182023[[#This Row],[spawner_sku]])),Table28[Entity Prefab],0)),26,1,1,"Entities"))</f>
        <v>no</v>
      </c>
      <c r="FR61">
        <v>1</v>
      </c>
      <c r="FS61">
        <v>2</v>
      </c>
      <c r="FT61" t="b">
        <v>0</v>
      </c>
      <c r="FV61" t="s">
        <v>233</v>
      </c>
      <c r="FW61">
        <v>1</v>
      </c>
      <c r="FX61">
        <v>500</v>
      </c>
      <c r="FY61">
        <v>85</v>
      </c>
      <c r="FZ61" s="74">
        <f ca="1">INDIRECT(ADDRESS(11+(MATCH(RIGHT(Table18202324[[#This Row],[spawner_sku]],LEN(Table18202324[[#This Row],[spawner_sku]])-FIND("/",Table18202324[[#This Row],[spawner_sku]])),Table1[Entity Prefab],0)),10,1,1,"Entities"))</f>
        <v>25</v>
      </c>
      <c r="GA61" s="74">
        <f ca="1">ROUND((Table18202324[[#This Row],[XP]]*Table18202324[[#This Row],[entity_spawned (AVG)]])*(Table18202324[[#This Row],[activating_chance]]/100),0)</f>
        <v>21</v>
      </c>
      <c r="GB61" s="74" t="str">
        <f ca="1">INDIRECT(ADDRESS(11+(MATCH(RIGHT(Table18202324[[#This Row],[spawner_sku]],LEN(Table18202324[[#This Row],[spawner_sku]])-FIND("/",Table18202324[[#This Row],[spawner_sku]])),Table28[Entity Prefab],0)),26,1,1,"Entities"))</f>
        <v>no</v>
      </c>
      <c r="GC61">
        <v>1</v>
      </c>
      <c r="GD61">
        <v>1</v>
      </c>
      <c r="GE61" t="b">
        <v>0</v>
      </c>
      <c r="GG61" t="s">
        <v>3816</v>
      </c>
      <c r="GH61">
        <v>1</v>
      </c>
      <c r="GI61">
        <v>240</v>
      </c>
      <c r="GJ61">
        <v>100</v>
      </c>
      <c r="GK61">
        <f ca="1">INDIRECT(ADDRESS(11+(MATCH(RIGHT(Table37[[#This Row],[spawner_sku]],LEN(Table37[[#This Row],[spawner_sku]])-FIND("/",Table37[[#This Row],[spawner_sku]])),Table1[Entity Prefab],0)),10,1,1,"Entities"))</f>
        <v>50</v>
      </c>
      <c r="GL61">
        <f ca="1">ROUND((Table37[[#This Row],[XP]]*Table37[[#This Row],[entity_spawned (AVG)]])*(Table37[[#This Row],[activating_chance]]/100),0)</f>
        <v>50</v>
      </c>
      <c r="GM61" t="str">
        <f ca="1">INDIRECT(ADDRESS(11+(MATCH(RIGHT(Table37[[#This Row],[spawner_sku]],LEN(Table37[[#This Row],[spawner_sku]])-FIND("/",Table37[[#This Row],[spawner_sku]])),Table28[Entity Prefab],0)),26,1,1,"Entities"))</f>
        <v>no</v>
      </c>
      <c r="GN61">
        <v>1</v>
      </c>
      <c r="GO61">
        <v>1</v>
      </c>
      <c r="GP61" t="b">
        <v>0</v>
      </c>
    </row>
    <row r="62" spans="2:198" x14ac:dyDescent="0.25">
      <c r="B62" s="72" t="s">
        <v>215</v>
      </c>
      <c r="C62">
        <v>6.5</v>
      </c>
      <c r="D62">
        <v>160</v>
      </c>
      <c r="E62">
        <v>100</v>
      </c>
      <c r="F62" s="74">
        <f ca="1">INDIRECT(ADDRESS(11+(MATCH(RIGHT(Table245[[#This Row],[spawner_sku]],LEN(Table245[[#This Row],[spawner_sku]])-FIND("/",Table245[[#This Row],[spawner_sku]])),Table1[Entity Prefab],0)),10,1,1,"Entities"))</f>
        <v>25</v>
      </c>
      <c r="G62" s="74">
        <f ca="1">ROUND((Table245[[#This Row],[XP]]*Table245[[#This Row],[entity_spawned (AVG)]])*(Table245[[#This Row],[activating_chance]]/100),0)</f>
        <v>163</v>
      </c>
      <c r="H62" s="71" t="str">
        <f ca="1">INDIRECT(ADDRESS(11+(MATCH(RIGHT(Table245[[#This Row],[spawner_sku]],LEN(Table245[[#This Row],[spawner_sku]])-FIND("/",Table245[[#This Row],[spawner_sku]])),Table28[Entity Prefab],0)),24,1,1,"Entities"))</f>
        <v>no</v>
      </c>
      <c r="I62" s="71">
        <v>5</v>
      </c>
      <c r="J62" s="71">
        <v>8</v>
      </c>
      <c r="K62" s="71" t="b">
        <v>1</v>
      </c>
      <c r="M62" t="s">
        <v>220</v>
      </c>
      <c r="N62">
        <v>2.5</v>
      </c>
      <c r="O62">
        <v>300</v>
      </c>
      <c r="P62">
        <v>100</v>
      </c>
      <c r="Q62" s="74">
        <f ca="1">INDIRECT(ADDRESS(11+(MATCH(RIGHT(Table3[[#This Row],[spawner_sku]],LEN(Table3[[#This Row],[spawner_sku]])-FIND("/",Table3[[#This Row],[spawner_sku]])),Table1[Entity Prefab],0)),10,1,1,"Entities"))</f>
        <v>195</v>
      </c>
      <c r="R62" s="74">
        <f ca="1">ROUND((Table3[[#This Row],[XP]]*Table3[[#This Row],[entity_spawned (AVG)]])*(Table3[[#This Row],[activating_chance]]/100),0)</f>
        <v>488</v>
      </c>
      <c r="S62" t="str">
        <f ca="1">INDIRECT(ADDRESS(11+(MATCH(RIGHT(Table3[[#This Row],[spawner_sku]],LEN(Table3[[#This Row],[spawner_sku]])-FIND("/",Table3[[#This Row],[spawner_sku]])),Table28[Entity Prefab],0)),24,1,1,"Entities"))</f>
        <v>yes</v>
      </c>
      <c r="T62">
        <v>2</v>
      </c>
      <c r="U62">
        <v>3</v>
      </c>
      <c r="V62" t="b">
        <v>0</v>
      </c>
      <c r="W62" s="71"/>
      <c r="X62" t="s">
        <v>377</v>
      </c>
      <c r="Y62">
        <v>1</v>
      </c>
      <c r="Z62">
        <v>140</v>
      </c>
      <c r="AA62">
        <v>100</v>
      </c>
      <c r="AB62" s="74">
        <f ca="1">INDIRECT(ADDRESS(11+(MATCH(RIGHT(Table39[[#This Row],[spawner_sku]],LEN(Table39[[#This Row],[spawner_sku]])-FIND("/",Table39[[#This Row],[spawner_sku]])),Table1[Entity Prefab],0)),10,1,1,"Entities"))</f>
        <v>25</v>
      </c>
      <c r="AC62" s="74">
        <f ca="1">ROUND((Table39[[#This Row],[XP]]*Table39[[#This Row],[entity_spawned (AVG)]])*(Table39[[#This Row],[activating_chance]]/100),0)</f>
        <v>25</v>
      </c>
      <c r="AD62" t="str">
        <f ca="1">INDIRECT(ADDRESS(11+(MATCH(RIGHT(Table39[[#This Row],[spawner_sku]],LEN(Table39[[#This Row],[spawner_sku]])-FIND("/",Table39[[#This Row],[spawner_sku]])),Table28[Entity Prefab],0)),24,1,1,"Entities"))</f>
        <v>no</v>
      </c>
      <c r="AE62">
        <v>1</v>
      </c>
      <c r="AF62">
        <v>1</v>
      </c>
      <c r="AG62" t="b">
        <v>0</v>
      </c>
      <c r="AI62" t="s">
        <v>215</v>
      </c>
      <c r="AJ62">
        <v>3.5</v>
      </c>
      <c r="AK62">
        <v>100</v>
      </c>
      <c r="AL62">
        <v>100</v>
      </c>
      <c r="AM62" s="74">
        <f ca="1">INDIRECT(ADDRESS(11+(MATCH(RIGHT(Table2[[#This Row],[spawner_sku]],LEN(Table2[[#This Row],[spawner_sku]])-FIND("/",Table2[[#This Row],[spawner_sku]])),Table1[Entity Prefab],0)),10,1,1,"Entities"))</f>
        <v>25</v>
      </c>
      <c r="AN62" s="74">
        <f ca="1">ROUND((Table2[[#This Row],[XP]]*Table2[[#This Row],[entity_spawned (AVG)]])*(Table2[[#This Row],[activating_chance]]/100),0)</f>
        <v>88</v>
      </c>
      <c r="AO62" s="71" t="str">
        <f ca="1">INDIRECT(ADDRESS(11+(MATCH(RIGHT(Table2[[#This Row],[spawner_sku]],LEN(Table2[[#This Row],[spawner_sku]])-FIND("/",Table2[[#This Row],[spawner_sku]])),Table28[Entity Prefab],0)),24,1,1,"Entities"))</f>
        <v>no</v>
      </c>
      <c r="AP62" s="71">
        <v>3</v>
      </c>
      <c r="AQ62" s="71">
        <v>4</v>
      </c>
      <c r="AR62" s="71" t="b">
        <v>0</v>
      </c>
      <c r="AT62" t="s">
        <v>376</v>
      </c>
      <c r="AU62">
        <v>3</v>
      </c>
      <c r="AV62">
        <v>200</v>
      </c>
      <c r="AW62">
        <v>80</v>
      </c>
      <c r="AX62" s="74">
        <f ca="1">INDIRECT(ADDRESS(11+(MATCH(RIGHT(Table6[[#This Row],[spawner_sku]],LEN(Table6[[#This Row],[spawner_sku]])-FIND("/",Table6[[#This Row],[spawner_sku]])),Table1[Entity Prefab],0)),10,1,1,"Entities"))</f>
        <v>25</v>
      </c>
      <c r="AY62" s="74">
        <f ca="1">ROUND((Table6[[#This Row],[XP]]*Table6[[#This Row],[entity_spawned (AVG)]])*(Table6[[#This Row],[activating_chance]]/100),0)</f>
        <v>60</v>
      </c>
      <c r="AZ62" s="144" t="str">
        <f ca="1">INDIRECT(ADDRESS(11+(MATCH(RIGHT(Table6[[#This Row],[spawner_sku]],LEN(Table6[[#This Row],[spawner_sku]])-FIND("/",Table6[[#This Row],[spawner_sku]])),Table28[Entity Prefab],0)),24,1,1,"Entities"))</f>
        <v>no</v>
      </c>
      <c r="BA62">
        <v>2</v>
      </c>
      <c r="BB62">
        <v>4</v>
      </c>
      <c r="BC62" t="b">
        <v>0</v>
      </c>
      <c r="BE62" t="s">
        <v>219</v>
      </c>
      <c r="BF62">
        <v>2.5</v>
      </c>
      <c r="BG62">
        <v>250</v>
      </c>
      <c r="BH62">
        <v>100</v>
      </c>
      <c r="BI62" s="74">
        <f ca="1">INDIRECT(ADDRESS(11+(MATCH(RIGHT(Table610[[#This Row],[spawner_sku]],LEN(Table610[[#This Row],[spawner_sku]])-FIND("/",Table610[[#This Row],[spawner_sku]])),Table1[Entity Prefab],0)),10,1,1,"Entities"))</f>
        <v>143</v>
      </c>
      <c r="BJ62" s="74">
        <f ca="1">ROUND((Table610[[#This Row],[XP]]*Table610[[#This Row],[entity_spawned (AVG)]])*(Table610[[#This Row],[activating_chance]]/100),0)</f>
        <v>358</v>
      </c>
      <c r="BK62" s="71" t="str">
        <f ca="1">INDIRECT(ADDRESS(11+(MATCH(RIGHT(Table610[[#This Row],[spawner_sku]],LEN(Table610[[#This Row],[spawner_sku]])-FIND("/",Table610[[#This Row],[spawner_sku]])),Table28[Entity Prefab],0)),24,1,1,"Entities"))</f>
        <v>yes</v>
      </c>
      <c r="BL62">
        <v>2</v>
      </c>
      <c r="BM62">
        <v>3</v>
      </c>
      <c r="BN62" t="b">
        <v>0</v>
      </c>
      <c r="BP62" t="s">
        <v>215</v>
      </c>
      <c r="BQ62">
        <v>5</v>
      </c>
      <c r="BR62">
        <v>210</v>
      </c>
      <c r="BS62">
        <v>100</v>
      </c>
      <c r="BT62" s="74">
        <f ca="1">INDIRECT(ADDRESS(11+(MATCH(RIGHT(Table61011[[#This Row],[spawner_sku]],LEN(Table61011[[#This Row],[spawner_sku]])-FIND("/",Table61011[[#This Row],[spawner_sku]])),Table1[Entity Prefab],0)),10,1,1,"Entities"))</f>
        <v>25</v>
      </c>
      <c r="BU62" s="74">
        <f ca="1">ROUND((Table61011[[#This Row],[XP]]*Table61011[[#This Row],[entity_spawned (AVG)]])*(Table61011[[#This Row],[activating_chance]]/100),0)</f>
        <v>125</v>
      </c>
      <c r="BV62" s="71" t="str">
        <f ca="1">INDIRECT(ADDRESS(11+(MATCH(RIGHT(Table61011[[#This Row],[spawner_sku]],LEN(Table61011[[#This Row],[spawner_sku]])-FIND("/",Table61011[[#This Row],[spawner_sku]])),Table28[Entity Prefab],0)),24,1,1,"Entities"))</f>
        <v>no</v>
      </c>
      <c r="BW62" s="71">
        <v>5</v>
      </c>
      <c r="BX62" s="71">
        <v>5</v>
      </c>
      <c r="BY62" s="71" t="b">
        <v>1</v>
      </c>
      <c r="BZ62" s="71"/>
      <c r="CA62" s="147" t="s">
        <v>570</v>
      </c>
      <c r="CB62">
        <v>1</v>
      </c>
      <c r="CC62">
        <v>120</v>
      </c>
      <c r="CD62">
        <v>100</v>
      </c>
      <c r="CE62" s="74">
        <f ca="1">INDIRECT(ADDRESS(11+(MATCH(RIGHT(Table35[[#This Row],[spawner_sku]],LEN(Table35[[#This Row],[spawner_sku]])-FIND("/",Table35[[#This Row],[spawner_sku]])),Table1[Entity Prefab],0)),10,1,1,"Entities"))</f>
        <v>50</v>
      </c>
      <c r="CF62" s="74">
        <f ca="1">ROUND((Table35[[#This Row],[XP]]*Table35[[#This Row],[entity_spawned (AVG)]])*(Table35[[#This Row],[activating_chance]]/100),0)</f>
        <v>50</v>
      </c>
      <c r="CG62" s="144" t="str">
        <f ca="1">INDIRECT(ADDRESS(11+(MATCH(RIGHT(Table35[[#This Row],[spawner_sku]],LEN(Table35[[#This Row],[spawner_sku]])-FIND("/",Table35[[#This Row],[spawner_sku]])),Table28[Entity Prefab],0)),24,1,1,"Entities"))</f>
        <v>no</v>
      </c>
      <c r="CH62">
        <v>1</v>
      </c>
      <c r="CI62">
        <v>1</v>
      </c>
      <c r="CJ62" s="71" t="b">
        <v>0</v>
      </c>
      <c r="CL62" t="s">
        <v>215</v>
      </c>
      <c r="CM62">
        <v>1.5</v>
      </c>
      <c r="CN62">
        <v>190</v>
      </c>
      <c r="CO62">
        <v>80</v>
      </c>
      <c r="CP62" s="74">
        <f ca="1">INDIRECT(ADDRESS(11+(MATCH(RIGHT(Table11[[#This Row],[spawner_sku]],LEN(Table11[[#This Row],[spawner_sku]])-FIND("/",Table11[[#This Row],[spawner_sku]])),Table1[Entity Prefab],0)),10,1,1,"Entities"))</f>
        <v>25</v>
      </c>
      <c r="CQ62">
        <f ca="1">ROUND((Table11[[#This Row],[XP]]*Table11[[#This Row],[entity_spawned (AVG)]])*(Table11[[#This Row],[activating_chance]]/100),0)</f>
        <v>30</v>
      </c>
      <c r="CR62" s="144" t="str">
        <f ca="1">INDIRECT(ADDRESS(11+(MATCH(RIGHT(Table11[[#This Row],[spawner_sku]],LEN(Table11[[#This Row],[spawner_sku]])-FIND("/",Table11[[#This Row],[spawner_sku]])),Table28[Entity Prefab],0)),25,1,1,"Entities"))</f>
        <v>no</v>
      </c>
      <c r="CS62" s="71">
        <v>1</v>
      </c>
      <c r="CT62" s="71">
        <v>2</v>
      </c>
      <c r="CU62" s="71" t="b">
        <v>0</v>
      </c>
      <c r="CW62" t="s">
        <v>228</v>
      </c>
      <c r="CX62">
        <v>1</v>
      </c>
      <c r="CY62">
        <v>1500</v>
      </c>
      <c r="CZ62">
        <v>100</v>
      </c>
      <c r="DA62" s="74">
        <f ca="1">INDIRECT(ADDRESS(11+(MATCH(RIGHT(Table12[[#This Row],[spawner_sku]],LEN(Table12[[#This Row],[spawner_sku]])-FIND("/",Table12[[#This Row],[spawner_sku]])),Table1[Entity Prefab],0)),10,1,1,"Entities"))</f>
        <v>130</v>
      </c>
      <c r="DB62" s="74">
        <f ca="1">ROUND((Table12[[#This Row],[XP]]*Table12[[#This Row],[entity_spawned (AVG)]])*(Table12[[#This Row],[activating_chance]]/100),0)</f>
        <v>130</v>
      </c>
      <c r="DC62" s="144" t="str">
        <f ca="1">INDIRECT(ADDRESS(11+(MATCH(RIGHT(Table12[[#This Row],[spawner_sku]],LEN(Table12[[#This Row],[spawner_sku]])-FIND("/",Table12[[#This Row],[spawner_sku]])),Table28[Entity Prefab],0)),25,1,1,"Entities"))</f>
        <v>yes</v>
      </c>
      <c r="DD62" s="71">
        <v>1</v>
      </c>
      <c r="DE62" s="71">
        <v>1</v>
      </c>
      <c r="DF62" s="71" t="b">
        <v>0</v>
      </c>
      <c r="DH62" t="s">
        <v>219</v>
      </c>
      <c r="DI62">
        <v>1</v>
      </c>
      <c r="DJ62">
        <v>250</v>
      </c>
      <c r="DK62">
        <v>100</v>
      </c>
      <c r="DL62" s="74">
        <f ca="1">INDIRECT(ADDRESS(11+(MATCH(RIGHT(Table13[[#This Row],[spawner_sku]],LEN(Table13[[#This Row],[spawner_sku]])-FIND("/",Table13[[#This Row],[spawner_sku]])),Table1[Entity Prefab],0)),10,1,1,"Entities"))</f>
        <v>143</v>
      </c>
      <c r="DM62" s="74">
        <f ca="1">ROUND((Table13[[#This Row],[XP]]*Table13[[#This Row],[entity_spawned (AVG)]])*(Table13[[#This Row],[activating_chance]]/100),0)</f>
        <v>143</v>
      </c>
      <c r="DN62" s="144" t="str">
        <f ca="1">INDIRECT(ADDRESS(11+(MATCH(RIGHT(Table13[[#This Row],[spawner_sku]],LEN(Table13[[#This Row],[spawner_sku]])-FIND("/",Table13[[#This Row],[spawner_sku]])),Table28[Entity Prefab],0)),25,1,1,"Entities"))</f>
        <v>yes</v>
      </c>
      <c r="DO62" s="71">
        <v>1</v>
      </c>
      <c r="DP62" s="71">
        <v>1</v>
      </c>
      <c r="DQ62" s="71" t="b">
        <v>0</v>
      </c>
      <c r="DS62" t="s">
        <v>214</v>
      </c>
      <c r="DT62">
        <v>3.5</v>
      </c>
      <c r="DU62">
        <v>130</v>
      </c>
      <c r="DV62">
        <v>100</v>
      </c>
      <c r="DW62" s="74">
        <f ca="1">INDIRECT(ADDRESS(11+(MATCH(RIGHT(Table14[[#This Row],[spawner_sku]],LEN(Table14[[#This Row],[spawner_sku]])-FIND("/",Table14[[#This Row],[spawner_sku]])),Table1[Entity Prefab],0)),10,1,1,"Entities"))</f>
        <v>25</v>
      </c>
      <c r="DX62" s="74">
        <f ca="1">ROUND((Table14[[#This Row],[XP]]*Table14[[#This Row],[entity_spawned (AVG)]])*(Table14[[#This Row],[activating_chance]]/100),0)</f>
        <v>88</v>
      </c>
      <c r="DY62" s="144" t="str">
        <f ca="1">INDIRECT(ADDRESS(11+(MATCH(RIGHT(Table14[[#This Row],[spawner_sku]],LEN(Table14[[#This Row],[spawner_sku]])-FIND("/",Table14[[#This Row],[spawner_sku]])),Table28[Entity Prefab],0)),25,1,1,"Entities"))</f>
        <v>no</v>
      </c>
      <c r="DZ62" s="71">
        <v>3</v>
      </c>
      <c r="EA62" s="71">
        <v>4</v>
      </c>
      <c r="EB62" s="71" t="b">
        <v>0</v>
      </c>
      <c r="EC62" s="71"/>
      <c r="ED62" s="147" t="s">
        <v>8142</v>
      </c>
      <c r="EE62" s="71">
        <v>1</v>
      </c>
      <c r="EF62" s="71">
        <v>200</v>
      </c>
      <c r="EG62" s="71">
        <v>80</v>
      </c>
      <c r="EH62" s="71">
        <f ca="1">INDIRECT(ADDRESS(11+(MATCH(RIGHT(Table36[[#This Row],[spawner_sku]],LEN(Table36[[#This Row],[spawner_sku]])-FIND("/",Table36[[#This Row],[spawner_sku]])),Table1[Entity Prefab],0)),10,1,1,"Entities"))</f>
        <v>75</v>
      </c>
      <c r="EI62" s="71">
        <f ca="1">ROUND((Table36[[#This Row],[XP]]*Table36[[#This Row],[entity_spawned (AVG)]])*(Table36[[#This Row],[activating_chance]]/100),0)</f>
        <v>60</v>
      </c>
      <c r="EJ62" s="71" t="str">
        <f ca="1">INDIRECT(ADDRESS(11+(MATCH(RIGHT(Table36[[#This Row],[spawner_sku]],LEN(Table36[[#This Row],[spawner_sku]])-FIND("/",Table36[[#This Row],[spawner_sku]])),Table28[Entity Prefab],0)),25,1,1,"Entities"))</f>
        <v>no</v>
      </c>
      <c r="EK62" s="71">
        <v>1</v>
      </c>
      <c r="EL62" s="71">
        <v>1</v>
      </c>
      <c r="EM62" s="71" t="b">
        <v>0</v>
      </c>
      <c r="EO62" t="s">
        <v>214</v>
      </c>
      <c r="EP62">
        <v>3.5</v>
      </c>
      <c r="EQ62">
        <v>140</v>
      </c>
      <c r="ER62">
        <v>100</v>
      </c>
      <c r="ES62" s="74">
        <f ca="1">INDIRECT(ADDRESS(11+(MATCH(RIGHT(Table18[[#This Row],[spawner_sku]],LEN(Table18[[#This Row],[spawner_sku]])-FIND("/",Table18[[#This Row],[spawner_sku]])),Table1[Entity Prefab],0)),10,1,1,"Entities"))</f>
        <v>25</v>
      </c>
      <c r="ET62" s="74">
        <f ca="1">ROUND((Table18[[#This Row],[XP]]*Table18[[#This Row],[entity_spawned (AVG)]])*(Table18[[#This Row],[activating_chance]]/100),0)</f>
        <v>88</v>
      </c>
      <c r="EU62" s="74" t="str">
        <f ca="1">INDIRECT(ADDRESS(11+(MATCH(RIGHT(Table18[[#This Row],[spawner_sku]],LEN(Table18[[#This Row],[spawner_sku]])-FIND("/",Table18[[#This Row],[spawner_sku]])),Table28[Entity Prefab],0)),26,1,1,"Entities"))</f>
        <v>no</v>
      </c>
      <c r="EV62">
        <v>3</v>
      </c>
      <c r="EW62">
        <v>4</v>
      </c>
      <c r="EX62" t="b">
        <v>0</v>
      </c>
      <c r="EZ62" t="s">
        <v>214</v>
      </c>
      <c r="FA62">
        <v>7</v>
      </c>
      <c r="FB62">
        <v>90</v>
      </c>
      <c r="FC62">
        <v>100</v>
      </c>
      <c r="FD62" s="74">
        <f ca="1">INDIRECT(ADDRESS(11+(MATCH(RIGHT(Table1820[[#This Row],[spawner_sku]],LEN(Table1820[[#This Row],[spawner_sku]])-FIND("/",Table1820[[#This Row],[spawner_sku]])),Table1[Entity Prefab],0)),10,1,1,"Entities"))</f>
        <v>25</v>
      </c>
      <c r="FE62" s="74">
        <f ca="1">ROUND((Table1820[[#This Row],[XP]]*Table1820[[#This Row],[entity_spawned (AVG)]])*(Table1820[[#This Row],[activating_chance]]/100),0)</f>
        <v>175</v>
      </c>
      <c r="FF62" s="74" t="str">
        <f ca="1">INDIRECT(ADDRESS(11+(MATCH(RIGHT(Table1820[[#This Row],[spawner_sku]],LEN(Table1820[[#This Row],[spawner_sku]])-FIND("/",Table1820[[#This Row],[spawner_sku]])),Table28[Entity Prefab],0)),26,1,1,"Entities"))</f>
        <v>no</v>
      </c>
      <c r="FG62">
        <v>6</v>
      </c>
      <c r="FH62">
        <v>8</v>
      </c>
      <c r="FI62" t="b">
        <v>1</v>
      </c>
      <c r="FK62" t="s">
        <v>2694</v>
      </c>
      <c r="FL62">
        <v>2.5</v>
      </c>
      <c r="FM62">
        <v>70</v>
      </c>
      <c r="FN62">
        <v>100</v>
      </c>
      <c r="FO62">
        <f ca="1">INDIRECT(ADDRESS(11+(MATCH(RIGHT(Table182023[[#This Row],[spawner_sku]],LEN(Table182023[[#This Row],[spawner_sku]])-FIND("/",Table182023[[#This Row],[spawner_sku]])),Table1[Entity Prefab],0)),10,1,1,"Entities"))</f>
        <v>143</v>
      </c>
      <c r="FP62">
        <f ca="1">ROUND((Table182023[[#This Row],[XP]]*Table182023[[#This Row],[entity_spawned (AVG)]])*(Table182023[[#This Row],[activating_chance]]/100),0)</f>
        <v>358</v>
      </c>
      <c r="FQ62" t="str">
        <f ca="1">INDIRECT(ADDRESS(11+(MATCH(RIGHT(Table182023[[#This Row],[spawner_sku]],LEN(Table182023[[#This Row],[spawner_sku]])-FIND("/",Table182023[[#This Row],[spawner_sku]])),Table28[Entity Prefab],0)),26,1,1,"Entities"))</f>
        <v>no</v>
      </c>
      <c r="FR62">
        <v>2</v>
      </c>
      <c r="FS62">
        <v>3</v>
      </c>
      <c r="FT62" t="b">
        <v>0</v>
      </c>
      <c r="FV62" t="s">
        <v>5003</v>
      </c>
      <c r="FW62">
        <v>1</v>
      </c>
      <c r="FX62">
        <v>5000</v>
      </c>
      <c r="FY62">
        <v>100</v>
      </c>
      <c r="FZ62" s="74">
        <f ca="1">INDIRECT(ADDRESS(11+(MATCH(RIGHT(Table18202324[[#This Row],[spawner_sku]],LEN(Table18202324[[#This Row],[spawner_sku]])-FIND("/",Table18202324[[#This Row],[spawner_sku]])),Table1[Entity Prefab],0)),10,1,1,"Entities"))</f>
        <v>25</v>
      </c>
      <c r="GA62" s="74">
        <f ca="1">ROUND((Table18202324[[#This Row],[XP]]*Table18202324[[#This Row],[entity_spawned (AVG)]])*(Table18202324[[#This Row],[activating_chance]]/100),0)</f>
        <v>25</v>
      </c>
      <c r="GB62" s="74" t="str">
        <f ca="1">INDIRECT(ADDRESS(11+(MATCH(RIGHT(Table18202324[[#This Row],[spawner_sku]],LEN(Table18202324[[#This Row],[spawner_sku]])-FIND("/",Table18202324[[#This Row],[spawner_sku]])),Table28[Entity Prefab],0)),26,1,1,"Entities"))</f>
        <v>no</v>
      </c>
      <c r="GC62">
        <v>1</v>
      </c>
      <c r="GD62">
        <v>1</v>
      </c>
      <c r="GE62" t="b">
        <v>0</v>
      </c>
      <c r="GG62" t="s">
        <v>3816</v>
      </c>
      <c r="GH62">
        <v>1</v>
      </c>
      <c r="GI62">
        <v>240</v>
      </c>
      <c r="GJ62">
        <v>100</v>
      </c>
      <c r="GK62">
        <f ca="1">INDIRECT(ADDRESS(11+(MATCH(RIGHT(Table37[[#This Row],[spawner_sku]],LEN(Table37[[#This Row],[spawner_sku]])-FIND("/",Table37[[#This Row],[spawner_sku]])),Table1[Entity Prefab],0)),10,1,1,"Entities"))</f>
        <v>50</v>
      </c>
      <c r="GL62">
        <f ca="1">ROUND((Table37[[#This Row],[XP]]*Table37[[#This Row],[entity_spawned (AVG)]])*(Table37[[#This Row],[activating_chance]]/100),0)</f>
        <v>50</v>
      </c>
      <c r="GM62" t="str">
        <f ca="1">INDIRECT(ADDRESS(11+(MATCH(RIGHT(Table37[[#This Row],[spawner_sku]],LEN(Table37[[#This Row],[spawner_sku]])-FIND("/",Table37[[#This Row],[spawner_sku]])),Table28[Entity Prefab],0)),26,1,1,"Entities"))</f>
        <v>no</v>
      </c>
      <c r="GN62">
        <v>1</v>
      </c>
      <c r="GO62">
        <v>1</v>
      </c>
      <c r="GP62" t="b">
        <v>0</v>
      </c>
    </row>
    <row r="63" spans="2:198" x14ac:dyDescent="0.25">
      <c r="B63" s="72" t="s">
        <v>215</v>
      </c>
      <c r="C63">
        <v>2</v>
      </c>
      <c r="D63">
        <v>130</v>
      </c>
      <c r="E63">
        <v>100</v>
      </c>
      <c r="F63" s="74">
        <f ca="1">INDIRECT(ADDRESS(11+(MATCH(RIGHT(Table245[[#This Row],[spawner_sku]],LEN(Table245[[#This Row],[spawner_sku]])-FIND("/",Table245[[#This Row],[spawner_sku]])),Table1[Entity Prefab],0)),10,1,1,"Entities"))</f>
        <v>25</v>
      </c>
      <c r="G63" s="74">
        <f ca="1">ROUND((Table245[[#This Row],[XP]]*Table245[[#This Row],[entity_spawned (AVG)]])*(Table245[[#This Row],[activating_chance]]/100),0)</f>
        <v>50</v>
      </c>
      <c r="H63" s="71" t="str">
        <f ca="1">INDIRECT(ADDRESS(11+(MATCH(RIGHT(Table245[[#This Row],[spawner_sku]],LEN(Table245[[#This Row],[spawner_sku]])-FIND("/",Table245[[#This Row],[spawner_sku]])),Table28[Entity Prefab],0)),24,1,1,"Entities"))</f>
        <v>no</v>
      </c>
      <c r="I63" s="71">
        <v>1</v>
      </c>
      <c r="J63" s="71">
        <v>3</v>
      </c>
      <c r="K63" s="71" t="b">
        <v>0</v>
      </c>
      <c r="M63" t="s">
        <v>220</v>
      </c>
      <c r="N63">
        <v>1.5</v>
      </c>
      <c r="O63">
        <v>300</v>
      </c>
      <c r="P63">
        <v>100</v>
      </c>
      <c r="Q63" s="74">
        <f ca="1">INDIRECT(ADDRESS(11+(MATCH(RIGHT(Table3[[#This Row],[spawner_sku]],LEN(Table3[[#This Row],[spawner_sku]])-FIND("/",Table3[[#This Row],[spawner_sku]])),Table1[Entity Prefab],0)),10,1,1,"Entities"))</f>
        <v>195</v>
      </c>
      <c r="R63" s="74">
        <f ca="1">ROUND((Table3[[#This Row],[XP]]*Table3[[#This Row],[entity_spawned (AVG)]])*(Table3[[#This Row],[activating_chance]]/100),0)</f>
        <v>293</v>
      </c>
      <c r="S63" t="str">
        <f ca="1">INDIRECT(ADDRESS(11+(MATCH(RIGHT(Table3[[#This Row],[spawner_sku]],LEN(Table3[[#This Row],[spawner_sku]])-FIND("/",Table3[[#This Row],[spawner_sku]])),Table28[Entity Prefab],0)),24,1,1,"Entities"))</f>
        <v>yes</v>
      </c>
      <c r="T63">
        <v>1</v>
      </c>
      <c r="U63">
        <v>2</v>
      </c>
      <c r="V63" t="b">
        <v>0</v>
      </c>
      <c r="W63" s="71"/>
      <c r="X63" t="s">
        <v>377</v>
      </c>
      <c r="Y63">
        <v>2</v>
      </c>
      <c r="Z63">
        <v>160</v>
      </c>
      <c r="AA63">
        <v>70</v>
      </c>
      <c r="AB63" s="74">
        <f ca="1">INDIRECT(ADDRESS(11+(MATCH(RIGHT(Table39[[#This Row],[spawner_sku]],LEN(Table39[[#This Row],[spawner_sku]])-FIND("/",Table39[[#This Row],[spawner_sku]])),Table1[Entity Prefab],0)),10,1,1,"Entities"))</f>
        <v>25</v>
      </c>
      <c r="AC63" s="74">
        <f ca="1">ROUND((Table39[[#This Row],[XP]]*Table39[[#This Row],[entity_spawned (AVG)]])*(Table39[[#This Row],[activating_chance]]/100),0)</f>
        <v>35</v>
      </c>
      <c r="AD63" t="str">
        <f ca="1">INDIRECT(ADDRESS(11+(MATCH(RIGHT(Table39[[#This Row],[spawner_sku]],LEN(Table39[[#This Row],[spawner_sku]])-FIND("/",Table39[[#This Row],[spawner_sku]])),Table28[Entity Prefab],0)),24,1,1,"Entities"))</f>
        <v>no</v>
      </c>
      <c r="AE63">
        <v>2</v>
      </c>
      <c r="AF63">
        <v>2</v>
      </c>
      <c r="AG63" t="b">
        <v>0</v>
      </c>
      <c r="AI63" t="s">
        <v>215</v>
      </c>
      <c r="AJ63">
        <v>6.5</v>
      </c>
      <c r="AK63">
        <v>120</v>
      </c>
      <c r="AL63">
        <v>100</v>
      </c>
      <c r="AM63" s="74">
        <f ca="1">INDIRECT(ADDRESS(11+(MATCH(RIGHT(Table2[[#This Row],[spawner_sku]],LEN(Table2[[#This Row],[spawner_sku]])-FIND("/",Table2[[#This Row],[spawner_sku]])),Table1[Entity Prefab],0)),10,1,1,"Entities"))</f>
        <v>25</v>
      </c>
      <c r="AN63" s="74">
        <f ca="1">ROUND((Table2[[#This Row],[XP]]*Table2[[#This Row],[entity_spawned (AVG)]])*(Table2[[#This Row],[activating_chance]]/100),0)</f>
        <v>163</v>
      </c>
      <c r="AO63" s="71" t="str">
        <f ca="1">INDIRECT(ADDRESS(11+(MATCH(RIGHT(Table2[[#This Row],[spawner_sku]],LEN(Table2[[#This Row],[spawner_sku]])-FIND("/",Table2[[#This Row],[spawner_sku]])),Table28[Entity Prefab],0)),24,1,1,"Entities"))</f>
        <v>no</v>
      </c>
      <c r="AP63" s="71">
        <v>5</v>
      </c>
      <c r="AQ63" s="71">
        <v>8</v>
      </c>
      <c r="AR63" s="71" t="b">
        <v>1</v>
      </c>
      <c r="AT63" t="s">
        <v>376</v>
      </c>
      <c r="AU63">
        <v>5.5</v>
      </c>
      <c r="AV63">
        <v>200</v>
      </c>
      <c r="AW63">
        <v>100</v>
      </c>
      <c r="AX63" s="74">
        <f ca="1">INDIRECT(ADDRESS(11+(MATCH(RIGHT(Table6[[#This Row],[spawner_sku]],LEN(Table6[[#This Row],[spawner_sku]])-FIND("/",Table6[[#This Row],[spawner_sku]])),Table1[Entity Prefab],0)),10,1,1,"Entities"))</f>
        <v>25</v>
      </c>
      <c r="AY63" s="74">
        <f ca="1">ROUND((Table6[[#This Row],[XP]]*Table6[[#This Row],[entity_spawned (AVG)]])*(Table6[[#This Row],[activating_chance]]/100),0)</f>
        <v>138</v>
      </c>
      <c r="AZ63" s="144" t="str">
        <f ca="1">INDIRECT(ADDRESS(11+(MATCH(RIGHT(Table6[[#This Row],[spawner_sku]],LEN(Table6[[#This Row],[spawner_sku]])-FIND("/",Table6[[#This Row],[spawner_sku]])),Table28[Entity Prefab],0)),24,1,1,"Entities"))</f>
        <v>no</v>
      </c>
      <c r="BA63">
        <v>5</v>
      </c>
      <c r="BB63">
        <v>6</v>
      </c>
      <c r="BC63" t="b">
        <v>1</v>
      </c>
      <c r="BE63" t="s">
        <v>219</v>
      </c>
      <c r="BF63">
        <v>1</v>
      </c>
      <c r="BG63">
        <v>250</v>
      </c>
      <c r="BH63">
        <v>100</v>
      </c>
      <c r="BI63" s="74">
        <f ca="1">INDIRECT(ADDRESS(11+(MATCH(RIGHT(Table610[[#This Row],[spawner_sku]],LEN(Table610[[#This Row],[spawner_sku]])-FIND("/",Table610[[#This Row],[spawner_sku]])),Table1[Entity Prefab],0)),10,1,1,"Entities"))</f>
        <v>143</v>
      </c>
      <c r="BJ63" s="74">
        <f ca="1">ROUND((Table610[[#This Row],[XP]]*Table610[[#This Row],[entity_spawned (AVG)]])*(Table610[[#This Row],[activating_chance]]/100),0)</f>
        <v>143</v>
      </c>
      <c r="BK63" s="71" t="str">
        <f ca="1">INDIRECT(ADDRESS(11+(MATCH(RIGHT(Table610[[#This Row],[spawner_sku]],LEN(Table610[[#This Row],[spawner_sku]])-FIND("/",Table610[[#This Row],[spawner_sku]])),Table28[Entity Prefab],0)),24,1,1,"Entities"))</f>
        <v>yes</v>
      </c>
      <c r="BL63">
        <v>1</v>
      </c>
      <c r="BM63">
        <v>1</v>
      </c>
      <c r="BN63" t="b">
        <v>0</v>
      </c>
      <c r="BP63" t="s">
        <v>215</v>
      </c>
      <c r="BQ63">
        <v>1.5</v>
      </c>
      <c r="BR63">
        <v>160</v>
      </c>
      <c r="BS63">
        <v>100</v>
      </c>
      <c r="BT63" s="74">
        <f ca="1">INDIRECT(ADDRESS(11+(MATCH(RIGHT(Table61011[[#This Row],[spawner_sku]],LEN(Table61011[[#This Row],[spawner_sku]])-FIND("/",Table61011[[#This Row],[spawner_sku]])),Table1[Entity Prefab],0)),10,1,1,"Entities"))</f>
        <v>25</v>
      </c>
      <c r="BU63" s="74">
        <f ca="1">ROUND((Table61011[[#This Row],[XP]]*Table61011[[#This Row],[entity_spawned (AVG)]])*(Table61011[[#This Row],[activating_chance]]/100),0)</f>
        <v>38</v>
      </c>
      <c r="BV63" s="71" t="str">
        <f ca="1">INDIRECT(ADDRESS(11+(MATCH(RIGHT(Table61011[[#This Row],[spawner_sku]],LEN(Table61011[[#This Row],[spawner_sku]])-FIND("/",Table61011[[#This Row],[spawner_sku]])),Table28[Entity Prefab],0)),24,1,1,"Entities"))</f>
        <v>no</v>
      </c>
      <c r="BW63" s="71">
        <v>1</v>
      </c>
      <c r="BX63" s="71">
        <v>2</v>
      </c>
      <c r="BY63" s="71" t="b">
        <v>0</v>
      </c>
      <c r="BZ63" s="71"/>
      <c r="CA63" s="147" t="s">
        <v>570</v>
      </c>
      <c r="CB63">
        <v>1</v>
      </c>
      <c r="CC63">
        <v>120</v>
      </c>
      <c r="CD63">
        <v>100</v>
      </c>
      <c r="CE63" s="74">
        <f ca="1">INDIRECT(ADDRESS(11+(MATCH(RIGHT(Table35[[#This Row],[spawner_sku]],LEN(Table35[[#This Row],[spawner_sku]])-FIND("/",Table35[[#This Row],[spawner_sku]])),Table1[Entity Prefab],0)),10,1,1,"Entities"))</f>
        <v>50</v>
      </c>
      <c r="CF63" s="74">
        <f ca="1">ROUND((Table35[[#This Row],[XP]]*Table35[[#This Row],[entity_spawned (AVG)]])*(Table35[[#This Row],[activating_chance]]/100),0)</f>
        <v>50</v>
      </c>
      <c r="CG63" s="144" t="str">
        <f ca="1">INDIRECT(ADDRESS(11+(MATCH(RIGHT(Table35[[#This Row],[spawner_sku]],LEN(Table35[[#This Row],[spawner_sku]])-FIND("/",Table35[[#This Row],[spawner_sku]])),Table28[Entity Prefab],0)),24,1,1,"Entities"))</f>
        <v>no</v>
      </c>
      <c r="CH63">
        <v>1</v>
      </c>
      <c r="CI63">
        <v>1</v>
      </c>
      <c r="CJ63" s="71" t="b">
        <v>0</v>
      </c>
      <c r="CL63" t="s">
        <v>215</v>
      </c>
      <c r="CM63">
        <v>3</v>
      </c>
      <c r="CN63">
        <v>180</v>
      </c>
      <c r="CO63">
        <v>100</v>
      </c>
      <c r="CP63" s="74">
        <f ca="1">INDIRECT(ADDRESS(11+(MATCH(RIGHT(Table11[[#This Row],[spawner_sku]],LEN(Table11[[#This Row],[spawner_sku]])-FIND("/",Table11[[#This Row],[spawner_sku]])),Table1[Entity Prefab],0)),10,1,1,"Entities"))</f>
        <v>25</v>
      </c>
      <c r="CQ63">
        <f ca="1">ROUND((Table11[[#This Row],[XP]]*Table11[[#This Row],[entity_spawned (AVG)]])*(Table11[[#This Row],[activating_chance]]/100),0)</f>
        <v>75</v>
      </c>
      <c r="CR63" s="144" t="str">
        <f ca="1">INDIRECT(ADDRESS(11+(MATCH(RIGHT(Table11[[#This Row],[spawner_sku]],LEN(Table11[[#This Row],[spawner_sku]])-FIND("/",Table11[[#This Row],[spawner_sku]])),Table28[Entity Prefab],0)),25,1,1,"Entities"))</f>
        <v>no</v>
      </c>
      <c r="CS63" s="71">
        <v>2</v>
      </c>
      <c r="CT63" s="71">
        <v>4</v>
      </c>
      <c r="CU63" s="71" t="b">
        <v>0</v>
      </c>
      <c r="CW63" t="s">
        <v>229</v>
      </c>
      <c r="CX63">
        <v>1</v>
      </c>
      <c r="CY63">
        <v>1500</v>
      </c>
      <c r="CZ63">
        <v>100</v>
      </c>
      <c r="DA63" s="74">
        <f ca="1">INDIRECT(ADDRESS(11+(MATCH(RIGHT(Table12[[#This Row],[spawner_sku]],LEN(Table12[[#This Row],[spawner_sku]])-FIND("/",Table12[[#This Row],[spawner_sku]])),Table1[Entity Prefab],0)),10,1,1,"Entities"))</f>
        <v>130</v>
      </c>
      <c r="DB63" s="74">
        <f ca="1">ROUND((Table12[[#This Row],[XP]]*Table12[[#This Row],[entity_spawned (AVG)]])*(Table12[[#This Row],[activating_chance]]/100),0)</f>
        <v>130</v>
      </c>
      <c r="DC63" s="144" t="str">
        <f ca="1">INDIRECT(ADDRESS(11+(MATCH(RIGHT(Table12[[#This Row],[spawner_sku]],LEN(Table12[[#This Row],[spawner_sku]])-FIND("/",Table12[[#This Row],[spawner_sku]])),Table28[Entity Prefab],0)),25,1,1,"Entities"))</f>
        <v>yes</v>
      </c>
      <c r="DD63" s="71">
        <v>1</v>
      </c>
      <c r="DE63" s="71">
        <v>1</v>
      </c>
      <c r="DF63" s="71" t="b">
        <v>0</v>
      </c>
      <c r="DH63" t="s">
        <v>219</v>
      </c>
      <c r="DI63">
        <v>1</v>
      </c>
      <c r="DJ63">
        <v>250</v>
      </c>
      <c r="DK63">
        <v>100</v>
      </c>
      <c r="DL63" s="74">
        <f ca="1">INDIRECT(ADDRESS(11+(MATCH(RIGHT(Table13[[#This Row],[spawner_sku]],LEN(Table13[[#This Row],[spawner_sku]])-FIND("/",Table13[[#This Row],[spawner_sku]])),Table1[Entity Prefab],0)),10,1,1,"Entities"))</f>
        <v>143</v>
      </c>
      <c r="DM63" s="74">
        <f ca="1">ROUND((Table13[[#This Row],[XP]]*Table13[[#This Row],[entity_spawned (AVG)]])*(Table13[[#This Row],[activating_chance]]/100),0)</f>
        <v>143</v>
      </c>
      <c r="DN63" s="144" t="str">
        <f ca="1">INDIRECT(ADDRESS(11+(MATCH(RIGHT(Table13[[#This Row],[spawner_sku]],LEN(Table13[[#This Row],[spawner_sku]])-FIND("/",Table13[[#This Row],[spawner_sku]])),Table28[Entity Prefab],0)),25,1,1,"Entities"))</f>
        <v>yes</v>
      </c>
      <c r="DO63" s="71">
        <v>1</v>
      </c>
      <c r="DP63" s="71">
        <v>1</v>
      </c>
      <c r="DQ63" s="71" t="b">
        <v>0</v>
      </c>
      <c r="DS63" t="s">
        <v>214</v>
      </c>
      <c r="DT63">
        <v>5.5</v>
      </c>
      <c r="DU63">
        <v>120</v>
      </c>
      <c r="DV63">
        <v>100</v>
      </c>
      <c r="DW63" s="74">
        <f ca="1">INDIRECT(ADDRESS(11+(MATCH(RIGHT(Table14[[#This Row],[spawner_sku]],LEN(Table14[[#This Row],[spawner_sku]])-FIND("/",Table14[[#This Row],[spawner_sku]])),Table1[Entity Prefab],0)),10,1,1,"Entities"))</f>
        <v>25</v>
      </c>
      <c r="DX63" s="74">
        <f ca="1">ROUND((Table14[[#This Row],[XP]]*Table14[[#This Row],[entity_spawned (AVG)]])*(Table14[[#This Row],[activating_chance]]/100),0)</f>
        <v>138</v>
      </c>
      <c r="DY63" s="144" t="str">
        <f ca="1">INDIRECT(ADDRESS(11+(MATCH(RIGHT(Table14[[#This Row],[spawner_sku]],LEN(Table14[[#This Row],[spawner_sku]])-FIND("/",Table14[[#This Row],[spawner_sku]])),Table28[Entity Prefab],0)),25,1,1,"Entities"))</f>
        <v>no</v>
      </c>
      <c r="DZ63" s="71">
        <v>5</v>
      </c>
      <c r="EA63" s="71">
        <v>6</v>
      </c>
      <c r="EB63" s="71" t="b">
        <v>1</v>
      </c>
      <c r="EC63" s="71"/>
      <c r="ED63" s="147" t="s">
        <v>8142</v>
      </c>
      <c r="EE63" s="71">
        <v>1</v>
      </c>
      <c r="EF63" s="71">
        <v>200</v>
      </c>
      <c r="EG63" s="71">
        <v>100</v>
      </c>
      <c r="EH63" s="71">
        <f ca="1">INDIRECT(ADDRESS(11+(MATCH(RIGHT(Table36[[#This Row],[spawner_sku]],LEN(Table36[[#This Row],[spawner_sku]])-FIND("/",Table36[[#This Row],[spawner_sku]])),Table1[Entity Prefab],0)),10,1,1,"Entities"))</f>
        <v>75</v>
      </c>
      <c r="EI63" s="71">
        <f ca="1">ROUND((Table36[[#This Row],[XP]]*Table36[[#This Row],[entity_spawned (AVG)]])*(Table36[[#This Row],[activating_chance]]/100),0)</f>
        <v>75</v>
      </c>
      <c r="EJ63" s="71" t="str">
        <f ca="1">INDIRECT(ADDRESS(11+(MATCH(RIGHT(Table36[[#This Row],[spawner_sku]],LEN(Table36[[#This Row],[spawner_sku]])-FIND("/",Table36[[#This Row],[spawner_sku]])),Table28[Entity Prefab],0)),25,1,1,"Entities"))</f>
        <v>no</v>
      </c>
      <c r="EK63" s="71">
        <v>1</v>
      </c>
      <c r="EL63" s="71">
        <v>1</v>
      </c>
      <c r="EM63" s="71" t="b">
        <v>0</v>
      </c>
      <c r="EO63" t="s">
        <v>214</v>
      </c>
      <c r="EP63">
        <v>3.5</v>
      </c>
      <c r="EQ63">
        <v>100</v>
      </c>
      <c r="ER63">
        <v>100</v>
      </c>
      <c r="ES63" s="74">
        <f ca="1">INDIRECT(ADDRESS(11+(MATCH(RIGHT(Table18[[#This Row],[spawner_sku]],LEN(Table18[[#This Row],[spawner_sku]])-FIND("/",Table18[[#This Row],[spawner_sku]])),Table1[Entity Prefab],0)),10,1,1,"Entities"))</f>
        <v>25</v>
      </c>
      <c r="ET63" s="74">
        <f ca="1">ROUND((Table18[[#This Row],[XP]]*Table18[[#This Row],[entity_spawned (AVG)]])*(Table18[[#This Row],[activating_chance]]/100),0)</f>
        <v>88</v>
      </c>
      <c r="EU63" s="74" t="str">
        <f ca="1">INDIRECT(ADDRESS(11+(MATCH(RIGHT(Table18[[#This Row],[spawner_sku]],LEN(Table18[[#This Row],[spawner_sku]])-FIND("/",Table18[[#This Row],[spawner_sku]])),Table28[Entity Prefab],0)),26,1,1,"Entities"))</f>
        <v>no</v>
      </c>
      <c r="EV63">
        <v>3</v>
      </c>
      <c r="EW63">
        <v>4</v>
      </c>
      <c r="EX63" t="b">
        <v>0</v>
      </c>
      <c r="EZ63" t="s">
        <v>214</v>
      </c>
      <c r="FA63">
        <v>1.5</v>
      </c>
      <c r="FB63">
        <v>140</v>
      </c>
      <c r="FC63">
        <v>100</v>
      </c>
      <c r="FD63" s="74">
        <f ca="1">INDIRECT(ADDRESS(11+(MATCH(RIGHT(Table1820[[#This Row],[spawner_sku]],LEN(Table1820[[#This Row],[spawner_sku]])-FIND("/",Table1820[[#This Row],[spawner_sku]])),Table1[Entity Prefab],0)),10,1,1,"Entities"))</f>
        <v>25</v>
      </c>
      <c r="FE63" s="74">
        <f ca="1">ROUND((Table1820[[#This Row],[XP]]*Table1820[[#This Row],[entity_spawned (AVG)]])*(Table1820[[#This Row],[activating_chance]]/100),0)</f>
        <v>38</v>
      </c>
      <c r="FF63" s="74" t="str">
        <f ca="1">INDIRECT(ADDRESS(11+(MATCH(RIGHT(Table1820[[#This Row],[spawner_sku]],LEN(Table1820[[#This Row],[spawner_sku]])-FIND("/",Table1820[[#This Row],[spawner_sku]])),Table28[Entity Prefab],0)),26,1,1,"Entities"))</f>
        <v>no</v>
      </c>
      <c r="FG63">
        <v>1</v>
      </c>
      <c r="FH63">
        <v>2</v>
      </c>
      <c r="FI63" t="b">
        <v>0</v>
      </c>
      <c r="FK63" t="s">
        <v>2694</v>
      </c>
      <c r="FL63">
        <v>1.5</v>
      </c>
      <c r="FM63">
        <v>60</v>
      </c>
      <c r="FN63">
        <v>100</v>
      </c>
      <c r="FO63">
        <f ca="1">INDIRECT(ADDRESS(11+(MATCH(RIGHT(Table182023[[#This Row],[spawner_sku]],LEN(Table182023[[#This Row],[spawner_sku]])-FIND("/",Table182023[[#This Row],[spawner_sku]])),Table1[Entity Prefab],0)),10,1,1,"Entities"))</f>
        <v>143</v>
      </c>
      <c r="FP63">
        <f ca="1">ROUND((Table182023[[#This Row],[XP]]*Table182023[[#This Row],[entity_spawned (AVG)]])*(Table182023[[#This Row],[activating_chance]]/100),0)</f>
        <v>215</v>
      </c>
      <c r="FQ63" t="str">
        <f ca="1">INDIRECT(ADDRESS(11+(MATCH(RIGHT(Table182023[[#This Row],[spawner_sku]],LEN(Table182023[[#This Row],[spawner_sku]])-FIND("/",Table182023[[#This Row],[spawner_sku]])),Table28[Entity Prefab],0)),26,1,1,"Entities"))</f>
        <v>no</v>
      </c>
      <c r="FR63">
        <v>1</v>
      </c>
      <c r="FS63">
        <v>2</v>
      </c>
      <c r="FT63" t="b">
        <v>0</v>
      </c>
      <c r="FV63" t="s">
        <v>5003</v>
      </c>
      <c r="FW63">
        <v>1</v>
      </c>
      <c r="FX63">
        <v>5000</v>
      </c>
      <c r="FY63">
        <v>100</v>
      </c>
      <c r="FZ63" s="74">
        <f ca="1">INDIRECT(ADDRESS(11+(MATCH(RIGHT(Table18202324[[#This Row],[spawner_sku]],LEN(Table18202324[[#This Row],[spawner_sku]])-FIND("/",Table18202324[[#This Row],[spawner_sku]])),Table1[Entity Prefab],0)),10,1,1,"Entities"))</f>
        <v>25</v>
      </c>
      <c r="GA63" s="74">
        <f ca="1">ROUND((Table18202324[[#This Row],[XP]]*Table18202324[[#This Row],[entity_spawned (AVG)]])*(Table18202324[[#This Row],[activating_chance]]/100),0)</f>
        <v>25</v>
      </c>
      <c r="GB63" s="74" t="str">
        <f ca="1">INDIRECT(ADDRESS(11+(MATCH(RIGHT(Table18202324[[#This Row],[spawner_sku]],LEN(Table18202324[[#This Row],[spawner_sku]])-FIND("/",Table18202324[[#This Row],[spawner_sku]])),Table28[Entity Prefab],0)),26,1,1,"Entities"))</f>
        <v>no</v>
      </c>
      <c r="GC63">
        <v>1</v>
      </c>
      <c r="GD63">
        <v>1</v>
      </c>
      <c r="GE63" t="b">
        <v>0</v>
      </c>
      <c r="GG63" t="s">
        <v>3816</v>
      </c>
      <c r="GH63">
        <v>1</v>
      </c>
      <c r="GI63">
        <v>240</v>
      </c>
      <c r="GJ63">
        <v>100</v>
      </c>
      <c r="GK63">
        <f ca="1">INDIRECT(ADDRESS(11+(MATCH(RIGHT(Table37[[#This Row],[spawner_sku]],LEN(Table37[[#This Row],[spawner_sku]])-FIND("/",Table37[[#This Row],[spawner_sku]])),Table1[Entity Prefab],0)),10,1,1,"Entities"))</f>
        <v>50</v>
      </c>
      <c r="GL63">
        <f ca="1">ROUND((Table37[[#This Row],[XP]]*Table37[[#This Row],[entity_spawned (AVG)]])*(Table37[[#This Row],[activating_chance]]/100),0)</f>
        <v>50</v>
      </c>
      <c r="GM63" t="str">
        <f ca="1">INDIRECT(ADDRESS(11+(MATCH(RIGHT(Table37[[#This Row],[spawner_sku]],LEN(Table37[[#This Row],[spawner_sku]])-FIND("/",Table37[[#This Row],[spawner_sku]])),Table28[Entity Prefab],0)),26,1,1,"Entities"))</f>
        <v>no</v>
      </c>
      <c r="GN63">
        <v>1</v>
      </c>
      <c r="GO63">
        <v>1</v>
      </c>
      <c r="GP63" t="b">
        <v>0</v>
      </c>
    </row>
    <row r="64" spans="2:198" x14ac:dyDescent="0.25">
      <c r="B64" s="72" t="s">
        <v>215</v>
      </c>
      <c r="C64">
        <v>7.5</v>
      </c>
      <c r="D64">
        <v>180</v>
      </c>
      <c r="E64">
        <v>100</v>
      </c>
      <c r="F64" s="74">
        <f ca="1">INDIRECT(ADDRESS(11+(MATCH(RIGHT(Table245[[#This Row],[spawner_sku]],LEN(Table245[[#This Row],[spawner_sku]])-FIND("/",Table245[[#This Row],[spawner_sku]])),Table1[Entity Prefab],0)),10,1,1,"Entities"))</f>
        <v>25</v>
      </c>
      <c r="G64" s="74">
        <f ca="1">ROUND((Table245[[#This Row],[XP]]*Table245[[#This Row],[entity_spawned (AVG)]])*(Table245[[#This Row],[activating_chance]]/100),0)</f>
        <v>188</v>
      </c>
      <c r="H64" s="71" t="str">
        <f ca="1">INDIRECT(ADDRESS(11+(MATCH(RIGHT(Table245[[#This Row],[spawner_sku]],LEN(Table245[[#This Row],[spawner_sku]])-FIND("/",Table245[[#This Row],[spawner_sku]])),Table28[Entity Prefab],0)),24,1,1,"Entities"))</f>
        <v>no</v>
      </c>
      <c r="I64" s="71">
        <v>5</v>
      </c>
      <c r="J64" s="71">
        <v>10</v>
      </c>
      <c r="K64" s="71" t="b">
        <v>1</v>
      </c>
      <c r="M64" t="s">
        <v>321</v>
      </c>
      <c r="N64">
        <v>1</v>
      </c>
      <c r="O64">
        <v>300</v>
      </c>
      <c r="P64">
        <v>60</v>
      </c>
      <c r="Q64" s="74">
        <f ca="1">INDIRECT(ADDRESS(11+(MATCH(RIGHT(Table3[[#This Row],[spawner_sku]],LEN(Table3[[#This Row],[spawner_sku]])-FIND("/",Table3[[#This Row],[spawner_sku]])),Table1[Entity Prefab],0)),10,1,1,"Entities"))</f>
        <v>195</v>
      </c>
      <c r="R64" s="74">
        <f ca="1">ROUND((Table3[[#This Row],[XP]]*Table3[[#This Row],[entity_spawned (AVG)]])*(Table3[[#This Row],[activating_chance]]/100),0)</f>
        <v>117</v>
      </c>
      <c r="S64" t="str">
        <f ca="1">INDIRECT(ADDRESS(11+(MATCH(RIGHT(Table3[[#This Row],[spawner_sku]],LEN(Table3[[#This Row],[spawner_sku]])-FIND("/",Table3[[#This Row],[spawner_sku]])),Table28[Entity Prefab],0)),24,1,1,"Entities"))</f>
        <v>yes</v>
      </c>
      <c r="T64">
        <v>1</v>
      </c>
      <c r="U64">
        <v>1</v>
      </c>
      <c r="V64" t="b">
        <v>0</v>
      </c>
      <c r="W64" s="71"/>
      <c r="X64" t="s">
        <v>377</v>
      </c>
      <c r="Y64">
        <v>1</v>
      </c>
      <c r="Z64">
        <v>140</v>
      </c>
      <c r="AA64">
        <v>100</v>
      </c>
      <c r="AB64" s="74">
        <f ca="1">INDIRECT(ADDRESS(11+(MATCH(RIGHT(Table39[[#This Row],[spawner_sku]],LEN(Table39[[#This Row],[spawner_sku]])-FIND("/",Table39[[#This Row],[spawner_sku]])),Table1[Entity Prefab],0)),10,1,1,"Entities"))</f>
        <v>25</v>
      </c>
      <c r="AC64" s="74">
        <f ca="1">ROUND((Table39[[#This Row],[XP]]*Table39[[#This Row],[entity_spawned (AVG)]])*(Table39[[#This Row],[activating_chance]]/100),0)</f>
        <v>25</v>
      </c>
      <c r="AD64" t="str">
        <f ca="1">INDIRECT(ADDRESS(11+(MATCH(RIGHT(Table39[[#This Row],[spawner_sku]],LEN(Table39[[#This Row],[spawner_sku]])-FIND("/",Table39[[#This Row],[spawner_sku]])),Table28[Entity Prefab],0)),24,1,1,"Entities"))</f>
        <v>no</v>
      </c>
      <c r="AE64">
        <v>1</v>
      </c>
      <c r="AF64">
        <v>1</v>
      </c>
      <c r="AG64" t="b">
        <v>0</v>
      </c>
      <c r="AI64" t="s">
        <v>215</v>
      </c>
      <c r="AJ64">
        <v>2.5</v>
      </c>
      <c r="AK64">
        <v>110</v>
      </c>
      <c r="AL64">
        <v>100</v>
      </c>
      <c r="AM64" s="74">
        <f ca="1">INDIRECT(ADDRESS(11+(MATCH(RIGHT(Table2[[#This Row],[spawner_sku]],LEN(Table2[[#This Row],[spawner_sku]])-FIND("/",Table2[[#This Row],[spawner_sku]])),Table1[Entity Prefab],0)),10,1,1,"Entities"))</f>
        <v>25</v>
      </c>
      <c r="AN64" s="74">
        <f ca="1">ROUND((Table2[[#This Row],[XP]]*Table2[[#This Row],[entity_spawned (AVG)]])*(Table2[[#This Row],[activating_chance]]/100),0)</f>
        <v>63</v>
      </c>
      <c r="AO64" s="71" t="str">
        <f ca="1">INDIRECT(ADDRESS(11+(MATCH(RIGHT(Table2[[#This Row],[spawner_sku]],LEN(Table2[[#This Row],[spawner_sku]])-FIND("/",Table2[[#This Row],[spawner_sku]])),Table28[Entity Prefab],0)),24,1,1,"Entities"))</f>
        <v>no</v>
      </c>
      <c r="AP64" s="71">
        <v>2</v>
      </c>
      <c r="AQ64" s="71">
        <v>3</v>
      </c>
      <c r="AR64" s="71" t="b">
        <v>0</v>
      </c>
      <c r="AT64" t="s">
        <v>376</v>
      </c>
      <c r="AU64">
        <v>2.5</v>
      </c>
      <c r="AV64">
        <v>200</v>
      </c>
      <c r="AW64">
        <v>100</v>
      </c>
      <c r="AX64" s="74">
        <f ca="1">INDIRECT(ADDRESS(11+(MATCH(RIGHT(Table6[[#This Row],[spawner_sku]],LEN(Table6[[#This Row],[spawner_sku]])-FIND("/",Table6[[#This Row],[spawner_sku]])),Table1[Entity Prefab],0)),10,1,1,"Entities"))</f>
        <v>25</v>
      </c>
      <c r="AY64" s="74">
        <f ca="1">ROUND((Table6[[#This Row],[XP]]*Table6[[#This Row],[entity_spawned (AVG)]])*(Table6[[#This Row],[activating_chance]]/100),0)</f>
        <v>63</v>
      </c>
      <c r="AZ64" s="144" t="str">
        <f ca="1">INDIRECT(ADDRESS(11+(MATCH(RIGHT(Table6[[#This Row],[spawner_sku]],LEN(Table6[[#This Row],[spawner_sku]])-FIND("/",Table6[[#This Row],[spawner_sku]])),Table28[Entity Prefab],0)),24,1,1,"Entities"))</f>
        <v>no</v>
      </c>
      <c r="BA64">
        <v>2</v>
      </c>
      <c r="BB64">
        <v>3</v>
      </c>
      <c r="BC64" t="b">
        <v>0</v>
      </c>
      <c r="BE64" t="s">
        <v>219</v>
      </c>
      <c r="BF64">
        <v>1</v>
      </c>
      <c r="BG64">
        <v>250</v>
      </c>
      <c r="BH64">
        <v>100</v>
      </c>
      <c r="BI64" s="74">
        <f ca="1">INDIRECT(ADDRESS(11+(MATCH(RIGHT(Table610[[#This Row],[spawner_sku]],LEN(Table610[[#This Row],[spawner_sku]])-FIND("/",Table610[[#This Row],[spawner_sku]])),Table1[Entity Prefab],0)),10,1,1,"Entities"))</f>
        <v>143</v>
      </c>
      <c r="BJ64" s="74">
        <f ca="1">ROUND((Table610[[#This Row],[XP]]*Table610[[#This Row],[entity_spawned (AVG)]])*(Table610[[#This Row],[activating_chance]]/100),0)</f>
        <v>143</v>
      </c>
      <c r="BK64" s="71" t="str">
        <f ca="1">INDIRECT(ADDRESS(11+(MATCH(RIGHT(Table610[[#This Row],[spawner_sku]],LEN(Table610[[#This Row],[spawner_sku]])-FIND("/",Table610[[#This Row],[spawner_sku]])),Table28[Entity Prefab],0)),24,1,1,"Entities"))</f>
        <v>yes</v>
      </c>
      <c r="BL64">
        <v>1</v>
      </c>
      <c r="BM64">
        <v>1</v>
      </c>
      <c r="BN64" t="b">
        <v>0</v>
      </c>
      <c r="BP64" t="s">
        <v>215</v>
      </c>
      <c r="BQ64">
        <v>3</v>
      </c>
      <c r="BR64">
        <v>130</v>
      </c>
      <c r="BS64">
        <v>100</v>
      </c>
      <c r="BT64" s="74">
        <f ca="1">INDIRECT(ADDRESS(11+(MATCH(RIGHT(Table61011[[#This Row],[spawner_sku]],LEN(Table61011[[#This Row],[spawner_sku]])-FIND("/",Table61011[[#This Row],[spawner_sku]])),Table1[Entity Prefab],0)),10,1,1,"Entities"))</f>
        <v>25</v>
      </c>
      <c r="BU64" s="74">
        <f ca="1">ROUND((Table61011[[#This Row],[XP]]*Table61011[[#This Row],[entity_spawned (AVG)]])*(Table61011[[#This Row],[activating_chance]]/100),0)</f>
        <v>75</v>
      </c>
      <c r="BV64" s="71" t="str">
        <f ca="1">INDIRECT(ADDRESS(11+(MATCH(RIGHT(Table61011[[#This Row],[spawner_sku]],LEN(Table61011[[#This Row],[spawner_sku]])-FIND("/",Table61011[[#This Row],[spawner_sku]])),Table28[Entity Prefab],0)),24,1,1,"Entities"))</f>
        <v>no</v>
      </c>
      <c r="BW64" s="71">
        <v>3</v>
      </c>
      <c r="BX64" s="71">
        <v>3</v>
      </c>
      <c r="BY64" s="71" t="b">
        <v>0</v>
      </c>
      <c r="BZ64" s="71"/>
      <c r="CA64" s="147" t="s">
        <v>570</v>
      </c>
      <c r="CB64">
        <v>1</v>
      </c>
      <c r="CC64">
        <v>120</v>
      </c>
      <c r="CD64">
        <v>100</v>
      </c>
      <c r="CE64" s="74">
        <f ca="1">INDIRECT(ADDRESS(11+(MATCH(RIGHT(Table35[[#This Row],[spawner_sku]],LEN(Table35[[#This Row],[spawner_sku]])-FIND("/",Table35[[#This Row],[spawner_sku]])),Table1[Entity Prefab],0)),10,1,1,"Entities"))</f>
        <v>50</v>
      </c>
      <c r="CF64" s="74">
        <f ca="1">ROUND((Table35[[#This Row],[XP]]*Table35[[#This Row],[entity_spawned (AVG)]])*(Table35[[#This Row],[activating_chance]]/100),0)</f>
        <v>50</v>
      </c>
      <c r="CG64" s="144" t="str">
        <f ca="1">INDIRECT(ADDRESS(11+(MATCH(RIGHT(Table35[[#This Row],[spawner_sku]],LEN(Table35[[#This Row],[spawner_sku]])-FIND("/",Table35[[#This Row],[spawner_sku]])),Table28[Entity Prefab],0)),24,1,1,"Entities"))</f>
        <v>no</v>
      </c>
      <c r="CH64">
        <v>1</v>
      </c>
      <c r="CI64">
        <v>1</v>
      </c>
      <c r="CJ64" s="71" t="b">
        <v>0</v>
      </c>
      <c r="CL64" t="s">
        <v>215</v>
      </c>
      <c r="CM64">
        <v>2</v>
      </c>
      <c r="CN64">
        <v>180</v>
      </c>
      <c r="CO64">
        <v>100</v>
      </c>
      <c r="CP64" s="74">
        <f ca="1">INDIRECT(ADDRESS(11+(MATCH(RIGHT(Table11[[#This Row],[spawner_sku]],LEN(Table11[[#This Row],[spawner_sku]])-FIND("/",Table11[[#This Row],[spawner_sku]])),Table1[Entity Prefab],0)),10,1,1,"Entities"))</f>
        <v>25</v>
      </c>
      <c r="CQ64">
        <f ca="1">ROUND((Table11[[#This Row],[XP]]*Table11[[#This Row],[entity_spawned (AVG)]])*(Table11[[#This Row],[activating_chance]]/100),0)</f>
        <v>50</v>
      </c>
      <c r="CR64" s="144" t="str">
        <f ca="1">INDIRECT(ADDRESS(11+(MATCH(RIGHT(Table11[[#This Row],[spawner_sku]],LEN(Table11[[#This Row],[spawner_sku]])-FIND("/",Table11[[#This Row],[spawner_sku]])),Table28[Entity Prefab],0)),25,1,1,"Entities"))</f>
        <v>no</v>
      </c>
      <c r="CS64" s="71">
        <v>2</v>
      </c>
      <c r="CT64" s="71">
        <v>2</v>
      </c>
      <c r="CU64" s="71" t="b">
        <v>0</v>
      </c>
      <c r="CW64" t="s">
        <v>229</v>
      </c>
      <c r="CX64">
        <v>1</v>
      </c>
      <c r="CY64">
        <v>1500</v>
      </c>
      <c r="CZ64">
        <v>10</v>
      </c>
      <c r="DA64" s="74">
        <f ca="1">INDIRECT(ADDRESS(11+(MATCH(RIGHT(Table12[[#This Row],[spawner_sku]],LEN(Table12[[#This Row],[spawner_sku]])-FIND("/",Table12[[#This Row],[spawner_sku]])),Table1[Entity Prefab],0)),10,1,1,"Entities"))</f>
        <v>130</v>
      </c>
      <c r="DB64" s="74">
        <f ca="1">ROUND((Table12[[#This Row],[XP]]*Table12[[#This Row],[entity_spawned (AVG)]])*(Table12[[#This Row],[activating_chance]]/100),0)</f>
        <v>13</v>
      </c>
      <c r="DC64" s="144" t="str">
        <f ca="1">INDIRECT(ADDRESS(11+(MATCH(RIGHT(Table12[[#This Row],[spawner_sku]],LEN(Table12[[#This Row],[spawner_sku]])-FIND("/",Table12[[#This Row],[spawner_sku]])),Table28[Entity Prefab],0)),25,1,1,"Entities"))</f>
        <v>yes</v>
      </c>
      <c r="DD64" s="71">
        <v>1</v>
      </c>
      <c r="DE64" s="71">
        <v>1</v>
      </c>
      <c r="DF64" s="71" t="b">
        <v>0</v>
      </c>
      <c r="DH64" t="s">
        <v>219</v>
      </c>
      <c r="DI64">
        <v>1</v>
      </c>
      <c r="DJ64">
        <v>250</v>
      </c>
      <c r="DK64">
        <v>100</v>
      </c>
      <c r="DL64" s="74">
        <f ca="1">INDIRECT(ADDRESS(11+(MATCH(RIGHT(Table13[[#This Row],[spawner_sku]],LEN(Table13[[#This Row],[spawner_sku]])-FIND("/",Table13[[#This Row],[spawner_sku]])),Table1[Entity Prefab],0)),10,1,1,"Entities"))</f>
        <v>143</v>
      </c>
      <c r="DM64" s="74">
        <f ca="1">ROUND((Table13[[#This Row],[XP]]*Table13[[#This Row],[entity_spawned (AVG)]])*(Table13[[#This Row],[activating_chance]]/100),0)</f>
        <v>143</v>
      </c>
      <c r="DN64" s="144" t="str">
        <f ca="1">INDIRECT(ADDRESS(11+(MATCH(RIGHT(Table13[[#This Row],[spawner_sku]],LEN(Table13[[#This Row],[spawner_sku]])-FIND("/",Table13[[#This Row],[spawner_sku]])),Table28[Entity Prefab],0)),25,1,1,"Entities"))</f>
        <v>yes</v>
      </c>
      <c r="DO64" s="71">
        <v>1</v>
      </c>
      <c r="DP64" s="71">
        <v>1</v>
      </c>
      <c r="DQ64" s="71" t="b">
        <v>0</v>
      </c>
      <c r="DS64" t="s">
        <v>214</v>
      </c>
      <c r="DT64">
        <v>3.5</v>
      </c>
      <c r="DU64">
        <v>160</v>
      </c>
      <c r="DV64">
        <v>100</v>
      </c>
      <c r="DW64" s="74">
        <f ca="1">INDIRECT(ADDRESS(11+(MATCH(RIGHT(Table14[[#This Row],[spawner_sku]],LEN(Table14[[#This Row],[spawner_sku]])-FIND("/",Table14[[#This Row],[spawner_sku]])),Table1[Entity Prefab],0)),10,1,1,"Entities"))</f>
        <v>25</v>
      </c>
      <c r="DX64" s="74">
        <f ca="1">ROUND((Table14[[#This Row],[XP]]*Table14[[#This Row],[entity_spawned (AVG)]])*(Table14[[#This Row],[activating_chance]]/100),0)</f>
        <v>88</v>
      </c>
      <c r="DY64" s="144" t="str">
        <f ca="1">INDIRECT(ADDRESS(11+(MATCH(RIGHT(Table14[[#This Row],[spawner_sku]],LEN(Table14[[#This Row],[spawner_sku]])-FIND("/",Table14[[#This Row],[spawner_sku]])),Table28[Entity Prefab],0)),25,1,1,"Entities"))</f>
        <v>no</v>
      </c>
      <c r="DZ64" s="71">
        <v>3</v>
      </c>
      <c r="EA64" s="71">
        <v>4</v>
      </c>
      <c r="EB64" s="71" t="b">
        <v>0</v>
      </c>
      <c r="EC64" s="71"/>
      <c r="ED64" s="147" t="s">
        <v>8142</v>
      </c>
      <c r="EE64" s="71">
        <v>1</v>
      </c>
      <c r="EF64" s="71">
        <v>200</v>
      </c>
      <c r="EG64" s="71">
        <v>80</v>
      </c>
      <c r="EH64" s="71">
        <f ca="1">INDIRECT(ADDRESS(11+(MATCH(RIGHT(Table36[[#This Row],[spawner_sku]],LEN(Table36[[#This Row],[spawner_sku]])-FIND("/",Table36[[#This Row],[spawner_sku]])),Table1[Entity Prefab],0)),10,1,1,"Entities"))</f>
        <v>75</v>
      </c>
      <c r="EI64" s="71">
        <f ca="1">ROUND((Table36[[#This Row],[XP]]*Table36[[#This Row],[entity_spawned (AVG)]])*(Table36[[#This Row],[activating_chance]]/100),0)</f>
        <v>60</v>
      </c>
      <c r="EJ64" s="71" t="str">
        <f ca="1">INDIRECT(ADDRESS(11+(MATCH(RIGHT(Table36[[#This Row],[spawner_sku]],LEN(Table36[[#This Row],[spawner_sku]])-FIND("/",Table36[[#This Row],[spawner_sku]])),Table28[Entity Prefab],0)),25,1,1,"Entities"))</f>
        <v>no</v>
      </c>
      <c r="EK64" s="71">
        <v>1</v>
      </c>
      <c r="EL64" s="71">
        <v>1</v>
      </c>
      <c r="EM64" s="71" t="b">
        <v>0</v>
      </c>
      <c r="EO64" t="s">
        <v>214</v>
      </c>
      <c r="EP64">
        <v>7</v>
      </c>
      <c r="EQ64">
        <v>160</v>
      </c>
      <c r="ER64">
        <v>100</v>
      </c>
      <c r="ES64" s="74">
        <f ca="1">INDIRECT(ADDRESS(11+(MATCH(RIGHT(Table18[[#This Row],[spawner_sku]],LEN(Table18[[#This Row],[spawner_sku]])-FIND("/",Table18[[#This Row],[spawner_sku]])),Table1[Entity Prefab],0)),10,1,1,"Entities"))</f>
        <v>25</v>
      </c>
      <c r="ET64" s="74">
        <f ca="1">ROUND((Table18[[#This Row],[XP]]*Table18[[#This Row],[entity_spawned (AVG)]])*(Table18[[#This Row],[activating_chance]]/100),0)</f>
        <v>175</v>
      </c>
      <c r="EU64" s="74" t="str">
        <f ca="1">INDIRECT(ADDRESS(11+(MATCH(RIGHT(Table18[[#This Row],[spawner_sku]],LEN(Table18[[#This Row],[spawner_sku]])-FIND("/",Table18[[#This Row],[spawner_sku]])),Table28[Entity Prefab],0)),26,1,1,"Entities"))</f>
        <v>no</v>
      </c>
      <c r="EV64">
        <v>6</v>
      </c>
      <c r="EW64">
        <v>8</v>
      </c>
      <c r="EX64" t="b">
        <v>1</v>
      </c>
      <c r="EZ64" t="s">
        <v>214</v>
      </c>
      <c r="FA64">
        <v>3.5</v>
      </c>
      <c r="FB64">
        <v>140</v>
      </c>
      <c r="FC64">
        <v>100</v>
      </c>
      <c r="FD64" s="74">
        <f ca="1">INDIRECT(ADDRESS(11+(MATCH(RIGHT(Table1820[[#This Row],[spawner_sku]],LEN(Table1820[[#This Row],[spawner_sku]])-FIND("/",Table1820[[#This Row],[spawner_sku]])),Table1[Entity Prefab],0)),10,1,1,"Entities"))</f>
        <v>25</v>
      </c>
      <c r="FE64" s="74">
        <f ca="1">ROUND((Table1820[[#This Row],[XP]]*Table1820[[#This Row],[entity_spawned (AVG)]])*(Table1820[[#This Row],[activating_chance]]/100),0)</f>
        <v>88</v>
      </c>
      <c r="FF64" s="74" t="str">
        <f ca="1">INDIRECT(ADDRESS(11+(MATCH(RIGHT(Table1820[[#This Row],[spawner_sku]],LEN(Table1820[[#This Row],[spawner_sku]])-FIND("/",Table1820[[#This Row],[spawner_sku]])),Table28[Entity Prefab],0)),26,1,1,"Entities"))</f>
        <v>no</v>
      </c>
      <c r="FG64">
        <v>3</v>
      </c>
      <c r="FH64">
        <v>4</v>
      </c>
      <c r="FI64" t="b">
        <v>0</v>
      </c>
      <c r="FK64" t="s">
        <v>2694</v>
      </c>
      <c r="FL64">
        <v>1</v>
      </c>
      <c r="FM64">
        <v>70</v>
      </c>
      <c r="FN64">
        <v>100</v>
      </c>
      <c r="FO64">
        <f ca="1">INDIRECT(ADDRESS(11+(MATCH(RIGHT(Table182023[[#This Row],[spawner_sku]],LEN(Table182023[[#This Row],[spawner_sku]])-FIND("/",Table182023[[#This Row],[spawner_sku]])),Table1[Entity Prefab],0)),10,1,1,"Entities"))</f>
        <v>143</v>
      </c>
      <c r="FP64">
        <f ca="1">ROUND((Table182023[[#This Row],[XP]]*Table182023[[#This Row],[entity_spawned (AVG)]])*(Table182023[[#This Row],[activating_chance]]/100),0)</f>
        <v>143</v>
      </c>
      <c r="FQ64" t="str">
        <f ca="1">INDIRECT(ADDRESS(11+(MATCH(RIGHT(Table182023[[#This Row],[spawner_sku]],LEN(Table182023[[#This Row],[spawner_sku]])-FIND("/",Table182023[[#This Row],[spawner_sku]])),Table28[Entity Prefab],0)),26,1,1,"Entities"))</f>
        <v>no</v>
      </c>
      <c r="FR64">
        <v>1</v>
      </c>
      <c r="FS64">
        <v>1</v>
      </c>
      <c r="FT64" t="b">
        <v>0</v>
      </c>
      <c r="FV64" t="s">
        <v>5003</v>
      </c>
      <c r="FW64">
        <v>1</v>
      </c>
      <c r="FX64">
        <v>5000</v>
      </c>
      <c r="FY64">
        <v>80</v>
      </c>
      <c r="FZ64" s="74">
        <f ca="1">INDIRECT(ADDRESS(11+(MATCH(RIGHT(Table18202324[[#This Row],[spawner_sku]],LEN(Table18202324[[#This Row],[spawner_sku]])-FIND("/",Table18202324[[#This Row],[spawner_sku]])),Table1[Entity Prefab],0)),10,1,1,"Entities"))</f>
        <v>25</v>
      </c>
      <c r="GA64" s="74">
        <f ca="1">ROUND((Table18202324[[#This Row],[XP]]*Table18202324[[#This Row],[entity_spawned (AVG)]])*(Table18202324[[#This Row],[activating_chance]]/100),0)</f>
        <v>20</v>
      </c>
      <c r="GB64" s="74" t="str">
        <f ca="1">INDIRECT(ADDRESS(11+(MATCH(RIGHT(Table18202324[[#This Row],[spawner_sku]],LEN(Table18202324[[#This Row],[spawner_sku]])-FIND("/",Table18202324[[#This Row],[spawner_sku]])),Table28[Entity Prefab],0)),26,1,1,"Entities"))</f>
        <v>no</v>
      </c>
      <c r="GC64">
        <v>1</v>
      </c>
      <c r="GD64">
        <v>1</v>
      </c>
      <c r="GE64" t="b">
        <v>0</v>
      </c>
      <c r="GG64" t="s">
        <v>3816</v>
      </c>
      <c r="GH64">
        <v>1</v>
      </c>
      <c r="GI64">
        <v>240</v>
      </c>
      <c r="GJ64">
        <v>100</v>
      </c>
      <c r="GK64">
        <f ca="1">INDIRECT(ADDRESS(11+(MATCH(RIGHT(Table37[[#This Row],[spawner_sku]],LEN(Table37[[#This Row],[spawner_sku]])-FIND("/",Table37[[#This Row],[spawner_sku]])),Table1[Entity Prefab],0)),10,1,1,"Entities"))</f>
        <v>50</v>
      </c>
      <c r="GL64">
        <f ca="1">ROUND((Table37[[#This Row],[XP]]*Table37[[#This Row],[entity_spawned (AVG)]])*(Table37[[#This Row],[activating_chance]]/100),0)</f>
        <v>50</v>
      </c>
      <c r="GM64" t="str">
        <f ca="1">INDIRECT(ADDRESS(11+(MATCH(RIGHT(Table37[[#This Row],[spawner_sku]],LEN(Table37[[#This Row],[spawner_sku]])-FIND("/",Table37[[#This Row],[spawner_sku]])),Table28[Entity Prefab],0)),26,1,1,"Entities"))</f>
        <v>no</v>
      </c>
      <c r="GN64">
        <v>1</v>
      </c>
      <c r="GO64">
        <v>1</v>
      </c>
      <c r="GP64" t="b">
        <v>0</v>
      </c>
    </row>
    <row r="65" spans="2:198" x14ac:dyDescent="0.25">
      <c r="B65" s="72" t="s">
        <v>215</v>
      </c>
      <c r="C65">
        <v>3.5</v>
      </c>
      <c r="D65">
        <v>160</v>
      </c>
      <c r="E65">
        <v>40</v>
      </c>
      <c r="F65" s="74">
        <f ca="1">INDIRECT(ADDRESS(11+(MATCH(RIGHT(Table245[[#This Row],[spawner_sku]],LEN(Table245[[#This Row],[spawner_sku]])-FIND("/",Table245[[#This Row],[spawner_sku]])),Table1[Entity Prefab],0)),10,1,1,"Entities"))</f>
        <v>25</v>
      </c>
      <c r="G65" s="74">
        <f ca="1">ROUND((Table245[[#This Row],[XP]]*Table245[[#This Row],[entity_spawned (AVG)]])*(Table245[[#This Row],[activating_chance]]/100),0)</f>
        <v>35</v>
      </c>
      <c r="H65" s="71" t="str">
        <f ca="1">INDIRECT(ADDRESS(11+(MATCH(RIGHT(Table245[[#This Row],[spawner_sku]],LEN(Table245[[#This Row],[spawner_sku]])-FIND("/",Table245[[#This Row],[spawner_sku]])),Table28[Entity Prefab],0)),24,1,1,"Entities"))</f>
        <v>no</v>
      </c>
      <c r="I65" s="71">
        <v>3</v>
      </c>
      <c r="J65" s="71">
        <v>4</v>
      </c>
      <c r="K65" s="71" t="b">
        <v>0</v>
      </c>
      <c r="M65" t="s">
        <v>224</v>
      </c>
      <c r="N65">
        <v>1</v>
      </c>
      <c r="O65">
        <v>2500</v>
      </c>
      <c r="P65">
        <v>100</v>
      </c>
      <c r="Q65" s="74">
        <f ca="1">INDIRECT(ADDRESS(11+(MATCH(RIGHT(Table3[[#This Row],[spawner_sku]],LEN(Table3[[#This Row],[spawner_sku]])-FIND("/",Table3[[#This Row],[spawner_sku]])),Table1[Entity Prefab],0)),10,1,1,"Entities"))</f>
        <v>263</v>
      </c>
      <c r="R65" s="74">
        <f ca="1">ROUND((Table3[[#This Row],[XP]]*Table3[[#This Row],[entity_spawned (AVG)]])*(Table3[[#This Row],[activating_chance]]/100),0)</f>
        <v>263</v>
      </c>
      <c r="S65" t="str">
        <f ca="1">INDIRECT(ADDRESS(11+(MATCH(RIGHT(Table3[[#This Row],[spawner_sku]],LEN(Table3[[#This Row],[spawner_sku]])-FIND("/",Table3[[#This Row],[spawner_sku]])),Table28[Entity Prefab],0)),24,1,1,"Entities"))</f>
        <v>yes</v>
      </c>
      <c r="T65">
        <v>1</v>
      </c>
      <c r="U65">
        <v>1</v>
      </c>
      <c r="V65" t="b">
        <v>0</v>
      </c>
      <c r="W65" s="71"/>
      <c r="X65" t="s">
        <v>377</v>
      </c>
      <c r="Y65">
        <v>1.5</v>
      </c>
      <c r="Z65">
        <v>160</v>
      </c>
      <c r="AA65">
        <v>50</v>
      </c>
      <c r="AB65" s="74">
        <f ca="1">INDIRECT(ADDRESS(11+(MATCH(RIGHT(Table39[[#This Row],[spawner_sku]],LEN(Table39[[#This Row],[spawner_sku]])-FIND("/",Table39[[#This Row],[spawner_sku]])),Table1[Entity Prefab],0)),10,1,1,"Entities"))</f>
        <v>25</v>
      </c>
      <c r="AC65" s="74">
        <f ca="1">ROUND((Table39[[#This Row],[XP]]*Table39[[#This Row],[entity_spawned (AVG)]])*(Table39[[#This Row],[activating_chance]]/100),0)</f>
        <v>19</v>
      </c>
      <c r="AD65" t="str">
        <f ca="1">INDIRECT(ADDRESS(11+(MATCH(RIGHT(Table39[[#This Row],[spawner_sku]],LEN(Table39[[#This Row],[spawner_sku]])-FIND("/",Table39[[#This Row],[spawner_sku]])),Table28[Entity Prefab],0)),24,1,1,"Entities"))</f>
        <v>no</v>
      </c>
      <c r="AE65">
        <v>1</v>
      </c>
      <c r="AF65">
        <v>2</v>
      </c>
      <c r="AG65" t="b">
        <v>0</v>
      </c>
      <c r="AI65" t="s">
        <v>215</v>
      </c>
      <c r="AJ65">
        <v>3</v>
      </c>
      <c r="AK65">
        <v>90</v>
      </c>
      <c r="AL65">
        <v>80</v>
      </c>
      <c r="AM65" s="74">
        <f ca="1">INDIRECT(ADDRESS(11+(MATCH(RIGHT(Table2[[#This Row],[spawner_sku]],LEN(Table2[[#This Row],[spawner_sku]])-FIND("/",Table2[[#This Row],[spawner_sku]])),Table1[Entity Prefab],0)),10,1,1,"Entities"))</f>
        <v>25</v>
      </c>
      <c r="AN65" s="74">
        <f ca="1">ROUND((Table2[[#This Row],[XP]]*Table2[[#This Row],[entity_spawned (AVG)]])*(Table2[[#This Row],[activating_chance]]/100),0)</f>
        <v>60</v>
      </c>
      <c r="AO65" s="71" t="str">
        <f ca="1">INDIRECT(ADDRESS(11+(MATCH(RIGHT(Table2[[#This Row],[spawner_sku]],LEN(Table2[[#This Row],[spawner_sku]])-FIND("/",Table2[[#This Row],[spawner_sku]])),Table28[Entity Prefab],0)),24,1,1,"Entities"))</f>
        <v>no</v>
      </c>
      <c r="AP65" s="71">
        <v>2</v>
      </c>
      <c r="AQ65" s="71">
        <v>4</v>
      </c>
      <c r="AR65" s="71" t="b">
        <v>0</v>
      </c>
      <c r="AT65" t="s">
        <v>376</v>
      </c>
      <c r="AU65">
        <v>3</v>
      </c>
      <c r="AV65">
        <v>200</v>
      </c>
      <c r="AW65">
        <v>100</v>
      </c>
      <c r="AX65" s="74">
        <f ca="1">INDIRECT(ADDRESS(11+(MATCH(RIGHT(Table6[[#This Row],[spawner_sku]],LEN(Table6[[#This Row],[spawner_sku]])-FIND("/",Table6[[#This Row],[spawner_sku]])),Table1[Entity Prefab],0)),10,1,1,"Entities"))</f>
        <v>25</v>
      </c>
      <c r="AY65" s="74">
        <f ca="1">ROUND((Table6[[#This Row],[XP]]*Table6[[#This Row],[entity_spawned (AVG)]])*(Table6[[#This Row],[activating_chance]]/100),0)</f>
        <v>75</v>
      </c>
      <c r="AZ65" s="144" t="str">
        <f ca="1">INDIRECT(ADDRESS(11+(MATCH(RIGHT(Table6[[#This Row],[spawner_sku]],LEN(Table6[[#This Row],[spawner_sku]])-FIND("/",Table6[[#This Row],[spawner_sku]])),Table28[Entity Prefab],0)),24,1,1,"Entities"))</f>
        <v>no</v>
      </c>
      <c r="BA65">
        <v>2</v>
      </c>
      <c r="BB65">
        <v>4</v>
      </c>
      <c r="BC65" t="b">
        <v>0</v>
      </c>
      <c r="BE65" t="s">
        <v>219</v>
      </c>
      <c r="BF65">
        <v>3.5</v>
      </c>
      <c r="BG65">
        <v>250</v>
      </c>
      <c r="BH65">
        <v>100</v>
      </c>
      <c r="BI65" s="74">
        <f ca="1">INDIRECT(ADDRESS(11+(MATCH(RIGHT(Table610[[#This Row],[spawner_sku]],LEN(Table610[[#This Row],[spawner_sku]])-FIND("/",Table610[[#This Row],[spawner_sku]])),Table1[Entity Prefab],0)),10,1,1,"Entities"))</f>
        <v>143</v>
      </c>
      <c r="BJ65" s="74">
        <f ca="1">ROUND((Table610[[#This Row],[XP]]*Table610[[#This Row],[entity_spawned (AVG)]])*(Table610[[#This Row],[activating_chance]]/100),0)</f>
        <v>501</v>
      </c>
      <c r="BK65" s="71" t="str">
        <f ca="1">INDIRECT(ADDRESS(11+(MATCH(RIGHT(Table610[[#This Row],[spawner_sku]],LEN(Table610[[#This Row],[spawner_sku]])-FIND("/",Table610[[#This Row],[spawner_sku]])),Table28[Entity Prefab],0)),24,1,1,"Entities"))</f>
        <v>yes</v>
      </c>
      <c r="BL65">
        <v>3</v>
      </c>
      <c r="BM65">
        <v>4</v>
      </c>
      <c r="BN65" t="b">
        <v>0</v>
      </c>
      <c r="BP65" t="s">
        <v>215</v>
      </c>
      <c r="BQ65">
        <v>5.5</v>
      </c>
      <c r="BR65">
        <v>220</v>
      </c>
      <c r="BS65">
        <v>100</v>
      </c>
      <c r="BT65" s="74">
        <f ca="1">INDIRECT(ADDRESS(11+(MATCH(RIGHT(Table61011[[#This Row],[spawner_sku]],LEN(Table61011[[#This Row],[spawner_sku]])-FIND("/",Table61011[[#This Row],[spawner_sku]])),Table1[Entity Prefab],0)),10,1,1,"Entities"))</f>
        <v>25</v>
      </c>
      <c r="BU65" s="74">
        <f ca="1">ROUND((Table61011[[#This Row],[XP]]*Table61011[[#This Row],[entity_spawned (AVG)]])*(Table61011[[#This Row],[activating_chance]]/100),0)</f>
        <v>138</v>
      </c>
      <c r="BV65" s="71" t="str">
        <f ca="1">INDIRECT(ADDRESS(11+(MATCH(RIGHT(Table61011[[#This Row],[spawner_sku]],LEN(Table61011[[#This Row],[spawner_sku]])-FIND("/",Table61011[[#This Row],[spawner_sku]])),Table28[Entity Prefab],0)),24,1,1,"Entities"))</f>
        <v>no</v>
      </c>
      <c r="BW65" s="71">
        <v>5</v>
      </c>
      <c r="BX65" s="71">
        <v>6</v>
      </c>
      <c r="BY65" s="71" t="b">
        <v>1</v>
      </c>
      <c r="BZ65" s="71"/>
      <c r="CA65" s="147" t="s">
        <v>570</v>
      </c>
      <c r="CB65">
        <v>1</v>
      </c>
      <c r="CC65">
        <v>120</v>
      </c>
      <c r="CD65">
        <v>100</v>
      </c>
      <c r="CE65" s="74">
        <f ca="1">INDIRECT(ADDRESS(11+(MATCH(RIGHT(Table35[[#This Row],[spawner_sku]],LEN(Table35[[#This Row],[spawner_sku]])-FIND("/",Table35[[#This Row],[spawner_sku]])),Table1[Entity Prefab],0)),10,1,1,"Entities"))</f>
        <v>50</v>
      </c>
      <c r="CF65" s="74">
        <f ca="1">ROUND((Table35[[#This Row],[XP]]*Table35[[#This Row],[entity_spawned (AVG)]])*(Table35[[#This Row],[activating_chance]]/100),0)</f>
        <v>50</v>
      </c>
      <c r="CG65" s="144" t="str">
        <f ca="1">INDIRECT(ADDRESS(11+(MATCH(RIGHT(Table35[[#This Row],[spawner_sku]],LEN(Table35[[#This Row],[spawner_sku]])-FIND("/",Table35[[#This Row],[spawner_sku]])),Table28[Entity Prefab],0)),24,1,1,"Entities"))</f>
        <v>no</v>
      </c>
      <c r="CH65">
        <v>1</v>
      </c>
      <c r="CI65">
        <v>1</v>
      </c>
      <c r="CJ65" s="71" t="b">
        <v>0</v>
      </c>
      <c r="CL65" t="s">
        <v>215</v>
      </c>
      <c r="CM65">
        <v>9</v>
      </c>
      <c r="CN65">
        <v>180</v>
      </c>
      <c r="CO65">
        <v>100</v>
      </c>
      <c r="CP65" s="74">
        <f ca="1">INDIRECT(ADDRESS(11+(MATCH(RIGHT(Table11[[#This Row],[spawner_sku]],LEN(Table11[[#This Row],[spawner_sku]])-FIND("/",Table11[[#This Row],[spawner_sku]])),Table1[Entity Prefab],0)),10,1,1,"Entities"))</f>
        <v>25</v>
      </c>
      <c r="CQ65">
        <f ca="1">ROUND((Table11[[#This Row],[XP]]*Table11[[#This Row],[entity_spawned (AVG)]])*(Table11[[#This Row],[activating_chance]]/100),0)</f>
        <v>225</v>
      </c>
      <c r="CR65" s="144" t="str">
        <f ca="1">INDIRECT(ADDRESS(11+(MATCH(RIGHT(Table11[[#This Row],[spawner_sku]],LEN(Table11[[#This Row],[spawner_sku]])-FIND("/",Table11[[#This Row],[spawner_sku]])),Table28[Entity Prefab],0)),25,1,1,"Entities"))</f>
        <v>no</v>
      </c>
      <c r="CS65" s="71">
        <v>8</v>
      </c>
      <c r="CT65" s="71">
        <v>10</v>
      </c>
      <c r="CU65" s="71" t="b">
        <v>1</v>
      </c>
      <c r="CW65" t="s">
        <v>229</v>
      </c>
      <c r="CX65">
        <v>1</v>
      </c>
      <c r="CY65">
        <v>1500</v>
      </c>
      <c r="CZ65">
        <v>80</v>
      </c>
      <c r="DA65" s="74">
        <f ca="1">INDIRECT(ADDRESS(11+(MATCH(RIGHT(Table12[[#This Row],[spawner_sku]],LEN(Table12[[#This Row],[spawner_sku]])-FIND("/",Table12[[#This Row],[spawner_sku]])),Table1[Entity Prefab],0)),10,1,1,"Entities"))</f>
        <v>130</v>
      </c>
      <c r="DB65" s="74">
        <f ca="1">ROUND((Table12[[#This Row],[XP]]*Table12[[#This Row],[entity_spawned (AVG)]])*(Table12[[#This Row],[activating_chance]]/100),0)</f>
        <v>104</v>
      </c>
      <c r="DC65" s="144" t="str">
        <f ca="1">INDIRECT(ADDRESS(11+(MATCH(RIGHT(Table12[[#This Row],[spawner_sku]],LEN(Table12[[#This Row],[spawner_sku]])-FIND("/",Table12[[#This Row],[spawner_sku]])),Table28[Entity Prefab],0)),25,1,1,"Entities"))</f>
        <v>yes</v>
      </c>
      <c r="DD65" s="71">
        <v>1</v>
      </c>
      <c r="DE65" s="71">
        <v>1</v>
      </c>
      <c r="DF65" s="71" t="b">
        <v>0</v>
      </c>
      <c r="DH65" t="s">
        <v>219</v>
      </c>
      <c r="DI65">
        <v>2</v>
      </c>
      <c r="DJ65">
        <v>250</v>
      </c>
      <c r="DK65">
        <v>100</v>
      </c>
      <c r="DL65" s="74">
        <f ca="1">INDIRECT(ADDRESS(11+(MATCH(RIGHT(Table13[[#This Row],[spawner_sku]],LEN(Table13[[#This Row],[spawner_sku]])-FIND("/",Table13[[#This Row],[spawner_sku]])),Table1[Entity Prefab],0)),10,1,1,"Entities"))</f>
        <v>143</v>
      </c>
      <c r="DM65" s="74">
        <f ca="1">ROUND((Table13[[#This Row],[XP]]*Table13[[#This Row],[entity_spawned (AVG)]])*(Table13[[#This Row],[activating_chance]]/100),0)</f>
        <v>286</v>
      </c>
      <c r="DN65" s="144" t="str">
        <f ca="1">INDIRECT(ADDRESS(11+(MATCH(RIGHT(Table13[[#This Row],[spawner_sku]],LEN(Table13[[#This Row],[spawner_sku]])-FIND("/",Table13[[#This Row],[spawner_sku]])),Table28[Entity Prefab],0)),25,1,1,"Entities"))</f>
        <v>yes</v>
      </c>
      <c r="DO65" s="71">
        <v>2</v>
      </c>
      <c r="DP65" s="71">
        <v>2</v>
      </c>
      <c r="DQ65" s="71" t="b">
        <v>0</v>
      </c>
      <c r="DS65" t="s">
        <v>214</v>
      </c>
      <c r="DT65">
        <v>3.5</v>
      </c>
      <c r="DU65">
        <v>100</v>
      </c>
      <c r="DV65">
        <v>100</v>
      </c>
      <c r="DW65" s="74">
        <f ca="1">INDIRECT(ADDRESS(11+(MATCH(RIGHT(Table14[[#This Row],[spawner_sku]],LEN(Table14[[#This Row],[spawner_sku]])-FIND("/",Table14[[#This Row],[spawner_sku]])),Table1[Entity Prefab],0)),10,1,1,"Entities"))</f>
        <v>25</v>
      </c>
      <c r="DX65" s="74">
        <f ca="1">ROUND((Table14[[#This Row],[XP]]*Table14[[#This Row],[entity_spawned (AVG)]])*(Table14[[#This Row],[activating_chance]]/100),0)</f>
        <v>88</v>
      </c>
      <c r="DY65" s="144" t="str">
        <f ca="1">INDIRECT(ADDRESS(11+(MATCH(RIGHT(Table14[[#This Row],[spawner_sku]],LEN(Table14[[#This Row],[spawner_sku]])-FIND("/",Table14[[#This Row],[spawner_sku]])),Table28[Entity Prefab],0)),25,1,1,"Entities"))</f>
        <v>no</v>
      </c>
      <c r="DZ65" s="71">
        <v>3</v>
      </c>
      <c r="EA65" s="71">
        <v>4</v>
      </c>
      <c r="EB65" s="71" t="b">
        <v>0</v>
      </c>
      <c r="EC65" s="71"/>
      <c r="ED65" s="147" t="s">
        <v>8142</v>
      </c>
      <c r="EE65" s="71">
        <v>1</v>
      </c>
      <c r="EF65" s="71">
        <v>200</v>
      </c>
      <c r="EG65" s="71">
        <v>80</v>
      </c>
      <c r="EH65" s="71">
        <f ca="1">INDIRECT(ADDRESS(11+(MATCH(RIGHT(Table36[[#This Row],[spawner_sku]],LEN(Table36[[#This Row],[spawner_sku]])-FIND("/",Table36[[#This Row],[spawner_sku]])),Table1[Entity Prefab],0)),10,1,1,"Entities"))</f>
        <v>75</v>
      </c>
      <c r="EI65" s="71">
        <f ca="1">ROUND((Table36[[#This Row],[XP]]*Table36[[#This Row],[entity_spawned (AVG)]])*(Table36[[#This Row],[activating_chance]]/100),0)</f>
        <v>60</v>
      </c>
      <c r="EJ65" s="71" t="str">
        <f ca="1">INDIRECT(ADDRESS(11+(MATCH(RIGHT(Table36[[#This Row],[spawner_sku]],LEN(Table36[[#This Row],[spawner_sku]])-FIND("/",Table36[[#This Row],[spawner_sku]])),Table28[Entity Prefab],0)),25,1,1,"Entities"))</f>
        <v>no</v>
      </c>
      <c r="EK65" s="71">
        <v>1</v>
      </c>
      <c r="EL65" s="71">
        <v>1</v>
      </c>
      <c r="EM65" s="71" t="b">
        <v>0</v>
      </c>
      <c r="EO65" t="s">
        <v>214</v>
      </c>
      <c r="EP65">
        <v>3</v>
      </c>
      <c r="EQ65">
        <v>140</v>
      </c>
      <c r="ER65">
        <v>100</v>
      </c>
      <c r="ES65" s="74">
        <f ca="1">INDIRECT(ADDRESS(11+(MATCH(RIGHT(Table18[[#This Row],[spawner_sku]],LEN(Table18[[#This Row],[spawner_sku]])-FIND("/",Table18[[#This Row],[spawner_sku]])),Table1[Entity Prefab],0)),10,1,1,"Entities"))</f>
        <v>25</v>
      </c>
      <c r="ET65" s="74">
        <f ca="1">ROUND((Table18[[#This Row],[XP]]*Table18[[#This Row],[entity_spawned (AVG)]])*(Table18[[#This Row],[activating_chance]]/100),0)</f>
        <v>75</v>
      </c>
      <c r="EU65" s="74" t="str">
        <f ca="1">INDIRECT(ADDRESS(11+(MATCH(RIGHT(Table18[[#This Row],[spawner_sku]],LEN(Table18[[#This Row],[spawner_sku]])-FIND("/",Table18[[#This Row],[spawner_sku]])),Table28[Entity Prefab],0)),26,1,1,"Entities"))</f>
        <v>no</v>
      </c>
      <c r="EV65">
        <v>2</v>
      </c>
      <c r="EW65">
        <v>4</v>
      </c>
      <c r="EX65" t="b">
        <v>0</v>
      </c>
      <c r="EZ65" t="s">
        <v>214</v>
      </c>
      <c r="FA65">
        <v>3.5</v>
      </c>
      <c r="FB65">
        <v>140</v>
      </c>
      <c r="FC65">
        <v>100</v>
      </c>
      <c r="FD65" s="74">
        <f ca="1">INDIRECT(ADDRESS(11+(MATCH(RIGHT(Table1820[[#This Row],[spawner_sku]],LEN(Table1820[[#This Row],[spawner_sku]])-FIND("/",Table1820[[#This Row],[spawner_sku]])),Table1[Entity Prefab],0)),10,1,1,"Entities"))</f>
        <v>25</v>
      </c>
      <c r="FE65" s="74">
        <f ca="1">ROUND((Table1820[[#This Row],[XP]]*Table1820[[#This Row],[entity_spawned (AVG)]])*(Table1820[[#This Row],[activating_chance]]/100),0)</f>
        <v>88</v>
      </c>
      <c r="FF65" s="74" t="str">
        <f ca="1">INDIRECT(ADDRESS(11+(MATCH(RIGHT(Table1820[[#This Row],[spawner_sku]],LEN(Table1820[[#This Row],[spawner_sku]])-FIND("/",Table1820[[#This Row],[spawner_sku]])),Table28[Entity Prefab],0)),26,1,1,"Entities"))</f>
        <v>no</v>
      </c>
      <c r="FG65">
        <v>3</v>
      </c>
      <c r="FH65">
        <v>4</v>
      </c>
      <c r="FI65" t="b">
        <v>0</v>
      </c>
      <c r="FK65" t="s">
        <v>2694</v>
      </c>
      <c r="FL65">
        <v>1.5</v>
      </c>
      <c r="FM65">
        <v>60</v>
      </c>
      <c r="FN65">
        <v>100</v>
      </c>
      <c r="FO65">
        <f ca="1">INDIRECT(ADDRESS(11+(MATCH(RIGHT(Table182023[[#This Row],[spawner_sku]],LEN(Table182023[[#This Row],[spawner_sku]])-FIND("/",Table182023[[#This Row],[spawner_sku]])),Table1[Entity Prefab],0)),10,1,1,"Entities"))</f>
        <v>143</v>
      </c>
      <c r="FP65">
        <f ca="1">ROUND((Table182023[[#This Row],[XP]]*Table182023[[#This Row],[entity_spawned (AVG)]])*(Table182023[[#This Row],[activating_chance]]/100),0)</f>
        <v>215</v>
      </c>
      <c r="FQ65" t="str">
        <f ca="1">INDIRECT(ADDRESS(11+(MATCH(RIGHT(Table182023[[#This Row],[spawner_sku]],LEN(Table182023[[#This Row],[spawner_sku]])-FIND("/",Table182023[[#This Row],[spawner_sku]])),Table28[Entity Prefab],0)),26,1,1,"Entities"))</f>
        <v>no</v>
      </c>
      <c r="FR65">
        <v>1</v>
      </c>
      <c r="FS65">
        <v>2</v>
      </c>
      <c r="FT65" t="b">
        <v>0</v>
      </c>
      <c r="FV65" t="s">
        <v>464</v>
      </c>
      <c r="FW65">
        <v>1</v>
      </c>
      <c r="FX65">
        <v>110</v>
      </c>
      <c r="FY65">
        <v>100</v>
      </c>
      <c r="FZ65" s="74">
        <f ca="1">INDIRECT(ADDRESS(11+(MATCH(RIGHT(Table18202324[[#This Row],[spawner_sku]],LEN(Table18202324[[#This Row],[spawner_sku]])-FIND("/",Table18202324[[#This Row],[spawner_sku]])),Table1[Entity Prefab],0)),10,1,1,"Entities"))</f>
        <v>28</v>
      </c>
      <c r="GA65" s="74">
        <f ca="1">ROUND((Table18202324[[#This Row],[XP]]*Table18202324[[#This Row],[entity_spawned (AVG)]])*(Table18202324[[#This Row],[activating_chance]]/100),0)</f>
        <v>28</v>
      </c>
      <c r="GB65" s="74" t="str">
        <f ca="1">INDIRECT(ADDRESS(11+(MATCH(RIGHT(Table18202324[[#This Row],[spawner_sku]],LEN(Table18202324[[#This Row],[spawner_sku]])-FIND("/",Table18202324[[#This Row],[spawner_sku]])),Table28[Entity Prefab],0)),26,1,1,"Entities"))</f>
        <v>no</v>
      </c>
      <c r="GC65">
        <v>1</v>
      </c>
      <c r="GD65">
        <v>1</v>
      </c>
      <c r="GE65" t="b">
        <v>0</v>
      </c>
      <c r="GG65" t="s">
        <v>3816</v>
      </c>
      <c r="GH65">
        <v>1</v>
      </c>
      <c r="GI65">
        <v>240</v>
      </c>
      <c r="GJ65">
        <v>100</v>
      </c>
      <c r="GK65">
        <f ca="1">INDIRECT(ADDRESS(11+(MATCH(RIGHT(Table37[[#This Row],[spawner_sku]],LEN(Table37[[#This Row],[spawner_sku]])-FIND("/",Table37[[#This Row],[spawner_sku]])),Table1[Entity Prefab],0)),10,1,1,"Entities"))</f>
        <v>50</v>
      </c>
      <c r="GL65">
        <f ca="1">ROUND((Table37[[#This Row],[XP]]*Table37[[#This Row],[entity_spawned (AVG)]])*(Table37[[#This Row],[activating_chance]]/100),0)</f>
        <v>50</v>
      </c>
      <c r="GM65" t="str">
        <f ca="1">INDIRECT(ADDRESS(11+(MATCH(RIGHT(Table37[[#This Row],[spawner_sku]],LEN(Table37[[#This Row],[spawner_sku]])-FIND("/",Table37[[#This Row],[spawner_sku]])),Table28[Entity Prefab],0)),26,1,1,"Entities"))</f>
        <v>no</v>
      </c>
      <c r="GN65">
        <v>1</v>
      </c>
      <c r="GO65">
        <v>1</v>
      </c>
      <c r="GP65" t="b">
        <v>0</v>
      </c>
    </row>
    <row r="66" spans="2:198" x14ac:dyDescent="0.25">
      <c r="B66" s="72" t="s">
        <v>215</v>
      </c>
      <c r="C66">
        <v>1.5</v>
      </c>
      <c r="D66">
        <v>85</v>
      </c>
      <c r="E66">
        <v>100</v>
      </c>
      <c r="F66" s="74">
        <f ca="1">INDIRECT(ADDRESS(11+(MATCH(RIGHT(Table245[[#This Row],[spawner_sku]],LEN(Table245[[#This Row],[spawner_sku]])-FIND("/",Table245[[#This Row],[spawner_sku]])),Table1[Entity Prefab],0)),10,1,1,"Entities"))</f>
        <v>25</v>
      </c>
      <c r="G66" s="74">
        <f ca="1">ROUND((Table245[[#This Row],[XP]]*Table245[[#This Row],[entity_spawned (AVG)]])*(Table245[[#This Row],[activating_chance]]/100),0)</f>
        <v>38</v>
      </c>
      <c r="H66" s="71" t="str">
        <f ca="1">INDIRECT(ADDRESS(11+(MATCH(RIGHT(Table245[[#This Row],[spawner_sku]],LEN(Table245[[#This Row],[spawner_sku]])-FIND("/",Table245[[#This Row],[spawner_sku]])),Table28[Entity Prefab],0)),24,1,1,"Entities"))</f>
        <v>no</v>
      </c>
      <c r="I66" s="71">
        <v>1</v>
      </c>
      <c r="J66" s="71">
        <v>2</v>
      </c>
      <c r="K66" s="71" t="b">
        <v>0</v>
      </c>
      <c r="M66" t="s">
        <v>227</v>
      </c>
      <c r="N66">
        <v>1</v>
      </c>
      <c r="O66">
        <v>2000</v>
      </c>
      <c r="P66">
        <v>100</v>
      </c>
      <c r="Q66" s="74">
        <f ca="1">INDIRECT(ADDRESS(11+(MATCH(RIGHT(Table3[[#This Row],[spawner_sku]],LEN(Table3[[#This Row],[spawner_sku]])-FIND("/",Table3[[#This Row],[spawner_sku]])),Table1[Entity Prefab],0)),10,1,1,"Entities"))</f>
        <v>175</v>
      </c>
      <c r="R66" s="74">
        <f ca="1">ROUND((Table3[[#This Row],[XP]]*Table3[[#This Row],[entity_spawned (AVG)]])*(Table3[[#This Row],[activating_chance]]/100),0)</f>
        <v>175</v>
      </c>
      <c r="S66" t="str">
        <f ca="1">INDIRECT(ADDRESS(11+(MATCH(RIGHT(Table3[[#This Row],[spawner_sku]],LEN(Table3[[#This Row],[spawner_sku]])-FIND("/",Table3[[#This Row],[spawner_sku]])),Table28[Entity Prefab],0)),24,1,1,"Entities"))</f>
        <v>yes</v>
      </c>
      <c r="T66">
        <v>1</v>
      </c>
      <c r="U66">
        <v>1</v>
      </c>
      <c r="V66" t="b">
        <v>0</v>
      </c>
      <c r="W66" s="71"/>
      <c r="X66" t="s">
        <v>377</v>
      </c>
      <c r="Y66">
        <v>1.5</v>
      </c>
      <c r="Z66">
        <v>100</v>
      </c>
      <c r="AA66">
        <v>75</v>
      </c>
      <c r="AB66" s="74">
        <f ca="1">INDIRECT(ADDRESS(11+(MATCH(RIGHT(Table39[[#This Row],[spawner_sku]],LEN(Table39[[#This Row],[spawner_sku]])-FIND("/",Table39[[#This Row],[spawner_sku]])),Table1[Entity Prefab],0)),10,1,1,"Entities"))</f>
        <v>25</v>
      </c>
      <c r="AC66" s="74">
        <f ca="1">ROUND((Table39[[#This Row],[XP]]*Table39[[#This Row],[entity_spawned (AVG)]])*(Table39[[#This Row],[activating_chance]]/100),0)</f>
        <v>28</v>
      </c>
      <c r="AD66" t="str">
        <f ca="1">INDIRECT(ADDRESS(11+(MATCH(RIGHT(Table39[[#This Row],[spawner_sku]],LEN(Table39[[#This Row],[spawner_sku]])-FIND("/",Table39[[#This Row],[spawner_sku]])),Table28[Entity Prefab],0)),24,1,1,"Entities"))</f>
        <v>no</v>
      </c>
      <c r="AE66">
        <v>1</v>
      </c>
      <c r="AF66">
        <v>2</v>
      </c>
      <c r="AG66" t="b">
        <v>0</v>
      </c>
      <c r="AI66" t="s">
        <v>215</v>
      </c>
      <c r="AJ66">
        <v>3</v>
      </c>
      <c r="AK66">
        <v>160</v>
      </c>
      <c r="AL66">
        <v>100</v>
      </c>
      <c r="AM66" s="74">
        <f ca="1">INDIRECT(ADDRESS(11+(MATCH(RIGHT(Table2[[#This Row],[spawner_sku]],LEN(Table2[[#This Row],[spawner_sku]])-FIND("/",Table2[[#This Row],[spawner_sku]])),Table1[Entity Prefab],0)),10,1,1,"Entities"))</f>
        <v>25</v>
      </c>
      <c r="AN66" s="74">
        <f ca="1">ROUND((Table2[[#This Row],[XP]]*Table2[[#This Row],[entity_spawned (AVG)]])*(Table2[[#This Row],[activating_chance]]/100),0)</f>
        <v>75</v>
      </c>
      <c r="AO66" s="71" t="str">
        <f ca="1">INDIRECT(ADDRESS(11+(MATCH(RIGHT(Table2[[#This Row],[spawner_sku]],LEN(Table2[[#This Row],[spawner_sku]])-FIND("/",Table2[[#This Row],[spawner_sku]])),Table28[Entity Prefab],0)),24,1,1,"Entities"))</f>
        <v>no</v>
      </c>
      <c r="AP66" s="71">
        <v>2</v>
      </c>
      <c r="AQ66" s="71">
        <v>4</v>
      </c>
      <c r="AR66" s="71" t="b">
        <v>0</v>
      </c>
      <c r="AT66" t="s">
        <v>219</v>
      </c>
      <c r="AU66">
        <v>1</v>
      </c>
      <c r="AV66">
        <v>250</v>
      </c>
      <c r="AW66">
        <v>100</v>
      </c>
      <c r="AX66" s="74">
        <f ca="1">INDIRECT(ADDRESS(11+(MATCH(RIGHT(Table6[[#This Row],[spawner_sku]],LEN(Table6[[#This Row],[spawner_sku]])-FIND("/",Table6[[#This Row],[spawner_sku]])),Table1[Entity Prefab],0)),10,1,1,"Entities"))</f>
        <v>143</v>
      </c>
      <c r="AY66" s="74">
        <f ca="1">ROUND((Table6[[#This Row],[XP]]*Table6[[#This Row],[entity_spawned (AVG)]])*(Table6[[#This Row],[activating_chance]]/100),0)</f>
        <v>143</v>
      </c>
      <c r="AZ66" s="144" t="str">
        <f ca="1">INDIRECT(ADDRESS(11+(MATCH(RIGHT(Table6[[#This Row],[spawner_sku]],LEN(Table6[[#This Row],[spawner_sku]])-FIND("/",Table6[[#This Row],[spawner_sku]])),Table28[Entity Prefab],0)),24,1,1,"Entities"))</f>
        <v>yes</v>
      </c>
      <c r="BA66">
        <v>1</v>
      </c>
      <c r="BB66">
        <v>1</v>
      </c>
      <c r="BC66" t="b">
        <v>0</v>
      </c>
      <c r="BE66" t="s">
        <v>219</v>
      </c>
      <c r="BF66">
        <v>2</v>
      </c>
      <c r="BG66">
        <v>250</v>
      </c>
      <c r="BH66">
        <v>100</v>
      </c>
      <c r="BI66" s="74">
        <f ca="1">INDIRECT(ADDRESS(11+(MATCH(RIGHT(Table610[[#This Row],[spawner_sku]],LEN(Table610[[#This Row],[spawner_sku]])-FIND("/",Table610[[#This Row],[spawner_sku]])),Table1[Entity Prefab],0)),10,1,1,"Entities"))</f>
        <v>143</v>
      </c>
      <c r="BJ66" s="74">
        <f ca="1">ROUND((Table610[[#This Row],[XP]]*Table610[[#This Row],[entity_spawned (AVG)]])*(Table610[[#This Row],[activating_chance]]/100),0)</f>
        <v>286</v>
      </c>
      <c r="BK66" s="71" t="str">
        <f ca="1">INDIRECT(ADDRESS(11+(MATCH(RIGHT(Table610[[#This Row],[spawner_sku]],LEN(Table610[[#This Row],[spawner_sku]])-FIND("/",Table610[[#This Row],[spawner_sku]])),Table28[Entity Prefab],0)),24,1,1,"Entities"))</f>
        <v>yes</v>
      </c>
      <c r="BL66">
        <v>2</v>
      </c>
      <c r="BM66">
        <v>2</v>
      </c>
      <c r="BN66" t="b">
        <v>0</v>
      </c>
      <c r="BP66" t="s">
        <v>215</v>
      </c>
      <c r="BQ66">
        <v>3</v>
      </c>
      <c r="BR66">
        <v>200</v>
      </c>
      <c r="BS66">
        <v>100</v>
      </c>
      <c r="BT66" s="74">
        <f ca="1">INDIRECT(ADDRESS(11+(MATCH(RIGHT(Table61011[[#This Row],[spawner_sku]],LEN(Table61011[[#This Row],[spawner_sku]])-FIND("/",Table61011[[#This Row],[spawner_sku]])),Table1[Entity Prefab],0)),10,1,1,"Entities"))</f>
        <v>25</v>
      </c>
      <c r="BU66" s="74">
        <f ca="1">ROUND((Table61011[[#This Row],[XP]]*Table61011[[#This Row],[entity_spawned (AVG)]])*(Table61011[[#This Row],[activating_chance]]/100),0)</f>
        <v>75</v>
      </c>
      <c r="BV66" s="71" t="str">
        <f ca="1">INDIRECT(ADDRESS(11+(MATCH(RIGHT(Table61011[[#This Row],[spawner_sku]],LEN(Table61011[[#This Row],[spawner_sku]])-FIND("/",Table61011[[#This Row],[spawner_sku]])),Table28[Entity Prefab],0)),24,1,1,"Entities"))</f>
        <v>no</v>
      </c>
      <c r="BW66" s="71">
        <v>2</v>
      </c>
      <c r="BX66" s="71">
        <v>4</v>
      </c>
      <c r="BY66" s="71" t="b">
        <v>0</v>
      </c>
      <c r="BZ66" s="71"/>
      <c r="CA66" s="147" t="s">
        <v>570</v>
      </c>
      <c r="CB66">
        <v>1</v>
      </c>
      <c r="CC66">
        <v>120</v>
      </c>
      <c r="CD66">
        <v>100</v>
      </c>
      <c r="CE66" s="74">
        <f ca="1">INDIRECT(ADDRESS(11+(MATCH(RIGHT(Table35[[#This Row],[spawner_sku]],LEN(Table35[[#This Row],[spawner_sku]])-FIND("/",Table35[[#This Row],[spawner_sku]])),Table1[Entity Prefab],0)),10,1,1,"Entities"))</f>
        <v>50</v>
      </c>
      <c r="CF66" s="74">
        <f ca="1">ROUND((Table35[[#This Row],[XP]]*Table35[[#This Row],[entity_spawned (AVG)]])*(Table35[[#This Row],[activating_chance]]/100),0)</f>
        <v>50</v>
      </c>
      <c r="CG66" s="144" t="str">
        <f ca="1">INDIRECT(ADDRESS(11+(MATCH(RIGHT(Table35[[#This Row],[spawner_sku]],LEN(Table35[[#This Row],[spawner_sku]])-FIND("/",Table35[[#This Row],[spawner_sku]])),Table28[Entity Prefab],0)),24,1,1,"Entities"))</f>
        <v>no</v>
      </c>
      <c r="CH66">
        <v>1</v>
      </c>
      <c r="CI66">
        <v>1</v>
      </c>
      <c r="CJ66" s="71" t="b">
        <v>0</v>
      </c>
      <c r="CL66" t="s">
        <v>215</v>
      </c>
      <c r="CM66">
        <v>5.5</v>
      </c>
      <c r="CN66">
        <v>180</v>
      </c>
      <c r="CO66">
        <v>100</v>
      </c>
      <c r="CP66" s="74">
        <f ca="1">INDIRECT(ADDRESS(11+(MATCH(RIGHT(Table11[[#This Row],[spawner_sku]],LEN(Table11[[#This Row],[spawner_sku]])-FIND("/",Table11[[#This Row],[spawner_sku]])),Table1[Entity Prefab],0)),10,1,1,"Entities"))</f>
        <v>25</v>
      </c>
      <c r="CQ66">
        <f ca="1">ROUND((Table11[[#This Row],[XP]]*Table11[[#This Row],[entity_spawned (AVG)]])*(Table11[[#This Row],[activating_chance]]/100),0)</f>
        <v>138</v>
      </c>
      <c r="CR66" s="144" t="str">
        <f ca="1">INDIRECT(ADDRESS(11+(MATCH(RIGHT(Table11[[#This Row],[spawner_sku]],LEN(Table11[[#This Row],[spawner_sku]])-FIND("/",Table11[[#This Row],[spawner_sku]])),Table28[Entity Prefab],0)),25,1,1,"Entities"))</f>
        <v>no</v>
      </c>
      <c r="CS66" s="71">
        <v>5</v>
      </c>
      <c r="CT66" s="71">
        <v>6</v>
      </c>
      <c r="CU66" s="71" t="b">
        <v>1</v>
      </c>
      <c r="CW66" t="s">
        <v>229</v>
      </c>
      <c r="CX66">
        <v>1</v>
      </c>
      <c r="CY66">
        <v>1500</v>
      </c>
      <c r="CZ66">
        <v>100</v>
      </c>
      <c r="DA66" s="74">
        <f ca="1">INDIRECT(ADDRESS(11+(MATCH(RIGHT(Table12[[#This Row],[spawner_sku]],LEN(Table12[[#This Row],[spawner_sku]])-FIND("/",Table12[[#This Row],[spawner_sku]])),Table1[Entity Prefab],0)),10,1,1,"Entities"))</f>
        <v>130</v>
      </c>
      <c r="DB66" s="74">
        <f ca="1">ROUND((Table12[[#This Row],[XP]]*Table12[[#This Row],[entity_spawned (AVG)]])*(Table12[[#This Row],[activating_chance]]/100),0)</f>
        <v>130</v>
      </c>
      <c r="DC66" s="144" t="str">
        <f ca="1">INDIRECT(ADDRESS(11+(MATCH(RIGHT(Table12[[#This Row],[spawner_sku]],LEN(Table12[[#This Row],[spawner_sku]])-FIND("/",Table12[[#This Row],[spawner_sku]])),Table28[Entity Prefab],0)),25,1,1,"Entities"))</f>
        <v>yes</v>
      </c>
      <c r="DD66" s="71">
        <v>1</v>
      </c>
      <c r="DE66" s="71">
        <v>1</v>
      </c>
      <c r="DF66" s="71" t="b">
        <v>0</v>
      </c>
      <c r="DH66" t="s">
        <v>219</v>
      </c>
      <c r="DI66">
        <v>1</v>
      </c>
      <c r="DJ66">
        <v>250</v>
      </c>
      <c r="DK66">
        <v>100</v>
      </c>
      <c r="DL66" s="74">
        <f ca="1">INDIRECT(ADDRESS(11+(MATCH(RIGHT(Table13[[#This Row],[spawner_sku]],LEN(Table13[[#This Row],[spawner_sku]])-FIND("/",Table13[[#This Row],[spawner_sku]])),Table1[Entity Prefab],0)),10,1,1,"Entities"))</f>
        <v>143</v>
      </c>
      <c r="DM66" s="74">
        <f ca="1">ROUND((Table13[[#This Row],[XP]]*Table13[[#This Row],[entity_spawned (AVG)]])*(Table13[[#This Row],[activating_chance]]/100),0)</f>
        <v>143</v>
      </c>
      <c r="DN66" s="144" t="str">
        <f ca="1">INDIRECT(ADDRESS(11+(MATCH(RIGHT(Table13[[#This Row],[spawner_sku]],LEN(Table13[[#This Row],[spawner_sku]])-FIND("/",Table13[[#This Row],[spawner_sku]])),Table28[Entity Prefab],0)),25,1,1,"Entities"))</f>
        <v>yes</v>
      </c>
      <c r="DO66" s="71">
        <v>1</v>
      </c>
      <c r="DP66" s="71">
        <v>1</v>
      </c>
      <c r="DQ66" s="71" t="b">
        <v>0</v>
      </c>
      <c r="DS66" t="s">
        <v>214</v>
      </c>
      <c r="DT66">
        <v>3.5</v>
      </c>
      <c r="DU66">
        <v>180</v>
      </c>
      <c r="DV66">
        <v>100</v>
      </c>
      <c r="DW66" s="74">
        <f ca="1">INDIRECT(ADDRESS(11+(MATCH(RIGHT(Table14[[#This Row],[spawner_sku]],LEN(Table14[[#This Row],[spawner_sku]])-FIND("/",Table14[[#This Row],[spawner_sku]])),Table1[Entity Prefab],0)),10,1,1,"Entities"))</f>
        <v>25</v>
      </c>
      <c r="DX66" s="74">
        <f ca="1">ROUND((Table14[[#This Row],[XP]]*Table14[[#This Row],[entity_spawned (AVG)]])*(Table14[[#This Row],[activating_chance]]/100),0)</f>
        <v>88</v>
      </c>
      <c r="DY66" s="144" t="str">
        <f ca="1">INDIRECT(ADDRESS(11+(MATCH(RIGHT(Table14[[#This Row],[spawner_sku]],LEN(Table14[[#This Row],[spawner_sku]])-FIND("/",Table14[[#This Row],[spawner_sku]])),Table28[Entity Prefab],0)),25,1,1,"Entities"))</f>
        <v>no</v>
      </c>
      <c r="DZ66" s="71">
        <v>3</v>
      </c>
      <c r="EA66" s="71">
        <v>4</v>
      </c>
      <c r="EB66" s="71" t="b">
        <v>0</v>
      </c>
      <c r="EC66" s="71"/>
      <c r="ED66" s="147" t="s">
        <v>8142</v>
      </c>
      <c r="EE66" s="71">
        <v>1</v>
      </c>
      <c r="EF66" s="71">
        <v>200</v>
      </c>
      <c r="EG66" s="71">
        <v>80</v>
      </c>
      <c r="EH66" s="71">
        <f ca="1">INDIRECT(ADDRESS(11+(MATCH(RIGHT(Table36[[#This Row],[spawner_sku]],LEN(Table36[[#This Row],[spawner_sku]])-FIND("/",Table36[[#This Row],[spawner_sku]])),Table1[Entity Prefab],0)),10,1,1,"Entities"))</f>
        <v>75</v>
      </c>
      <c r="EI66" s="71">
        <f ca="1">ROUND((Table36[[#This Row],[XP]]*Table36[[#This Row],[entity_spawned (AVG)]])*(Table36[[#This Row],[activating_chance]]/100),0)</f>
        <v>60</v>
      </c>
      <c r="EJ66" s="71" t="str">
        <f ca="1">INDIRECT(ADDRESS(11+(MATCH(RIGHT(Table36[[#This Row],[spawner_sku]],LEN(Table36[[#This Row],[spawner_sku]])-FIND("/",Table36[[#This Row],[spawner_sku]])),Table28[Entity Prefab],0)),25,1,1,"Entities"))</f>
        <v>no</v>
      </c>
      <c r="EK66" s="71">
        <v>1</v>
      </c>
      <c r="EL66" s="71">
        <v>1</v>
      </c>
      <c r="EM66" s="71" t="b">
        <v>0</v>
      </c>
      <c r="EO66" t="s">
        <v>214</v>
      </c>
      <c r="EP66">
        <v>13</v>
      </c>
      <c r="EQ66">
        <v>180</v>
      </c>
      <c r="ER66">
        <v>100</v>
      </c>
      <c r="ES66" s="74">
        <f ca="1">INDIRECT(ADDRESS(11+(MATCH(RIGHT(Table18[[#This Row],[spawner_sku]],LEN(Table18[[#This Row],[spawner_sku]])-FIND("/",Table18[[#This Row],[spawner_sku]])),Table1[Entity Prefab],0)),10,1,1,"Entities"))</f>
        <v>25</v>
      </c>
      <c r="ET66" s="74">
        <f ca="1">ROUND((Table18[[#This Row],[XP]]*Table18[[#This Row],[entity_spawned (AVG)]])*(Table18[[#This Row],[activating_chance]]/100),0)</f>
        <v>325</v>
      </c>
      <c r="EU66" s="74" t="str">
        <f ca="1">INDIRECT(ADDRESS(11+(MATCH(RIGHT(Table18[[#This Row],[spawner_sku]],LEN(Table18[[#This Row],[spawner_sku]])-FIND("/",Table18[[#This Row],[spawner_sku]])),Table28[Entity Prefab],0)),26,1,1,"Entities"))</f>
        <v>no</v>
      </c>
      <c r="EV66">
        <v>10</v>
      </c>
      <c r="EW66">
        <v>16</v>
      </c>
      <c r="EX66" t="b">
        <v>1</v>
      </c>
      <c r="EZ66" t="s">
        <v>214</v>
      </c>
      <c r="FA66">
        <v>10</v>
      </c>
      <c r="FB66">
        <v>160</v>
      </c>
      <c r="FC66">
        <v>100</v>
      </c>
      <c r="FD66" s="74">
        <f ca="1">INDIRECT(ADDRESS(11+(MATCH(RIGHT(Table1820[[#This Row],[spawner_sku]],LEN(Table1820[[#This Row],[spawner_sku]])-FIND("/",Table1820[[#This Row],[spawner_sku]])),Table1[Entity Prefab],0)),10,1,1,"Entities"))</f>
        <v>25</v>
      </c>
      <c r="FE66" s="74">
        <f ca="1">ROUND((Table1820[[#This Row],[XP]]*Table1820[[#This Row],[entity_spawned (AVG)]])*(Table1820[[#This Row],[activating_chance]]/100),0)</f>
        <v>250</v>
      </c>
      <c r="FF66" s="74" t="str">
        <f ca="1">INDIRECT(ADDRESS(11+(MATCH(RIGHT(Table1820[[#This Row],[spawner_sku]],LEN(Table1820[[#This Row],[spawner_sku]])-FIND("/",Table1820[[#This Row],[spawner_sku]])),Table28[Entity Prefab],0)),26,1,1,"Entities"))</f>
        <v>no</v>
      </c>
      <c r="FG66">
        <v>8</v>
      </c>
      <c r="FH66">
        <v>12</v>
      </c>
      <c r="FI66" t="b">
        <v>1</v>
      </c>
      <c r="FK66" t="s">
        <v>2694</v>
      </c>
      <c r="FL66">
        <v>2.5</v>
      </c>
      <c r="FM66">
        <v>70</v>
      </c>
      <c r="FN66">
        <v>100</v>
      </c>
      <c r="FO66">
        <f ca="1">INDIRECT(ADDRESS(11+(MATCH(RIGHT(Table182023[[#This Row],[spawner_sku]],LEN(Table182023[[#This Row],[spawner_sku]])-FIND("/",Table182023[[#This Row],[spawner_sku]])),Table1[Entity Prefab],0)),10,1,1,"Entities"))</f>
        <v>143</v>
      </c>
      <c r="FP66">
        <f ca="1">ROUND((Table182023[[#This Row],[XP]]*Table182023[[#This Row],[entity_spawned (AVG)]])*(Table182023[[#This Row],[activating_chance]]/100),0)</f>
        <v>358</v>
      </c>
      <c r="FQ66" t="str">
        <f ca="1">INDIRECT(ADDRESS(11+(MATCH(RIGHT(Table182023[[#This Row],[spawner_sku]],LEN(Table182023[[#This Row],[spawner_sku]])-FIND("/",Table182023[[#This Row],[spawner_sku]])),Table28[Entity Prefab],0)),26,1,1,"Entities"))</f>
        <v>no</v>
      </c>
      <c r="FR66">
        <v>2</v>
      </c>
      <c r="FS66">
        <v>3</v>
      </c>
      <c r="FT66" t="b">
        <v>0</v>
      </c>
      <c r="FV66" t="s">
        <v>464</v>
      </c>
      <c r="FW66">
        <v>1</v>
      </c>
      <c r="FX66">
        <v>110</v>
      </c>
      <c r="FY66">
        <v>100</v>
      </c>
      <c r="FZ66" s="74">
        <f ca="1">INDIRECT(ADDRESS(11+(MATCH(RIGHT(Table18202324[[#This Row],[spawner_sku]],LEN(Table18202324[[#This Row],[spawner_sku]])-FIND("/",Table18202324[[#This Row],[spawner_sku]])),Table1[Entity Prefab],0)),10,1,1,"Entities"))</f>
        <v>28</v>
      </c>
      <c r="GA66" s="74">
        <f ca="1">ROUND((Table18202324[[#This Row],[XP]]*Table18202324[[#This Row],[entity_spawned (AVG)]])*(Table18202324[[#This Row],[activating_chance]]/100),0)</f>
        <v>28</v>
      </c>
      <c r="GB66" s="74" t="str">
        <f ca="1">INDIRECT(ADDRESS(11+(MATCH(RIGHT(Table18202324[[#This Row],[spawner_sku]],LEN(Table18202324[[#This Row],[spawner_sku]])-FIND("/",Table18202324[[#This Row],[spawner_sku]])),Table28[Entity Prefab],0)),26,1,1,"Entities"))</f>
        <v>no</v>
      </c>
      <c r="GC66">
        <v>1</v>
      </c>
      <c r="GD66">
        <v>1</v>
      </c>
      <c r="GE66" t="b">
        <v>0</v>
      </c>
      <c r="GG66" t="s">
        <v>3816</v>
      </c>
      <c r="GH66">
        <v>1</v>
      </c>
      <c r="GI66">
        <v>240</v>
      </c>
      <c r="GJ66">
        <v>100</v>
      </c>
      <c r="GK66">
        <f ca="1">INDIRECT(ADDRESS(11+(MATCH(RIGHT(Table37[[#This Row],[spawner_sku]],LEN(Table37[[#This Row],[spawner_sku]])-FIND("/",Table37[[#This Row],[spawner_sku]])),Table1[Entity Prefab],0)),10,1,1,"Entities"))</f>
        <v>50</v>
      </c>
      <c r="GL66">
        <f ca="1">ROUND((Table37[[#This Row],[XP]]*Table37[[#This Row],[entity_spawned (AVG)]])*(Table37[[#This Row],[activating_chance]]/100),0)</f>
        <v>50</v>
      </c>
      <c r="GM66" t="str">
        <f ca="1">INDIRECT(ADDRESS(11+(MATCH(RIGHT(Table37[[#This Row],[spawner_sku]],LEN(Table37[[#This Row],[spawner_sku]])-FIND("/",Table37[[#This Row],[spawner_sku]])),Table28[Entity Prefab],0)),26,1,1,"Entities"))</f>
        <v>no</v>
      </c>
      <c r="GN66">
        <v>1</v>
      </c>
      <c r="GO66">
        <v>1</v>
      </c>
      <c r="GP66" t="b">
        <v>0</v>
      </c>
    </row>
    <row r="67" spans="2:198" x14ac:dyDescent="0.25">
      <c r="B67" s="72" t="s">
        <v>215</v>
      </c>
      <c r="C67">
        <v>3</v>
      </c>
      <c r="D67">
        <v>130</v>
      </c>
      <c r="E67">
        <v>80</v>
      </c>
      <c r="F67" s="74">
        <f ca="1">INDIRECT(ADDRESS(11+(MATCH(RIGHT(Table245[[#This Row],[spawner_sku]],LEN(Table245[[#This Row],[spawner_sku]])-FIND("/",Table245[[#This Row],[spawner_sku]])),Table1[Entity Prefab],0)),10,1,1,"Entities"))</f>
        <v>25</v>
      </c>
      <c r="G67" s="74">
        <f ca="1">ROUND((Table245[[#This Row],[XP]]*Table245[[#This Row],[entity_spawned (AVG)]])*(Table245[[#This Row],[activating_chance]]/100),0)</f>
        <v>60</v>
      </c>
      <c r="H67" s="71" t="str">
        <f ca="1">INDIRECT(ADDRESS(11+(MATCH(RIGHT(Table245[[#This Row],[spawner_sku]],LEN(Table245[[#This Row],[spawner_sku]])-FIND("/",Table245[[#This Row],[spawner_sku]])),Table28[Entity Prefab],0)),24,1,1,"Entities"))</f>
        <v>no</v>
      </c>
      <c r="I67" s="71">
        <v>2</v>
      </c>
      <c r="J67" s="71">
        <v>4</v>
      </c>
      <c r="K67" s="71" t="b">
        <v>0</v>
      </c>
      <c r="M67" t="s">
        <v>227</v>
      </c>
      <c r="N67">
        <v>1</v>
      </c>
      <c r="O67">
        <v>2000</v>
      </c>
      <c r="P67">
        <v>100</v>
      </c>
      <c r="Q67" s="74">
        <f ca="1">INDIRECT(ADDRESS(11+(MATCH(RIGHT(Table3[[#This Row],[spawner_sku]],LEN(Table3[[#This Row],[spawner_sku]])-FIND("/",Table3[[#This Row],[spawner_sku]])),Table1[Entity Prefab],0)),10,1,1,"Entities"))</f>
        <v>175</v>
      </c>
      <c r="R67" s="74">
        <f ca="1">ROUND((Table3[[#This Row],[XP]]*Table3[[#This Row],[entity_spawned (AVG)]])*(Table3[[#This Row],[activating_chance]]/100),0)</f>
        <v>175</v>
      </c>
      <c r="S67" t="str">
        <f ca="1">INDIRECT(ADDRESS(11+(MATCH(RIGHT(Table3[[#This Row],[spawner_sku]],LEN(Table3[[#This Row],[spawner_sku]])-FIND("/",Table3[[#This Row],[spawner_sku]])),Table28[Entity Prefab],0)),24,1,1,"Entities"))</f>
        <v>yes</v>
      </c>
      <c r="T67">
        <v>1</v>
      </c>
      <c r="U67">
        <v>1</v>
      </c>
      <c r="V67" t="b">
        <v>0</v>
      </c>
      <c r="W67" s="71"/>
      <c r="X67" t="s">
        <v>377</v>
      </c>
      <c r="Y67">
        <v>3</v>
      </c>
      <c r="Z67">
        <v>140</v>
      </c>
      <c r="AA67">
        <v>100</v>
      </c>
      <c r="AB67" s="74">
        <f ca="1">INDIRECT(ADDRESS(11+(MATCH(RIGHT(Table39[[#This Row],[spawner_sku]],LEN(Table39[[#This Row],[spawner_sku]])-FIND("/",Table39[[#This Row],[spawner_sku]])),Table1[Entity Prefab],0)),10,1,1,"Entities"))</f>
        <v>25</v>
      </c>
      <c r="AC67" s="74">
        <f ca="1">ROUND((Table39[[#This Row],[XP]]*Table39[[#This Row],[entity_spawned (AVG)]])*(Table39[[#This Row],[activating_chance]]/100),0)</f>
        <v>75</v>
      </c>
      <c r="AD67" t="str">
        <f ca="1">INDIRECT(ADDRESS(11+(MATCH(RIGHT(Table39[[#This Row],[spawner_sku]],LEN(Table39[[#This Row],[spawner_sku]])-FIND("/",Table39[[#This Row],[spawner_sku]])),Table28[Entity Prefab],0)),24,1,1,"Entities"))</f>
        <v>no</v>
      </c>
      <c r="AE67">
        <v>3</v>
      </c>
      <c r="AF67">
        <v>3</v>
      </c>
      <c r="AG67" t="b">
        <v>0</v>
      </c>
      <c r="AI67" t="s">
        <v>215</v>
      </c>
      <c r="AJ67">
        <v>2</v>
      </c>
      <c r="AK67">
        <v>120</v>
      </c>
      <c r="AL67">
        <v>80</v>
      </c>
      <c r="AM67" s="74">
        <f ca="1">INDIRECT(ADDRESS(11+(MATCH(RIGHT(Table2[[#This Row],[spawner_sku]],LEN(Table2[[#This Row],[spawner_sku]])-FIND("/",Table2[[#This Row],[spawner_sku]])),Table1[Entity Prefab],0)),10,1,1,"Entities"))</f>
        <v>25</v>
      </c>
      <c r="AN67" s="74">
        <f ca="1">ROUND((Table2[[#This Row],[XP]]*Table2[[#This Row],[entity_spawned (AVG)]])*(Table2[[#This Row],[activating_chance]]/100),0)</f>
        <v>40</v>
      </c>
      <c r="AO67" s="71" t="str">
        <f ca="1">INDIRECT(ADDRESS(11+(MATCH(RIGHT(Table2[[#This Row],[spawner_sku]],LEN(Table2[[#This Row],[spawner_sku]])-FIND("/",Table2[[#This Row],[spawner_sku]])),Table28[Entity Prefab],0)),24,1,1,"Entities"))</f>
        <v>no</v>
      </c>
      <c r="AP67" s="71">
        <v>1</v>
      </c>
      <c r="AQ67" s="71">
        <v>3</v>
      </c>
      <c r="AR67" s="71" t="b">
        <v>0</v>
      </c>
      <c r="AT67" t="s">
        <v>219</v>
      </c>
      <c r="AU67">
        <v>1</v>
      </c>
      <c r="AV67">
        <v>250</v>
      </c>
      <c r="AW67">
        <v>100</v>
      </c>
      <c r="AX67" s="74">
        <f ca="1">INDIRECT(ADDRESS(11+(MATCH(RIGHT(Table6[[#This Row],[spawner_sku]],LEN(Table6[[#This Row],[spawner_sku]])-FIND("/",Table6[[#This Row],[spawner_sku]])),Table1[Entity Prefab],0)),10,1,1,"Entities"))</f>
        <v>143</v>
      </c>
      <c r="AY67" s="74">
        <f ca="1">ROUND((Table6[[#This Row],[XP]]*Table6[[#This Row],[entity_spawned (AVG)]])*(Table6[[#This Row],[activating_chance]]/100),0)</f>
        <v>143</v>
      </c>
      <c r="AZ67" s="144" t="str">
        <f ca="1">INDIRECT(ADDRESS(11+(MATCH(RIGHT(Table6[[#This Row],[spawner_sku]],LEN(Table6[[#This Row],[spawner_sku]])-FIND("/",Table6[[#This Row],[spawner_sku]])),Table28[Entity Prefab],0)),24,1,1,"Entities"))</f>
        <v>yes</v>
      </c>
      <c r="BA67">
        <v>1</v>
      </c>
      <c r="BB67">
        <v>1</v>
      </c>
      <c r="BC67" t="b">
        <v>0</v>
      </c>
      <c r="BE67" t="s">
        <v>219</v>
      </c>
      <c r="BF67">
        <v>2.5</v>
      </c>
      <c r="BG67">
        <v>250</v>
      </c>
      <c r="BH67">
        <v>100</v>
      </c>
      <c r="BI67" s="74">
        <f ca="1">INDIRECT(ADDRESS(11+(MATCH(RIGHT(Table610[[#This Row],[spawner_sku]],LEN(Table610[[#This Row],[spawner_sku]])-FIND("/",Table610[[#This Row],[spawner_sku]])),Table1[Entity Prefab],0)),10,1,1,"Entities"))</f>
        <v>143</v>
      </c>
      <c r="BJ67" s="74">
        <f ca="1">ROUND((Table610[[#This Row],[XP]]*Table610[[#This Row],[entity_spawned (AVG)]])*(Table610[[#This Row],[activating_chance]]/100),0)</f>
        <v>358</v>
      </c>
      <c r="BK67" s="71" t="str">
        <f ca="1">INDIRECT(ADDRESS(11+(MATCH(RIGHT(Table610[[#This Row],[spawner_sku]],LEN(Table610[[#This Row],[spawner_sku]])-FIND("/",Table610[[#This Row],[spawner_sku]])),Table28[Entity Prefab],0)),24,1,1,"Entities"))</f>
        <v>yes</v>
      </c>
      <c r="BL67">
        <v>2</v>
      </c>
      <c r="BM67">
        <v>3</v>
      </c>
      <c r="BN67" t="b">
        <v>0</v>
      </c>
      <c r="BP67" t="s">
        <v>215</v>
      </c>
      <c r="BQ67">
        <v>1.5</v>
      </c>
      <c r="BR67">
        <v>160</v>
      </c>
      <c r="BS67">
        <v>100</v>
      </c>
      <c r="BT67" s="74">
        <f ca="1">INDIRECT(ADDRESS(11+(MATCH(RIGHT(Table61011[[#This Row],[spawner_sku]],LEN(Table61011[[#This Row],[spawner_sku]])-FIND("/",Table61011[[#This Row],[spawner_sku]])),Table1[Entity Prefab],0)),10,1,1,"Entities"))</f>
        <v>25</v>
      </c>
      <c r="BU67" s="74">
        <f ca="1">ROUND((Table61011[[#This Row],[XP]]*Table61011[[#This Row],[entity_spawned (AVG)]])*(Table61011[[#This Row],[activating_chance]]/100),0)</f>
        <v>38</v>
      </c>
      <c r="BV67" s="71" t="str">
        <f ca="1">INDIRECT(ADDRESS(11+(MATCH(RIGHT(Table61011[[#This Row],[spawner_sku]],LEN(Table61011[[#This Row],[spawner_sku]])-FIND("/",Table61011[[#This Row],[spawner_sku]])),Table28[Entity Prefab],0)),24,1,1,"Entities"))</f>
        <v>no</v>
      </c>
      <c r="BW67" s="71">
        <v>1</v>
      </c>
      <c r="BX67" s="71">
        <v>2</v>
      </c>
      <c r="BY67" s="71" t="b">
        <v>0</v>
      </c>
      <c r="BZ67" s="71"/>
      <c r="CA67" s="147" t="s">
        <v>570</v>
      </c>
      <c r="CB67">
        <v>1</v>
      </c>
      <c r="CC67">
        <v>120</v>
      </c>
      <c r="CD67">
        <v>100</v>
      </c>
      <c r="CE67" s="74">
        <f ca="1">INDIRECT(ADDRESS(11+(MATCH(RIGHT(Table35[[#This Row],[spawner_sku]],LEN(Table35[[#This Row],[spawner_sku]])-FIND("/",Table35[[#This Row],[spawner_sku]])),Table1[Entity Prefab],0)),10,1,1,"Entities"))</f>
        <v>50</v>
      </c>
      <c r="CF67" s="74">
        <f ca="1">ROUND((Table35[[#This Row],[XP]]*Table35[[#This Row],[entity_spawned (AVG)]])*(Table35[[#This Row],[activating_chance]]/100),0)</f>
        <v>50</v>
      </c>
      <c r="CG67" s="144" t="str">
        <f ca="1">INDIRECT(ADDRESS(11+(MATCH(RIGHT(Table35[[#This Row],[spawner_sku]],LEN(Table35[[#This Row],[spawner_sku]])-FIND("/",Table35[[#This Row],[spawner_sku]])),Table28[Entity Prefab],0)),24,1,1,"Entities"))</f>
        <v>no</v>
      </c>
      <c r="CH67">
        <v>1</v>
      </c>
      <c r="CI67">
        <v>1</v>
      </c>
      <c r="CJ67" s="71" t="b">
        <v>0</v>
      </c>
      <c r="CL67" t="s">
        <v>215</v>
      </c>
      <c r="CM67">
        <v>3.5</v>
      </c>
      <c r="CN67">
        <v>180</v>
      </c>
      <c r="CO67">
        <v>100</v>
      </c>
      <c r="CP67" s="74">
        <f ca="1">INDIRECT(ADDRESS(11+(MATCH(RIGHT(Table11[[#This Row],[spawner_sku]],LEN(Table11[[#This Row],[spawner_sku]])-FIND("/",Table11[[#This Row],[spawner_sku]])),Table1[Entity Prefab],0)),10,1,1,"Entities"))</f>
        <v>25</v>
      </c>
      <c r="CQ67">
        <f ca="1">ROUND((Table11[[#This Row],[XP]]*Table11[[#This Row],[entity_spawned (AVG)]])*(Table11[[#This Row],[activating_chance]]/100),0)</f>
        <v>88</v>
      </c>
      <c r="CR67" s="144" t="str">
        <f ca="1">INDIRECT(ADDRESS(11+(MATCH(RIGHT(Table11[[#This Row],[spawner_sku]],LEN(Table11[[#This Row],[spawner_sku]])-FIND("/",Table11[[#This Row],[spawner_sku]])),Table28[Entity Prefab],0)),25,1,1,"Entities"))</f>
        <v>no</v>
      </c>
      <c r="CS67" s="71">
        <v>3</v>
      </c>
      <c r="CT67" s="71">
        <v>4</v>
      </c>
      <c r="CU67" s="71" t="b">
        <v>0</v>
      </c>
      <c r="CW67" t="s">
        <v>229</v>
      </c>
      <c r="CX67">
        <v>1</v>
      </c>
      <c r="CY67">
        <v>1500</v>
      </c>
      <c r="CZ67">
        <v>80</v>
      </c>
      <c r="DA67" s="74">
        <f ca="1">INDIRECT(ADDRESS(11+(MATCH(RIGHT(Table12[[#This Row],[spawner_sku]],LEN(Table12[[#This Row],[spawner_sku]])-FIND("/",Table12[[#This Row],[spawner_sku]])),Table1[Entity Prefab],0)),10,1,1,"Entities"))</f>
        <v>130</v>
      </c>
      <c r="DB67" s="74">
        <f ca="1">ROUND((Table12[[#This Row],[XP]]*Table12[[#This Row],[entity_spawned (AVG)]])*(Table12[[#This Row],[activating_chance]]/100),0)</f>
        <v>104</v>
      </c>
      <c r="DC67" s="144" t="str">
        <f ca="1">INDIRECT(ADDRESS(11+(MATCH(RIGHT(Table12[[#This Row],[spawner_sku]],LEN(Table12[[#This Row],[spawner_sku]])-FIND("/",Table12[[#This Row],[spawner_sku]])),Table28[Entity Prefab],0)),25,1,1,"Entities"))</f>
        <v>yes</v>
      </c>
      <c r="DD67" s="71">
        <v>1</v>
      </c>
      <c r="DE67" s="71">
        <v>1</v>
      </c>
      <c r="DF67" s="71" t="b">
        <v>0</v>
      </c>
      <c r="DH67" t="s">
        <v>219</v>
      </c>
      <c r="DI67">
        <v>1.5</v>
      </c>
      <c r="DJ67">
        <v>250</v>
      </c>
      <c r="DK67">
        <v>100</v>
      </c>
      <c r="DL67" s="74">
        <f ca="1">INDIRECT(ADDRESS(11+(MATCH(RIGHT(Table13[[#This Row],[spawner_sku]],LEN(Table13[[#This Row],[spawner_sku]])-FIND("/",Table13[[#This Row],[spawner_sku]])),Table1[Entity Prefab],0)),10,1,1,"Entities"))</f>
        <v>143</v>
      </c>
      <c r="DM67" s="74">
        <f ca="1">ROUND((Table13[[#This Row],[XP]]*Table13[[#This Row],[entity_spawned (AVG)]])*(Table13[[#This Row],[activating_chance]]/100),0)</f>
        <v>215</v>
      </c>
      <c r="DN67" s="144" t="str">
        <f ca="1">INDIRECT(ADDRESS(11+(MATCH(RIGHT(Table13[[#This Row],[spawner_sku]],LEN(Table13[[#This Row],[spawner_sku]])-FIND("/",Table13[[#This Row],[spawner_sku]])),Table28[Entity Prefab],0)),25,1,1,"Entities"))</f>
        <v>yes</v>
      </c>
      <c r="DO67" s="71">
        <v>1</v>
      </c>
      <c r="DP67" s="71">
        <v>2</v>
      </c>
      <c r="DQ67" s="71" t="b">
        <v>0</v>
      </c>
      <c r="DS67" t="s">
        <v>214</v>
      </c>
      <c r="DT67">
        <v>5.5</v>
      </c>
      <c r="DU67">
        <v>180</v>
      </c>
      <c r="DV67">
        <v>100</v>
      </c>
      <c r="DW67" s="74">
        <f ca="1">INDIRECT(ADDRESS(11+(MATCH(RIGHT(Table14[[#This Row],[spawner_sku]],LEN(Table14[[#This Row],[spawner_sku]])-FIND("/",Table14[[#This Row],[spawner_sku]])),Table1[Entity Prefab],0)),10,1,1,"Entities"))</f>
        <v>25</v>
      </c>
      <c r="DX67" s="74">
        <f ca="1">ROUND((Table14[[#This Row],[XP]]*Table14[[#This Row],[entity_spawned (AVG)]])*(Table14[[#This Row],[activating_chance]]/100),0)</f>
        <v>138</v>
      </c>
      <c r="DY67" s="144" t="str">
        <f ca="1">INDIRECT(ADDRESS(11+(MATCH(RIGHT(Table14[[#This Row],[spawner_sku]],LEN(Table14[[#This Row],[spawner_sku]])-FIND("/",Table14[[#This Row],[spawner_sku]])),Table28[Entity Prefab],0)),25,1,1,"Entities"))</f>
        <v>no</v>
      </c>
      <c r="DZ67" s="71">
        <v>5</v>
      </c>
      <c r="EA67" s="71">
        <v>6</v>
      </c>
      <c r="EB67" s="71" t="b">
        <v>1</v>
      </c>
      <c r="EC67" s="71"/>
      <c r="ED67" s="147" t="s">
        <v>8142</v>
      </c>
      <c r="EE67" s="71">
        <v>1</v>
      </c>
      <c r="EF67" s="71">
        <v>200</v>
      </c>
      <c r="EG67" s="71">
        <v>80</v>
      </c>
      <c r="EH67" s="71">
        <f ca="1">INDIRECT(ADDRESS(11+(MATCH(RIGHT(Table36[[#This Row],[spawner_sku]],LEN(Table36[[#This Row],[spawner_sku]])-FIND("/",Table36[[#This Row],[spawner_sku]])),Table1[Entity Prefab],0)),10,1,1,"Entities"))</f>
        <v>75</v>
      </c>
      <c r="EI67" s="71">
        <f ca="1">ROUND((Table36[[#This Row],[XP]]*Table36[[#This Row],[entity_spawned (AVG)]])*(Table36[[#This Row],[activating_chance]]/100),0)</f>
        <v>60</v>
      </c>
      <c r="EJ67" s="71" t="str">
        <f ca="1">INDIRECT(ADDRESS(11+(MATCH(RIGHT(Table36[[#This Row],[spawner_sku]],LEN(Table36[[#This Row],[spawner_sku]])-FIND("/",Table36[[#This Row],[spawner_sku]])),Table28[Entity Prefab],0)),25,1,1,"Entities"))</f>
        <v>no</v>
      </c>
      <c r="EK67" s="71">
        <v>1</v>
      </c>
      <c r="EL67" s="71">
        <v>1</v>
      </c>
      <c r="EM67" s="71" t="b">
        <v>0</v>
      </c>
      <c r="EO67" t="s">
        <v>214</v>
      </c>
      <c r="EP67">
        <v>7</v>
      </c>
      <c r="EQ67">
        <v>160</v>
      </c>
      <c r="ER67">
        <v>30</v>
      </c>
      <c r="ES67" s="74">
        <f ca="1">INDIRECT(ADDRESS(11+(MATCH(RIGHT(Table18[[#This Row],[spawner_sku]],LEN(Table18[[#This Row],[spawner_sku]])-FIND("/",Table18[[#This Row],[spawner_sku]])),Table1[Entity Prefab],0)),10,1,1,"Entities"))</f>
        <v>25</v>
      </c>
      <c r="ET67" s="74">
        <f ca="1">ROUND((Table18[[#This Row],[XP]]*Table18[[#This Row],[entity_spawned (AVG)]])*(Table18[[#This Row],[activating_chance]]/100),0)</f>
        <v>53</v>
      </c>
      <c r="EU67" s="74" t="str">
        <f ca="1">INDIRECT(ADDRESS(11+(MATCH(RIGHT(Table18[[#This Row],[spawner_sku]],LEN(Table18[[#This Row],[spawner_sku]])-FIND("/",Table18[[#This Row],[spawner_sku]])),Table28[Entity Prefab],0)),26,1,1,"Entities"))</f>
        <v>no</v>
      </c>
      <c r="EV67">
        <v>6</v>
      </c>
      <c r="EW67">
        <v>8</v>
      </c>
      <c r="EX67" t="b">
        <v>1</v>
      </c>
      <c r="EZ67" t="s">
        <v>214</v>
      </c>
      <c r="FA67">
        <v>8</v>
      </c>
      <c r="FB67">
        <v>160</v>
      </c>
      <c r="FC67">
        <v>100</v>
      </c>
      <c r="FD67" s="74">
        <f ca="1">INDIRECT(ADDRESS(11+(MATCH(RIGHT(Table1820[[#This Row],[spawner_sku]],LEN(Table1820[[#This Row],[spawner_sku]])-FIND("/",Table1820[[#This Row],[spawner_sku]])),Table1[Entity Prefab],0)),10,1,1,"Entities"))</f>
        <v>25</v>
      </c>
      <c r="FE67" s="74">
        <f ca="1">ROUND((Table1820[[#This Row],[XP]]*Table1820[[#This Row],[entity_spawned (AVG)]])*(Table1820[[#This Row],[activating_chance]]/100),0)</f>
        <v>200</v>
      </c>
      <c r="FF67" s="74" t="str">
        <f ca="1">INDIRECT(ADDRESS(11+(MATCH(RIGHT(Table1820[[#This Row],[spawner_sku]],LEN(Table1820[[#This Row],[spawner_sku]])-FIND("/",Table1820[[#This Row],[spawner_sku]])),Table28[Entity Prefab],0)),26,1,1,"Entities"))</f>
        <v>no</v>
      </c>
      <c r="FG67">
        <v>6</v>
      </c>
      <c r="FH67">
        <v>10</v>
      </c>
      <c r="FI67" t="b">
        <v>1</v>
      </c>
      <c r="FK67" t="s">
        <v>2694</v>
      </c>
      <c r="FL67">
        <v>2.5</v>
      </c>
      <c r="FM67">
        <v>70</v>
      </c>
      <c r="FN67">
        <v>100</v>
      </c>
      <c r="FO67">
        <f ca="1">INDIRECT(ADDRESS(11+(MATCH(RIGHT(Table182023[[#This Row],[spawner_sku]],LEN(Table182023[[#This Row],[spawner_sku]])-FIND("/",Table182023[[#This Row],[spawner_sku]])),Table1[Entity Prefab],0)),10,1,1,"Entities"))</f>
        <v>143</v>
      </c>
      <c r="FP67">
        <f ca="1">ROUND((Table182023[[#This Row],[XP]]*Table182023[[#This Row],[entity_spawned (AVG)]])*(Table182023[[#This Row],[activating_chance]]/100),0)</f>
        <v>358</v>
      </c>
      <c r="FQ67" t="str">
        <f ca="1">INDIRECT(ADDRESS(11+(MATCH(RIGHT(Table182023[[#This Row],[spawner_sku]],LEN(Table182023[[#This Row],[spawner_sku]])-FIND("/",Table182023[[#This Row],[spawner_sku]])),Table28[Entity Prefab],0)),26,1,1,"Entities"))</f>
        <v>no</v>
      </c>
      <c r="FR67">
        <v>2</v>
      </c>
      <c r="FS67">
        <v>3</v>
      </c>
      <c r="FT67" t="b">
        <v>0</v>
      </c>
      <c r="FV67" t="s">
        <v>464</v>
      </c>
      <c r="FW67">
        <v>1</v>
      </c>
      <c r="FX67">
        <v>110</v>
      </c>
      <c r="FY67">
        <v>100</v>
      </c>
      <c r="FZ67" s="74">
        <f ca="1">INDIRECT(ADDRESS(11+(MATCH(RIGHT(Table18202324[[#This Row],[spawner_sku]],LEN(Table18202324[[#This Row],[spawner_sku]])-FIND("/",Table18202324[[#This Row],[spawner_sku]])),Table1[Entity Prefab],0)),10,1,1,"Entities"))</f>
        <v>28</v>
      </c>
      <c r="GA67" s="74">
        <f ca="1">ROUND((Table18202324[[#This Row],[XP]]*Table18202324[[#This Row],[entity_spawned (AVG)]])*(Table18202324[[#This Row],[activating_chance]]/100),0)</f>
        <v>28</v>
      </c>
      <c r="GB67" s="74" t="str">
        <f ca="1">INDIRECT(ADDRESS(11+(MATCH(RIGHT(Table18202324[[#This Row],[spawner_sku]],LEN(Table18202324[[#This Row],[spawner_sku]])-FIND("/",Table18202324[[#This Row],[spawner_sku]])),Table28[Entity Prefab],0)),26,1,1,"Entities"))</f>
        <v>no</v>
      </c>
      <c r="GC67">
        <v>1</v>
      </c>
      <c r="GD67">
        <v>1</v>
      </c>
      <c r="GE67" t="b">
        <v>0</v>
      </c>
      <c r="GG67" t="s">
        <v>3816</v>
      </c>
      <c r="GH67">
        <v>1</v>
      </c>
      <c r="GI67">
        <v>240</v>
      </c>
      <c r="GJ67">
        <v>100</v>
      </c>
      <c r="GK67">
        <f ca="1">INDIRECT(ADDRESS(11+(MATCH(RIGHT(Table37[[#This Row],[spawner_sku]],LEN(Table37[[#This Row],[spawner_sku]])-FIND("/",Table37[[#This Row],[spawner_sku]])),Table1[Entity Prefab],0)),10,1,1,"Entities"))</f>
        <v>50</v>
      </c>
      <c r="GL67">
        <f ca="1">ROUND((Table37[[#This Row],[XP]]*Table37[[#This Row],[entity_spawned (AVG)]])*(Table37[[#This Row],[activating_chance]]/100),0)</f>
        <v>50</v>
      </c>
      <c r="GM67" t="str">
        <f ca="1">INDIRECT(ADDRESS(11+(MATCH(RIGHT(Table37[[#This Row],[spawner_sku]],LEN(Table37[[#This Row],[spawner_sku]])-FIND("/",Table37[[#This Row],[spawner_sku]])),Table28[Entity Prefab],0)),26,1,1,"Entities"))</f>
        <v>no</v>
      </c>
      <c r="GN67">
        <v>1</v>
      </c>
      <c r="GO67">
        <v>1</v>
      </c>
      <c r="GP67" t="b">
        <v>0</v>
      </c>
    </row>
    <row r="68" spans="2:198" x14ac:dyDescent="0.25">
      <c r="B68" s="72" t="s">
        <v>215</v>
      </c>
      <c r="C68">
        <v>3</v>
      </c>
      <c r="D68">
        <v>160</v>
      </c>
      <c r="E68">
        <v>100</v>
      </c>
      <c r="F68" s="74">
        <f ca="1">INDIRECT(ADDRESS(11+(MATCH(RIGHT(Table245[[#This Row],[spawner_sku]],LEN(Table245[[#This Row],[spawner_sku]])-FIND("/",Table245[[#This Row],[spawner_sku]])),Table1[Entity Prefab],0)),10,1,1,"Entities"))</f>
        <v>25</v>
      </c>
      <c r="G68" s="74">
        <f ca="1">ROUND((Table245[[#This Row],[XP]]*Table245[[#This Row],[entity_spawned (AVG)]])*(Table245[[#This Row],[activating_chance]]/100),0)</f>
        <v>75</v>
      </c>
      <c r="H68" s="71" t="str">
        <f ca="1">INDIRECT(ADDRESS(11+(MATCH(RIGHT(Table245[[#This Row],[spawner_sku]],LEN(Table245[[#This Row],[spawner_sku]])-FIND("/",Table245[[#This Row],[spawner_sku]])),Table28[Entity Prefab],0)),24,1,1,"Entities"))</f>
        <v>no</v>
      </c>
      <c r="I68" s="71">
        <v>2</v>
      </c>
      <c r="J68" s="71">
        <v>4</v>
      </c>
      <c r="K68" s="71" t="b">
        <v>0</v>
      </c>
      <c r="M68" t="s">
        <v>227</v>
      </c>
      <c r="N68">
        <v>1</v>
      </c>
      <c r="O68">
        <v>2000</v>
      </c>
      <c r="P68">
        <v>100</v>
      </c>
      <c r="Q68" s="74">
        <f ca="1">INDIRECT(ADDRESS(11+(MATCH(RIGHT(Table3[[#This Row],[spawner_sku]],LEN(Table3[[#This Row],[spawner_sku]])-FIND("/",Table3[[#This Row],[spawner_sku]])),Table1[Entity Prefab],0)),10,1,1,"Entities"))</f>
        <v>175</v>
      </c>
      <c r="R68" s="74">
        <f ca="1">ROUND((Table3[[#This Row],[XP]]*Table3[[#This Row],[entity_spawned (AVG)]])*(Table3[[#This Row],[activating_chance]]/100),0)</f>
        <v>175</v>
      </c>
      <c r="S68" t="str">
        <f ca="1">INDIRECT(ADDRESS(11+(MATCH(RIGHT(Table3[[#This Row],[spawner_sku]],LEN(Table3[[#This Row],[spawner_sku]])-FIND("/",Table3[[#This Row],[spawner_sku]])),Table28[Entity Prefab],0)),24,1,1,"Entities"))</f>
        <v>yes</v>
      </c>
      <c r="T68">
        <v>1</v>
      </c>
      <c r="U68">
        <v>1</v>
      </c>
      <c r="V68" t="b">
        <v>0</v>
      </c>
      <c r="W68" s="71"/>
      <c r="X68" t="s">
        <v>377</v>
      </c>
      <c r="Y68">
        <v>1.5</v>
      </c>
      <c r="Z68">
        <v>140</v>
      </c>
      <c r="AA68">
        <v>100</v>
      </c>
      <c r="AB68" s="74">
        <f ca="1">INDIRECT(ADDRESS(11+(MATCH(RIGHT(Table39[[#This Row],[spawner_sku]],LEN(Table39[[#This Row],[spawner_sku]])-FIND("/",Table39[[#This Row],[spawner_sku]])),Table1[Entity Prefab],0)),10,1,1,"Entities"))</f>
        <v>25</v>
      </c>
      <c r="AC68" s="74">
        <f ca="1">ROUND((Table39[[#This Row],[XP]]*Table39[[#This Row],[entity_spawned (AVG)]])*(Table39[[#This Row],[activating_chance]]/100),0)</f>
        <v>38</v>
      </c>
      <c r="AD68" t="str">
        <f ca="1">INDIRECT(ADDRESS(11+(MATCH(RIGHT(Table39[[#This Row],[spawner_sku]],LEN(Table39[[#This Row],[spawner_sku]])-FIND("/",Table39[[#This Row],[spawner_sku]])),Table28[Entity Prefab],0)),24,1,1,"Entities"))</f>
        <v>no</v>
      </c>
      <c r="AE68">
        <v>1</v>
      </c>
      <c r="AF68">
        <v>2</v>
      </c>
      <c r="AG68" t="b">
        <v>0</v>
      </c>
      <c r="AI68" t="s">
        <v>215</v>
      </c>
      <c r="AJ68">
        <v>1.5</v>
      </c>
      <c r="AK68">
        <v>100</v>
      </c>
      <c r="AL68">
        <v>100</v>
      </c>
      <c r="AM68" s="74">
        <f ca="1">INDIRECT(ADDRESS(11+(MATCH(RIGHT(Table2[[#This Row],[spawner_sku]],LEN(Table2[[#This Row],[spawner_sku]])-FIND("/",Table2[[#This Row],[spawner_sku]])),Table1[Entity Prefab],0)),10,1,1,"Entities"))</f>
        <v>25</v>
      </c>
      <c r="AN68" s="74">
        <f ca="1">ROUND((Table2[[#This Row],[XP]]*Table2[[#This Row],[entity_spawned (AVG)]])*(Table2[[#This Row],[activating_chance]]/100),0)</f>
        <v>38</v>
      </c>
      <c r="AO68" s="71" t="str">
        <f ca="1">INDIRECT(ADDRESS(11+(MATCH(RIGHT(Table2[[#This Row],[spawner_sku]],LEN(Table2[[#This Row],[spawner_sku]])-FIND("/",Table2[[#This Row],[spawner_sku]])),Table28[Entity Prefab],0)),24,1,1,"Entities"))</f>
        <v>no</v>
      </c>
      <c r="AP68" s="71">
        <v>1</v>
      </c>
      <c r="AQ68" s="71">
        <v>2</v>
      </c>
      <c r="AR68" s="71" t="b">
        <v>0</v>
      </c>
      <c r="AT68" t="s">
        <v>219</v>
      </c>
      <c r="AU68">
        <v>1</v>
      </c>
      <c r="AV68">
        <v>250</v>
      </c>
      <c r="AW68">
        <v>100</v>
      </c>
      <c r="AX68" s="74">
        <f ca="1">INDIRECT(ADDRESS(11+(MATCH(RIGHT(Table6[[#This Row],[spawner_sku]],LEN(Table6[[#This Row],[spawner_sku]])-FIND("/",Table6[[#This Row],[spawner_sku]])),Table1[Entity Prefab],0)),10,1,1,"Entities"))</f>
        <v>143</v>
      </c>
      <c r="AY68" s="74">
        <f ca="1">ROUND((Table6[[#This Row],[XP]]*Table6[[#This Row],[entity_spawned (AVG)]])*(Table6[[#This Row],[activating_chance]]/100),0)</f>
        <v>143</v>
      </c>
      <c r="AZ68" s="144" t="str">
        <f ca="1">INDIRECT(ADDRESS(11+(MATCH(RIGHT(Table6[[#This Row],[spawner_sku]],LEN(Table6[[#This Row],[spawner_sku]])-FIND("/",Table6[[#This Row],[spawner_sku]])),Table28[Entity Prefab],0)),24,1,1,"Entities"))</f>
        <v>yes</v>
      </c>
      <c r="BA68">
        <v>1</v>
      </c>
      <c r="BB68">
        <v>1</v>
      </c>
      <c r="BC68" t="b">
        <v>0</v>
      </c>
      <c r="BE68" t="s">
        <v>219</v>
      </c>
      <c r="BF68">
        <v>1.5</v>
      </c>
      <c r="BG68">
        <v>250</v>
      </c>
      <c r="BH68">
        <v>100</v>
      </c>
      <c r="BI68" s="74">
        <f ca="1">INDIRECT(ADDRESS(11+(MATCH(RIGHT(Table610[[#This Row],[spawner_sku]],LEN(Table610[[#This Row],[spawner_sku]])-FIND("/",Table610[[#This Row],[spawner_sku]])),Table1[Entity Prefab],0)),10,1,1,"Entities"))</f>
        <v>143</v>
      </c>
      <c r="BJ68" s="74">
        <f ca="1">ROUND((Table610[[#This Row],[XP]]*Table610[[#This Row],[entity_spawned (AVG)]])*(Table610[[#This Row],[activating_chance]]/100),0)</f>
        <v>215</v>
      </c>
      <c r="BK68" s="71" t="str">
        <f ca="1">INDIRECT(ADDRESS(11+(MATCH(RIGHT(Table610[[#This Row],[spawner_sku]],LEN(Table610[[#This Row],[spawner_sku]])-FIND("/",Table610[[#This Row],[spawner_sku]])),Table28[Entity Prefab],0)),24,1,1,"Entities"))</f>
        <v>yes</v>
      </c>
      <c r="BL68">
        <v>1</v>
      </c>
      <c r="BM68">
        <v>2</v>
      </c>
      <c r="BN68" t="b">
        <v>0</v>
      </c>
      <c r="BP68" t="s">
        <v>215</v>
      </c>
      <c r="BQ68">
        <v>2.5</v>
      </c>
      <c r="BR68">
        <v>110</v>
      </c>
      <c r="BS68">
        <v>100</v>
      </c>
      <c r="BT68" s="74">
        <f ca="1">INDIRECT(ADDRESS(11+(MATCH(RIGHT(Table61011[[#This Row],[spawner_sku]],LEN(Table61011[[#This Row],[spawner_sku]])-FIND("/",Table61011[[#This Row],[spawner_sku]])),Table1[Entity Prefab],0)),10,1,1,"Entities"))</f>
        <v>25</v>
      </c>
      <c r="BU68" s="74">
        <f ca="1">ROUND((Table61011[[#This Row],[XP]]*Table61011[[#This Row],[entity_spawned (AVG)]])*(Table61011[[#This Row],[activating_chance]]/100),0)</f>
        <v>63</v>
      </c>
      <c r="BV68" s="71" t="str">
        <f ca="1">INDIRECT(ADDRESS(11+(MATCH(RIGHT(Table61011[[#This Row],[spawner_sku]],LEN(Table61011[[#This Row],[spawner_sku]])-FIND("/",Table61011[[#This Row],[spawner_sku]])),Table28[Entity Prefab],0)),24,1,1,"Entities"))</f>
        <v>no</v>
      </c>
      <c r="BW68" s="71">
        <v>2</v>
      </c>
      <c r="BX68" s="71">
        <v>3</v>
      </c>
      <c r="BY68" s="71" t="b">
        <v>0</v>
      </c>
      <c r="BZ68" s="71"/>
      <c r="CA68" s="147" t="s">
        <v>570</v>
      </c>
      <c r="CB68">
        <v>1</v>
      </c>
      <c r="CC68">
        <v>120</v>
      </c>
      <c r="CD68">
        <v>100</v>
      </c>
      <c r="CE68" s="74">
        <f ca="1">INDIRECT(ADDRESS(11+(MATCH(RIGHT(Table35[[#This Row],[spawner_sku]],LEN(Table35[[#This Row],[spawner_sku]])-FIND("/",Table35[[#This Row],[spawner_sku]])),Table1[Entity Prefab],0)),10,1,1,"Entities"))</f>
        <v>50</v>
      </c>
      <c r="CF68" s="74">
        <f ca="1">ROUND((Table35[[#This Row],[XP]]*Table35[[#This Row],[entity_spawned (AVG)]])*(Table35[[#This Row],[activating_chance]]/100),0)</f>
        <v>50</v>
      </c>
      <c r="CG68" s="144" t="str">
        <f ca="1">INDIRECT(ADDRESS(11+(MATCH(RIGHT(Table35[[#This Row],[spawner_sku]],LEN(Table35[[#This Row],[spawner_sku]])-FIND("/",Table35[[#This Row],[spawner_sku]])),Table28[Entity Prefab],0)),24,1,1,"Entities"))</f>
        <v>no</v>
      </c>
      <c r="CH68">
        <v>1</v>
      </c>
      <c r="CI68">
        <v>1</v>
      </c>
      <c r="CJ68" s="71" t="b">
        <v>0</v>
      </c>
      <c r="CL68" t="s">
        <v>215</v>
      </c>
      <c r="CM68">
        <v>2.5</v>
      </c>
      <c r="CN68">
        <v>180</v>
      </c>
      <c r="CO68">
        <v>100</v>
      </c>
      <c r="CP68" s="74">
        <f ca="1">INDIRECT(ADDRESS(11+(MATCH(RIGHT(Table11[[#This Row],[spawner_sku]],LEN(Table11[[#This Row],[spawner_sku]])-FIND("/",Table11[[#This Row],[spawner_sku]])),Table1[Entity Prefab],0)),10,1,1,"Entities"))</f>
        <v>25</v>
      </c>
      <c r="CQ68">
        <f ca="1">ROUND((Table11[[#This Row],[XP]]*Table11[[#This Row],[entity_spawned (AVG)]])*(Table11[[#This Row],[activating_chance]]/100),0)</f>
        <v>63</v>
      </c>
      <c r="CR68" s="144" t="str">
        <f ca="1">INDIRECT(ADDRESS(11+(MATCH(RIGHT(Table11[[#This Row],[spawner_sku]],LEN(Table11[[#This Row],[spawner_sku]])-FIND("/",Table11[[#This Row],[spawner_sku]])),Table28[Entity Prefab],0)),25,1,1,"Entities"))</f>
        <v>no</v>
      </c>
      <c r="CS68" s="71">
        <v>1</v>
      </c>
      <c r="CT68" s="71">
        <v>4</v>
      </c>
      <c r="CU68" s="71" t="b">
        <v>0</v>
      </c>
      <c r="CW68" t="s">
        <v>229</v>
      </c>
      <c r="CX68">
        <v>1</v>
      </c>
      <c r="CY68">
        <v>1500</v>
      </c>
      <c r="CZ68">
        <v>100</v>
      </c>
      <c r="DA68" s="74">
        <f ca="1">INDIRECT(ADDRESS(11+(MATCH(RIGHT(Table12[[#This Row],[spawner_sku]],LEN(Table12[[#This Row],[spawner_sku]])-FIND("/",Table12[[#This Row],[spawner_sku]])),Table1[Entity Prefab],0)),10,1,1,"Entities"))</f>
        <v>130</v>
      </c>
      <c r="DB68" s="74">
        <f ca="1">ROUND((Table12[[#This Row],[XP]]*Table12[[#This Row],[entity_spawned (AVG)]])*(Table12[[#This Row],[activating_chance]]/100),0)</f>
        <v>130</v>
      </c>
      <c r="DC68" s="144" t="str">
        <f ca="1">INDIRECT(ADDRESS(11+(MATCH(RIGHT(Table12[[#This Row],[spawner_sku]],LEN(Table12[[#This Row],[spawner_sku]])-FIND("/",Table12[[#This Row],[spawner_sku]])),Table28[Entity Prefab],0)),25,1,1,"Entities"))</f>
        <v>yes</v>
      </c>
      <c r="DD68" s="71">
        <v>1</v>
      </c>
      <c r="DE68" s="71">
        <v>1</v>
      </c>
      <c r="DF68" s="71" t="b">
        <v>0</v>
      </c>
      <c r="DH68" t="s">
        <v>219</v>
      </c>
      <c r="DI68">
        <v>1</v>
      </c>
      <c r="DJ68">
        <v>250</v>
      </c>
      <c r="DK68">
        <v>100</v>
      </c>
      <c r="DL68" s="74">
        <f ca="1">INDIRECT(ADDRESS(11+(MATCH(RIGHT(Table13[[#This Row],[spawner_sku]],LEN(Table13[[#This Row],[spawner_sku]])-FIND("/",Table13[[#This Row],[spawner_sku]])),Table1[Entity Prefab],0)),10,1,1,"Entities"))</f>
        <v>143</v>
      </c>
      <c r="DM68" s="74">
        <f ca="1">ROUND((Table13[[#This Row],[XP]]*Table13[[#This Row],[entity_spawned (AVG)]])*(Table13[[#This Row],[activating_chance]]/100),0)</f>
        <v>143</v>
      </c>
      <c r="DN68" s="144" t="str">
        <f ca="1">INDIRECT(ADDRESS(11+(MATCH(RIGHT(Table13[[#This Row],[spawner_sku]],LEN(Table13[[#This Row],[spawner_sku]])-FIND("/",Table13[[#This Row],[spawner_sku]])),Table28[Entity Prefab],0)),25,1,1,"Entities"))</f>
        <v>yes</v>
      </c>
      <c r="DO68" s="71">
        <v>1</v>
      </c>
      <c r="DP68" s="71">
        <v>1</v>
      </c>
      <c r="DQ68" s="71" t="b">
        <v>0</v>
      </c>
      <c r="DS68" t="s">
        <v>214</v>
      </c>
      <c r="DT68">
        <v>3.5</v>
      </c>
      <c r="DU68">
        <v>100</v>
      </c>
      <c r="DV68">
        <v>100</v>
      </c>
      <c r="DW68" s="74">
        <f ca="1">INDIRECT(ADDRESS(11+(MATCH(RIGHT(Table14[[#This Row],[spawner_sku]],LEN(Table14[[#This Row],[spawner_sku]])-FIND("/",Table14[[#This Row],[spawner_sku]])),Table1[Entity Prefab],0)),10,1,1,"Entities"))</f>
        <v>25</v>
      </c>
      <c r="DX68" s="74">
        <f ca="1">ROUND((Table14[[#This Row],[XP]]*Table14[[#This Row],[entity_spawned (AVG)]])*(Table14[[#This Row],[activating_chance]]/100),0)</f>
        <v>88</v>
      </c>
      <c r="DY68" s="144" t="str">
        <f ca="1">INDIRECT(ADDRESS(11+(MATCH(RIGHT(Table14[[#This Row],[spawner_sku]],LEN(Table14[[#This Row],[spawner_sku]])-FIND("/",Table14[[#This Row],[spawner_sku]])),Table28[Entity Prefab],0)),25,1,1,"Entities"))</f>
        <v>no</v>
      </c>
      <c r="DZ68" s="71">
        <v>3</v>
      </c>
      <c r="EA68" s="71">
        <v>4</v>
      </c>
      <c r="EB68" s="71" t="b">
        <v>0</v>
      </c>
      <c r="EC68" s="71"/>
      <c r="ED68" s="147" t="s">
        <v>8142</v>
      </c>
      <c r="EE68" s="71">
        <v>1</v>
      </c>
      <c r="EF68" s="71">
        <v>200</v>
      </c>
      <c r="EG68" s="71">
        <v>100</v>
      </c>
      <c r="EH68" s="71">
        <f ca="1">INDIRECT(ADDRESS(11+(MATCH(RIGHT(Table36[[#This Row],[spawner_sku]],LEN(Table36[[#This Row],[spawner_sku]])-FIND("/",Table36[[#This Row],[spawner_sku]])),Table1[Entity Prefab],0)),10,1,1,"Entities"))</f>
        <v>75</v>
      </c>
      <c r="EI68" s="71">
        <f ca="1">ROUND((Table36[[#This Row],[XP]]*Table36[[#This Row],[entity_spawned (AVG)]])*(Table36[[#This Row],[activating_chance]]/100),0)</f>
        <v>75</v>
      </c>
      <c r="EJ68" s="71" t="str">
        <f ca="1">INDIRECT(ADDRESS(11+(MATCH(RIGHT(Table36[[#This Row],[spawner_sku]],LEN(Table36[[#This Row],[spawner_sku]])-FIND("/",Table36[[#This Row],[spawner_sku]])),Table28[Entity Prefab],0)),25,1,1,"Entities"))</f>
        <v>no</v>
      </c>
      <c r="EK68" s="71">
        <v>1</v>
      </c>
      <c r="EL68" s="71">
        <v>1</v>
      </c>
      <c r="EM68" s="71" t="b">
        <v>0</v>
      </c>
      <c r="EO68" t="s">
        <v>214</v>
      </c>
      <c r="EP68">
        <v>9</v>
      </c>
      <c r="EQ68">
        <v>160</v>
      </c>
      <c r="ER68">
        <v>100</v>
      </c>
      <c r="ES68" s="74">
        <f ca="1">INDIRECT(ADDRESS(11+(MATCH(RIGHT(Table18[[#This Row],[spawner_sku]],LEN(Table18[[#This Row],[spawner_sku]])-FIND("/",Table18[[#This Row],[spawner_sku]])),Table1[Entity Prefab],0)),10,1,1,"Entities"))</f>
        <v>25</v>
      </c>
      <c r="ET68" s="74">
        <f ca="1">ROUND((Table18[[#This Row],[XP]]*Table18[[#This Row],[entity_spawned (AVG)]])*(Table18[[#This Row],[activating_chance]]/100),0)</f>
        <v>225</v>
      </c>
      <c r="EU68" s="74" t="str">
        <f ca="1">INDIRECT(ADDRESS(11+(MATCH(RIGHT(Table18[[#This Row],[spawner_sku]],LEN(Table18[[#This Row],[spawner_sku]])-FIND("/",Table18[[#This Row],[spawner_sku]])),Table28[Entity Prefab],0)),26,1,1,"Entities"))</f>
        <v>no</v>
      </c>
      <c r="EV68">
        <v>8</v>
      </c>
      <c r="EW68">
        <v>10</v>
      </c>
      <c r="EX68" t="b">
        <v>1</v>
      </c>
      <c r="EZ68" t="s">
        <v>214</v>
      </c>
      <c r="FA68">
        <v>10</v>
      </c>
      <c r="FB68">
        <v>160</v>
      </c>
      <c r="FC68">
        <v>100</v>
      </c>
      <c r="FD68" s="74">
        <f ca="1">INDIRECT(ADDRESS(11+(MATCH(RIGHT(Table1820[[#This Row],[spawner_sku]],LEN(Table1820[[#This Row],[spawner_sku]])-FIND("/",Table1820[[#This Row],[spawner_sku]])),Table1[Entity Prefab],0)),10,1,1,"Entities"))</f>
        <v>25</v>
      </c>
      <c r="FE68" s="74">
        <f ca="1">ROUND((Table1820[[#This Row],[XP]]*Table1820[[#This Row],[entity_spawned (AVG)]])*(Table1820[[#This Row],[activating_chance]]/100),0)</f>
        <v>250</v>
      </c>
      <c r="FF68" s="74" t="str">
        <f ca="1">INDIRECT(ADDRESS(11+(MATCH(RIGHT(Table1820[[#This Row],[spawner_sku]],LEN(Table1820[[#This Row],[spawner_sku]])-FIND("/",Table1820[[#This Row],[spawner_sku]])),Table28[Entity Prefab],0)),26,1,1,"Entities"))</f>
        <v>no</v>
      </c>
      <c r="FG68">
        <v>8</v>
      </c>
      <c r="FH68">
        <v>12</v>
      </c>
      <c r="FI68" t="b">
        <v>1</v>
      </c>
      <c r="FK68" t="s">
        <v>2694</v>
      </c>
      <c r="FL68">
        <v>1.5</v>
      </c>
      <c r="FM68">
        <v>70</v>
      </c>
      <c r="FN68">
        <v>100</v>
      </c>
      <c r="FO68">
        <f ca="1">INDIRECT(ADDRESS(11+(MATCH(RIGHT(Table182023[[#This Row],[spawner_sku]],LEN(Table182023[[#This Row],[spawner_sku]])-FIND("/",Table182023[[#This Row],[spawner_sku]])),Table1[Entity Prefab],0)),10,1,1,"Entities"))</f>
        <v>143</v>
      </c>
      <c r="FP68">
        <f ca="1">ROUND((Table182023[[#This Row],[XP]]*Table182023[[#This Row],[entity_spawned (AVG)]])*(Table182023[[#This Row],[activating_chance]]/100),0)</f>
        <v>215</v>
      </c>
      <c r="FQ68" t="str">
        <f ca="1">INDIRECT(ADDRESS(11+(MATCH(RIGHT(Table182023[[#This Row],[spawner_sku]],LEN(Table182023[[#This Row],[spawner_sku]])-FIND("/",Table182023[[#This Row],[spawner_sku]])),Table28[Entity Prefab],0)),26,1,1,"Entities"))</f>
        <v>no</v>
      </c>
      <c r="FR68">
        <v>1</v>
      </c>
      <c r="FS68">
        <v>2</v>
      </c>
      <c r="FT68" t="b">
        <v>0</v>
      </c>
      <c r="FV68" t="s">
        <v>464</v>
      </c>
      <c r="FW68">
        <v>1</v>
      </c>
      <c r="FX68">
        <v>110</v>
      </c>
      <c r="FY68">
        <v>100</v>
      </c>
      <c r="FZ68" s="74">
        <f ca="1">INDIRECT(ADDRESS(11+(MATCH(RIGHT(Table18202324[[#This Row],[spawner_sku]],LEN(Table18202324[[#This Row],[spawner_sku]])-FIND("/",Table18202324[[#This Row],[spawner_sku]])),Table1[Entity Prefab],0)),10,1,1,"Entities"))</f>
        <v>28</v>
      </c>
      <c r="GA68" s="74">
        <f ca="1">ROUND((Table18202324[[#This Row],[XP]]*Table18202324[[#This Row],[entity_spawned (AVG)]])*(Table18202324[[#This Row],[activating_chance]]/100),0)</f>
        <v>28</v>
      </c>
      <c r="GB68" s="74" t="str">
        <f ca="1">INDIRECT(ADDRESS(11+(MATCH(RIGHT(Table18202324[[#This Row],[spawner_sku]],LEN(Table18202324[[#This Row],[spawner_sku]])-FIND("/",Table18202324[[#This Row],[spawner_sku]])),Table28[Entity Prefab],0)),26,1,1,"Entities"))</f>
        <v>no</v>
      </c>
      <c r="GC68">
        <v>1</v>
      </c>
      <c r="GD68">
        <v>1</v>
      </c>
      <c r="GE68" t="b">
        <v>0</v>
      </c>
      <c r="GG68" t="s">
        <v>3816</v>
      </c>
      <c r="GH68">
        <v>1</v>
      </c>
      <c r="GI68">
        <v>240</v>
      </c>
      <c r="GJ68">
        <v>100</v>
      </c>
      <c r="GK68">
        <f ca="1">INDIRECT(ADDRESS(11+(MATCH(RIGHT(Table37[[#This Row],[spawner_sku]],LEN(Table37[[#This Row],[spawner_sku]])-FIND("/",Table37[[#This Row],[spawner_sku]])),Table1[Entity Prefab],0)),10,1,1,"Entities"))</f>
        <v>50</v>
      </c>
      <c r="GL68">
        <f ca="1">ROUND((Table37[[#This Row],[XP]]*Table37[[#This Row],[entity_spawned (AVG)]])*(Table37[[#This Row],[activating_chance]]/100),0)</f>
        <v>50</v>
      </c>
      <c r="GM68" t="str">
        <f ca="1">INDIRECT(ADDRESS(11+(MATCH(RIGHT(Table37[[#This Row],[spawner_sku]],LEN(Table37[[#This Row],[spawner_sku]])-FIND("/",Table37[[#This Row],[spawner_sku]])),Table28[Entity Prefab],0)),26,1,1,"Entities"))</f>
        <v>no</v>
      </c>
      <c r="GN68">
        <v>1</v>
      </c>
      <c r="GO68">
        <v>1</v>
      </c>
      <c r="GP68" t="b">
        <v>0</v>
      </c>
    </row>
    <row r="69" spans="2:198" x14ac:dyDescent="0.25">
      <c r="B69" s="72" t="s">
        <v>215</v>
      </c>
      <c r="C69">
        <v>7.5</v>
      </c>
      <c r="D69">
        <v>160</v>
      </c>
      <c r="E69">
        <v>100</v>
      </c>
      <c r="F69" s="74">
        <f ca="1">INDIRECT(ADDRESS(11+(MATCH(RIGHT(Table245[[#This Row],[spawner_sku]],LEN(Table245[[#This Row],[spawner_sku]])-FIND("/",Table245[[#This Row],[spawner_sku]])),Table1[Entity Prefab],0)),10,1,1,"Entities"))</f>
        <v>25</v>
      </c>
      <c r="G69" s="74">
        <f ca="1">ROUND((Table245[[#This Row],[XP]]*Table245[[#This Row],[entity_spawned (AVG)]])*(Table245[[#This Row],[activating_chance]]/100),0)</f>
        <v>188</v>
      </c>
      <c r="H69" s="71" t="str">
        <f ca="1">INDIRECT(ADDRESS(11+(MATCH(RIGHT(Table245[[#This Row],[spawner_sku]],LEN(Table245[[#This Row],[spawner_sku]])-FIND("/",Table245[[#This Row],[spawner_sku]])),Table28[Entity Prefab],0)),24,1,1,"Entities"))</f>
        <v>no</v>
      </c>
      <c r="I69" s="71">
        <v>6</v>
      </c>
      <c r="J69" s="71">
        <v>9</v>
      </c>
      <c r="K69" s="71" t="b">
        <v>1</v>
      </c>
      <c r="M69" t="s">
        <v>227</v>
      </c>
      <c r="N69">
        <v>1</v>
      </c>
      <c r="O69">
        <v>2000</v>
      </c>
      <c r="P69">
        <v>100</v>
      </c>
      <c r="Q69" s="74">
        <f ca="1">INDIRECT(ADDRESS(11+(MATCH(RIGHT(Table3[[#This Row],[spawner_sku]],LEN(Table3[[#This Row],[spawner_sku]])-FIND("/",Table3[[#This Row],[spawner_sku]])),Table1[Entity Prefab],0)),10,1,1,"Entities"))</f>
        <v>175</v>
      </c>
      <c r="R69" s="74">
        <f ca="1">ROUND((Table3[[#This Row],[XP]]*Table3[[#This Row],[entity_spawned (AVG)]])*(Table3[[#This Row],[activating_chance]]/100),0)</f>
        <v>175</v>
      </c>
      <c r="S69" t="str">
        <f ca="1">INDIRECT(ADDRESS(11+(MATCH(RIGHT(Table3[[#This Row],[spawner_sku]],LEN(Table3[[#This Row],[spawner_sku]])-FIND("/",Table3[[#This Row],[spawner_sku]])),Table28[Entity Prefab],0)),24,1,1,"Entities"))</f>
        <v>yes</v>
      </c>
      <c r="T69">
        <v>1</v>
      </c>
      <c r="U69">
        <v>1</v>
      </c>
      <c r="V69" t="b">
        <v>0</v>
      </c>
      <c r="W69" s="71"/>
      <c r="X69" t="s">
        <v>377</v>
      </c>
      <c r="Y69">
        <v>1.5</v>
      </c>
      <c r="Z69">
        <v>100</v>
      </c>
      <c r="AA69">
        <v>100</v>
      </c>
      <c r="AB69" s="74">
        <f ca="1">INDIRECT(ADDRESS(11+(MATCH(RIGHT(Table39[[#This Row],[spawner_sku]],LEN(Table39[[#This Row],[spawner_sku]])-FIND("/",Table39[[#This Row],[spawner_sku]])),Table1[Entity Prefab],0)),10,1,1,"Entities"))</f>
        <v>25</v>
      </c>
      <c r="AC69" s="74">
        <f ca="1">ROUND((Table39[[#This Row],[XP]]*Table39[[#This Row],[entity_spawned (AVG)]])*(Table39[[#This Row],[activating_chance]]/100),0)</f>
        <v>38</v>
      </c>
      <c r="AD69" t="str">
        <f ca="1">INDIRECT(ADDRESS(11+(MATCH(RIGHT(Table39[[#This Row],[spawner_sku]],LEN(Table39[[#This Row],[spawner_sku]])-FIND("/",Table39[[#This Row],[spawner_sku]])),Table28[Entity Prefab],0)),24,1,1,"Entities"))</f>
        <v>no</v>
      </c>
      <c r="AE69">
        <v>1</v>
      </c>
      <c r="AF69">
        <v>2</v>
      </c>
      <c r="AG69" t="b">
        <v>0</v>
      </c>
      <c r="AI69" t="s">
        <v>215</v>
      </c>
      <c r="AJ69">
        <v>2</v>
      </c>
      <c r="AK69">
        <v>110</v>
      </c>
      <c r="AL69">
        <v>100</v>
      </c>
      <c r="AM69" s="74">
        <f ca="1">INDIRECT(ADDRESS(11+(MATCH(RIGHT(Table2[[#This Row],[spawner_sku]],LEN(Table2[[#This Row],[spawner_sku]])-FIND("/",Table2[[#This Row],[spawner_sku]])),Table1[Entity Prefab],0)),10,1,1,"Entities"))</f>
        <v>25</v>
      </c>
      <c r="AN69" s="74">
        <f ca="1">ROUND((Table2[[#This Row],[XP]]*Table2[[#This Row],[entity_spawned (AVG)]])*(Table2[[#This Row],[activating_chance]]/100),0)</f>
        <v>50</v>
      </c>
      <c r="AO69" s="71" t="str">
        <f ca="1">INDIRECT(ADDRESS(11+(MATCH(RIGHT(Table2[[#This Row],[spawner_sku]],LEN(Table2[[#This Row],[spawner_sku]])-FIND("/",Table2[[#This Row],[spawner_sku]])),Table28[Entity Prefab],0)),24,1,1,"Entities"))</f>
        <v>no</v>
      </c>
      <c r="AP69" s="71">
        <v>1</v>
      </c>
      <c r="AQ69" s="71">
        <v>3</v>
      </c>
      <c r="AR69" s="71" t="b">
        <v>0</v>
      </c>
      <c r="AT69" t="s">
        <v>219</v>
      </c>
      <c r="AU69">
        <v>1</v>
      </c>
      <c r="AV69">
        <v>250</v>
      </c>
      <c r="AW69">
        <v>100</v>
      </c>
      <c r="AX69" s="74">
        <f ca="1">INDIRECT(ADDRESS(11+(MATCH(RIGHT(Table6[[#This Row],[spawner_sku]],LEN(Table6[[#This Row],[spawner_sku]])-FIND("/",Table6[[#This Row],[spawner_sku]])),Table1[Entity Prefab],0)),10,1,1,"Entities"))</f>
        <v>143</v>
      </c>
      <c r="AY69" s="74">
        <f ca="1">ROUND((Table6[[#This Row],[XP]]*Table6[[#This Row],[entity_spawned (AVG)]])*(Table6[[#This Row],[activating_chance]]/100),0)</f>
        <v>143</v>
      </c>
      <c r="AZ69" s="144" t="str">
        <f ca="1">INDIRECT(ADDRESS(11+(MATCH(RIGHT(Table6[[#This Row],[spawner_sku]],LEN(Table6[[#This Row],[spawner_sku]])-FIND("/",Table6[[#This Row],[spawner_sku]])),Table28[Entity Prefab],0)),24,1,1,"Entities"))</f>
        <v>yes</v>
      </c>
      <c r="BA69">
        <v>1</v>
      </c>
      <c r="BB69">
        <v>1</v>
      </c>
      <c r="BC69" t="b">
        <v>0</v>
      </c>
      <c r="BE69" t="s">
        <v>219</v>
      </c>
      <c r="BF69">
        <v>2.5</v>
      </c>
      <c r="BG69">
        <v>250</v>
      </c>
      <c r="BH69">
        <v>100</v>
      </c>
      <c r="BI69" s="74">
        <f ca="1">INDIRECT(ADDRESS(11+(MATCH(RIGHT(Table610[[#This Row],[spawner_sku]],LEN(Table610[[#This Row],[spawner_sku]])-FIND("/",Table610[[#This Row],[spawner_sku]])),Table1[Entity Prefab],0)),10,1,1,"Entities"))</f>
        <v>143</v>
      </c>
      <c r="BJ69" s="74">
        <f ca="1">ROUND((Table610[[#This Row],[XP]]*Table610[[#This Row],[entity_spawned (AVG)]])*(Table610[[#This Row],[activating_chance]]/100),0)</f>
        <v>358</v>
      </c>
      <c r="BK69" s="71" t="str">
        <f ca="1">INDIRECT(ADDRESS(11+(MATCH(RIGHT(Table610[[#This Row],[spawner_sku]],LEN(Table610[[#This Row],[spawner_sku]])-FIND("/",Table610[[#This Row],[spawner_sku]])),Table28[Entity Prefab],0)),24,1,1,"Entities"))</f>
        <v>yes</v>
      </c>
      <c r="BL69">
        <v>2</v>
      </c>
      <c r="BM69">
        <v>3</v>
      </c>
      <c r="BN69" t="b">
        <v>0</v>
      </c>
      <c r="BP69" t="s">
        <v>215</v>
      </c>
      <c r="BQ69">
        <v>1.5</v>
      </c>
      <c r="BR69">
        <v>160</v>
      </c>
      <c r="BS69">
        <v>80</v>
      </c>
      <c r="BT69" s="74">
        <f ca="1">INDIRECT(ADDRESS(11+(MATCH(RIGHT(Table61011[[#This Row],[spawner_sku]],LEN(Table61011[[#This Row],[spawner_sku]])-FIND("/",Table61011[[#This Row],[spawner_sku]])),Table1[Entity Prefab],0)),10,1,1,"Entities"))</f>
        <v>25</v>
      </c>
      <c r="BU69" s="74">
        <f ca="1">ROUND((Table61011[[#This Row],[XP]]*Table61011[[#This Row],[entity_spawned (AVG)]])*(Table61011[[#This Row],[activating_chance]]/100),0)</f>
        <v>30</v>
      </c>
      <c r="BV69" s="71" t="str">
        <f ca="1">INDIRECT(ADDRESS(11+(MATCH(RIGHT(Table61011[[#This Row],[spawner_sku]],LEN(Table61011[[#This Row],[spawner_sku]])-FIND("/",Table61011[[#This Row],[spawner_sku]])),Table28[Entity Prefab],0)),24,1,1,"Entities"))</f>
        <v>no</v>
      </c>
      <c r="BW69" s="71">
        <v>1</v>
      </c>
      <c r="BX69" s="71">
        <v>2</v>
      </c>
      <c r="BY69" s="71" t="b">
        <v>0</v>
      </c>
      <c r="BZ69" s="71"/>
      <c r="CA69" s="147" t="s">
        <v>8142</v>
      </c>
      <c r="CB69">
        <v>1</v>
      </c>
      <c r="CC69">
        <v>200</v>
      </c>
      <c r="CD69">
        <v>50</v>
      </c>
      <c r="CE69" s="74">
        <f ca="1">INDIRECT(ADDRESS(11+(MATCH(RIGHT(Table35[[#This Row],[spawner_sku]],LEN(Table35[[#This Row],[spawner_sku]])-FIND("/",Table35[[#This Row],[spawner_sku]])),Table1[Entity Prefab],0)),10,1,1,"Entities"))</f>
        <v>75</v>
      </c>
      <c r="CF69" s="74">
        <f ca="1">ROUND((Table35[[#This Row],[XP]]*Table35[[#This Row],[entity_spawned (AVG)]])*(Table35[[#This Row],[activating_chance]]/100),0)</f>
        <v>38</v>
      </c>
      <c r="CG69" s="144" t="str">
        <f ca="1">INDIRECT(ADDRESS(11+(MATCH(RIGHT(Table35[[#This Row],[spawner_sku]],LEN(Table35[[#This Row],[spawner_sku]])-FIND("/",Table35[[#This Row],[spawner_sku]])),Table28[Entity Prefab],0)),24,1,1,"Entities"))</f>
        <v>no</v>
      </c>
      <c r="CH69">
        <v>1</v>
      </c>
      <c r="CI69">
        <v>1</v>
      </c>
      <c r="CJ69" s="71" t="b">
        <v>0</v>
      </c>
      <c r="CL69" t="s">
        <v>215</v>
      </c>
      <c r="CM69">
        <v>1.5</v>
      </c>
      <c r="CN69">
        <v>180</v>
      </c>
      <c r="CO69">
        <v>10</v>
      </c>
      <c r="CP69" s="74">
        <f ca="1">INDIRECT(ADDRESS(11+(MATCH(RIGHT(Table11[[#This Row],[spawner_sku]],LEN(Table11[[#This Row],[spawner_sku]])-FIND("/",Table11[[#This Row],[spawner_sku]])),Table1[Entity Prefab],0)),10,1,1,"Entities"))</f>
        <v>25</v>
      </c>
      <c r="CQ69">
        <f ca="1">ROUND((Table11[[#This Row],[XP]]*Table11[[#This Row],[entity_spawned (AVG)]])*(Table11[[#This Row],[activating_chance]]/100),0)</f>
        <v>4</v>
      </c>
      <c r="CR69" s="144" t="str">
        <f ca="1">INDIRECT(ADDRESS(11+(MATCH(RIGHT(Table11[[#This Row],[spawner_sku]],LEN(Table11[[#This Row],[spawner_sku]])-FIND("/",Table11[[#This Row],[spawner_sku]])),Table28[Entity Prefab],0)),25,1,1,"Entities"))</f>
        <v>no</v>
      </c>
      <c r="CS69" s="71">
        <v>1</v>
      </c>
      <c r="CT69" s="71">
        <v>2</v>
      </c>
      <c r="CU69" s="71" t="b">
        <v>0</v>
      </c>
      <c r="CW69" t="s">
        <v>230</v>
      </c>
      <c r="CX69">
        <v>1</v>
      </c>
      <c r="CY69">
        <v>200</v>
      </c>
      <c r="CZ69">
        <v>100</v>
      </c>
      <c r="DA69" s="74">
        <f ca="1">INDIRECT(ADDRESS(11+(MATCH(RIGHT(Table12[[#This Row],[spawner_sku]],LEN(Table12[[#This Row],[spawner_sku]])-FIND("/",Table12[[#This Row],[spawner_sku]])),Table1[Entity Prefab],0)),10,1,1,"Entities"))</f>
        <v>28</v>
      </c>
      <c r="DB69" s="74">
        <f ca="1">ROUND((Table12[[#This Row],[XP]]*Table12[[#This Row],[entity_spawned (AVG)]])*(Table12[[#This Row],[activating_chance]]/100),0)</f>
        <v>28</v>
      </c>
      <c r="DC69" s="144" t="str">
        <f ca="1">INDIRECT(ADDRESS(11+(MATCH(RIGHT(Table12[[#This Row],[spawner_sku]],LEN(Table12[[#This Row],[spawner_sku]])-FIND("/",Table12[[#This Row],[spawner_sku]])),Table28[Entity Prefab],0)),25,1,1,"Entities"))</f>
        <v>no</v>
      </c>
      <c r="DD69" s="71">
        <v>1</v>
      </c>
      <c r="DE69" s="71">
        <v>1</v>
      </c>
      <c r="DF69" s="71" t="b">
        <v>0</v>
      </c>
      <c r="DH69" t="s">
        <v>219</v>
      </c>
      <c r="DI69">
        <v>2</v>
      </c>
      <c r="DJ69">
        <v>250</v>
      </c>
      <c r="DK69">
        <v>100</v>
      </c>
      <c r="DL69" s="74">
        <f ca="1">INDIRECT(ADDRESS(11+(MATCH(RIGHT(Table13[[#This Row],[spawner_sku]],LEN(Table13[[#This Row],[spawner_sku]])-FIND("/",Table13[[#This Row],[spawner_sku]])),Table1[Entity Prefab],0)),10,1,1,"Entities"))</f>
        <v>143</v>
      </c>
      <c r="DM69" s="74">
        <f ca="1">ROUND((Table13[[#This Row],[XP]]*Table13[[#This Row],[entity_spawned (AVG)]])*(Table13[[#This Row],[activating_chance]]/100),0)</f>
        <v>286</v>
      </c>
      <c r="DN69" s="144" t="str">
        <f ca="1">INDIRECT(ADDRESS(11+(MATCH(RIGHT(Table13[[#This Row],[spawner_sku]],LEN(Table13[[#This Row],[spawner_sku]])-FIND("/",Table13[[#This Row],[spawner_sku]])),Table28[Entity Prefab],0)),25,1,1,"Entities"))</f>
        <v>yes</v>
      </c>
      <c r="DO69" s="71">
        <v>2</v>
      </c>
      <c r="DP69" s="71">
        <v>2</v>
      </c>
      <c r="DQ69" s="71" t="b">
        <v>0</v>
      </c>
      <c r="DS69" t="s">
        <v>214</v>
      </c>
      <c r="DT69">
        <v>7</v>
      </c>
      <c r="DU69">
        <v>180</v>
      </c>
      <c r="DV69">
        <v>80</v>
      </c>
      <c r="DW69" s="74">
        <f ca="1">INDIRECT(ADDRESS(11+(MATCH(RIGHT(Table14[[#This Row],[spawner_sku]],LEN(Table14[[#This Row],[spawner_sku]])-FIND("/",Table14[[#This Row],[spawner_sku]])),Table1[Entity Prefab],0)),10,1,1,"Entities"))</f>
        <v>25</v>
      </c>
      <c r="DX69" s="74">
        <f ca="1">ROUND((Table14[[#This Row],[XP]]*Table14[[#This Row],[entity_spawned (AVG)]])*(Table14[[#This Row],[activating_chance]]/100),0)</f>
        <v>140</v>
      </c>
      <c r="DY69" s="144" t="str">
        <f ca="1">INDIRECT(ADDRESS(11+(MATCH(RIGHT(Table14[[#This Row],[spawner_sku]],LEN(Table14[[#This Row],[spawner_sku]])-FIND("/",Table14[[#This Row],[spawner_sku]])),Table28[Entity Prefab],0)),25,1,1,"Entities"))</f>
        <v>no</v>
      </c>
      <c r="DZ69" s="71">
        <v>6</v>
      </c>
      <c r="EA69" s="71">
        <v>8</v>
      </c>
      <c r="EB69" s="71" t="b">
        <v>1</v>
      </c>
      <c r="EC69" s="71"/>
      <c r="ED69" s="147" t="s">
        <v>8142</v>
      </c>
      <c r="EE69" s="71">
        <v>1</v>
      </c>
      <c r="EF69" s="71">
        <v>200</v>
      </c>
      <c r="EG69" s="71">
        <v>80</v>
      </c>
      <c r="EH69" s="71">
        <f ca="1">INDIRECT(ADDRESS(11+(MATCH(RIGHT(Table36[[#This Row],[spawner_sku]],LEN(Table36[[#This Row],[spawner_sku]])-FIND("/",Table36[[#This Row],[spawner_sku]])),Table1[Entity Prefab],0)),10,1,1,"Entities"))</f>
        <v>75</v>
      </c>
      <c r="EI69" s="71">
        <f ca="1">ROUND((Table36[[#This Row],[XP]]*Table36[[#This Row],[entity_spawned (AVG)]])*(Table36[[#This Row],[activating_chance]]/100),0)</f>
        <v>60</v>
      </c>
      <c r="EJ69" s="71" t="str">
        <f ca="1">INDIRECT(ADDRESS(11+(MATCH(RIGHT(Table36[[#This Row],[spawner_sku]],LEN(Table36[[#This Row],[spawner_sku]])-FIND("/",Table36[[#This Row],[spawner_sku]])),Table28[Entity Prefab],0)),25,1,1,"Entities"))</f>
        <v>no</v>
      </c>
      <c r="EK69" s="71">
        <v>1</v>
      </c>
      <c r="EL69" s="71">
        <v>1</v>
      </c>
      <c r="EM69" s="71" t="b">
        <v>0</v>
      </c>
      <c r="EO69" t="s">
        <v>214</v>
      </c>
      <c r="EP69">
        <v>5.5</v>
      </c>
      <c r="EQ69">
        <v>180</v>
      </c>
      <c r="ER69">
        <v>100</v>
      </c>
      <c r="ES69" s="74">
        <f ca="1">INDIRECT(ADDRESS(11+(MATCH(RIGHT(Table18[[#This Row],[spawner_sku]],LEN(Table18[[#This Row],[spawner_sku]])-FIND("/",Table18[[#This Row],[spawner_sku]])),Table1[Entity Prefab],0)),10,1,1,"Entities"))</f>
        <v>25</v>
      </c>
      <c r="ET69" s="74">
        <f ca="1">ROUND((Table18[[#This Row],[XP]]*Table18[[#This Row],[entity_spawned (AVG)]])*(Table18[[#This Row],[activating_chance]]/100),0)</f>
        <v>138</v>
      </c>
      <c r="EU69" s="74" t="str">
        <f ca="1">INDIRECT(ADDRESS(11+(MATCH(RIGHT(Table18[[#This Row],[spawner_sku]],LEN(Table18[[#This Row],[spawner_sku]])-FIND("/",Table18[[#This Row],[spawner_sku]])),Table28[Entity Prefab],0)),26,1,1,"Entities"))</f>
        <v>no</v>
      </c>
      <c r="EV69">
        <v>5</v>
      </c>
      <c r="EW69">
        <v>6</v>
      </c>
      <c r="EX69" t="b">
        <v>1</v>
      </c>
      <c r="EZ69" t="s">
        <v>214</v>
      </c>
      <c r="FA69">
        <v>11</v>
      </c>
      <c r="FB69">
        <v>180</v>
      </c>
      <c r="FC69">
        <v>100</v>
      </c>
      <c r="FD69" s="74">
        <f ca="1">INDIRECT(ADDRESS(11+(MATCH(RIGHT(Table1820[[#This Row],[spawner_sku]],LEN(Table1820[[#This Row],[spawner_sku]])-FIND("/",Table1820[[#This Row],[spawner_sku]])),Table1[Entity Prefab],0)),10,1,1,"Entities"))</f>
        <v>25</v>
      </c>
      <c r="FE69" s="74">
        <f ca="1">ROUND((Table1820[[#This Row],[XP]]*Table1820[[#This Row],[entity_spawned (AVG)]])*(Table1820[[#This Row],[activating_chance]]/100),0)</f>
        <v>275</v>
      </c>
      <c r="FF69" s="74" t="str">
        <f ca="1">INDIRECT(ADDRESS(11+(MATCH(RIGHT(Table1820[[#This Row],[spawner_sku]],LEN(Table1820[[#This Row],[spawner_sku]])-FIND("/",Table1820[[#This Row],[spawner_sku]])),Table28[Entity Prefab],0)),26,1,1,"Entities"))</f>
        <v>no</v>
      </c>
      <c r="FG69">
        <v>10</v>
      </c>
      <c r="FH69">
        <v>12</v>
      </c>
      <c r="FI69" t="b">
        <v>1</v>
      </c>
      <c r="FK69" t="s">
        <v>2694</v>
      </c>
      <c r="FL69">
        <v>1.5</v>
      </c>
      <c r="FM69">
        <v>70</v>
      </c>
      <c r="FN69">
        <v>100</v>
      </c>
      <c r="FO69">
        <f ca="1">INDIRECT(ADDRESS(11+(MATCH(RIGHT(Table182023[[#This Row],[spawner_sku]],LEN(Table182023[[#This Row],[spawner_sku]])-FIND("/",Table182023[[#This Row],[spawner_sku]])),Table1[Entity Prefab],0)),10,1,1,"Entities"))</f>
        <v>143</v>
      </c>
      <c r="FP69">
        <f ca="1">ROUND((Table182023[[#This Row],[XP]]*Table182023[[#This Row],[entity_spawned (AVG)]])*(Table182023[[#This Row],[activating_chance]]/100),0)</f>
        <v>215</v>
      </c>
      <c r="FQ69" t="str">
        <f ca="1">INDIRECT(ADDRESS(11+(MATCH(RIGHT(Table182023[[#This Row],[spawner_sku]],LEN(Table182023[[#This Row],[spawner_sku]])-FIND("/",Table182023[[#This Row],[spawner_sku]])),Table28[Entity Prefab],0)),26,1,1,"Entities"))</f>
        <v>no</v>
      </c>
      <c r="FR69">
        <v>1</v>
      </c>
      <c r="FS69">
        <v>2</v>
      </c>
      <c r="FT69" t="b">
        <v>0</v>
      </c>
      <c r="FV69" t="s">
        <v>2699</v>
      </c>
      <c r="FW69">
        <v>1</v>
      </c>
      <c r="FX69">
        <v>100</v>
      </c>
      <c r="FY69">
        <v>100</v>
      </c>
      <c r="FZ69" s="74">
        <f ca="1">INDIRECT(ADDRESS(11+(MATCH(RIGHT(Table18202324[[#This Row],[spawner_sku]],LEN(Table18202324[[#This Row],[spawner_sku]])-FIND("/",Table18202324[[#This Row],[spawner_sku]])),Table1[Entity Prefab],0)),10,1,1,"Entities"))</f>
        <v>100</v>
      </c>
      <c r="GA69" s="74">
        <f ca="1">ROUND((Table18202324[[#This Row],[XP]]*Table18202324[[#This Row],[entity_spawned (AVG)]])*(Table18202324[[#This Row],[activating_chance]]/100),0)</f>
        <v>100</v>
      </c>
      <c r="GB69" s="74" t="str">
        <f ca="1">INDIRECT(ADDRESS(11+(MATCH(RIGHT(Table18202324[[#This Row],[spawner_sku]],LEN(Table18202324[[#This Row],[spawner_sku]])-FIND("/",Table18202324[[#This Row],[spawner_sku]])),Table28[Entity Prefab],0)),26,1,1,"Entities"))</f>
        <v>no</v>
      </c>
      <c r="GC69">
        <v>1</v>
      </c>
      <c r="GD69">
        <v>1</v>
      </c>
      <c r="GE69" t="b">
        <v>0</v>
      </c>
      <c r="GG69" t="s">
        <v>3816</v>
      </c>
      <c r="GH69">
        <v>1</v>
      </c>
      <c r="GI69">
        <v>240</v>
      </c>
      <c r="GJ69">
        <v>100</v>
      </c>
      <c r="GK69">
        <f ca="1">INDIRECT(ADDRESS(11+(MATCH(RIGHT(Table37[[#This Row],[spawner_sku]],LEN(Table37[[#This Row],[spawner_sku]])-FIND("/",Table37[[#This Row],[spawner_sku]])),Table1[Entity Prefab],0)),10,1,1,"Entities"))</f>
        <v>50</v>
      </c>
      <c r="GL69">
        <f ca="1">ROUND((Table37[[#This Row],[XP]]*Table37[[#This Row],[entity_spawned (AVG)]])*(Table37[[#This Row],[activating_chance]]/100),0)</f>
        <v>50</v>
      </c>
      <c r="GM69" t="str">
        <f ca="1">INDIRECT(ADDRESS(11+(MATCH(RIGHT(Table37[[#This Row],[spawner_sku]],LEN(Table37[[#This Row],[spawner_sku]])-FIND("/",Table37[[#This Row],[spawner_sku]])),Table28[Entity Prefab],0)),26,1,1,"Entities"))</f>
        <v>no</v>
      </c>
      <c r="GN69">
        <v>1</v>
      </c>
      <c r="GO69">
        <v>1</v>
      </c>
      <c r="GP69" t="b">
        <v>0</v>
      </c>
    </row>
    <row r="70" spans="2:198" x14ac:dyDescent="0.25">
      <c r="B70" s="72" t="s">
        <v>215</v>
      </c>
      <c r="C70">
        <v>5</v>
      </c>
      <c r="D70">
        <v>160</v>
      </c>
      <c r="E70">
        <v>100</v>
      </c>
      <c r="F70" s="74">
        <f ca="1">INDIRECT(ADDRESS(11+(MATCH(RIGHT(Table245[[#This Row],[spawner_sku]],LEN(Table245[[#This Row],[spawner_sku]])-FIND("/",Table245[[#This Row],[spawner_sku]])),Table1[Entity Prefab],0)),10,1,1,"Entities"))</f>
        <v>25</v>
      </c>
      <c r="G70" s="74">
        <f ca="1">ROUND((Table245[[#This Row],[XP]]*Table245[[#This Row],[entity_spawned (AVG)]])*(Table245[[#This Row],[activating_chance]]/100),0)</f>
        <v>125</v>
      </c>
      <c r="H70" s="71" t="str">
        <f ca="1">INDIRECT(ADDRESS(11+(MATCH(RIGHT(Table245[[#This Row],[spawner_sku]],LEN(Table245[[#This Row],[spawner_sku]])-FIND("/",Table245[[#This Row],[spawner_sku]])),Table28[Entity Prefab],0)),24,1,1,"Entities"))</f>
        <v>no</v>
      </c>
      <c r="I70" s="71">
        <v>5</v>
      </c>
      <c r="J70" s="71">
        <v>5</v>
      </c>
      <c r="K70" s="71" t="b">
        <v>1</v>
      </c>
      <c r="M70" t="s">
        <v>228</v>
      </c>
      <c r="N70">
        <v>1</v>
      </c>
      <c r="O70">
        <v>1500</v>
      </c>
      <c r="P70">
        <v>100</v>
      </c>
      <c r="Q70" s="74">
        <f ca="1">INDIRECT(ADDRESS(11+(MATCH(RIGHT(Table3[[#This Row],[spawner_sku]],LEN(Table3[[#This Row],[spawner_sku]])-FIND("/",Table3[[#This Row],[spawner_sku]])),Table1[Entity Prefab],0)),10,1,1,"Entities"))</f>
        <v>130</v>
      </c>
      <c r="R70" s="74">
        <f ca="1">ROUND((Table3[[#This Row],[XP]]*Table3[[#This Row],[entity_spawned (AVG)]])*(Table3[[#This Row],[activating_chance]]/100),0)</f>
        <v>130</v>
      </c>
      <c r="S70" t="str">
        <f ca="1">INDIRECT(ADDRESS(11+(MATCH(RIGHT(Table3[[#This Row],[spawner_sku]],LEN(Table3[[#This Row],[spawner_sku]])-FIND("/",Table3[[#This Row],[spawner_sku]])),Table28[Entity Prefab],0)),24,1,1,"Entities"))</f>
        <v>yes</v>
      </c>
      <c r="T70">
        <v>1</v>
      </c>
      <c r="U70">
        <v>1</v>
      </c>
      <c r="V70" t="b">
        <v>0</v>
      </c>
      <c r="W70" s="71"/>
      <c r="X70" t="s">
        <v>427</v>
      </c>
      <c r="Y70">
        <v>1</v>
      </c>
      <c r="Z70">
        <v>140</v>
      </c>
      <c r="AA70">
        <v>100</v>
      </c>
      <c r="AB70" s="74">
        <f ca="1">INDIRECT(ADDRESS(11+(MATCH(RIGHT(Table39[[#This Row],[spawner_sku]],LEN(Table39[[#This Row],[spawner_sku]])-FIND("/",Table39[[#This Row],[spawner_sku]])),Table1[Entity Prefab],0)),10,1,1,"Entities"))</f>
        <v>25</v>
      </c>
      <c r="AC70" s="74">
        <f ca="1">ROUND((Table39[[#This Row],[XP]]*Table39[[#This Row],[entity_spawned (AVG)]])*(Table39[[#This Row],[activating_chance]]/100),0)</f>
        <v>25</v>
      </c>
      <c r="AD70" t="str">
        <f ca="1">INDIRECT(ADDRESS(11+(MATCH(RIGHT(Table39[[#This Row],[spawner_sku]],LEN(Table39[[#This Row],[spawner_sku]])-FIND("/",Table39[[#This Row],[spawner_sku]])),Table28[Entity Prefab],0)),24,1,1,"Entities"))</f>
        <v>no</v>
      </c>
      <c r="AE70">
        <v>1</v>
      </c>
      <c r="AF70">
        <v>1</v>
      </c>
      <c r="AG70" t="b">
        <v>0</v>
      </c>
      <c r="AI70" t="s">
        <v>215</v>
      </c>
      <c r="AJ70">
        <v>7.5</v>
      </c>
      <c r="AK70">
        <v>150</v>
      </c>
      <c r="AL70">
        <v>100</v>
      </c>
      <c r="AM70" s="74">
        <f ca="1">INDIRECT(ADDRESS(11+(MATCH(RIGHT(Table2[[#This Row],[spawner_sku]],LEN(Table2[[#This Row],[spawner_sku]])-FIND("/",Table2[[#This Row],[spawner_sku]])),Table1[Entity Prefab],0)),10,1,1,"Entities"))</f>
        <v>25</v>
      </c>
      <c r="AN70" s="74">
        <f ca="1">ROUND((Table2[[#This Row],[XP]]*Table2[[#This Row],[entity_spawned (AVG)]])*(Table2[[#This Row],[activating_chance]]/100),0)</f>
        <v>188</v>
      </c>
      <c r="AO70" s="71" t="str">
        <f ca="1">INDIRECT(ADDRESS(11+(MATCH(RIGHT(Table2[[#This Row],[spawner_sku]],LEN(Table2[[#This Row],[spawner_sku]])-FIND("/",Table2[[#This Row],[spawner_sku]])),Table28[Entity Prefab],0)),24,1,1,"Entities"))</f>
        <v>no</v>
      </c>
      <c r="AP70" s="71">
        <v>5</v>
      </c>
      <c r="AQ70" s="71">
        <v>10</v>
      </c>
      <c r="AR70" s="71" t="b">
        <v>1</v>
      </c>
      <c r="AT70" t="s">
        <v>219</v>
      </c>
      <c r="AU70">
        <v>1</v>
      </c>
      <c r="AV70">
        <v>250</v>
      </c>
      <c r="AW70">
        <v>100</v>
      </c>
      <c r="AX70" s="74">
        <f ca="1">INDIRECT(ADDRESS(11+(MATCH(RIGHT(Table6[[#This Row],[spawner_sku]],LEN(Table6[[#This Row],[spawner_sku]])-FIND("/",Table6[[#This Row],[spawner_sku]])),Table1[Entity Prefab],0)),10,1,1,"Entities"))</f>
        <v>143</v>
      </c>
      <c r="AY70" s="74">
        <f ca="1">ROUND((Table6[[#This Row],[XP]]*Table6[[#This Row],[entity_spawned (AVG)]])*(Table6[[#This Row],[activating_chance]]/100),0)</f>
        <v>143</v>
      </c>
      <c r="AZ70" s="144" t="str">
        <f ca="1">INDIRECT(ADDRESS(11+(MATCH(RIGHT(Table6[[#This Row],[spawner_sku]],LEN(Table6[[#This Row],[spawner_sku]])-FIND("/",Table6[[#This Row],[spawner_sku]])),Table28[Entity Prefab],0)),24,1,1,"Entities"))</f>
        <v>yes</v>
      </c>
      <c r="BA70">
        <v>1</v>
      </c>
      <c r="BB70">
        <v>1</v>
      </c>
      <c r="BC70" t="b">
        <v>0</v>
      </c>
      <c r="BE70" t="s">
        <v>219</v>
      </c>
      <c r="BF70">
        <v>1.5</v>
      </c>
      <c r="BG70">
        <v>250</v>
      </c>
      <c r="BH70">
        <v>80</v>
      </c>
      <c r="BI70" s="74">
        <f ca="1">INDIRECT(ADDRESS(11+(MATCH(RIGHT(Table610[[#This Row],[spawner_sku]],LEN(Table610[[#This Row],[spawner_sku]])-FIND("/",Table610[[#This Row],[spawner_sku]])),Table1[Entity Prefab],0)),10,1,1,"Entities"))</f>
        <v>143</v>
      </c>
      <c r="BJ70" s="74">
        <f ca="1">ROUND((Table610[[#This Row],[XP]]*Table610[[#This Row],[entity_spawned (AVG)]])*(Table610[[#This Row],[activating_chance]]/100),0)</f>
        <v>172</v>
      </c>
      <c r="BK70" s="71" t="str">
        <f ca="1">INDIRECT(ADDRESS(11+(MATCH(RIGHT(Table610[[#This Row],[spawner_sku]],LEN(Table610[[#This Row],[spawner_sku]])-FIND("/",Table610[[#This Row],[spawner_sku]])),Table28[Entity Prefab],0)),24,1,1,"Entities"))</f>
        <v>yes</v>
      </c>
      <c r="BL70">
        <v>1</v>
      </c>
      <c r="BM70">
        <v>2</v>
      </c>
      <c r="BN70" t="b">
        <v>0</v>
      </c>
      <c r="BP70" t="s">
        <v>215</v>
      </c>
      <c r="BQ70">
        <v>1.5</v>
      </c>
      <c r="BR70">
        <v>110</v>
      </c>
      <c r="BS70">
        <v>100</v>
      </c>
      <c r="BT70" s="74">
        <f ca="1">INDIRECT(ADDRESS(11+(MATCH(RIGHT(Table61011[[#This Row],[spawner_sku]],LEN(Table61011[[#This Row],[spawner_sku]])-FIND("/",Table61011[[#This Row],[spawner_sku]])),Table1[Entity Prefab],0)),10,1,1,"Entities"))</f>
        <v>25</v>
      </c>
      <c r="BU70" s="74">
        <f ca="1">ROUND((Table61011[[#This Row],[XP]]*Table61011[[#This Row],[entity_spawned (AVG)]])*(Table61011[[#This Row],[activating_chance]]/100),0)</f>
        <v>38</v>
      </c>
      <c r="BV70" s="71" t="str">
        <f ca="1">INDIRECT(ADDRESS(11+(MATCH(RIGHT(Table61011[[#This Row],[spawner_sku]],LEN(Table61011[[#This Row],[spawner_sku]])-FIND("/",Table61011[[#This Row],[spawner_sku]])),Table28[Entity Prefab],0)),24,1,1,"Entities"))</f>
        <v>no</v>
      </c>
      <c r="BW70" s="71">
        <v>1</v>
      </c>
      <c r="BX70" s="71">
        <v>2</v>
      </c>
      <c r="BY70" s="71" t="b">
        <v>0</v>
      </c>
      <c r="BZ70" s="71"/>
      <c r="CA70" s="147" t="s">
        <v>8142</v>
      </c>
      <c r="CB70">
        <v>1</v>
      </c>
      <c r="CC70">
        <v>200</v>
      </c>
      <c r="CD70">
        <v>100</v>
      </c>
      <c r="CE70" s="74">
        <f ca="1">INDIRECT(ADDRESS(11+(MATCH(RIGHT(Table35[[#This Row],[spawner_sku]],LEN(Table35[[#This Row],[spawner_sku]])-FIND("/",Table35[[#This Row],[spawner_sku]])),Table1[Entity Prefab],0)),10,1,1,"Entities"))</f>
        <v>75</v>
      </c>
      <c r="CF70" s="74">
        <f ca="1">ROUND((Table35[[#This Row],[XP]]*Table35[[#This Row],[entity_spawned (AVG)]])*(Table35[[#This Row],[activating_chance]]/100),0)</f>
        <v>75</v>
      </c>
      <c r="CG70" s="144" t="str">
        <f ca="1">INDIRECT(ADDRESS(11+(MATCH(RIGHT(Table35[[#This Row],[spawner_sku]],LEN(Table35[[#This Row],[spawner_sku]])-FIND("/",Table35[[#This Row],[spawner_sku]])),Table28[Entity Prefab],0)),24,1,1,"Entities"))</f>
        <v>no</v>
      </c>
      <c r="CH70">
        <v>1</v>
      </c>
      <c r="CI70">
        <v>1</v>
      </c>
      <c r="CJ70" s="71" t="b">
        <v>0</v>
      </c>
      <c r="CL70" t="s">
        <v>215</v>
      </c>
      <c r="CM70">
        <v>2.5</v>
      </c>
      <c r="CN70">
        <v>180</v>
      </c>
      <c r="CO70">
        <v>100</v>
      </c>
      <c r="CP70" s="74">
        <f ca="1">INDIRECT(ADDRESS(11+(MATCH(RIGHT(Table11[[#This Row],[spawner_sku]],LEN(Table11[[#This Row],[spawner_sku]])-FIND("/",Table11[[#This Row],[spawner_sku]])),Table1[Entity Prefab],0)),10,1,1,"Entities"))</f>
        <v>25</v>
      </c>
      <c r="CQ70">
        <f ca="1">ROUND((Table11[[#This Row],[XP]]*Table11[[#This Row],[entity_spawned (AVG)]])*(Table11[[#This Row],[activating_chance]]/100),0)</f>
        <v>63</v>
      </c>
      <c r="CR70" s="144" t="str">
        <f ca="1">INDIRECT(ADDRESS(11+(MATCH(RIGHT(Table11[[#This Row],[spawner_sku]],LEN(Table11[[#This Row],[spawner_sku]])-FIND("/",Table11[[#This Row],[spawner_sku]])),Table28[Entity Prefab],0)),25,1,1,"Entities"))</f>
        <v>no</v>
      </c>
      <c r="CS70" s="71">
        <v>2</v>
      </c>
      <c r="CT70" s="71">
        <v>3</v>
      </c>
      <c r="CU70" s="71" t="b">
        <v>0</v>
      </c>
      <c r="CW70" t="s">
        <v>230</v>
      </c>
      <c r="CX70">
        <v>1</v>
      </c>
      <c r="CY70">
        <v>200</v>
      </c>
      <c r="CZ70">
        <v>100</v>
      </c>
      <c r="DA70" s="74">
        <f ca="1">INDIRECT(ADDRESS(11+(MATCH(RIGHT(Table12[[#This Row],[spawner_sku]],LEN(Table12[[#This Row],[spawner_sku]])-FIND("/",Table12[[#This Row],[spawner_sku]])),Table1[Entity Prefab],0)),10,1,1,"Entities"))</f>
        <v>28</v>
      </c>
      <c r="DB70" s="74">
        <f ca="1">ROUND((Table12[[#This Row],[XP]]*Table12[[#This Row],[entity_spawned (AVG)]])*(Table12[[#This Row],[activating_chance]]/100),0)</f>
        <v>28</v>
      </c>
      <c r="DC70" s="144" t="str">
        <f ca="1">INDIRECT(ADDRESS(11+(MATCH(RIGHT(Table12[[#This Row],[spawner_sku]],LEN(Table12[[#This Row],[spawner_sku]])-FIND("/",Table12[[#This Row],[spawner_sku]])),Table28[Entity Prefab],0)),25,1,1,"Entities"))</f>
        <v>no</v>
      </c>
      <c r="DD70" s="71">
        <v>1</v>
      </c>
      <c r="DE70" s="71">
        <v>1</v>
      </c>
      <c r="DF70" s="71" t="b">
        <v>0</v>
      </c>
      <c r="DH70" t="s">
        <v>219</v>
      </c>
      <c r="DI70">
        <v>2</v>
      </c>
      <c r="DJ70">
        <v>250</v>
      </c>
      <c r="DK70">
        <v>100</v>
      </c>
      <c r="DL70" s="74">
        <f ca="1">INDIRECT(ADDRESS(11+(MATCH(RIGHT(Table13[[#This Row],[spawner_sku]],LEN(Table13[[#This Row],[spawner_sku]])-FIND("/",Table13[[#This Row],[spawner_sku]])),Table1[Entity Prefab],0)),10,1,1,"Entities"))</f>
        <v>143</v>
      </c>
      <c r="DM70" s="74">
        <f ca="1">ROUND((Table13[[#This Row],[XP]]*Table13[[#This Row],[entity_spawned (AVG)]])*(Table13[[#This Row],[activating_chance]]/100),0)</f>
        <v>286</v>
      </c>
      <c r="DN70" s="144" t="str">
        <f ca="1">INDIRECT(ADDRESS(11+(MATCH(RIGHT(Table13[[#This Row],[spawner_sku]],LEN(Table13[[#This Row],[spawner_sku]])-FIND("/",Table13[[#This Row],[spawner_sku]])),Table28[Entity Prefab],0)),25,1,1,"Entities"))</f>
        <v>yes</v>
      </c>
      <c r="DO70" s="71">
        <v>2</v>
      </c>
      <c r="DP70" s="71">
        <v>2</v>
      </c>
      <c r="DQ70" s="71" t="b">
        <v>0</v>
      </c>
      <c r="DS70" t="s">
        <v>214</v>
      </c>
      <c r="DT70">
        <v>3.5</v>
      </c>
      <c r="DU70">
        <v>100</v>
      </c>
      <c r="DV70">
        <v>80</v>
      </c>
      <c r="DW70" s="74">
        <f ca="1">INDIRECT(ADDRESS(11+(MATCH(RIGHT(Table14[[#This Row],[spawner_sku]],LEN(Table14[[#This Row],[spawner_sku]])-FIND("/",Table14[[#This Row],[spawner_sku]])),Table1[Entity Prefab],0)),10,1,1,"Entities"))</f>
        <v>25</v>
      </c>
      <c r="DX70" s="74">
        <f ca="1">ROUND((Table14[[#This Row],[XP]]*Table14[[#This Row],[entity_spawned (AVG)]])*(Table14[[#This Row],[activating_chance]]/100),0)</f>
        <v>70</v>
      </c>
      <c r="DY70" s="144" t="str">
        <f ca="1">INDIRECT(ADDRESS(11+(MATCH(RIGHT(Table14[[#This Row],[spawner_sku]],LEN(Table14[[#This Row],[spawner_sku]])-FIND("/",Table14[[#This Row],[spawner_sku]])),Table28[Entity Prefab],0)),25,1,1,"Entities"))</f>
        <v>no</v>
      </c>
      <c r="DZ70" s="71">
        <v>3</v>
      </c>
      <c r="EA70" s="71">
        <v>4</v>
      </c>
      <c r="EB70" s="71" t="b">
        <v>0</v>
      </c>
      <c r="EC70" s="71"/>
      <c r="ED70" s="147" t="s">
        <v>8142</v>
      </c>
      <c r="EE70" s="71">
        <v>1</v>
      </c>
      <c r="EF70" s="71">
        <v>200</v>
      </c>
      <c r="EG70" s="71">
        <v>100</v>
      </c>
      <c r="EH70" s="71">
        <f ca="1">INDIRECT(ADDRESS(11+(MATCH(RIGHT(Table36[[#This Row],[spawner_sku]],LEN(Table36[[#This Row],[spawner_sku]])-FIND("/",Table36[[#This Row],[spawner_sku]])),Table1[Entity Prefab],0)),10,1,1,"Entities"))</f>
        <v>75</v>
      </c>
      <c r="EI70" s="71">
        <f ca="1">ROUND((Table36[[#This Row],[XP]]*Table36[[#This Row],[entity_spawned (AVG)]])*(Table36[[#This Row],[activating_chance]]/100),0)</f>
        <v>75</v>
      </c>
      <c r="EJ70" s="71" t="str">
        <f ca="1">INDIRECT(ADDRESS(11+(MATCH(RIGHT(Table36[[#This Row],[spawner_sku]],LEN(Table36[[#This Row],[spawner_sku]])-FIND("/",Table36[[#This Row],[spawner_sku]])),Table28[Entity Prefab],0)),25,1,1,"Entities"))</f>
        <v>no</v>
      </c>
      <c r="EK70" s="71">
        <v>1</v>
      </c>
      <c r="EL70" s="71">
        <v>1</v>
      </c>
      <c r="EM70" s="71" t="b">
        <v>0</v>
      </c>
      <c r="EO70" t="s">
        <v>214</v>
      </c>
      <c r="EP70">
        <v>3.5</v>
      </c>
      <c r="EQ70">
        <v>180</v>
      </c>
      <c r="ER70">
        <v>100</v>
      </c>
      <c r="ES70" s="74">
        <f ca="1">INDIRECT(ADDRESS(11+(MATCH(RIGHT(Table18[[#This Row],[spawner_sku]],LEN(Table18[[#This Row],[spawner_sku]])-FIND("/",Table18[[#This Row],[spawner_sku]])),Table1[Entity Prefab],0)),10,1,1,"Entities"))</f>
        <v>25</v>
      </c>
      <c r="ET70" s="74">
        <f ca="1">ROUND((Table18[[#This Row],[XP]]*Table18[[#This Row],[entity_spawned (AVG)]])*(Table18[[#This Row],[activating_chance]]/100),0)</f>
        <v>88</v>
      </c>
      <c r="EU70" s="74" t="str">
        <f ca="1">INDIRECT(ADDRESS(11+(MATCH(RIGHT(Table18[[#This Row],[spawner_sku]],LEN(Table18[[#This Row],[spawner_sku]])-FIND("/",Table18[[#This Row],[spawner_sku]])),Table28[Entity Prefab],0)),26,1,1,"Entities"))</f>
        <v>no</v>
      </c>
      <c r="EV70">
        <v>3</v>
      </c>
      <c r="EW70">
        <v>4</v>
      </c>
      <c r="EX70" t="b">
        <v>0</v>
      </c>
      <c r="EZ70" t="s">
        <v>214</v>
      </c>
      <c r="FA70">
        <v>7</v>
      </c>
      <c r="FB70">
        <v>160</v>
      </c>
      <c r="FC70">
        <v>100</v>
      </c>
      <c r="FD70" s="74">
        <f ca="1">INDIRECT(ADDRESS(11+(MATCH(RIGHT(Table1820[[#This Row],[spawner_sku]],LEN(Table1820[[#This Row],[spawner_sku]])-FIND("/",Table1820[[#This Row],[spawner_sku]])),Table1[Entity Prefab],0)),10,1,1,"Entities"))</f>
        <v>25</v>
      </c>
      <c r="FE70" s="74">
        <f ca="1">ROUND((Table1820[[#This Row],[XP]]*Table1820[[#This Row],[entity_spawned (AVG)]])*(Table1820[[#This Row],[activating_chance]]/100),0)</f>
        <v>175</v>
      </c>
      <c r="FF70" s="74" t="str">
        <f ca="1">INDIRECT(ADDRESS(11+(MATCH(RIGHT(Table1820[[#This Row],[spawner_sku]],LEN(Table1820[[#This Row],[spawner_sku]])-FIND("/",Table1820[[#This Row],[spawner_sku]])),Table28[Entity Prefab],0)),26,1,1,"Entities"))</f>
        <v>no</v>
      </c>
      <c r="FG70">
        <v>6</v>
      </c>
      <c r="FH70">
        <v>8</v>
      </c>
      <c r="FI70" t="b">
        <v>1</v>
      </c>
      <c r="FK70" t="s">
        <v>2694</v>
      </c>
      <c r="FL70">
        <v>2.5</v>
      </c>
      <c r="FM70">
        <v>70</v>
      </c>
      <c r="FN70">
        <v>100</v>
      </c>
      <c r="FO70">
        <f ca="1">INDIRECT(ADDRESS(11+(MATCH(RIGHT(Table182023[[#This Row],[spawner_sku]],LEN(Table182023[[#This Row],[spawner_sku]])-FIND("/",Table182023[[#This Row],[spawner_sku]])),Table1[Entity Prefab],0)),10,1,1,"Entities"))</f>
        <v>143</v>
      </c>
      <c r="FP70">
        <f ca="1">ROUND((Table182023[[#This Row],[XP]]*Table182023[[#This Row],[entity_spawned (AVG)]])*(Table182023[[#This Row],[activating_chance]]/100),0)</f>
        <v>358</v>
      </c>
      <c r="FQ70" t="str">
        <f ca="1">INDIRECT(ADDRESS(11+(MATCH(RIGHT(Table182023[[#This Row],[spawner_sku]],LEN(Table182023[[#This Row],[spawner_sku]])-FIND("/",Table182023[[#This Row],[spawner_sku]])),Table28[Entity Prefab],0)),26,1,1,"Entities"))</f>
        <v>no</v>
      </c>
      <c r="FR70">
        <v>2</v>
      </c>
      <c r="FS70">
        <v>3</v>
      </c>
      <c r="FT70" t="b">
        <v>0</v>
      </c>
      <c r="FV70" t="s">
        <v>2699</v>
      </c>
      <c r="FW70">
        <v>1</v>
      </c>
      <c r="FX70">
        <v>90</v>
      </c>
      <c r="FY70">
        <v>100</v>
      </c>
      <c r="FZ70" s="74">
        <f ca="1">INDIRECT(ADDRESS(11+(MATCH(RIGHT(Table18202324[[#This Row],[spawner_sku]],LEN(Table18202324[[#This Row],[spawner_sku]])-FIND("/",Table18202324[[#This Row],[spawner_sku]])),Table1[Entity Prefab],0)),10,1,1,"Entities"))</f>
        <v>100</v>
      </c>
      <c r="GA70" s="74">
        <f ca="1">ROUND((Table18202324[[#This Row],[XP]]*Table18202324[[#This Row],[entity_spawned (AVG)]])*(Table18202324[[#This Row],[activating_chance]]/100),0)</f>
        <v>100</v>
      </c>
      <c r="GB70" s="74" t="str">
        <f ca="1">INDIRECT(ADDRESS(11+(MATCH(RIGHT(Table18202324[[#This Row],[spawner_sku]],LEN(Table18202324[[#This Row],[spawner_sku]])-FIND("/",Table18202324[[#This Row],[spawner_sku]])),Table28[Entity Prefab],0)),26,1,1,"Entities"))</f>
        <v>no</v>
      </c>
      <c r="GC70">
        <v>1</v>
      </c>
      <c r="GD70">
        <v>1</v>
      </c>
      <c r="GE70" t="b">
        <v>0</v>
      </c>
      <c r="GG70" t="s">
        <v>3816</v>
      </c>
      <c r="GH70">
        <v>1</v>
      </c>
      <c r="GI70">
        <v>240</v>
      </c>
      <c r="GJ70">
        <v>100</v>
      </c>
      <c r="GK70">
        <f ca="1">INDIRECT(ADDRESS(11+(MATCH(RIGHT(Table37[[#This Row],[spawner_sku]],LEN(Table37[[#This Row],[spawner_sku]])-FIND("/",Table37[[#This Row],[spawner_sku]])),Table1[Entity Prefab],0)),10,1,1,"Entities"))</f>
        <v>50</v>
      </c>
      <c r="GL70">
        <f ca="1">ROUND((Table37[[#This Row],[XP]]*Table37[[#This Row],[entity_spawned (AVG)]])*(Table37[[#This Row],[activating_chance]]/100),0)</f>
        <v>50</v>
      </c>
      <c r="GM70" t="str">
        <f ca="1">INDIRECT(ADDRESS(11+(MATCH(RIGHT(Table37[[#This Row],[spawner_sku]],LEN(Table37[[#This Row],[spawner_sku]])-FIND("/",Table37[[#This Row],[spawner_sku]])),Table28[Entity Prefab],0)),26,1,1,"Entities"))</f>
        <v>no</v>
      </c>
      <c r="GN70">
        <v>1</v>
      </c>
      <c r="GO70">
        <v>1</v>
      </c>
      <c r="GP70" t="b">
        <v>0</v>
      </c>
    </row>
    <row r="71" spans="2:198" x14ac:dyDescent="0.25">
      <c r="B71" s="72" t="s">
        <v>215</v>
      </c>
      <c r="C71">
        <v>2.5</v>
      </c>
      <c r="D71">
        <v>130</v>
      </c>
      <c r="E71">
        <v>100</v>
      </c>
      <c r="F71" s="74">
        <f ca="1">INDIRECT(ADDRESS(11+(MATCH(RIGHT(Table245[[#This Row],[spawner_sku]],LEN(Table245[[#This Row],[spawner_sku]])-FIND("/",Table245[[#This Row],[spawner_sku]])),Table1[Entity Prefab],0)),10,1,1,"Entities"))</f>
        <v>25</v>
      </c>
      <c r="G71" s="74">
        <f ca="1">ROUND((Table245[[#This Row],[XP]]*Table245[[#This Row],[entity_spawned (AVG)]])*(Table245[[#This Row],[activating_chance]]/100),0)</f>
        <v>63</v>
      </c>
      <c r="H71" s="71" t="str">
        <f ca="1">INDIRECT(ADDRESS(11+(MATCH(RIGHT(Table245[[#This Row],[spawner_sku]],LEN(Table245[[#This Row],[spawner_sku]])-FIND("/",Table245[[#This Row],[spawner_sku]])),Table28[Entity Prefab],0)),24,1,1,"Entities"))</f>
        <v>no</v>
      </c>
      <c r="I71" s="71">
        <v>2</v>
      </c>
      <c r="J71" s="71">
        <v>3</v>
      </c>
      <c r="K71" s="71" t="b">
        <v>0</v>
      </c>
      <c r="M71" t="s">
        <v>231</v>
      </c>
      <c r="N71">
        <v>1</v>
      </c>
      <c r="O71">
        <v>220</v>
      </c>
      <c r="P71">
        <v>100</v>
      </c>
      <c r="Q71" s="74">
        <f ca="1">INDIRECT(ADDRESS(11+(MATCH(RIGHT(Table3[[#This Row],[spawner_sku]],LEN(Table3[[#This Row],[spawner_sku]])-FIND("/",Table3[[#This Row],[spawner_sku]])),Table1[Entity Prefab],0)),10,1,1,"Entities"))</f>
        <v>25</v>
      </c>
      <c r="R71" s="74">
        <f ca="1">ROUND((Table3[[#This Row],[XP]]*Table3[[#This Row],[entity_spawned (AVG)]])*(Table3[[#This Row],[activating_chance]]/100),0)</f>
        <v>25</v>
      </c>
      <c r="S71" t="str">
        <f ca="1">INDIRECT(ADDRESS(11+(MATCH(RIGHT(Table3[[#This Row],[spawner_sku]],LEN(Table3[[#This Row],[spawner_sku]])-FIND("/",Table3[[#This Row],[spawner_sku]])),Table28[Entity Prefab],0)),24,1,1,"Entities"))</f>
        <v>yes</v>
      </c>
      <c r="T71">
        <v>1</v>
      </c>
      <c r="U71">
        <v>1</v>
      </c>
      <c r="V71" t="b">
        <v>0</v>
      </c>
      <c r="W71" s="71"/>
      <c r="X71" t="s">
        <v>427</v>
      </c>
      <c r="Y71">
        <v>1.5</v>
      </c>
      <c r="Z71">
        <v>100</v>
      </c>
      <c r="AA71">
        <v>100</v>
      </c>
      <c r="AB71" s="74">
        <f ca="1">INDIRECT(ADDRESS(11+(MATCH(RIGHT(Table39[[#This Row],[spawner_sku]],LEN(Table39[[#This Row],[spawner_sku]])-FIND("/",Table39[[#This Row],[spawner_sku]])),Table1[Entity Prefab],0)),10,1,1,"Entities"))</f>
        <v>25</v>
      </c>
      <c r="AC71" s="74">
        <f ca="1">ROUND((Table39[[#This Row],[XP]]*Table39[[#This Row],[entity_spawned (AVG)]])*(Table39[[#This Row],[activating_chance]]/100),0)</f>
        <v>38</v>
      </c>
      <c r="AD71" t="str">
        <f ca="1">INDIRECT(ADDRESS(11+(MATCH(RIGHT(Table39[[#This Row],[spawner_sku]],LEN(Table39[[#This Row],[spawner_sku]])-FIND("/",Table39[[#This Row],[spawner_sku]])),Table28[Entity Prefab],0)),24,1,1,"Entities"))</f>
        <v>no</v>
      </c>
      <c r="AE71">
        <v>1</v>
      </c>
      <c r="AF71">
        <v>2</v>
      </c>
      <c r="AG71" t="b">
        <v>0</v>
      </c>
      <c r="AI71" t="s">
        <v>215</v>
      </c>
      <c r="AJ71">
        <v>2</v>
      </c>
      <c r="AK71">
        <v>110</v>
      </c>
      <c r="AL71">
        <v>100</v>
      </c>
      <c r="AM71" s="74">
        <f ca="1">INDIRECT(ADDRESS(11+(MATCH(RIGHT(Table2[[#This Row],[spawner_sku]],LEN(Table2[[#This Row],[spawner_sku]])-FIND("/",Table2[[#This Row],[spawner_sku]])),Table1[Entity Prefab],0)),10,1,1,"Entities"))</f>
        <v>25</v>
      </c>
      <c r="AN71" s="74">
        <f ca="1">ROUND((Table2[[#This Row],[XP]]*Table2[[#This Row],[entity_spawned (AVG)]])*(Table2[[#This Row],[activating_chance]]/100),0)</f>
        <v>50</v>
      </c>
      <c r="AO71" s="71" t="str">
        <f ca="1">INDIRECT(ADDRESS(11+(MATCH(RIGHT(Table2[[#This Row],[spawner_sku]],LEN(Table2[[#This Row],[spawner_sku]])-FIND("/",Table2[[#This Row],[spawner_sku]])),Table28[Entity Prefab],0)),24,1,1,"Entities"))</f>
        <v>no</v>
      </c>
      <c r="AP71" s="71">
        <v>1</v>
      </c>
      <c r="AQ71" s="71">
        <v>3</v>
      </c>
      <c r="AR71" s="71" t="b">
        <v>0</v>
      </c>
      <c r="AT71" t="s">
        <v>219</v>
      </c>
      <c r="AU71">
        <v>1</v>
      </c>
      <c r="AV71">
        <v>250</v>
      </c>
      <c r="AW71">
        <v>30</v>
      </c>
      <c r="AX71" s="74">
        <f ca="1">INDIRECT(ADDRESS(11+(MATCH(RIGHT(Table6[[#This Row],[spawner_sku]],LEN(Table6[[#This Row],[spawner_sku]])-FIND("/",Table6[[#This Row],[spawner_sku]])),Table1[Entity Prefab],0)),10,1,1,"Entities"))</f>
        <v>143</v>
      </c>
      <c r="AY71" s="74">
        <f ca="1">ROUND((Table6[[#This Row],[XP]]*Table6[[#This Row],[entity_spawned (AVG)]])*(Table6[[#This Row],[activating_chance]]/100),0)</f>
        <v>43</v>
      </c>
      <c r="AZ71" s="144" t="str">
        <f ca="1">INDIRECT(ADDRESS(11+(MATCH(RIGHT(Table6[[#This Row],[spawner_sku]],LEN(Table6[[#This Row],[spawner_sku]])-FIND("/",Table6[[#This Row],[spawner_sku]])),Table28[Entity Prefab],0)),24,1,1,"Entities"))</f>
        <v>yes</v>
      </c>
      <c r="BA71">
        <v>1</v>
      </c>
      <c r="BB71">
        <v>1</v>
      </c>
      <c r="BC71" t="b">
        <v>0</v>
      </c>
      <c r="BE71" t="s">
        <v>219</v>
      </c>
      <c r="BF71">
        <v>1.5</v>
      </c>
      <c r="BG71">
        <v>250</v>
      </c>
      <c r="BH71">
        <v>100</v>
      </c>
      <c r="BI71" s="74">
        <f ca="1">INDIRECT(ADDRESS(11+(MATCH(RIGHT(Table610[[#This Row],[spawner_sku]],LEN(Table610[[#This Row],[spawner_sku]])-FIND("/",Table610[[#This Row],[spawner_sku]])),Table1[Entity Prefab],0)),10,1,1,"Entities"))</f>
        <v>143</v>
      </c>
      <c r="BJ71" s="74">
        <f ca="1">ROUND((Table610[[#This Row],[XP]]*Table610[[#This Row],[entity_spawned (AVG)]])*(Table610[[#This Row],[activating_chance]]/100),0)</f>
        <v>215</v>
      </c>
      <c r="BK71" s="71" t="str">
        <f ca="1">INDIRECT(ADDRESS(11+(MATCH(RIGHT(Table610[[#This Row],[spawner_sku]],LEN(Table610[[#This Row],[spawner_sku]])-FIND("/",Table610[[#This Row],[spawner_sku]])),Table28[Entity Prefab],0)),24,1,1,"Entities"))</f>
        <v>yes</v>
      </c>
      <c r="BL71">
        <v>1</v>
      </c>
      <c r="BM71">
        <v>2</v>
      </c>
      <c r="BN71" t="b">
        <v>0</v>
      </c>
      <c r="BP71" t="s">
        <v>216</v>
      </c>
      <c r="BQ71">
        <v>3.5</v>
      </c>
      <c r="BR71">
        <v>210</v>
      </c>
      <c r="BS71">
        <v>80</v>
      </c>
      <c r="BT71" s="74">
        <f ca="1">INDIRECT(ADDRESS(11+(MATCH(RIGHT(Table61011[[#This Row],[spawner_sku]],LEN(Table61011[[#This Row],[spawner_sku]])-FIND("/",Table61011[[#This Row],[spawner_sku]])),Table1[Entity Prefab],0)),10,1,1,"Entities"))</f>
        <v>25</v>
      </c>
      <c r="BU71" s="74">
        <f ca="1">ROUND((Table61011[[#This Row],[XP]]*Table61011[[#This Row],[entity_spawned (AVG)]])*(Table61011[[#This Row],[activating_chance]]/100),0)</f>
        <v>70</v>
      </c>
      <c r="BV71" s="71" t="str">
        <f ca="1">INDIRECT(ADDRESS(11+(MATCH(RIGHT(Table61011[[#This Row],[spawner_sku]],LEN(Table61011[[#This Row],[spawner_sku]])-FIND("/",Table61011[[#This Row],[spawner_sku]])),Table28[Entity Prefab],0)),24,1,1,"Entities"))</f>
        <v>no</v>
      </c>
      <c r="BW71" s="71">
        <v>3</v>
      </c>
      <c r="BX71" s="71">
        <v>4</v>
      </c>
      <c r="BY71" s="71" t="b">
        <v>0</v>
      </c>
      <c r="BZ71" s="71"/>
      <c r="CA71" s="147" t="s">
        <v>8142</v>
      </c>
      <c r="CB71">
        <v>1</v>
      </c>
      <c r="CC71">
        <v>200</v>
      </c>
      <c r="CD71">
        <v>80</v>
      </c>
      <c r="CE71" s="74">
        <f ca="1">INDIRECT(ADDRESS(11+(MATCH(RIGHT(Table35[[#This Row],[spawner_sku]],LEN(Table35[[#This Row],[spawner_sku]])-FIND("/",Table35[[#This Row],[spawner_sku]])),Table1[Entity Prefab],0)),10,1,1,"Entities"))</f>
        <v>75</v>
      </c>
      <c r="CF71" s="74">
        <f ca="1">ROUND((Table35[[#This Row],[XP]]*Table35[[#This Row],[entity_spawned (AVG)]])*(Table35[[#This Row],[activating_chance]]/100),0)</f>
        <v>60</v>
      </c>
      <c r="CG71" s="144" t="str">
        <f ca="1">INDIRECT(ADDRESS(11+(MATCH(RIGHT(Table35[[#This Row],[spawner_sku]],LEN(Table35[[#This Row],[spawner_sku]])-FIND("/",Table35[[#This Row],[spawner_sku]])),Table28[Entity Prefab],0)),24,1,1,"Entities"))</f>
        <v>no</v>
      </c>
      <c r="CH71">
        <v>1</v>
      </c>
      <c r="CI71">
        <v>1</v>
      </c>
      <c r="CJ71" s="71" t="b">
        <v>0</v>
      </c>
      <c r="CL71" t="s">
        <v>215</v>
      </c>
      <c r="CM71">
        <v>1.5</v>
      </c>
      <c r="CN71">
        <v>180</v>
      </c>
      <c r="CO71">
        <v>30</v>
      </c>
      <c r="CP71" s="74">
        <f ca="1">INDIRECT(ADDRESS(11+(MATCH(RIGHT(Table11[[#This Row],[spawner_sku]],LEN(Table11[[#This Row],[spawner_sku]])-FIND("/",Table11[[#This Row],[spawner_sku]])),Table1[Entity Prefab],0)),10,1,1,"Entities"))</f>
        <v>25</v>
      </c>
      <c r="CQ71">
        <f ca="1">ROUND((Table11[[#This Row],[XP]]*Table11[[#This Row],[entity_spawned (AVG)]])*(Table11[[#This Row],[activating_chance]]/100),0)</f>
        <v>11</v>
      </c>
      <c r="CR71" s="144" t="str">
        <f ca="1">INDIRECT(ADDRESS(11+(MATCH(RIGHT(Table11[[#This Row],[spawner_sku]],LEN(Table11[[#This Row],[spawner_sku]])-FIND("/",Table11[[#This Row],[spawner_sku]])),Table28[Entity Prefab],0)),25,1,1,"Entities"))</f>
        <v>no</v>
      </c>
      <c r="CS71" s="71">
        <v>1</v>
      </c>
      <c r="CT71" s="71">
        <v>2</v>
      </c>
      <c r="CU71" s="71" t="b">
        <v>0</v>
      </c>
      <c r="CW71" t="s">
        <v>230</v>
      </c>
      <c r="CX71">
        <v>1</v>
      </c>
      <c r="CY71">
        <v>200</v>
      </c>
      <c r="CZ71">
        <v>80</v>
      </c>
      <c r="DA71" s="74">
        <f ca="1">INDIRECT(ADDRESS(11+(MATCH(RIGHT(Table12[[#This Row],[spawner_sku]],LEN(Table12[[#This Row],[spawner_sku]])-FIND("/",Table12[[#This Row],[spawner_sku]])),Table1[Entity Prefab],0)),10,1,1,"Entities"))</f>
        <v>28</v>
      </c>
      <c r="DB71" s="74">
        <f ca="1">ROUND((Table12[[#This Row],[XP]]*Table12[[#This Row],[entity_spawned (AVG)]])*(Table12[[#This Row],[activating_chance]]/100),0)</f>
        <v>22</v>
      </c>
      <c r="DC71" s="144" t="str">
        <f ca="1">INDIRECT(ADDRESS(11+(MATCH(RIGHT(Table12[[#This Row],[spawner_sku]],LEN(Table12[[#This Row],[spawner_sku]])-FIND("/",Table12[[#This Row],[spawner_sku]])),Table28[Entity Prefab],0)),25,1,1,"Entities"))</f>
        <v>no</v>
      </c>
      <c r="DD71" s="71">
        <v>1</v>
      </c>
      <c r="DE71" s="71">
        <v>1</v>
      </c>
      <c r="DF71" s="71" t="b">
        <v>0</v>
      </c>
      <c r="DH71" t="s">
        <v>219</v>
      </c>
      <c r="DI71">
        <v>2</v>
      </c>
      <c r="DJ71">
        <v>250</v>
      </c>
      <c r="DK71">
        <v>100</v>
      </c>
      <c r="DL71" s="74">
        <f ca="1">INDIRECT(ADDRESS(11+(MATCH(RIGHT(Table13[[#This Row],[spawner_sku]],LEN(Table13[[#This Row],[spawner_sku]])-FIND("/",Table13[[#This Row],[spawner_sku]])),Table1[Entity Prefab],0)),10,1,1,"Entities"))</f>
        <v>143</v>
      </c>
      <c r="DM71" s="74">
        <f ca="1">ROUND((Table13[[#This Row],[XP]]*Table13[[#This Row],[entity_spawned (AVG)]])*(Table13[[#This Row],[activating_chance]]/100),0)</f>
        <v>286</v>
      </c>
      <c r="DN71" s="144" t="str">
        <f ca="1">INDIRECT(ADDRESS(11+(MATCH(RIGHT(Table13[[#This Row],[spawner_sku]],LEN(Table13[[#This Row],[spawner_sku]])-FIND("/",Table13[[#This Row],[spawner_sku]])),Table28[Entity Prefab],0)),25,1,1,"Entities"))</f>
        <v>yes</v>
      </c>
      <c r="DO71" s="71">
        <v>2</v>
      </c>
      <c r="DP71" s="71">
        <v>2</v>
      </c>
      <c r="DQ71" s="71" t="b">
        <v>0</v>
      </c>
      <c r="DS71" t="s">
        <v>214</v>
      </c>
      <c r="DT71">
        <v>9</v>
      </c>
      <c r="DU71">
        <v>180</v>
      </c>
      <c r="DV71">
        <v>100</v>
      </c>
      <c r="DW71" s="74">
        <f ca="1">INDIRECT(ADDRESS(11+(MATCH(RIGHT(Table14[[#This Row],[spawner_sku]],LEN(Table14[[#This Row],[spawner_sku]])-FIND("/",Table14[[#This Row],[spawner_sku]])),Table1[Entity Prefab],0)),10,1,1,"Entities"))</f>
        <v>25</v>
      </c>
      <c r="DX71" s="74">
        <f ca="1">ROUND((Table14[[#This Row],[XP]]*Table14[[#This Row],[entity_spawned (AVG)]])*(Table14[[#This Row],[activating_chance]]/100),0)</f>
        <v>225</v>
      </c>
      <c r="DY71" s="144" t="str">
        <f ca="1">INDIRECT(ADDRESS(11+(MATCH(RIGHT(Table14[[#This Row],[spawner_sku]],LEN(Table14[[#This Row],[spawner_sku]])-FIND("/",Table14[[#This Row],[spawner_sku]])),Table28[Entity Prefab],0)),25,1,1,"Entities"))</f>
        <v>no</v>
      </c>
      <c r="DZ71" s="71">
        <v>8</v>
      </c>
      <c r="EA71" s="71">
        <v>10</v>
      </c>
      <c r="EB71" s="71" t="b">
        <v>1</v>
      </c>
      <c r="EC71" s="71"/>
      <c r="ED71" s="147" t="s">
        <v>8142</v>
      </c>
      <c r="EE71" s="71">
        <v>1</v>
      </c>
      <c r="EF71" s="71">
        <v>200</v>
      </c>
      <c r="EG71" s="71">
        <v>80</v>
      </c>
      <c r="EH71" s="71">
        <f ca="1">INDIRECT(ADDRESS(11+(MATCH(RIGHT(Table36[[#This Row],[spawner_sku]],LEN(Table36[[#This Row],[spawner_sku]])-FIND("/",Table36[[#This Row],[spawner_sku]])),Table1[Entity Prefab],0)),10,1,1,"Entities"))</f>
        <v>75</v>
      </c>
      <c r="EI71" s="71">
        <f ca="1">ROUND((Table36[[#This Row],[XP]]*Table36[[#This Row],[entity_spawned (AVG)]])*(Table36[[#This Row],[activating_chance]]/100),0)</f>
        <v>60</v>
      </c>
      <c r="EJ71" s="71" t="str">
        <f ca="1">INDIRECT(ADDRESS(11+(MATCH(RIGHT(Table36[[#This Row],[spawner_sku]],LEN(Table36[[#This Row],[spawner_sku]])-FIND("/",Table36[[#This Row],[spawner_sku]])),Table28[Entity Prefab],0)),25,1,1,"Entities"))</f>
        <v>no</v>
      </c>
      <c r="EK71" s="71">
        <v>1</v>
      </c>
      <c r="EL71" s="71">
        <v>1</v>
      </c>
      <c r="EM71" s="71" t="b">
        <v>0</v>
      </c>
      <c r="EO71" t="s">
        <v>214</v>
      </c>
      <c r="EP71">
        <v>5.5</v>
      </c>
      <c r="EQ71">
        <v>100</v>
      </c>
      <c r="ER71">
        <v>80</v>
      </c>
      <c r="ES71" s="74">
        <f ca="1">INDIRECT(ADDRESS(11+(MATCH(RIGHT(Table18[[#This Row],[spawner_sku]],LEN(Table18[[#This Row],[spawner_sku]])-FIND("/",Table18[[#This Row],[spawner_sku]])),Table1[Entity Prefab],0)),10,1,1,"Entities"))</f>
        <v>25</v>
      </c>
      <c r="ET71" s="74">
        <f ca="1">ROUND((Table18[[#This Row],[XP]]*Table18[[#This Row],[entity_spawned (AVG)]])*(Table18[[#This Row],[activating_chance]]/100),0)</f>
        <v>110</v>
      </c>
      <c r="EU71" s="74" t="str">
        <f ca="1">INDIRECT(ADDRESS(11+(MATCH(RIGHT(Table18[[#This Row],[spawner_sku]],LEN(Table18[[#This Row],[spawner_sku]])-FIND("/",Table18[[#This Row],[spawner_sku]])),Table28[Entity Prefab],0)),26,1,1,"Entities"))</f>
        <v>no</v>
      </c>
      <c r="EV71">
        <v>5</v>
      </c>
      <c r="EW71">
        <v>6</v>
      </c>
      <c r="EX71" t="b">
        <v>1</v>
      </c>
      <c r="EZ71" t="s">
        <v>214</v>
      </c>
      <c r="FA71">
        <v>6.5</v>
      </c>
      <c r="FB71">
        <v>140</v>
      </c>
      <c r="FC71">
        <v>100</v>
      </c>
      <c r="FD71" s="74">
        <f ca="1">INDIRECT(ADDRESS(11+(MATCH(RIGHT(Table1820[[#This Row],[spawner_sku]],LEN(Table1820[[#This Row],[spawner_sku]])-FIND("/",Table1820[[#This Row],[spawner_sku]])),Table1[Entity Prefab],0)),10,1,1,"Entities"))</f>
        <v>25</v>
      </c>
      <c r="FE71" s="74">
        <f ca="1">ROUND((Table1820[[#This Row],[XP]]*Table1820[[#This Row],[entity_spawned (AVG)]])*(Table1820[[#This Row],[activating_chance]]/100),0)</f>
        <v>163</v>
      </c>
      <c r="FF71" s="74" t="str">
        <f ca="1">INDIRECT(ADDRESS(11+(MATCH(RIGHT(Table1820[[#This Row],[spawner_sku]],LEN(Table1820[[#This Row],[spawner_sku]])-FIND("/",Table1820[[#This Row],[spawner_sku]])),Table28[Entity Prefab],0)),26,1,1,"Entities"))</f>
        <v>no</v>
      </c>
      <c r="FG71">
        <v>5</v>
      </c>
      <c r="FH71">
        <v>8</v>
      </c>
      <c r="FI71" t="b">
        <v>1</v>
      </c>
      <c r="FK71" t="s">
        <v>2698</v>
      </c>
      <c r="FL71">
        <v>1</v>
      </c>
      <c r="FM71">
        <v>70</v>
      </c>
      <c r="FN71">
        <v>100</v>
      </c>
      <c r="FO71">
        <f ca="1">INDIRECT(ADDRESS(11+(MATCH(RIGHT(Table182023[[#This Row],[spawner_sku]],LEN(Table182023[[#This Row],[spawner_sku]])-FIND("/",Table182023[[#This Row],[spawner_sku]])),Table1[Entity Prefab],0)),10,1,1,"Entities"))</f>
        <v>130</v>
      </c>
      <c r="FP71">
        <f ca="1">ROUND((Table182023[[#This Row],[XP]]*Table182023[[#This Row],[entity_spawned (AVG)]])*(Table182023[[#This Row],[activating_chance]]/100),0)</f>
        <v>130</v>
      </c>
      <c r="FQ71" t="str">
        <f ca="1">INDIRECT(ADDRESS(11+(MATCH(RIGHT(Table182023[[#This Row],[spawner_sku]],LEN(Table182023[[#This Row],[spawner_sku]])-FIND("/",Table182023[[#This Row],[spawner_sku]])),Table28[Entity Prefab],0)),26,1,1,"Entities"))</f>
        <v>yes</v>
      </c>
      <c r="FR71">
        <v>1</v>
      </c>
      <c r="FS71">
        <v>1</v>
      </c>
      <c r="FT71" t="b">
        <v>0</v>
      </c>
      <c r="FV71" t="s">
        <v>2699</v>
      </c>
      <c r="FW71">
        <v>1</v>
      </c>
      <c r="FX71">
        <v>90</v>
      </c>
      <c r="FY71">
        <v>100</v>
      </c>
      <c r="FZ71" s="74">
        <f ca="1">INDIRECT(ADDRESS(11+(MATCH(RIGHT(Table18202324[[#This Row],[spawner_sku]],LEN(Table18202324[[#This Row],[spawner_sku]])-FIND("/",Table18202324[[#This Row],[spawner_sku]])),Table1[Entity Prefab],0)),10,1,1,"Entities"))</f>
        <v>100</v>
      </c>
      <c r="GA71" s="74">
        <f ca="1">ROUND((Table18202324[[#This Row],[XP]]*Table18202324[[#This Row],[entity_spawned (AVG)]])*(Table18202324[[#This Row],[activating_chance]]/100),0)</f>
        <v>100</v>
      </c>
      <c r="GB71" s="74" t="str">
        <f ca="1">INDIRECT(ADDRESS(11+(MATCH(RIGHT(Table18202324[[#This Row],[spawner_sku]],LEN(Table18202324[[#This Row],[spawner_sku]])-FIND("/",Table18202324[[#This Row],[spawner_sku]])),Table28[Entity Prefab],0)),26,1,1,"Entities"))</f>
        <v>no</v>
      </c>
      <c r="GC71">
        <v>1</v>
      </c>
      <c r="GD71">
        <v>1</v>
      </c>
      <c r="GE71" t="b">
        <v>0</v>
      </c>
      <c r="GG71" t="s">
        <v>3816</v>
      </c>
      <c r="GH71">
        <v>1</v>
      </c>
      <c r="GI71">
        <v>240</v>
      </c>
      <c r="GJ71">
        <v>100</v>
      </c>
      <c r="GK71">
        <f ca="1">INDIRECT(ADDRESS(11+(MATCH(RIGHT(Table37[[#This Row],[spawner_sku]],LEN(Table37[[#This Row],[spawner_sku]])-FIND("/",Table37[[#This Row],[spawner_sku]])),Table1[Entity Prefab],0)),10,1,1,"Entities"))</f>
        <v>50</v>
      </c>
      <c r="GL71">
        <f ca="1">ROUND((Table37[[#This Row],[XP]]*Table37[[#This Row],[entity_spawned (AVG)]])*(Table37[[#This Row],[activating_chance]]/100),0)</f>
        <v>50</v>
      </c>
      <c r="GM71" t="str">
        <f ca="1">INDIRECT(ADDRESS(11+(MATCH(RIGHT(Table37[[#This Row],[spawner_sku]],LEN(Table37[[#This Row],[spawner_sku]])-FIND("/",Table37[[#This Row],[spawner_sku]])),Table28[Entity Prefab],0)),26,1,1,"Entities"))</f>
        <v>no</v>
      </c>
      <c r="GN71">
        <v>1</v>
      </c>
      <c r="GO71">
        <v>1</v>
      </c>
      <c r="GP71" t="b">
        <v>0</v>
      </c>
    </row>
    <row r="72" spans="2:198" x14ac:dyDescent="0.25">
      <c r="B72" s="72" t="s">
        <v>215</v>
      </c>
      <c r="C72">
        <v>3</v>
      </c>
      <c r="D72">
        <v>140</v>
      </c>
      <c r="E72">
        <v>100</v>
      </c>
      <c r="F72" s="74">
        <f ca="1">INDIRECT(ADDRESS(11+(MATCH(RIGHT(Table245[[#This Row],[spawner_sku]],LEN(Table245[[#This Row],[spawner_sku]])-FIND("/",Table245[[#This Row],[spawner_sku]])),Table1[Entity Prefab],0)),10,1,1,"Entities"))</f>
        <v>25</v>
      </c>
      <c r="G72" s="74">
        <f ca="1">ROUND((Table245[[#This Row],[XP]]*Table245[[#This Row],[entity_spawned (AVG)]])*(Table245[[#This Row],[activating_chance]]/100),0)</f>
        <v>75</v>
      </c>
      <c r="H72" s="71" t="str">
        <f ca="1">INDIRECT(ADDRESS(11+(MATCH(RIGHT(Table245[[#This Row],[spawner_sku]],LEN(Table245[[#This Row],[spawner_sku]])-FIND("/",Table245[[#This Row],[spawner_sku]])),Table28[Entity Prefab],0)),24,1,1,"Entities"))</f>
        <v>no</v>
      </c>
      <c r="I72" s="71">
        <v>2</v>
      </c>
      <c r="J72" s="71">
        <v>4</v>
      </c>
      <c r="K72" s="71" t="b">
        <v>0</v>
      </c>
      <c r="M72" t="s">
        <v>231</v>
      </c>
      <c r="N72">
        <v>1</v>
      </c>
      <c r="O72">
        <v>240</v>
      </c>
      <c r="P72">
        <v>100</v>
      </c>
      <c r="Q72" s="74">
        <f ca="1">INDIRECT(ADDRESS(11+(MATCH(RIGHT(Table3[[#This Row],[spawner_sku]],LEN(Table3[[#This Row],[spawner_sku]])-FIND("/",Table3[[#This Row],[spawner_sku]])),Table1[Entity Prefab],0)),10,1,1,"Entities"))</f>
        <v>25</v>
      </c>
      <c r="R72" s="74">
        <f ca="1">ROUND((Table3[[#This Row],[XP]]*Table3[[#This Row],[entity_spawned (AVG)]])*(Table3[[#This Row],[activating_chance]]/100),0)</f>
        <v>25</v>
      </c>
      <c r="S72" t="str">
        <f ca="1">INDIRECT(ADDRESS(11+(MATCH(RIGHT(Table3[[#This Row],[spawner_sku]],LEN(Table3[[#This Row],[spawner_sku]])-FIND("/",Table3[[#This Row],[spawner_sku]])),Table28[Entity Prefab],0)),24,1,1,"Entities"))</f>
        <v>yes</v>
      </c>
      <c r="T72">
        <v>1</v>
      </c>
      <c r="U72">
        <v>1</v>
      </c>
      <c r="V72" t="b">
        <v>0</v>
      </c>
      <c r="W72" s="71"/>
      <c r="X72" t="s">
        <v>426</v>
      </c>
      <c r="Y72">
        <v>1.5</v>
      </c>
      <c r="Z72">
        <v>100</v>
      </c>
      <c r="AA72">
        <v>100</v>
      </c>
      <c r="AB72" s="74">
        <f ca="1">INDIRECT(ADDRESS(11+(MATCH(RIGHT(Table39[[#This Row],[spawner_sku]],LEN(Table39[[#This Row],[spawner_sku]])-FIND("/",Table39[[#This Row],[spawner_sku]])),Table1[Entity Prefab],0)),10,1,1,"Entities"))</f>
        <v>25</v>
      </c>
      <c r="AC72" s="74">
        <f ca="1">ROUND((Table39[[#This Row],[XP]]*Table39[[#This Row],[entity_spawned (AVG)]])*(Table39[[#This Row],[activating_chance]]/100),0)</f>
        <v>38</v>
      </c>
      <c r="AD72" t="str">
        <f ca="1">INDIRECT(ADDRESS(11+(MATCH(RIGHT(Table39[[#This Row],[spawner_sku]],LEN(Table39[[#This Row],[spawner_sku]])-FIND("/",Table39[[#This Row],[spawner_sku]])),Table28[Entity Prefab],0)),24,1,1,"Entities"))</f>
        <v>no</v>
      </c>
      <c r="AE72">
        <v>1</v>
      </c>
      <c r="AF72">
        <v>2</v>
      </c>
      <c r="AG72" t="b">
        <v>0</v>
      </c>
      <c r="AI72" t="s">
        <v>215</v>
      </c>
      <c r="AJ72">
        <v>3</v>
      </c>
      <c r="AK72">
        <v>100</v>
      </c>
      <c r="AL72">
        <v>100</v>
      </c>
      <c r="AM72" s="74">
        <f ca="1">INDIRECT(ADDRESS(11+(MATCH(RIGHT(Table2[[#This Row],[spawner_sku]],LEN(Table2[[#This Row],[spawner_sku]])-FIND("/",Table2[[#This Row],[spawner_sku]])),Table1[Entity Prefab],0)),10,1,1,"Entities"))</f>
        <v>25</v>
      </c>
      <c r="AN72" s="74">
        <f ca="1">ROUND((Table2[[#This Row],[XP]]*Table2[[#This Row],[entity_spawned (AVG)]])*(Table2[[#This Row],[activating_chance]]/100),0)</f>
        <v>75</v>
      </c>
      <c r="AO72" s="71" t="str">
        <f ca="1">INDIRECT(ADDRESS(11+(MATCH(RIGHT(Table2[[#This Row],[spawner_sku]],LEN(Table2[[#This Row],[spawner_sku]])-FIND("/",Table2[[#This Row],[spawner_sku]])),Table28[Entity Prefab],0)),24,1,1,"Entities"))</f>
        <v>no</v>
      </c>
      <c r="AP72" s="71">
        <v>2</v>
      </c>
      <c r="AQ72" s="71">
        <v>4</v>
      </c>
      <c r="AR72" s="71" t="b">
        <v>0</v>
      </c>
      <c r="AT72" t="s">
        <v>219</v>
      </c>
      <c r="AU72">
        <v>1</v>
      </c>
      <c r="AV72">
        <v>250</v>
      </c>
      <c r="AW72">
        <v>100</v>
      </c>
      <c r="AX72" s="74">
        <f ca="1">INDIRECT(ADDRESS(11+(MATCH(RIGHT(Table6[[#This Row],[spawner_sku]],LEN(Table6[[#This Row],[spawner_sku]])-FIND("/",Table6[[#This Row],[spawner_sku]])),Table1[Entity Prefab],0)),10,1,1,"Entities"))</f>
        <v>143</v>
      </c>
      <c r="AY72" s="74">
        <f ca="1">ROUND((Table6[[#This Row],[XP]]*Table6[[#This Row],[entity_spawned (AVG)]])*(Table6[[#This Row],[activating_chance]]/100),0)</f>
        <v>143</v>
      </c>
      <c r="AZ72" s="144" t="str">
        <f ca="1">INDIRECT(ADDRESS(11+(MATCH(RIGHT(Table6[[#This Row],[spawner_sku]],LEN(Table6[[#This Row],[spawner_sku]])-FIND("/",Table6[[#This Row],[spawner_sku]])),Table28[Entity Prefab],0)),24,1,1,"Entities"))</f>
        <v>yes</v>
      </c>
      <c r="BA72">
        <v>1</v>
      </c>
      <c r="BB72">
        <v>1</v>
      </c>
      <c r="BC72" t="b">
        <v>0</v>
      </c>
      <c r="BE72" t="s">
        <v>219</v>
      </c>
      <c r="BF72">
        <v>2.5</v>
      </c>
      <c r="BG72">
        <v>250</v>
      </c>
      <c r="BH72">
        <v>100</v>
      </c>
      <c r="BI72" s="74">
        <f ca="1">INDIRECT(ADDRESS(11+(MATCH(RIGHT(Table610[[#This Row],[spawner_sku]],LEN(Table610[[#This Row],[spawner_sku]])-FIND("/",Table610[[#This Row],[spawner_sku]])),Table1[Entity Prefab],0)),10,1,1,"Entities"))</f>
        <v>143</v>
      </c>
      <c r="BJ72" s="74">
        <f ca="1">ROUND((Table610[[#This Row],[XP]]*Table610[[#This Row],[entity_spawned (AVG)]])*(Table610[[#This Row],[activating_chance]]/100),0)</f>
        <v>358</v>
      </c>
      <c r="BK72" s="71" t="str">
        <f ca="1">INDIRECT(ADDRESS(11+(MATCH(RIGHT(Table610[[#This Row],[spawner_sku]],LEN(Table610[[#This Row],[spawner_sku]])-FIND("/",Table610[[#This Row],[spawner_sku]])),Table28[Entity Prefab],0)),24,1,1,"Entities"))</f>
        <v>yes</v>
      </c>
      <c r="BL72">
        <v>2</v>
      </c>
      <c r="BM72">
        <v>3</v>
      </c>
      <c r="BN72" t="b">
        <v>0</v>
      </c>
      <c r="BP72" t="s">
        <v>216</v>
      </c>
      <c r="BQ72">
        <v>3</v>
      </c>
      <c r="BR72">
        <v>210</v>
      </c>
      <c r="BS72">
        <v>100</v>
      </c>
      <c r="BT72" s="74">
        <f ca="1">INDIRECT(ADDRESS(11+(MATCH(RIGHT(Table61011[[#This Row],[spawner_sku]],LEN(Table61011[[#This Row],[spawner_sku]])-FIND("/",Table61011[[#This Row],[spawner_sku]])),Table1[Entity Prefab],0)),10,1,1,"Entities"))</f>
        <v>25</v>
      </c>
      <c r="BU72" s="74">
        <f ca="1">ROUND((Table61011[[#This Row],[XP]]*Table61011[[#This Row],[entity_spawned (AVG)]])*(Table61011[[#This Row],[activating_chance]]/100),0)</f>
        <v>75</v>
      </c>
      <c r="BV72" s="71" t="str">
        <f ca="1">INDIRECT(ADDRESS(11+(MATCH(RIGHT(Table61011[[#This Row],[spawner_sku]],LEN(Table61011[[#This Row],[spawner_sku]])-FIND("/",Table61011[[#This Row],[spawner_sku]])),Table28[Entity Prefab],0)),24,1,1,"Entities"))</f>
        <v>no</v>
      </c>
      <c r="BW72" s="71">
        <v>2</v>
      </c>
      <c r="BX72" s="71">
        <v>4</v>
      </c>
      <c r="BY72" s="71" t="b">
        <v>0</v>
      </c>
      <c r="BZ72" s="71"/>
      <c r="CA72" s="147" t="s">
        <v>8142</v>
      </c>
      <c r="CB72">
        <v>1</v>
      </c>
      <c r="CC72">
        <v>200</v>
      </c>
      <c r="CD72">
        <v>100</v>
      </c>
      <c r="CE72" s="74">
        <f ca="1">INDIRECT(ADDRESS(11+(MATCH(RIGHT(Table35[[#This Row],[spawner_sku]],LEN(Table35[[#This Row],[spawner_sku]])-FIND("/",Table35[[#This Row],[spawner_sku]])),Table1[Entity Prefab],0)),10,1,1,"Entities"))</f>
        <v>75</v>
      </c>
      <c r="CF72" s="74">
        <f ca="1">ROUND((Table35[[#This Row],[XP]]*Table35[[#This Row],[entity_spawned (AVG)]])*(Table35[[#This Row],[activating_chance]]/100),0)</f>
        <v>75</v>
      </c>
      <c r="CG72" s="144" t="str">
        <f ca="1">INDIRECT(ADDRESS(11+(MATCH(RIGHT(Table35[[#This Row],[spawner_sku]],LEN(Table35[[#This Row],[spawner_sku]])-FIND("/",Table35[[#This Row],[spawner_sku]])),Table28[Entity Prefab],0)),24,1,1,"Entities"))</f>
        <v>no</v>
      </c>
      <c r="CH72">
        <v>1</v>
      </c>
      <c r="CI72">
        <v>1</v>
      </c>
      <c r="CJ72" s="71" t="b">
        <v>0</v>
      </c>
      <c r="CL72" t="s">
        <v>215</v>
      </c>
      <c r="CM72">
        <v>2.5</v>
      </c>
      <c r="CN72">
        <v>180</v>
      </c>
      <c r="CO72">
        <v>100</v>
      </c>
      <c r="CP72" s="74">
        <f ca="1">INDIRECT(ADDRESS(11+(MATCH(RIGHT(Table11[[#This Row],[spawner_sku]],LEN(Table11[[#This Row],[spawner_sku]])-FIND("/",Table11[[#This Row],[spawner_sku]])),Table1[Entity Prefab],0)),10,1,1,"Entities"))</f>
        <v>25</v>
      </c>
      <c r="CQ72">
        <f ca="1">ROUND((Table11[[#This Row],[XP]]*Table11[[#This Row],[entity_spawned (AVG)]])*(Table11[[#This Row],[activating_chance]]/100),0)</f>
        <v>63</v>
      </c>
      <c r="CR72" s="144" t="str">
        <f ca="1">INDIRECT(ADDRESS(11+(MATCH(RIGHT(Table11[[#This Row],[spawner_sku]],LEN(Table11[[#This Row],[spawner_sku]])-FIND("/",Table11[[#This Row],[spawner_sku]])),Table28[Entity Prefab],0)),25,1,1,"Entities"))</f>
        <v>no</v>
      </c>
      <c r="CS72" s="71">
        <v>2</v>
      </c>
      <c r="CT72" s="71">
        <v>3</v>
      </c>
      <c r="CU72" s="71" t="b">
        <v>0</v>
      </c>
      <c r="CW72" t="s">
        <v>230</v>
      </c>
      <c r="CX72">
        <v>1</v>
      </c>
      <c r="CY72">
        <v>200</v>
      </c>
      <c r="CZ72">
        <v>100</v>
      </c>
      <c r="DA72" s="74">
        <f ca="1">INDIRECT(ADDRESS(11+(MATCH(RIGHT(Table12[[#This Row],[spawner_sku]],LEN(Table12[[#This Row],[spawner_sku]])-FIND("/",Table12[[#This Row],[spawner_sku]])),Table1[Entity Prefab],0)),10,1,1,"Entities"))</f>
        <v>28</v>
      </c>
      <c r="DB72" s="74">
        <f ca="1">ROUND((Table12[[#This Row],[XP]]*Table12[[#This Row],[entity_spawned (AVG)]])*(Table12[[#This Row],[activating_chance]]/100),0)</f>
        <v>28</v>
      </c>
      <c r="DC72" s="144" t="str">
        <f ca="1">INDIRECT(ADDRESS(11+(MATCH(RIGHT(Table12[[#This Row],[spawner_sku]],LEN(Table12[[#This Row],[spawner_sku]])-FIND("/",Table12[[#This Row],[spawner_sku]])),Table28[Entity Prefab],0)),25,1,1,"Entities"))</f>
        <v>no</v>
      </c>
      <c r="DD72" s="71">
        <v>1</v>
      </c>
      <c r="DE72" s="71">
        <v>1</v>
      </c>
      <c r="DF72" s="71" t="b">
        <v>0</v>
      </c>
      <c r="DH72" t="s">
        <v>220</v>
      </c>
      <c r="DI72">
        <v>1</v>
      </c>
      <c r="DJ72">
        <v>300</v>
      </c>
      <c r="DK72">
        <v>80</v>
      </c>
      <c r="DL72" s="74">
        <f ca="1">INDIRECT(ADDRESS(11+(MATCH(RIGHT(Table13[[#This Row],[spawner_sku]],LEN(Table13[[#This Row],[spawner_sku]])-FIND("/",Table13[[#This Row],[spawner_sku]])),Table1[Entity Prefab],0)),10,1,1,"Entities"))</f>
        <v>195</v>
      </c>
      <c r="DM72" s="74">
        <f ca="1">ROUND((Table13[[#This Row],[XP]]*Table13[[#This Row],[entity_spawned (AVG)]])*(Table13[[#This Row],[activating_chance]]/100),0)</f>
        <v>156</v>
      </c>
      <c r="DN72" s="144" t="str">
        <f ca="1">INDIRECT(ADDRESS(11+(MATCH(RIGHT(Table13[[#This Row],[spawner_sku]],LEN(Table13[[#This Row],[spawner_sku]])-FIND("/",Table13[[#This Row],[spawner_sku]])),Table28[Entity Prefab],0)),25,1,1,"Entities"))</f>
        <v>yes</v>
      </c>
      <c r="DO72" s="71">
        <v>1</v>
      </c>
      <c r="DP72" s="71">
        <v>1</v>
      </c>
      <c r="DQ72" s="71" t="b">
        <v>0</v>
      </c>
      <c r="DS72" t="s">
        <v>214</v>
      </c>
      <c r="DT72">
        <v>4</v>
      </c>
      <c r="DU72">
        <v>80</v>
      </c>
      <c r="DV72">
        <v>100</v>
      </c>
      <c r="DW72" s="74">
        <f ca="1">INDIRECT(ADDRESS(11+(MATCH(RIGHT(Table14[[#This Row],[spawner_sku]],LEN(Table14[[#This Row],[spawner_sku]])-FIND("/",Table14[[#This Row],[spawner_sku]])),Table1[Entity Prefab],0)),10,1,1,"Entities"))</f>
        <v>25</v>
      </c>
      <c r="DX72" s="74">
        <f ca="1">ROUND((Table14[[#This Row],[XP]]*Table14[[#This Row],[entity_spawned (AVG)]])*(Table14[[#This Row],[activating_chance]]/100),0)</f>
        <v>100</v>
      </c>
      <c r="DY72" s="144" t="str">
        <f ca="1">INDIRECT(ADDRESS(11+(MATCH(RIGHT(Table14[[#This Row],[spawner_sku]],LEN(Table14[[#This Row],[spawner_sku]])-FIND("/",Table14[[#This Row],[spawner_sku]])),Table28[Entity Prefab],0)),25,1,1,"Entities"))</f>
        <v>no</v>
      </c>
      <c r="DZ72" s="71">
        <v>4</v>
      </c>
      <c r="EA72" s="71">
        <v>4</v>
      </c>
      <c r="EB72" s="71" t="b">
        <v>0</v>
      </c>
      <c r="EC72" s="71"/>
      <c r="ED72" s="147" t="s">
        <v>8142</v>
      </c>
      <c r="EE72" s="71">
        <v>1</v>
      </c>
      <c r="EF72" s="71">
        <v>200</v>
      </c>
      <c r="EG72" s="71">
        <v>80</v>
      </c>
      <c r="EH72" s="71">
        <f ca="1">INDIRECT(ADDRESS(11+(MATCH(RIGHT(Table36[[#This Row],[spawner_sku]],LEN(Table36[[#This Row],[spawner_sku]])-FIND("/",Table36[[#This Row],[spawner_sku]])),Table1[Entity Prefab],0)),10,1,1,"Entities"))</f>
        <v>75</v>
      </c>
      <c r="EI72" s="71">
        <f ca="1">ROUND((Table36[[#This Row],[XP]]*Table36[[#This Row],[entity_spawned (AVG)]])*(Table36[[#This Row],[activating_chance]]/100),0)</f>
        <v>60</v>
      </c>
      <c r="EJ72" s="71" t="str">
        <f ca="1">INDIRECT(ADDRESS(11+(MATCH(RIGHT(Table36[[#This Row],[spawner_sku]],LEN(Table36[[#This Row],[spawner_sku]])-FIND("/",Table36[[#This Row],[spawner_sku]])),Table28[Entity Prefab],0)),25,1,1,"Entities"))</f>
        <v>no</v>
      </c>
      <c r="EK72" s="71">
        <v>1</v>
      </c>
      <c r="EL72" s="71">
        <v>1</v>
      </c>
      <c r="EM72" s="71" t="b">
        <v>0</v>
      </c>
      <c r="EO72" t="s">
        <v>214</v>
      </c>
      <c r="EP72">
        <v>10</v>
      </c>
      <c r="EQ72">
        <v>160</v>
      </c>
      <c r="ER72">
        <v>100</v>
      </c>
      <c r="ES72" s="74">
        <f ca="1">INDIRECT(ADDRESS(11+(MATCH(RIGHT(Table18[[#This Row],[spawner_sku]],LEN(Table18[[#This Row],[spawner_sku]])-FIND("/",Table18[[#This Row],[spawner_sku]])),Table1[Entity Prefab],0)),10,1,1,"Entities"))</f>
        <v>25</v>
      </c>
      <c r="ET72" s="74">
        <f ca="1">ROUND((Table18[[#This Row],[XP]]*Table18[[#This Row],[entity_spawned (AVG)]])*(Table18[[#This Row],[activating_chance]]/100),0)</f>
        <v>250</v>
      </c>
      <c r="EU72" s="74" t="str">
        <f ca="1">INDIRECT(ADDRESS(11+(MATCH(RIGHT(Table18[[#This Row],[spawner_sku]],LEN(Table18[[#This Row],[spawner_sku]])-FIND("/",Table18[[#This Row],[spawner_sku]])),Table28[Entity Prefab],0)),26,1,1,"Entities"))</f>
        <v>no</v>
      </c>
      <c r="EV72">
        <v>8</v>
      </c>
      <c r="EW72">
        <v>12</v>
      </c>
      <c r="EX72" t="b">
        <v>1</v>
      </c>
      <c r="EZ72" t="s">
        <v>214</v>
      </c>
      <c r="FA72">
        <v>2.5</v>
      </c>
      <c r="FB72">
        <v>60</v>
      </c>
      <c r="FC72">
        <v>100</v>
      </c>
      <c r="FD72" s="74">
        <f ca="1">INDIRECT(ADDRESS(11+(MATCH(RIGHT(Table1820[[#This Row],[spawner_sku]],LEN(Table1820[[#This Row],[spawner_sku]])-FIND("/",Table1820[[#This Row],[spawner_sku]])),Table1[Entity Prefab],0)),10,1,1,"Entities"))</f>
        <v>25</v>
      </c>
      <c r="FE72" s="74">
        <f ca="1">ROUND((Table1820[[#This Row],[XP]]*Table1820[[#This Row],[entity_spawned (AVG)]])*(Table1820[[#This Row],[activating_chance]]/100),0)</f>
        <v>63</v>
      </c>
      <c r="FF72" s="74" t="str">
        <f ca="1">INDIRECT(ADDRESS(11+(MATCH(RIGHT(Table1820[[#This Row],[spawner_sku]],LEN(Table1820[[#This Row],[spawner_sku]])-FIND("/",Table1820[[#This Row],[spawner_sku]])),Table28[Entity Prefab],0)),26,1,1,"Entities"))</f>
        <v>no</v>
      </c>
      <c r="FG72">
        <v>2</v>
      </c>
      <c r="FH72">
        <v>3</v>
      </c>
      <c r="FI72" t="b">
        <v>0</v>
      </c>
      <c r="FK72" t="s">
        <v>2698</v>
      </c>
      <c r="FL72">
        <v>1</v>
      </c>
      <c r="FM72">
        <v>70</v>
      </c>
      <c r="FN72">
        <v>100</v>
      </c>
      <c r="FO72">
        <f ca="1">INDIRECT(ADDRESS(11+(MATCH(RIGHT(Table182023[[#This Row],[spawner_sku]],LEN(Table182023[[#This Row],[spawner_sku]])-FIND("/",Table182023[[#This Row],[spawner_sku]])),Table1[Entity Prefab],0)),10,1,1,"Entities"))</f>
        <v>130</v>
      </c>
      <c r="FP72">
        <f ca="1">ROUND((Table182023[[#This Row],[XP]]*Table182023[[#This Row],[entity_spawned (AVG)]])*(Table182023[[#This Row],[activating_chance]]/100),0)</f>
        <v>130</v>
      </c>
      <c r="FQ72" t="str">
        <f ca="1">INDIRECT(ADDRESS(11+(MATCH(RIGHT(Table182023[[#This Row],[spawner_sku]],LEN(Table182023[[#This Row],[spawner_sku]])-FIND("/",Table182023[[#This Row],[spawner_sku]])),Table28[Entity Prefab],0)),26,1,1,"Entities"))</f>
        <v>yes</v>
      </c>
      <c r="FR72">
        <v>1</v>
      </c>
      <c r="FS72">
        <v>1</v>
      </c>
      <c r="FT72" t="b">
        <v>0</v>
      </c>
      <c r="FV72" t="s">
        <v>2699</v>
      </c>
      <c r="FW72">
        <v>1</v>
      </c>
      <c r="FX72">
        <v>90</v>
      </c>
      <c r="FY72">
        <v>100</v>
      </c>
      <c r="FZ72" s="74">
        <f ca="1">INDIRECT(ADDRESS(11+(MATCH(RIGHT(Table18202324[[#This Row],[spawner_sku]],LEN(Table18202324[[#This Row],[spawner_sku]])-FIND("/",Table18202324[[#This Row],[spawner_sku]])),Table1[Entity Prefab],0)),10,1,1,"Entities"))</f>
        <v>100</v>
      </c>
      <c r="GA72" s="74">
        <f ca="1">ROUND((Table18202324[[#This Row],[XP]]*Table18202324[[#This Row],[entity_spawned (AVG)]])*(Table18202324[[#This Row],[activating_chance]]/100),0)</f>
        <v>100</v>
      </c>
      <c r="GB72" s="74" t="str">
        <f ca="1">INDIRECT(ADDRESS(11+(MATCH(RIGHT(Table18202324[[#This Row],[spawner_sku]],LEN(Table18202324[[#This Row],[spawner_sku]])-FIND("/",Table18202324[[#This Row],[spawner_sku]])),Table28[Entity Prefab],0)),26,1,1,"Entities"))</f>
        <v>no</v>
      </c>
      <c r="GC72">
        <v>1</v>
      </c>
      <c r="GD72">
        <v>1</v>
      </c>
      <c r="GE72" t="b">
        <v>0</v>
      </c>
      <c r="GG72" t="s">
        <v>3816</v>
      </c>
      <c r="GH72">
        <v>1</v>
      </c>
      <c r="GI72">
        <v>240</v>
      </c>
      <c r="GJ72">
        <v>100</v>
      </c>
      <c r="GK72">
        <f ca="1">INDIRECT(ADDRESS(11+(MATCH(RIGHT(Table37[[#This Row],[spawner_sku]],LEN(Table37[[#This Row],[spawner_sku]])-FIND("/",Table37[[#This Row],[spawner_sku]])),Table1[Entity Prefab],0)),10,1,1,"Entities"))</f>
        <v>50</v>
      </c>
      <c r="GL72">
        <f ca="1">ROUND((Table37[[#This Row],[XP]]*Table37[[#This Row],[entity_spawned (AVG)]])*(Table37[[#This Row],[activating_chance]]/100),0)</f>
        <v>50</v>
      </c>
      <c r="GM72" t="str">
        <f ca="1">INDIRECT(ADDRESS(11+(MATCH(RIGHT(Table37[[#This Row],[spawner_sku]],LEN(Table37[[#This Row],[spawner_sku]])-FIND("/",Table37[[#This Row],[spawner_sku]])),Table28[Entity Prefab],0)),26,1,1,"Entities"))</f>
        <v>no</v>
      </c>
      <c r="GN72">
        <v>1</v>
      </c>
      <c r="GO72">
        <v>1</v>
      </c>
      <c r="GP72" t="b">
        <v>0</v>
      </c>
    </row>
    <row r="73" spans="2:198" x14ac:dyDescent="0.25">
      <c r="B73" s="72" t="s">
        <v>215</v>
      </c>
      <c r="C73">
        <v>5.5</v>
      </c>
      <c r="D73">
        <v>80</v>
      </c>
      <c r="E73">
        <v>100</v>
      </c>
      <c r="F73" s="74">
        <f ca="1">INDIRECT(ADDRESS(11+(MATCH(RIGHT(Table245[[#This Row],[spawner_sku]],LEN(Table245[[#This Row],[spawner_sku]])-FIND("/",Table245[[#This Row],[spawner_sku]])),Table1[Entity Prefab],0)),10,1,1,"Entities"))</f>
        <v>25</v>
      </c>
      <c r="G73" s="74">
        <f ca="1">ROUND((Table245[[#This Row],[XP]]*Table245[[#This Row],[entity_spawned (AVG)]])*(Table245[[#This Row],[activating_chance]]/100),0)</f>
        <v>138</v>
      </c>
      <c r="H73" s="71" t="str">
        <f ca="1">INDIRECT(ADDRESS(11+(MATCH(RIGHT(Table245[[#This Row],[spawner_sku]],LEN(Table245[[#This Row],[spawner_sku]])-FIND("/",Table245[[#This Row],[spawner_sku]])),Table28[Entity Prefab],0)),24,1,1,"Entities"))</f>
        <v>no</v>
      </c>
      <c r="I73" s="71">
        <v>5</v>
      </c>
      <c r="J73" s="71">
        <v>6</v>
      </c>
      <c r="K73" s="71" t="b">
        <v>1</v>
      </c>
      <c r="M73" t="s">
        <v>231</v>
      </c>
      <c r="N73">
        <v>1</v>
      </c>
      <c r="O73">
        <v>220</v>
      </c>
      <c r="P73">
        <v>60</v>
      </c>
      <c r="Q73" s="74">
        <f ca="1">INDIRECT(ADDRESS(11+(MATCH(RIGHT(Table3[[#This Row],[spawner_sku]],LEN(Table3[[#This Row],[spawner_sku]])-FIND("/",Table3[[#This Row],[spawner_sku]])),Table1[Entity Prefab],0)),10,1,1,"Entities"))</f>
        <v>25</v>
      </c>
      <c r="R73" s="74">
        <f ca="1">ROUND((Table3[[#This Row],[XP]]*Table3[[#This Row],[entity_spawned (AVG)]])*(Table3[[#This Row],[activating_chance]]/100),0)</f>
        <v>15</v>
      </c>
      <c r="S73" t="str">
        <f ca="1">INDIRECT(ADDRESS(11+(MATCH(RIGHT(Table3[[#This Row],[spawner_sku]],LEN(Table3[[#This Row],[spawner_sku]])-FIND("/",Table3[[#This Row],[spawner_sku]])),Table28[Entity Prefab],0)),24,1,1,"Entities"))</f>
        <v>yes</v>
      </c>
      <c r="T73">
        <v>1</v>
      </c>
      <c r="U73">
        <v>1</v>
      </c>
      <c r="V73" t="b">
        <v>0</v>
      </c>
      <c r="W73" s="71"/>
      <c r="X73" t="s">
        <v>426</v>
      </c>
      <c r="Y73">
        <v>1.5</v>
      </c>
      <c r="Z73">
        <v>90</v>
      </c>
      <c r="AA73">
        <v>100</v>
      </c>
      <c r="AB73" s="74">
        <f ca="1">INDIRECT(ADDRESS(11+(MATCH(RIGHT(Table39[[#This Row],[spawner_sku]],LEN(Table39[[#This Row],[spawner_sku]])-FIND("/",Table39[[#This Row],[spawner_sku]])),Table1[Entity Prefab],0)),10,1,1,"Entities"))</f>
        <v>25</v>
      </c>
      <c r="AC73" s="74">
        <f ca="1">ROUND((Table39[[#This Row],[XP]]*Table39[[#This Row],[entity_spawned (AVG)]])*(Table39[[#This Row],[activating_chance]]/100),0)</f>
        <v>38</v>
      </c>
      <c r="AD73" t="str">
        <f ca="1">INDIRECT(ADDRESS(11+(MATCH(RIGHT(Table39[[#This Row],[spawner_sku]],LEN(Table39[[#This Row],[spawner_sku]])-FIND("/",Table39[[#This Row],[spawner_sku]])),Table28[Entity Prefab],0)),24,1,1,"Entities"))</f>
        <v>no</v>
      </c>
      <c r="AE73">
        <v>1</v>
      </c>
      <c r="AF73">
        <v>2</v>
      </c>
      <c r="AG73" t="b">
        <v>0</v>
      </c>
      <c r="AI73" t="s">
        <v>215</v>
      </c>
      <c r="AJ73">
        <v>7.5</v>
      </c>
      <c r="AK73">
        <v>150</v>
      </c>
      <c r="AL73">
        <v>100</v>
      </c>
      <c r="AM73" s="74">
        <f ca="1">INDIRECT(ADDRESS(11+(MATCH(RIGHT(Table2[[#This Row],[spawner_sku]],LEN(Table2[[#This Row],[spawner_sku]])-FIND("/",Table2[[#This Row],[spawner_sku]])),Table1[Entity Prefab],0)),10,1,1,"Entities"))</f>
        <v>25</v>
      </c>
      <c r="AN73" s="74">
        <f ca="1">ROUND((Table2[[#This Row],[XP]]*Table2[[#This Row],[entity_spawned (AVG)]])*(Table2[[#This Row],[activating_chance]]/100),0)</f>
        <v>188</v>
      </c>
      <c r="AO73" s="71" t="str">
        <f ca="1">INDIRECT(ADDRESS(11+(MATCH(RIGHT(Table2[[#This Row],[spawner_sku]],LEN(Table2[[#This Row],[spawner_sku]])-FIND("/",Table2[[#This Row],[spawner_sku]])),Table28[Entity Prefab],0)),24,1,1,"Entities"))</f>
        <v>no</v>
      </c>
      <c r="AP73" s="71">
        <v>5</v>
      </c>
      <c r="AQ73" s="71">
        <v>10</v>
      </c>
      <c r="AR73" s="71" t="b">
        <v>1</v>
      </c>
      <c r="AT73" t="s">
        <v>219</v>
      </c>
      <c r="AU73">
        <v>2.5</v>
      </c>
      <c r="AV73">
        <v>250</v>
      </c>
      <c r="AW73">
        <v>100</v>
      </c>
      <c r="AX73" s="74">
        <f ca="1">INDIRECT(ADDRESS(11+(MATCH(RIGHT(Table6[[#This Row],[spawner_sku]],LEN(Table6[[#This Row],[spawner_sku]])-FIND("/",Table6[[#This Row],[spawner_sku]])),Table1[Entity Prefab],0)),10,1,1,"Entities"))</f>
        <v>143</v>
      </c>
      <c r="AY73" s="74">
        <f ca="1">ROUND((Table6[[#This Row],[XP]]*Table6[[#This Row],[entity_spawned (AVG)]])*(Table6[[#This Row],[activating_chance]]/100),0)</f>
        <v>358</v>
      </c>
      <c r="AZ73" s="144" t="str">
        <f ca="1">INDIRECT(ADDRESS(11+(MATCH(RIGHT(Table6[[#This Row],[spawner_sku]],LEN(Table6[[#This Row],[spawner_sku]])-FIND("/",Table6[[#This Row],[spawner_sku]])),Table28[Entity Prefab],0)),24,1,1,"Entities"))</f>
        <v>yes</v>
      </c>
      <c r="BA73">
        <v>2</v>
      </c>
      <c r="BB73">
        <v>3</v>
      </c>
      <c r="BC73" t="b">
        <v>0</v>
      </c>
      <c r="BE73" t="s">
        <v>219</v>
      </c>
      <c r="BF73">
        <v>1.5</v>
      </c>
      <c r="BG73">
        <v>250</v>
      </c>
      <c r="BH73">
        <v>100</v>
      </c>
      <c r="BI73" s="74">
        <f ca="1">INDIRECT(ADDRESS(11+(MATCH(RIGHT(Table610[[#This Row],[spawner_sku]],LEN(Table610[[#This Row],[spawner_sku]])-FIND("/",Table610[[#This Row],[spawner_sku]])),Table1[Entity Prefab],0)),10,1,1,"Entities"))</f>
        <v>143</v>
      </c>
      <c r="BJ73" s="74">
        <f ca="1">ROUND((Table610[[#This Row],[XP]]*Table610[[#This Row],[entity_spawned (AVG)]])*(Table610[[#This Row],[activating_chance]]/100),0)</f>
        <v>215</v>
      </c>
      <c r="BK73" s="71" t="str">
        <f ca="1">INDIRECT(ADDRESS(11+(MATCH(RIGHT(Table610[[#This Row],[spawner_sku]],LEN(Table610[[#This Row],[spawner_sku]])-FIND("/",Table610[[#This Row],[spawner_sku]])),Table28[Entity Prefab],0)),24,1,1,"Entities"))</f>
        <v>yes</v>
      </c>
      <c r="BL73">
        <v>1</v>
      </c>
      <c r="BM73">
        <v>2</v>
      </c>
      <c r="BN73" t="b">
        <v>0</v>
      </c>
      <c r="BP73" t="s">
        <v>216</v>
      </c>
      <c r="BQ73">
        <v>5.5</v>
      </c>
      <c r="BR73">
        <v>200</v>
      </c>
      <c r="BS73">
        <v>100</v>
      </c>
      <c r="BT73" s="74">
        <f ca="1">INDIRECT(ADDRESS(11+(MATCH(RIGHT(Table61011[[#This Row],[spawner_sku]],LEN(Table61011[[#This Row],[spawner_sku]])-FIND("/",Table61011[[#This Row],[spawner_sku]])),Table1[Entity Prefab],0)),10,1,1,"Entities"))</f>
        <v>25</v>
      </c>
      <c r="BU73" s="74">
        <f ca="1">ROUND((Table61011[[#This Row],[XP]]*Table61011[[#This Row],[entity_spawned (AVG)]])*(Table61011[[#This Row],[activating_chance]]/100),0)</f>
        <v>138</v>
      </c>
      <c r="BV73" s="71" t="str">
        <f ca="1">INDIRECT(ADDRESS(11+(MATCH(RIGHT(Table61011[[#This Row],[spawner_sku]],LEN(Table61011[[#This Row],[spawner_sku]])-FIND("/",Table61011[[#This Row],[spawner_sku]])),Table28[Entity Prefab],0)),24,1,1,"Entities"))</f>
        <v>no</v>
      </c>
      <c r="BW73" s="71">
        <v>5</v>
      </c>
      <c r="BX73" s="71">
        <v>6</v>
      </c>
      <c r="BY73" s="71" t="b">
        <v>1</v>
      </c>
      <c r="BZ73" s="71"/>
      <c r="CA73" s="147" t="s">
        <v>8142</v>
      </c>
      <c r="CB73">
        <v>1</v>
      </c>
      <c r="CC73">
        <v>200</v>
      </c>
      <c r="CD73">
        <v>100</v>
      </c>
      <c r="CE73" s="74">
        <f ca="1">INDIRECT(ADDRESS(11+(MATCH(RIGHT(Table35[[#This Row],[spawner_sku]],LEN(Table35[[#This Row],[spawner_sku]])-FIND("/",Table35[[#This Row],[spawner_sku]])),Table1[Entity Prefab],0)),10,1,1,"Entities"))</f>
        <v>75</v>
      </c>
      <c r="CF73" s="74">
        <f ca="1">ROUND((Table35[[#This Row],[XP]]*Table35[[#This Row],[entity_spawned (AVG)]])*(Table35[[#This Row],[activating_chance]]/100),0)</f>
        <v>75</v>
      </c>
      <c r="CG73" s="144" t="str">
        <f ca="1">INDIRECT(ADDRESS(11+(MATCH(RIGHT(Table35[[#This Row],[spawner_sku]],LEN(Table35[[#This Row],[spawner_sku]])-FIND("/",Table35[[#This Row],[spawner_sku]])),Table28[Entity Prefab],0)),24,1,1,"Entities"))</f>
        <v>no</v>
      </c>
      <c r="CH73">
        <v>1</v>
      </c>
      <c r="CI73">
        <v>1</v>
      </c>
      <c r="CJ73" s="71" t="b">
        <v>0</v>
      </c>
      <c r="CL73" t="s">
        <v>215</v>
      </c>
      <c r="CM73">
        <v>1.5</v>
      </c>
      <c r="CN73">
        <v>180</v>
      </c>
      <c r="CO73">
        <v>30</v>
      </c>
      <c r="CP73" s="74">
        <f ca="1">INDIRECT(ADDRESS(11+(MATCH(RIGHT(Table11[[#This Row],[spawner_sku]],LEN(Table11[[#This Row],[spawner_sku]])-FIND("/",Table11[[#This Row],[spawner_sku]])),Table1[Entity Prefab],0)),10,1,1,"Entities"))</f>
        <v>25</v>
      </c>
      <c r="CQ73">
        <f ca="1">ROUND((Table11[[#This Row],[XP]]*Table11[[#This Row],[entity_spawned (AVG)]])*(Table11[[#This Row],[activating_chance]]/100),0)</f>
        <v>11</v>
      </c>
      <c r="CR73" s="144" t="str">
        <f ca="1">INDIRECT(ADDRESS(11+(MATCH(RIGHT(Table11[[#This Row],[spawner_sku]],LEN(Table11[[#This Row],[spawner_sku]])-FIND("/",Table11[[#This Row],[spawner_sku]])),Table28[Entity Prefab],0)),25,1,1,"Entities"))</f>
        <v>no</v>
      </c>
      <c r="CS73" s="71">
        <v>1</v>
      </c>
      <c r="CT73" s="71">
        <v>2</v>
      </c>
      <c r="CU73" s="71" t="b">
        <v>0</v>
      </c>
      <c r="CW73" t="s">
        <v>230</v>
      </c>
      <c r="CX73">
        <v>1</v>
      </c>
      <c r="CY73">
        <v>200</v>
      </c>
      <c r="CZ73">
        <v>80</v>
      </c>
      <c r="DA73" s="74">
        <f ca="1">INDIRECT(ADDRESS(11+(MATCH(RIGHT(Table12[[#This Row],[spawner_sku]],LEN(Table12[[#This Row],[spawner_sku]])-FIND("/",Table12[[#This Row],[spawner_sku]])),Table1[Entity Prefab],0)),10,1,1,"Entities"))</f>
        <v>28</v>
      </c>
      <c r="DB73" s="74">
        <f ca="1">ROUND((Table12[[#This Row],[XP]]*Table12[[#This Row],[entity_spawned (AVG)]])*(Table12[[#This Row],[activating_chance]]/100),0)</f>
        <v>22</v>
      </c>
      <c r="DC73" s="144" t="str">
        <f ca="1">INDIRECT(ADDRESS(11+(MATCH(RIGHT(Table12[[#This Row],[spawner_sku]],LEN(Table12[[#This Row],[spawner_sku]])-FIND("/",Table12[[#This Row],[spawner_sku]])),Table28[Entity Prefab],0)),25,1,1,"Entities"))</f>
        <v>no</v>
      </c>
      <c r="DD73" s="71">
        <v>1</v>
      </c>
      <c r="DE73" s="71">
        <v>1</v>
      </c>
      <c r="DF73" s="71" t="b">
        <v>0</v>
      </c>
      <c r="DH73" t="s">
        <v>220</v>
      </c>
      <c r="DI73">
        <v>1</v>
      </c>
      <c r="DJ73">
        <v>300</v>
      </c>
      <c r="DK73">
        <v>80</v>
      </c>
      <c r="DL73" s="74">
        <f ca="1">INDIRECT(ADDRESS(11+(MATCH(RIGHT(Table13[[#This Row],[spawner_sku]],LEN(Table13[[#This Row],[spawner_sku]])-FIND("/",Table13[[#This Row],[spawner_sku]])),Table1[Entity Prefab],0)),10,1,1,"Entities"))</f>
        <v>195</v>
      </c>
      <c r="DM73" s="74">
        <f ca="1">ROUND((Table13[[#This Row],[XP]]*Table13[[#This Row],[entity_spawned (AVG)]])*(Table13[[#This Row],[activating_chance]]/100),0)</f>
        <v>156</v>
      </c>
      <c r="DN73" s="144" t="str">
        <f ca="1">INDIRECT(ADDRESS(11+(MATCH(RIGHT(Table13[[#This Row],[spawner_sku]],LEN(Table13[[#This Row],[spawner_sku]])-FIND("/",Table13[[#This Row],[spawner_sku]])),Table28[Entity Prefab],0)),25,1,1,"Entities"))</f>
        <v>yes</v>
      </c>
      <c r="DO73" s="71">
        <v>1</v>
      </c>
      <c r="DP73" s="71">
        <v>1</v>
      </c>
      <c r="DQ73" s="71" t="b">
        <v>0</v>
      </c>
      <c r="DS73" t="s">
        <v>214</v>
      </c>
      <c r="DT73">
        <v>3.5</v>
      </c>
      <c r="DU73">
        <v>100</v>
      </c>
      <c r="DV73">
        <v>100</v>
      </c>
      <c r="DW73" s="74">
        <f ca="1">INDIRECT(ADDRESS(11+(MATCH(RIGHT(Table14[[#This Row],[spawner_sku]],LEN(Table14[[#This Row],[spawner_sku]])-FIND("/",Table14[[#This Row],[spawner_sku]])),Table1[Entity Prefab],0)),10,1,1,"Entities"))</f>
        <v>25</v>
      </c>
      <c r="DX73" s="74">
        <f ca="1">ROUND((Table14[[#This Row],[XP]]*Table14[[#This Row],[entity_spawned (AVG)]])*(Table14[[#This Row],[activating_chance]]/100),0)</f>
        <v>88</v>
      </c>
      <c r="DY73" s="144" t="str">
        <f ca="1">INDIRECT(ADDRESS(11+(MATCH(RIGHT(Table14[[#This Row],[spawner_sku]],LEN(Table14[[#This Row],[spawner_sku]])-FIND("/",Table14[[#This Row],[spawner_sku]])),Table28[Entity Prefab],0)),25,1,1,"Entities"))</f>
        <v>no</v>
      </c>
      <c r="DZ73" s="71">
        <v>3</v>
      </c>
      <c r="EA73" s="71">
        <v>4</v>
      </c>
      <c r="EB73" s="71" t="b">
        <v>0</v>
      </c>
      <c r="EC73" s="71"/>
      <c r="ED73" s="147" t="s">
        <v>8142</v>
      </c>
      <c r="EE73" s="71">
        <v>1</v>
      </c>
      <c r="EF73" s="71">
        <v>200</v>
      </c>
      <c r="EG73" s="71">
        <v>80</v>
      </c>
      <c r="EH73" s="71">
        <f ca="1">INDIRECT(ADDRESS(11+(MATCH(RIGHT(Table36[[#This Row],[spawner_sku]],LEN(Table36[[#This Row],[spawner_sku]])-FIND("/",Table36[[#This Row],[spawner_sku]])),Table1[Entity Prefab],0)),10,1,1,"Entities"))</f>
        <v>75</v>
      </c>
      <c r="EI73" s="71">
        <f ca="1">ROUND((Table36[[#This Row],[XP]]*Table36[[#This Row],[entity_spawned (AVG)]])*(Table36[[#This Row],[activating_chance]]/100),0)</f>
        <v>60</v>
      </c>
      <c r="EJ73" s="71" t="str">
        <f ca="1">INDIRECT(ADDRESS(11+(MATCH(RIGHT(Table36[[#This Row],[spawner_sku]],LEN(Table36[[#This Row],[spawner_sku]])-FIND("/",Table36[[#This Row],[spawner_sku]])),Table28[Entity Prefab],0)),25,1,1,"Entities"))</f>
        <v>no</v>
      </c>
      <c r="EK73" s="71">
        <v>1</v>
      </c>
      <c r="EL73" s="71">
        <v>1</v>
      </c>
      <c r="EM73" s="71" t="b">
        <v>0</v>
      </c>
      <c r="EO73" t="s">
        <v>214</v>
      </c>
      <c r="EP73">
        <v>3.5</v>
      </c>
      <c r="EQ73">
        <v>100</v>
      </c>
      <c r="ER73">
        <v>100</v>
      </c>
      <c r="ES73" s="74">
        <f ca="1">INDIRECT(ADDRESS(11+(MATCH(RIGHT(Table18[[#This Row],[spawner_sku]],LEN(Table18[[#This Row],[spawner_sku]])-FIND("/",Table18[[#This Row],[spawner_sku]])),Table1[Entity Prefab],0)),10,1,1,"Entities"))</f>
        <v>25</v>
      </c>
      <c r="ET73" s="74">
        <f ca="1">ROUND((Table18[[#This Row],[XP]]*Table18[[#This Row],[entity_spawned (AVG)]])*(Table18[[#This Row],[activating_chance]]/100),0)</f>
        <v>88</v>
      </c>
      <c r="EU73" s="74" t="str">
        <f ca="1">INDIRECT(ADDRESS(11+(MATCH(RIGHT(Table18[[#This Row],[spawner_sku]],LEN(Table18[[#This Row],[spawner_sku]])-FIND("/",Table18[[#This Row],[spawner_sku]])),Table28[Entity Prefab],0)),26,1,1,"Entities"))</f>
        <v>no</v>
      </c>
      <c r="EV73">
        <v>3</v>
      </c>
      <c r="EW73">
        <v>4</v>
      </c>
      <c r="EX73" t="b">
        <v>0</v>
      </c>
      <c r="EZ73" t="s">
        <v>214</v>
      </c>
      <c r="FA73">
        <v>2</v>
      </c>
      <c r="FB73">
        <v>140</v>
      </c>
      <c r="FC73">
        <v>100</v>
      </c>
      <c r="FD73" s="74">
        <f ca="1">INDIRECT(ADDRESS(11+(MATCH(RIGHT(Table1820[[#This Row],[spawner_sku]],LEN(Table1820[[#This Row],[spawner_sku]])-FIND("/",Table1820[[#This Row],[spawner_sku]])),Table1[Entity Prefab],0)),10,1,1,"Entities"))</f>
        <v>25</v>
      </c>
      <c r="FE73" s="74">
        <f ca="1">ROUND((Table1820[[#This Row],[XP]]*Table1820[[#This Row],[entity_spawned (AVG)]])*(Table1820[[#This Row],[activating_chance]]/100),0)</f>
        <v>50</v>
      </c>
      <c r="FF73" s="74" t="str">
        <f ca="1">INDIRECT(ADDRESS(11+(MATCH(RIGHT(Table1820[[#This Row],[spawner_sku]],LEN(Table1820[[#This Row],[spawner_sku]])-FIND("/",Table1820[[#This Row],[spawner_sku]])),Table28[Entity Prefab],0)),26,1,1,"Entities"))</f>
        <v>no</v>
      </c>
      <c r="FG73">
        <v>2</v>
      </c>
      <c r="FH73">
        <v>2</v>
      </c>
      <c r="FI73" t="b">
        <v>0</v>
      </c>
      <c r="FK73" t="s">
        <v>2698</v>
      </c>
      <c r="FL73">
        <v>1.5</v>
      </c>
      <c r="FM73">
        <v>80</v>
      </c>
      <c r="FN73">
        <v>100</v>
      </c>
      <c r="FO73">
        <f ca="1">INDIRECT(ADDRESS(11+(MATCH(RIGHT(Table182023[[#This Row],[spawner_sku]],LEN(Table182023[[#This Row],[spawner_sku]])-FIND("/",Table182023[[#This Row],[spawner_sku]])),Table1[Entity Prefab],0)),10,1,1,"Entities"))</f>
        <v>130</v>
      </c>
      <c r="FP73">
        <f ca="1">ROUND((Table182023[[#This Row],[XP]]*Table182023[[#This Row],[entity_spawned (AVG)]])*(Table182023[[#This Row],[activating_chance]]/100),0)</f>
        <v>195</v>
      </c>
      <c r="FQ73" t="str">
        <f ca="1">INDIRECT(ADDRESS(11+(MATCH(RIGHT(Table182023[[#This Row],[spawner_sku]],LEN(Table182023[[#This Row],[spawner_sku]])-FIND("/",Table182023[[#This Row],[spawner_sku]])),Table28[Entity Prefab],0)),26,1,1,"Entities"))</f>
        <v>yes</v>
      </c>
      <c r="FR73">
        <v>1</v>
      </c>
      <c r="FS73">
        <v>2</v>
      </c>
      <c r="FT73" t="b">
        <v>0</v>
      </c>
      <c r="FV73" t="s">
        <v>2699</v>
      </c>
      <c r="FW73">
        <v>1</v>
      </c>
      <c r="FX73">
        <v>85</v>
      </c>
      <c r="FY73">
        <v>100</v>
      </c>
      <c r="FZ73" s="74">
        <f ca="1">INDIRECT(ADDRESS(11+(MATCH(RIGHT(Table18202324[[#This Row],[spawner_sku]],LEN(Table18202324[[#This Row],[spawner_sku]])-FIND("/",Table18202324[[#This Row],[spawner_sku]])),Table1[Entity Prefab],0)),10,1,1,"Entities"))</f>
        <v>100</v>
      </c>
      <c r="GA73" s="74">
        <f ca="1">ROUND((Table18202324[[#This Row],[XP]]*Table18202324[[#This Row],[entity_spawned (AVG)]])*(Table18202324[[#This Row],[activating_chance]]/100),0)</f>
        <v>100</v>
      </c>
      <c r="GB73" s="74" t="str">
        <f ca="1">INDIRECT(ADDRESS(11+(MATCH(RIGHT(Table18202324[[#This Row],[spawner_sku]],LEN(Table18202324[[#This Row],[spawner_sku]])-FIND("/",Table18202324[[#This Row],[spawner_sku]])),Table28[Entity Prefab],0)),26,1,1,"Entities"))</f>
        <v>no</v>
      </c>
      <c r="GC73">
        <v>1</v>
      </c>
      <c r="GD73">
        <v>1</v>
      </c>
      <c r="GE73" t="b">
        <v>0</v>
      </c>
      <c r="GG73" t="s">
        <v>3816</v>
      </c>
      <c r="GH73">
        <v>1</v>
      </c>
      <c r="GI73">
        <v>240</v>
      </c>
      <c r="GJ73">
        <v>100</v>
      </c>
      <c r="GK73">
        <f ca="1">INDIRECT(ADDRESS(11+(MATCH(RIGHT(Table37[[#This Row],[spawner_sku]],LEN(Table37[[#This Row],[spawner_sku]])-FIND("/",Table37[[#This Row],[spawner_sku]])),Table1[Entity Prefab],0)),10,1,1,"Entities"))</f>
        <v>50</v>
      </c>
      <c r="GL73">
        <f ca="1">ROUND((Table37[[#This Row],[XP]]*Table37[[#This Row],[entity_spawned (AVG)]])*(Table37[[#This Row],[activating_chance]]/100),0)</f>
        <v>50</v>
      </c>
      <c r="GM73" t="str">
        <f ca="1">INDIRECT(ADDRESS(11+(MATCH(RIGHT(Table37[[#This Row],[spawner_sku]],LEN(Table37[[#This Row],[spawner_sku]])-FIND("/",Table37[[#This Row],[spawner_sku]])),Table28[Entity Prefab],0)),26,1,1,"Entities"))</f>
        <v>no</v>
      </c>
      <c r="GN73">
        <v>1</v>
      </c>
      <c r="GO73">
        <v>1</v>
      </c>
      <c r="GP73" t="b">
        <v>0</v>
      </c>
    </row>
    <row r="74" spans="2:198" x14ac:dyDescent="0.25">
      <c r="B74" s="72" t="s">
        <v>215</v>
      </c>
      <c r="C74">
        <v>1.5</v>
      </c>
      <c r="D74">
        <v>90</v>
      </c>
      <c r="E74">
        <v>100</v>
      </c>
      <c r="F74" s="74">
        <f ca="1">INDIRECT(ADDRESS(11+(MATCH(RIGHT(Table245[[#This Row],[spawner_sku]],LEN(Table245[[#This Row],[spawner_sku]])-FIND("/",Table245[[#This Row],[spawner_sku]])),Table1[Entity Prefab],0)),10,1,1,"Entities"))</f>
        <v>25</v>
      </c>
      <c r="G74" s="74">
        <f ca="1">ROUND((Table245[[#This Row],[XP]]*Table245[[#This Row],[entity_spawned (AVG)]])*(Table245[[#This Row],[activating_chance]]/100),0)</f>
        <v>38</v>
      </c>
      <c r="H74" s="71" t="str">
        <f ca="1">INDIRECT(ADDRESS(11+(MATCH(RIGHT(Table245[[#This Row],[spawner_sku]],LEN(Table245[[#This Row],[spawner_sku]])-FIND("/",Table245[[#This Row],[spawner_sku]])),Table28[Entity Prefab],0)),24,1,1,"Entities"))</f>
        <v>no</v>
      </c>
      <c r="I74" s="71">
        <v>1</v>
      </c>
      <c r="J74" s="71">
        <v>2</v>
      </c>
      <c r="K74" s="71" t="b">
        <v>0</v>
      </c>
      <c r="M74" t="s">
        <v>231</v>
      </c>
      <c r="N74">
        <v>1</v>
      </c>
      <c r="O74">
        <v>240</v>
      </c>
      <c r="P74">
        <v>100</v>
      </c>
      <c r="Q74" s="74">
        <f ca="1">INDIRECT(ADDRESS(11+(MATCH(RIGHT(Table3[[#This Row],[spawner_sku]],LEN(Table3[[#This Row],[spawner_sku]])-FIND("/",Table3[[#This Row],[spawner_sku]])),Table1[Entity Prefab],0)),10,1,1,"Entities"))</f>
        <v>25</v>
      </c>
      <c r="R74" s="74">
        <f ca="1">ROUND((Table3[[#This Row],[XP]]*Table3[[#This Row],[entity_spawned (AVG)]])*(Table3[[#This Row],[activating_chance]]/100),0)</f>
        <v>25</v>
      </c>
      <c r="S74" t="str">
        <f ca="1">INDIRECT(ADDRESS(11+(MATCH(RIGHT(Table3[[#This Row],[spawner_sku]],LEN(Table3[[#This Row],[spawner_sku]])-FIND("/",Table3[[#This Row],[spawner_sku]])),Table28[Entity Prefab],0)),24,1,1,"Entities"))</f>
        <v>yes</v>
      </c>
      <c r="T74">
        <v>1</v>
      </c>
      <c r="U74">
        <v>1</v>
      </c>
      <c r="V74" t="b">
        <v>0</v>
      </c>
      <c r="W74" s="71"/>
      <c r="X74" t="s">
        <v>426</v>
      </c>
      <c r="Y74">
        <v>1.5</v>
      </c>
      <c r="Z74">
        <v>80</v>
      </c>
      <c r="AA74">
        <v>100</v>
      </c>
      <c r="AB74" s="74">
        <f ca="1">INDIRECT(ADDRESS(11+(MATCH(RIGHT(Table39[[#This Row],[spawner_sku]],LEN(Table39[[#This Row],[spawner_sku]])-FIND("/",Table39[[#This Row],[spawner_sku]])),Table1[Entity Prefab],0)),10,1,1,"Entities"))</f>
        <v>25</v>
      </c>
      <c r="AC74" s="74">
        <f ca="1">ROUND((Table39[[#This Row],[XP]]*Table39[[#This Row],[entity_spawned (AVG)]])*(Table39[[#This Row],[activating_chance]]/100),0)</f>
        <v>38</v>
      </c>
      <c r="AD74" t="str">
        <f ca="1">INDIRECT(ADDRESS(11+(MATCH(RIGHT(Table39[[#This Row],[spawner_sku]],LEN(Table39[[#This Row],[spawner_sku]])-FIND("/",Table39[[#This Row],[spawner_sku]])),Table28[Entity Prefab],0)),24,1,1,"Entities"))</f>
        <v>no</v>
      </c>
      <c r="AE74">
        <v>1</v>
      </c>
      <c r="AF74">
        <v>2</v>
      </c>
      <c r="AG74" t="b">
        <v>0</v>
      </c>
      <c r="AI74" t="s">
        <v>215</v>
      </c>
      <c r="AJ74">
        <v>2</v>
      </c>
      <c r="AK74">
        <v>110</v>
      </c>
      <c r="AL74">
        <v>100</v>
      </c>
      <c r="AM74" s="74">
        <f ca="1">INDIRECT(ADDRESS(11+(MATCH(RIGHT(Table2[[#This Row],[spawner_sku]],LEN(Table2[[#This Row],[spawner_sku]])-FIND("/",Table2[[#This Row],[spawner_sku]])),Table1[Entity Prefab],0)),10,1,1,"Entities"))</f>
        <v>25</v>
      </c>
      <c r="AN74" s="74">
        <f ca="1">ROUND((Table2[[#This Row],[XP]]*Table2[[#This Row],[entity_spawned (AVG)]])*(Table2[[#This Row],[activating_chance]]/100),0)</f>
        <v>50</v>
      </c>
      <c r="AO74" s="71" t="str">
        <f ca="1">INDIRECT(ADDRESS(11+(MATCH(RIGHT(Table2[[#This Row],[spawner_sku]],LEN(Table2[[#This Row],[spawner_sku]])-FIND("/",Table2[[#This Row],[spawner_sku]])),Table28[Entity Prefab],0)),24,1,1,"Entities"))</f>
        <v>no</v>
      </c>
      <c r="AP74" s="71">
        <v>1</v>
      </c>
      <c r="AQ74" s="71">
        <v>3</v>
      </c>
      <c r="AR74" s="71" t="b">
        <v>0</v>
      </c>
      <c r="AT74" t="s">
        <v>219</v>
      </c>
      <c r="AU74">
        <v>1</v>
      </c>
      <c r="AV74">
        <v>250</v>
      </c>
      <c r="AW74">
        <v>100</v>
      </c>
      <c r="AX74" s="74">
        <f ca="1">INDIRECT(ADDRESS(11+(MATCH(RIGHT(Table6[[#This Row],[spawner_sku]],LEN(Table6[[#This Row],[spawner_sku]])-FIND("/",Table6[[#This Row],[spawner_sku]])),Table1[Entity Prefab],0)),10,1,1,"Entities"))</f>
        <v>143</v>
      </c>
      <c r="AY74" s="74">
        <f ca="1">ROUND((Table6[[#This Row],[XP]]*Table6[[#This Row],[entity_spawned (AVG)]])*(Table6[[#This Row],[activating_chance]]/100),0)</f>
        <v>143</v>
      </c>
      <c r="AZ74" s="144" t="str">
        <f ca="1">INDIRECT(ADDRESS(11+(MATCH(RIGHT(Table6[[#This Row],[spawner_sku]],LEN(Table6[[#This Row],[spawner_sku]])-FIND("/",Table6[[#This Row],[spawner_sku]])),Table28[Entity Prefab],0)),24,1,1,"Entities"))</f>
        <v>yes</v>
      </c>
      <c r="BA74">
        <v>1</v>
      </c>
      <c r="BB74">
        <v>1</v>
      </c>
      <c r="BC74" t="b">
        <v>0</v>
      </c>
      <c r="BE74" t="s">
        <v>219</v>
      </c>
      <c r="BF74">
        <v>2.5</v>
      </c>
      <c r="BG74">
        <v>250</v>
      </c>
      <c r="BH74">
        <v>100</v>
      </c>
      <c r="BI74" s="74">
        <f ca="1">INDIRECT(ADDRESS(11+(MATCH(RIGHT(Table610[[#This Row],[spawner_sku]],LEN(Table610[[#This Row],[spawner_sku]])-FIND("/",Table610[[#This Row],[spawner_sku]])),Table1[Entity Prefab],0)),10,1,1,"Entities"))</f>
        <v>143</v>
      </c>
      <c r="BJ74" s="74">
        <f ca="1">ROUND((Table610[[#This Row],[XP]]*Table610[[#This Row],[entity_spawned (AVG)]])*(Table610[[#This Row],[activating_chance]]/100),0)</f>
        <v>358</v>
      </c>
      <c r="BK74" s="71" t="str">
        <f ca="1">INDIRECT(ADDRESS(11+(MATCH(RIGHT(Table610[[#This Row],[spawner_sku]],LEN(Table610[[#This Row],[spawner_sku]])-FIND("/",Table610[[#This Row],[spawner_sku]])),Table28[Entity Prefab],0)),24,1,1,"Entities"))</f>
        <v>yes</v>
      </c>
      <c r="BL74">
        <v>2</v>
      </c>
      <c r="BM74">
        <v>3</v>
      </c>
      <c r="BN74" t="b">
        <v>0</v>
      </c>
      <c r="BP74" t="s">
        <v>216</v>
      </c>
      <c r="BQ74">
        <v>5.5</v>
      </c>
      <c r="BR74">
        <v>200</v>
      </c>
      <c r="BS74">
        <v>80</v>
      </c>
      <c r="BT74" s="74">
        <f ca="1">INDIRECT(ADDRESS(11+(MATCH(RIGHT(Table61011[[#This Row],[spawner_sku]],LEN(Table61011[[#This Row],[spawner_sku]])-FIND("/",Table61011[[#This Row],[spawner_sku]])),Table1[Entity Prefab],0)),10,1,1,"Entities"))</f>
        <v>25</v>
      </c>
      <c r="BU74" s="74">
        <f ca="1">ROUND((Table61011[[#This Row],[XP]]*Table61011[[#This Row],[entity_spawned (AVG)]])*(Table61011[[#This Row],[activating_chance]]/100),0)</f>
        <v>110</v>
      </c>
      <c r="BV74" s="71" t="str">
        <f ca="1">INDIRECT(ADDRESS(11+(MATCH(RIGHT(Table61011[[#This Row],[spawner_sku]],LEN(Table61011[[#This Row],[spawner_sku]])-FIND("/",Table61011[[#This Row],[spawner_sku]])),Table28[Entity Prefab],0)),24,1,1,"Entities"))</f>
        <v>no</v>
      </c>
      <c r="BW74" s="71">
        <v>5</v>
      </c>
      <c r="BX74" s="71">
        <v>6</v>
      </c>
      <c r="BY74" s="71" t="b">
        <v>1</v>
      </c>
      <c r="BZ74" s="71"/>
      <c r="CA74" s="147" t="s">
        <v>8142</v>
      </c>
      <c r="CB74">
        <v>1</v>
      </c>
      <c r="CC74">
        <v>200</v>
      </c>
      <c r="CD74">
        <v>100</v>
      </c>
      <c r="CE74" s="74">
        <f ca="1">INDIRECT(ADDRESS(11+(MATCH(RIGHT(Table35[[#This Row],[spawner_sku]],LEN(Table35[[#This Row],[spawner_sku]])-FIND("/",Table35[[#This Row],[spawner_sku]])),Table1[Entity Prefab],0)),10,1,1,"Entities"))</f>
        <v>75</v>
      </c>
      <c r="CF74" s="74">
        <f ca="1">ROUND((Table35[[#This Row],[XP]]*Table35[[#This Row],[entity_spawned (AVG)]])*(Table35[[#This Row],[activating_chance]]/100),0)</f>
        <v>75</v>
      </c>
      <c r="CG74" s="144" t="str">
        <f ca="1">INDIRECT(ADDRESS(11+(MATCH(RIGHT(Table35[[#This Row],[spawner_sku]],LEN(Table35[[#This Row],[spawner_sku]])-FIND("/",Table35[[#This Row],[spawner_sku]])),Table28[Entity Prefab],0)),24,1,1,"Entities"))</f>
        <v>no</v>
      </c>
      <c r="CH74">
        <v>1</v>
      </c>
      <c r="CI74">
        <v>1</v>
      </c>
      <c r="CJ74" s="71" t="b">
        <v>0</v>
      </c>
      <c r="CL74" t="s">
        <v>215</v>
      </c>
      <c r="CM74">
        <v>2.5</v>
      </c>
      <c r="CN74">
        <v>180</v>
      </c>
      <c r="CO74">
        <v>100</v>
      </c>
      <c r="CP74" s="74">
        <f ca="1">INDIRECT(ADDRESS(11+(MATCH(RIGHT(Table11[[#This Row],[spawner_sku]],LEN(Table11[[#This Row],[spawner_sku]])-FIND("/",Table11[[#This Row],[spawner_sku]])),Table1[Entity Prefab],0)),10,1,1,"Entities"))</f>
        <v>25</v>
      </c>
      <c r="CQ74">
        <f ca="1">ROUND((Table11[[#This Row],[XP]]*Table11[[#This Row],[entity_spawned (AVG)]])*(Table11[[#This Row],[activating_chance]]/100),0)</f>
        <v>63</v>
      </c>
      <c r="CR74" s="144" t="str">
        <f ca="1">INDIRECT(ADDRESS(11+(MATCH(RIGHT(Table11[[#This Row],[spawner_sku]],LEN(Table11[[#This Row],[spawner_sku]])-FIND("/",Table11[[#This Row],[spawner_sku]])),Table28[Entity Prefab],0)),25,1,1,"Entities"))</f>
        <v>no</v>
      </c>
      <c r="CS74" s="71">
        <v>1</v>
      </c>
      <c r="CT74" s="71">
        <v>4</v>
      </c>
      <c r="CU74" s="71" t="b">
        <v>0</v>
      </c>
      <c r="CW74" t="s">
        <v>230</v>
      </c>
      <c r="CX74">
        <v>1</v>
      </c>
      <c r="CY74">
        <v>200</v>
      </c>
      <c r="CZ74">
        <v>80</v>
      </c>
      <c r="DA74" s="74">
        <f ca="1">INDIRECT(ADDRESS(11+(MATCH(RIGHT(Table12[[#This Row],[spawner_sku]],LEN(Table12[[#This Row],[spawner_sku]])-FIND("/",Table12[[#This Row],[spawner_sku]])),Table1[Entity Prefab],0)),10,1,1,"Entities"))</f>
        <v>28</v>
      </c>
      <c r="DB74" s="74">
        <f ca="1">ROUND((Table12[[#This Row],[XP]]*Table12[[#This Row],[entity_spawned (AVG)]])*(Table12[[#This Row],[activating_chance]]/100),0)</f>
        <v>22</v>
      </c>
      <c r="DC74" s="144" t="str">
        <f ca="1">INDIRECT(ADDRESS(11+(MATCH(RIGHT(Table12[[#This Row],[spawner_sku]],LEN(Table12[[#This Row],[spawner_sku]])-FIND("/",Table12[[#This Row],[spawner_sku]])),Table28[Entity Prefab],0)),25,1,1,"Entities"))</f>
        <v>no</v>
      </c>
      <c r="DD74" s="71">
        <v>1</v>
      </c>
      <c r="DE74" s="71">
        <v>1</v>
      </c>
      <c r="DF74" s="71" t="b">
        <v>0</v>
      </c>
      <c r="DH74" t="s">
        <v>220</v>
      </c>
      <c r="DI74">
        <v>1</v>
      </c>
      <c r="DJ74">
        <v>300</v>
      </c>
      <c r="DK74">
        <v>100</v>
      </c>
      <c r="DL74" s="74">
        <f ca="1">INDIRECT(ADDRESS(11+(MATCH(RIGHT(Table13[[#This Row],[spawner_sku]],LEN(Table13[[#This Row],[spawner_sku]])-FIND("/",Table13[[#This Row],[spawner_sku]])),Table1[Entity Prefab],0)),10,1,1,"Entities"))</f>
        <v>195</v>
      </c>
      <c r="DM74" s="74">
        <f ca="1">ROUND((Table13[[#This Row],[XP]]*Table13[[#This Row],[entity_spawned (AVG)]])*(Table13[[#This Row],[activating_chance]]/100),0)</f>
        <v>195</v>
      </c>
      <c r="DN74" s="144" t="str">
        <f ca="1">INDIRECT(ADDRESS(11+(MATCH(RIGHT(Table13[[#This Row],[spawner_sku]],LEN(Table13[[#This Row],[spawner_sku]])-FIND("/",Table13[[#This Row],[spawner_sku]])),Table28[Entity Prefab],0)),25,1,1,"Entities"))</f>
        <v>yes</v>
      </c>
      <c r="DO74" s="71">
        <v>1</v>
      </c>
      <c r="DP74" s="71">
        <v>1</v>
      </c>
      <c r="DQ74" s="71" t="b">
        <v>0</v>
      </c>
      <c r="DS74" t="s">
        <v>214</v>
      </c>
      <c r="DT74">
        <v>3.5</v>
      </c>
      <c r="DU74">
        <v>200</v>
      </c>
      <c r="DV74">
        <v>100</v>
      </c>
      <c r="DW74" s="74">
        <f ca="1">INDIRECT(ADDRESS(11+(MATCH(RIGHT(Table14[[#This Row],[spawner_sku]],LEN(Table14[[#This Row],[spawner_sku]])-FIND("/",Table14[[#This Row],[spawner_sku]])),Table1[Entity Prefab],0)),10,1,1,"Entities"))</f>
        <v>25</v>
      </c>
      <c r="DX74" s="74">
        <f ca="1">ROUND((Table14[[#This Row],[XP]]*Table14[[#This Row],[entity_spawned (AVG)]])*(Table14[[#This Row],[activating_chance]]/100),0)</f>
        <v>88</v>
      </c>
      <c r="DY74" s="144" t="str">
        <f ca="1">INDIRECT(ADDRESS(11+(MATCH(RIGHT(Table14[[#This Row],[spawner_sku]],LEN(Table14[[#This Row],[spawner_sku]])-FIND("/",Table14[[#This Row],[spawner_sku]])),Table28[Entity Prefab],0)),25,1,1,"Entities"))</f>
        <v>no</v>
      </c>
      <c r="DZ74" s="71">
        <v>3</v>
      </c>
      <c r="EA74" s="71">
        <v>4</v>
      </c>
      <c r="EB74" s="71" t="b">
        <v>0</v>
      </c>
      <c r="EC74" s="71"/>
      <c r="ED74" s="147" t="s">
        <v>8142</v>
      </c>
      <c r="EE74" s="71">
        <v>1</v>
      </c>
      <c r="EF74" s="71">
        <v>200</v>
      </c>
      <c r="EG74" s="71">
        <v>100</v>
      </c>
      <c r="EH74" s="71">
        <f ca="1">INDIRECT(ADDRESS(11+(MATCH(RIGHT(Table36[[#This Row],[spawner_sku]],LEN(Table36[[#This Row],[spawner_sku]])-FIND("/",Table36[[#This Row],[spawner_sku]])),Table1[Entity Prefab],0)),10,1,1,"Entities"))</f>
        <v>75</v>
      </c>
      <c r="EI74" s="71">
        <f ca="1">ROUND((Table36[[#This Row],[XP]]*Table36[[#This Row],[entity_spawned (AVG)]])*(Table36[[#This Row],[activating_chance]]/100),0)</f>
        <v>75</v>
      </c>
      <c r="EJ74" s="71" t="str">
        <f ca="1">INDIRECT(ADDRESS(11+(MATCH(RIGHT(Table36[[#This Row],[spawner_sku]],LEN(Table36[[#This Row],[spawner_sku]])-FIND("/",Table36[[#This Row],[spawner_sku]])),Table28[Entity Prefab],0)),25,1,1,"Entities"))</f>
        <v>no</v>
      </c>
      <c r="EK74" s="71">
        <v>1</v>
      </c>
      <c r="EL74" s="71">
        <v>1</v>
      </c>
      <c r="EM74" s="71" t="b">
        <v>0</v>
      </c>
      <c r="EO74" t="s">
        <v>214</v>
      </c>
      <c r="EP74">
        <v>3.5</v>
      </c>
      <c r="EQ74">
        <v>120</v>
      </c>
      <c r="ER74">
        <v>100</v>
      </c>
      <c r="ES74" s="74">
        <f ca="1">INDIRECT(ADDRESS(11+(MATCH(RIGHT(Table18[[#This Row],[spawner_sku]],LEN(Table18[[#This Row],[spawner_sku]])-FIND("/",Table18[[#This Row],[spawner_sku]])),Table1[Entity Prefab],0)),10,1,1,"Entities"))</f>
        <v>25</v>
      </c>
      <c r="ET74" s="74">
        <f ca="1">ROUND((Table18[[#This Row],[XP]]*Table18[[#This Row],[entity_spawned (AVG)]])*(Table18[[#This Row],[activating_chance]]/100),0)</f>
        <v>88</v>
      </c>
      <c r="EU74" s="74" t="str">
        <f ca="1">INDIRECT(ADDRESS(11+(MATCH(RIGHT(Table18[[#This Row],[spawner_sku]],LEN(Table18[[#This Row],[spawner_sku]])-FIND("/",Table18[[#This Row],[spawner_sku]])),Table28[Entity Prefab],0)),26,1,1,"Entities"))</f>
        <v>no</v>
      </c>
      <c r="EV74">
        <v>3</v>
      </c>
      <c r="EW74">
        <v>4</v>
      </c>
      <c r="EX74" t="b">
        <v>0</v>
      </c>
      <c r="EZ74" t="s">
        <v>214</v>
      </c>
      <c r="FA74">
        <v>5.5</v>
      </c>
      <c r="FB74">
        <v>160</v>
      </c>
      <c r="FC74">
        <v>100</v>
      </c>
      <c r="FD74" s="74">
        <f ca="1">INDIRECT(ADDRESS(11+(MATCH(RIGHT(Table1820[[#This Row],[spawner_sku]],LEN(Table1820[[#This Row],[spawner_sku]])-FIND("/",Table1820[[#This Row],[spawner_sku]])),Table1[Entity Prefab],0)),10,1,1,"Entities"))</f>
        <v>25</v>
      </c>
      <c r="FE74" s="74">
        <f ca="1">ROUND((Table1820[[#This Row],[XP]]*Table1820[[#This Row],[entity_spawned (AVG)]])*(Table1820[[#This Row],[activating_chance]]/100),0)</f>
        <v>138</v>
      </c>
      <c r="FF74" s="74" t="str">
        <f ca="1">INDIRECT(ADDRESS(11+(MATCH(RIGHT(Table1820[[#This Row],[spawner_sku]],LEN(Table1820[[#This Row],[spawner_sku]])-FIND("/",Table1820[[#This Row],[spawner_sku]])),Table28[Entity Prefab],0)),26,1,1,"Entities"))</f>
        <v>no</v>
      </c>
      <c r="FG74">
        <v>5</v>
      </c>
      <c r="FH74">
        <v>6</v>
      </c>
      <c r="FI74" t="b">
        <v>1</v>
      </c>
      <c r="FK74" t="s">
        <v>2698</v>
      </c>
      <c r="FL74">
        <v>1.5</v>
      </c>
      <c r="FM74">
        <v>70</v>
      </c>
      <c r="FN74">
        <v>100</v>
      </c>
      <c r="FO74">
        <f ca="1">INDIRECT(ADDRESS(11+(MATCH(RIGHT(Table182023[[#This Row],[spawner_sku]],LEN(Table182023[[#This Row],[spawner_sku]])-FIND("/",Table182023[[#This Row],[spawner_sku]])),Table1[Entity Prefab],0)),10,1,1,"Entities"))</f>
        <v>130</v>
      </c>
      <c r="FP74">
        <f ca="1">ROUND((Table182023[[#This Row],[XP]]*Table182023[[#This Row],[entity_spawned (AVG)]])*(Table182023[[#This Row],[activating_chance]]/100),0)</f>
        <v>195</v>
      </c>
      <c r="FQ74" t="str">
        <f ca="1">INDIRECT(ADDRESS(11+(MATCH(RIGHT(Table182023[[#This Row],[spawner_sku]],LEN(Table182023[[#This Row],[spawner_sku]])-FIND("/",Table182023[[#This Row],[spawner_sku]])),Table28[Entity Prefab],0)),26,1,1,"Entities"))</f>
        <v>yes</v>
      </c>
      <c r="FR74">
        <v>1</v>
      </c>
      <c r="FS74">
        <v>2</v>
      </c>
      <c r="FT74" t="b">
        <v>0</v>
      </c>
      <c r="FV74" t="s">
        <v>2701</v>
      </c>
      <c r="FW74">
        <v>1</v>
      </c>
      <c r="FX74">
        <v>500</v>
      </c>
      <c r="FY74">
        <v>100</v>
      </c>
      <c r="FZ74" s="74">
        <f ca="1">INDIRECT(ADDRESS(11+(MATCH(RIGHT(Table18202324[[#This Row],[spawner_sku]],LEN(Table18202324[[#This Row],[spawner_sku]])-FIND("/",Table18202324[[#This Row],[spawner_sku]])),Table1[Entity Prefab],0)),10,1,1,"Entities"))</f>
        <v>130</v>
      </c>
      <c r="GA74" s="74">
        <f ca="1">ROUND((Table18202324[[#This Row],[XP]]*Table18202324[[#This Row],[entity_spawned (AVG)]])*(Table18202324[[#This Row],[activating_chance]]/100),0)</f>
        <v>130</v>
      </c>
      <c r="GB74" s="74" t="str">
        <f ca="1">INDIRECT(ADDRESS(11+(MATCH(RIGHT(Table18202324[[#This Row],[spawner_sku]],LEN(Table18202324[[#This Row],[spawner_sku]])-FIND("/",Table18202324[[#This Row],[spawner_sku]])),Table28[Entity Prefab],0)),26,1,1,"Entities"))</f>
        <v>yes</v>
      </c>
      <c r="GC74">
        <v>1</v>
      </c>
      <c r="GD74">
        <v>1</v>
      </c>
      <c r="GE74" t="b">
        <v>0</v>
      </c>
      <c r="GG74" t="s">
        <v>3816</v>
      </c>
      <c r="GH74">
        <v>1</v>
      </c>
      <c r="GI74">
        <v>240</v>
      </c>
      <c r="GJ74">
        <v>100</v>
      </c>
      <c r="GK74">
        <f ca="1">INDIRECT(ADDRESS(11+(MATCH(RIGHT(Table37[[#This Row],[spawner_sku]],LEN(Table37[[#This Row],[spawner_sku]])-FIND("/",Table37[[#This Row],[spawner_sku]])),Table1[Entity Prefab],0)),10,1,1,"Entities"))</f>
        <v>50</v>
      </c>
      <c r="GL74">
        <f ca="1">ROUND((Table37[[#This Row],[XP]]*Table37[[#This Row],[entity_spawned (AVG)]])*(Table37[[#This Row],[activating_chance]]/100),0)</f>
        <v>50</v>
      </c>
      <c r="GM74" t="str">
        <f ca="1">INDIRECT(ADDRESS(11+(MATCH(RIGHT(Table37[[#This Row],[spawner_sku]],LEN(Table37[[#This Row],[spawner_sku]])-FIND("/",Table37[[#This Row],[spawner_sku]])),Table28[Entity Prefab],0)),26,1,1,"Entities"))</f>
        <v>no</v>
      </c>
      <c r="GN74">
        <v>1</v>
      </c>
      <c r="GO74">
        <v>1</v>
      </c>
      <c r="GP74" t="b">
        <v>0</v>
      </c>
    </row>
    <row r="75" spans="2:198" x14ac:dyDescent="0.25">
      <c r="B75" s="72" t="s">
        <v>215</v>
      </c>
      <c r="C75">
        <v>3</v>
      </c>
      <c r="D75">
        <v>120</v>
      </c>
      <c r="E75">
        <v>100</v>
      </c>
      <c r="F75" s="74">
        <f ca="1">INDIRECT(ADDRESS(11+(MATCH(RIGHT(Table245[[#This Row],[spawner_sku]],LEN(Table245[[#This Row],[spawner_sku]])-FIND("/",Table245[[#This Row],[spawner_sku]])),Table1[Entity Prefab],0)),10,1,1,"Entities"))</f>
        <v>25</v>
      </c>
      <c r="G75" s="74">
        <f ca="1">ROUND((Table245[[#This Row],[XP]]*Table245[[#This Row],[entity_spawned (AVG)]])*(Table245[[#This Row],[activating_chance]]/100),0)</f>
        <v>75</v>
      </c>
      <c r="H75" s="71" t="str">
        <f ca="1">INDIRECT(ADDRESS(11+(MATCH(RIGHT(Table245[[#This Row],[spawner_sku]],LEN(Table245[[#This Row],[spawner_sku]])-FIND("/",Table245[[#This Row],[spawner_sku]])),Table28[Entity Prefab],0)),24,1,1,"Entities"))</f>
        <v>no</v>
      </c>
      <c r="I75" s="71">
        <v>3</v>
      </c>
      <c r="J75" s="71">
        <v>3</v>
      </c>
      <c r="K75" s="71" t="b">
        <v>0</v>
      </c>
      <c r="M75" t="s">
        <v>445</v>
      </c>
      <c r="N75">
        <v>1</v>
      </c>
      <c r="O75">
        <v>220</v>
      </c>
      <c r="P75">
        <v>100</v>
      </c>
      <c r="Q75" s="74">
        <f ca="1">INDIRECT(ADDRESS(11+(MATCH(RIGHT(Table3[[#This Row],[spawner_sku]],LEN(Table3[[#This Row],[spawner_sku]])-FIND("/",Table3[[#This Row],[spawner_sku]])),Table1[Entity Prefab],0)),10,1,1,"Entities"))</f>
        <v>50</v>
      </c>
      <c r="R75" s="74">
        <f ca="1">ROUND((Table3[[#This Row],[XP]]*Table3[[#This Row],[entity_spawned (AVG)]])*(Table3[[#This Row],[activating_chance]]/100),0)</f>
        <v>50</v>
      </c>
      <c r="S75" t="str">
        <f ca="1">INDIRECT(ADDRESS(11+(MATCH(RIGHT(Table3[[#This Row],[spawner_sku]],LEN(Table3[[#This Row],[spawner_sku]])-FIND("/",Table3[[#This Row],[spawner_sku]])),Table28[Entity Prefab],0)),24,1,1,"Entities"))</f>
        <v>yes</v>
      </c>
      <c r="T75">
        <v>1</v>
      </c>
      <c r="U75">
        <v>1</v>
      </c>
      <c r="V75" t="b">
        <v>0</v>
      </c>
      <c r="W75" s="71"/>
      <c r="X75" t="s">
        <v>240</v>
      </c>
      <c r="Y75">
        <v>1</v>
      </c>
      <c r="Z75">
        <v>170</v>
      </c>
      <c r="AA75">
        <v>100</v>
      </c>
      <c r="AB75" s="74">
        <f ca="1">INDIRECT(ADDRESS(11+(MATCH(RIGHT(Table39[[#This Row],[spawner_sku]],LEN(Table39[[#This Row],[spawner_sku]])-FIND("/",Table39[[#This Row],[spawner_sku]])),Table1[Entity Prefab],0)),10,1,1,"Entities"))</f>
        <v>70</v>
      </c>
      <c r="AC75" s="74">
        <f ca="1">ROUND((Table39[[#This Row],[XP]]*Table39[[#This Row],[entity_spawned (AVG)]])*(Table39[[#This Row],[activating_chance]]/100),0)</f>
        <v>70</v>
      </c>
      <c r="AD75" t="str">
        <f ca="1">INDIRECT(ADDRESS(11+(MATCH(RIGHT(Table39[[#This Row],[spawner_sku]],LEN(Table39[[#This Row],[spawner_sku]])-FIND("/",Table39[[#This Row],[spawner_sku]])),Table28[Entity Prefab],0)),24,1,1,"Entities"))</f>
        <v>yes</v>
      </c>
      <c r="AE75">
        <v>1</v>
      </c>
      <c r="AF75">
        <v>1</v>
      </c>
      <c r="AG75" t="b">
        <v>0</v>
      </c>
      <c r="AI75" t="s">
        <v>215</v>
      </c>
      <c r="AJ75">
        <v>3.5</v>
      </c>
      <c r="AK75">
        <v>100</v>
      </c>
      <c r="AL75">
        <v>100</v>
      </c>
      <c r="AM75" s="74">
        <f ca="1">INDIRECT(ADDRESS(11+(MATCH(RIGHT(Table2[[#This Row],[spawner_sku]],LEN(Table2[[#This Row],[spawner_sku]])-FIND("/",Table2[[#This Row],[spawner_sku]])),Table1[Entity Prefab],0)),10,1,1,"Entities"))</f>
        <v>25</v>
      </c>
      <c r="AN75" s="74">
        <f ca="1">ROUND((Table2[[#This Row],[XP]]*Table2[[#This Row],[entity_spawned (AVG)]])*(Table2[[#This Row],[activating_chance]]/100),0)</f>
        <v>88</v>
      </c>
      <c r="AO75" s="71" t="str">
        <f ca="1">INDIRECT(ADDRESS(11+(MATCH(RIGHT(Table2[[#This Row],[spawner_sku]],LEN(Table2[[#This Row],[spawner_sku]])-FIND("/",Table2[[#This Row],[spawner_sku]])),Table28[Entity Prefab],0)),24,1,1,"Entities"))</f>
        <v>no</v>
      </c>
      <c r="AP75" s="71">
        <v>3</v>
      </c>
      <c r="AQ75" s="71">
        <v>4</v>
      </c>
      <c r="AR75" s="71" t="b">
        <v>0</v>
      </c>
      <c r="AT75" t="s">
        <v>219</v>
      </c>
      <c r="AU75">
        <v>1</v>
      </c>
      <c r="AV75">
        <v>250</v>
      </c>
      <c r="AW75">
        <v>100</v>
      </c>
      <c r="AX75" s="74">
        <f ca="1">INDIRECT(ADDRESS(11+(MATCH(RIGHT(Table6[[#This Row],[spawner_sku]],LEN(Table6[[#This Row],[spawner_sku]])-FIND("/",Table6[[#This Row],[spawner_sku]])),Table1[Entity Prefab],0)),10,1,1,"Entities"))</f>
        <v>143</v>
      </c>
      <c r="AY75" s="74">
        <f ca="1">ROUND((Table6[[#This Row],[XP]]*Table6[[#This Row],[entity_spawned (AVG)]])*(Table6[[#This Row],[activating_chance]]/100),0)</f>
        <v>143</v>
      </c>
      <c r="AZ75" s="144" t="str">
        <f ca="1">INDIRECT(ADDRESS(11+(MATCH(RIGHT(Table6[[#This Row],[spawner_sku]],LEN(Table6[[#This Row],[spawner_sku]])-FIND("/",Table6[[#This Row],[spawner_sku]])),Table28[Entity Prefab],0)),24,1,1,"Entities"))</f>
        <v>yes</v>
      </c>
      <c r="BA75">
        <v>1</v>
      </c>
      <c r="BB75">
        <v>1</v>
      </c>
      <c r="BC75" t="b">
        <v>0</v>
      </c>
      <c r="BE75" t="s">
        <v>219</v>
      </c>
      <c r="BF75">
        <v>2.5</v>
      </c>
      <c r="BG75">
        <v>250</v>
      </c>
      <c r="BH75">
        <v>100</v>
      </c>
      <c r="BI75" s="74">
        <f ca="1">INDIRECT(ADDRESS(11+(MATCH(RIGHT(Table610[[#This Row],[spawner_sku]],LEN(Table610[[#This Row],[spawner_sku]])-FIND("/",Table610[[#This Row],[spawner_sku]])),Table1[Entity Prefab],0)),10,1,1,"Entities"))</f>
        <v>143</v>
      </c>
      <c r="BJ75" s="74">
        <f ca="1">ROUND((Table610[[#This Row],[XP]]*Table610[[#This Row],[entity_spawned (AVG)]])*(Table610[[#This Row],[activating_chance]]/100),0)</f>
        <v>358</v>
      </c>
      <c r="BK75" s="71" t="str">
        <f ca="1">INDIRECT(ADDRESS(11+(MATCH(RIGHT(Table610[[#This Row],[spawner_sku]],LEN(Table610[[#This Row],[spawner_sku]])-FIND("/",Table610[[#This Row],[spawner_sku]])),Table28[Entity Prefab],0)),24,1,1,"Entities"))</f>
        <v>yes</v>
      </c>
      <c r="BL75">
        <v>2</v>
      </c>
      <c r="BM75">
        <v>3</v>
      </c>
      <c r="BN75" t="b">
        <v>0</v>
      </c>
      <c r="BP75" t="s">
        <v>216</v>
      </c>
      <c r="BQ75">
        <v>5.5</v>
      </c>
      <c r="BR75">
        <v>200</v>
      </c>
      <c r="BS75">
        <v>100</v>
      </c>
      <c r="BT75" s="74">
        <f ca="1">INDIRECT(ADDRESS(11+(MATCH(RIGHT(Table61011[[#This Row],[spawner_sku]],LEN(Table61011[[#This Row],[spawner_sku]])-FIND("/",Table61011[[#This Row],[spawner_sku]])),Table1[Entity Prefab],0)),10,1,1,"Entities"))</f>
        <v>25</v>
      </c>
      <c r="BU75" s="74">
        <f ca="1">ROUND((Table61011[[#This Row],[XP]]*Table61011[[#This Row],[entity_spawned (AVG)]])*(Table61011[[#This Row],[activating_chance]]/100),0)</f>
        <v>138</v>
      </c>
      <c r="BV75" s="71" t="str">
        <f ca="1">INDIRECT(ADDRESS(11+(MATCH(RIGHT(Table61011[[#This Row],[spawner_sku]],LEN(Table61011[[#This Row],[spawner_sku]])-FIND("/",Table61011[[#This Row],[spawner_sku]])),Table28[Entity Prefab],0)),24,1,1,"Entities"))</f>
        <v>no</v>
      </c>
      <c r="BW75" s="71">
        <v>5</v>
      </c>
      <c r="BX75" s="71">
        <v>6</v>
      </c>
      <c r="BY75" s="71" t="b">
        <v>1</v>
      </c>
      <c r="BZ75" s="71"/>
      <c r="CA75" s="147" t="s">
        <v>8142</v>
      </c>
      <c r="CB75">
        <v>1</v>
      </c>
      <c r="CC75">
        <v>200</v>
      </c>
      <c r="CD75">
        <v>100</v>
      </c>
      <c r="CE75" s="74">
        <f ca="1">INDIRECT(ADDRESS(11+(MATCH(RIGHT(Table35[[#This Row],[spawner_sku]],LEN(Table35[[#This Row],[spawner_sku]])-FIND("/",Table35[[#This Row],[spawner_sku]])),Table1[Entity Prefab],0)),10,1,1,"Entities"))</f>
        <v>75</v>
      </c>
      <c r="CF75" s="74">
        <f ca="1">ROUND((Table35[[#This Row],[XP]]*Table35[[#This Row],[entity_spawned (AVG)]])*(Table35[[#This Row],[activating_chance]]/100),0)</f>
        <v>75</v>
      </c>
      <c r="CG75" s="144" t="str">
        <f ca="1">INDIRECT(ADDRESS(11+(MATCH(RIGHT(Table35[[#This Row],[spawner_sku]],LEN(Table35[[#This Row],[spawner_sku]])-FIND("/",Table35[[#This Row],[spawner_sku]])),Table28[Entity Prefab],0)),24,1,1,"Entities"))</f>
        <v>no</v>
      </c>
      <c r="CH75">
        <v>1</v>
      </c>
      <c r="CI75">
        <v>1</v>
      </c>
      <c r="CJ75" s="71" t="b">
        <v>0</v>
      </c>
      <c r="CL75" t="s">
        <v>215</v>
      </c>
      <c r="CM75">
        <v>7.5</v>
      </c>
      <c r="CN75">
        <v>180</v>
      </c>
      <c r="CO75">
        <v>100</v>
      </c>
      <c r="CP75" s="74">
        <f ca="1">INDIRECT(ADDRESS(11+(MATCH(RIGHT(Table11[[#This Row],[spawner_sku]],LEN(Table11[[#This Row],[spawner_sku]])-FIND("/",Table11[[#This Row],[spawner_sku]])),Table1[Entity Prefab],0)),10,1,1,"Entities"))</f>
        <v>25</v>
      </c>
      <c r="CQ75">
        <f ca="1">ROUND((Table11[[#This Row],[XP]]*Table11[[#This Row],[entity_spawned (AVG)]])*(Table11[[#This Row],[activating_chance]]/100),0)</f>
        <v>188</v>
      </c>
      <c r="CR75" s="144" t="str">
        <f ca="1">INDIRECT(ADDRESS(11+(MATCH(RIGHT(Table11[[#This Row],[spawner_sku]],LEN(Table11[[#This Row],[spawner_sku]])-FIND("/",Table11[[#This Row],[spawner_sku]])),Table28[Entity Prefab],0)),25,1,1,"Entities"))</f>
        <v>no</v>
      </c>
      <c r="CS75" s="71">
        <v>6</v>
      </c>
      <c r="CT75" s="71">
        <v>9</v>
      </c>
      <c r="CU75" s="71" t="b">
        <v>1</v>
      </c>
      <c r="CW75" t="s">
        <v>230</v>
      </c>
      <c r="CX75">
        <v>1</v>
      </c>
      <c r="CY75">
        <v>200</v>
      </c>
      <c r="CZ75">
        <v>80</v>
      </c>
      <c r="DA75" s="74">
        <f ca="1">INDIRECT(ADDRESS(11+(MATCH(RIGHT(Table12[[#This Row],[spawner_sku]],LEN(Table12[[#This Row],[spawner_sku]])-FIND("/",Table12[[#This Row],[spawner_sku]])),Table1[Entity Prefab],0)),10,1,1,"Entities"))</f>
        <v>28</v>
      </c>
      <c r="DB75" s="74">
        <f ca="1">ROUND((Table12[[#This Row],[XP]]*Table12[[#This Row],[entity_spawned (AVG)]])*(Table12[[#This Row],[activating_chance]]/100),0)</f>
        <v>22</v>
      </c>
      <c r="DC75" s="144" t="str">
        <f ca="1">INDIRECT(ADDRESS(11+(MATCH(RIGHT(Table12[[#This Row],[spawner_sku]],LEN(Table12[[#This Row],[spawner_sku]])-FIND("/",Table12[[#This Row],[spawner_sku]])),Table28[Entity Prefab],0)),25,1,1,"Entities"))</f>
        <v>no</v>
      </c>
      <c r="DD75" s="71">
        <v>1</v>
      </c>
      <c r="DE75" s="71">
        <v>1</v>
      </c>
      <c r="DF75" s="71" t="b">
        <v>0</v>
      </c>
      <c r="DH75" t="s">
        <v>221</v>
      </c>
      <c r="DI75">
        <v>1</v>
      </c>
      <c r="DJ75">
        <v>340</v>
      </c>
      <c r="DK75">
        <v>100</v>
      </c>
      <c r="DL75" s="74">
        <f ca="1">INDIRECT(ADDRESS(11+(MATCH(RIGHT(Table13[[#This Row],[spawner_sku]],LEN(Table13[[#This Row],[spawner_sku]])-FIND("/",Table13[[#This Row],[spawner_sku]])),Table1[Entity Prefab],0)),10,1,1,"Entities"))</f>
        <v>263</v>
      </c>
      <c r="DM75" s="74">
        <f ca="1">ROUND((Table13[[#This Row],[XP]]*Table13[[#This Row],[entity_spawned (AVG)]])*(Table13[[#This Row],[activating_chance]]/100),0)</f>
        <v>263</v>
      </c>
      <c r="DN75" s="144" t="str">
        <f ca="1">INDIRECT(ADDRESS(11+(MATCH(RIGHT(Table13[[#This Row],[spawner_sku]],LEN(Table13[[#This Row],[spawner_sku]])-FIND("/",Table13[[#This Row],[spawner_sku]])),Table28[Entity Prefab],0)),25,1,1,"Entities"))</f>
        <v>yes</v>
      </c>
      <c r="DO75" s="71">
        <v>1</v>
      </c>
      <c r="DP75" s="71">
        <v>1</v>
      </c>
      <c r="DQ75" s="71" t="b">
        <v>0</v>
      </c>
      <c r="DS75" t="s">
        <v>214</v>
      </c>
      <c r="DT75">
        <v>7</v>
      </c>
      <c r="DU75">
        <v>100</v>
      </c>
      <c r="DV75">
        <v>100</v>
      </c>
      <c r="DW75" s="74">
        <f ca="1">INDIRECT(ADDRESS(11+(MATCH(RIGHT(Table14[[#This Row],[spawner_sku]],LEN(Table14[[#This Row],[spawner_sku]])-FIND("/",Table14[[#This Row],[spawner_sku]])),Table1[Entity Prefab],0)),10,1,1,"Entities"))</f>
        <v>25</v>
      </c>
      <c r="DX75" s="74">
        <f ca="1">ROUND((Table14[[#This Row],[XP]]*Table14[[#This Row],[entity_spawned (AVG)]])*(Table14[[#This Row],[activating_chance]]/100),0)</f>
        <v>175</v>
      </c>
      <c r="DY75" s="144" t="str">
        <f ca="1">INDIRECT(ADDRESS(11+(MATCH(RIGHT(Table14[[#This Row],[spawner_sku]],LEN(Table14[[#This Row],[spawner_sku]])-FIND("/",Table14[[#This Row],[spawner_sku]])),Table28[Entity Prefab],0)),25,1,1,"Entities"))</f>
        <v>no</v>
      </c>
      <c r="DZ75" s="71">
        <v>6</v>
      </c>
      <c r="EA75" s="71">
        <v>8</v>
      </c>
      <c r="EB75" s="71" t="b">
        <v>1</v>
      </c>
      <c r="EC75" s="71"/>
      <c r="ED75" s="147" t="s">
        <v>8142</v>
      </c>
      <c r="EE75" s="71">
        <v>1</v>
      </c>
      <c r="EF75" s="71">
        <v>200</v>
      </c>
      <c r="EG75" s="71">
        <v>80</v>
      </c>
      <c r="EH75" s="71">
        <f ca="1">INDIRECT(ADDRESS(11+(MATCH(RIGHT(Table36[[#This Row],[spawner_sku]],LEN(Table36[[#This Row],[spawner_sku]])-FIND("/",Table36[[#This Row],[spawner_sku]])),Table1[Entity Prefab],0)),10,1,1,"Entities"))</f>
        <v>75</v>
      </c>
      <c r="EI75" s="71">
        <f ca="1">ROUND((Table36[[#This Row],[XP]]*Table36[[#This Row],[entity_spawned (AVG)]])*(Table36[[#This Row],[activating_chance]]/100),0)</f>
        <v>60</v>
      </c>
      <c r="EJ75" s="71" t="str">
        <f ca="1">INDIRECT(ADDRESS(11+(MATCH(RIGHT(Table36[[#This Row],[spawner_sku]],LEN(Table36[[#This Row],[spawner_sku]])-FIND("/",Table36[[#This Row],[spawner_sku]])),Table28[Entity Prefab],0)),25,1,1,"Entities"))</f>
        <v>no</v>
      </c>
      <c r="EK75" s="71">
        <v>1</v>
      </c>
      <c r="EL75" s="71">
        <v>1</v>
      </c>
      <c r="EM75" s="71" t="b">
        <v>0</v>
      </c>
      <c r="EO75" t="s">
        <v>214</v>
      </c>
      <c r="EP75">
        <v>3.5</v>
      </c>
      <c r="EQ75">
        <v>100</v>
      </c>
      <c r="ER75">
        <v>100</v>
      </c>
      <c r="ES75" s="74">
        <f ca="1">INDIRECT(ADDRESS(11+(MATCH(RIGHT(Table18[[#This Row],[spawner_sku]],LEN(Table18[[#This Row],[spawner_sku]])-FIND("/",Table18[[#This Row],[spawner_sku]])),Table1[Entity Prefab],0)),10,1,1,"Entities"))</f>
        <v>25</v>
      </c>
      <c r="ET75" s="74">
        <f ca="1">ROUND((Table18[[#This Row],[XP]]*Table18[[#This Row],[entity_spawned (AVG)]])*(Table18[[#This Row],[activating_chance]]/100),0)</f>
        <v>88</v>
      </c>
      <c r="EU75" s="74" t="str">
        <f ca="1">INDIRECT(ADDRESS(11+(MATCH(RIGHT(Table18[[#This Row],[spawner_sku]],LEN(Table18[[#This Row],[spawner_sku]])-FIND("/",Table18[[#This Row],[spawner_sku]])),Table28[Entity Prefab],0)),26,1,1,"Entities"))</f>
        <v>no</v>
      </c>
      <c r="EV75">
        <v>3</v>
      </c>
      <c r="EW75">
        <v>4</v>
      </c>
      <c r="EX75" t="b">
        <v>0</v>
      </c>
      <c r="EZ75" t="s">
        <v>214</v>
      </c>
      <c r="FA75">
        <v>3.5</v>
      </c>
      <c r="FB75">
        <v>120</v>
      </c>
      <c r="FC75">
        <v>100</v>
      </c>
      <c r="FD75" s="74">
        <f ca="1">INDIRECT(ADDRESS(11+(MATCH(RIGHT(Table1820[[#This Row],[spawner_sku]],LEN(Table1820[[#This Row],[spawner_sku]])-FIND("/",Table1820[[#This Row],[spawner_sku]])),Table1[Entity Prefab],0)),10,1,1,"Entities"))</f>
        <v>25</v>
      </c>
      <c r="FE75" s="74">
        <f ca="1">ROUND((Table1820[[#This Row],[XP]]*Table1820[[#This Row],[entity_spawned (AVG)]])*(Table1820[[#This Row],[activating_chance]]/100),0)</f>
        <v>88</v>
      </c>
      <c r="FF75" s="74" t="str">
        <f ca="1">INDIRECT(ADDRESS(11+(MATCH(RIGHT(Table1820[[#This Row],[spawner_sku]],LEN(Table1820[[#This Row],[spawner_sku]])-FIND("/",Table1820[[#This Row],[spawner_sku]])),Table28[Entity Prefab],0)),26,1,1,"Entities"))</f>
        <v>no</v>
      </c>
      <c r="FG75">
        <v>3</v>
      </c>
      <c r="FH75">
        <v>4</v>
      </c>
      <c r="FI75" t="b">
        <v>0</v>
      </c>
      <c r="FK75" t="s">
        <v>2695</v>
      </c>
      <c r="FL75">
        <v>3</v>
      </c>
      <c r="FM75">
        <v>100</v>
      </c>
      <c r="FN75">
        <v>100</v>
      </c>
      <c r="FO75">
        <f ca="1">INDIRECT(ADDRESS(11+(MATCH(RIGHT(Table182023[[#This Row],[spawner_sku]],LEN(Table182023[[#This Row],[spawner_sku]])-FIND("/",Table182023[[#This Row],[spawner_sku]])),Table1[Entity Prefab],0)),10,1,1,"Entities"))</f>
        <v>40</v>
      </c>
      <c r="FP75">
        <f ca="1">ROUND((Table182023[[#This Row],[XP]]*Table182023[[#This Row],[entity_spawned (AVG)]])*(Table182023[[#This Row],[activating_chance]]/100),0)</f>
        <v>120</v>
      </c>
      <c r="FQ75" t="str">
        <f ca="1">INDIRECT(ADDRESS(11+(MATCH(RIGHT(Table182023[[#This Row],[spawner_sku]],LEN(Table182023[[#This Row],[spawner_sku]])-FIND("/",Table182023[[#This Row],[spawner_sku]])),Table28[Entity Prefab],0)),26,1,1,"Entities"))</f>
        <v>no</v>
      </c>
      <c r="FR75">
        <v>2</v>
      </c>
      <c r="FS75">
        <v>4</v>
      </c>
      <c r="FT75" t="b">
        <v>0</v>
      </c>
      <c r="FV75" t="s">
        <v>2701</v>
      </c>
      <c r="FW75">
        <v>1</v>
      </c>
      <c r="FX75">
        <v>500</v>
      </c>
      <c r="FY75">
        <v>100</v>
      </c>
      <c r="FZ75" s="74">
        <f ca="1">INDIRECT(ADDRESS(11+(MATCH(RIGHT(Table18202324[[#This Row],[spawner_sku]],LEN(Table18202324[[#This Row],[spawner_sku]])-FIND("/",Table18202324[[#This Row],[spawner_sku]])),Table1[Entity Prefab],0)),10,1,1,"Entities"))</f>
        <v>130</v>
      </c>
      <c r="GA75" s="74">
        <f ca="1">ROUND((Table18202324[[#This Row],[XP]]*Table18202324[[#This Row],[entity_spawned (AVG)]])*(Table18202324[[#This Row],[activating_chance]]/100),0)</f>
        <v>130</v>
      </c>
      <c r="GB75" s="74" t="str">
        <f ca="1">INDIRECT(ADDRESS(11+(MATCH(RIGHT(Table18202324[[#This Row],[spawner_sku]],LEN(Table18202324[[#This Row],[spawner_sku]])-FIND("/",Table18202324[[#This Row],[spawner_sku]])),Table28[Entity Prefab],0)),26,1,1,"Entities"))</f>
        <v>yes</v>
      </c>
      <c r="GC75">
        <v>1</v>
      </c>
      <c r="GD75">
        <v>1</v>
      </c>
      <c r="GE75" t="b">
        <v>0</v>
      </c>
      <c r="GG75" t="s">
        <v>3816</v>
      </c>
      <c r="GH75">
        <v>1</v>
      </c>
      <c r="GI75">
        <v>240</v>
      </c>
      <c r="GJ75">
        <v>100</v>
      </c>
      <c r="GK75">
        <f ca="1">INDIRECT(ADDRESS(11+(MATCH(RIGHT(Table37[[#This Row],[spawner_sku]],LEN(Table37[[#This Row],[spawner_sku]])-FIND("/",Table37[[#This Row],[spawner_sku]])),Table1[Entity Prefab],0)),10,1,1,"Entities"))</f>
        <v>50</v>
      </c>
      <c r="GL75">
        <f ca="1">ROUND((Table37[[#This Row],[XP]]*Table37[[#This Row],[entity_spawned (AVG)]])*(Table37[[#This Row],[activating_chance]]/100),0)</f>
        <v>50</v>
      </c>
      <c r="GM75" t="str">
        <f ca="1">INDIRECT(ADDRESS(11+(MATCH(RIGHT(Table37[[#This Row],[spawner_sku]],LEN(Table37[[#This Row],[spawner_sku]])-FIND("/",Table37[[#This Row],[spawner_sku]])),Table28[Entity Prefab],0)),26,1,1,"Entities"))</f>
        <v>no</v>
      </c>
      <c r="GN75">
        <v>1</v>
      </c>
      <c r="GO75">
        <v>1</v>
      </c>
      <c r="GP75" t="b">
        <v>0</v>
      </c>
    </row>
    <row r="76" spans="2:198" x14ac:dyDescent="0.25">
      <c r="B76" s="72" t="s">
        <v>215</v>
      </c>
      <c r="C76">
        <v>1.5</v>
      </c>
      <c r="D76">
        <v>110</v>
      </c>
      <c r="E76">
        <v>100</v>
      </c>
      <c r="F76" s="74">
        <f ca="1">INDIRECT(ADDRESS(11+(MATCH(RIGHT(Table245[[#This Row],[spawner_sku]],LEN(Table245[[#This Row],[spawner_sku]])-FIND("/",Table245[[#This Row],[spawner_sku]])),Table1[Entity Prefab],0)),10,1,1,"Entities"))</f>
        <v>25</v>
      </c>
      <c r="G76" s="74">
        <f ca="1">ROUND((Table245[[#This Row],[XP]]*Table245[[#This Row],[entity_spawned (AVG)]])*(Table245[[#This Row],[activating_chance]]/100),0)</f>
        <v>38</v>
      </c>
      <c r="H76" s="71" t="str">
        <f ca="1">INDIRECT(ADDRESS(11+(MATCH(RIGHT(Table245[[#This Row],[spawner_sku]],LEN(Table245[[#This Row],[spawner_sku]])-FIND("/",Table245[[#This Row],[spawner_sku]])),Table28[Entity Prefab],0)),24,1,1,"Entities"))</f>
        <v>no</v>
      </c>
      <c r="I76" s="71">
        <v>1</v>
      </c>
      <c r="J76" s="71">
        <v>2</v>
      </c>
      <c r="K76" s="71" t="b">
        <v>0</v>
      </c>
      <c r="M76" t="s">
        <v>445</v>
      </c>
      <c r="N76">
        <v>1</v>
      </c>
      <c r="O76">
        <v>220</v>
      </c>
      <c r="P76">
        <v>100</v>
      </c>
      <c r="Q76" s="74">
        <f ca="1">INDIRECT(ADDRESS(11+(MATCH(RIGHT(Table3[[#This Row],[spawner_sku]],LEN(Table3[[#This Row],[spawner_sku]])-FIND("/",Table3[[#This Row],[spawner_sku]])),Table1[Entity Prefab],0)),10,1,1,"Entities"))</f>
        <v>50</v>
      </c>
      <c r="R76" s="74">
        <f ca="1">ROUND((Table3[[#This Row],[XP]]*Table3[[#This Row],[entity_spawned (AVG)]])*(Table3[[#This Row],[activating_chance]]/100),0)</f>
        <v>50</v>
      </c>
      <c r="S76" t="str">
        <f ca="1">INDIRECT(ADDRESS(11+(MATCH(RIGHT(Table3[[#This Row],[spawner_sku]],LEN(Table3[[#This Row],[spawner_sku]])-FIND("/",Table3[[#This Row],[spawner_sku]])),Table28[Entity Prefab],0)),24,1,1,"Entities"))</f>
        <v>yes</v>
      </c>
      <c r="T76">
        <v>1</v>
      </c>
      <c r="U76">
        <v>1</v>
      </c>
      <c r="V76" t="b">
        <v>0</v>
      </c>
      <c r="W76" s="71"/>
      <c r="X76" t="s">
        <v>240</v>
      </c>
      <c r="Y76">
        <v>1</v>
      </c>
      <c r="Z76">
        <v>170</v>
      </c>
      <c r="AA76">
        <v>100</v>
      </c>
      <c r="AB76" s="74">
        <f ca="1">INDIRECT(ADDRESS(11+(MATCH(RIGHT(Table39[[#This Row],[spawner_sku]],LEN(Table39[[#This Row],[spawner_sku]])-FIND("/",Table39[[#This Row],[spawner_sku]])),Table1[Entity Prefab],0)),10,1,1,"Entities"))</f>
        <v>70</v>
      </c>
      <c r="AC76" s="74">
        <f ca="1">ROUND((Table39[[#This Row],[XP]]*Table39[[#This Row],[entity_spawned (AVG)]])*(Table39[[#This Row],[activating_chance]]/100),0)</f>
        <v>70</v>
      </c>
      <c r="AD76" t="str">
        <f ca="1">INDIRECT(ADDRESS(11+(MATCH(RIGHT(Table39[[#This Row],[spawner_sku]],LEN(Table39[[#This Row],[spawner_sku]])-FIND("/",Table39[[#This Row],[spawner_sku]])),Table28[Entity Prefab],0)),24,1,1,"Entities"))</f>
        <v>yes</v>
      </c>
      <c r="AE76">
        <v>1</v>
      </c>
      <c r="AF76">
        <v>1</v>
      </c>
      <c r="AG76" t="b">
        <v>0</v>
      </c>
      <c r="AI76" t="s">
        <v>215</v>
      </c>
      <c r="AJ76">
        <v>3</v>
      </c>
      <c r="AK76">
        <v>110</v>
      </c>
      <c r="AL76">
        <v>100</v>
      </c>
      <c r="AM76" s="74">
        <f ca="1">INDIRECT(ADDRESS(11+(MATCH(RIGHT(Table2[[#This Row],[spawner_sku]],LEN(Table2[[#This Row],[spawner_sku]])-FIND("/",Table2[[#This Row],[spawner_sku]])),Table1[Entity Prefab],0)),10,1,1,"Entities"))</f>
        <v>25</v>
      </c>
      <c r="AN76" s="74">
        <f ca="1">ROUND((Table2[[#This Row],[XP]]*Table2[[#This Row],[entity_spawned (AVG)]])*(Table2[[#This Row],[activating_chance]]/100),0)</f>
        <v>75</v>
      </c>
      <c r="AO76" s="71" t="str">
        <f ca="1">INDIRECT(ADDRESS(11+(MATCH(RIGHT(Table2[[#This Row],[spawner_sku]],LEN(Table2[[#This Row],[spawner_sku]])-FIND("/",Table2[[#This Row],[spawner_sku]])),Table28[Entity Prefab],0)),24,1,1,"Entities"))</f>
        <v>no</v>
      </c>
      <c r="AP76" s="71">
        <v>2</v>
      </c>
      <c r="AQ76" s="71">
        <v>4</v>
      </c>
      <c r="AR76" s="71" t="b">
        <v>0</v>
      </c>
      <c r="AT76" t="s">
        <v>219</v>
      </c>
      <c r="AU76">
        <v>1</v>
      </c>
      <c r="AV76">
        <v>250</v>
      </c>
      <c r="AW76">
        <v>100</v>
      </c>
      <c r="AX76" s="74">
        <f ca="1">INDIRECT(ADDRESS(11+(MATCH(RIGHT(Table6[[#This Row],[spawner_sku]],LEN(Table6[[#This Row],[spawner_sku]])-FIND("/",Table6[[#This Row],[spawner_sku]])),Table1[Entity Prefab],0)),10,1,1,"Entities"))</f>
        <v>143</v>
      </c>
      <c r="AY76" s="74">
        <f ca="1">ROUND((Table6[[#This Row],[XP]]*Table6[[#This Row],[entity_spawned (AVG)]])*(Table6[[#This Row],[activating_chance]]/100),0)</f>
        <v>143</v>
      </c>
      <c r="AZ76" s="144" t="str">
        <f ca="1">INDIRECT(ADDRESS(11+(MATCH(RIGHT(Table6[[#This Row],[spawner_sku]],LEN(Table6[[#This Row],[spawner_sku]])-FIND("/",Table6[[#This Row],[spawner_sku]])),Table28[Entity Prefab],0)),24,1,1,"Entities"))</f>
        <v>yes</v>
      </c>
      <c r="BA76">
        <v>1</v>
      </c>
      <c r="BB76">
        <v>1</v>
      </c>
      <c r="BC76" t="b">
        <v>0</v>
      </c>
      <c r="BE76" t="s">
        <v>219</v>
      </c>
      <c r="BF76">
        <v>1.5</v>
      </c>
      <c r="BG76">
        <v>250</v>
      </c>
      <c r="BH76">
        <v>100</v>
      </c>
      <c r="BI76" s="74">
        <f ca="1">INDIRECT(ADDRESS(11+(MATCH(RIGHT(Table610[[#This Row],[spawner_sku]],LEN(Table610[[#This Row],[spawner_sku]])-FIND("/",Table610[[#This Row],[spawner_sku]])),Table1[Entity Prefab],0)),10,1,1,"Entities"))</f>
        <v>143</v>
      </c>
      <c r="BJ76" s="74">
        <f ca="1">ROUND((Table610[[#This Row],[XP]]*Table610[[#This Row],[entity_spawned (AVG)]])*(Table610[[#This Row],[activating_chance]]/100),0)</f>
        <v>215</v>
      </c>
      <c r="BK76" s="71" t="str">
        <f ca="1">INDIRECT(ADDRESS(11+(MATCH(RIGHT(Table610[[#This Row],[spawner_sku]],LEN(Table610[[#This Row],[spawner_sku]])-FIND("/",Table610[[#This Row],[spawner_sku]])),Table28[Entity Prefab],0)),24,1,1,"Entities"))</f>
        <v>yes</v>
      </c>
      <c r="BL76">
        <v>1</v>
      </c>
      <c r="BM76">
        <v>2</v>
      </c>
      <c r="BN76" t="b">
        <v>0</v>
      </c>
      <c r="BP76" t="s">
        <v>216</v>
      </c>
      <c r="BQ76">
        <v>7</v>
      </c>
      <c r="BR76">
        <v>220</v>
      </c>
      <c r="BS76">
        <v>100</v>
      </c>
      <c r="BT76" s="74">
        <f ca="1">INDIRECT(ADDRESS(11+(MATCH(RIGHT(Table61011[[#This Row],[spawner_sku]],LEN(Table61011[[#This Row],[spawner_sku]])-FIND("/",Table61011[[#This Row],[spawner_sku]])),Table1[Entity Prefab],0)),10,1,1,"Entities"))</f>
        <v>25</v>
      </c>
      <c r="BU76" s="74">
        <f ca="1">ROUND((Table61011[[#This Row],[XP]]*Table61011[[#This Row],[entity_spawned (AVG)]])*(Table61011[[#This Row],[activating_chance]]/100),0)</f>
        <v>175</v>
      </c>
      <c r="BV76" s="71" t="str">
        <f ca="1">INDIRECT(ADDRESS(11+(MATCH(RIGHT(Table61011[[#This Row],[spawner_sku]],LEN(Table61011[[#This Row],[spawner_sku]])-FIND("/",Table61011[[#This Row],[spawner_sku]])),Table28[Entity Prefab],0)),24,1,1,"Entities"))</f>
        <v>no</v>
      </c>
      <c r="BW76" s="71">
        <v>6</v>
      </c>
      <c r="BX76" s="71">
        <v>8</v>
      </c>
      <c r="BY76" s="71" t="b">
        <v>1</v>
      </c>
      <c r="BZ76" s="71"/>
      <c r="CA76" s="147" t="s">
        <v>8142</v>
      </c>
      <c r="CB76">
        <v>1</v>
      </c>
      <c r="CC76">
        <v>200</v>
      </c>
      <c r="CD76">
        <v>100</v>
      </c>
      <c r="CE76" s="74">
        <f ca="1">INDIRECT(ADDRESS(11+(MATCH(RIGHT(Table35[[#This Row],[spawner_sku]],LEN(Table35[[#This Row],[spawner_sku]])-FIND("/",Table35[[#This Row],[spawner_sku]])),Table1[Entity Prefab],0)),10,1,1,"Entities"))</f>
        <v>75</v>
      </c>
      <c r="CF76" s="74">
        <f ca="1">ROUND((Table35[[#This Row],[XP]]*Table35[[#This Row],[entity_spawned (AVG)]])*(Table35[[#This Row],[activating_chance]]/100),0)</f>
        <v>75</v>
      </c>
      <c r="CG76" s="144" t="str">
        <f ca="1">INDIRECT(ADDRESS(11+(MATCH(RIGHT(Table35[[#This Row],[spawner_sku]],LEN(Table35[[#This Row],[spawner_sku]])-FIND("/",Table35[[#This Row],[spawner_sku]])),Table28[Entity Prefab],0)),24,1,1,"Entities"))</f>
        <v>no</v>
      </c>
      <c r="CH76">
        <v>1</v>
      </c>
      <c r="CI76">
        <v>1</v>
      </c>
      <c r="CJ76" s="71" t="b">
        <v>0</v>
      </c>
      <c r="CL76" t="s">
        <v>215</v>
      </c>
      <c r="CM76">
        <v>3.5</v>
      </c>
      <c r="CN76">
        <v>180</v>
      </c>
      <c r="CO76">
        <v>70</v>
      </c>
      <c r="CP76" s="74">
        <f ca="1">INDIRECT(ADDRESS(11+(MATCH(RIGHT(Table11[[#This Row],[spawner_sku]],LEN(Table11[[#This Row],[spawner_sku]])-FIND("/",Table11[[#This Row],[spawner_sku]])),Table1[Entity Prefab],0)),10,1,1,"Entities"))</f>
        <v>25</v>
      </c>
      <c r="CQ76">
        <f ca="1">ROUND((Table11[[#This Row],[XP]]*Table11[[#This Row],[entity_spawned (AVG)]])*(Table11[[#This Row],[activating_chance]]/100),0)</f>
        <v>61</v>
      </c>
      <c r="CR76" s="144" t="str">
        <f ca="1">INDIRECT(ADDRESS(11+(MATCH(RIGHT(Table11[[#This Row],[spawner_sku]],LEN(Table11[[#This Row],[spawner_sku]])-FIND("/",Table11[[#This Row],[spawner_sku]])),Table28[Entity Prefab],0)),25,1,1,"Entities"))</f>
        <v>no</v>
      </c>
      <c r="CS76" s="71">
        <v>3</v>
      </c>
      <c r="CT76" s="71">
        <v>4</v>
      </c>
      <c r="CU76" s="71" t="b">
        <v>0</v>
      </c>
      <c r="CW76" t="s">
        <v>231</v>
      </c>
      <c r="CX76">
        <v>1</v>
      </c>
      <c r="CY76">
        <v>220</v>
      </c>
      <c r="CZ76">
        <v>100</v>
      </c>
      <c r="DA76" s="74">
        <f ca="1">INDIRECT(ADDRESS(11+(MATCH(RIGHT(Table12[[#This Row],[spawner_sku]],LEN(Table12[[#This Row],[spawner_sku]])-FIND("/",Table12[[#This Row],[spawner_sku]])),Table1[Entity Prefab],0)),10,1,1,"Entities"))</f>
        <v>25</v>
      </c>
      <c r="DB76" s="74">
        <f ca="1">ROUND((Table12[[#This Row],[XP]]*Table12[[#This Row],[entity_spawned (AVG)]])*(Table12[[#This Row],[activating_chance]]/100),0)</f>
        <v>25</v>
      </c>
      <c r="DC76" s="144" t="str">
        <f ca="1">INDIRECT(ADDRESS(11+(MATCH(RIGHT(Table12[[#This Row],[spawner_sku]],LEN(Table12[[#This Row],[spawner_sku]])-FIND("/",Table12[[#This Row],[spawner_sku]])),Table28[Entity Prefab],0)),25,1,1,"Entities"))</f>
        <v>no</v>
      </c>
      <c r="DD76" s="71">
        <v>1</v>
      </c>
      <c r="DE76" s="71">
        <v>1</v>
      </c>
      <c r="DF76" s="71" t="b">
        <v>0</v>
      </c>
      <c r="DH76" t="s">
        <v>221</v>
      </c>
      <c r="DI76">
        <v>1</v>
      </c>
      <c r="DJ76">
        <v>340</v>
      </c>
      <c r="DK76">
        <v>100</v>
      </c>
      <c r="DL76" s="74">
        <f ca="1">INDIRECT(ADDRESS(11+(MATCH(RIGHT(Table13[[#This Row],[spawner_sku]],LEN(Table13[[#This Row],[spawner_sku]])-FIND("/",Table13[[#This Row],[spawner_sku]])),Table1[Entity Prefab],0)),10,1,1,"Entities"))</f>
        <v>263</v>
      </c>
      <c r="DM76" s="74">
        <f ca="1">ROUND((Table13[[#This Row],[XP]]*Table13[[#This Row],[entity_spawned (AVG)]])*(Table13[[#This Row],[activating_chance]]/100),0)</f>
        <v>263</v>
      </c>
      <c r="DN76" s="144" t="str">
        <f ca="1">INDIRECT(ADDRESS(11+(MATCH(RIGHT(Table13[[#This Row],[spawner_sku]],LEN(Table13[[#This Row],[spawner_sku]])-FIND("/",Table13[[#This Row],[spawner_sku]])),Table28[Entity Prefab],0)),25,1,1,"Entities"))</f>
        <v>yes</v>
      </c>
      <c r="DO76" s="71">
        <v>1</v>
      </c>
      <c r="DP76" s="71">
        <v>1</v>
      </c>
      <c r="DQ76" s="71" t="b">
        <v>0</v>
      </c>
      <c r="DS76" t="s">
        <v>214</v>
      </c>
      <c r="DT76">
        <v>3.5</v>
      </c>
      <c r="DU76">
        <v>100</v>
      </c>
      <c r="DV76">
        <v>100</v>
      </c>
      <c r="DW76" s="74">
        <f ca="1">INDIRECT(ADDRESS(11+(MATCH(RIGHT(Table14[[#This Row],[spawner_sku]],LEN(Table14[[#This Row],[spawner_sku]])-FIND("/",Table14[[#This Row],[spawner_sku]])),Table1[Entity Prefab],0)),10,1,1,"Entities"))</f>
        <v>25</v>
      </c>
      <c r="DX76" s="74">
        <f ca="1">ROUND((Table14[[#This Row],[XP]]*Table14[[#This Row],[entity_spawned (AVG)]])*(Table14[[#This Row],[activating_chance]]/100),0)</f>
        <v>88</v>
      </c>
      <c r="DY76" s="144" t="str">
        <f ca="1">INDIRECT(ADDRESS(11+(MATCH(RIGHT(Table14[[#This Row],[spawner_sku]],LEN(Table14[[#This Row],[spawner_sku]])-FIND("/",Table14[[#This Row],[spawner_sku]])),Table28[Entity Prefab],0)),25,1,1,"Entities"))</f>
        <v>no</v>
      </c>
      <c r="DZ76" s="71">
        <v>3</v>
      </c>
      <c r="EA76" s="71">
        <v>4</v>
      </c>
      <c r="EB76" s="71" t="b">
        <v>0</v>
      </c>
      <c r="EC76" s="71"/>
      <c r="ED76" s="147" t="s">
        <v>8142</v>
      </c>
      <c r="EE76" s="71">
        <v>1</v>
      </c>
      <c r="EF76" s="71">
        <v>200</v>
      </c>
      <c r="EG76" s="71">
        <v>80</v>
      </c>
      <c r="EH76" s="71">
        <f ca="1">INDIRECT(ADDRESS(11+(MATCH(RIGHT(Table36[[#This Row],[spawner_sku]],LEN(Table36[[#This Row],[spawner_sku]])-FIND("/",Table36[[#This Row],[spawner_sku]])),Table1[Entity Prefab],0)),10,1,1,"Entities"))</f>
        <v>75</v>
      </c>
      <c r="EI76" s="71">
        <f ca="1">ROUND((Table36[[#This Row],[XP]]*Table36[[#This Row],[entity_spawned (AVG)]])*(Table36[[#This Row],[activating_chance]]/100),0)</f>
        <v>60</v>
      </c>
      <c r="EJ76" s="71" t="str">
        <f ca="1">INDIRECT(ADDRESS(11+(MATCH(RIGHT(Table36[[#This Row],[spawner_sku]],LEN(Table36[[#This Row],[spawner_sku]])-FIND("/",Table36[[#This Row],[spawner_sku]])),Table28[Entity Prefab],0)),25,1,1,"Entities"))</f>
        <v>no</v>
      </c>
      <c r="EK76" s="71">
        <v>1</v>
      </c>
      <c r="EL76" s="71">
        <v>1</v>
      </c>
      <c r="EM76" s="71" t="b">
        <v>0</v>
      </c>
      <c r="EO76" t="s">
        <v>214</v>
      </c>
      <c r="EP76">
        <v>13</v>
      </c>
      <c r="EQ76">
        <v>180</v>
      </c>
      <c r="ER76">
        <v>10</v>
      </c>
      <c r="ES76" s="74">
        <f ca="1">INDIRECT(ADDRESS(11+(MATCH(RIGHT(Table18[[#This Row],[spawner_sku]],LEN(Table18[[#This Row],[spawner_sku]])-FIND("/",Table18[[#This Row],[spawner_sku]])),Table1[Entity Prefab],0)),10,1,1,"Entities"))</f>
        <v>25</v>
      </c>
      <c r="ET76" s="74">
        <f ca="1">ROUND((Table18[[#This Row],[XP]]*Table18[[#This Row],[entity_spawned (AVG)]])*(Table18[[#This Row],[activating_chance]]/100),0)</f>
        <v>33</v>
      </c>
      <c r="EU76" s="74" t="str">
        <f ca="1">INDIRECT(ADDRESS(11+(MATCH(RIGHT(Table18[[#This Row],[spawner_sku]],LEN(Table18[[#This Row],[spawner_sku]])-FIND("/",Table18[[#This Row],[spawner_sku]])),Table28[Entity Prefab],0)),26,1,1,"Entities"))</f>
        <v>no</v>
      </c>
      <c r="EV76">
        <v>12</v>
      </c>
      <c r="EW76">
        <v>14</v>
      </c>
      <c r="EX76" t="b">
        <v>1</v>
      </c>
      <c r="EZ76" t="s">
        <v>214</v>
      </c>
      <c r="FA76">
        <v>2</v>
      </c>
      <c r="FB76">
        <v>60</v>
      </c>
      <c r="FC76">
        <v>100</v>
      </c>
      <c r="FD76" s="74">
        <f ca="1">INDIRECT(ADDRESS(11+(MATCH(RIGHT(Table1820[[#This Row],[spawner_sku]],LEN(Table1820[[#This Row],[spawner_sku]])-FIND("/",Table1820[[#This Row],[spawner_sku]])),Table1[Entity Prefab],0)),10,1,1,"Entities"))</f>
        <v>25</v>
      </c>
      <c r="FE76" s="74">
        <f ca="1">ROUND((Table1820[[#This Row],[XP]]*Table1820[[#This Row],[entity_spawned (AVG)]])*(Table1820[[#This Row],[activating_chance]]/100),0)</f>
        <v>50</v>
      </c>
      <c r="FF76" s="74" t="str">
        <f ca="1">INDIRECT(ADDRESS(11+(MATCH(RIGHT(Table1820[[#This Row],[spawner_sku]],LEN(Table1820[[#This Row],[spawner_sku]])-FIND("/",Table1820[[#This Row],[spawner_sku]])),Table28[Entity Prefab],0)),26,1,1,"Entities"))</f>
        <v>no</v>
      </c>
      <c r="FG76">
        <v>2</v>
      </c>
      <c r="FH76">
        <v>2</v>
      </c>
      <c r="FI76" t="b">
        <v>0</v>
      </c>
      <c r="FK76" t="s">
        <v>2695</v>
      </c>
      <c r="FL76">
        <v>9</v>
      </c>
      <c r="FM76">
        <v>100</v>
      </c>
      <c r="FN76">
        <v>100</v>
      </c>
      <c r="FO76">
        <f ca="1">INDIRECT(ADDRESS(11+(MATCH(RIGHT(Table182023[[#This Row],[spawner_sku]],LEN(Table182023[[#This Row],[spawner_sku]])-FIND("/",Table182023[[#This Row],[spawner_sku]])),Table1[Entity Prefab],0)),10,1,1,"Entities"))</f>
        <v>40</v>
      </c>
      <c r="FP76">
        <f ca="1">ROUND((Table182023[[#This Row],[XP]]*Table182023[[#This Row],[entity_spawned (AVG)]])*(Table182023[[#This Row],[activating_chance]]/100),0)</f>
        <v>360</v>
      </c>
      <c r="FQ76" t="str">
        <f ca="1">INDIRECT(ADDRESS(11+(MATCH(RIGHT(Table182023[[#This Row],[spawner_sku]],LEN(Table182023[[#This Row],[spawner_sku]])-FIND("/",Table182023[[#This Row],[spawner_sku]])),Table28[Entity Prefab],0)),26,1,1,"Entities"))</f>
        <v>no</v>
      </c>
      <c r="FR76">
        <v>6</v>
      </c>
      <c r="FS76">
        <v>12</v>
      </c>
      <c r="FT76" t="b">
        <v>1</v>
      </c>
      <c r="FV76" t="s">
        <v>2701</v>
      </c>
      <c r="FW76">
        <v>1</v>
      </c>
      <c r="FX76">
        <v>500</v>
      </c>
      <c r="FY76">
        <v>100</v>
      </c>
      <c r="FZ76" s="74">
        <f ca="1">INDIRECT(ADDRESS(11+(MATCH(RIGHT(Table18202324[[#This Row],[spawner_sku]],LEN(Table18202324[[#This Row],[spawner_sku]])-FIND("/",Table18202324[[#This Row],[spawner_sku]])),Table1[Entity Prefab],0)),10,1,1,"Entities"))</f>
        <v>130</v>
      </c>
      <c r="GA76" s="74">
        <f ca="1">ROUND((Table18202324[[#This Row],[XP]]*Table18202324[[#This Row],[entity_spawned (AVG)]])*(Table18202324[[#This Row],[activating_chance]]/100),0)</f>
        <v>130</v>
      </c>
      <c r="GB76" s="74" t="str">
        <f ca="1">INDIRECT(ADDRESS(11+(MATCH(RIGHT(Table18202324[[#This Row],[spawner_sku]],LEN(Table18202324[[#This Row],[spawner_sku]])-FIND("/",Table18202324[[#This Row],[spawner_sku]])),Table28[Entity Prefab],0)),26,1,1,"Entities"))</f>
        <v>yes</v>
      </c>
      <c r="GC76">
        <v>1</v>
      </c>
      <c r="GD76">
        <v>1</v>
      </c>
      <c r="GE76" t="b">
        <v>0</v>
      </c>
      <c r="GG76" t="s">
        <v>3816</v>
      </c>
      <c r="GH76">
        <v>1</v>
      </c>
      <c r="GI76">
        <v>240</v>
      </c>
      <c r="GJ76">
        <v>100</v>
      </c>
      <c r="GK76">
        <f ca="1">INDIRECT(ADDRESS(11+(MATCH(RIGHT(Table37[[#This Row],[spawner_sku]],LEN(Table37[[#This Row],[spawner_sku]])-FIND("/",Table37[[#This Row],[spawner_sku]])),Table1[Entity Prefab],0)),10,1,1,"Entities"))</f>
        <v>50</v>
      </c>
      <c r="GL76">
        <f ca="1">ROUND((Table37[[#This Row],[XP]]*Table37[[#This Row],[entity_spawned (AVG)]])*(Table37[[#This Row],[activating_chance]]/100),0)</f>
        <v>50</v>
      </c>
      <c r="GM76" t="str">
        <f ca="1">INDIRECT(ADDRESS(11+(MATCH(RIGHT(Table37[[#This Row],[spawner_sku]],LEN(Table37[[#This Row],[spawner_sku]])-FIND("/",Table37[[#This Row],[spawner_sku]])),Table28[Entity Prefab],0)),26,1,1,"Entities"))</f>
        <v>no</v>
      </c>
      <c r="GN76">
        <v>1</v>
      </c>
      <c r="GO76">
        <v>1</v>
      </c>
      <c r="GP76" t="b">
        <v>0</v>
      </c>
    </row>
    <row r="77" spans="2:198" x14ac:dyDescent="0.25">
      <c r="B77" s="72" t="s">
        <v>215</v>
      </c>
      <c r="C77">
        <v>2</v>
      </c>
      <c r="D77">
        <v>100</v>
      </c>
      <c r="E77">
        <v>80</v>
      </c>
      <c r="F77" s="74">
        <f ca="1">INDIRECT(ADDRESS(11+(MATCH(RIGHT(Table245[[#This Row],[spawner_sku]],LEN(Table245[[#This Row],[spawner_sku]])-FIND("/",Table245[[#This Row],[spawner_sku]])),Table1[Entity Prefab],0)),10,1,1,"Entities"))</f>
        <v>25</v>
      </c>
      <c r="G77" s="74">
        <f ca="1">ROUND((Table245[[#This Row],[XP]]*Table245[[#This Row],[entity_spawned (AVG)]])*(Table245[[#This Row],[activating_chance]]/100),0)</f>
        <v>40</v>
      </c>
      <c r="H77" s="71" t="str">
        <f ca="1">INDIRECT(ADDRESS(11+(MATCH(RIGHT(Table245[[#This Row],[spawner_sku]],LEN(Table245[[#This Row],[spawner_sku]])-FIND("/",Table245[[#This Row],[spawner_sku]])),Table28[Entity Prefab],0)),24,1,1,"Entities"))</f>
        <v>no</v>
      </c>
      <c r="I77" s="71">
        <v>2</v>
      </c>
      <c r="J77" s="71">
        <v>2</v>
      </c>
      <c r="K77" s="71" t="b">
        <v>0</v>
      </c>
      <c r="M77" t="s">
        <v>448</v>
      </c>
      <c r="N77">
        <v>1</v>
      </c>
      <c r="O77">
        <v>280</v>
      </c>
      <c r="P77">
        <v>100</v>
      </c>
      <c r="Q77" s="74">
        <f ca="1">INDIRECT(ADDRESS(11+(MATCH(RIGHT(Table3[[#This Row],[spawner_sku]],LEN(Table3[[#This Row],[spawner_sku]])-FIND("/",Table3[[#This Row],[spawner_sku]])),Table1[Entity Prefab],0)),10,1,1,"Entities"))</f>
        <v>143</v>
      </c>
      <c r="R77" s="74">
        <f ca="1">ROUND((Table3[[#This Row],[XP]]*Table3[[#This Row],[entity_spawned (AVG)]])*(Table3[[#This Row],[activating_chance]]/100),0)</f>
        <v>143</v>
      </c>
      <c r="S77" t="str">
        <f ca="1">INDIRECT(ADDRESS(11+(MATCH(RIGHT(Table3[[#This Row],[spawner_sku]],LEN(Table3[[#This Row],[spawner_sku]])-FIND("/",Table3[[#This Row],[spawner_sku]])),Table28[Entity Prefab],0)),24,1,1,"Entities"))</f>
        <v>yes</v>
      </c>
      <c r="T77">
        <v>1</v>
      </c>
      <c r="U77">
        <v>1</v>
      </c>
      <c r="V77" t="b">
        <v>0</v>
      </c>
      <c r="W77" s="71"/>
      <c r="X77" t="s">
        <v>241</v>
      </c>
      <c r="Y77">
        <v>1</v>
      </c>
      <c r="Z77">
        <v>170</v>
      </c>
      <c r="AA77">
        <v>80</v>
      </c>
      <c r="AB77" s="74">
        <f ca="1">INDIRECT(ADDRESS(11+(MATCH(RIGHT(Table39[[#This Row],[spawner_sku]],LEN(Table39[[#This Row],[spawner_sku]])-FIND("/",Table39[[#This Row],[spawner_sku]])),Table1[Entity Prefab],0)),10,1,1,"Entities"))</f>
        <v>70</v>
      </c>
      <c r="AC77" s="74">
        <f ca="1">ROUND((Table39[[#This Row],[XP]]*Table39[[#This Row],[entity_spawned (AVG)]])*(Table39[[#This Row],[activating_chance]]/100),0)</f>
        <v>56</v>
      </c>
      <c r="AD77" t="str">
        <f ca="1">INDIRECT(ADDRESS(11+(MATCH(RIGHT(Table39[[#This Row],[spawner_sku]],LEN(Table39[[#This Row],[spawner_sku]])-FIND("/",Table39[[#This Row],[spawner_sku]])),Table28[Entity Prefab],0)),24,1,1,"Entities"))</f>
        <v>yes</v>
      </c>
      <c r="AE77">
        <v>1</v>
      </c>
      <c r="AF77">
        <v>1</v>
      </c>
      <c r="AG77" t="b">
        <v>0</v>
      </c>
      <c r="AI77" t="s">
        <v>215</v>
      </c>
      <c r="AJ77">
        <v>2.5</v>
      </c>
      <c r="AK77">
        <v>100</v>
      </c>
      <c r="AL77">
        <v>100</v>
      </c>
      <c r="AM77" s="74">
        <f ca="1">INDIRECT(ADDRESS(11+(MATCH(RIGHT(Table2[[#This Row],[spawner_sku]],LEN(Table2[[#This Row],[spawner_sku]])-FIND("/",Table2[[#This Row],[spawner_sku]])),Table1[Entity Prefab],0)),10,1,1,"Entities"))</f>
        <v>25</v>
      </c>
      <c r="AN77" s="74">
        <f ca="1">ROUND((Table2[[#This Row],[XP]]*Table2[[#This Row],[entity_spawned (AVG)]])*(Table2[[#This Row],[activating_chance]]/100),0)</f>
        <v>63</v>
      </c>
      <c r="AO77" s="71" t="str">
        <f ca="1">INDIRECT(ADDRESS(11+(MATCH(RIGHT(Table2[[#This Row],[spawner_sku]],LEN(Table2[[#This Row],[spawner_sku]])-FIND("/",Table2[[#This Row],[spawner_sku]])),Table28[Entity Prefab],0)),24,1,1,"Entities"))</f>
        <v>no</v>
      </c>
      <c r="AP77" s="71">
        <v>2</v>
      </c>
      <c r="AQ77" s="71">
        <v>3</v>
      </c>
      <c r="AR77" s="71" t="b">
        <v>0</v>
      </c>
      <c r="AT77" t="s">
        <v>219</v>
      </c>
      <c r="AU77">
        <v>1.5</v>
      </c>
      <c r="AV77">
        <v>250</v>
      </c>
      <c r="AW77">
        <v>100</v>
      </c>
      <c r="AX77" s="74">
        <f ca="1">INDIRECT(ADDRESS(11+(MATCH(RIGHT(Table6[[#This Row],[spawner_sku]],LEN(Table6[[#This Row],[spawner_sku]])-FIND("/",Table6[[#This Row],[spawner_sku]])),Table1[Entity Prefab],0)),10,1,1,"Entities"))</f>
        <v>143</v>
      </c>
      <c r="AY77" s="74">
        <f ca="1">ROUND((Table6[[#This Row],[XP]]*Table6[[#This Row],[entity_spawned (AVG)]])*(Table6[[#This Row],[activating_chance]]/100),0)</f>
        <v>215</v>
      </c>
      <c r="AZ77" s="144" t="str">
        <f ca="1">INDIRECT(ADDRESS(11+(MATCH(RIGHT(Table6[[#This Row],[spawner_sku]],LEN(Table6[[#This Row],[spawner_sku]])-FIND("/",Table6[[#This Row],[spawner_sku]])),Table28[Entity Prefab],0)),24,1,1,"Entities"))</f>
        <v>yes</v>
      </c>
      <c r="BA77">
        <v>1</v>
      </c>
      <c r="BB77">
        <v>2</v>
      </c>
      <c r="BC77" t="b">
        <v>0</v>
      </c>
      <c r="BE77" t="s">
        <v>219</v>
      </c>
      <c r="BF77">
        <v>1.5</v>
      </c>
      <c r="BG77">
        <v>250</v>
      </c>
      <c r="BH77">
        <v>100</v>
      </c>
      <c r="BI77" s="74">
        <f ca="1">INDIRECT(ADDRESS(11+(MATCH(RIGHT(Table610[[#This Row],[spawner_sku]],LEN(Table610[[#This Row],[spawner_sku]])-FIND("/",Table610[[#This Row],[spawner_sku]])),Table1[Entity Prefab],0)),10,1,1,"Entities"))</f>
        <v>143</v>
      </c>
      <c r="BJ77" s="74">
        <f ca="1">ROUND((Table610[[#This Row],[XP]]*Table610[[#This Row],[entity_spawned (AVG)]])*(Table610[[#This Row],[activating_chance]]/100),0)</f>
        <v>215</v>
      </c>
      <c r="BK77" s="71" t="str">
        <f ca="1">INDIRECT(ADDRESS(11+(MATCH(RIGHT(Table610[[#This Row],[spawner_sku]],LEN(Table610[[#This Row],[spawner_sku]])-FIND("/",Table610[[#This Row],[spawner_sku]])),Table28[Entity Prefab],0)),24,1,1,"Entities"))</f>
        <v>yes</v>
      </c>
      <c r="BL77">
        <v>1</v>
      </c>
      <c r="BM77">
        <v>2</v>
      </c>
      <c r="BN77" t="b">
        <v>0</v>
      </c>
      <c r="BP77" t="s">
        <v>216</v>
      </c>
      <c r="BQ77">
        <v>2.5</v>
      </c>
      <c r="BR77">
        <v>200</v>
      </c>
      <c r="BS77">
        <v>100</v>
      </c>
      <c r="BT77" s="74">
        <f ca="1">INDIRECT(ADDRESS(11+(MATCH(RIGHT(Table61011[[#This Row],[spawner_sku]],LEN(Table61011[[#This Row],[spawner_sku]])-FIND("/",Table61011[[#This Row],[spawner_sku]])),Table1[Entity Prefab],0)),10,1,1,"Entities"))</f>
        <v>25</v>
      </c>
      <c r="BU77" s="74">
        <f ca="1">ROUND((Table61011[[#This Row],[XP]]*Table61011[[#This Row],[entity_spawned (AVG)]])*(Table61011[[#This Row],[activating_chance]]/100),0)</f>
        <v>63</v>
      </c>
      <c r="BV77" s="71" t="str">
        <f ca="1">INDIRECT(ADDRESS(11+(MATCH(RIGHT(Table61011[[#This Row],[spawner_sku]],LEN(Table61011[[#This Row],[spawner_sku]])-FIND("/",Table61011[[#This Row],[spawner_sku]])),Table28[Entity Prefab],0)),24,1,1,"Entities"))</f>
        <v>no</v>
      </c>
      <c r="BW77" s="71">
        <v>2</v>
      </c>
      <c r="BX77" s="71">
        <v>3</v>
      </c>
      <c r="BY77" s="71" t="b">
        <v>0</v>
      </c>
      <c r="BZ77" s="71"/>
      <c r="CA77" s="147" t="s">
        <v>8142</v>
      </c>
      <c r="CB77">
        <v>1</v>
      </c>
      <c r="CC77">
        <v>200</v>
      </c>
      <c r="CD77">
        <v>100</v>
      </c>
      <c r="CE77" s="74">
        <f ca="1">INDIRECT(ADDRESS(11+(MATCH(RIGHT(Table35[[#This Row],[spawner_sku]],LEN(Table35[[#This Row],[spawner_sku]])-FIND("/",Table35[[#This Row],[spawner_sku]])),Table1[Entity Prefab],0)),10,1,1,"Entities"))</f>
        <v>75</v>
      </c>
      <c r="CF77" s="74">
        <f ca="1">ROUND((Table35[[#This Row],[XP]]*Table35[[#This Row],[entity_spawned (AVG)]])*(Table35[[#This Row],[activating_chance]]/100),0)</f>
        <v>75</v>
      </c>
      <c r="CG77" s="144" t="str">
        <f ca="1">INDIRECT(ADDRESS(11+(MATCH(RIGHT(Table35[[#This Row],[spawner_sku]],LEN(Table35[[#This Row],[spawner_sku]])-FIND("/",Table35[[#This Row],[spawner_sku]])),Table28[Entity Prefab],0)),24,1,1,"Entities"))</f>
        <v>no</v>
      </c>
      <c r="CH77">
        <v>1</v>
      </c>
      <c r="CI77">
        <v>1</v>
      </c>
      <c r="CJ77" s="71" t="b">
        <v>0</v>
      </c>
      <c r="CL77" t="s">
        <v>215</v>
      </c>
      <c r="CM77">
        <v>3</v>
      </c>
      <c r="CN77">
        <v>180</v>
      </c>
      <c r="CO77">
        <v>100</v>
      </c>
      <c r="CP77" s="74">
        <f ca="1">INDIRECT(ADDRESS(11+(MATCH(RIGHT(Table11[[#This Row],[spawner_sku]],LEN(Table11[[#This Row],[spawner_sku]])-FIND("/",Table11[[#This Row],[spawner_sku]])),Table1[Entity Prefab],0)),10,1,1,"Entities"))</f>
        <v>25</v>
      </c>
      <c r="CQ77">
        <f ca="1">ROUND((Table11[[#This Row],[XP]]*Table11[[#This Row],[entity_spawned (AVG)]])*(Table11[[#This Row],[activating_chance]]/100),0)</f>
        <v>75</v>
      </c>
      <c r="CR77" s="144" t="str">
        <f ca="1">INDIRECT(ADDRESS(11+(MATCH(RIGHT(Table11[[#This Row],[spawner_sku]],LEN(Table11[[#This Row],[spawner_sku]])-FIND("/",Table11[[#This Row],[spawner_sku]])),Table28[Entity Prefab],0)),25,1,1,"Entities"))</f>
        <v>no</v>
      </c>
      <c r="CS77" s="71">
        <v>2</v>
      </c>
      <c r="CT77" s="71">
        <v>4</v>
      </c>
      <c r="CU77" s="71" t="b">
        <v>0</v>
      </c>
      <c r="CW77" t="s">
        <v>231</v>
      </c>
      <c r="CX77">
        <v>1</v>
      </c>
      <c r="CY77">
        <v>220</v>
      </c>
      <c r="CZ77">
        <v>100</v>
      </c>
      <c r="DA77" s="74">
        <f ca="1">INDIRECT(ADDRESS(11+(MATCH(RIGHT(Table12[[#This Row],[spawner_sku]],LEN(Table12[[#This Row],[spawner_sku]])-FIND("/",Table12[[#This Row],[spawner_sku]])),Table1[Entity Prefab],0)),10,1,1,"Entities"))</f>
        <v>25</v>
      </c>
      <c r="DB77" s="74">
        <f ca="1">ROUND((Table12[[#This Row],[XP]]*Table12[[#This Row],[entity_spawned (AVG)]])*(Table12[[#This Row],[activating_chance]]/100),0)</f>
        <v>25</v>
      </c>
      <c r="DC77" s="144" t="str">
        <f ca="1">INDIRECT(ADDRESS(11+(MATCH(RIGHT(Table12[[#This Row],[spawner_sku]],LEN(Table12[[#This Row],[spawner_sku]])-FIND("/",Table12[[#This Row],[spawner_sku]])),Table28[Entity Prefab],0)),25,1,1,"Entities"))</f>
        <v>no</v>
      </c>
      <c r="DD77" s="71">
        <v>1</v>
      </c>
      <c r="DE77" s="71">
        <v>1</v>
      </c>
      <c r="DF77" s="71" t="b">
        <v>0</v>
      </c>
      <c r="DH77" t="s">
        <v>221</v>
      </c>
      <c r="DI77">
        <v>1</v>
      </c>
      <c r="DJ77">
        <v>340</v>
      </c>
      <c r="DK77">
        <v>100</v>
      </c>
      <c r="DL77" s="74">
        <f ca="1">INDIRECT(ADDRESS(11+(MATCH(RIGHT(Table13[[#This Row],[spawner_sku]],LEN(Table13[[#This Row],[spawner_sku]])-FIND("/",Table13[[#This Row],[spawner_sku]])),Table1[Entity Prefab],0)),10,1,1,"Entities"))</f>
        <v>263</v>
      </c>
      <c r="DM77" s="74">
        <f ca="1">ROUND((Table13[[#This Row],[XP]]*Table13[[#This Row],[entity_spawned (AVG)]])*(Table13[[#This Row],[activating_chance]]/100),0)</f>
        <v>263</v>
      </c>
      <c r="DN77" s="144" t="str">
        <f ca="1">INDIRECT(ADDRESS(11+(MATCH(RIGHT(Table13[[#This Row],[spawner_sku]],LEN(Table13[[#This Row],[spawner_sku]])-FIND("/",Table13[[#This Row],[spawner_sku]])),Table28[Entity Prefab],0)),25,1,1,"Entities"))</f>
        <v>yes</v>
      </c>
      <c r="DO77" s="71">
        <v>1</v>
      </c>
      <c r="DP77" s="71">
        <v>1</v>
      </c>
      <c r="DQ77" s="71" t="b">
        <v>0</v>
      </c>
      <c r="DS77" t="s">
        <v>214</v>
      </c>
      <c r="DT77">
        <v>3.5</v>
      </c>
      <c r="DU77">
        <v>200</v>
      </c>
      <c r="DV77">
        <v>100</v>
      </c>
      <c r="DW77" s="74">
        <f ca="1">INDIRECT(ADDRESS(11+(MATCH(RIGHT(Table14[[#This Row],[spawner_sku]],LEN(Table14[[#This Row],[spawner_sku]])-FIND("/",Table14[[#This Row],[spawner_sku]])),Table1[Entity Prefab],0)),10,1,1,"Entities"))</f>
        <v>25</v>
      </c>
      <c r="DX77" s="74">
        <f ca="1">ROUND((Table14[[#This Row],[XP]]*Table14[[#This Row],[entity_spawned (AVG)]])*(Table14[[#This Row],[activating_chance]]/100),0)</f>
        <v>88</v>
      </c>
      <c r="DY77" s="144" t="str">
        <f ca="1">INDIRECT(ADDRESS(11+(MATCH(RIGHT(Table14[[#This Row],[spawner_sku]],LEN(Table14[[#This Row],[spawner_sku]])-FIND("/",Table14[[#This Row],[spawner_sku]])),Table28[Entity Prefab],0)),25,1,1,"Entities"))</f>
        <v>no</v>
      </c>
      <c r="DZ77" s="71">
        <v>3</v>
      </c>
      <c r="EA77" s="71">
        <v>4</v>
      </c>
      <c r="EB77" s="71" t="b">
        <v>0</v>
      </c>
      <c r="EC77" s="71"/>
      <c r="ED77" s="147" t="s">
        <v>8142</v>
      </c>
      <c r="EE77" s="71">
        <v>1</v>
      </c>
      <c r="EF77" s="71">
        <v>200</v>
      </c>
      <c r="EG77" s="71">
        <v>100</v>
      </c>
      <c r="EH77" s="71">
        <f ca="1">INDIRECT(ADDRESS(11+(MATCH(RIGHT(Table36[[#This Row],[spawner_sku]],LEN(Table36[[#This Row],[spawner_sku]])-FIND("/",Table36[[#This Row],[spawner_sku]])),Table1[Entity Prefab],0)),10,1,1,"Entities"))</f>
        <v>75</v>
      </c>
      <c r="EI77" s="71">
        <f ca="1">ROUND((Table36[[#This Row],[XP]]*Table36[[#This Row],[entity_spawned (AVG)]])*(Table36[[#This Row],[activating_chance]]/100),0)</f>
        <v>75</v>
      </c>
      <c r="EJ77" s="71" t="str">
        <f ca="1">INDIRECT(ADDRESS(11+(MATCH(RIGHT(Table36[[#This Row],[spawner_sku]],LEN(Table36[[#This Row],[spawner_sku]])-FIND("/",Table36[[#This Row],[spawner_sku]])),Table28[Entity Prefab],0)),25,1,1,"Entities"))</f>
        <v>no</v>
      </c>
      <c r="EK77" s="71">
        <v>1</v>
      </c>
      <c r="EL77" s="71">
        <v>1</v>
      </c>
      <c r="EM77" s="71" t="b">
        <v>0</v>
      </c>
      <c r="EO77" t="s">
        <v>214</v>
      </c>
      <c r="EP77">
        <v>3.5</v>
      </c>
      <c r="EQ77">
        <v>140</v>
      </c>
      <c r="ER77">
        <v>100</v>
      </c>
      <c r="ES77" s="74">
        <f ca="1">INDIRECT(ADDRESS(11+(MATCH(RIGHT(Table18[[#This Row],[spawner_sku]],LEN(Table18[[#This Row],[spawner_sku]])-FIND("/",Table18[[#This Row],[spawner_sku]])),Table1[Entity Prefab],0)),10,1,1,"Entities"))</f>
        <v>25</v>
      </c>
      <c r="ET77" s="74">
        <f ca="1">ROUND((Table18[[#This Row],[XP]]*Table18[[#This Row],[entity_spawned (AVG)]])*(Table18[[#This Row],[activating_chance]]/100),0)</f>
        <v>88</v>
      </c>
      <c r="EU77" s="74" t="str">
        <f ca="1">INDIRECT(ADDRESS(11+(MATCH(RIGHT(Table18[[#This Row],[spawner_sku]],LEN(Table18[[#This Row],[spawner_sku]])-FIND("/",Table18[[#This Row],[spawner_sku]])),Table28[Entity Prefab],0)),26,1,1,"Entities"))</f>
        <v>no</v>
      </c>
      <c r="EV77">
        <v>3</v>
      </c>
      <c r="EW77">
        <v>4</v>
      </c>
      <c r="EX77" t="b">
        <v>0</v>
      </c>
      <c r="EZ77" t="s">
        <v>214</v>
      </c>
      <c r="FA77">
        <v>5.5</v>
      </c>
      <c r="FB77">
        <v>140</v>
      </c>
      <c r="FC77">
        <v>100</v>
      </c>
      <c r="FD77" s="74">
        <f ca="1">INDIRECT(ADDRESS(11+(MATCH(RIGHT(Table1820[[#This Row],[spawner_sku]],LEN(Table1820[[#This Row],[spawner_sku]])-FIND("/",Table1820[[#This Row],[spawner_sku]])),Table1[Entity Prefab],0)),10,1,1,"Entities"))</f>
        <v>25</v>
      </c>
      <c r="FE77" s="74">
        <f ca="1">ROUND((Table1820[[#This Row],[XP]]*Table1820[[#This Row],[entity_spawned (AVG)]])*(Table1820[[#This Row],[activating_chance]]/100),0)</f>
        <v>138</v>
      </c>
      <c r="FF77" s="74" t="str">
        <f ca="1">INDIRECT(ADDRESS(11+(MATCH(RIGHT(Table1820[[#This Row],[spawner_sku]],LEN(Table1820[[#This Row],[spawner_sku]])-FIND("/",Table1820[[#This Row],[spawner_sku]])),Table28[Entity Prefab],0)),26,1,1,"Entities"))</f>
        <v>no</v>
      </c>
      <c r="FG77">
        <v>5</v>
      </c>
      <c r="FH77">
        <v>6</v>
      </c>
      <c r="FI77" t="b">
        <v>1</v>
      </c>
      <c r="FK77" t="s">
        <v>2695</v>
      </c>
      <c r="FL77">
        <v>3</v>
      </c>
      <c r="FM77">
        <v>100</v>
      </c>
      <c r="FN77">
        <v>100</v>
      </c>
      <c r="FO77">
        <f ca="1">INDIRECT(ADDRESS(11+(MATCH(RIGHT(Table182023[[#This Row],[spawner_sku]],LEN(Table182023[[#This Row],[spawner_sku]])-FIND("/",Table182023[[#This Row],[spawner_sku]])),Table1[Entity Prefab],0)),10,1,1,"Entities"))</f>
        <v>40</v>
      </c>
      <c r="FP77">
        <f ca="1">ROUND((Table182023[[#This Row],[XP]]*Table182023[[#This Row],[entity_spawned (AVG)]])*(Table182023[[#This Row],[activating_chance]]/100),0)</f>
        <v>120</v>
      </c>
      <c r="FQ77" t="str">
        <f ca="1">INDIRECT(ADDRESS(11+(MATCH(RIGHT(Table182023[[#This Row],[spawner_sku]],LEN(Table182023[[#This Row],[spawner_sku]])-FIND("/",Table182023[[#This Row],[spawner_sku]])),Table28[Entity Prefab],0)),26,1,1,"Entities"))</f>
        <v>no</v>
      </c>
      <c r="FR77">
        <v>2</v>
      </c>
      <c r="FS77">
        <v>4</v>
      </c>
      <c r="FT77" t="b">
        <v>0</v>
      </c>
      <c r="FV77" t="s">
        <v>2701</v>
      </c>
      <c r="FW77">
        <v>1</v>
      </c>
      <c r="FX77">
        <v>500</v>
      </c>
      <c r="FY77">
        <v>100</v>
      </c>
      <c r="FZ77" s="74">
        <f ca="1">INDIRECT(ADDRESS(11+(MATCH(RIGHT(Table18202324[[#This Row],[spawner_sku]],LEN(Table18202324[[#This Row],[spawner_sku]])-FIND("/",Table18202324[[#This Row],[spawner_sku]])),Table1[Entity Prefab],0)),10,1,1,"Entities"))</f>
        <v>130</v>
      </c>
      <c r="GA77" s="74">
        <f ca="1">ROUND((Table18202324[[#This Row],[XP]]*Table18202324[[#This Row],[entity_spawned (AVG)]])*(Table18202324[[#This Row],[activating_chance]]/100),0)</f>
        <v>130</v>
      </c>
      <c r="GB77" s="74" t="str">
        <f ca="1">INDIRECT(ADDRESS(11+(MATCH(RIGHT(Table18202324[[#This Row],[spawner_sku]],LEN(Table18202324[[#This Row],[spawner_sku]])-FIND("/",Table18202324[[#This Row],[spawner_sku]])),Table28[Entity Prefab],0)),26,1,1,"Entities"))</f>
        <v>yes</v>
      </c>
      <c r="GC77">
        <v>1</v>
      </c>
      <c r="GD77">
        <v>1</v>
      </c>
      <c r="GE77" t="b">
        <v>0</v>
      </c>
      <c r="GG77" t="s">
        <v>3816</v>
      </c>
      <c r="GH77">
        <v>1</v>
      </c>
      <c r="GI77">
        <v>240</v>
      </c>
      <c r="GJ77">
        <v>100</v>
      </c>
      <c r="GK77">
        <f ca="1">INDIRECT(ADDRESS(11+(MATCH(RIGHT(Table37[[#This Row],[spawner_sku]],LEN(Table37[[#This Row],[spawner_sku]])-FIND("/",Table37[[#This Row],[spawner_sku]])),Table1[Entity Prefab],0)),10,1,1,"Entities"))</f>
        <v>50</v>
      </c>
      <c r="GL77">
        <f ca="1">ROUND((Table37[[#This Row],[XP]]*Table37[[#This Row],[entity_spawned (AVG)]])*(Table37[[#This Row],[activating_chance]]/100),0)</f>
        <v>50</v>
      </c>
      <c r="GM77" t="str">
        <f ca="1">INDIRECT(ADDRESS(11+(MATCH(RIGHT(Table37[[#This Row],[spawner_sku]],LEN(Table37[[#This Row],[spawner_sku]])-FIND("/",Table37[[#This Row],[spawner_sku]])),Table28[Entity Prefab],0)),26,1,1,"Entities"))</f>
        <v>no</v>
      </c>
      <c r="GN77">
        <v>1</v>
      </c>
      <c r="GO77">
        <v>1</v>
      </c>
      <c r="GP77" t="b">
        <v>0</v>
      </c>
    </row>
    <row r="78" spans="2:198" x14ac:dyDescent="0.25">
      <c r="B78" s="72" t="s">
        <v>215</v>
      </c>
      <c r="C78">
        <v>8</v>
      </c>
      <c r="D78">
        <v>200</v>
      </c>
      <c r="E78">
        <v>80</v>
      </c>
      <c r="F78" s="74">
        <f ca="1">INDIRECT(ADDRESS(11+(MATCH(RIGHT(Table245[[#This Row],[spawner_sku]],LEN(Table245[[#This Row],[spawner_sku]])-FIND("/",Table245[[#This Row],[spawner_sku]])),Table1[Entity Prefab],0)),10,1,1,"Entities"))</f>
        <v>25</v>
      </c>
      <c r="G78" s="74">
        <f ca="1">ROUND((Table245[[#This Row],[XP]]*Table245[[#This Row],[entity_spawned (AVG)]])*(Table245[[#This Row],[activating_chance]]/100),0)</f>
        <v>160</v>
      </c>
      <c r="H78" s="71" t="str">
        <f ca="1">INDIRECT(ADDRESS(11+(MATCH(RIGHT(Table245[[#This Row],[spawner_sku]],LEN(Table245[[#This Row],[spawner_sku]])-FIND("/",Table245[[#This Row],[spawner_sku]])),Table28[Entity Prefab],0)),24,1,1,"Entities"))</f>
        <v>no</v>
      </c>
      <c r="I78" s="71">
        <v>6</v>
      </c>
      <c r="J78" s="71">
        <v>10</v>
      </c>
      <c r="K78" s="71" t="b">
        <v>1</v>
      </c>
      <c r="M78" t="s">
        <v>8112</v>
      </c>
      <c r="N78">
        <v>1</v>
      </c>
      <c r="O78">
        <v>300</v>
      </c>
      <c r="P78">
        <v>100</v>
      </c>
      <c r="Q78" s="74">
        <f ca="1">INDIRECT(ADDRESS(11+(MATCH(RIGHT(Table3[[#This Row],[spawner_sku]],LEN(Table3[[#This Row],[spawner_sku]])-FIND("/",Table3[[#This Row],[spawner_sku]])),Table1[Entity Prefab],0)),10,1,1,"Entities"))</f>
        <v>150</v>
      </c>
      <c r="R78" s="74">
        <f ca="1">ROUND((Table3[[#This Row],[XP]]*Table3[[#This Row],[entity_spawned (AVG)]])*(Table3[[#This Row],[activating_chance]]/100),0)</f>
        <v>150</v>
      </c>
      <c r="S78" t="str">
        <f ca="1">INDIRECT(ADDRESS(11+(MATCH(RIGHT(Table3[[#This Row],[spawner_sku]],LEN(Table3[[#This Row],[spawner_sku]])-FIND("/",Table3[[#This Row],[spawner_sku]])),Table28[Entity Prefab],0)),24,1,1,"Entities"))</f>
        <v>yes</v>
      </c>
      <c r="T78">
        <v>1</v>
      </c>
      <c r="U78">
        <v>1</v>
      </c>
      <c r="V78" t="b">
        <v>0</v>
      </c>
      <c r="W78" s="71"/>
      <c r="X78" t="s">
        <v>241</v>
      </c>
      <c r="Y78">
        <v>1</v>
      </c>
      <c r="Z78">
        <v>170</v>
      </c>
      <c r="AA78">
        <v>80</v>
      </c>
      <c r="AB78" s="74">
        <f ca="1">INDIRECT(ADDRESS(11+(MATCH(RIGHT(Table39[[#This Row],[spawner_sku]],LEN(Table39[[#This Row],[spawner_sku]])-FIND("/",Table39[[#This Row],[spawner_sku]])),Table1[Entity Prefab],0)),10,1,1,"Entities"))</f>
        <v>70</v>
      </c>
      <c r="AC78" s="74">
        <f ca="1">ROUND((Table39[[#This Row],[XP]]*Table39[[#This Row],[entity_spawned (AVG)]])*(Table39[[#This Row],[activating_chance]]/100),0)</f>
        <v>56</v>
      </c>
      <c r="AD78" t="str">
        <f ca="1">INDIRECT(ADDRESS(11+(MATCH(RIGHT(Table39[[#This Row],[spawner_sku]],LEN(Table39[[#This Row],[spawner_sku]])-FIND("/",Table39[[#This Row],[spawner_sku]])),Table28[Entity Prefab],0)),24,1,1,"Entities"))</f>
        <v>yes</v>
      </c>
      <c r="AE78">
        <v>1</v>
      </c>
      <c r="AF78">
        <v>1</v>
      </c>
      <c r="AG78" t="b">
        <v>0</v>
      </c>
      <c r="AI78" t="s">
        <v>215</v>
      </c>
      <c r="AJ78">
        <v>3.5</v>
      </c>
      <c r="AK78">
        <v>170</v>
      </c>
      <c r="AL78">
        <v>100</v>
      </c>
      <c r="AM78" s="74">
        <f ca="1">INDIRECT(ADDRESS(11+(MATCH(RIGHT(Table2[[#This Row],[spawner_sku]],LEN(Table2[[#This Row],[spawner_sku]])-FIND("/",Table2[[#This Row],[spawner_sku]])),Table1[Entity Prefab],0)),10,1,1,"Entities"))</f>
        <v>25</v>
      </c>
      <c r="AN78" s="74">
        <f ca="1">ROUND((Table2[[#This Row],[XP]]*Table2[[#This Row],[entity_spawned (AVG)]])*(Table2[[#This Row],[activating_chance]]/100),0)</f>
        <v>88</v>
      </c>
      <c r="AO78" s="71" t="str">
        <f ca="1">INDIRECT(ADDRESS(11+(MATCH(RIGHT(Table2[[#This Row],[spawner_sku]],LEN(Table2[[#This Row],[spawner_sku]])-FIND("/",Table2[[#This Row],[spawner_sku]])),Table28[Entity Prefab],0)),24,1,1,"Entities"))</f>
        <v>no</v>
      </c>
      <c r="AP78" s="71">
        <v>3</v>
      </c>
      <c r="AQ78" s="71">
        <v>4</v>
      </c>
      <c r="AR78" s="71" t="b">
        <v>0</v>
      </c>
      <c r="AT78" t="s">
        <v>219</v>
      </c>
      <c r="AU78">
        <v>1</v>
      </c>
      <c r="AV78">
        <v>250</v>
      </c>
      <c r="AW78">
        <v>100</v>
      </c>
      <c r="AX78" s="74">
        <f ca="1">INDIRECT(ADDRESS(11+(MATCH(RIGHT(Table6[[#This Row],[spawner_sku]],LEN(Table6[[#This Row],[spawner_sku]])-FIND("/",Table6[[#This Row],[spawner_sku]])),Table1[Entity Prefab],0)),10,1,1,"Entities"))</f>
        <v>143</v>
      </c>
      <c r="AY78" s="74">
        <f ca="1">ROUND((Table6[[#This Row],[XP]]*Table6[[#This Row],[entity_spawned (AVG)]])*(Table6[[#This Row],[activating_chance]]/100),0)</f>
        <v>143</v>
      </c>
      <c r="AZ78" s="144" t="str">
        <f ca="1">INDIRECT(ADDRESS(11+(MATCH(RIGHT(Table6[[#This Row],[spawner_sku]],LEN(Table6[[#This Row],[spawner_sku]])-FIND("/",Table6[[#This Row],[spawner_sku]])),Table28[Entity Prefab],0)),24,1,1,"Entities"))</f>
        <v>yes</v>
      </c>
      <c r="BA78">
        <v>1</v>
      </c>
      <c r="BB78">
        <v>1</v>
      </c>
      <c r="BC78" t="b">
        <v>0</v>
      </c>
      <c r="BE78" t="s">
        <v>220</v>
      </c>
      <c r="BF78">
        <v>2.5</v>
      </c>
      <c r="BG78">
        <v>300</v>
      </c>
      <c r="BH78">
        <v>100</v>
      </c>
      <c r="BI78" s="74">
        <f ca="1">INDIRECT(ADDRESS(11+(MATCH(RIGHT(Table610[[#This Row],[spawner_sku]],LEN(Table610[[#This Row],[spawner_sku]])-FIND("/",Table610[[#This Row],[spawner_sku]])),Table1[Entity Prefab],0)),10,1,1,"Entities"))</f>
        <v>195</v>
      </c>
      <c r="BJ78" s="74">
        <f ca="1">ROUND((Table610[[#This Row],[XP]]*Table610[[#This Row],[entity_spawned (AVG)]])*(Table610[[#This Row],[activating_chance]]/100),0)</f>
        <v>488</v>
      </c>
      <c r="BK78" s="71" t="str">
        <f ca="1">INDIRECT(ADDRESS(11+(MATCH(RIGHT(Table610[[#This Row],[spawner_sku]],LEN(Table610[[#This Row],[spawner_sku]])-FIND("/",Table610[[#This Row],[spawner_sku]])),Table28[Entity Prefab],0)),24,1,1,"Entities"))</f>
        <v>yes</v>
      </c>
      <c r="BL78">
        <v>2</v>
      </c>
      <c r="BM78">
        <v>3</v>
      </c>
      <c r="BN78" t="b">
        <v>0</v>
      </c>
      <c r="BP78" t="s">
        <v>216</v>
      </c>
      <c r="BQ78">
        <v>3.5</v>
      </c>
      <c r="BR78">
        <v>210</v>
      </c>
      <c r="BS78">
        <v>80</v>
      </c>
      <c r="BT78" s="74">
        <f ca="1">INDIRECT(ADDRESS(11+(MATCH(RIGHT(Table61011[[#This Row],[spawner_sku]],LEN(Table61011[[#This Row],[spawner_sku]])-FIND("/",Table61011[[#This Row],[spawner_sku]])),Table1[Entity Prefab],0)),10,1,1,"Entities"))</f>
        <v>25</v>
      </c>
      <c r="BU78" s="74">
        <f ca="1">ROUND((Table61011[[#This Row],[XP]]*Table61011[[#This Row],[entity_spawned (AVG)]])*(Table61011[[#This Row],[activating_chance]]/100),0)</f>
        <v>70</v>
      </c>
      <c r="BV78" s="71" t="str">
        <f ca="1">INDIRECT(ADDRESS(11+(MATCH(RIGHT(Table61011[[#This Row],[spawner_sku]],LEN(Table61011[[#This Row],[spawner_sku]])-FIND("/",Table61011[[#This Row],[spawner_sku]])),Table28[Entity Prefab],0)),24,1,1,"Entities"))</f>
        <v>no</v>
      </c>
      <c r="BW78" s="71">
        <v>3</v>
      </c>
      <c r="BX78" s="71">
        <v>4</v>
      </c>
      <c r="BY78" s="71" t="b">
        <v>0</v>
      </c>
      <c r="BZ78" s="71"/>
      <c r="CA78" s="147" t="s">
        <v>8142</v>
      </c>
      <c r="CB78">
        <v>1</v>
      </c>
      <c r="CC78">
        <v>200</v>
      </c>
      <c r="CD78">
        <v>100</v>
      </c>
      <c r="CE78" s="74">
        <f ca="1">INDIRECT(ADDRESS(11+(MATCH(RIGHT(Table35[[#This Row],[spawner_sku]],LEN(Table35[[#This Row],[spawner_sku]])-FIND("/",Table35[[#This Row],[spawner_sku]])),Table1[Entity Prefab],0)),10,1,1,"Entities"))</f>
        <v>75</v>
      </c>
      <c r="CF78" s="74">
        <f ca="1">ROUND((Table35[[#This Row],[XP]]*Table35[[#This Row],[entity_spawned (AVG)]])*(Table35[[#This Row],[activating_chance]]/100),0)</f>
        <v>75</v>
      </c>
      <c r="CG78" s="144" t="str">
        <f ca="1">INDIRECT(ADDRESS(11+(MATCH(RIGHT(Table35[[#This Row],[spawner_sku]],LEN(Table35[[#This Row],[spawner_sku]])-FIND("/",Table35[[#This Row],[spawner_sku]])),Table28[Entity Prefab],0)),24,1,1,"Entities"))</f>
        <v>no</v>
      </c>
      <c r="CH78">
        <v>1</v>
      </c>
      <c r="CI78">
        <v>1</v>
      </c>
      <c r="CJ78" s="71" t="b">
        <v>0</v>
      </c>
      <c r="CL78" t="s">
        <v>215</v>
      </c>
      <c r="CM78">
        <v>5.5</v>
      </c>
      <c r="CN78">
        <v>170</v>
      </c>
      <c r="CO78">
        <v>100</v>
      </c>
      <c r="CP78" s="74">
        <f ca="1">INDIRECT(ADDRESS(11+(MATCH(RIGHT(Table11[[#This Row],[spawner_sku]],LEN(Table11[[#This Row],[spawner_sku]])-FIND("/",Table11[[#This Row],[spawner_sku]])),Table1[Entity Prefab],0)),10,1,1,"Entities"))</f>
        <v>25</v>
      </c>
      <c r="CQ78">
        <f ca="1">ROUND((Table11[[#This Row],[XP]]*Table11[[#This Row],[entity_spawned (AVG)]])*(Table11[[#This Row],[activating_chance]]/100),0)</f>
        <v>138</v>
      </c>
      <c r="CR78" s="144" t="str">
        <f ca="1">INDIRECT(ADDRESS(11+(MATCH(RIGHT(Table11[[#This Row],[spawner_sku]],LEN(Table11[[#This Row],[spawner_sku]])-FIND("/",Table11[[#This Row],[spawner_sku]])),Table28[Entity Prefab],0)),25,1,1,"Entities"))</f>
        <v>no</v>
      </c>
      <c r="CS78" s="71">
        <v>5</v>
      </c>
      <c r="CT78" s="71">
        <v>6</v>
      </c>
      <c r="CU78" s="71" t="b">
        <v>1</v>
      </c>
      <c r="CW78" t="s">
        <v>231</v>
      </c>
      <c r="CX78">
        <v>1</v>
      </c>
      <c r="CY78">
        <v>220</v>
      </c>
      <c r="CZ78">
        <v>100</v>
      </c>
      <c r="DA78" s="74">
        <f ca="1">INDIRECT(ADDRESS(11+(MATCH(RIGHT(Table12[[#This Row],[spawner_sku]],LEN(Table12[[#This Row],[spawner_sku]])-FIND("/",Table12[[#This Row],[spawner_sku]])),Table1[Entity Prefab],0)),10,1,1,"Entities"))</f>
        <v>25</v>
      </c>
      <c r="DB78" s="74">
        <f ca="1">ROUND((Table12[[#This Row],[XP]]*Table12[[#This Row],[entity_spawned (AVG)]])*(Table12[[#This Row],[activating_chance]]/100),0)</f>
        <v>25</v>
      </c>
      <c r="DC78" s="144" t="str">
        <f ca="1">INDIRECT(ADDRESS(11+(MATCH(RIGHT(Table12[[#This Row],[spawner_sku]],LEN(Table12[[#This Row],[spawner_sku]])-FIND("/",Table12[[#This Row],[spawner_sku]])),Table28[Entity Prefab],0)),25,1,1,"Entities"))</f>
        <v>no</v>
      </c>
      <c r="DD78" s="71">
        <v>1</v>
      </c>
      <c r="DE78" s="71">
        <v>1</v>
      </c>
      <c r="DF78" s="71" t="b">
        <v>0</v>
      </c>
      <c r="DH78" t="s">
        <v>221</v>
      </c>
      <c r="DI78">
        <v>1</v>
      </c>
      <c r="DJ78">
        <v>340</v>
      </c>
      <c r="DK78">
        <v>100</v>
      </c>
      <c r="DL78" s="74">
        <f ca="1">INDIRECT(ADDRESS(11+(MATCH(RIGHT(Table13[[#This Row],[spawner_sku]],LEN(Table13[[#This Row],[spawner_sku]])-FIND("/",Table13[[#This Row],[spawner_sku]])),Table1[Entity Prefab],0)),10,1,1,"Entities"))</f>
        <v>263</v>
      </c>
      <c r="DM78" s="74">
        <f ca="1">ROUND((Table13[[#This Row],[XP]]*Table13[[#This Row],[entity_spawned (AVG)]])*(Table13[[#This Row],[activating_chance]]/100),0)</f>
        <v>263</v>
      </c>
      <c r="DN78" s="144" t="str">
        <f ca="1">INDIRECT(ADDRESS(11+(MATCH(RIGHT(Table13[[#This Row],[spawner_sku]],LEN(Table13[[#This Row],[spawner_sku]])-FIND("/",Table13[[#This Row],[spawner_sku]])),Table28[Entity Prefab],0)),25,1,1,"Entities"))</f>
        <v>yes</v>
      </c>
      <c r="DO78" s="71">
        <v>1</v>
      </c>
      <c r="DP78" s="71">
        <v>1</v>
      </c>
      <c r="DQ78" s="71" t="b">
        <v>0</v>
      </c>
      <c r="DS78" t="s">
        <v>214</v>
      </c>
      <c r="DT78">
        <v>7</v>
      </c>
      <c r="DU78">
        <v>180</v>
      </c>
      <c r="DV78">
        <v>100</v>
      </c>
      <c r="DW78" s="74">
        <f ca="1">INDIRECT(ADDRESS(11+(MATCH(RIGHT(Table14[[#This Row],[spawner_sku]],LEN(Table14[[#This Row],[spawner_sku]])-FIND("/",Table14[[#This Row],[spawner_sku]])),Table1[Entity Prefab],0)),10,1,1,"Entities"))</f>
        <v>25</v>
      </c>
      <c r="DX78" s="74">
        <f ca="1">ROUND((Table14[[#This Row],[XP]]*Table14[[#This Row],[entity_spawned (AVG)]])*(Table14[[#This Row],[activating_chance]]/100),0)</f>
        <v>175</v>
      </c>
      <c r="DY78" s="144" t="str">
        <f ca="1">INDIRECT(ADDRESS(11+(MATCH(RIGHT(Table14[[#This Row],[spawner_sku]],LEN(Table14[[#This Row],[spawner_sku]])-FIND("/",Table14[[#This Row],[spawner_sku]])),Table28[Entity Prefab],0)),25,1,1,"Entities"))</f>
        <v>no</v>
      </c>
      <c r="DZ78" s="71">
        <v>6</v>
      </c>
      <c r="EA78" s="71">
        <v>8</v>
      </c>
      <c r="EB78" s="71" t="b">
        <v>1</v>
      </c>
      <c r="EC78" s="71"/>
      <c r="ED78" s="147" t="s">
        <v>8142</v>
      </c>
      <c r="EE78" s="71">
        <v>1</v>
      </c>
      <c r="EF78" s="71">
        <v>200</v>
      </c>
      <c r="EG78" s="71">
        <v>80</v>
      </c>
      <c r="EH78" s="71">
        <f ca="1">INDIRECT(ADDRESS(11+(MATCH(RIGHT(Table36[[#This Row],[spawner_sku]],LEN(Table36[[#This Row],[spawner_sku]])-FIND("/",Table36[[#This Row],[spawner_sku]])),Table1[Entity Prefab],0)),10,1,1,"Entities"))</f>
        <v>75</v>
      </c>
      <c r="EI78" s="71">
        <f ca="1">ROUND((Table36[[#This Row],[XP]]*Table36[[#This Row],[entity_spawned (AVG)]])*(Table36[[#This Row],[activating_chance]]/100),0)</f>
        <v>60</v>
      </c>
      <c r="EJ78" s="71" t="str">
        <f ca="1">INDIRECT(ADDRESS(11+(MATCH(RIGHT(Table36[[#This Row],[spawner_sku]],LEN(Table36[[#This Row],[spawner_sku]])-FIND("/",Table36[[#This Row],[spawner_sku]])),Table28[Entity Prefab],0)),25,1,1,"Entities"))</f>
        <v>no</v>
      </c>
      <c r="EK78" s="71">
        <v>1</v>
      </c>
      <c r="EL78" s="71">
        <v>1</v>
      </c>
      <c r="EM78" s="71" t="b">
        <v>0</v>
      </c>
      <c r="EO78" t="s">
        <v>214</v>
      </c>
      <c r="EP78">
        <v>7</v>
      </c>
      <c r="EQ78">
        <v>160</v>
      </c>
      <c r="ER78">
        <v>30</v>
      </c>
      <c r="ES78" s="74">
        <f ca="1">INDIRECT(ADDRESS(11+(MATCH(RIGHT(Table18[[#This Row],[spawner_sku]],LEN(Table18[[#This Row],[spawner_sku]])-FIND("/",Table18[[#This Row],[spawner_sku]])),Table1[Entity Prefab],0)),10,1,1,"Entities"))</f>
        <v>25</v>
      </c>
      <c r="ET78" s="74">
        <f ca="1">ROUND((Table18[[#This Row],[XP]]*Table18[[#This Row],[entity_spawned (AVG)]])*(Table18[[#This Row],[activating_chance]]/100),0)</f>
        <v>53</v>
      </c>
      <c r="EU78" s="74" t="str">
        <f ca="1">INDIRECT(ADDRESS(11+(MATCH(RIGHT(Table18[[#This Row],[spawner_sku]],LEN(Table18[[#This Row],[spawner_sku]])-FIND("/",Table18[[#This Row],[spawner_sku]])),Table28[Entity Prefab],0)),26,1,1,"Entities"))</f>
        <v>no</v>
      </c>
      <c r="EV78">
        <v>6</v>
      </c>
      <c r="EW78">
        <v>8</v>
      </c>
      <c r="EX78" t="b">
        <v>1</v>
      </c>
      <c r="EZ78" t="s">
        <v>214</v>
      </c>
      <c r="FA78">
        <v>2.5</v>
      </c>
      <c r="FB78">
        <v>140</v>
      </c>
      <c r="FC78">
        <v>100</v>
      </c>
      <c r="FD78" s="74">
        <f ca="1">INDIRECT(ADDRESS(11+(MATCH(RIGHT(Table1820[[#This Row],[spawner_sku]],LEN(Table1820[[#This Row],[spawner_sku]])-FIND("/",Table1820[[#This Row],[spawner_sku]])),Table1[Entity Prefab],0)),10,1,1,"Entities"))</f>
        <v>25</v>
      </c>
      <c r="FE78" s="74">
        <f ca="1">ROUND((Table1820[[#This Row],[XP]]*Table1820[[#This Row],[entity_spawned (AVG)]])*(Table1820[[#This Row],[activating_chance]]/100),0)</f>
        <v>63</v>
      </c>
      <c r="FF78" s="74" t="str">
        <f ca="1">INDIRECT(ADDRESS(11+(MATCH(RIGHT(Table1820[[#This Row],[spawner_sku]],LEN(Table1820[[#This Row],[spawner_sku]])-FIND("/",Table1820[[#This Row],[spawner_sku]])),Table28[Entity Prefab],0)),26,1,1,"Entities"))</f>
        <v>no</v>
      </c>
      <c r="FG78">
        <v>2</v>
      </c>
      <c r="FH78">
        <v>3</v>
      </c>
      <c r="FI78" t="b">
        <v>0</v>
      </c>
      <c r="FK78" t="s">
        <v>2695</v>
      </c>
      <c r="FL78">
        <v>5.5</v>
      </c>
      <c r="FM78">
        <v>100</v>
      </c>
      <c r="FN78">
        <v>100</v>
      </c>
      <c r="FO78">
        <f ca="1">INDIRECT(ADDRESS(11+(MATCH(RIGHT(Table182023[[#This Row],[spawner_sku]],LEN(Table182023[[#This Row],[spawner_sku]])-FIND("/",Table182023[[#This Row],[spawner_sku]])),Table1[Entity Prefab],0)),10,1,1,"Entities"))</f>
        <v>40</v>
      </c>
      <c r="FP78">
        <f ca="1">ROUND((Table182023[[#This Row],[XP]]*Table182023[[#This Row],[entity_spawned (AVG)]])*(Table182023[[#This Row],[activating_chance]]/100),0)</f>
        <v>220</v>
      </c>
      <c r="FQ78" t="str">
        <f ca="1">INDIRECT(ADDRESS(11+(MATCH(RIGHT(Table182023[[#This Row],[spawner_sku]],LEN(Table182023[[#This Row],[spawner_sku]])-FIND("/",Table182023[[#This Row],[spawner_sku]])),Table28[Entity Prefab],0)),26,1,1,"Entities"))</f>
        <v>no</v>
      </c>
      <c r="FR78">
        <v>5</v>
      </c>
      <c r="FS78">
        <v>6</v>
      </c>
      <c r="FT78" t="b">
        <v>1</v>
      </c>
      <c r="FV78" t="s">
        <v>2701</v>
      </c>
      <c r="FW78">
        <v>1</v>
      </c>
      <c r="FX78">
        <v>500</v>
      </c>
      <c r="FY78">
        <v>100</v>
      </c>
      <c r="FZ78" s="74">
        <f ca="1">INDIRECT(ADDRESS(11+(MATCH(RIGHT(Table18202324[[#This Row],[spawner_sku]],LEN(Table18202324[[#This Row],[spawner_sku]])-FIND("/",Table18202324[[#This Row],[spawner_sku]])),Table1[Entity Prefab],0)),10,1,1,"Entities"))</f>
        <v>130</v>
      </c>
      <c r="GA78" s="74">
        <f ca="1">ROUND((Table18202324[[#This Row],[XP]]*Table18202324[[#This Row],[entity_spawned (AVG)]])*(Table18202324[[#This Row],[activating_chance]]/100),0)</f>
        <v>130</v>
      </c>
      <c r="GB78" s="74" t="str">
        <f ca="1">INDIRECT(ADDRESS(11+(MATCH(RIGHT(Table18202324[[#This Row],[spawner_sku]],LEN(Table18202324[[#This Row],[spawner_sku]])-FIND("/",Table18202324[[#This Row],[spawner_sku]])),Table28[Entity Prefab],0)),26,1,1,"Entities"))</f>
        <v>yes</v>
      </c>
      <c r="GC78">
        <v>1</v>
      </c>
      <c r="GD78">
        <v>1</v>
      </c>
      <c r="GE78" t="b">
        <v>0</v>
      </c>
      <c r="GG78" t="s">
        <v>3816</v>
      </c>
      <c r="GH78">
        <v>1</v>
      </c>
      <c r="GI78">
        <v>240</v>
      </c>
      <c r="GJ78">
        <v>100</v>
      </c>
      <c r="GK78">
        <f ca="1">INDIRECT(ADDRESS(11+(MATCH(RIGHT(Table37[[#This Row],[spawner_sku]],LEN(Table37[[#This Row],[spawner_sku]])-FIND("/",Table37[[#This Row],[spawner_sku]])),Table1[Entity Prefab],0)),10,1,1,"Entities"))</f>
        <v>50</v>
      </c>
      <c r="GL78">
        <f ca="1">ROUND((Table37[[#This Row],[XP]]*Table37[[#This Row],[entity_spawned (AVG)]])*(Table37[[#This Row],[activating_chance]]/100),0)</f>
        <v>50</v>
      </c>
      <c r="GM78" t="str">
        <f ca="1">INDIRECT(ADDRESS(11+(MATCH(RIGHT(Table37[[#This Row],[spawner_sku]],LEN(Table37[[#This Row],[spawner_sku]])-FIND("/",Table37[[#This Row],[spawner_sku]])),Table28[Entity Prefab],0)),26,1,1,"Entities"))</f>
        <v>no</v>
      </c>
      <c r="GN78">
        <v>1</v>
      </c>
      <c r="GO78">
        <v>1</v>
      </c>
      <c r="GP78" t="b">
        <v>0</v>
      </c>
    </row>
    <row r="79" spans="2:198" x14ac:dyDescent="0.25">
      <c r="B79" s="72" t="s">
        <v>215</v>
      </c>
      <c r="C79">
        <v>6.5</v>
      </c>
      <c r="D79">
        <v>140</v>
      </c>
      <c r="E79">
        <v>100</v>
      </c>
      <c r="F79" s="74">
        <f ca="1">INDIRECT(ADDRESS(11+(MATCH(RIGHT(Table245[[#This Row],[spawner_sku]],LEN(Table245[[#This Row],[spawner_sku]])-FIND("/",Table245[[#This Row],[spawner_sku]])),Table1[Entity Prefab],0)),10,1,1,"Entities"))</f>
        <v>25</v>
      </c>
      <c r="G79" s="74">
        <f ca="1">ROUND((Table245[[#This Row],[XP]]*Table245[[#This Row],[entity_spawned (AVG)]])*(Table245[[#This Row],[activating_chance]]/100),0)</f>
        <v>163</v>
      </c>
      <c r="H79" s="71" t="str">
        <f ca="1">INDIRECT(ADDRESS(11+(MATCH(RIGHT(Table245[[#This Row],[spawner_sku]],LEN(Table245[[#This Row],[spawner_sku]])-FIND("/",Table245[[#This Row],[spawner_sku]])),Table28[Entity Prefab],0)),24,1,1,"Entities"))</f>
        <v>no</v>
      </c>
      <c r="I79" s="71">
        <v>5</v>
      </c>
      <c r="J79" s="71">
        <v>8</v>
      </c>
      <c r="K79" s="71" t="b">
        <v>1</v>
      </c>
      <c r="M79" t="s">
        <v>423</v>
      </c>
      <c r="N79">
        <v>2</v>
      </c>
      <c r="O79">
        <v>180</v>
      </c>
      <c r="P79">
        <v>80</v>
      </c>
      <c r="Q79" s="74">
        <f ca="1">INDIRECT(ADDRESS(11+(MATCH(RIGHT(Table3[[#This Row],[spawner_sku]],LEN(Table3[[#This Row],[spawner_sku]])-FIND("/",Table3[[#This Row],[spawner_sku]])),Table1[Entity Prefab],0)),10,1,1,"Entities"))</f>
        <v>0</v>
      </c>
      <c r="R79" s="74">
        <f ca="1">ROUND((Table3[[#This Row],[XP]]*Table3[[#This Row],[entity_spawned (AVG)]])*(Table3[[#This Row],[activating_chance]]/100),0)</f>
        <v>0</v>
      </c>
      <c r="S79" t="str">
        <f ca="1">INDIRECT(ADDRESS(11+(MATCH(RIGHT(Table3[[#This Row],[spawner_sku]],LEN(Table3[[#This Row],[spawner_sku]])-FIND("/",Table3[[#This Row],[spawner_sku]])),Table28[Entity Prefab],0)),24,1,1,"Entities"))</f>
        <v>yes</v>
      </c>
      <c r="T79">
        <v>2</v>
      </c>
      <c r="U79">
        <v>2</v>
      </c>
      <c r="V79" t="b">
        <v>0</v>
      </c>
      <c r="W79" s="71"/>
      <c r="X79" t="s">
        <v>242</v>
      </c>
      <c r="Y79">
        <v>1.5</v>
      </c>
      <c r="Z79">
        <v>150</v>
      </c>
      <c r="AA79">
        <v>40</v>
      </c>
      <c r="AB79" s="74">
        <f ca="1">INDIRECT(ADDRESS(11+(MATCH(RIGHT(Table39[[#This Row],[spawner_sku]],LEN(Table39[[#This Row],[spawner_sku]])-FIND("/",Table39[[#This Row],[spawner_sku]])),Table1[Entity Prefab],0)),10,1,1,"Entities"))</f>
        <v>25</v>
      </c>
      <c r="AC79" s="74">
        <f ca="1">ROUND((Table39[[#This Row],[XP]]*Table39[[#This Row],[entity_spawned (AVG)]])*(Table39[[#This Row],[activating_chance]]/100),0)</f>
        <v>15</v>
      </c>
      <c r="AD79" t="str">
        <f ca="1">INDIRECT(ADDRESS(11+(MATCH(RIGHT(Table39[[#This Row],[spawner_sku]],LEN(Table39[[#This Row],[spawner_sku]])-FIND("/",Table39[[#This Row],[spawner_sku]])),Table28[Entity Prefab],0)),24,1,1,"Entities"))</f>
        <v>no</v>
      </c>
      <c r="AE79">
        <v>1</v>
      </c>
      <c r="AF79">
        <v>2</v>
      </c>
      <c r="AG79" t="b">
        <v>0</v>
      </c>
      <c r="AI79" t="s">
        <v>215</v>
      </c>
      <c r="AJ79">
        <v>2</v>
      </c>
      <c r="AK79">
        <v>120</v>
      </c>
      <c r="AL79">
        <v>100</v>
      </c>
      <c r="AM79" s="74">
        <f ca="1">INDIRECT(ADDRESS(11+(MATCH(RIGHT(Table2[[#This Row],[spawner_sku]],LEN(Table2[[#This Row],[spawner_sku]])-FIND("/",Table2[[#This Row],[spawner_sku]])),Table1[Entity Prefab],0)),10,1,1,"Entities"))</f>
        <v>25</v>
      </c>
      <c r="AN79" s="74">
        <f ca="1">ROUND((Table2[[#This Row],[XP]]*Table2[[#This Row],[entity_spawned (AVG)]])*(Table2[[#This Row],[activating_chance]]/100),0)</f>
        <v>50</v>
      </c>
      <c r="AO79" s="71" t="str">
        <f ca="1">INDIRECT(ADDRESS(11+(MATCH(RIGHT(Table2[[#This Row],[spawner_sku]],LEN(Table2[[#This Row],[spawner_sku]])-FIND("/",Table2[[#This Row],[spawner_sku]])),Table28[Entity Prefab],0)),24,1,1,"Entities"))</f>
        <v>no</v>
      </c>
      <c r="AP79" s="71">
        <v>1</v>
      </c>
      <c r="AQ79" s="71">
        <v>3</v>
      </c>
      <c r="AR79" s="71" t="b">
        <v>0</v>
      </c>
      <c r="AT79" t="s">
        <v>219</v>
      </c>
      <c r="AU79">
        <v>1</v>
      </c>
      <c r="AV79">
        <v>250</v>
      </c>
      <c r="AW79">
        <v>100</v>
      </c>
      <c r="AX79" s="74">
        <f ca="1">INDIRECT(ADDRESS(11+(MATCH(RIGHT(Table6[[#This Row],[spawner_sku]],LEN(Table6[[#This Row],[spawner_sku]])-FIND("/",Table6[[#This Row],[spawner_sku]])),Table1[Entity Prefab],0)),10,1,1,"Entities"))</f>
        <v>143</v>
      </c>
      <c r="AY79" s="74">
        <f ca="1">ROUND((Table6[[#This Row],[XP]]*Table6[[#This Row],[entity_spawned (AVG)]])*(Table6[[#This Row],[activating_chance]]/100),0)</f>
        <v>143</v>
      </c>
      <c r="AZ79" s="144" t="str">
        <f ca="1">INDIRECT(ADDRESS(11+(MATCH(RIGHT(Table6[[#This Row],[spawner_sku]],LEN(Table6[[#This Row],[spawner_sku]])-FIND("/",Table6[[#This Row],[spawner_sku]])),Table28[Entity Prefab],0)),24,1,1,"Entities"))</f>
        <v>yes</v>
      </c>
      <c r="BA79">
        <v>1</v>
      </c>
      <c r="BB79">
        <v>1</v>
      </c>
      <c r="BC79" t="b">
        <v>0</v>
      </c>
      <c r="BE79" t="s">
        <v>220</v>
      </c>
      <c r="BF79">
        <v>2.5</v>
      </c>
      <c r="BG79">
        <v>300</v>
      </c>
      <c r="BH79">
        <v>100</v>
      </c>
      <c r="BI79" s="74">
        <f ca="1">INDIRECT(ADDRESS(11+(MATCH(RIGHT(Table610[[#This Row],[spawner_sku]],LEN(Table610[[#This Row],[spawner_sku]])-FIND("/",Table610[[#This Row],[spawner_sku]])),Table1[Entity Prefab],0)),10,1,1,"Entities"))</f>
        <v>195</v>
      </c>
      <c r="BJ79" s="74">
        <f ca="1">ROUND((Table610[[#This Row],[XP]]*Table610[[#This Row],[entity_spawned (AVG)]])*(Table610[[#This Row],[activating_chance]]/100),0)</f>
        <v>488</v>
      </c>
      <c r="BK79" s="71" t="str">
        <f ca="1">INDIRECT(ADDRESS(11+(MATCH(RIGHT(Table610[[#This Row],[spawner_sku]],LEN(Table610[[#This Row],[spawner_sku]])-FIND("/",Table610[[#This Row],[spawner_sku]])),Table28[Entity Prefab],0)),24,1,1,"Entities"))</f>
        <v>yes</v>
      </c>
      <c r="BL79">
        <v>2</v>
      </c>
      <c r="BM79">
        <v>3</v>
      </c>
      <c r="BN79" t="b">
        <v>0</v>
      </c>
      <c r="BP79" t="s">
        <v>216</v>
      </c>
      <c r="BQ79">
        <v>3</v>
      </c>
      <c r="BR79">
        <v>200</v>
      </c>
      <c r="BS79">
        <v>100</v>
      </c>
      <c r="BT79" s="74">
        <f ca="1">INDIRECT(ADDRESS(11+(MATCH(RIGHT(Table61011[[#This Row],[spawner_sku]],LEN(Table61011[[#This Row],[spawner_sku]])-FIND("/",Table61011[[#This Row],[spawner_sku]])),Table1[Entity Prefab],0)),10,1,1,"Entities"))</f>
        <v>25</v>
      </c>
      <c r="BU79" s="74">
        <f ca="1">ROUND((Table61011[[#This Row],[XP]]*Table61011[[#This Row],[entity_spawned (AVG)]])*(Table61011[[#This Row],[activating_chance]]/100),0)</f>
        <v>75</v>
      </c>
      <c r="BV79" s="71" t="str">
        <f ca="1">INDIRECT(ADDRESS(11+(MATCH(RIGHT(Table61011[[#This Row],[spawner_sku]],LEN(Table61011[[#This Row],[spawner_sku]])-FIND("/",Table61011[[#This Row],[spawner_sku]])),Table28[Entity Prefab],0)),24,1,1,"Entities"))</f>
        <v>no</v>
      </c>
      <c r="BW79" s="71">
        <v>2</v>
      </c>
      <c r="BX79" s="71">
        <v>4</v>
      </c>
      <c r="BY79" s="71" t="b">
        <v>0</v>
      </c>
      <c r="BZ79" s="71"/>
      <c r="CA79" s="147" t="s">
        <v>8142</v>
      </c>
      <c r="CB79">
        <v>1</v>
      </c>
      <c r="CC79">
        <v>200</v>
      </c>
      <c r="CD79">
        <v>100</v>
      </c>
      <c r="CE79" s="74">
        <f ca="1">INDIRECT(ADDRESS(11+(MATCH(RIGHT(Table35[[#This Row],[spawner_sku]],LEN(Table35[[#This Row],[spawner_sku]])-FIND("/",Table35[[#This Row],[spawner_sku]])),Table1[Entity Prefab],0)),10,1,1,"Entities"))</f>
        <v>75</v>
      </c>
      <c r="CF79" s="74">
        <f ca="1">ROUND((Table35[[#This Row],[XP]]*Table35[[#This Row],[entity_spawned (AVG)]])*(Table35[[#This Row],[activating_chance]]/100),0)</f>
        <v>75</v>
      </c>
      <c r="CG79" s="144" t="str">
        <f ca="1">INDIRECT(ADDRESS(11+(MATCH(RIGHT(Table35[[#This Row],[spawner_sku]],LEN(Table35[[#This Row],[spawner_sku]])-FIND("/",Table35[[#This Row],[spawner_sku]])),Table28[Entity Prefab],0)),24,1,1,"Entities"))</f>
        <v>no</v>
      </c>
      <c r="CH79">
        <v>1</v>
      </c>
      <c r="CI79">
        <v>1</v>
      </c>
      <c r="CJ79" s="71" t="b">
        <v>0</v>
      </c>
      <c r="CL79" t="s">
        <v>215</v>
      </c>
      <c r="CM79">
        <v>1.5</v>
      </c>
      <c r="CN79">
        <v>180</v>
      </c>
      <c r="CO79">
        <v>100</v>
      </c>
      <c r="CP79" s="74">
        <f ca="1">INDIRECT(ADDRESS(11+(MATCH(RIGHT(Table11[[#This Row],[spawner_sku]],LEN(Table11[[#This Row],[spawner_sku]])-FIND("/",Table11[[#This Row],[spawner_sku]])),Table1[Entity Prefab],0)),10,1,1,"Entities"))</f>
        <v>25</v>
      </c>
      <c r="CQ79">
        <f ca="1">ROUND((Table11[[#This Row],[XP]]*Table11[[#This Row],[entity_spawned (AVG)]])*(Table11[[#This Row],[activating_chance]]/100),0)</f>
        <v>38</v>
      </c>
      <c r="CR79" s="144" t="str">
        <f ca="1">INDIRECT(ADDRESS(11+(MATCH(RIGHT(Table11[[#This Row],[spawner_sku]],LEN(Table11[[#This Row],[spawner_sku]])-FIND("/",Table11[[#This Row],[spawner_sku]])),Table28[Entity Prefab],0)),25,1,1,"Entities"))</f>
        <v>no</v>
      </c>
      <c r="CS79" s="71">
        <v>1</v>
      </c>
      <c r="CT79" s="71">
        <v>2</v>
      </c>
      <c r="CU79" s="71" t="b">
        <v>0</v>
      </c>
      <c r="CW79" t="s">
        <v>231</v>
      </c>
      <c r="CX79">
        <v>1</v>
      </c>
      <c r="CY79">
        <v>220</v>
      </c>
      <c r="CZ79">
        <v>100</v>
      </c>
      <c r="DA79" s="74">
        <f ca="1">INDIRECT(ADDRESS(11+(MATCH(RIGHT(Table12[[#This Row],[spawner_sku]],LEN(Table12[[#This Row],[spawner_sku]])-FIND("/",Table12[[#This Row],[spawner_sku]])),Table1[Entity Prefab],0)),10,1,1,"Entities"))</f>
        <v>25</v>
      </c>
      <c r="DB79" s="74">
        <f ca="1">ROUND((Table12[[#This Row],[XP]]*Table12[[#This Row],[entity_spawned (AVG)]])*(Table12[[#This Row],[activating_chance]]/100),0)</f>
        <v>25</v>
      </c>
      <c r="DC79" s="144" t="str">
        <f ca="1">INDIRECT(ADDRESS(11+(MATCH(RIGHT(Table12[[#This Row],[spawner_sku]],LEN(Table12[[#This Row],[spawner_sku]])-FIND("/",Table12[[#This Row],[spawner_sku]])),Table28[Entity Prefab],0)),25,1,1,"Entities"))</f>
        <v>no</v>
      </c>
      <c r="DD79" s="71">
        <v>1</v>
      </c>
      <c r="DE79" s="71">
        <v>1</v>
      </c>
      <c r="DF79" s="71" t="b">
        <v>0</v>
      </c>
      <c r="DH79" t="s">
        <v>221</v>
      </c>
      <c r="DI79">
        <v>1</v>
      </c>
      <c r="DJ79">
        <v>340</v>
      </c>
      <c r="DK79">
        <v>100</v>
      </c>
      <c r="DL79" s="74">
        <f ca="1">INDIRECT(ADDRESS(11+(MATCH(RIGHT(Table13[[#This Row],[spawner_sku]],LEN(Table13[[#This Row],[spawner_sku]])-FIND("/",Table13[[#This Row],[spawner_sku]])),Table1[Entity Prefab],0)),10,1,1,"Entities"))</f>
        <v>263</v>
      </c>
      <c r="DM79" s="74">
        <f ca="1">ROUND((Table13[[#This Row],[XP]]*Table13[[#This Row],[entity_spawned (AVG)]])*(Table13[[#This Row],[activating_chance]]/100),0)</f>
        <v>263</v>
      </c>
      <c r="DN79" s="144" t="str">
        <f ca="1">INDIRECT(ADDRESS(11+(MATCH(RIGHT(Table13[[#This Row],[spawner_sku]],LEN(Table13[[#This Row],[spawner_sku]])-FIND("/",Table13[[#This Row],[spawner_sku]])),Table28[Entity Prefab],0)),25,1,1,"Entities"))</f>
        <v>yes</v>
      </c>
      <c r="DO79" s="71">
        <v>1</v>
      </c>
      <c r="DP79" s="71">
        <v>1</v>
      </c>
      <c r="DQ79" s="71" t="b">
        <v>0</v>
      </c>
      <c r="DS79" t="s">
        <v>214</v>
      </c>
      <c r="DT79">
        <v>3.5</v>
      </c>
      <c r="DU79">
        <v>80</v>
      </c>
      <c r="DV79">
        <v>100</v>
      </c>
      <c r="DW79" s="74">
        <f ca="1">INDIRECT(ADDRESS(11+(MATCH(RIGHT(Table14[[#This Row],[spawner_sku]],LEN(Table14[[#This Row],[spawner_sku]])-FIND("/",Table14[[#This Row],[spawner_sku]])),Table1[Entity Prefab],0)),10,1,1,"Entities"))</f>
        <v>25</v>
      </c>
      <c r="DX79" s="74">
        <f ca="1">ROUND((Table14[[#This Row],[XP]]*Table14[[#This Row],[entity_spawned (AVG)]])*(Table14[[#This Row],[activating_chance]]/100),0)</f>
        <v>88</v>
      </c>
      <c r="DY79" s="144" t="str">
        <f ca="1">INDIRECT(ADDRESS(11+(MATCH(RIGHT(Table14[[#This Row],[spawner_sku]],LEN(Table14[[#This Row],[spawner_sku]])-FIND("/",Table14[[#This Row],[spawner_sku]])),Table28[Entity Prefab],0)),25,1,1,"Entities"))</f>
        <v>no</v>
      </c>
      <c r="DZ79" s="71">
        <v>3</v>
      </c>
      <c r="EA79" s="71">
        <v>4</v>
      </c>
      <c r="EB79" s="71" t="b">
        <v>0</v>
      </c>
      <c r="EC79" s="71"/>
      <c r="ED79" s="147" t="s">
        <v>8142</v>
      </c>
      <c r="EE79" s="71">
        <v>1</v>
      </c>
      <c r="EF79" s="71">
        <v>200</v>
      </c>
      <c r="EG79" s="71">
        <v>100</v>
      </c>
      <c r="EH79" s="71">
        <f ca="1">INDIRECT(ADDRESS(11+(MATCH(RIGHT(Table36[[#This Row],[spawner_sku]],LEN(Table36[[#This Row],[spawner_sku]])-FIND("/",Table36[[#This Row],[spawner_sku]])),Table1[Entity Prefab],0)),10,1,1,"Entities"))</f>
        <v>75</v>
      </c>
      <c r="EI79" s="71">
        <f ca="1">ROUND((Table36[[#This Row],[XP]]*Table36[[#This Row],[entity_spawned (AVG)]])*(Table36[[#This Row],[activating_chance]]/100),0)</f>
        <v>75</v>
      </c>
      <c r="EJ79" s="71" t="str">
        <f ca="1">INDIRECT(ADDRESS(11+(MATCH(RIGHT(Table36[[#This Row],[spawner_sku]],LEN(Table36[[#This Row],[spawner_sku]])-FIND("/",Table36[[#This Row],[spawner_sku]])),Table28[Entity Prefab],0)),25,1,1,"Entities"))</f>
        <v>no</v>
      </c>
      <c r="EK79" s="71">
        <v>1</v>
      </c>
      <c r="EL79" s="71">
        <v>1</v>
      </c>
      <c r="EM79" s="71" t="b">
        <v>0</v>
      </c>
      <c r="EO79" t="s">
        <v>214</v>
      </c>
      <c r="EP79">
        <v>2.5</v>
      </c>
      <c r="EQ79">
        <v>100</v>
      </c>
      <c r="ER79">
        <v>100</v>
      </c>
      <c r="ES79" s="74">
        <f ca="1">INDIRECT(ADDRESS(11+(MATCH(RIGHT(Table18[[#This Row],[spawner_sku]],LEN(Table18[[#This Row],[spawner_sku]])-FIND("/",Table18[[#This Row],[spawner_sku]])),Table1[Entity Prefab],0)),10,1,1,"Entities"))</f>
        <v>25</v>
      </c>
      <c r="ET79" s="74">
        <f ca="1">ROUND((Table18[[#This Row],[XP]]*Table18[[#This Row],[entity_spawned (AVG)]])*(Table18[[#This Row],[activating_chance]]/100),0)</f>
        <v>63</v>
      </c>
      <c r="EU79" s="74" t="str">
        <f ca="1">INDIRECT(ADDRESS(11+(MATCH(RIGHT(Table18[[#This Row],[spawner_sku]],LEN(Table18[[#This Row],[spawner_sku]])-FIND("/",Table18[[#This Row],[spawner_sku]])),Table28[Entity Prefab],0)),26,1,1,"Entities"))</f>
        <v>no</v>
      </c>
      <c r="EV79">
        <v>2</v>
      </c>
      <c r="EW79">
        <v>3</v>
      </c>
      <c r="EX79" t="b">
        <v>0</v>
      </c>
      <c r="EZ79" t="s">
        <v>214</v>
      </c>
      <c r="FA79">
        <v>3.5</v>
      </c>
      <c r="FB79">
        <v>140</v>
      </c>
      <c r="FC79">
        <v>100</v>
      </c>
      <c r="FD79" s="74">
        <f ca="1">INDIRECT(ADDRESS(11+(MATCH(RIGHT(Table1820[[#This Row],[spawner_sku]],LEN(Table1820[[#This Row],[spawner_sku]])-FIND("/",Table1820[[#This Row],[spawner_sku]])),Table1[Entity Prefab],0)),10,1,1,"Entities"))</f>
        <v>25</v>
      </c>
      <c r="FE79" s="74">
        <f ca="1">ROUND((Table1820[[#This Row],[XP]]*Table1820[[#This Row],[entity_spawned (AVG)]])*(Table1820[[#This Row],[activating_chance]]/100),0)</f>
        <v>88</v>
      </c>
      <c r="FF79" s="74" t="str">
        <f ca="1">INDIRECT(ADDRESS(11+(MATCH(RIGHT(Table1820[[#This Row],[spawner_sku]],LEN(Table1820[[#This Row],[spawner_sku]])-FIND("/",Table1820[[#This Row],[spawner_sku]])),Table28[Entity Prefab],0)),26,1,1,"Entities"))</f>
        <v>no</v>
      </c>
      <c r="FG79">
        <v>3</v>
      </c>
      <c r="FH79">
        <v>4</v>
      </c>
      <c r="FI79" t="b">
        <v>0</v>
      </c>
      <c r="FK79" t="s">
        <v>2695</v>
      </c>
      <c r="FL79">
        <v>7.5</v>
      </c>
      <c r="FM79">
        <v>90</v>
      </c>
      <c r="FN79">
        <v>100</v>
      </c>
      <c r="FO79">
        <f ca="1">INDIRECT(ADDRESS(11+(MATCH(RIGHT(Table182023[[#This Row],[spawner_sku]],LEN(Table182023[[#This Row],[spawner_sku]])-FIND("/",Table182023[[#This Row],[spawner_sku]])),Table1[Entity Prefab],0)),10,1,1,"Entities"))</f>
        <v>40</v>
      </c>
      <c r="FP79">
        <f ca="1">ROUND((Table182023[[#This Row],[XP]]*Table182023[[#This Row],[entity_spawned (AVG)]])*(Table182023[[#This Row],[activating_chance]]/100),0)</f>
        <v>300</v>
      </c>
      <c r="FQ79" t="str">
        <f ca="1">INDIRECT(ADDRESS(11+(MATCH(RIGHT(Table182023[[#This Row],[spawner_sku]],LEN(Table182023[[#This Row],[spawner_sku]])-FIND("/",Table182023[[#This Row],[spawner_sku]])),Table28[Entity Prefab],0)),26,1,1,"Entities"))</f>
        <v>no</v>
      </c>
      <c r="FR79">
        <v>5</v>
      </c>
      <c r="FS79">
        <v>10</v>
      </c>
      <c r="FT79" t="b">
        <v>1</v>
      </c>
      <c r="FV79" t="s">
        <v>2701</v>
      </c>
      <c r="FW79">
        <v>1</v>
      </c>
      <c r="FX79">
        <v>500</v>
      </c>
      <c r="FY79">
        <v>100</v>
      </c>
      <c r="FZ79" s="74">
        <f ca="1">INDIRECT(ADDRESS(11+(MATCH(RIGHT(Table18202324[[#This Row],[spawner_sku]],LEN(Table18202324[[#This Row],[spawner_sku]])-FIND("/",Table18202324[[#This Row],[spawner_sku]])),Table1[Entity Prefab],0)),10,1,1,"Entities"))</f>
        <v>130</v>
      </c>
      <c r="GA79" s="74">
        <f ca="1">ROUND((Table18202324[[#This Row],[XP]]*Table18202324[[#This Row],[entity_spawned (AVG)]])*(Table18202324[[#This Row],[activating_chance]]/100),0)</f>
        <v>130</v>
      </c>
      <c r="GB79" s="74" t="str">
        <f ca="1">INDIRECT(ADDRESS(11+(MATCH(RIGHT(Table18202324[[#This Row],[spawner_sku]],LEN(Table18202324[[#This Row],[spawner_sku]])-FIND("/",Table18202324[[#This Row],[spawner_sku]])),Table28[Entity Prefab],0)),26,1,1,"Entities"))</f>
        <v>yes</v>
      </c>
      <c r="GC79">
        <v>1</v>
      </c>
      <c r="GD79">
        <v>1</v>
      </c>
      <c r="GE79" t="b">
        <v>0</v>
      </c>
      <c r="GG79" t="s">
        <v>3816</v>
      </c>
      <c r="GH79">
        <v>1</v>
      </c>
      <c r="GI79">
        <v>240</v>
      </c>
      <c r="GJ79">
        <v>100</v>
      </c>
      <c r="GK79">
        <f ca="1">INDIRECT(ADDRESS(11+(MATCH(RIGHT(Table37[[#This Row],[spawner_sku]],LEN(Table37[[#This Row],[spawner_sku]])-FIND("/",Table37[[#This Row],[spawner_sku]])),Table1[Entity Prefab],0)),10,1,1,"Entities"))</f>
        <v>50</v>
      </c>
      <c r="GL79">
        <f ca="1">ROUND((Table37[[#This Row],[XP]]*Table37[[#This Row],[entity_spawned (AVG)]])*(Table37[[#This Row],[activating_chance]]/100),0)</f>
        <v>50</v>
      </c>
      <c r="GM79" t="str">
        <f ca="1">INDIRECT(ADDRESS(11+(MATCH(RIGHT(Table37[[#This Row],[spawner_sku]],LEN(Table37[[#This Row],[spawner_sku]])-FIND("/",Table37[[#This Row],[spawner_sku]])),Table28[Entity Prefab],0)),26,1,1,"Entities"))</f>
        <v>no</v>
      </c>
      <c r="GN79">
        <v>1</v>
      </c>
      <c r="GO79">
        <v>1</v>
      </c>
      <c r="GP79" t="b">
        <v>0</v>
      </c>
    </row>
    <row r="80" spans="2:198" x14ac:dyDescent="0.25">
      <c r="B80" s="72" t="s">
        <v>215</v>
      </c>
      <c r="C80">
        <v>8</v>
      </c>
      <c r="D80">
        <v>190</v>
      </c>
      <c r="E80">
        <v>100</v>
      </c>
      <c r="F80" s="74">
        <f ca="1">INDIRECT(ADDRESS(11+(MATCH(RIGHT(Table245[[#This Row],[spawner_sku]],LEN(Table245[[#This Row],[spawner_sku]])-FIND("/",Table245[[#This Row],[spawner_sku]])),Table1[Entity Prefab],0)),10,1,1,"Entities"))</f>
        <v>25</v>
      </c>
      <c r="G80" s="74">
        <f ca="1">ROUND((Table245[[#This Row],[XP]]*Table245[[#This Row],[entity_spawned (AVG)]])*(Table245[[#This Row],[activating_chance]]/100),0)</f>
        <v>200</v>
      </c>
      <c r="H80" s="71" t="str">
        <f ca="1">INDIRECT(ADDRESS(11+(MATCH(RIGHT(Table245[[#This Row],[spawner_sku]],LEN(Table245[[#This Row],[spawner_sku]])-FIND("/",Table245[[#This Row],[spawner_sku]])),Table28[Entity Prefab],0)),24,1,1,"Entities"))</f>
        <v>no</v>
      </c>
      <c r="I80" s="71">
        <v>6</v>
      </c>
      <c r="J80" s="71">
        <v>10</v>
      </c>
      <c r="K80" s="71" t="b">
        <v>1</v>
      </c>
      <c r="M80" t="s">
        <v>423</v>
      </c>
      <c r="N80">
        <v>3</v>
      </c>
      <c r="O80">
        <v>180</v>
      </c>
      <c r="P80">
        <v>100</v>
      </c>
      <c r="Q80" s="74">
        <f ca="1">INDIRECT(ADDRESS(11+(MATCH(RIGHT(Table3[[#This Row],[spawner_sku]],LEN(Table3[[#This Row],[spawner_sku]])-FIND("/",Table3[[#This Row],[spawner_sku]])),Table1[Entity Prefab],0)),10,1,1,"Entities"))</f>
        <v>0</v>
      </c>
      <c r="R80" s="74">
        <f ca="1">ROUND((Table3[[#This Row],[XP]]*Table3[[#This Row],[entity_spawned (AVG)]])*(Table3[[#This Row],[activating_chance]]/100),0)</f>
        <v>0</v>
      </c>
      <c r="S80" t="str">
        <f ca="1">INDIRECT(ADDRESS(11+(MATCH(RIGHT(Table3[[#This Row],[spawner_sku]],LEN(Table3[[#This Row],[spawner_sku]])-FIND("/",Table3[[#This Row],[spawner_sku]])),Table28[Entity Prefab],0)),24,1,1,"Entities"))</f>
        <v>yes</v>
      </c>
      <c r="T80">
        <v>3</v>
      </c>
      <c r="U80">
        <v>3</v>
      </c>
      <c r="V80" t="b">
        <v>0</v>
      </c>
      <c r="W80" s="71"/>
      <c r="X80" t="s">
        <v>242</v>
      </c>
      <c r="Y80">
        <v>1.5</v>
      </c>
      <c r="Z80">
        <v>150</v>
      </c>
      <c r="AA80">
        <v>40</v>
      </c>
      <c r="AB80" s="74">
        <f ca="1">INDIRECT(ADDRESS(11+(MATCH(RIGHT(Table39[[#This Row],[spawner_sku]],LEN(Table39[[#This Row],[spawner_sku]])-FIND("/",Table39[[#This Row],[spawner_sku]])),Table1[Entity Prefab],0)),10,1,1,"Entities"))</f>
        <v>25</v>
      </c>
      <c r="AC80" s="74">
        <f ca="1">ROUND((Table39[[#This Row],[XP]]*Table39[[#This Row],[entity_spawned (AVG)]])*(Table39[[#This Row],[activating_chance]]/100),0)</f>
        <v>15</v>
      </c>
      <c r="AD80" t="str">
        <f ca="1">INDIRECT(ADDRESS(11+(MATCH(RIGHT(Table39[[#This Row],[spawner_sku]],LEN(Table39[[#This Row],[spawner_sku]])-FIND("/",Table39[[#This Row],[spawner_sku]])),Table28[Entity Prefab],0)),24,1,1,"Entities"))</f>
        <v>no</v>
      </c>
      <c r="AE80">
        <v>1</v>
      </c>
      <c r="AF80">
        <v>2</v>
      </c>
      <c r="AG80" t="b">
        <v>0</v>
      </c>
      <c r="AI80" t="s">
        <v>215</v>
      </c>
      <c r="AJ80">
        <v>7</v>
      </c>
      <c r="AK80">
        <v>200</v>
      </c>
      <c r="AL80">
        <v>100</v>
      </c>
      <c r="AM80" s="74">
        <f ca="1">INDIRECT(ADDRESS(11+(MATCH(RIGHT(Table2[[#This Row],[spawner_sku]],LEN(Table2[[#This Row],[spawner_sku]])-FIND("/",Table2[[#This Row],[spawner_sku]])),Table1[Entity Prefab],0)),10,1,1,"Entities"))</f>
        <v>25</v>
      </c>
      <c r="AN80" s="74">
        <f ca="1">ROUND((Table2[[#This Row],[XP]]*Table2[[#This Row],[entity_spawned (AVG)]])*(Table2[[#This Row],[activating_chance]]/100),0)</f>
        <v>175</v>
      </c>
      <c r="AO80" s="71" t="str">
        <f ca="1">INDIRECT(ADDRESS(11+(MATCH(RIGHT(Table2[[#This Row],[spawner_sku]],LEN(Table2[[#This Row],[spawner_sku]])-FIND("/",Table2[[#This Row],[spawner_sku]])),Table28[Entity Prefab],0)),24,1,1,"Entities"))</f>
        <v>no</v>
      </c>
      <c r="AP80" s="71">
        <v>6</v>
      </c>
      <c r="AQ80" s="71">
        <v>8</v>
      </c>
      <c r="AR80" s="71" t="b">
        <v>1</v>
      </c>
      <c r="AT80" t="s">
        <v>220</v>
      </c>
      <c r="AU80">
        <v>1</v>
      </c>
      <c r="AV80">
        <v>300</v>
      </c>
      <c r="AW80">
        <v>100</v>
      </c>
      <c r="AX80" s="74">
        <f ca="1">INDIRECT(ADDRESS(11+(MATCH(RIGHT(Table6[[#This Row],[spawner_sku]],LEN(Table6[[#This Row],[spawner_sku]])-FIND("/",Table6[[#This Row],[spawner_sku]])),Table1[Entity Prefab],0)),10,1,1,"Entities"))</f>
        <v>195</v>
      </c>
      <c r="AY80" s="74">
        <f ca="1">ROUND((Table6[[#This Row],[XP]]*Table6[[#This Row],[entity_spawned (AVG)]])*(Table6[[#This Row],[activating_chance]]/100),0)</f>
        <v>195</v>
      </c>
      <c r="AZ80" s="144" t="str">
        <f ca="1">INDIRECT(ADDRESS(11+(MATCH(RIGHT(Table6[[#This Row],[spawner_sku]],LEN(Table6[[#This Row],[spawner_sku]])-FIND("/",Table6[[#This Row],[spawner_sku]])),Table28[Entity Prefab],0)),24,1,1,"Entities"))</f>
        <v>yes</v>
      </c>
      <c r="BA80">
        <v>1</v>
      </c>
      <c r="BB80">
        <v>1</v>
      </c>
      <c r="BC80" t="b">
        <v>0</v>
      </c>
      <c r="BE80" t="s">
        <v>220</v>
      </c>
      <c r="BF80">
        <v>1.5</v>
      </c>
      <c r="BG80">
        <v>300</v>
      </c>
      <c r="BH80">
        <v>100</v>
      </c>
      <c r="BI80" s="74">
        <f ca="1">INDIRECT(ADDRESS(11+(MATCH(RIGHT(Table610[[#This Row],[spawner_sku]],LEN(Table610[[#This Row],[spawner_sku]])-FIND("/",Table610[[#This Row],[spawner_sku]])),Table1[Entity Prefab],0)),10,1,1,"Entities"))</f>
        <v>195</v>
      </c>
      <c r="BJ80" s="74">
        <f ca="1">ROUND((Table610[[#This Row],[XP]]*Table610[[#This Row],[entity_spawned (AVG)]])*(Table610[[#This Row],[activating_chance]]/100),0)</f>
        <v>293</v>
      </c>
      <c r="BK80" s="71" t="str">
        <f ca="1">INDIRECT(ADDRESS(11+(MATCH(RIGHT(Table610[[#This Row],[spawner_sku]],LEN(Table610[[#This Row],[spawner_sku]])-FIND("/",Table610[[#This Row],[spawner_sku]])),Table28[Entity Prefab],0)),24,1,1,"Entities"))</f>
        <v>yes</v>
      </c>
      <c r="BL80">
        <v>1</v>
      </c>
      <c r="BM80">
        <v>2</v>
      </c>
      <c r="BN80" t="b">
        <v>0</v>
      </c>
      <c r="BP80" t="s">
        <v>217</v>
      </c>
      <c r="BQ80">
        <v>5.5</v>
      </c>
      <c r="BR80">
        <v>220</v>
      </c>
      <c r="BS80">
        <v>100</v>
      </c>
      <c r="BT80" s="74">
        <f ca="1">INDIRECT(ADDRESS(11+(MATCH(RIGHT(Table61011[[#This Row],[spawner_sku]],LEN(Table61011[[#This Row],[spawner_sku]])-FIND("/",Table61011[[#This Row],[spawner_sku]])),Table1[Entity Prefab],0)),10,1,1,"Entities"))</f>
        <v>25</v>
      </c>
      <c r="BU80" s="74">
        <f ca="1">ROUND((Table61011[[#This Row],[XP]]*Table61011[[#This Row],[entity_spawned (AVG)]])*(Table61011[[#This Row],[activating_chance]]/100),0)</f>
        <v>138</v>
      </c>
      <c r="BV80" s="71" t="str">
        <f ca="1">INDIRECT(ADDRESS(11+(MATCH(RIGHT(Table61011[[#This Row],[spawner_sku]],LEN(Table61011[[#This Row],[spawner_sku]])-FIND("/",Table61011[[#This Row],[spawner_sku]])),Table28[Entity Prefab],0)),24,1,1,"Entities"))</f>
        <v>no</v>
      </c>
      <c r="BW80" s="71">
        <v>5</v>
      </c>
      <c r="BX80" s="71">
        <v>6</v>
      </c>
      <c r="BY80" s="71" t="b">
        <v>1</v>
      </c>
      <c r="BZ80" s="71"/>
      <c r="CA80" s="147" t="s">
        <v>8142</v>
      </c>
      <c r="CB80">
        <v>1</v>
      </c>
      <c r="CC80">
        <v>200</v>
      </c>
      <c r="CD80">
        <v>100</v>
      </c>
      <c r="CE80" s="74">
        <f ca="1">INDIRECT(ADDRESS(11+(MATCH(RIGHT(Table35[[#This Row],[spawner_sku]],LEN(Table35[[#This Row],[spawner_sku]])-FIND("/",Table35[[#This Row],[spawner_sku]])),Table1[Entity Prefab],0)),10,1,1,"Entities"))</f>
        <v>75</v>
      </c>
      <c r="CF80" s="74">
        <f ca="1">ROUND((Table35[[#This Row],[XP]]*Table35[[#This Row],[entity_spawned (AVG)]])*(Table35[[#This Row],[activating_chance]]/100),0)</f>
        <v>75</v>
      </c>
      <c r="CG80" s="144" t="str">
        <f ca="1">INDIRECT(ADDRESS(11+(MATCH(RIGHT(Table35[[#This Row],[spawner_sku]],LEN(Table35[[#This Row],[spawner_sku]])-FIND("/",Table35[[#This Row],[spawner_sku]])),Table28[Entity Prefab],0)),24,1,1,"Entities"))</f>
        <v>no</v>
      </c>
      <c r="CH80">
        <v>1</v>
      </c>
      <c r="CI80">
        <v>1</v>
      </c>
      <c r="CJ80" s="71" t="b">
        <v>0</v>
      </c>
      <c r="CL80" t="s">
        <v>215</v>
      </c>
      <c r="CM80">
        <v>3</v>
      </c>
      <c r="CN80">
        <v>180</v>
      </c>
      <c r="CO80">
        <v>100</v>
      </c>
      <c r="CP80" s="74">
        <f ca="1">INDIRECT(ADDRESS(11+(MATCH(RIGHT(Table11[[#This Row],[spawner_sku]],LEN(Table11[[#This Row],[spawner_sku]])-FIND("/",Table11[[#This Row],[spawner_sku]])),Table1[Entity Prefab],0)),10,1,1,"Entities"))</f>
        <v>25</v>
      </c>
      <c r="CQ80">
        <f ca="1">ROUND((Table11[[#This Row],[XP]]*Table11[[#This Row],[entity_spawned (AVG)]])*(Table11[[#This Row],[activating_chance]]/100),0)</f>
        <v>75</v>
      </c>
      <c r="CR80" s="144" t="str">
        <f ca="1">INDIRECT(ADDRESS(11+(MATCH(RIGHT(Table11[[#This Row],[spawner_sku]],LEN(Table11[[#This Row],[spawner_sku]])-FIND("/",Table11[[#This Row],[spawner_sku]])),Table28[Entity Prefab],0)),25,1,1,"Entities"))</f>
        <v>no</v>
      </c>
      <c r="CS80" s="71">
        <v>2</v>
      </c>
      <c r="CT80" s="71">
        <v>4</v>
      </c>
      <c r="CU80" s="71" t="b">
        <v>0</v>
      </c>
      <c r="CW80" t="s">
        <v>231</v>
      </c>
      <c r="CX80">
        <v>1</v>
      </c>
      <c r="CY80">
        <v>220</v>
      </c>
      <c r="CZ80">
        <v>100</v>
      </c>
      <c r="DA80" s="74">
        <f ca="1">INDIRECT(ADDRESS(11+(MATCH(RIGHT(Table12[[#This Row],[spawner_sku]],LEN(Table12[[#This Row],[spawner_sku]])-FIND("/",Table12[[#This Row],[spawner_sku]])),Table1[Entity Prefab],0)),10,1,1,"Entities"))</f>
        <v>25</v>
      </c>
      <c r="DB80" s="74">
        <f ca="1">ROUND((Table12[[#This Row],[XP]]*Table12[[#This Row],[entity_spawned (AVG)]])*(Table12[[#This Row],[activating_chance]]/100),0)</f>
        <v>25</v>
      </c>
      <c r="DC80" s="144" t="str">
        <f ca="1">INDIRECT(ADDRESS(11+(MATCH(RIGHT(Table12[[#This Row],[spawner_sku]],LEN(Table12[[#This Row],[spawner_sku]])-FIND("/",Table12[[#This Row],[spawner_sku]])),Table28[Entity Prefab],0)),25,1,1,"Entities"))</f>
        <v>no</v>
      </c>
      <c r="DD80" s="71">
        <v>1</v>
      </c>
      <c r="DE80" s="71">
        <v>1</v>
      </c>
      <c r="DF80" s="71" t="b">
        <v>0</v>
      </c>
      <c r="DH80" t="s">
        <v>383</v>
      </c>
      <c r="DI80">
        <v>1</v>
      </c>
      <c r="DJ80">
        <v>340</v>
      </c>
      <c r="DK80">
        <v>100</v>
      </c>
      <c r="DL80" s="74">
        <f ca="1">INDIRECT(ADDRESS(11+(MATCH(RIGHT(Table13[[#This Row],[spawner_sku]],LEN(Table13[[#This Row],[spawner_sku]])-FIND("/",Table13[[#This Row],[spawner_sku]])),Table1[Entity Prefab],0)),10,1,1,"Entities"))</f>
        <v>263</v>
      </c>
      <c r="DM80" s="74">
        <f ca="1">ROUND((Table13[[#This Row],[XP]]*Table13[[#This Row],[entity_spawned (AVG)]])*(Table13[[#This Row],[activating_chance]]/100),0)</f>
        <v>263</v>
      </c>
      <c r="DN80" s="144" t="str">
        <f ca="1">INDIRECT(ADDRESS(11+(MATCH(RIGHT(Table13[[#This Row],[spawner_sku]],LEN(Table13[[#This Row],[spawner_sku]])-FIND("/",Table13[[#This Row],[spawner_sku]])),Table28[Entity Prefab],0)),25,1,1,"Entities"))</f>
        <v>yes</v>
      </c>
      <c r="DO80" s="71">
        <v>1</v>
      </c>
      <c r="DP80" s="71">
        <v>1</v>
      </c>
      <c r="DQ80" s="71" t="b">
        <v>0</v>
      </c>
      <c r="DS80" t="s">
        <v>214</v>
      </c>
      <c r="DT80">
        <v>3</v>
      </c>
      <c r="DU80">
        <v>200</v>
      </c>
      <c r="DV80">
        <v>100</v>
      </c>
      <c r="DW80" s="74">
        <f ca="1">INDIRECT(ADDRESS(11+(MATCH(RIGHT(Table14[[#This Row],[spawner_sku]],LEN(Table14[[#This Row],[spawner_sku]])-FIND("/",Table14[[#This Row],[spawner_sku]])),Table1[Entity Prefab],0)),10,1,1,"Entities"))</f>
        <v>25</v>
      </c>
      <c r="DX80" s="74">
        <f ca="1">ROUND((Table14[[#This Row],[XP]]*Table14[[#This Row],[entity_spawned (AVG)]])*(Table14[[#This Row],[activating_chance]]/100),0)</f>
        <v>75</v>
      </c>
      <c r="DY80" s="144" t="str">
        <f ca="1">INDIRECT(ADDRESS(11+(MATCH(RIGHT(Table14[[#This Row],[spawner_sku]],LEN(Table14[[#This Row],[spawner_sku]])-FIND("/",Table14[[#This Row],[spawner_sku]])),Table28[Entity Prefab],0)),25,1,1,"Entities"))</f>
        <v>no</v>
      </c>
      <c r="DZ80" s="71">
        <v>2</v>
      </c>
      <c r="EA80" s="71">
        <v>4</v>
      </c>
      <c r="EB80" s="71" t="b">
        <v>0</v>
      </c>
      <c r="EC80" s="71"/>
      <c r="ED80" s="147" t="s">
        <v>8142</v>
      </c>
      <c r="EE80" s="71">
        <v>1</v>
      </c>
      <c r="EF80" s="71">
        <v>200</v>
      </c>
      <c r="EG80" s="71">
        <v>80</v>
      </c>
      <c r="EH80" s="71">
        <f ca="1">INDIRECT(ADDRESS(11+(MATCH(RIGHT(Table36[[#This Row],[spawner_sku]],LEN(Table36[[#This Row],[spawner_sku]])-FIND("/",Table36[[#This Row],[spawner_sku]])),Table1[Entity Prefab],0)),10,1,1,"Entities"))</f>
        <v>75</v>
      </c>
      <c r="EI80" s="71">
        <f ca="1">ROUND((Table36[[#This Row],[XP]]*Table36[[#This Row],[entity_spawned (AVG)]])*(Table36[[#This Row],[activating_chance]]/100),0)</f>
        <v>60</v>
      </c>
      <c r="EJ80" s="71" t="str">
        <f ca="1">INDIRECT(ADDRESS(11+(MATCH(RIGHT(Table36[[#This Row],[spawner_sku]],LEN(Table36[[#This Row],[spawner_sku]])-FIND("/",Table36[[#This Row],[spawner_sku]])),Table28[Entity Prefab],0)),25,1,1,"Entities"))</f>
        <v>no</v>
      </c>
      <c r="EK80" s="71">
        <v>1</v>
      </c>
      <c r="EL80" s="71">
        <v>1</v>
      </c>
      <c r="EM80" s="71" t="b">
        <v>0</v>
      </c>
      <c r="EO80" t="s">
        <v>214</v>
      </c>
      <c r="EP80">
        <v>5.5</v>
      </c>
      <c r="EQ80">
        <v>160</v>
      </c>
      <c r="ER80">
        <v>100</v>
      </c>
      <c r="ES80" s="74">
        <f ca="1">INDIRECT(ADDRESS(11+(MATCH(RIGHT(Table18[[#This Row],[spawner_sku]],LEN(Table18[[#This Row],[spawner_sku]])-FIND("/",Table18[[#This Row],[spawner_sku]])),Table1[Entity Prefab],0)),10,1,1,"Entities"))</f>
        <v>25</v>
      </c>
      <c r="ET80" s="74">
        <f ca="1">ROUND((Table18[[#This Row],[XP]]*Table18[[#This Row],[entity_spawned (AVG)]])*(Table18[[#This Row],[activating_chance]]/100),0)</f>
        <v>138</v>
      </c>
      <c r="EU80" s="74" t="str">
        <f ca="1">INDIRECT(ADDRESS(11+(MATCH(RIGHT(Table18[[#This Row],[spawner_sku]],LEN(Table18[[#This Row],[spawner_sku]])-FIND("/",Table18[[#This Row],[spawner_sku]])),Table28[Entity Prefab],0)),26,1,1,"Entities"))</f>
        <v>no</v>
      </c>
      <c r="EV80">
        <v>5</v>
      </c>
      <c r="EW80">
        <v>6</v>
      </c>
      <c r="EX80" t="b">
        <v>1</v>
      </c>
      <c r="EZ80" t="s">
        <v>214</v>
      </c>
      <c r="FA80">
        <v>3.5</v>
      </c>
      <c r="FB80">
        <v>140</v>
      </c>
      <c r="FC80">
        <v>100</v>
      </c>
      <c r="FD80" s="74">
        <f ca="1">INDIRECT(ADDRESS(11+(MATCH(RIGHT(Table1820[[#This Row],[spawner_sku]],LEN(Table1820[[#This Row],[spawner_sku]])-FIND("/",Table1820[[#This Row],[spawner_sku]])),Table1[Entity Prefab],0)),10,1,1,"Entities"))</f>
        <v>25</v>
      </c>
      <c r="FE80" s="74">
        <f ca="1">ROUND((Table1820[[#This Row],[XP]]*Table1820[[#This Row],[entity_spawned (AVG)]])*(Table1820[[#This Row],[activating_chance]]/100),0)</f>
        <v>88</v>
      </c>
      <c r="FF80" s="74" t="str">
        <f ca="1">INDIRECT(ADDRESS(11+(MATCH(RIGHT(Table1820[[#This Row],[spawner_sku]],LEN(Table1820[[#This Row],[spawner_sku]])-FIND("/",Table1820[[#This Row],[spawner_sku]])),Table28[Entity Prefab],0)),26,1,1,"Entities"))</f>
        <v>no</v>
      </c>
      <c r="FG80">
        <v>3</v>
      </c>
      <c r="FH80">
        <v>4</v>
      </c>
      <c r="FI80" t="b">
        <v>0</v>
      </c>
      <c r="FK80" t="s">
        <v>2695</v>
      </c>
      <c r="FL80">
        <v>7.5</v>
      </c>
      <c r="FM80">
        <v>100</v>
      </c>
      <c r="FN80">
        <v>100</v>
      </c>
      <c r="FO80">
        <f ca="1">INDIRECT(ADDRESS(11+(MATCH(RIGHT(Table182023[[#This Row],[spawner_sku]],LEN(Table182023[[#This Row],[spawner_sku]])-FIND("/",Table182023[[#This Row],[spawner_sku]])),Table1[Entity Prefab],0)),10,1,1,"Entities"))</f>
        <v>40</v>
      </c>
      <c r="FP80">
        <f ca="1">ROUND((Table182023[[#This Row],[XP]]*Table182023[[#This Row],[entity_spawned (AVG)]])*(Table182023[[#This Row],[activating_chance]]/100),0)</f>
        <v>300</v>
      </c>
      <c r="FQ80" t="str">
        <f ca="1">INDIRECT(ADDRESS(11+(MATCH(RIGHT(Table182023[[#This Row],[spawner_sku]],LEN(Table182023[[#This Row],[spawner_sku]])-FIND("/",Table182023[[#This Row],[spawner_sku]])),Table28[Entity Prefab],0)),26,1,1,"Entities"))</f>
        <v>no</v>
      </c>
      <c r="FR80">
        <v>5</v>
      </c>
      <c r="FS80">
        <v>10</v>
      </c>
      <c r="FT80" t="b">
        <v>1</v>
      </c>
      <c r="FV80" t="s">
        <v>2694</v>
      </c>
      <c r="FW80">
        <v>2.5</v>
      </c>
      <c r="FX80">
        <v>100</v>
      </c>
      <c r="FY80">
        <v>100</v>
      </c>
      <c r="FZ80" s="74">
        <f ca="1">INDIRECT(ADDRESS(11+(MATCH(RIGHT(Table18202324[[#This Row],[spawner_sku]],LEN(Table18202324[[#This Row],[spawner_sku]])-FIND("/",Table18202324[[#This Row],[spawner_sku]])),Table1[Entity Prefab],0)),10,1,1,"Entities"))</f>
        <v>143</v>
      </c>
      <c r="GA80" s="74">
        <f ca="1">ROUND((Table18202324[[#This Row],[XP]]*Table18202324[[#This Row],[entity_spawned (AVG)]])*(Table18202324[[#This Row],[activating_chance]]/100),0)</f>
        <v>358</v>
      </c>
      <c r="GB80" s="74" t="str">
        <f ca="1">INDIRECT(ADDRESS(11+(MATCH(RIGHT(Table18202324[[#This Row],[spawner_sku]],LEN(Table18202324[[#This Row],[spawner_sku]])-FIND("/",Table18202324[[#This Row],[spawner_sku]])),Table28[Entity Prefab],0)),26,1,1,"Entities"))</f>
        <v>no</v>
      </c>
      <c r="GC80">
        <v>2</v>
      </c>
      <c r="GD80">
        <v>3</v>
      </c>
      <c r="GE80" t="b">
        <v>0</v>
      </c>
      <c r="GG80" t="s">
        <v>3816</v>
      </c>
      <c r="GH80">
        <v>1</v>
      </c>
      <c r="GI80">
        <v>240</v>
      </c>
      <c r="GJ80">
        <v>100</v>
      </c>
      <c r="GK80">
        <f ca="1">INDIRECT(ADDRESS(11+(MATCH(RIGHT(Table37[[#This Row],[spawner_sku]],LEN(Table37[[#This Row],[spawner_sku]])-FIND("/",Table37[[#This Row],[spawner_sku]])),Table1[Entity Prefab],0)),10,1,1,"Entities"))</f>
        <v>50</v>
      </c>
      <c r="GL80">
        <f ca="1">ROUND((Table37[[#This Row],[XP]]*Table37[[#This Row],[entity_spawned (AVG)]])*(Table37[[#This Row],[activating_chance]]/100),0)</f>
        <v>50</v>
      </c>
      <c r="GM80" t="str">
        <f ca="1">INDIRECT(ADDRESS(11+(MATCH(RIGHT(Table37[[#This Row],[spawner_sku]],LEN(Table37[[#This Row],[spawner_sku]])-FIND("/",Table37[[#This Row],[spawner_sku]])),Table28[Entity Prefab],0)),26,1,1,"Entities"))</f>
        <v>no</v>
      </c>
      <c r="GN80">
        <v>1</v>
      </c>
      <c r="GO80">
        <v>1</v>
      </c>
      <c r="GP80" t="b">
        <v>0</v>
      </c>
    </row>
    <row r="81" spans="2:198" x14ac:dyDescent="0.25">
      <c r="B81" s="72" t="s">
        <v>215</v>
      </c>
      <c r="C81">
        <v>1</v>
      </c>
      <c r="D81">
        <v>160</v>
      </c>
      <c r="E81">
        <v>100</v>
      </c>
      <c r="F81" s="74">
        <f ca="1">INDIRECT(ADDRESS(11+(MATCH(RIGHT(Table245[[#This Row],[spawner_sku]],LEN(Table245[[#This Row],[spawner_sku]])-FIND("/",Table245[[#This Row],[spawner_sku]])),Table1[Entity Prefab],0)),10,1,1,"Entities"))</f>
        <v>25</v>
      </c>
      <c r="G81" s="74">
        <f ca="1">ROUND((Table245[[#This Row],[XP]]*Table245[[#This Row],[entity_spawned (AVG)]])*(Table245[[#This Row],[activating_chance]]/100),0)</f>
        <v>25</v>
      </c>
      <c r="H81" s="71" t="str">
        <f ca="1">INDIRECT(ADDRESS(11+(MATCH(RIGHT(Table245[[#This Row],[spawner_sku]],LEN(Table245[[#This Row],[spawner_sku]])-FIND("/",Table245[[#This Row],[spawner_sku]])),Table28[Entity Prefab],0)),24,1,1,"Entities"))</f>
        <v>no</v>
      </c>
      <c r="I81" s="71">
        <v>1</v>
      </c>
      <c r="J81" s="71">
        <v>1</v>
      </c>
      <c r="K81" s="71" t="b">
        <v>0</v>
      </c>
      <c r="M81" t="s">
        <v>233</v>
      </c>
      <c r="N81">
        <v>1</v>
      </c>
      <c r="O81">
        <v>500</v>
      </c>
      <c r="P81">
        <v>75</v>
      </c>
      <c r="Q81" s="74">
        <f ca="1">INDIRECT(ADDRESS(11+(MATCH(RIGHT(Table3[[#This Row],[spawner_sku]],LEN(Table3[[#This Row],[spawner_sku]])-FIND("/",Table3[[#This Row],[spawner_sku]])),Table1[Entity Prefab],0)),10,1,1,"Entities"))</f>
        <v>25</v>
      </c>
      <c r="R81" s="74">
        <f ca="1">ROUND((Table3[[#This Row],[XP]]*Table3[[#This Row],[entity_spawned (AVG)]])*(Table3[[#This Row],[activating_chance]]/100),0)</f>
        <v>19</v>
      </c>
      <c r="S81" t="str">
        <f ca="1">INDIRECT(ADDRESS(11+(MATCH(RIGHT(Table3[[#This Row],[spawner_sku]],LEN(Table3[[#This Row],[spawner_sku]])-FIND("/",Table3[[#This Row],[spawner_sku]])),Table28[Entity Prefab],0)),24,1,1,"Entities"))</f>
        <v>no</v>
      </c>
      <c r="T81">
        <v>1</v>
      </c>
      <c r="U81">
        <v>1</v>
      </c>
      <c r="V81" t="b">
        <v>0</v>
      </c>
      <c r="W81" s="71"/>
      <c r="X81" t="s">
        <v>242</v>
      </c>
      <c r="Y81">
        <v>1.5</v>
      </c>
      <c r="Z81">
        <v>150</v>
      </c>
      <c r="AA81">
        <v>100</v>
      </c>
      <c r="AB81" s="74">
        <f ca="1">INDIRECT(ADDRESS(11+(MATCH(RIGHT(Table39[[#This Row],[spawner_sku]],LEN(Table39[[#This Row],[spawner_sku]])-FIND("/",Table39[[#This Row],[spawner_sku]])),Table1[Entity Prefab],0)),10,1,1,"Entities"))</f>
        <v>25</v>
      </c>
      <c r="AC81" s="74">
        <f ca="1">ROUND((Table39[[#This Row],[XP]]*Table39[[#This Row],[entity_spawned (AVG)]])*(Table39[[#This Row],[activating_chance]]/100),0)</f>
        <v>38</v>
      </c>
      <c r="AD81" t="str">
        <f ca="1">INDIRECT(ADDRESS(11+(MATCH(RIGHT(Table39[[#This Row],[spawner_sku]],LEN(Table39[[#This Row],[spawner_sku]])-FIND("/",Table39[[#This Row],[spawner_sku]])),Table28[Entity Prefab],0)),24,1,1,"Entities"))</f>
        <v>no</v>
      </c>
      <c r="AE81">
        <v>1</v>
      </c>
      <c r="AF81">
        <v>2</v>
      </c>
      <c r="AG81" t="b">
        <v>0</v>
      </c>
      <c r="AI81" t="s">
        <v>215</v>
      </c>
      <c r="AJ81">
        <v>2</v>
      </c>
      <c r="AK81">
        <v>120</v>
      </c>
      <c r="AL81">
        <v>100</v>
      </c>
      <c r="AM81" s="74">
        <f ca="1">INDIRECT(ADDRESS(11+(MATCH(RIGHT(Table2[[#This Row],[spawner_sku]],LEN(Table2[[#This Row],[spawner_sku]])-FIND("/",Table2[[#This Row],[spawner_sku]])),Table1[Entity Prefab],0)),10,1,1,"Entities"))</f>
        <v>25</v>
      </c>
      <c r="AN81" s="74">
        <f ca="1">ROUND((Table2[[#This Row],[XP]]*Table2[[#This Row],[entity_spawned (AVG)]])*(Table2[[#This Row],[activating_chance]]/100),0)</f>
        <v>50</v>
      </c>
      <c r="AO81" s="71" t="str">
        <f ca="1">INDIRECT(ADDRESS(11+(MATCH(RIGHT(Table2[[#This Row],[spawner_sku]],LEN(Table2[[#This Row],[spawner_sku]])-FIND("/",Table2[[#This Row],[spawner_sku]])),Table28[Entity Prefab],0)),24,1,1,"Entities"))</f>
        <v>no</v>
      </c>
      <c r="AP81" s="71">
        <v>1</v>
      </c>
      <c r="AQ81" s="71">
        <v>3</v>
      </c>
      <c r="AR81" s="71" t="b">
        <v>0</v>
      </c>
      <c r="AT81" t="s">
        <v>220</v>
      </c>
      <c r="AU81">
        <v>3.5</v>
      </c>
      <c r="AV81">
        <v>300</v>
      </c>
      <c r="AW81">
        <v>100</v>
      </c>
      <c r="AX81" s="74">
        <f ca="1">INDIRECT(ADDRESS(11+(MATCH(RIGHT(Table6[[#This Row],[spawner_sku]],LEN(Table6[[#This Row],[spawner_sku]])-FIND("/",Table6[[#This Row],[spawner_sku]])),Table1[Entity Prefab],0)),10,1,1,"Entities"))</f>
        <v>195</v>
      </c>
      <c r="AY81" s="74">
        <f ca="1">ROUND((Table6[[#This Row],[XP]]*Table6[[#This Row],[entity_spawned (AVG)]])*(Table6[[#This Row],[activating_chance]]/100),0)</f>
        <v>683</v>
      </c>
      <c r="AZ81" s="144" t="str">
        <f ca="1">INDIRECT(ADDRESS(11+(MATCH(RIGHT(Table6[[#This Row],[spawner_sku]],LEN(Table6[[#This Row],[spawner_sku]])-FIND("/",Table6[[#This Row],[spawner_sku]])),Table28[Entity Prefab],0)),24,1,1,"Entities"))</f>
        <v>yes</v>
      </c>
      <c r="BA81">
        <v>3</v>
      </c>
      <c r="BB81">
        <v>4</v>
      </c>
      <c r="BC81" t="b">
        <v>0</v>
      </c>
      <c r="BE81" t="s">
        <v>220</v>
      </c>
      <c r="BF81">
        <v>2.5</v>
      </c>
      <c r="BG81">
        <v>300</v>
      </c>
      <c r="BH81">
        <v>100</v>
      </c>
      <c r="BI81" s="74">
        <f ca="1">INDIRECT(ADDRESS(11+(MATCH(RIGHT(Table610[[#This Row],[spawner_sku]],LEN(Table610[[#This Row],[spawner_sku]])-FIND("/",Table610[[#This Row],[spawner_sku]])),Table1[Entity Prefab],0)),10,1,1,"Entities"))</f>
        <v>195</v>
      </c>
      <c r="BJ81" s="74">
        <f ca="1">ROUND((Table610[[#This Row],[XP]]*Table610[[#This Row],[entity_spawned (AVG)]])*(Table610[[#This Row],[activating_chance]]/100),0)</f>
        <v>488</v>
      </c>
      <c r="BK81" s="71" t="str">
        <f ca="1">INDIRECT(ADDRESS(11+(MATCH(RIGHT(Table610[[#This Row],[spawner_sku]],LEN(Table610[[#This Row],[spawner_sku]])-FIND("/",Table610[[#This Row],[spawner_sku]])),Table28[Entity Prefab],0)),24,1,1,"Entities"))</f>
        <v>yes</v>
      </c>
      <c r="BL81">
        <v>2</v>
      </c>
      <c r="BM81">
        <v>3</v>
      </c>
      <c r="BN81" t="b">
        <v>0</v>
      </c>
      <c r="BP81" t="s">
        <v>217</v>
      </c>
      <c r="BQ81">
        <v>4</v>
      </c>
      <c r="BR81">
        <v>200</v>
      </c>
      <c r="BS81">
        <v>100</v>
      </c>
      <c r="BT81" s="74">
        <f ca="1">INDIRECT(ADDRESS(11+(MATCH(RIGHT(Table61011[[#This Row],[spawner_sku]],LEN(Table61011[[#This Row],[spawner_sku]])-FIND("/",Table61011[[#This Row],[spawner_sku]])),Table1[Entity Prefab],0)),10,1,1,"Entities"))</f>
        <v>25</v>
      </c>
      <c r="BU81" s="74">
        <f ca="1">ROUND((Table61011[[#This Row],[XP]]*Table61011[[#This Row],[entity_spawned (AVG)]])*(Table61011[[#This Row],[activating_chance]]/100),0)</f>
        <v>100</v>
      </c>
      <c r="BV81" s="71" t="str">
        <f ca="1">INDIRECT(ADDRESS(11+(MATCH(RIGHT(Table61011[[#This Row],[spawner_sku]],LEN(Table61011[[#This Row],[spawner_sku]])-FIND("/",Table61011[[#This Row],[spawner_sku]])),Table28[Entity Prefab],0)),24,1,1,"Entities"))</f>
        <v>no</v>
      </c>
      <c r="BW81" s="71">
        <v>4</v>
      </c>
      <c r="BX81" s="71">
        <v>4</v>
      </c>
      <c r="BY81" s="71" t="b">
        <v>0</v>
      </c>
      <c r="BZ81" s="71"/>
      <c r="CA81" s="147" t="s">
        <v>8142</v>
      </c>
      <c r="CB81">
        <v>1</v>
      </c>
      <c r="CC81">
        <v>200</v>
      </c>
      <c r="CD81">
        <v>100</v>
      </c>
      <c r="CE81" s="74">
        <f ca="1">INDIRECT(ADDRESS(11+(MATCH(RIGHT(Table35[[#This Row],[spawner_sku]],LEN(Table35[[#This Row],[spawner_sku]])-FIND("/",Table35[[#This Row],[spawner_sku]])),Table1[Entity Prefab],0)),10,1,1,"Entities"))</f>
        <v>75</v>
      </c>
      <c r="CF81" s="74">
        <f ca="1">ROUND((Table35[[#This Row],[XP]]*Table35[[#This Row],[entity_spawned (AVG)]])*(Table35[[#This Row],[activating_chance]]/100),0)</f>
        <v>75</v>
      </c>
      <c r="CG81" s="144" t="str">
        <f ca="1">INDIRECT(ADDRESS(11+(MATCH(RIGHT(Table35[[#This Row],[spawner_sku]],LEN(Table35[[#This Row],[spawner_sku]])-FIND("/",Table35[[#This Row],[spawner_sku]])),Table28[Entity Prefab],0)),24,1,1,"Entities"))</f>
        <v>no</v>
      </c>
      <c r="CH81">
        <v>1</v>
      </c>
      <c r="CI81">
        <v>1</v>
      </c>
      <c r="CJ81" s="71" t="b">
        <v>0</v>
      </c>
      <c r="CL81" t="s">
        <v>215</v>
      </c>
      <c r="CM81">
        <v>3.5</v>
      </c>
      <c r="CN81">
        <v>190</v>
      </c>
      <c r="CO81">
        <v>30</v>
      </c>
      <c r="CP81" s="74">
        <f ca="1">INDIRECT(ADDRESS(11+(MATCH(RIGHT(Table11[[#This Row],[spawner_sku]],LEN(Table11[[#This Row],[spawner_sku]])-FIND("/",Table11[[#This Row],[spawner_sku]])),Table1[Entity Prefab],0)),10,1,1,"Entities"))</f>
        <v>25</v>
      </c>
      <c r="CQ81">
        <f ca="1">ROUND((Table11[[#This Row],[XP]]*Table11[[#This Row],[entity_spawned (AVG)]])*(Table11[[#This Row],[activating_chance]]/100),0)</f>
        <v>26</v>
      </c>
      <c r="CR81" s="144" t="str">
        <f ca="1">INDIRECT(ADDRESS(11+(MATCH(RIGHT(Table11[[#This Row],[spawner_sku]],LEN(Table11[[#This Row],[spawner_sku]])-FIND("/",Table11[[#This Row],[spawner_sku]])),Table28[Entity Prefab],0)),25,1,1,"Entities"))</f>
        <v>no</v>
      </c>
      <c r="CS81" s="71">
        <v>3</v>
      </c>
      <c r="CT81" s="71">
        <v>4</v>
      </c>
      <c r="CU81" s="71" t="b">
        <v>0</v>
      </c>
      <c r="CW81" t="s">
        <v>231</v>
      </c>
      <c r="CX81">
        <v>1</v>
      </c>
      <c r="CY81">
        <v>220</v>
      </c>
      <c r="CZ81">
        <v>100</v>
      </c>
      <c r="DA81" s="74">
        <f ca="1">INDIRECT(ADDRESS(11+(MATCH(RIGHT(Table12[[#This Row],[spawner_sku]],LEN(Table12[[#This Row],[spawner_sku]])-FIND("/",Table12[[#This Row],[spawner_sku]])),Table1[Entity Prefab],0)),10,1,1,"Entities"))</f>
        <v>25</v>
      </c>
      <c r="DB81" s="74">
        <f ca="1">ROUND((Table12[[#This Row],[XP]]*Table12[[#This Row],[entity_spawned (AVG)]])*(Table12[[#This Row],[activating_chance]]/100),0)</f>
        <v>25</v>
      </c>
      <c r="DC81" s="144" t="str">
        <f ca="1">INDIRECT(ADDRESS(11+(MATCH(RIGHT(Table12[[#This Row],[spawner_sku]],LEN(Table12[[#This Row],[spawner_sku]])-FIND("/",Table12[[#This Row],[spawner_sku]])),Table28[Entity Prefab],0)),25,1,1,"Entities"))</f>
        <v>no</v>
      </c>
      <c r="DD81" s="71">
        <v>1</v>
      </c>
      <c r="DE81" s="71">
        <v>1</v>
      </c>
      <c r="DF81" s="71" t="b">
        <v>0</v>
      </c>
      <c r="DH81" t="s">
        <v>383</v>
      </c>
      <c r="DI81">
        <v>1</v>
      </c>
      <c r="DJ81">
        <v>340</v>
      </c>
      <c r="DK81">
        <v>100</v>
      </c>
      <c r="DL81" s="74">
        <f ca="1">INDIRECT(ADDRESS(11+(MATCH(RIGHT(Table13[[#This Row],[spawner_sku]],LEN(Table13[[#This Row],[spawner_sku]])-FIND("/",Table13[[#This Row],[spawner_sku]])),Table1[Entity Prefab],0)),10,1,1,"Entities"))</f>
        <v>263</v>
      </c>
      <c r="DM81" s="74">
        <f ca="1">ROUND((Table13[[#This Row],[XP]]*Table13[[#This Row],[entity_spawned (AVG)]])*(Table13[[#This Row],[activating_chance]]/100),0)</f>
        <v>263</v>
      </c>
      <c r="DN81" s="144" t="str">
        <f ca="1">INDIRECT(ADDRESS(11+(MATCH(RIGHT(Table13[[#This Row],[spawner_sku]],LEN(Table13[[#This Row],[spawner_sku]])-FIND("/",Table13[[#This Row],[spawner_sku]])),Table28[Entity Prefab],0)),25,1,1,"Entities"))</f>
        <v>yes</v>
      </c>
      <c r="DO81" s="71">
        <v>1</v>
      </c>
      <c r="DP81" s="71">
        <v>1</v>
      </c>
      <c r="DQ81" s="71" t="b">
        <v>0</v>
      </c>
      <c r="DS81" t="s">
        <v>214</v>
      </c>
      <c r="DT81">
        <v>3.5</v>
      </c>
      <c r="DU81">
        <v>200</v>
      </c>
      <c r="DV81">
        <v>100</v>
      </c>
      <c r="DW81" s="74">
        <f ca="1">INDIRECT(ADDRESS(11+(MATCH(RIGHT(Table14[[#This Row],[spawner_sku]],LEN(Table14[[#This Row],[spawner_sku]])-FIND("/",Table14[[#This Row],[spawner_sku]])),Table1[Entity Prefab],0)),10,1,1,"Entities"))</f>
        <v>25</v>
      </c>
      <c r="DX81" s="74">
        <f ca="1">ROUND((Table14[[#This Row],[XP]]*Table14[[#This Row],[entity_spawned (AVG)]])*(Table14[[#This Row],[activating_chance]]/100),0)</f>
        <v>88</v>
      </c>
      <c r="DY81" s="144" t="str">
        <f ca="1">INDIRECT(ADDRESS(11+(MATCH(RIGHT(Table14[[#This Row],[spawner_sku]],LEN(Table14[[#This Row],[spawner_sku]])-FIND("/",Table14[[#This Row],[spawner_sku]])),Table28[Entity Prefab],0)),25,1,1,"Entities"))</f>
        <v>no</v>
      </c>
      <c r="DZ81" s="71">
        <v>3</v>
      </c>
      <c r="EA81" s="71">
        <v>4</v>
      </c>
      <c r="EB81" s="71" t="b">
        <v>0</v>
      </c>
      <c r="EC81" s="71"/>
      <c r="ED81" s="147" t="s">
        <v>8142</v>
      </c>
      <c r="EE81" s="71">
        <v>1</v>
      </c>
      <c r="EF81" s="71">
        <v>200</v>
      </c>
      <c r="EG81" s="71">
        <v>80</v>
      </c>
      <c r="EH81" s="71">
        <f ca="1">INDIRECT(ADDRESS(11+(MATCH(RIGHT(Table36[[#This Row],[spawner_sku]],LEN(Table36[[#This Row],[spawner_sku]])-FIND("/",Table36[[#This Row],[spawner_sku]])),Table1[Entity Prefab],0)),10,1,1,"Entities"))</f>
        <v>75</v>
      </c>
      <c r="EI81" s="71">
        <f ca="1">ROUND((Table36[[#This Row],[XP]]*Table36[[#This Row],[entity_spawned (AVG)]])*(Table36[[#This Row],[activating_chance]]/100),0)</f>
        <v>60</v>
      </c>
      <c r="EJ81" s="71" t="str">
        <f ca="1">INDIRECT(ADDRESS(11+(MATCH(RIGHT(Table36[[#This Row],[spawner_sku]],LEN(Table36[[#This Row],[spawner_sku]])-FIND("/",Table36[[#This Row],[spawner_sku]])),Table28[Entity Prefab],0)),25,1,1,"Entities"))</f>
        <v>no</v>
      </c>
      <c r="EK81" s="71">
        <v>1</v>
      </c>
      <c r="EL81" s="71">
        <v>1</v>
      </c>
      <c r="EM81" s="71" t="b">
        <v>0</v>
      </c>
      <c r="EO81" t="s">
        <v>214</v>
      </c>
      <c r="EP81">
        <v>3.5</v>
      </c>
      <c r="EQ81">
        <v>140</v>
      </c>
      <c r="ER81">
        <v>100</v>
      </c>
      <c r="ES81" s="74">
        <f ca="1">INDIRECT(ADDRESS(11+(MATCH(RIGHT(Table18[[#This Row],[spawner_sku]],LEN(Table18[[#This Row],[spawner_sku]])-FIND("/",Table18[[#This Row],[spawner_sku]])),Table1[Entity Prefab],0)),10,1,1,"Entities"))</f>
        <v>25</v>
      </c>
      <c r="ET81" s="74">
        <f ca="1">ROUND((Table18[[#This Row],[XP]]*Table18[[#This Row],[entity_spawned (AVG)]])*(Table18[[#This Row],[activating_chance]]/100),0)</f>
        <v>88</v>
      </c>
      <c r="EU81" s="74" t="str">
        <f ca="1">INDIRECT(ADDRESS(11+(MATCH(RIGHT(Table18[[#This Row],[spawner_sku]],LEN(Table18[[#This Row],[spawner_sku]])-FIND("/",Table18[[#This Row],[spawner_sku]])),Table28[Entity Prefab],0)),26,1,1,"Entities"))</f>
        <v>no</v>
      </c>
      <c r="EV81">
        <v>3</v>
      </c>
      <c r="EW81">
        <v>4</v>
      </c>
      <c r="EX81" t="b">
        <v>0</v>
      </c>
      <c r="EZ81" t="s">
        <v>214</v>
      </c>
      <c r="FA81">
        <v>7</v>
      </c>
      <c r="FB81">
        <v>160</v>
      </c>
      <c r="FC81">
        <v>100</v>
      </c>
      <c r="FD81" s="74">
        <f ca="1">INDIRECT(ADDRESS(11+(MATCH(RIGHT(Table1820[[#This Row],[spawner_sku]],LEN(Table1820[[#This Row],[spawner_sku]])-FIND("/",Table1820[[#This Row],[spawner_sku]])),Table1[Entity Prefab],0)),10,1,1,"Entities"))</f>
        <v>25</v>
      </c>
      <c r="FE81" s="74">
        <f ca="1">ROUND((Table1820[[#This Row],[XP]]*Table1820[[#This Row],[entity_spawned (AVG)]])*(Table1820[[#This Row],[activating_chance]]/100),0)</f>
        <v>175</v>
      </c>
      <c r="FF81" s="74" t="str">
        <f ca="1">INDIRECT(ADDRESS(11+(MATCH(RIGHT(Table1820[[#This Row],[spawner_sku]],LEN(Table1820[[#This Row],[spawner_sku]])-FIND("/",Table1820[[#This Row],[spawner_sku]])),Table28[Entity Prefab],0)),26,1,1,"Entities"))</f>
        <v>no</v>
      </c>
      <c r="FG81">
        <v>6</v>
      </c>
      <c r="FH81">
        <v>8</v>
      </c>
      <c r="FI81" t="b">
        <v>1</v>
      </c>
      <c r="FK81" t="s">
        <v>2695</v>
      </c>
      <c r="FL81">
        <v>9</v>
      </c>
      <c r="FM81">
        <v>90</v>
      </c>
      <c r="FN81">
        <v>100</v>
      </c>
      <c r="FO81">
        <f ca="1">INDIRECT(ADDRESS(11+(MATCH(RIGHT(Table182023[[#This Row],[spawner_sku]],LEN(Table182023[[#This Row],[spawner_sku]])-FIND("/",Table182023[[#This Row],[spawner_sku]])),Table1[Entity Prefab],0)),10,1,1,"Entities"))</f>
        <v>40</v>
      </c>
      <c r="FP81">
        <f ca="1">ROUND((Table182023[[#This Row],[XP]]*Table182023[[#This Row],[entity_spawned (AVG)]])*(Table182023[[#This Row],[activating_chance]]/100),0)</f>
        <v>360</v>
      </c>
      <c r="FQ81" t="str">
        <f ca="1">INDIRECT(ADDRESS(11+(MATCH(RIGHT(Table182023[[#This Row],[spawner_sku]],LEN(Table182023[[#This Row],[spawner_sku]])-FIND("/",Table182023[[#This Row],[spawner_sku]])),Table28[Entity Prefab],0)),26,1,1,"Entities"))</f>
        <v>no</v>
      </c>
      <c r="FR81">
        <v>8</v>
      </c>
      <c r="FS81">
        <v>10</v>
      </c>
      <c r="FT81" t="b">
        <v>1</v>
      </c>
      <c r="FV81" t="s">
        <v>2694</v>
      </c>
      <c r="FW81">
        <v>1.5</v>
      </c>
      <c r="FX81">
        <v>80</v>
      </c>
      <c r="FY81">
        <v>100</v>
      </c>
      <c r="FZ81" s="74">
        <f ca="1">INDIRECT(ADDRESS(11+(MATCH(RIGHT(Table18202324[[#This Row],[spawner_sku]],LEN(Table18202324[[#This Row],[spawner_sku]])-FIND("/",Table18202324[[#This Row],[spawner_sku]])),Table1[Entity Prefab],0)),10,1,1,"Entities"))</f>
        <v>143</v>
      </c>
      <c r="GA81" s="74">
        <f ca="1">ROUND((Table18202324[[#This Row],[XP]]*Table18202324[[#This Row],[entity_spawned (AVG)]])*(Table18202324[[#This Row],[activating_chance]]/100),0)</f>
        <v>215</v>
      </c>
      <c r="GB81" s="74" t="str">
        <f ca="1">INDIRECT(ADDRESS(11+(MATCH(RIGHT(Table18202324[[#This Row],[spawner_sku]],LEN(Table18202324[[#This Row],[spawner_sku]])-FIND("/",Table18202324[[#This Row],[spawner_sku]])),Table28[Entity Prefab],0)),26,1,1,"Entities"))</f>
        <v>no</v>
      </c>
      <c r="GC81">
        <v>1</v>
      </c>
      <c r="GD81">
        <v>2</v>
      </c>
      <c r="GE81" t="b">
        <v>0</v>
      </c>
      <c r="GG81" t="s">
        <v>3816</v>
      </c>
      <c r="GH81">
        <v>1</v>
      </c>
      <c r="GI81">
        <v>240</v>
      </c>
      <c r="GJ81">
        <v>100</v>
      </c>
      <c r="GK81">
        <f ca="1">INDIRECT(ADDRESS(11+(MATCH(RIGHT(Table37[[#This Row],[spawner_sku]],LEN(Table37[[#This Row],[spawner_sku]])-FIND("/",Table37[[#This Row],[spawner_sku]])),Table1[Entity Prefab],0)),10,1,1,"Entities"))</f>
        <v>50</v>
      </c>
      <c r="GL81">
        <f ca="1">ROUND((Table37[[#This Row],[XP]]*Table37[[#This Row],[entity_spawned (AVG)]])*(Table37[[#This Row],[activating_chance]]/100),0)</f>
        <v>50</v>
      </c>
      <c r="GM81" t="str">
        <f ca="1">INDIRECT(ADDRESS(11+(MATCH(RIGHT(Table37[[#This Row],[spawner_sku]],LEN(Table37[[#This Row],[spawner_sku]])-FIND("/",Table37[[#This Row],[spawner_sku]])),Table28[Entity Prefab],0)),26,1,1,"Entities"))</f>
        <v>no</v>
      </c>
      <c r="GN81">
        <v>1</v>
      </c>
      <c r="GO81">
        <v>1</v>
      </c>
      <c r="GP81" t="b">
        <v>0</v>
      </c>
    </row>
    <row r="82" spans="2:198" x14ac:dyDescent="0.25">
      <c r="B82" s="72" t="s">
        <v>215</v>
      </c>
      <c r="C82">
        <v>3</v>
      </c>
      <c r="D82">
        <v>85</v>
      </c>
      <c r="E82">
        <v>80</v>
      </c>
      <c r="F82" s="74">
        <f ca="1">INDIRECT(ADDRESS(11+(MATCH(RIGHT(Table245[[#This Row],[spawner_sku]],LEN(Table245[[#This Row],[spawner_sku]])-FIND("/",Table245[[#This Row],[spawner_sku]])),Table1[Entity Prefab],0)),10,1,1,"Entities"))</f>
        <v>25</v>
      </c>
      <c r="G82" s="74">
        <f ca="1">ROUND((Table245[[#This Row],[XP]]*Table245[[#This Row],[entity_spawned (AVG)]])*(Table245[[#This Row],[activating_chance]]/100),0)</f>
        <v>60</v>
      </c>
      <c r="H82" s="71" t="str">
        <f ca="1">INDIRECT(ADDRESS(11+(MATCH(RIGHT(Table245[[#This Row],[spawner_sku]],LEN(Table245[[#This Row],[spawner_sku]])-FIND("/",Table245[[#This Row],[spawner_sku]])),Table28[Entity Prefab],0)),24,1,1,"Entities"))</f>
        <v>no</v>
      </c>
      <c r="I82" s="71">
        <v>2</v>
      </c>
      <c r="J82" s="71">
        <v>4</v>
      </c>
      <c r="K82" s="71" t="b">
        <v>0</v>
      </c>
      <c r="M82" t="s">
        <v>233</v>
      </c>
      <c r="N82">
        <v>1</v>
      </c>
      <c r="O82">
        <v>500</v>
      </c>
      <c r="P82">
        <v>75</v>
      </c>
      <c r="Q82" s="74">
        <f ca="1">INDIRECT(ADDRESS(11+(MATCH(RIGHT(Table3[[#This Row],[spawner_sku]],LEN(Table3[[#This Row],[spawner_sku]])-FIND("/",Table3[[#This Row],[spawner_sku]])),Table1[Entity Prefab],0)),10,1,1,"Entities"))</f>
        <v>25</v>
      </c>
      <c r="R82" s="74">
        <f ca="1">ROUND((Table3[[#This Row],[XP]]*Table3[[#This Row],[entity_spawned (AVG)]])*(Table3[[#This Row],[activating_chance]]/100),0)</f>
        <v>19</v>
      </c>
      <c r="S82" t="str">
        <f ca="1">INDIRECT(ADDRESS(11+(MATCH(RIGHT(Table3[[#This Row],[spawner_sku]],LEN(Table3[[#This Row],[spawner_sku]])-FIND("/",Table3[[#This Row],[spawner_sku]])),Table28[Entity Prefab],0)),24,1,1,"Entities"))</f>
        <v>no</v>
      </c>
      <c r="T82">
        <v>1</v>
      </c>
      <c r="U82">
        <v>1</v>
      </c>
      <c r="V82" t="b">
        <v>0</v>
      </c>
      <c r="W82" s="71"/>
      <c r="X82" t="s">
        <v>242</v>
      </c>
      <c r="Y82">
        <v>1</v>
      </c>
      <c r="Z82">
        <v>170</v>
      </c>
      <c r="AA82">
        <v>40</v>
      </c>
      <c r="AB82" s="74">
        <f ca="1">INDIRECT(ADDRESS(11+(MATCH(RIGHT(Table39[[#This Row],[spawner_sku]],LEN(Table39[[#This Row],[spawner_sku]])-FIND("/",Table39[[#This Row],[spawner_sku]])),Table1[Entity Prefab],0)),10,1,1,"Entities"))</f>
        <v>25</v>
      </c>
      <c r="AC82" s="74">
        <f ca="1">ROUND((Table39[[#This Row],[XP]]*Table39[[#This Row],[entity_spawned (AVG)]])*(Table39[[#This Row],[activating_chance]]/100),0)</f>
        <v>10</v>
      </c>
      <c r="AD82" t="str">
        <f ca="1">INDIRECT(ADDRESS(11+(MATCH(RIGHT(Table39[[#This Row],[spawner_sku]],LEN(Table39[[#This Row],[spawner_sku]])-FIND("/",Table39[[#This Row],[spawner_sku]])),Table28[Entity Prefab],0)),24,1,1,"Entities"))</f>
        <v>no</v>
      </c>
      <c r="AE82">
        <v>1</v>
      </c>
      <c r="AF82">
        <v>1</v>
      </c>
      <c r="AG82" t="b">
        <v>0</v>
      </c>
      <c r="AI82" t="s">
        <v>215</v>
      </c>
      <c r="AJ82">
        <v>3</v>
      </c>
      <c r="AK82">
        <v>160</v>
      </c>
      <c r="AL82">
        <v>100</v>
      </c>
      <c r="AM82" s="74">
        <f ca="1">INDIRECT(ADDRESS(11+(MATCH(RIGHT(Table2[[#This Row],[spawner_sku]],LEN(Table2[[#This Row],[spawner_sku]])-FIND("/",Table2[[#This Row],[spawner_sku]])),Table1[Entity Prefab],0)),10,1,1,"Entities"))</f>
        <v>25</v>
      </c>
      <c r="AN82" s="74">
        <f ca="1">ROUND((Table2[[#This Row],[XP]]*Table2[[#This Row],[entity_spawned (AVG)]])*(Table2[[#This Row],[activating_chance]]/100),0)</f>
        <v>75</v>
      </c>
      <c r="AO82" s="71" t="str">
        <f ca="1">INDIRECT(ADDRESS(11+(MATCH(RIGHT(Table2[[#This Row],[spawner_sku]],LEN(Table2[[#This Row],[spawner_sku]])-FIND("/",Table2[[#This Row],[spawner_sku]])),Table28[Entity Prefab],0)),24,1,1,"Entities"))</f>
        <v>no</v>
      </c>
      <c r="AP82" s="71">
        <v>2</v>
      </c>
      <c r="AQ82" s="71">
        <v>4</v>
      </c>
      <c r="AR82" s="71" t="b">
        <v>0</v>
      </c>
      <c r="AT82" t="s">
        <v>220</v>
      </c>
      <c r="AU82">
        <v>1</v>
      </c>
      <c r="AV82">
        <v>300</v>
      </c>
      <c r="AW82">
        <v>100</v>
      </c>
      <c r="AX82" s="74">
        <f ca="1">INDIRECT(ADDRESS(11+(MATCH(RIGHT(Table6[[#This Row],[spawner_sku]],LEN(Table6[[#This Row],[spawner_sku]])-FIND("/",Table6[[#This Row],[spawner_sku]])),Table1[Entity Prefab],0)),10,1,1,"Entities"))</f>
        <v>195</v>
      </c>
      <c r="AY82" s="74">
        <f ca="1">ROUND((Table6[[#This Row],[XP]]*Table6[[#This Row],[entity_spawned (AVG)]])*(Table6[[#This Row],[activating_chance]]/100),0)</f>
        <v>195</v>
      </c>
      <c r="AZ82" s="144" t="str">
        <f ca="1">INDIRECT(ADDRESS(11+(MATCH(RIGHT(Table6[[#This Row],[spawner_sku]],LEN(Table6[[#This Row],[spawner_sku]])-FIND("/",Table6[[#This Row],[spawner_sku]])),Table28[Entity Prefab],0)),24,1,1,"Entities"))</f>
        <v>yes</v>
      </c>
      <c r="BA82">
        <v>1</v>
      </c>
      <c r="BB82">
        <v>1</v>
      </c>
      <c r="BC82" t="b">
        <v>0</v>
      </c>
      <c r="BE82" t="s">
        <v>220</v>
      </c>
      <c r="BF82">
        <v>2.5</v>
      </c>
      <c r="BG82">
        <v>300</v>
      </c>
      <c r="BH82">
        <v>100</v>
      </c>
      <c r="BI82" s="74">
        <f ca="1">INDIRECT(ADDRESS(11+(MATCH(RIGHT(Table610[[#This Row],[spawner_sku]],LEN(Table610[[#This Row],[spawner_sku]])-FIND("/",Table610[[#This Row],[spawner_sku]])),Table1[Entity Prefab],0)),10,1,1,"Entities"))</f>
        <v>195</v>
      </c>
      <c r="BJ82" s="74">
        <f ca="1">ROUND((Table610[[#This Row],[XP]]*Table610[[#This Row],[entity_spawned (AVG)]])*(Table610[[#This Row],[activating_chance]]/100),0)</f>
        <v>488</v>
      </c>
      <c r="BK82" s="71" t="str">
        <f ca="1">INDIRECT(ADDRESS(11+(MATCH(RIGHT(Table610[[#This Row],[spawner_sku]],LEN(Table610[[#This Row],[spawner_sku]])-FIND("/",Table610[[#This Row],[spawner_sku]])),Table28[Entity Prefab],0)),24,1,1,"Entities"))</f>
        <v>yes</v>
      </c>
      <c r="BL82">
        <v>2</v>
      </c>
      <c r="BM82">
        <v>3</v>
      </c>
      <c r="BN82" t="b">
        <v>0</v>
      </c>
      <c r="BP82" t="s">
        <v>217</v>
      </c>
      <c r="BQ82">
        <v>7</v>
      </c>
      <c r="BR82">
        <v>200</v>
      </c>
      <c r="BS82">
        <v>80</v>
      </c>
      <c r="BT82" s="74">
        <f ca="1">INDIRECT(ADDRESS(11+(MATCH(RIGHT(Table61011[[#This Row],[spawner_sku]],LEN(Table61011[[#This Row],[spawner_sku]])-FIND("/",Table61011[[#This Row],[spawner_sku]])),Table1[Entity Prefab],0)),10,1,1,"Entities"))</f>
        <v>25</v>
      </c>
      <c r="BU82" s="74">
        <f ca="1">ROUND((Table61011[[#This Row],[XP]]*Table61011[[#This Row],[entity_spawned (AVG)]])*(Table61011[[#This Row],[activating_chance]]/100),0)</f>
        <v>140</v>
      </c>
      <c r="BV82" s="71" t="str">
        <f ca="1">INDIRECT(ADDRESS(11+(MATCH(RIGHT(Table61011[[#This Row],[spawner_sku]],LEN(Table61011[[#This Row],[spawner_sku]])-FIND("/",Table61011[[#This Row],[spawner_sku]])),Table28[Entity Prefab],0)),24,1,1,"Entities"))</f>
        <v>no</v>
      </c>
      <c r="BW82" s="71">
        <v>6</v>
      </c>
      <c r="BX82" s="71">
        <v>8</v>
      </c>
      <c r="BY82" s="71" t="b">
        <v>1</v>
      </c>
      <c r="BZ82" s="71"/>
      <c r="CA82" s="147" t="s">
        <v>8142</v>
      </c>
      <c r="CB82">
        <v>1</v>
      </c>
      <c r="CC82">
        <v>200</v>
      </c>
      <c r="CD82">
        <v>60</v>
      </c>
      <c r="CE82" s="74">
        <f ca="1">INDIRECT(ADDRESS(11+(MATCH(RIGHT(Table35[[#This Row],[spawner_sku]],LEN(Table35[[#This Row],[spawner_sku]])-FIND("/",Table35[[#This Row],[spawner_sku]])),Table1[Entity Prefab],0)),10,1,1,"Entities"))</f>
        <v>75</v>
      </c>
      <c r="CF82" s="74">
        <f ca="1">ROUND((Table35[[#This Row],[XP]]*Table35[[#This Row],[entity_spawned (AVG)]])*(Table35[[#This Row],[activating_chance]]/100),0)</f>
        <v>45</v>
      </c>
      <c r="CG82" s="144" t="str">
        <f ca="1">INDIRECT(ADDRESS(11+(MATCH(RIGHT(Table35[[#This Row],[spawner_sku]],LEN(Table35[[#This Row],[spawner_sku]])-FIND("/",Table35[[#This Row],[spawner_sku]])),Table28[Entity Prefab],0)),24,1,1,"Entities"))</f>
        <v>no</v>
      </c>
      <c r="CH82">
        <v>1</v>
      </c>
      <c r="CI82">
        <v>1</v>
      </c>
      <c r="CJ82" s="71" t="b">
        <v>0</v>
      </c>
      <c r="CL82" t="s">
        <v>215</v>
      </c>
      <c r="CM82">
        <v>10</v>
      </c>
      <c r="CN82">
        <v>180</v>
      </c>
      <c r="CO82">
        <v>100</v>
      </c>
      <c r="CP82" s="74">
        <f ca="1">INDIRECT(ADDRESS(11+(MATCH(RIGHT(Table11[[#This Row],[spawner_sku]],LEN(Table11[[#This Row],[spawner_sku]])-FIND("/",Table11[[#This Row],[spawner_sku]])),Table1[Entity Prefab],0)),10,1,1,"Entities"))</f>
        <v>25</v>
      </c>
      <c r="CQ82">
        <f ca="1">ROUND((Table11[[#This Row],[XP]]*Table11[[#This Row],[entity_spawned (AVG)]])*(Table11[[#This Row],[activating_chance]]/100),0)</f>
        <v>250</v>
      </c>
      <c r="CR82" s="144" t="str">
        <f ca="1">INDIRECT(ADDRESS(11+(MATCH(RIGHT(Table11[[#This Row],[spawner_sku]],LEN(Table11[[#This Row],[spawner_sku]])-FIND("/",Table11[[#This Row],[spawner_sku]])),Table28[Entity Prefab],0)),25,1,1,"Entities"))</f>
        <v>no</v>
      </c>
      <c r="CS82" s="71">
        <v>10</v>
      </c>
      <c r="CT82" s="71">
        <v>10</v>
      </c>
      <c r="CU82" s="71" t="b">
        <v>1</v>
      </c>
      <c r="CW82" t="s">
        <v>231</v>
      </c>
      <c r="CX82">
        <v>1</v>
      </c>
      <c r="CY82">
        <v>220</v>
      </c>
      <c r="CZ82">
        <v>100</v>
      </c>
      <c r="DA82" s="74">
        <f ca="1">INDIRECT(ADDRESS(11+(MATCH(RIGHT(Table12[[#This Row],[spawner_sku]],LEN(Table12[[#This Row],[spawner_sku]])-FIND("/",Table12[[#This Row],[spawner_sku]])),Table1[Entity Prefab],0)),10,1,1,"Entities"))</f>
        <v>25</v>
      </c>
      <c r="DB82" s="74">
        <f ca="1">ROUND((Table12[[#This Row],[XP]]*Table12[[#This Row],[entity_spawned (AVG)]])*(Table12[[#This Row],[activating_chance]]/100),0)</f>
        <v>25</v>
      </c>
      <c r="DC82" s="144" t="str">
        <f ca="1">INDIRECT(ADDRESS(11+(MATCH(RIGHT(Table12[[#This Row],[spawner_sku]],LEN(Table12[[#This Row],[spawner_sku]])-FIND("/",Table12[[#This Row],[spawner_sku]])),Table28[Entity Prefab],0)),25,1,1,"Entities"))</f>
        <v>no</v>
      </c>
      <c r="DD82" s="71">
        <v>1</v>
      </c>
      <c r="DE82" s="71">
        <v>1</v>
      </c>
      <c r="DF82" s="71" t="b">
        <v>0</v>
      </c>
      <c r="DH82" t="s">
        <v>383</v>
      </c>
      <c r="DI82">
        <v>1</v>
      </c>
      <c r="DJ82">
        <v>340</v>
      </c>
      <c r="DK82">
        <v>100</v>
      </c>
      <c r="DL82" s="74">
        <f ca="1">INDIRECT(ADDRESS(11+(MATCH(RIGHT(Table13[[#This Row],[spawner_sku]],LEN(Table13[[#This Row],[spawner_sku]])-FIND("/",Table13[[#This Row],[spawner_sku]])),Table1[Entity Prefab],0)),10,1,1,"Entities"))</f>
        <v>263</v>
      </c>
      <c r="DM82" s="74">
        <f ca="1">ROUND((Table13[[#This Row],[XP]]*Table13[[#This Row],[entity_spawned (AVG)]])*(Table13[[#This Row],[activating_chance]]/100),0)</f>
        <v>263</v>
      </c>
      <c r="DN82" s="144" t="str">
        <f ca="1">INDIRECT(ADDRESS(11+(MATCH(RIGHT(Table13[[#This Row],[spawner_sku]],LEN(Table13[[#This Row],[spawner_sku]])-FIND("/",Table13[[#This Row],[spawner_sku]])),Table28[Entity Prefab],0)),25,1,1,"Entities"))</f>
        <v>yes</v>
      </c>
      <c r="DO82" s="71">
        <v>1</v>
      </c>
      <c r="DP82" s="71">
        <v>1</v>
      </c>
      <c r="DQ82" s="71" t="b">
        <v>0</v>
      </c>
      <c r="DS82" t="s">
        <v>214</v>
      </c>
      <c r="DT82">
        <v>7</v>
      </c>
      <c r="DU82">
        <v>150</v>
      </c>
      <c r="DV82">
        <v>100</v>
      </c>
      <c r="DW82" s="74">
        <f ca="1">INDIRECT(ADDRESS(11+(MATCH(RIGHT(Table14[[#This Row],[spawner_sku]],LEN(Table14[[#This Row],[spawner_sku]])-FIND("/",Table14[[#This Row],[spawner_sku]])),Table1[Entity Prefab],0)),10,1,1,"Entities"))</f>
        <v>25</v>
      </c>
      <c r="DX82" s="74">
        <f ca="1">ROUND((Table14[[#This Row],[XP]]*Table14[[#This Row],[entity_spawned (AVG)]])*(Table14[[#This Row],[activating_chance]]/100),0)</f>
        <v>175</v>
      </c>
      <c r="DY82" s="144" t="str">
        <f ca="1">INDIRECT(ADDRESS(11+(MATCH(RIGHT(Table14[[#This Row],[spawner_sku]],LEN(Table14[[#This Row],[spawner_sku]])-FIND("/",Table14[[#This Row],[spawner_sku]])),Table28[Entity Prefab],0)),25,1,1,"Entities"))</f>
        <v>no</v>
      </c>
      <c r="DZ82" s="71">
        <v>6</v>
      </c>
      <c r="EA82" s="71">
        <v>8</v>
      </c>
      <c r="EB82" s="71" t="b">
        <v>1</v>
      </c>
      <c r="EC82" s="71"/>
      <c r="ED82" s="147" t="s">
        <v>8142</v>
      </c>
      <c r="EE82" s="71">
        <v>1</v>
      </c>
      <c r="EF82" s="71">
        <v>200</v>
      </c>
      <c r="EG82" s="71">
        <v>100</v>
      </c>
      <c r="EH82" s="71">
        <f ca="1">INDIRECT(ADDRESS(11+(MATCH(RIGHT(Table36[[#This Row],[spawner_sku]],LEN(Table36[[#This Row],[spawner_sku]])-FIND("/",Table36[[#This Row],[spawner_sku]])),Table1[Entity Prefab],0)),10,1,1,"Entities"))</f>
        <v>75</v>
      </c>
      <c r="EI82" s="71">
        <f ca="1">ROUND((Table36[[#This Row],[XP]]*Table36[[#This Row],[entity_spawned (AVG)]])*(Table36[[#This Row],[activating_chance]]/100),0)</f>
        <v>75</v>
      </c>
      <c r="EJ82" s="71" t="str">
        <f ca="1">INDIRECT(ADDRESS(11+(MATCH(RIGHT(Table36[[#This Row],[spawner_sku]],LEN(Table36[[#This Row],[spawner_sku]])-FIND("/",Table36[[#This Row],[spawner_sku]])),Table28[Entity Prefab],0)),25,1,1,"Entities"))</f>
        <v>no</v>
      </c>
      <c r="EK82" s="71">
        <v>1</v>
      </c>
      <c r="EL82" s="71">
        <v>1</v>
      </c>
      <c r="EM82" s="71" t="b">
        <v>0</v>
      </c>
      <c r="EO82" t="s">
        <v>214</v>
      </c>
      <c r="EP82">
        <v>7.5</v>
      </c>
      <c r="EQ82">
        <v>140</v>
      </c>
      <c r="ER82">
        <v>80</v>
      </c>
      <c r="ES82" s="74">
        <f ca="1">INDIRECT(ADDRESS(11+(MATCH(RIGHT(Table18[[#This Row],[spawner_sku]],LEN(Table18[[#This Row],[spawner_sku]])-FIND("/",Table18[[#This Row],[spawner_sku]])),Table1[Entity Prefab],0)),10,1,1,"Entities"))</f>
        <v>25</v>
      </c>
      <c r="ET82" s="74">
        <f ca="1">ROUND((Table18[[#This Row],[XP]]*Table18[[#This Row],[entity_spawned (AVG)]])*(Table18[[#This Row],[activating_chance]]/100),0)</f>
        <v>150</v>
      </c>
      <c r="EU82" s="74" t="str">
        <f ca="1">INDIRECT(ADDRESS(11+(MATCH(RIGHT(Table18[[#This Row],[spawner_sku]],LEN(Table18[[#This Row],[spawner_sku]])-FIND("/",Table18[[#This Row],[spawner_sku]])),Table28[Entity Prefab],0)),26,1,1,"Entities"))</f>
        <v>no</v>
      </c>
      <c r="EV82">
        <v>7</v>
      </c>
      <c r="EW82">
        <v>8</v>
      </c>
      <c r="EX82" t="b">
        <v>1</v>
      </c>
      <c r="EZ82" t="s">
        <v>214</v>
      </c>
      <c r="FA82">
        <v>3</v>
      </c>
      <c r="FB82">
        <v>140</v>
      </c>
      <c r="FC82">
        <v>100</v>
      </c>
      <c r="FD82" s="74">
        <f ca="1">INDIRECT(ADDRESS(11+(MATCH(RIGHT(Table1820[[#This Row],[spawner_sku]],LEN(Table1820[[#This Row],[spawner_sku]])-FIND("/",Table1820[[#This Row],[spawner_sku]])),Table1[Entity Prefab],0)),10,1,1,"Entities"))</f>
        <v>25</v>
      </c>
      <c r="FE82" s="74">
        <f ca="1">ROUND((Table1820[[#This Row],[XP]]*Table1820[[#This Row],[entity_spawned (AVG)]])*(Table1820[[#This Row],[activating_chance]]/100),0)</f>
        <v>75</v>
      </c>
      <c r="FF82" s="74" t="str">
        <f ca="1">INDIRECT(ADDRESS(11+(MATCH(RIGHT(Table1820[[#This Row],[spawner_sku]],LEN(Table1820[[#This Row],[spawner_sku]])-FIND("/",Table1820[[#This Row],[spawner_sku]])),Table28[Entity Prefab],0)),26,1,1,"Entities"))</f>
        <v>no</v>
      </c>
      <c r="FG82">
        <v>2</v>
      </c>
      <c r="FH82">
        <v>4</v>
      </c>
      <c r="FI82" t="b">
        <v>0</v>
      </c>
      <c r="FK82" t="s">
        <v>2695</v>
      </c>
      <c r="FL82">
        <v>5.5</v>
      </c>
      <c r="FM82">
        <v>90</v>
      </c>
      <c r="FN82">
        <v>100</v>
      </c>
      <c r="FO82">
        <f ca="1">INDIRECT(ADDRESS(11+(MATCH(RIGHT(Table182023[[#This Row],[spawner_sku]],LEN(Table182023[[#This Row],[spawner_sku]])-FIND("/",Table182023[[#This Row],[spawner_sku]])),Table1[Entity Prefab],0)),10,1,1,"Entities"))</f>
        <v>40</v>
      </c>
      <c r="FP82">
        <f ca="1">ROUND((Table182023[[#This Row],[XP]]*Table182023[[#This Row],[entity_spawned (AVG)]])*(Table182023[[#This Row],[activating_chance]]/100),0)</f>
        <v>220</v>
      </c>
      <c r="FQ82" t="str">
        <f ca="1">INDIRECT(ADDRESS(11+(MATCH(RIGHT(Table182023[[#This Row],[spawner_sku]],LEN(Table182023[[#This Row],[spawner_sku]])-FIND("/",Table182023[[#This Row],[spawner_sku]])),Table28[Entity Prefab],0)),26,1,1,"Entities"))</f>
        <v>no</v>
      </c>
      <c r="FR82">
        <v>5</v>
      </c>
      <c r="FS82">
        <v>6</v>
      </c>
      <c r="FT82" t="b">
        <v>1</v>
      </c>
      <c r="FV82" t="s">
        <v>2694</v>
      </c>
      <c r="FW82">
        <v>2.5</v>
      </c>
      <c r="FX82">
        <v>80</v>
      </c>
      <c r="FY82">
        <v>100</v>
      </c>
      <c r="FZ82" s="74">
        <f ca="1">INDIRECT(ADDRESS(11+(MATCH(RIGHT(Table18202324[[#This Row],[spawner_sku]],LEN(Table18202324[[#This Row],[spawner_sku]])-FIND("/",Table18202324[[#This Row],[spawner_sku]])),Table1[Entity Prefab],0)),10,1,1,"Entities"))</f>
        <v>143</v>
      </c>
      <c r="GA82" s="74">
        <f ca="1">ROUND((Table18202324[[#This Row],[XP]]*Table18202324[[#This Row],[entity_spawned (AVG)]])*(Table18202324[[#This Row],[activating_chance]]/100),0)</f>
        <v>358</v>
      </c>
      <c r="GB82" s="74" t="str">
        <f ca="1">INDIRECT(ADDRESS(11+(MATCH(RIGHT(Table18202324[[#This Row],[spawner_sku]],LEN(Table18202324[[#This Row],[spawner_sku]])-FIND("/",Table18202324[[#This Row],[spawner_sku]])),Table28[Entity Prefab],0)),26,1,1,"Entities"))</f>
        <v>no</v>
      </c>
      <c r="GC82">
        <v>2</v>
      </c>
      <c r="GD82">
        <v>3</v>
      </c>
      <c r="GE82" t="b">
        <v>0</v>
      </c>
      <c r="GG82" t="s">
        <v>3816</v>
      </c>
      <c r="GH82">
        <v>1</v>
      </c>
      <c r="GI82">
        <v>240</v>
      </c>
      <c r="GJ82">
        <v>100</v>
      </c>
      <c r="GK82">
        <f ca="1">INDIRECT(ADDRESS(11+(MATCH(RIGHT(Table37[[#This Row],[spawner_sku]],LEN(Table37[[#This Row],[spawner_sku]])-FIND("/",Table37[[#This Row],[spawner_sku]])),Table1[Entity Prefab],0)),10,1,1,"Entities"))</f>
        <v>50</v>
      </c>
      <c r="GL82">
        <f ca="1">ROUND((Table37[[#This Row],[XP]]*Table37[[#This Row],[entity_spawned (AVG)]])*(Table37[[#This Row],[activating_chance]]/100),0)</f>
        <v>50</v>
      </c>
      <c r="GM82" t="str">
        <f ca="1">INDIRECT(ADDRESS(11+(MATCH(RIGHT(Table37[[#This Row],[spawner_sku]],LEN(Table37[[#This Row],[spawner_sku]])-FIND("/",Table37[[#This Row],[spawner_sku]])),Table28[Entity Prefab],0)),26,1,1,"Entities"))</f>
        <v>no</v>
      </c>
      <c r="GN82">
        <v>1</v>
      </c>
      <c r="GO82">
        <v>1</v>
      </c>
      <c r="GP82" t="b">
        <v>0</v>
      </c>
    </row>
    <row r="83" spans="2:198" x14ac:dyDescent="0.25">
      <c r="B83" s="72" t="s">
        <v>215</v>
      </c>
      <c r="C83">
        <v>1.5</v>
      </c>
      <c r="D83">
        <v>100</v>
      </c>
      <c r="E83">
        <v>100</v>
      </c>
      <c r="F83" s="74">
        <f ca="1">INDIRECT(ADDRESS(11+(MATCH(RIGHT(Table245[[#This Row],[spawner_sku]],LEN(Table245[[#This Row],[spawner_sku]])-FIND("/",Table245[[#This Row],[spawner_sku]])),Table1[Entity Prefab],0)),10,1,1,"Entities"))</f>
        <v>25</v>
      </c>
      <c r="G83" s="74">
        <f ca="1">ROUND((Table245[[#This Row],[XP]]*Table245[[#This Row],[entity_spawned (AVG)]])*(Table245[[#This Row],[activating_chance]]/100),0)</f>
        <v>38</v>
      </c>
      <c r="H83" s="71" t="str">
        <f ca="1">INDIRECT(ADDRESS(11+(MATCH(RIGHT(Table245[[#This Row],[spawner_sku]],LEN(Table245[[#This Row],[spawner_sku]])-FIND("/",Table245[[#This Row],[spawner_sku]])),Table28[Entity Prefab],0)),24,1,1,"Entities"))</f>
        <v>no</v>
      </c>
      <c r="I83" s="71">
        <v>1</v>
      </c>
      <c r="J83" s="71">
        <v>2</v>
      </c>
      <c r="K83" s="71" t="b">
        <v>0</v>
      </c>
      <c r="M83" t="s">
        <v>233</v>
      </c>
      <c r="N83">
        <v>1</v>
      </c>
      <c r="O83">
        <v>500</v>
      </c>
      <c r="P83">
        <v>30</v>
      </c>
      <c r="Q83" s="74">
        <f ca="1">INDIRECT(ADDRESS(11+(MATCH(RIGHT(Table3[[#This Row],[spawner_sku]],LEN(Table3[[#This Row],[spawner_sku]])-FIND("/",Table3[[#This Row],[spawner_sku]])),Table1[Entity Prefab],0)),10,1,1,"Entities"))</f>
        <v>25</v>
      </c>
      <c r="R83" s="74">
        <f ca="1">ROUND((Table3[[#This Row],[XP]]*Table3[[#This Row],[entity_spawned (AVG)]])*(Table3[[#This Row],[activating_chance]]/100),0)</f>
        <v>8</v>
      </c>
      <c r="S83" t="str">
        <f ca="1">INDIRECT(ADDRESS(11+(MATCH(RIGHT(Table3[[#This Row],[spawner_sku]],LEN(Table3[[#This Row],[spawner_sku]])-FIND("/",Table3[[#This Row],[spawner_sku]])),Table28[Entity Prefab],0)),24,1,1,"Entities"))</f>
        <v>no</v>
      </c>
      <c r="T83">
        <v>1</v>
      </c>
      <c r="U83">
        <v>1</v>
      </c>
      <c r="V83" t="b">
        <v>0</v>
      </c>
      <c r="W83" s="71"/>
      <c r="X83" t="s">
        <v>242</v>
      </c>
      <c r="Y83">
        <v>1.5</v>
      </c>
      <c r="Z83">
        <v>150</v>
      </c>
      <c r="AA83">
        <v>40</v>
      </c>
      <c r="AB83" s="74">
        <f ca="1">INDIRECT(ADDRESS(11+(MATCH(RIGHT(Table39[[#This Row],[spawner_sku]],LEN(Table39[[#This Row],[spawner_sku]])-FIND("/",Table39[[#This Row],[spawner_sku]])),Table1[Entity Prefab],0)),10,1,1,"Entities"))</f>
        <v>25</v>
      </c>
      <c r="AC83" s="74">
        <f ca="1">ROUND((Table39[[#This Row],[XP]]*Table39[[#This Row],[entity_spawned (AVG)]])*(Table39[[#This Row],[activating_chance]]/100),0)</f>
        <v>15</v>
      </c>
      <c r="AD83" t="str">
        <f ca="1">INDIRECT(ADDRESS(11+(MATCH(RIGHT(Table39[[#This Row],[spawner_sku]],LEN(Table39[[#This Row],[spawner_sku]])-FIND("/",Table39[[#This Row],[spawner_sku]])),Table28[Entity Prefab],0)),24,1,1,"Entities"))</f>
        <v>no</v>
      </c>
      <c r="AE83">
        <v>1</v>
      </c>
      <c r="AF83">
        <v>2</v>
      </c>
      <c r="AG83" t="b">
        <v>0</v>
      </c>
      <c r="AI83" t="s">
        <v>215</v>
      </c>
      <c r="AJ83">
        <v>1</v>
      </c>
      <c r="AK83">
        <v>160</v>
      </c>
      <c r="AL83">
        <v>100</v>
      </c>
      <c r="AM83" s="74">
        <f ca="1">INDIRECT(ADDRESS(11+(MATCH(RIGHT(Table2[[#This Row],[spawner_sku]],LEN(Table2[[#This Row],[spawner_sku]])-FIND("/",Table2[[#This Row],[spawner_sku]])),Table1[Entity Prefab],0)),10,1,1,"Entities"))</f>
        <v>25</v>
      </c>
      <c r="AN83" s="74">
        <f ca="1">ROUND((Table2[[#This Row],[XP]]*Table2[[#This Row],[entity_spawned (AVG)]])*(Table2[[#This Row],[activating_chance]]/100),0)</f>
        <v>25</v>
      </c>
      <c r="AO83" s="71" t="str">
        <f ca="1">INDIRECT(ADDRESS(11+(MATCH(RIGHT(Table2[[#This Row],[spawner_sku]],LEN(Table2[[#This Row],[spawner_sku]])-FIND("/",Table2[[#This Row],[spawner_sku]])),Table28[Entity Prefab],0)),24,1,1,"Entities"))</f>
        <v>no</v>
      </c>
      <c r="AP83" s="71">
        <v>1</v>
      </c>
      <c r="AQ83" s="71">
        <v>1</v>
      </c>
      <c r="AR83" s="71" t="b">
        <v>0</v>
      </c>
      <c r="AT83" t="s">
        <v>220</v>
      </c>
      <c r="AU83">
        <v>1</v>
      </c>
      <c r="AV83">
        <v>300</v>
      </c>
      <c r="AW83">
        <v>100</v>
      </c>
      <c r="AX83" s="74">
        <f ca="1">INDIRECT(ADDRESS(11+(MATCH(RIGHT(Table6[[#This Row],[spawner_sku]],LEN(Table6[[#This Row],[spawner_sku]])-FIND("/",Table6[[#This Row],[spawner_sku]])),Table1[Entity Prefab],0)),10,1,1,"Entities"))</f>
        <v>195</v>
      </c>
      <c r="AY83" s="74">
        <f ca="1">ROUND((Table6[[#This Row],[XP]]*Table6[[#This Row],[entity_spawned (AVG)]])*(Table6[[#This Row],[activating_chance]]/100),0)</f>
        <v>195</v>
      </c>
      <c r="AZ83" s="144" t="str">
        <f ca="1">INDIRECT(ADDRESS(11+(MATCH(RIGHT(Table6[[#This Row],[spawner_sku]],LEN(Table6[[#This Row],[spawner_sku]])-FIND("/",Table6[[#This Row],[spawner_sku]])),Table28[Entity Prefab],0)),24,1,1,"Entities"))</f>
        <v>yes</v>
      </c>
      <c r="BA83">
        <v>1</v>
      </c>
      <c r="BB83">
        <v>1</v>
      </c>
      <c r="BC83" t="b">
        <v>0</v>
      </c>
      <c r="BE83" t="s">
        <v>321</v>
      </c>
      <c r="BF83">
        <v>1</v>
      </c>
      <c r="BG83">
        <v>300</v>
      </c>
      <c r="BH83">
        <v>100</v>
      </c>
      <c r="BI83" s="74">
        <f ca="1">INDIRECT(ADDRESS(11+(MATCH(RIGHT(Table610[[#This Row],[spawner_sku]],LEN(Table610[[#This Row],[spawner_sku]])-FIND("/",Table610[[#This Row],[spawner_sku]])),Table1[Entity Prefab],0)),10,1,1,"Entities"))</f>
        <v>195</v>
      </c>
      <c r="BJ83" s="74">
        <f ca="1">ROUND((Table610[[#This Row],[XP]]*Table610[[#This Row],[entity_spawned (AVG)]])*(Table610[[#This Row],[activating_chance]]/100),0)</f>
        <v>195</v>
      </c>
      <c r="BK83" s="71" t="str">
        <f ca="1">INDIRECT(ADDRESS(11+(MATCH(RIGHT(Table610[[#This Row],[spawner_sku]],LEN(Table610[[#This Row],[spawner_sku]])-FIND("/",Table610[[#This Row],[spawner_sku]])),Table28[Entity Prefab],0)),24,1,1,"Entities"))</f>
        <v>yes</v>
      </c>
      <c r="BL83">
        <v>1</v>
      </c>
      <c r="BM83">
        <v>1</v>
      </c>
      <c r="BN83" t="b">
        <v>0</v>
      </c>
      <c r="BP83" t="s">
        <v>372</v>
      </c>
      <c r="BQ83">
        <v>5.5</v>
      </c>
      <c r="BR83">
        <v>200</v>
      </c>
      <c r="BS83">
        <v>100</v>
      </c>
      <c r="BT83" s="74">
        <f ca="1">INDIRECT(ADDRESS(11+(MATCH(RIGHT(Table61011[[#This Row],[spawner_sku]],LEN(Table61011[[#This Row],[spawner_sku]])-FIND("/",Table61011[[#This Row],[spawner_sku]])),Table1[Entity Prefab],0)),10,1,1,"Entities"))</f>
        <v>25</v>
      </c>
      <c r="BU83" s="74">
        <f ca="1">ROUND((Table61011[[#This Row],[XP]]*Table61011[[#This Row],[entity_spawned (AVG)]])*(Table61011[[#This Row],[activating_chance]]/100),0)</f>
        <v>138</v>
      </c>
      <c r="BV83" s="71" t="str">
        <f ca="1">INDIRECT(ADDRESS(11+(MATCH(RIGHT(Table61011[[#This Row],[spawner_sku]],LEN(Table61011[[#This Row],[spawner_sku]])-FIND("/",Table61011[[#This Row],[spawner_sku]])),Table28[Entity Prefab],0)),24,1,1,"Entities"))</f>
        <v>no</v>
      </c>
      <c r="BW83" s="71">
        <v>5</v>
      </c>
      <c r="BX83" s="71">
        <v>6</v>
      </c>
      <c r="BY83" s="71" t="b">
        <v>1</v>
      </c>
      <c r="BZ83" s="71"/>
      <c r="CA83" s="147" t="s">
        <v>8142</v>
      </c>
      <c r="CB83">
        <v>1</v>
      </c>
      <c r="CC83">
        <v>200</v>
      </c>
      <c r="CD83">
        <v>80</v>
      </c>
      <c r="CE83" s="74">
        <f ca="1">INDIRECT(ADDRESS(11+(MATCH(RIGHT(Table35[[#This Row],[spawner_sku]],LEN(Table35[[#This Row],[spawner_sku]])-FIND("/",Table35[[#This Row],[spawner_sku]])),Table1[Entity Prefab],0)),10,1,1,"Entities"))</f>
        <v>75</v>
      </c>
      <c r="CF83" s="74">
        <f ca="1">ROUND((Table35[[#This Row],[XP]]*Table35[[#This Row],[entity_spawned (AVG)]])*(Table35[[#This Row],[activating_chance]]/100),0)</f>
        <v>60</v>
      </c>
      <c r="CG83" s="144" t="str">
        <f ca="1">INDIRECT(ADDRESS(11+(MATCH(RIGHT(Table35[[#This Row],[spawner_sku]],LEN(Table35[[#This Row],[spawner_sku]])-FIND("/",Table35[[#This Row],[spawner_sku]])),Table28[Entity Prefab],0)),24,1,1,"Entities"))</f>
        <v>no</v>
      </c>
      <c r="CH83">
        <v>1</v>
      </c>
      <c r="CI83">
        <v>1</v>
      </c>
      <c r="CJ83" s="71" t="b">
        <v>0</v>
      </c>
      <c r="CL83" t="s">
        <v>215</v>
      </c>
      <c r="CM83">
        <v>2.5</v>
      </c>
      <c r="CN83">
        <v>180</v>
      </c>
      <c r="CO83">
        <v>100</v>
      </c>
      <c r="CP83" s="74">
        <f ca="1">INDIRECT(ADDRESS(11+(MATCH(RIGHT(Table11[[#This Row],[spawner_sku]],LEN(Table11[[#This Row],[spawner_sku]])-FIND("/",Table11[[#This Row],[spawner_sku]])),Table1[Entity Prefab],0)),10,1,1,"Entities"))</f>
        <v>25</v>
      </c>
      <c r="CQ83">
        <f ca="1">ROUND((Table11[[#This Row],[XP]]*Table11[[#This Row],[entity_spawned (AVG)]])*(Table11[[#This Row],[activating_chance]]/100),0)</f>
        <v>63</v>
      </c>
      <c r="CR83" s="144" t="str">
        <f ca="1">INDIRECT(ADDRESS(11+(MATCH(RIGHT(Table11[[#This Row],[spawner_sku]],LEN(Table11[[#This Row],[spawner_sku]])-FIND("/",Table11[[#This Row],[spawner_sku]])),Table28[Entity Prefab],0)),25,1,1,"Entities"))</f>
        <v>no</v>
      </c>
      <c r="CS83" s="71">
        <v>2</v>
      </c>
      <c r="CT83" s="71">
        <v>3</v>
      </c>
      <c r="CU83" s="71" t="b">
        <v>0</v>
      </c>
      <c r="CW83" t="s">
        <v>231</v>
      </c>
      <c r="CX83">
        <v>1</v>
      </c>
      <c r="CY83">
        <v>220</v>
      </c>
      <c r="CZ83">
        <v>100</v>
      </c>
      <c r="DA83" s="74">
        <f ca="1">INDIRECT(ADDRESS(11+(MATCH(RIGHT(Table12[[#This Row],[spawner_sku]],LEN(Table12[[#This Row],[spawner_sku]])-FIND("/",Table12[[#This Row],[spawner_sku]])),Table1[Entity Prefab],0)),10,1,1,"Entities"))</f>
        <v>25</v>
      </c>
      <c r="DB83" s="74">
        <f ca="1">ROUND((Table12[[#This Row],[XP]]*Table12[[#This Row],[entity_spawned (AVG)]])*(Table12[[#This Row],[activating_chance]]/100),0)</f>
        <v>25</v>
      </c>
      <c r="DC83" s="144" t="str">
        <f ca="1">INDIRECT(ADDRESS(11+(MATCH(RIGHT(Table12[[#This Row],[spawner_sku]],LEN(Table12[[#This Row],[spawner_sku]])-FIND("/",Table12[[#This Row],[spawner_sku]])),Table28[Entity Prefab],0)),25,1,1,"Entities"))</f>
        <v>no</v>
      </c>
      <c r="DD83" s="71">
        <v>1</v>
      </c>
      <c r="DE83" s="71">
        <v>1</v>
      </c>
      <c r="DF83" s="71" t="b">
        <v>0</v>
      </c>
      <c r="DH83" t="s">
        <v>383</v>
      </c>
      <c r="DI83">
        <v>1</v>
      </c>
      <c r="DJ83">
        <v>340</v>
      </c>
      <c r="DK83">
        <v>100</v>
      </c>
      <c r="DL83" s="74">
        <f ca="1">INDIRECT(ADDRESS(11+(MATCH(RIGHT(Table13[[#This Row],[spawner_sku]],LEN(Table13[[#This Row],[spawner_sku]])-FIND("/",Table13[[#This Row],[spawner_sku]])),Table1[Entity Prefab],0)),10,1,1,"Entities"))</f>
        <v>263</v>
      </c>
      <c r="DM83" s="74">
        <f ca="1">ROUND((Table13[[#This Row],[XP]]*Table13[[#This Row],[entity_spawned (AVG)]])*(Table13[[#This Row],[activating_chance]]/100),0)</f>
        <v>263</v>
      </c>
      <c r="DN83" s="144" t="str">
        <f ca="1">INDIRECT(ADDRESS(11+(MATCH(RIGHT(Table13[[#This Row],[spawner_sku]],LEN(Table13[[#This Row],[spawner_sku]])-FIND("/",Table13[[#This Row],[spawner_sku]])),Table28[Entity Prefab],0)),25,1,1,"Entities"))</f>
        <v>yes</v>
      </c>
      <c r="DO83" s="71">
        <v>1</v>
      </c>
      <c r="DP83" s="71">
        <v>1</v>
      </c>
      <c r="DQ83" s="71" t="b">
        <v>0</v>
      </c>
      <c r="DS83" t="s">
        <v>214</v>
      </c>
      <c r="DT83">
        <v>5.5</v>
      </c>
      <c r="DU83">
        <v>180</v>
      </c>
      <c r="DV83">
        <v>100</v>
      </c>
      <c r="DW83" s="74">
        <f ca="1">INDIRECT(ADDRESS(11+(MATCH(RIGHT(Table14[[#This Row],[spawner_sku]],LEN(Table14[[#This Row],[spawner_sku]])-FIND("/",Table14[[#This Row],[spawner_sku]])),Table1[Entity Prefab],0)),10,1,1,"Entities"))</f>
        <v>25</v>
      </c>
      <c r="DX83" s="74">
        <f ca="1">ROUND((Table14[[#This Row],[XP]]*Table14[[#This Row],[entity_spawned (AVG)]])*(Table14[[#This Row],[activating_chance]]/100),0)</f>
        <v>138</v>
      </c>
      <c r="DY83" s="144" t="str">
        <f ca="1">INDIRECT(ADDRESS(11+(MATCH(RIGHT(Table14[[#This Row],[spawner_sku]],LEN(Table14[[#This Row],[spawner_sku]])-FIND("/",Table14[[#This Row],[spawner_sku]])),Table28[Entity Prefab],0)),25,1,1,"Entities"))</f>
        <v>no</v>
      </c>
      <c r="DZ83" s="71">
        <v>5</v>
      </c>
      <c r="EA83" s="71">
        <v>6</v>
      </c>
      <c r="EB83" s="71" t="b">
        <v>1</v>
      </c>
      <c r="EC83" s="71"/>
      <c r="ED83" s="147" t="s">
        <v>8142</v>
      </c>
      <c r="EE83" s="71">
        <v>1</v>
      </c>
      <c r="EF83" s="71">
        <v>200</v>
      </c>
      <c r="EG83" s="71">
        <v>80</v>
      </c>
      <c r="EH83" s="71">
        <f ca="1">INDIRECT(ADDRESS(11+(MATCH(RIGHT(Table36[[#This Row],[spawner_sku]],LEN(Table36[[#This Row],[spawner_sku]])-FIND("/",Table36[[#This Row],[spawner_sku]])),Table1[Entity Prefab],0)),10,1,1,"Entities"))</f>
        <v>75</v>
      </c>
      <c r="EI83" s="71">
        <f ca="1">ROUND((Table36[[#This Row],[XP]]*Table36[[#This Row],[entity_spawned (AVG)]])*(Table36[[#This Row],[activating_chance]]/100),0)</f>
        <v>60</v>
      </c>
      <c r="EJ83" s="71" t="str">
        <f ca="1">INDIRECT(ADDRESS(11+(MATCH(RIGHT(Table36[[#This Row],[spawner_sku]],LEN(Table36[[#This Row],[spawner_sku]])-FIND("/",Table36[[#This Row],[spawner_sku]])),Table28[Entity Prefab],0)),25,1,1,"Entities"))</f>
        <v>no</v>
      </c>
      <c r="EK83" s="71">
        <v>1</v>
      </c>
      <c r="EL83" s="71">
        <v>1</v>
      </c>
      <c r="EM83" s="71" t="b">
        <v>0</v>
      </c>
      <c r="EO83" t="s">
        <v>214</v>
      </c>
      <c r="EP83">
        <v>5.5</v>
      </c>
      <c r="EQ83">
        <v>140</v>
      </c>
      <c r="ER83">
        <v>100</v>
      </c>
      <c r="ES83" s="74">
        <f ca="1">INDIRECT(ADDRESS(11+(MATCH(RIGHT(Table18[[#This Row],[spawner_sku]],LEN(Table18[[#This Row],[spawner_sku]])-FIND("/",Table18[[#This Row],[spawner_sku]])),Table1[Entity Prefab],0)),10,1,1,"Entities"))</f>
        <v>25</v>
      </c>
      <c r="ET83" s="74">
        <f ca="1">ROUND((Table18[[#This Row],[XP]]*Table18[[#This Row],[entity_spawned (AVG)]])*(Table18[[#This Row],[activating_chance]]/100),0)</f>
        <v>138</v>
      </c>
      <c r="EU83" s="74" t="str">
        <f ca="1">INDIRECT(ADDRESS(11+(MATCH(RIGHT(Table18[[#This Row],[spawner_sku]],LEN(Table18[[#This Row],[spawner_sku]])-FIND("/",Table18[[#This Row],[spawner_sku]])),Table28[Entity Prefab],0)),26,1,1,"Entities"))</f>
        <v>no</v>
      </c>
      <c r="EV83">
        <v>5</v>
      </c>
      <c r="EW83">
        <v>6</v>
      </c>
      <c r="EX83" t="b">
        <v>1</v>
      </c>
      <c r="EZ83" t="s">
        <v>376</v>
      </c>
      <c r="FA83">
        <v>7</v>
      </c>
      <c r="FB83">
        <v>120</v>
      </c>
      <c r="FC83">
        <v>100</v>
      </c>
      <c r="FD83" s="74">
        <f ca="1">INDIRECT(ADDRESS(11+(MATCH(RIGHT(Table1820[[#This Row],[spawner_sku]],LEN(Table1820[[#This Row],[spawner_sku]])-FIND("/",Table1820[[#This Row],[spawner_sku]])),Table1[Entity Prefab],0)),10,1,1,"Entities"))</f>
        <v>25</v>
      </c>
      <c r="FE83" s="74">
        <f ca="1">ROUND((Table1820[[#This Row],[XP]]*Table1820[[#This Row],[entity_spawned (AVG)]])*(Table1820[[#This Row],[activating_chance]]/100),0)</f>
        <v>175</v>
      </c>
      <c r="FF83" s="74" t="str">
        <f ca="1">INDIRECT(ADDRESS(11+(MATCH(RIGHT(Table1820[[#This Row],[spawner_sku]],LEN(Table1820[[#This Row],[spawner_sku]])-FIND("/",Table1820[[#This Row],[spawner_sku]])),Table28[Entity Prefab],0)),26,1,1,"Entities"))</f>
        <v>no</v>
      </c>
      <c r="FG83">
        <v>6</v>
      </c>
      <c r="FH83">
        <v>8</v>
      </c>
      <c r="FI83" t="b">
        <v>1</v>
      </c>
      <c r="FK83" t="s">
        <v>2695</v>
      </c>
      <c r="FL83">
        <v>5.5</v>
      </c>
      <c r="FM83">
        <v>90</v>
      </c>
      <c r="FN83">
        <v>80</v>
      </c>
      <c r="FO83">
        <f ca="1">INDIRECT(ADDRESS(11+(MATCH(RIGHT(Table182023[[#This Row],[spawner_sku]],LEN(Table182023[[#This Row],[spawner_sku]])-FIND("/",Table182023[[#This Row],[spawner_sku]])),Table1[Entity Prefab],0)),10,1,1,"Entities"))</f>
        <v>40</v>
      </c>
      <c r="FP83">
        <f ca="1">ROUND((Table182023[[#This Row],[XP]]*Table182023[[#This Row],[entity_spawned (AVG)]])*(Table182023[[#This Row],[activating_chance]]/100),0)</f>
        <v>176</v>
      </c>
      <c r="FQ83" t="str">
        <f ca="1">INDIRECT(ADDRESS(11+(MATCH(RIGHT(Table182023[[#This Row],[spawner_sku]],LEN(Table182023[[#This Row],[spawner_sku]])-FIND("/",Table182023[[#This Row],[spawner_sku]])),Table28[Entity Prefab],0)),26,1,1,"Entities"))</f>
        <v>no</v>
      </c>
      <c r="FR83">
        <v>5</v>
      </c>
      <c r="FS83">
        <v>6</v>
      </c>
      <c r="FT83" t="b">
        <v>1</v>
      </c>
      <c r="FV83" t="s">
        <v>2694</v>
      </c>
      <c r="FW83">
        <v>1.5</v>
      </c>
      <c r="FX83">
        <v>80</v>
      </c>
      <c r="FY83">
        <v>100</v>
      </c>
      <c r="FZ83" s="74">
        <f ca="1">INDIRECT(ADDRESS(11+(MATCH(RIGHT(Table18202324[[#This Row],[spawner_sku]],LEN(Table18202324[[#This Row],[spawner_sku]])-FIND("/",Table18202324[[#This Row],[spawner_sku]])),Table1[Entity Prefab],0)),10,1,1,"Entities"))</f>
        <v>143</v>
      </c>
      <c r="GA83" s="74">
        <f ca="1">ROUND((Table18202324[[#This Row],[XP]]*Table18202324[[#This Row],[entity_spawned (AVG)]])*(Table18202324[[#This Row],[activating_chance]]/100),0)</f>
        <v>215</v>
      </c>
      <c r="GB83" s="74" t="str">
        <f ca="1">INDIRECT(ADDRESS(11+(MATCH(RIGHT(Table18202324[[#This Row],[spawner_sku]],LEN(Table18202324[[#This Row],[spawner_sku]])-FIND("/",Table18202324[[#This Row],[spawner_sku]])),Table28[Entity Prefab],0)),26,1,1,"Entities"))</f>
        <v>no</v>
      </c>
      <c r="GC83">
        <v>1</v>
      </c>
      <c r="GD83">
        <v>2</v>
      </c>
      <c r="GE83" t="b">
        <v>0</v>
      </c>
      <c r="GG83" t="s">
        <v>3816</v>
      </c>
      <c r="GH83">
        <v>1</v>
      </c>
      <c r="GI83">
        <v>240</v>
      </c>
      <c r="GJ83">
        <v>100</v>
      </c>
      <c r="GK83">
        <f ca="1">INDIRECT(ADDRESS(11+(MATCH(RIGHT(Table37[[#This Row],[spawner_sku]],LEN(Table37[[#This Row],[spawner_sku]])-FIND("/",Table37[[#This Row],[spawner_sku]])),Table1[Entity Prefab],0)),10,1,1,"Entities"))</f>
        <v>50</v>
      </c>
      <c r="GL83">
        <f ca="1">ROUND((Table37[[#This Row],[XP]]*Table37[[#This Row],[entity_spawned (AVG)]])*(Table37[[#This Row],[activating_chance]]/100),0)</f>
        <v>50</v>
      </c>
      <c r="GM83" t="str">
        <f ca="1">INDIRECT(ADDRESS(11+(MATCH(RIGHT(Table37[[#This Row],[spawner_sku]],LEN(Table37[[#This Row],[spawner_sku]])-FIND("/",Table37[[#This Row],[spawner_sku]])),Table28[Entity Prefab],0)),26,1,1,"Entities"))</f>
        <v>no</v>
      </c>
      <c r="GN83">
        <v>1</v>
      </c>
      <c r="GO83">
        <v>1</v>
      </c>
      <c r="GP83" t="b">
        <v>0</v>
      </c>
    </row>
    <row r="84" spans="2:198" x14ac:dyDescent="0.25">
      <c r="B84" s="72" t="s">
        <v>215</v>
      </c>
      <c r="C84">
        <v>3.5</v>
      </c>
      <c r="D84">
        <v>110</v>
      </c>
      <c r="E84">
        <v>100</v>
      </c>
      <c r="F84" s="74">
        <f ca="1">INDIRECT(ADDRESS(11+(MATCH(RIGHT(Table245[[#This Row],[spawner_sku]],LEN(Table245[[#This Row],[spawner_sku]])-FIND("/",Table245[[#This Row],[spawner_sku]])),Table1[Entity Prefab],0)),10,1,1,"Entities"))</f>
        <v>25</v>
      </c>
      <c r="G84" s="74">
        <f ca="1">ROUND((Table245[[#This Row],[XP]]*Table245[[#This Row],[entity_spawned (AVG)]])*(Table245[[#This Row],[activating_chance]]/100),0)</f>
        <v>88</v>
      </c>
      <c r="H84" s="71" t="str">
        <f ca="1">INDIRECT(ADDRESS(11+(MATCH(RIGHT(Table245[[#This Row],[spawner_sku]],LEN(Table245[[#This Row],[spawner_sku]])-FIND("/",Table245[[#This Row],[spawner_sku]])),Table28[Entity Prefab],0)),24,1,1,"Entities"))</f>
        <v>no</v>
      </c>
      <c r="I84" s="71">
        <v>3</v>
      </c>
      <c r="J84" s="71">
        <v>4</v>
      </c>
      <c r="K84" s="71" t="b">
        <v>0</v>
      </c>
      <c r="M84" t="s">
        <v>5003</v>
      </c>
      <c r="N84">
        <v>1</v>
      </c>
      <c r="O84">
        <v>5000</v>
      </c>
      <c r="P84">
        <v>100</v>
      </c>
      <c r="Q84" s="74">
        <f ca="1">INDIRECT(ADDRESS(11+(MATCH(RIGHT(Table3[[#This Row],[spawner_sku]],LEN(Table3[[#This Row],[spawner_sku]])-FIND("/",Table3[[#This Row],[spawner_sku]])),Table1[Entity Prefab],0)),10,1,1,"Entities"))</f>
        <v>25</v>
      </c>
      <c r="R84" s="74">
        <f ca="1">ROUND((Table3[[#This Row],[XP]]*Table3[[#This Row],[entity_spawned (AVG)]])*(Table3[[#This Row],[activating_chance]]/100),0)</f>
        <v>25</v>
      </c>
      <c r="S84" t="str">
        <f ca="1">INDIRECT(ADDRESS(11+(MATCH(RIGHT(Table3[[#This Row],[spawner_sku]],LEN(Table3[[#This Row],[spawner_sku]])-FIND("/",Table3[[#This Row],[spawner_sku]])),Table28[Entity Prefab],0)),24,1,1,"Entities"))</f>
        <v>no</v>
      </c>
      <c r="T84">
        <v>1</v>
      </c>
      <c r="U84">
        <v>1</v>
      </c>
      <c r="V84" t="b">
        <v>0</v>
      </c>
      <c r="W84" s="71"/>
      <c r="X84" t="s">
        <v>242</v>
      </c>
      <c r="Y84">
        <v>1.5</v>
      </c>
      <c r="Z84">
        <v>150</v>
      </c>
      <c r="AA84">
        <v>40</v>
      </c>
      <c r="AB84" s="74">
        <f ca="1">INDIRECT(ADDRESS(11+(MATCH(RIGHT(Table39[[#This Row],[spawner_sku]],LEN(Table39[[#This Row],[spawner_sku]])-FIND("/",Table39[[#This Row],[spawner_sku]])),Table1[Entity Prefab],0)),10,1,1,"Entities"))</f>
        <v>25</v>
      </c>
      <c r="AC84" s="74">
        <f ca="1">ROUND((Table39[[#This Row],[XP]]*Table39[[#This Row],[entity_spawned (AVG)]])*(Table39[[#This Row],[activating_chance]]/100),0)</f>
        <v>15</v>
      </c>
      <c r="AD84" t="str">
        <f ca="1">INDIRECT(ADDRESS(11+(MATCH(RIGHT(Table39[[#This Row],[spawner_sku]],LEN(Table39[[#This Row],[spawner_sku]])-FIND("/",Table39[[#This Row],[spawner_sku]])),Table28[Entity Prefab],0)),24,1,1,"Entities"))</f>
        <v>no</v>
      </c>
      <c r="AE84">
        <v>1</v>
      </c>
      <c r="AF84">
        <v>2</v>
      </c>
      <c r="AG84" t="b">
        <v>0</v>
      </c>
      <c r="AI84" t="s">
        <v>215</v>
      </c>
      <c r="AJ84">
        <v>2</v>
      </c>
      <c r="AK84">
        <v>140</v>
      </c>
      <c r="AL84">
        <v>85</v>
      </c>
      <c r="AM84" s="74">
        <f ca="1">INDIRECT(ADDRESS(11+(MATCH(RIGHT(Table2[[#This Row],[spawner_sku]],LEN(Table2[[#This Row],[spawner_sku]])-FIND("/",Table2[[#This Row],[spawner_sku]])),Table1[Entity Prefab],0)),10,1,1,"Entities"))</f>
        <v>25</v>
      </c>
      <c r="AN84" s="74">
        <f ca="1">ROUND((Table2[[#This Row],[XP]]*Table2[[#This Row],[entity_spawned (AVG)]])*(Table2[[#This Row],[activating_chance]]/100),0)</f>
        <v>43</v>
      </c>
      <c r="AO84" s="71" t="str">
        <f ca="1">INDIRECT(ADDRESS(11+(MATCH(RIGHT(Table2[[#This Row],[spawner_sku]],LEN(Table2[[#This Row],[spawner_sku]])-FIND("/",Table2[[#This Row],[spawner_sku]])),Table28[Entity Prefab],0)),24,1,1,"Entities"))</f>
        <v>no</v>
      </c>
      <c r="AP84" s="71">
        <v>1</v>
      </c>
      <c r="AQ84" s="71">
        <v>3</v>
      </c>
      <c r="AR84" s="71" t="b">
        <v>0</v>
      </c>
      <c r="AT84" t="s">
        <v>220</v>
      </c>
      <c r="AU84">
        <v>1.5</v>
      </c>
      <c r="AV84">
        <v>300</v>
      </c>
      <c r="AW84">
        <v>100</v>
      </c>
      <c r="AX84" s="74">
        <f ca="1">INDIRECT(ADDRESS(11+(MATCH(RIGHT(Table6[[#This Row],[spawner_sku]],LEN(Table6[[#This Row],[spawner_sku]])-FIND("/",Table6[[#This Row],[spawner_sku]])),Table1[Entity Prefab],0)),10,1,1,"Entities"))</f>
        <v>195</v>
      </c>
      <c r="AY84" s="74">
        <f ca="1">ROUND((Table6[[#This Row],[XP]]*Table6[[#This Row],[entity_spawned (AVG)]])*(Table6[[#This Row],[activating_chance]]/100),0)</f>
        <v>293</v>
      </c>
      <c r="AZ84" s="144" t="str">
        <f ca="1">INDIRECT(ADDRESS(11+(MATCH(RIGHT(Table6[[#This Row],[spawner_sku]],LEN(Table6[[#This Row],[spawner_sku]])-FIND("/",Table6[[#This Row],[spawner_sku]])),Table28[Entity Prefab],0)),24,1,1,"Entities"))</f>
        <v>yes</v>
      </c>
      <c r="BA84">
        <v>1</v>
      </c>
      <c r="BB84">
        <v>2</v>
      </c>
      <c r="BC84" t="b">
        <v>0</v>
      </c>
      <c r="BE84" t="s">
        <v>321</v>
      </c>
      <c r="BF84">
        <v>1.5</v>
      </c>
      <c r="BG84">
        <v>300</v>
      </c>
      <c r="BH84">
        <v>100</v>
      </c>
      <c r="BI84" s="74">
        <f ca="1">INDIRECT(ADDRESS(11+(MATCH(RIGHT(Table610[[#This Row],[spawner_sku]],LEN(Table610[[#This Row],[spawner_sku]])-FIND("/",Table610[[#This Row],[spawner_sku]])),Table1[Entity Prefab],0)),10,1,1,"Entities"))</f>
        <v>195</v>
      </c>
      <c r="BJ84" s="74">
        <f ca="1">ROUND((Table610[[#This Row],[XP]]*Table610[[#This Row],[entity_spawned (AVG)]])*(Table610[[#This Row],[activating_chance]]/100),0)</f>
        <v>293</v>
      </c>
      <c r="BK84" s="71" t="str">
        <f ca="1">INDIRECT(ADDRESS(11+(MATCH(RIGHT(Table610[[#This Row],[spawner_sku]],LEN(Table610[[#This Row],[spawner_sku]])-FIND("/",Table610[[#This Row],[spawner_sku]])),Table28[Entity Prefab],0)),24,1,1,"Entities"))</f>
        <v>yes</v>
      </c>
      <c r="BL84">
        <v>1</v>
      </c>
      <c r="BM84">
        <v>2</v>
      </c>
      <c r="BN84" t="b">
        <v>0</v>
      </c>
      <c r="BP84" t="s">
        <v>376</v>
      </c>
      <c r="BQ84">
        <v>3.5</v>
      </c>
      <c r="BR84">
        <v>220</v>
      </c>
      <c r="BS84">
        <v>100</v>
      </c>
      <c r="BT84" s="74">
        <f ca="1">INDIRECT(ADDRESS(11+(MATCH(RIGHT(Table61011[[#This Row],[spawner_sku]],LEN(Table61011[[#This Row],[spawner_sku]])-FIND("/",Table61011[[#This Row],[spawner_sku]])),Table1[Entity Prefab],0)),10,1,1,"Entities"))</f>
        <v>25</v>
      </c>
      <c r="BU84" s="74">
        <f ca="1">ROUND((Table61011[[#This Row],[XP]]*Table61011[[#This Row],[entity_spawned (AVG)]])*(Table61011[[#This Row],[activating_chance]]/100),0)</f>
        <v>88</v>
      </c>
      <c r="BV84" s="71" t="str">
        <f ca="1">INDIRECT(ADDRESS(11+(MATCH(RIGHT(Table61011[[#This Row],[spawner_sku]],LEN(Table61011[[#This Row],[spawner_sku]])-FIND("/",Table61011[[#This Row],[spawner_sku]])),Table28[Entity Prefab],0)),24,1,1,"Entities"))</f>
        <v>no</v>
      </c>
      <c r="BW84" s="71">
        <v>3</v>
      </c>
      <c r="BX84" s="71">
        <v>4</v>
      </c>
      <c r="BY84" s="71" t="b">
        <v>0</v>
      </c>
      <c r="BZ84" s="71"/>
      <c r="CA84" s="147" t="s">
        <v>8142</v>
      </c>
      <c r="CB84">
        <v>1</v>
      </c>
      <c r="CC84">
        <v>200</v>
      </c>
      <c r="CD84">
        <v>100</v>
      </c>
      <c r="CE84" s="74">
        <f ca="1">INDIRECT(ADDRESS(11+(MATCH(RIGHT(Table35[[#This Row],[spawner_sku]],LEN(Table35[[#This Row],[spawner_sku]])-FIND("/",Table35[[#This Row],[spawner_sku]])),Table1[Entity Prefab],0)),10,1,1,"Entities"))</f>
        <v>75</v>
      </c>
      <c r="CF84" s="74">
        <f ca="1">ROUND((Table35[[#This Row],[XP]]*Table35[[#This Row],[entity_spawned (AVG)]])*(Table35[[#This Row],[activating_chance]]/100),0)</f>
        <v>75</v>
      </c>
      <c r="CG84" s="144" t="str">
        <f ca="1">INDIRECT(ADDRESS(11+(MATCH(RIGHT(Table35[[#This Row],[spawner_sku]],LEN(Table35[[#This Row],[spawner_sku]])-FIND("/",Table35[[#This Row],[spawner_sku]])),Table28[Entity Prefab],0)),24,1,1,"Entities"))</f>
        <v>no</v>
      </c>
      <c r="CH84">
        <v>1</v>
      </c>
      <c r="CI84">
        <v>1</v>
      </c>
      <c r="CJ84" s="71" t="b">
        <v>0</v>
      </c>
      <c r="CL84" t="s">
        <v>215</v>
      </c>
      <c r="CM84">
        <v>1.5</v>
      </c>
      <c r="CN84">
        <v>180</v>
      </c>
      <c r="CO84">
        <v>30</v>
      </c>
      <c r="CP84" s="74">
        <f ca="1">INDIRECT(ADDRESS(11+(MATCH(RIGHT(Table11[[#This Row],[spawner_sku]],LEN(Table11[[#This Row],[spawner_sku]])-FIND("/",Table11[[#This Row],[spawner_sku]])),Table1[Entity Prefab],0)),10,1,1,"Entities"))</f>
        <v>25</v>
      </c>
      <c r="CQ84">
        <f ca="1">ROUND((Table11[[#This Row],[XP]]*Table11[[#This Row],[entity_spawned (AVG)]])*(Table11[[#This Row],[activating_chance]]/100),0)</f>
        <v>11</v>
      </c>
      <c r="CR84" s="144" t="str">
        <f ca="1">INDIRECT(ADDRESS(11+(MATCH(RIGHT(Table11[[#This Row],[spawner_sku]],LEN(Table11[[#This Row],[spawner_sku]])-FIND("/",Table11[[#This Row],[spawner_sku]])),Table28[Entity Prefab],0)),25,1,1,"Entities"))</f>
        <v>no</v>
      </c>
      <c r="CS84" s="71">
        <v>1</v>
      </c>
      <c r="CT84" s="71">
        <v>2</v>
      </c>
      <c r="CU84" s="71" t="b">
        <v>0</v>
      </c>
      <c r="CW84" t="s">
        <v>231</v>
      </c>
      <c r="CX84">
        <v>1</v>
      </c>
      <c r="CY84">
        <v>220</v>
      </c>
      <c r="CZ84">
        <v>100</v>
      </c>
      <c r="DA84" s="74">
        <f ca="1">INDIRECT(ADDRESS(11+(MATCH(RIGHT(Table12[[#This Row],[spawner_sku]],LEN(Table12[[#This Row],[spawner_sku]])-FIND("/",Table12[[#This Row],[spawner_sku]])),Table1[Entity Prefab],0)),10,1,1,"Entities"))</f>
        <v>25</v>
      </c>
      <c r="DB84" s="74">
        <f ca="1">ROUND((Table12[[#This Row],[XP]]*Table12[[#This Row],[entity_spawned (AVG)]])*(Table12[[#This Row],[activating_chance]]/100),0)</f>
        <v>25</v>
      </c>
      <c r="DC84" s="144" t="str">
        <f ca="1">INDIRECT(ADDRESS(11+(MATCH(RIGHT(Table12[[#This Row],[spawner_sku]],LEN(Table12[[#This Row],[spawner_sku]])-FIND("/",Table12[[#This Row],[spawner_sku]])),Table28[Entity Prefab],0)),25,1,1,"Entities"))</f>
        <v>no</v>
      </c>
      <c r="DD84" s="71">
        <v>1</v>
      </c>
      <c r="DE84" s="71">
        <v>1</v>
      </c>
      <c r="DF84" s="71" t="b">
        <v>0</v>
      </c>
      <c r="DH84" t="s">
        <v>383</v>
      </c>
      <c r="DI84">
        <v>1</v>
      </c>
      <c r="DJ84">
        <v>340</v>
      </c>
      <c r="DK84">
        <v>100</v>
      </c>
      <c r="DL84" s="74">
        <f ca="1">INDIRECT(ADDRESS(11+(MATCH(RIGHT(Table13[[#This Row],[spawner_sku]],LEN(Table13[[#This Row],[spawner_sku]])-FIND("/",Table13[[#This Row],[spawner_sku]])),Table1[Entity Prefab],0)),10,1,1,"Entities"))</f>
        <v>263</v>
      </c>
      <c r="DM84" s="74">
        <f ca="1">ROUND((Table13[[#This Row],[XP]]*Table13[[#This Row],[entity_spawned (AVG)]])*(Table13[[#This Row],[activating_chance]]/100),0)</f>
        <v>263</v>
      </c>
      <c r="DN84" s="144" t="str">
        <f ca="1">INDIRECT(ADDRESS(11+(MATCH(RIGHT(Table13[[#This Row],[spawner_sku]],LEN(Table13[[#This Row],[spawner_sku]])-FIND("/",Table13[[#This Row],[spawner_sku]])),Table28[Entity Prefab],0)),25,1,1,"Entities"))</f>
        <v>yes</v>
      </c>
      <c r="DO84" s="71">
        <v>1</v>
      </c>
      <c r="DP84" s="71">
        <v>1</v>
      </c>
      <c r="DQ84" s="71" t="b">
        <v>0</v>
      </c>
      <c r="DS84" t="s">
        <v>214</v>
      </c>
      <c r="DT84">
        <v>7</v>
      </c>
      <c r="DU84">
        <v>180</v>
      </c>
      <c r="DV84">
        <v>100</v>
      </c>
      <c r="DW84" s="74">
        <f ca="1">INDIRECT(ADDRESS(11+(MATCH(RIGHT(Table14[[#This Row],[spawner_sku]],LEN(Table14[[#This Row],[spawner_sku]])-FIND("/",Table14[[#This Row],[spawner_sku]])),Table1[Entity Prefab],0)),10,1,1,"Entities"))</f>
        <v>25</v>
      </c>
      <c r="DX84" s="74">
        <f ca="1">ROUND((Table14[[#This Row],[XP]]*Table14[[#This Row],[entity_spawned (AVG)]])*(Table14[[#This Row],[activating_chance]]/100),0)</f>
        <v>175</v>
      </c>
      <c r="DY84" s="144" t="str">
        <f ca="1">INDIRECT(ADDRESS(11+(MATCH(RIGHT(Table14[[#This Row],[spawner_sku]],LEN(Table14[[#This Row],[spawner_sku]])-FIND("/",Table14[[#This Row],[spawner_sku]])),Table28[Entity Prefab],0)),25,1,1,"Entities"))</f>
        <v>no</v>
      </c>
      <c r="DZ84" s="71">
        <v>6</v>
      </c>
      <c r="EA84" s="71">
        <v>8</v>
      </c>
      <c r="EB84" s="71" t="b">
        <v>1</v>
      </c>
      <c r="EC84" s="71"/>
      <c r="ED84" s="147" t="s">
        <v>8142</v>
      </c>
      <c r="EE84" s="71">
        <v>1</v>
      </c>
      <c r="EF84" s="71">
        <v>200</v>
      </c>
      <c r="EG84" s="71">
        <v>80</v>
      </c>
      <c r="EH84" s="71">
        <f ca="1">INDIRECT(ADDRESS(11+(MATCH(RIGHT(Table36[[#This Row],[spawner_sku]],LEN(Table36[[#This Row],[spawner_sku]])-FIND("/",Table36[[#This Row],[spawner_sku]])),Table1[Entity Prefab],0)),10,1,1,"Entities"))</f>
        <v>75</v>
      </c>
      <c r="EI84" s="71">
        <f ca="1">ROUND((Table36[[#This Row],[XP]]*Table36[[#This Row],[entity_spawned (AVG)]])*(Table36[[#This Row],[activating_chance]]/100),0)</f>
        <v>60</v>
      </c>
      <c r="EJ84" s="71" t="str">
        <f ca="1">INDIRECT(ADDRESS(11+(MATCH(RIGHT(Table36[[#This Row],[spawner_sku]],LEN(Table36[[#This Row],[spawner_sku]])-FIND("/",Table36[[#This Row],[spawner_sku]])),Table28[Entity Prefab],0)),25,1,1,"Entities"))</f>
        <v>no</v>
      </c>
      <c r="EK84" s="71">
        <v>1</v>
      </c>
      <c r="EL84" s="71">
        <v>1</v>
      </c>
      <c r="EM84" s="71" t="b">
        <v>0</v>
      </c>
      <c r="EO84" t="s">
        <v>376</v>
      </c>
      <c r="EP84">
        <v>3.5</v>
      </c>
      <c r="EQ84">
        <v>160</v>
      </c>
      <c r="ER84">
        <v>100</v>
      </c>
      <c r="ES84" s="74">
        <f ca="1">INDIRECT(ADDRESS(11+(MATCH(RIGHT(Table18[[#This Row],[spawner_sku]],LEN(Table18[[#This Row],[spawner_sku]])-FIND("/",Table18[[#This Row],[spawner_sku]])),Table1[Entity Prefab],0)),10,1,1,"Entities"))</f>
        <v>25</v>
      </c>
      <c r="ET84" s="74">
        <f ca="1">ROUND((Table18[[#This Row],[XP]]*Table18[[#This Row],[entity_spawned (AVG)]])*(Table18[[#This Row],[activating_chance]]/100),0)</f>
        <v>88</v>
      </c>
      <c r="EU84" s="74" t="str">
        <f ca="1">INDIRECT(ADDRESS(11+(MATCH(RIGHT(Table18[[#This Row],[spawner_sku]],LEN(Table18[[#This Row],[spawner_sku]])-FIND("/",Table18[[#This Row],[spawner_sku]])),Table28[Entity Prefab],0)),26,1,1,"Entities"))</f>
        <v>no</v>
      </c>
      <c r="EV84">
        <v>3</v>
      </c>
      <c r="EW84">
        <v>4</v>
      </c>
      <c r="EX84" t="b">
        <v>0</v>
      </c>
      <c r="EZ84" t="s">
        <v>376</v>
      </c>
      <c r="FA84">
        <v>2.5</v>
      </c>
      <c r="FB84">
        <v>120</v>
      </c>
      <c r="FC84">
        <v>100</v>
      </c>
      <c r="FD84" s="74">
        <f ca="1">INDIRECT(ADDRESS(11+(MATCH(RIGHT(Table1820[[#This Row],[spawner_sku]],LEN(Table1820[[#This Row],[spawner_sku]])-FIND("/",Table1820[[#This Row],[spawner_sku]])),Table1[Entity Prefab],0)),10,1,1,"Entities"))</f>
        <v>25</v>
      </c>
      <c r="FE84" s="74">
        <f ca="1">ROUND((Table1820[[#This Row],[XP]]*Table1820[[#This Row],[entity_spawned (AVG)]])*(Table1820[[#This Row],[activating_chance]]/100),0)</f>
        <v>63</v>
      </c>
      <c r="FF84" s="74" t="str">
        <f ca="1">INDIRECT(ADDRESS(11+(MATCH(RIGHT(Table1820[[#This Row],[spawner_sku]],LEN(Table1820[[#This Row],[spawner_sku]])-FIND("/",Table1820[[#This Row],[spawner_sku]])),Table28[Entity Prefab],0)),26,1,1,"Entities"))</f>
        <v>no</v>
      </c>
      <c r="FG84">
        <v>2</v>
      </c>
      <c r="FH84">
        <v>3</v>
      </c>
      <c r="FI84" t="b">
        <v>0</v>
      </c>
      <c r="FK84" t="s">
        <v>2695</v>
      </c>
      <c r="FL84">
        <v>3</v>
      </c>
      <c r="FM84">
        <v>90</v>
      </c>
      <c r="FN84">
        <v>100</v>
      </c>
      <c r="FO84">
        <f ca="1">INDIRECT(ADDRESS(11+(MATCH(RIGHT(Table182023[[#This Row],[spawner_sku]],LEN(Table182023[[#This Row],[spawner_sku]])-FIND("/",Table182023[[#This Row],[spawner_sku]])),Table1[Entity Prefab],0)),10,1,1,"Entities"))</f>
        <v>40</v>
      </c>
      <c r="FP84">
        <f ca="1">ROUND((Table182023[[#This Row],[XP]]*Table182023[[#This Row],[entity_spawned (AVG)]])*(Table182023[[#This Row],[activating_chance]]/100),0)</f>
        <v>120</v>
      </c>
      <c r="FQ84" t="str">
        <f ca="1">INDIRECT(ADDRESS(11+(MATCH(RIGHT(Table182023[[#This Row],[spawner_sku]],LEN(Table182023[[#This Row],[spawner_sku]])-FIND("/",Table182023[[#This Row],[spawner_sku]])),Table28[Entity Prefab],0)),26,1,1,"Entities"))</f>
        <v>no</v>
      </c>
      <c r="FR84">
        <v>2</v>
      </c>
      <c r="FS84">
        <v>4</v>
      </c>
      <c r="FT84" t="b">
        <v>0</v>
      </c>
      <c r="FV84" t="s">
        <v>2694</v>
      </c>
      <c r="FW84">
        <v>1.5</v>
      </c>
      <c r="FX84">
        <v>80</v>
      </c>
      <c r="FY84">
        <v>100</v>
      </c>
      <c r="FZ84" s="74">
        <f ca="1">INDIRECT(ADDRESS(11+(MATCH(RIGHT(Table18202324[[#This Row],[spawner_sku]],LEN(Table18202324[[#This Row],[spawner_sku]])-FIND("/",Table18202324[[#This Row],[spawner_sku]])),Table1[Entity Prefab],0)),10,1,1,"Entities"))</f>
        <v>143</v>
      </c>
      <c r="GA84" s="74">
        <f ca="1">ROUND((Table18202324[[#This Row],[XP]]*Table18202324[[#This Row],[entity_spawned (AVG)]])*(Table18202324[[#This Row],[activating_chance]]/100),0)</f>
        <v>215</v>
      </c>
      <c r="GB84" s="74" t="str">
        <f ca="1">INDIRECT(ADDRESS(11+(MATCH(RIGHT(Table18202324[[#This Row],[spawner_sku]],LEN(Table18202324[[#This Row],[spawner_sku]])-FIND("/",Table18202324[[#This Row],[spawner_sku]])),Table28[Entity Prefab],0)),26,1,1,"Entities"))</f>
        <v>no</v>
      </c>
      <c r="GC84">
        <v>1</v>
      </c>
      <c r="GD84">
        <v>2</v>
      </c>
      <c r="GE84" t="b">
        <v>0</v>
      </c>
      <c r="GG84" t="s">
        <v>3816</v>
      </c>
      <c r="GH84">
        <v>1</v>
      </c>
      <c r="GI84">
        <v>240</v>
      </c>
      <c r="GJ84">
        <v>100</v>
      </c>
      <c r="GK84">
        <f ca="1">INDIRECT(ADDRESS(11+(MATCH(RIGHT(Table37[[#This Row],[spawner_sku]],LEN(Table37[[#This Row],[spawner_sku]])-FIND("/",Table37[[#This Row],[spawner_sku]])),Table1[Entity Prefab],0)),10,1,1,"Entities"))</f>
        <v>50</v>
      </c>
      <c r="GL84">
        <f ca="1">ROUND((Table37[[#This Row],[XP]]*Table37[[#This Row],[entity_spawned (AVG)]])*(Table37[[#This Row],[activating_chance]]/100),0)</f>
        <v>50</v>
      </c>
      <c r="GM84" t="str">
        <f ca="1">INDIRECT(ADDRESS(11+(MATCH(RIGHT(Table37[[#This Row],[spawner_sku]],LEN(Table37[[#This Row],[spawner_sku]])-FIND("/",Table37[[#This Row],[spawner_sku]])),Table28[Entity Prefab],0)),26,1,1,"Entities"))</f>
        <v>no</v>
      </c>
      <c r="GN84">
        <v>1</v>
      </c>
      <c r="GO84">
        <v>1</v>
      </c>
      <c r="GP84" t="b">
        <v>0</v>
      </c>
    </row>
    <row r="85" spans="2:198" x14ac:dyDescent="0.25">
      <c r="B85" s="72" t="s">
        <v>215</v>
      </c>
      <c r="C85">
        <v>3</v>
      </c>
      <c r="D85">
        <v>160</v>
      </c>
      <c r="E85">
        <v>100</v>
      </c>
      <c r="F85" s="74">
        <f ca="1">INDIRECT(ADDRESS(11+(MATCH(RIGHT(Table245[[#This Row],[spawner_sku]],LEN(Table245[[#This Row],[spawner_sku]])-FIND("/",Table245[[#This Row],[spawner_sku]])),Table1[Entity Prefab],0)),10,1,1,"Entities"))</f>
        <v>25</v>
      </c>
      <c r="G85" s="74">
        <f ca="1">ROUND((Table245[[#This Row],[XP]]*Table245[[#This Row],[entity_spawned (AVG)]])*(Table245[[#This Row],[activating_chance]]/100),0)</f>
        <v>75</v>
      </c>
      <c r="H85" s="71" t="str">
        <f ca="1">INDIRECT(ADDRESS(11+(MATCH(RIGHT(Table245[[#This Row],[spawner_sku]],LEN(Table245[[#This Row],[spawner_sku]])-FIND("/",Table245[[#This Row],[spawner_sku]])),Table28[Entity Prefab],0)),24,1,1,"Entities"))</f>
        <v>no</v>
      </c>
      <c r="I85" s="71">
        <v>2</v>
      </c>
      <c r="J85" s="71">
        <v>4</v>
      </c>
      <c r="K85" s="71" t="b">
        <v>0</v>
      </c>
      <c r="M85" t="s">
        <v>381</v>
      </c>
      <c r="N85">
        <v>1</v>
      </c>
      <c r="O85">
        <v>200</v>
      </c>
      <c r="P85">
        <v>100</v>
      </c>
      <c r="Q85" s="74">
        <f ca="1">INDIRECT(ADDRESS(11+(MATCH(RIGHT(Table3[[#This Row],[spawner_sku]],LEN(Table3[[#This Row],[spawner_sku]])-FIND("/",Table3[[#This Row],[spawner_sku]])),Table1[Entity Prefab],0)),10,1,1,"Entities"))</f>
        <v>75</v>
      </c>
      <c r="R85" s="74">
        <f ca="1">ROUND((Table3[[#This Row],[XP]]*Table3[[#This Row],[entity_spawned (AVG)]])*(Table3[[#This Row],[activating_chance]]/100),0)</f>
        <v>75</v>
      </c>
      <c r="S85" t="str">
        <f ca="1">INDIRECT(ADDRESS(11+(MATCH(RIGHT(Table3[[#This Row],[spawner_sku]],LEN(Table3[[#This Row],[spawner_sku]])-FIND("/",Table3[[#This Row],[spawner_sku]])),Table28[Entity Prefab],0)),24,1,1,"Entities"))</f>
        <v>yes</v>
      </c>
      <c r="T85">
        <v>1</v>
      </c>
      <c r="U85">
        <v>1</v>
      </c>
      <c r="V85" t="b">
        <v>0</v>
      </c>
      <c r="W85" s="71"/>
      <c r="X85" t="s">
        <v>243</v>
      </c>
      <c r="Y85">
        <v>1</v>
      </c>
      <c r="Z85">
        <v>140</v>
      </c>
      <c r="AA85">
        <v>100</v>
      </c>
      <c r="AB85" s="74">
        <f ca="1">INDIRECT(ADDRESS(11+(MATCH(RIGHT(Table39[[#This Row],[spawner_sku]],LEN(Table39[[#This Row],[spawner_sku]])-FIND("/",Table39[[#This Row],[spawner_sku]])),Table1[Entity Prefab],0)),10,1,1,"Entities"))</f>
        <v>25</v>
      </c>
      <c r="AC85" s="74">
        <f ca="1">ROUND((Table39[[#This Row],[XP]]*Table39[[#This Row],[entity_spawned (AVG)]])*(Table39[[#This Row],[activating_chance]]/100),0)</f>
        <v>25</v>
      </c>
      <c r="AD85" t="str">
        <f ca="1">INDIRECT(ADDRESS(11+(MATCH(RIGHT(Table39[[#This Row],[spawner_sku]],LEN(Table39[[#This Row],[spawner_sku]])-FIND("/",Table39[[#This Row],[spawner_sku]])),Table28[Entity Prefab],0)),24,1,1,"Entities"))</f>
        <v>no</v>
      </c>
      <c r="AE85">
        <v>1</v>
      </c>
      <c r="AF85">
        <v>1</v>
      </c>
      <c r="AG85" t="b">
        <v>0</v>
      </c>
      <c r="AI85" t="s">
        <v>215</v>
      </c>
      <c r="AJ85">
        <v>6.5</v>
      </c>
      <c r="AK85">
        <v>160</v>
      </c>
      <c r="AL85">
        <v>100</v>
      </c>
      <c r="AM85" s="74">
        <f ca="1">INDIRECT(ADDRESS(11+(MATCH(RIGHT(Table2[[#This Row],[spawner_sku]],LEN(Table2[[#This Row],[spawner_sku]])-FIND("/",Table2[[#This Row],[spawner_sku]])),Table1[Entity Prefab],0)),10,1,1,"Entities"))</f>
        <v>25</v>
      </c>
      <c r="AN85" s="74">
        <f ca="1">ROUND((Table2[[#This Row],[XP]]*Table2[[#This Row],[entity_spawned (AVG)]])*(Table2[[#This Row],[activating_chance]]/100),0)</f>
        <v>163</v>
      </c>
      <c r="AO85" s="71" t="str">
        <f ca="1">INDIRECT(ADDRESS(11+(MATCH(RIGHT(Table2[[#This Row],[spawner_sku]],LEN(Table2[[#This Row],[spawner_sku]])-FIND("/",Table2[[#This Row],[spawner_sku]])),Table28[Entity Prefab],0)),24,1,1,"Entities"))</f>
        <v>no</v>
      </c>
      <c r="AP85" s="71">
        <v>5</v>
      </c>
      <c r="AQ85" s="71">
        <v>8</v>
      </c>
      <c r="AR85" s="71" t="b">
        <v>1</v>
      </c>
      <c r="AT85" t="s">
        <v>221</v>
      </c>
      <c r="AU85">
        <v>1</v>
      </c>
      <c r="AV85">
        <v>340</v>
      </c>
      <c r="AW85">
        <v>100</v>
      </c>
      <c r="AX85" s="74">
        <f ca="1">INDIRECT(ADDRESS(11+(MATCH(RIGHT(Table6[[#This Row],[spawner_sku]],LEN(Table6[[#This Row],[spawner_sku]])-FIND("/",Table6[[#This Row],[spawner_sku]])),Table1[Entity Prefab],0)),10,1,1,"Entities"))</f>
        <v>263</v>
      </c>
      <c r="AY85" s="74">
        <f ca="1">ROUND((Table6[[#This Row],[XP]]*Table6[[#This Row],[entity_spawned (AVG)]])*(Table6[[#This Row],[activating_chance]]/100),0)</f>
        <v>263</v>
      </c>
      <c r="AZ85" s="144" t="str">
        <f ca="1">INDIRECT(ADDRESS(11+(MATCH(RIGHT(Table6[[#This Row],[spawner_sku]],LEN(Table6[[#This Row],[spawner_sku]])-FIND("/",Table6[[#This Row],[spawner_sku]])),Table28[Entity Prefab],0)),24,1,1,"Entities"))</f>
        <v>yes</v>
      </c>
      <c r="BA85">
        <v>1</v>
      </c>
      <c r="BB85">
        <v>1</v>
      </c>
      <c r="BC85" t="b">
        <v>0</v>
      </c>
      <c r="BE85" t="s">
        <v>321</v>
      </c>
      <c r="BF85">
        <v>1</v>
      </c>
      <c r="BG85">
        <v>300</v>
      </c>
      <c r="BH85">
        <v>100</v>
      </c>
      <c r="BI85" s="74">
        <f ca="1">INDIRECT(ADDRESS(11+(MATCH(RIGHT(Table610[[#This Row],[spawner_sku]],LEN(Table610[[#This Row],[spawner_sku]])-FIND("/",Table610[[#This Row],[spawner_sku]])),Table1[Entity Prefab],0)),10,1,1,"Entities"))</f>
        <v>195</v>
      </c>
      <c r="BJ85" s="74">
        <f ca="1">ROUND((Table610[[#This Row],[XP]]*Table610[[#This Row],[entity_spawned (AVG)]])*(Table610[[#This Row],[activating_chance]]/100),0)</f>
        <v>195</v>
      </c>
      <c r="BK85" s="71" t="str">
        <f ca="1">INDIRECT(ADDRESS(11+(MATCH(RIGHT(Table610[[#This Row],[spawner_sku]],LEN(Table610[[#This Row],[spawner_sku]])-FIND("/",Table610[[#This Row],[spawner_sku]])),Table28[Entity Prefab],0)),24,1,1,"Entities"))</f>
        <v>yes</v>
      </c>
      <c r="BL85">
        <v>1</v>
      </c>
      <c r="BM85">
        <v>1</v>
      </c>
      <c r="BN85" t="b">
        <v>0</v>
      </c>
      <c r="BP85" t="s">
        <v>376</v>
      </c>
      <c r="BQ85">
        <v>3.5</v>
      </c>
      <c r="BR85">
        <v>200</v>
      </c>
      <c r="BS85">
        <v>30</v>
      </c>
      <c r="BT85" s="74">
        <f ca="1">INDIRECT(ADDRESS(11+(MATCH(RIGHT(Table61011[[#This Row],[spawner_sku]],LEN(Table61011[[#This Row],[spawner_sku]])-FIND("/",Table61011[[#This Row],[spawner_sku]])),Table1[Entity Prefab],0)),10,1,1,"Entities"))</f>
        <v>25</v>
      </c>
      <c r="BU85" s="74">
        <f ca="1">ROUND((Table61011[[#This Row],[XP]]*Table61011[[#This Row],[entity_spawned (AVG)]])*(Table61011[[#This Row],[activating_chance]]/100),0)</f>
        <v>26</v>
      </c>
      <c r="BV85" s="71" t="str">
        <f ca="1">INDIRECT(ADDRESS(11+(MATCH(RIGHT(Table61011[[#This Row],[spawner_sku]],LEN(Table61011[[#This Row],[spawner_sku]])-FIND("/",Table61011[[#This Row],[spawner_sku]])),Table28[Entity Prefab],0)),24,1,1,"Entities"))</f>
        <v>no</v>
      </c>
      <c r="BW85" s="71">
        <v>3</v>
      </c>
      <c r="BX85" s="71">
        <v>4</v>
      </c>
      <c r="BY85" s="71" t="b">
        <v>0</v>
      </c>
      <c r="BZ85" s="71"/>
      <c r="CA85" s="147" t="s">
        <v>8142</v>
      </c>
      <c r="CB85">
        <v>1</v>
      </c>
      <c r="CC85">
        <v>200</v>
      </c>
      <c r="CD85">
        <v>100</v>
      </c>
      <c r="CE85" s="74">
        <f ca="1">INDIRECT(ADDRESS(11+(MATCH(RIGHT(Table35[[#This Row],[spawner_sku]],LEN(Table35[[#This Row],[spawner_sku]])-FIND("/",Table35[[#This Row],[spawner_sku]])),Table1[Entity Prefab],0)),10,1,1,"Entities"))</f>
        <v>75</v>
      </c>
      <c r="CF85" s="74">
        <f ca="1">ROUND((Table35[[#This Row],[XP]]*Table35[[#This Row],[entity_spawned (AVG)]])*(Table35[[#This Row],[activating_chance]]/100),0)</f>
        <v>75</v>
      </c>
      <c r="CG85" s="144" t="str">
        <f ca="1">INDIRECT(ADDRESS(11+(MATCH(RIGHT(Table35[[#This Row],[spawner_sku]],LEN(Table35[[#This Row],[spawner_sku]])-FIND("/",Table35[[#This Row],[spawner_sku]])),Table28[Entity Prefab],0)),24,1,1,"Entities"))</f>
        <v>no</v>
      </c>
      <c r="CH85">
        <v>1</v>
      </c>
      <c r="CI85">
        <v>1</v>
      </c>
      <c r="CJ85" s="71" t="b">
        <v>0</v>
      </c>
      <c r="CL85" t="s">
        <v>215</v>
      </c>
      <c r="CM85">
        <v>1.5</v>
      </c>
      <c r="CN85">
        <v>195</v>
      </c>
      <c r="CO85">
        <v>30</v>
      </c>
      <c r="CP85" s="74">
        <f ca="1">INDIRECT(ADDRESS(11+(MATCH(RIGHT(Table11[[#This Row],[spawner_sku]],LEN(Table11[[#This Row],[spawner_sku]])-FIND("/",Table11[[#This Row],[spawner_sku]])),Table1[Entity Prefab],0)),10,1,1,"Entities"))</f>
        <v>25</v>
      </c>
      <c r="CQ85">
        <f ca="1">ROUND((Table11[[#This Row],[XP]]*Table11[[#This Row],[entity_spawned (AVG)]])*(Table11[[#This Row],[activating_chance]]/100),0)</f>
        <v>11</v>
      </c>
      <c r="CR85" s="144" t="str">
        <f ca="1">INDIRECT(ADDRESS(11+(MATCH(RIGHT(Table11[[#This Row],[spawner_sku]],LEN(Table11[[#This Row],[spawner_sku]])-FIND("/",Table11[[#This Row],[spawner_sku]])),Table28[Entity Prefab],0)),25,1,1,"Entities"))</f>
        <v>no</v>
      </c>
      <c r="CS85" s="71">
        <v>1</v>
      </c>
      <c r="CT85" s="71">
        <v>2</v>
      </c>
      <c r="CU85" s="71" t="b">
        <v>0</v>
      </c>
      <c r="CW85" t="s">
        <v>231</v>
      </c>
      <c r="CX85">
        <v>1</v>
      </c>
      <c r="CY85">
        <v>220</v>
      </c>
      <c r="CZ85">
        <v>80</v>
      </c>
      <c r="DA85" s="74">
        <f ca="1">INDIRECT(ADDRESS(11+(MATCH(RIGHT(Table12[[#This Row],[spawner_sku]],LEN(Table12[[#This Row],[spawner_sku]])-FIND("/",Table12[[#This Row],[spawner_sku]])),Table1[Entity Prefab],0)),10,1,1,"Entities"))</f>
        <v>25</v>
      </c>
      <c r="DB85" s="74">
        <f ca="1">ROUND((Table12[[#This Row],[XP]]*Table12[[#This Row],[entity_spawned (AVG)]])*(Table12[[#This Row],[activating_chance]]/100),0)</f>
        <v>20</v>
      </c>
      <c r="DC85" s="144" t="str">
        <f ca="1">INDIRECT(ADDRESS(11+(MATCH(RIGHT(Table12[[#This Row],[spawner_sku]],LEN(Table12[[#This Row],[spawner_sku]])-FIND("/",Table12[[#This Row],[spawner_sku]])),Table28[Entity Prefab],0)),25,1,1,"Entities"))</f>
        <v>no</v>
      </c>
      <c r="DD85" s="71">
        <v>1</v>
      </c>
      <c r="DE85" s="71">
        <v>1</v>
      </c>
      <c r="DF85" s="71" t="b">
        <v>0</v>
      </c>
      <c r="DH85" t="s">
        <v>223</v>
      </c>
      <c r="DI85">
        <v>1</v>
      </c>
      <c r="DJ85">
        <v>170</v>
      </c>
      <c r="DK85">
        <v>100</v>
      </c>
      <c r="DL85" s="74">
        <f ca="1">INDIRECT(ADDRESS(11+(MATCH(RIGHT(Table13[[#This Row],[spawner_sku]],LEN(Table13[[#This Row],[spawner_sku]])-FIND("/",Table13[[#This Row],[spawner_sku]])),Table1[Entity Prefab],0)),10,1,1,"Entities"))</f>
        <v>70</v>
      </c>
      <c r="DM85" s="74">
        <f ca="1">ROUND((Table13[[#This Row],[XP]]*Table13[[#This Row],[entity_spawned (AVG)]])*(Table13[[#This Row],[activating_chance]]/100),0)</f>
        <v>70</v>
      </c>
      <c r="DN85" s="144" t="str">
        <f ca="1">INDIRECT(ADDRESS(11+(MATCH(RIGHT(Table13[[#This Row],[spawner_sku]],LEN(Table13[[#This Row],[spawner_sku]])-FIND("/",Table13[[#This Row],[spawner_sku]])),Table28[Entity Prefab],0)),25,1,1,"Entities"))</f>
        <v>no</v>
      </c>
      <c r="DO85" s="71">
        <v>1</v>
      </c>
      <c r="DP85" s="71">
        <v>1</v>
      </c>
      <c r="DQ85" s="71" t="b">
        <v>0</v>
      </c>
      <c r="DS85" t="s">
        <v>214</v>
      </c>
      <c r="DT85">
        <v>7</v>
      </c>
      <c r="DU85">
        <v>180</v>
      </c>
      <c r="DV85">
        <v>100</v>
      </c>
      <c r="DW85" s="74">
        <f ca="1">INDIRECT(ADDRESS(11+(MATCH(RIGHT(Table14[[#This Row],[spawner_sku]],LEN(Table14[[#This Row],[spawner_sku]])-FIND("/",Table14[[#This Row],[spawner_sku]])),Table1[Entity Prefab],0)),10,1,1,"Entities"))</f>
        <v>25</v>
      </c>
      <c r="DX85" s="74">
        <f ca="1">ROUND((Table14[[#This Row],[XP]]*Table14[[#This Row],[entity_spawned (AVG)]])*(Table14[[#This Row],[activating_chance]]/100),0)</f>
        <v>175</v>
      </c>
      <c r="DY85" s="144" t="str">
        <f ca="1">INDIRECT(ADDRESS(11+(MATCH(RIGHT(Table14[[#This Row],[spawner_sku]],LEN(Table14[[#This Row],[spawner_sku]])-FIND("/",Table14[[#This Row],[spawner_sku]])),Table28[Entity Prefab],0)),25,1,1,"Entities"))</f>
        <v>no</v>
      </c>
      <c r="DZ85" s="71">
        <v>6</v>
      </c>
      <c r="EA85" s="71">
        <v>8</v>
      </c>
      <c r="EB85" s="71" t="b">
        <v>1</v>
      </c>
      <c r="EC85" s="71"/>
      <c r="ED85" s="147" t="s">
        <v>8142</v>
      </c>
      <c r="EE85" s="71">
        <v>1</v>
      </c>
      <c r="EF85" s="71">
        <v>200</v>
      </c>
      <c r="EG85" s="71">
        <v>80</v>
      </c>
      <c r="EH85" s="71">
        <f ca="1">INDIRECT(ADDRESS(11+(MATCH(RIGHT(Table36[[#This Row],[spawner_sku]],LEN(Table36[[#This Row],[spawner_sku]])-FIND("/",Table36[[#This Row],[spawner_sku]])),Table1[Entity Prefab],0)),10,1,1,"Entities"))</f>
        <v>75</v>
      </c>
      <c r="EI85" s="71">
        <f ca="1">ROUND((Table36[[#This Row],[XP]]*Table36[[#This Row],[entity_spawned (AVG)]])*(Table36[[#This Row],[activating_chance]]/100),0)</f>
        <v>60</v>
      </c>
      <c r="EJ85" s="71" t="str">
        <f ca="1">INDIRECT(ADDRESS(11+(MATCH(RIGHT(Table36[[#This Row],[spawner_sku]],LEN(Table36[[#This Row],[spawner_sku]])-FIND("/",Table36[[#This Row],[spawner_sku]])),Table28[Entity Prefab],0)),25,1,1,"Entities"))</f>
        <v>no</v>
      </c>
      <c r="EK85" s="71">
        <v>1</v>
      </c>
      <c r="EL85" s="71">
        <v>1</v>
      </c>
      <c r="EM85" s="71" t="b">
        <v>0</v>
      </c>
      <c r="EO85" t="s">
        <v>376</v>
      </c>
      <c r="EP85">
        <v>1.5</v>
      </c>
      <c r="EQ85">
        <v>160</v>
      </c>
      <c r="ER85">
        <v>80</v>
      </c>
      <c r="ES85" s="74">
        <f ca="1">INDIRECT(ADDRESS(11+(MATCH(RIGHT(Table18[[#This Row],[spawner_sku]],LEN(Table18[[#This Row],[spawner_sku]])-FIND("/",Table18[[#This Row],[spawner_sku]])),Table1[Entity Prefab],0)),10,1,1,"Entities"))</f>
        <v>25</v>
      </c>
      <c r="ET85" s="74">
        <f ca="1">ROUND((Table18[[#This Row],[XP]]*Table18[[#This Row],[entity_spawned (AVG)]])*(Table18[[#This Row],[activating_chance]]/100),0)</f>
        <v>30</v>
      </c>
      <c r="EU85" s="74" t="str">
        <f ca="1">INDIRECT(ADDRESS(11+(MATCH(RIGHT(Table18[[#This Row],[spawner_sku]],LEN(Table18[[#This Row],[spawner_sku]])-FIND("/",Table18[[#This Row],[spawner_sku]])),Table28[Entity Prefab],0)),26,1,1,"Entities"))</f>
        <v>no</v>
      </c>
      <c r="EV85">
        <v>1</v>
      </c>
      <c r="EW85">
        <v>2</v>
      </c>
      <c r="EX85" t="b">
        <v>0</v>
      </c>
      <c r="EZ85" t="s">
        <v>376</v>
      </c>
      <c r="FA85">
        <v>3.5</v>
      </c>
      <c r="FB85">
        <v>120</v>
      </c>
      <c r="FC85">
        <v>100</v>
      </c>
      <c r="FD85" s="74">
        <f ca="1">INDIRECT(ADDRESS(11+(MATCH(RIGHT(Table1820[[#This Row],[spawner_sku]],LEN(Table1820[[#This Row],[spawner_sku]])-FIND("/",Table1820[[#This Row],[spawner_sku]])),Table1[Entity Prefab],0)),10,1,1,"Entities"))</f>
        <v>25</v>
      </c>
      <c r="FE85" s="74">
        <f ca="1">ROUND((Table1820[[#This Row],[XP]]*Table1820[[#This Row],[entity_spawned (AVG)]])*(Table1820[[#This Row],[activating_chance]]/100),0)</f>
        <v>88</v>
      </c>
      <c r="FF85" s="74" t="str">
        <f ca="1">INDIRECT(ADDRESS(11+(MATCH(RIGHT(Table1820[[#This Row],[spawner_sku]],LEN(Table1820[[#This Row],[spawner_sku]])-FIND("/",Table1820[[#This Row],[spawner_sku]])),Table28[Entity Prefab],0)),26,1,1,"Entities"))</f>
        <v>no</v>
      </c>
      <c r="FG85">
        <v>3</v>
      </c>
      <c r="FH85">
        <v>4</v>
      </c>
      <c r="FI85" t="b">
        <v>0</v>
      </c>
      <c r="FK85" t="s">
        <v>2695</v>
      </c>
      <c r="FL85">
        <v>10</v>
      </c>
      <c r="FM85">
        <v>100</v>
      </c>
      <c r="FN85">
        <v>100</v>
      </c>
      <c r="FO85">
        <f ca="1">INDIRECT(ADDRESS(11+(MATCH(RIGHT(Table182023[[#This Row],[spawner_sku]],LEN(Table182023[[#This Row],[spawner_sku]])-FIND("/",Table182023[[#This Row],[spawner_sku]])),Table1[Entity Prefab],0)),10,1,1,"Entities"))</f>
        <v>40</v>
      </c>
      <c r="FP85">
        <f ca="1">ROUND((Table182023[[#This Row],[XP]]*Table182023[[#This Row],[entity_spawned (AVG)]])*(Table182023[[#This Row],[activating_chance]]/100),0)</f>
        <v>400</v>
      </c>
      <c r="FQ85" t="str">
        <f ca="1">INDIRECT(ADDRESS(11+(MATCH(RIGHT(Table182023[[#This Row],[spawner_sku]],LEN(Table182023[[#This Row],[spawner_sku]])-FIND("/",Table182023[[#This Row],[spawner_sku]])),Table28[Entity Prefab],0)),26,1,1,"Entities"))</f>
        <v>no</v>
      </c>
      <c r="FR85">
        <v>8</v>
      </c>
      <c r="FS85">
        <v>12</v>
      </c>
      <c r="FT85" t="b">
        <v>1</v>
      </c>
      <c r="FV85" t="s">
        <v>2694</v>
      </c>
      <c r="FW85">
        <v>1.5</v>
      </c>
      <c r="FX85">
        <v>100</v>
      </c>
      <c r="FY85">
        <v>100</v>
      </c>
      <c r="FZ85" s="74">
        <f ca="1">INDIRECT(ADDRESS(11+(MATCH(RIGHT(Table18202324[[#This Row],[spawner_sku]],LEN(Table18202324[[#This Row],[spawner_sku]])-FIND("/",Table18202324[[#This Row],[spawner_sku]])),Table1[Entity Prefab],0)),10,1,1,"Entities"))</f>
        <v>143</v>
      </c>
      <c r="GA85" s="74">
        <f ca="1">ROUND((Table18202324[[#This Row],[XP]]*Table18202324[[#This Row],[entity_spawned (AVG)]])*(Table18202324[[#This Row],[activating_chance]]/100),0)</f>
        <v>215</v>
      </c>
      <c r="GB85" s="74" t="str">
        <f ca="1">INDIRECT(ADDRESS(11+(MATCH(RIGHT(Table18202324[[#This Row],[spawner_sku]],LEN(Table18202324[[#This Row],[spawner_sku]])-FIND("/",Table18202324[[#This Row],[spawner_sku]])),Table28[Entity Prefab],0)),26,1,1,"Entities"))</f>
        <v>no</v>
      </c>
      <c r="GC85">
        <v>1</v>
      </c>
      <c r="GD85">
        <v>2</v>
      </c>
      <c r="GE85" t="b">
        <v>0</v>
      </c>
      <c r="GG85" t="s">
        <v>3816</v>
      </c>
      <c r="GH85">
        <v>1</v>
      </c>
      <c r="GI85">
        <v>240</v>
      </c>
      <c r="GJ85">
        <v>100</v>
      </c>
      <c r="GK85">
        <f ca="1">INDIRECT(ADDRESS(11+(MATCH(RIGHT(Table37[[#This Row],[spawner_sku]],LEN(Table37[[#This Row],[spawner_sku]])-FIND("/",Table37[[#This Row],[spawner_sku]])),Table1[Entity Prefab],0)),10,1,1,"Entities"))</f>
        <v>50</v>
      </c>
      <c r="GL85">
        <f ca="1">ROUND((Table37[[#This Row],[XP]]*Table37[[#This Row],[entity_spawned (AVG)]])*(Table37[[#This Row],[activating_chance]]/100),0)</f>
        <v>50</v>
      </c>
      <c r="GM85" t="str">
        <f ca="1">INDIRECT(ADDRESS(11+(MATCH(RIGHT(Table37[[#This Row],[spawner_sku]],LEN(Table37[[#This Row],[spawner_sku]])-FIND("/",Table37[[#This Row],[spawner_sku]])),Table28[Entity Prefab],0)),26,1,1,"Entities"))</f>
        <v>no</v>
      </c>
      <c r="GN85">
        <v>1</v>
      </c>
      <c r="GO85">
        <v>1</v>
      </c>
      <c r="GP85" t="b">
        <v>0</v>
      </c>
    </row>
    <row r="86" spans="2:198" x14ac:dyDescent="0.25">
      <c r="B86" s="72" t="s">
        <v>215</v>
      </c>
      <c r="C86">
        <v>8</v>
      </c>
      <c r="D86">
        <v>200</v>
      </c>
      <c r="E86">
        <v>100</v>
      </c>
      <c r="F86" s="74">
        <f ca="1">INDIRECT(ADDRESS(11+(MATCH(RIGHT(Table245[[#This Row],[spawner_sku]],LEN(Table245[[#This Row],[spawner_sku]])-FIND("/",Table245[[#This Row],[spawner_sku]])),Table1[Entity Prefab],0)),10,1,1,"Entities"))</f>
        <v>25</v>
      </c>
      <c r="G86" s="74">
        <f ca="1">ROUND((Table245[[#This Row],[XP]]*Table245[[#This Row],[entity_spawned (AVG)]])*(Table245[[#This Row],[activating_chance]]/100),0)</f>
        <v>200</v>
      </c>
      <c r="H86" s="71" t="str">
        <f ca="1">INDIRECT(ADDRESS(11+(MATCH(RIGHT(Table245[[#This Row],[spawner_sku]],LEN(Table245[[#This Row],[spawner_sku]])-FIND("/",Table245[[#This Row],[spawner_sku]])),Table28[Entity Prefab],0)),24,1,1,"Entities"))</f>
        <v>no</v>
      </c>
      <c r="I86" s="71">
        <v>6</v>
      </c>
      <c r="J86" s="71">
        <v>10</v>
      </c>
      <c r="K86" s="71" t="b">
        <v>1</v>
      </c>
      <c r="M86" t="s">
        <v>381</v>
      </c>
      <c r="N86">
        <v>1</v>
      </c>
      <c r="O86">
        <v>280</v>
      </c>
      <c r="P86">
        <v>100</v>
      </c>
      <c r="Q86" s="74">
        <f ca="1">INDIRECT(ADDRESS(11+(MATCH(RIGHT(Table3[[#This Row],[spawner_sku]],LEN(Table3[[#This Row],[spawner_sku]])-FIND("/",Table3[[#This Row],[spawner_sku]])),Table1[Entity Prefab],0)),10,1,1,"Entities"))</f>
        <v>75</v>
      </c>
      <c r="R86" s="74">
        <f ca="1">ROUND((Table3[[#This Row],[XP]]*Table3[[#This Row],[entity_spawned (AVG)]])*(Table3[[#This Row],[activating_chance]]/100),0)</f>
        <v>75</v>
      </c>
      <c r="S86" t="str">
        <f ca="1">INDIRECT(ADDRESS(11+(MATCH(RIGHT(Table3[[#This Row],[spawner_sku]],LEN(Table3[[#This Row],[spawner_sku]])-FIND("/",Table3[[#This Row],[spawner_sku]])),Table28[Entity Prefab],0)),24,1,1,"Entities"))</f>
        <v>yes</v>
      </c>
      <c r="T86">
        <v>1</v>
      </c>
      <c r="U86">
        <v>1</v>
      </c>
      <c r="V86" t="b">
        <v>0</v>
      </c>
      <c r="W86" s="71"/>
      <c r="X86" t="s">
        <v>243</v>
      </c>
      <c r="Y86">
        <v>1</v>
      </c>
      <c r="Z86">
        <v>170</v>
      </c>
      <c r="AA86">
        <v>50</v>
      </c>
      <c r="AB86" s="74">
        <f ca="1">INDIRECT(ADDRESS(11+(MATCH(RIGHT(Table39[[#This Row],[spawner_sku]],LEN(Table39[[#This Row],[spawner_sku]])-FIND("/",Table39[[#This Row],[spawner_sku]])),Table1[Entity Prefab],0)),10,1,1,"Entities"))</f>
        <v>25</v>
      </c>
      <c r="AC86" s="74">
        <f ca="1">ROUND((Table39[[#This Row],[XP]]*Table39[[#This Row],[entity_spawned (AVG)]])*(Table39[[#This Row],[activating_chance]]/100),0)</f>
        <v>13</v>
      </c>
      <c r="AD86" t="str">
        <f ca="1">INDIRECT(ADDRESS(11+(MATCH(RIGHT(Table39[[#This Row],[spawner_sku]],LEN(Table39[[#This Row],[spawner_sku]])-FIND("/",Table39[[#This Row],[spawner_sku]])),Table28[Entity Prefab],0)),24,1,1,"Entities"))</f>
        <v>no</v>
      </c>
      <c r="AE86">
        <v>1</v>
      </c>
      <c r="AF86">
        <v>1</v>
      </c>
      <c r="AG86" t="b">
        <v>0</v>
      </c>
      <c r="AI86" t="s">
        <v>215</v>
      </c>
      <c r="AJ86">
        <v>1</v>
      </c>
      <c r="AK86">
        <v>120</v>
      </c>
      <c r="AL86">
        <v>100</v>
      </c>
      <c r="AM86" s="74">
        <f ca="1">INDIRECT(ADDRESS(11+(MATCH(RIGHT(Table2[[#This Row],[spawner_sku]],LEN(Table2[[#This Row],[spawner_sku]])-FIND("/",Table2[[#This Row],[spawner_sku]])),Table1[Entity Prefab],0)),10,1,1,"Entities"))</f>
        <v>25</v>
      </c>
      <c r="AN86" s="74">
        <f ca="1">ROUND((Table2[[#This Row],[XP]]*Table2[[#This Row],[entity_spawned (AVG)]])*(Table2[[#This Row],[activating_chance]]/100),0)</f>
        <v>25</v>
      </c>
      <c r="AO86" s="71" t="str">
        <f ca="1">INDIRECT(ADDRESS(11+(MATCH(RIGHT(Table2[[#This Row],[spawner_sku]],LEN(Table2[[#This Row],[spawner_sku]])-FIND("/",Table2[[#This Row],[spawner_sku]])),Table28[Entity Prefab],0)),24,1,1,"Entities"))</f>
        <v>no</v>
      </c>
      <c r="AP86" s="71">
        <v>1</v>
      </c>
      <c r="AQ86" s="71">
        <v>1</v>
      </c>
      <c r="AR86" s="71" t="b">
        <v>0</v>
      </c>
      <c r="AT86" t="s">
        <v>221</v>
      </c>
      <c r="AU86">
        <v>1</v>
      </c>
      <c r="AV86">
        <v>340</v>
      </c>
      <c r="AW86">
        <v>100</v>
      </c>
      <c r="AX86" s="74">
        <f ca="1">INDIRECT(ADDRESS(11+(MATCH(RIGHT(Table6[[#This Row],[spawner_sku]],LEN(Table6[[#This Row],[spawner_sku]])-FIND("/",Table6[[#This Row],[spawner_sku]])),Table1[Entity Prefab],0)),10,1,1,"Entities"))</f>
        <v>263</v>
      </c>
      <c r="AY86" s="74">
        <f ca="1">ROUND((Table6[[#This Row],[XP]]*Table6[[#This Row],[entity_spawned (AVG)]])*(Table6[[#This Row],[activating_chance]]/100),0)</f>
        <v>263</v>
      </c>
      <c r="AZ86" s="144" t="str">
        <f ca="1">INDIRECT(ADDRESS(11+(MATCH(RIGHT(Table6[[#This Row],[spawner_sku]],LEN(Table6[[#This Row],[spawner_sku]])-FIND("/",Table6[[#This Row],[spawner_sku]])),Table28[Entity Prefab],0)),24,1,1,"Entities"))</f>
        <v>yes</v>
      </c>
      <c r="BA86">
        <v>1</v>
      </c>
      <c r="BB86">
        <v>1</v>
      </c>
      <c r="BC86" t="b">
        <v>0</v>
      </c>
      <c r="BE86" t="s">
        <v>321</v>
      </c>
      <c r="BF86">
        <v>1</v>
      </c>
      <c r="BG86">
        <v>300</v>
      </c>
      <c r="BH86">
        <v>100</v>
      </c>
      <c r="BI86" s="74">
        <f ca="1">INDIRECT(ADDRESS(11+(MATCH(RIGHT(Table610[[#This Row],[spawner_sku]],LEN(Table610[[#This Row],[spawner_sku]])-FIND("/",Table610[[#This Row],[spawner_sku]])),Table1[Entity Prefab],0)),10,1,1,"Entities"))</f>
        <v>195</v>
      </c>
      <c r="BJ86" s="74">
        <f ca="1">ROUND((Table610[[#This Row],[XP]]*Table610[[#This Row],[entity_spawned (AVG)]])*(Table610[[#This Row],[activating_chance]]/100),0)</f>
        <v>195</v>
      </c>
      <c r="BK86" s="71" t="str">
        <f ca="1">INDIRECT(ADDRESS(11+(MATCH(RIGHT(Table610[[#This Row],[spawner_sku]],LEN(Table610[[#This Row],[spawner_sku]])-FIND("/",Table610[[#This Row],[spawner_sku]])),Table28[Entity Prefab],0)),24,1,1,"Entities"))</f>
        <v>yes</v>
      </c>
      <c r="BL86">
        <v>1</v>
      </c>
      <c r="BM86">
        <v>1</v>
      </c>
      <c r="BN86" t="b">
        <v>0</v>
      </c>
      <c r="BP86" t="s">
        <v>376</v>
      </c>
      <c r="BQ86">
        <v>5.5</v>
      </c>
      <c r="BR86">
        <v>220</v>
      </c>
      <c r="BS86">
        <v>100</v>
      </c>
      <c r="BT86" s="74">
        <f ca="1">INDIRECT(ADDRESS(11+(MATCH(RIGHT(Table61011[[#This Row],[spawner_sku]],LEN(Table61011[[#This Row],[spawner_sku]])-FIND("/",Table61011[[#This Row],[spawner_sku]])),Table1[Entity Prefab],0)),10,1,1,"Entities"))</f>
        <v>25</v>
      </c>
      <c r="BU86" s="74">
        <f ca="1">ROUND((Table61011[[#This Row],[XP]]*Table61011[[#This Row],[entity_spawned (AVG)]])*(Table61011[[#This Row],[activating_chance]]/100),0)</f>
        <v>138</v>
      </c>
      <c r="BV86" s="71" t="str">
        <f ca="1">INDIRECT(ADDRESS(11+(MATCH(RIGHT(Table61011[[#This Row],[spawner_sku]],LEN(Table61011[[#This Row],[spawner_sku]])-FIND("/",Table61011[[#This Row],[spawner_sku]])),Table28[Entity Prefab],0)),24,1,1,"Entities"))</f>
        <v>no</v>
      </c>
      <c r="BW86" s="71">
        <v>5</v>
      </c>
      <c r="BX86" s="71">
        <v>6</v>
      </c>
      <c r="BY86" s="71" t="b">
        <v>1</v>
      </c>
      <c r="BZ86" s="71"/>
      <c r="CA86" s="147" t="s">
        <v>8142</v>
      </c>
      <c r="CB86">
        <v>1</v>
      </c>
      <c r="CC86">
        <v>200</v>
      </c>
      <c r="CD86">
        <v>80</v>
      </c>
      <c r="CE86" s="74">
        <f ca="1">INDIRECT(ADDRESS(11+(MATCH(RIGHT(Table35[[#This Row],[spawner_sku]],LEN(Table35[[#This Row],[spawner_sku]])-FIND("/",Table35[[#This Row],[spawner_sku]])),Table1[Entity Prefab],0)),10,1,1,"Entities"))</f>
        <v>75</v>
      </c>
      <c r="CF86" s="74">
        <f ca="1">ROUND((Table35[[#This Row],[XP]]*Table35[[#This Row],[entity_spawned (AVG)]])*(Table35[[#This Row],[activating_chance]]/100),0)</f>
        <v>60</v>
      </c>
      <c r="CG86" s="144" t="str">
        <f ca="1">INDIRECT(ADDRESS(11+(MATCH(RIGHT(Table35[[#This Row],[spawner_sku]],LEN(Table35[[#This Row],[spawner_sku]])-FIND("/",Table35[[#This Row],[spawner_sku]])),Table28[Entity Prefab],0)),24,1,1,"Entities"))</f>
        <v>no</v>
      </c>
      <c r="CH86">
        <v>1</v>
      </c>
      <c r="CI86">
        <v>1</v>
      </c>
      <c r="CJ86" s="71" t="b">
        <v>0</v>
      </c>
      <c r="CL86" t="s">
        <v>215</v>
      </c>
      <c r="CM86">
        <v>3</v>
      </c>
      <c r="CN86">
        <v>180</v>
      </c>
      <c r="CO86">
        <v>100</v>
      </c>
      <c r="CP86" s="74">
        <f ca="1">INDIRECT(ADDRESS(11+(MATCH(RIGHT(Table11[[#This Row],[spawner_sku]],LEN(Table11[[#This Row],[spawner_sku]])-FIND("/",Table11[[#This Row],[spawner_sku]])),Table1[Entity Prefab],0)),10,1,1,"Entities"))</f>
        <v>25</v>
      </c>
      <c r="CQ86">
        <f ca="1">ROUND((Table11[[#This Row],[XP]]*Table11[[#This Row],[entity_spawned (AVG)]])*(Table11[[#This Row],[activating_chance]]/100),0)</f>
        <v>75</v>
      </c>
      <c r="CR86" s="144" t="str">
        <f ca="1">INDIRECT(ADDRESS(11+(MATCH(RIGHT(Table11[[#This Row],[spawner_sku]],LEN(Table11[[#This Row],[spawner_sku]])-FIND("/",Table11[[#This Row],[spawner_sku]])),Table28[Entity Prefab],0)),25,1,1,"Entities"))</f>
        <v>no</v>
      </c>
      <c r="CS86" s="71">
        <v>2</v>
      </c>
      <c r="CT86" s="71">
        <v>4</v>
      </c>
      <c r="CU86" s="71" t="b">
        <v>0</v>
      </c>
      <c r="CW86" t="s">
        <v>370</v>
      </c>
      <c r="CX86">
        <v>1</v>
      </c>
      <c r="CY86">
        <v>450</v>
      </c>
      <c r="CZ86">
        <v>100</v>
      </c>
      <c r="DA86" s="74">
        <f ca="1">INDIRECT(ADDRESS(11+(MATCH(RIGHT(Table12[[#This Row],[spawner_sku]],LEN(Table12[[#This Row],[spawner_sku]])-FIND("/",Table12[[#This Row],[spawner_sku]])),Table1[Entity Prefab],0)),10,1,1,"Entities"))</f>
        <v>0</v>
      </c>
      <c r="DB86" s="74">
        <f ca="1">ROUND((Table12[[#This Row],[XP]]*Table12[[#This Row],[entity_spawned (AVG)]])*(Table12[[#This Row],[activating_chance]]/100),0)</f>
        <v>0</v>
      </c>
      <c r="DC86" s="144" t="str">
        <f ca="1">INDIRECT(ADDRESS(11+(MATCH(RIGHT(Table12[[#This Row],[spawner_sku]],LEN(Table12[[#This Row],[spawner_sku]])-FIND("/",Table12[[#This Row],[spawner_sku]])),Table28[Entity Prefab],0)),25,1,1,"Entities"))</f>
        <v>no</v>
      </c>
      <c r="DD86" s="71">
        <v>1</v>
      </c>
      <c r="DE86" s="71">
        <v>1</v>
      </c>
      <c r="DF86" s="71" t="b">
        <v>0</v>
      </c>
      <c r="DH86" t="s">
        <v>223</v>
      </c>
      <c r="DI86">
        <v>1</v>
      </c>
      <c r="DJ86">
        <v>170</v>
      </c>
      <c r="DK86">
        <v>100</v>
      </c>
      <c r="DL86" s="74">
        <f ca="1">INDIRECT(ADDRESS(11+(MATCH(RIGHT(Table13[[#This Row],[spawner_sku]],LEN(Table13[[#This Row],[spawner_sku]])-FIND("/",Table13[[#This Row],[spawner_sku]])),Table1[Entity Prefab],0)),10,1,1,"Entities"))</f>
        <v>70</v>
      </c>
      <c r="DM86" s="74">
        <f ca="1">ROUND((Table13[[#This Row],[XP]]*Table13[[#This Row],[entity_spawned (AVG)]])*(Table13[[#This Row],[activating_chance]]/100),0)</f>
        <v>70</v>
      </c>
      <c r="DN86" s="144" t="str">
        <f ca="1">INDIRECT(ADDRESS(11+(MATCH(RIGHT(Table13[[#This Row],[spawner_sku]],LEN(Table13[[#This Row],[spawner_sku]])-FIND("/",Table13[[#This Row],[spawner_sku]])),Table28[Entity Prefab],0)),25,1,1,"Entities"))</f>
        <v>no</v>
      </c>
      <c r="DO86" s="71">
        <v>1</v>
      </c>
      <c r="DP86" s="71">
        <v>1</v>
      </c>
      <c r="DQ86" s="71" t="b">
        <v>0</v>
      </c>
      <c r="DS86" t="s">
        <v>214</v>
      </c>
      <c r="DT86">
        <v>8</v>
      </c>
      <c r="DU86">
        <v>120</v>
      </c>
      <c r="DV86">
        <v>100</v>
      </c>
      <c r="DW86" s="74">
        <f ca="1">INDIRECT(ADDRESS(11+(MATCH(RIGHT(Table14[[#This Row],[spawner_sku]],LEN(Table14[[#This Row],[spawner_sku]])-FIND("/",Table14[[#This Row],[spawner_sku]])),Table1[Entity Prefab],0)),10,1,1,"Entities"))</f>
        <v>25</v>
      </c>
      <c r="DX86" s="74">
        <f ca="1">ROUND((Table14[[#This Row],[XP]]*Table14[[#This Row],[entity_spawned (AVG)]])*(Table14[[#This Row],[activating_chance]]/100),0)</f>
        <v>200</v>
      </c>
      <c r="DY86" s="144" t="str">
        <f ca="1">INDIRECT(ADDRESS(11+(MATCH(RIGHT(Table14[[#This Row],[spawner_sku]],LEN(Table14[[#This Row],[spawner_sku]])-FIND("/",Table14[[#This Row],[spawner_sku]])),Table28[Entity Prefab],0)),25,1,1,"Entities"))</f>
        <v>no</v>
      </c>
      <c r="DZ86" s="71">
        <v>6</v>
      </c>
      <c r="EA86" s="71">
        <v>10</v>
      </c>
      <c r="EB86" s="71" t="b">
        <v>1</v>
      </c>
      <c r="EC86" s="71"/>
      <c r="ED86" s="147" t="s">
        <v>8142</v>
      </c>
      <c r="EE86" s="71">
        <v>1</v>
      </c>
      <c r="EF86" s="71">
        <v>200</v>
      </c>
      <c r="EG86" s="71">
        <v>80</v>
      </c>
      <c r="EH86" s="71">
        <f ca="1">INDIRECT(ADDRESS(11+(MATCH(RIGHT(Table36[[#This Row],[spawner_sku]],LEN(Table36[[#This Row],[spawner_sku]])-FIND("/",Table36[[#This Row],[spawner_sku]])),Table1[Entity Prefab],0)),10,1,1,"Entities"))</f>
        <v>75</v>
      </c>
      <c r="EI86" s="71">
        <f ca="1">ROUND((Table36[[#This Row],[XP]]*Table36[[#This Row],[entity_spawned (AVG)]])*(Table36[[#This Row],[activating_chance]]/100),0)</f>
        <v>60</v>
      </c>
      <c r="EJ86" s="71" t="str">
        <f ca="1">INDIRECT(ADDRESS(11+(MATCH(RIGHT(Table36[[#This Row],[spawner_sku]],LEN(Table36[[#This Row],[spawner_sku]])-FIND("/",Table36[[#This Row],[spawner_sku]])),Table28[Entity Prefab],0)),25,1,1,"Entities"))</f>
        <v>no</v>
      </c>
      <c r="EK86" s="71">
        <v>1</v>
      </c>
      <c r="EL86" s="71">
        <v>1</v>
      </c>
      <c r="EM86" s="71" t="b">
        <v>0</v>
      </c>
      <c r="EO86" t="s">
        <v>376</v>
      </c>
      <c r="EP86">
        <v>6.5</v>
      </c>
      <c r="EQ86">
        <v>160</v>
      </c>
      <c r="ER86">
        <v>80</v>
      </c>
      <c r="ES86" s="74">
        <f ca="1">INDIRECT(ADDRESS(11+(MATCH(RIGHT(Table18[[#This Row],[spawner_sku]],LEN(Table18[[#This Row],[spawner_sku]])-FIND("/",Table18[[#This Row],[spawner_sku]])),Table1[Entity Prefab],0)),10,1,1,"Entities"))</f>
        <v>25</v>
      </c>
      <c r="ET86" s="74">
        <f ca="1">ROUND((Table18[[#This Row],[XP]]*Table18[[#This Row],[entity_spawned (AVG)]])*(Table18[[#This Row],[activating_chance]]/100),0)</f>
        <v>130</v>
      </c>
      <c r="EU86" s="74" t="str">
        <f ca="1">INDIRECT(ADDRESS(11+(MATCH(RIGHT(Table18[[#This Row],[spawner_sku]],LEN(Table18[[#This Row],[spawner_sku]])-FIND("/",Table18[[#This Row],[spawner_sku]])),Table28[Entity Prefab],0)),26,1,1,"Entities"))</f>
        <v>no</v>
      </c>
      <c r="EV86">
        <v>5</v>
      </c>
      <c r="EW86">
        <v>8</v>
      </c>
      <c r="EX86" t="b">
        <v>1</v>
      </c>
      <c r="EZ86" t="s">
        <v>376</v>
      </c>
      <c r="FA86">
        <v>8</v>
      </c>
      <c r="FB86">
        <v>200</v>
      </c>
      <c r="FC86">
        <v>30</v>
      </c>
      <c r="FD86" s="74">
        <f ca="1">INDIRECT(ADDRESS(11+(MATCH(RIGHT(Table1820[[#This Row],[spawner_sku]],LEN(Table1820[[#This Row],[spawner_sku]])-FIND("/",Table1820[[#This Row],[spawner_sku]])),Table1[Entity Prefab],0)),10,1,1,"Entities"))</f>
        <v>25</v>
      </c>
      <c r="FE86" s="74">
        <f ca="1">ROUND((Table1820[[#This Row],[XP]]*Table1820[[#This Row],[entity_spawned (AVG)]])*(Table1820[[#This Row],[activating_chance]]/100),0)</f>
        <v>60</v>
      </c>
      <c r="FF86" s="74" t="str">
        <f ca="1">INDIRECT(ADDRESS(11+(MATCH(RIGHT(Table1820[[#This Row],[spawner_sku]],LEN(Table1820[[#This Row],[spawner_sku]])-FIND("/",Table1820[[#This Row],[spawner_sku]])),Table28[Entity Prefab],0)),26,1,1,"Entities"))</f>
        <v>no</v>
      </c>
      <c r="FG86">
        <v>6</v>
      </c>
      <c r="FH86">
        <v>10</v>
      </c>
      <c r="FI86" t="b">
        <v>1</v>
      </c>
      <c r="FK86" t="s">
        <v>2695</v>
      </c>
      <c r="FL86">
        <v>7</v>
      </c>
      <c r="FM86">
        <v>90</v>
      </c>
      <c r="FN86">
        <v>100</v>
      </c>
      <c r="FO86">
        <f ca="1">INDIRECT(ADDRESS(11+(MATCH(RIGHT(Table182023[[#This Row],[spawner_sku]],LEN(Table182023[[#This Row],[spawner_sku]])-FIND("/",Table182023[[#This Row],[spawner_sku]])),Table1[Entity Prefab],0)),10,1,1,"Entities"))</f>
        <v>40</v>
      </c>
      <c r="FP86">
        <f ca="1">ROUND((Table182023[[#This Row],[XP]]*Table182023[[#This Row],[entity_spawned (AVG)]])*(Table182023[[#This Row],[activating_chance]]/100),0)</f>
        <v>280</v>
      </c>
      <c r="FQ86" t="str">
        <f ca="1">INDIRECT(ADDRESS(11+(MATCH(RIGHT(Table182023[[#This Row],[spawner_sku]],LEN(Table182023[[#This Row],[spawner_sku]])-FIND("/",Table182023[[#This Row],[spawner_sku]])),Table28[Entity Prefab],0)),26,1,1,"Entities"))</f>
        <v>no</v>
      </c>
      <c r="FR86">
        <v>6</v>
      </c>
      <c r="FS86">
        <v>8</v>
      </c>
      <c r="FT86" t="b">
        <v>1</v>
      </c>
      <c r="FV86" t="s">
        <v>2698</v>
      </c>
      <c r="FW86">
        <v>1</v>
      </c>
      <c r="FX86">
        <v>80</v>
      </c>
      <c r="FY86">
        <v>100</v>
      </c>
      <c r="FZ86" s="74">
        <f ca="1">INDIRECT(ADDRESS(11+(MATCH(RIGHT(Table18202324[[#This Row],[spawner_sku]],LEN(Table18202324[[#This Row],[spawner_sku]])-FIND("/",Table18202324[[#This Row],[spawner_sku]])),Table1[Entity Prefab],0)),10,1,1,"Entities"))</f>
        <v>130</v>
      </c>
      <c r="GA86" s="74">
        <f ca="1">ROUND((Table18202324[[#This Row],[XP]]*Table18202324[[#This Row],[entity_spawned (AVG)]])*(Table18202324[[#This Row],[activating_chance]]/100),0)</f>
        <v>130</v>
      </c>
      <c r="GB86" s="74" t="str">
        <f ca="1">INDIRECT(ADDRESS(11+(MATCH(RIGHT(Table18202324[[#This Row],[spawner_sku]],LEN(Table18202324[[#This Row],[spawner_sku]])-FIND("/",Table18202324[[#This Row],[spawner_sku]])),Table28[Entity Prefab],0)),26,1,1,"Entities"))</f>
        <v>yes</v>
      </c>
      <c r="GC86">
        <v>1</v>
      </c>
      <c r="GD86">
        <v>1</v>
      </c>
      <c r="GE86" t="b">
        <v>0</v>
      </c>
      <c r="GG86" t="s">
        <v>3816</v>
      </c>
      <c r="GH86">
        <v>1</v>
      </c>
      <c r="GI86">
        <v>240</v>
      </c>
      <c r="GJ86">
        <v>100</v>
      </c>
      <c r="GK86">
        <f ca="1">INDIRECT(ADDRESS(11+(MATCH(RIGHT(Table37[[#This Row],[spawner_sku]],LEN(Table37[[#This Row],[spawner_sku]])-FIND("/",Table37[[#This Row],[spawner_sku]])),Table1[Entity Prefab],0)),10,1,1,"Entities"))</f>
        <v>50</v>
      </c>
      <c r="GL86">
        <f ca="1">ROUND((Table37[[#This Row],[XP]]*Table37[[#This Row],[entity_spawned (AVG)]])*(Table37[[#This Row],[activating_chance]]/100),0)</f>
        <v>50</v>
      </c>
      <c r="GM86" t="str">
        <f ca="1">INDIRECT(ADDRESS(11+(MATCH(RIGHT(Table37[[#This Row],[spawner_sku]],LEN(Table37[[#This Row],[spawner_sku]])-FIND("/",Table37[[#This Row],[spawner_sku]])),Table28[Entity Prefab],0)),26,1,1,"Entities"))</f>
        <v>no</v>
      </c>
      <c r="GN86">
        <v>1</v>
      </c>
      <c r="GO86">
        <v>1</v>
      </c>
      <c r="GP86" t="b">
        <v>0</v>
      </c>
    </row>
    <row r="87" spans="2:198" x14ac:dyDescent="0.25">
      <c r="B87" s="72" t="s">
        <v>215</v>
      </c>
      <c r="C87">
        <v>5.5</v>
      </c>
      <c r="D87">
        <v>160</v>
      </c>
      <c r="E87">
        <v>100</v>
      </c>
      <c r="F87" s="74">
        <f ca="1">INDIRECT(ADDRESS(11+(MATCH(RIGHT(Table245[[#This Row],[spawner_sku]],LEN(Table245[[#This Row],[spawner_sku]])-FIND("/",Table245[[#This Row],[spawner_sku]])),Table1[Entity Prefab],0)),10,1,1,"Entities"))</f>
        <v>25</v>
      </c>
      <c r="G87" s="74">
        <f ca="1">ROUND((Table245[[#This Row],[XP]]*Table245[[#This Row],[entity_spawned (AVG)]])*(Table245[[#This Row],[activating_chance]]/100),0)</f>
        <v>138</v>
      </c>
      <c r="H87" s="71" t="str">
        <f ca="1">INDIRECT(ADDRESS(11+(MATCH(RIGHT(Table245[[#This Row],[spawner_sku]],LEN(Table245[[#This Row],[spawner_sku]])-FIND("/",Table245[[#This Row],[spawner_sku]])),Table28[Entity Prefab],0)),24,1,1,"Entities"))</f>
        <v>no</v>
      </c>
      <c r="I87" s="71">
        <v>5</v>
      </c>
      <c r="J87" s="71">
        <v>6</v>
      </c>
      <c r="K87" s="71" t="b">
        <v>1</v>
      </c>
      <c r="M87" t="s">
        <v>241</v>
      </c>
      <c r="N87">
        <v>1</v>
      </c>
      <c r="O87">
        <v>190</v>
      </c>
      <c r="P87">
        <v>100</v>
      </c>
      <c r="Q87" s="74">
        <f ca="1">INDIRECT(ADDRESS(11+(MATCH(RIGHT(Table3[[#This Row],[spawner_sku]],LEN(Table3[[#This Row],[spawner_sku]])-FIND("/",Table3[[#This Row],[spawner_sku]])),Table1[Entity Prefab],0)),10,1,1,"Entities"))</f>
        <v>70</v>
      </c>
      <c r="R87" s="74">
        <f ca="1">ROUND((Table3[[#This Row],[XP]]*Table3[[#This Row],[entity_spawned (AVG)]])*(Table3[[#This Row],[activating_chance]]/100),0)</f>
        <v>70</v>
      </c>
      <c r="S87" t="str">
        <f ca="1">INDIRECT(ADDRESS(11+(MATCH(RIGHT(Table3[[#This Row],[spawner_sku]],LEN(Table3[[#This Row],[spawner_sku]])-FIND("/",Table3[[#This Row],[spawner_sku]])),Table28[Entity Prefab],0)),24,1,1,"Entities"))</f>
        <v>yes</v>
      </c>
      <c r="T87">
        <v>1</v>
      </c>
      <c r="U87">
        <v>1</v>
      </c>
      <c r="V87" t="b">
        <v>0</v>
      </c>
      <c r="W87" s="71"/>
      <c r="X87" t="s">
        <v>243</v>
      </c>
      <c r="Y87">
        <v>1</v>
      </c>
      <c r="Z87">
        <v>140</v>
      </c>
      <c r="AA87">
        <v>100</v>
      </c>
      <c r="AB87" s="74">
        <f ca="1">INDIRECT(ADDRESS(11+(MATCH(RIGHT(Table39[[#This Row],[spawner_sku]],LEN(Table39[[#This Row],[spawner_sku]])-FIND("/",Table39[[#This Row],[spawner_sku]])),Table1[Entity Prefab],0)),10,1,1,"Entities"))</f>
        <v>25</v>
      </c>
      <c r="AC87" s="74">
        <f ca="1">ROUND((Table39[[#This Row],[XP]]*Table39[[#This Row],[entity_spawned (AVG)]])*(Table39[[#This Row],[activating_chance]]/100),0)</f>
        <v>25</v>
      </c>
      <c r="AD87" t="str">
        <f ca="1">INDIRECT(ADDRESS(11+(MATCH(RIGHT(Table39[[#This Row],[spawner_sku]],LEN(Table39[[#This Row],[spawner_sku]])-FIND("/",Table39[[#This Row],[spawner_sku]])),Table28[Entity Prefab],0)),24,1,1,"Entities"))</f>
        <v>no</v>
      </c>
      <c r="AE87">
        <v>1</v>
      </c>
      <c r="AF87">
        <v>1</v>
      </c>
      <c r="AG87" t="b">
        <v>0</v>
      </c>
      <c r="AI87" t="s">
        <v>215</v>
      </c>
      <c r="AJ87">
        <v>6.5</v>
      </c>
      <c r="AK87">
        <v>180</v>
      </c>
      <c r="AL87">
        <v>100</v>
      </c>
      <c r="AM87" s="74">
        <f ca="1">INDIRECT(ADDRESS(11+(MATCH(RIGHT(Table2[[#This Row],[spawner_sku]],LEN(Table2[[#This Row],[spawner_sku]])-FIND("/",Table2[[#This Row],[spawner_sku]])),Table1[Entity Prefab],0)),10,1,1,"Entities"))</f>
        <v>25</v>
      </c>
      <c r="AN87" s="74">
        <f ca="1">ROUND((Table2[[#This Row],[XP]]*Table2[[#This Row],[entity_spawned (AVG)]])*(Table2[[#This Row],[activating_chance]]/100),0)</f>
        <v>163</v>
      </c>
      <c r="AO87" s="71" t="str">
        <f ca="1">INDIRECT(ADDRESS(11+(MATCH(RIGHT(Table2[[#This Row],[spawner_sku]],LEN(Table2[[#This Row],[spawner_sku]])-FIND("/",Table2[[#This Row],[spawner_sku]])),Table28[Entity Prefab],0)),24,1,1,"Entities"))</f>
        <v>no</v>
      </c>
      <c r="AP87" s="71">
        <v>5</v>
      </c>
      <c r="AQ87" s="71">
        <v>8</v>
      </c>
      <c r="AR87" s="71" t="b">
        <v>1</v>
      </c>
      <c r="AT87" t="s">
        <v>221</v>
      </c>
      <c r="AU87">
        <v>1</v>
      </c>
      <c r="AV87">
        <v>340</v>
      </c>
      <c r="AW87">
        <v>100</v>
      </c>
      <c r="AX87" s="74">
        <f ca="1">INDIRECT(ADDRESS(11+(MATCH(RIGHT(Table6[[#This Row],[spawner_sku]],LEN(Table6[[#This Row],[spawner_sku]])-FIND("/",Table6[[#This Row],[spawner_sku]])),Table1[Entity Prefab],0)),10,1,1,"Entities"))</f>
        <v>263</v>
      </c>
      <c r="AY87" s="74">
        <f ca="1">ROUND((Table6[[#This Row],[XP]]*Table6[[#This Row],[entity_spawned (AVG)]])*(Table6[[#This Row],[activating_chance]]/100),0)</f>
        <v>263</v>
      </c>
      <c r="AZ87" s="144" t="str">
        <f ca="1">INDIRECT(ADDRESS(11+(MATCH(RIGHT(Table6[[#This Row],[spawner_sku]],LEN(Table6[[#This Row],[spawner_sku]])-FIND("/",Table6[[#This Row],[spawner_sku]])),Table28[Entity Prefab],0)),24,1,1,"Entities"))</f>
        <v>yes</v>
      </c>
      <c r="BA87">
        <v>1</v>
      </c>
      <c r="BB87">
        <v>1</v>
      </c>
      <c r="BC87" t="b">
        <v>0</v>
      </c>
      <c r="BE87" t="s">
        <v>321</v>
      </c>
      <c r="BF87">
        <v>1</v>
      </c>
      <c r="BG87">
        <v>300</v>
      </c>
      <c r="BH87">
        <v>100</v>
      </c>
      <c r="BI87" s="74">
        <f ca="1">INDIRECT(ADDRESS(11+(MATCH(RIGHT(Table610[[#This Row],[spawner_sku]],LEN(Table610[[#This Row],[spawner_sku]])-FIND("/",Table610[[#This Row],[spawner_sku]])),Table1[Entity Prefab],0)),10,1,1,"Entities"))</f>
        <v>195</v>
      </c>
      <c r="BJ87" s="74">
        <f ca="1">ROUND((Table610[[#This Row],[XP]]*Table610[[#This Row],[entity_spawned (AVG)]])*(Table610[[#This Row],[activating_chance]]/100),0)</f>
        <v>195</v>
      </c>
      <c r="BK87" s="71" t="str">
        <f ca="1">INDIRECT(ADDRESS(11+(MATCH(RIGHT(Table610[[#This Row],[spawner_sku]],LEN(Table610[[#This Row],[spawner_sku]])-FIND("/",Table610[[#This Row],[spawner_sku]])),Table28[Entity Prefab],0)),24,1,1,"Entities"))</f>
        <v>yes</v>
      </c>
      <c r="BL87">
        <v>1</v>
      </c>
      <c r="BM87">
        <v>1</v>
      </c>
      <c r="BN87" t="b">
        <v>0</v>
      </c>
      <c r="BP87" t="s">
        <v>376</v>
      </c>
      <c r="BQ87">
        <v>1.5</v>
      </c>
      <c r="BR87">
        <v>160</v>
      </c>
      <c r="BS87">
        <v>100</v>
      </c>
      <c r="BT87" s="74">
        <f ca="1">INDIRECT(ADDRESS(11+(MATCH(RIGHT(Table61011[[#This Row],[spawner_sku]],LEN(Table61011[[#This Row],[spawner_sku]])-FIND("/",Table61011[[#This Row],[spawner_sku]])),Table1[Entity Prefab],0)),10,1,1,"Entities"))</f>
        <v>25</v>
      </c>
      <c r="BU87" s="74">
        <f ca="1">ROUND((Table61011[[#This Row],[XP]]*Table61011[[#This Row],[entity_spawned (AVG)]])*(Table61011[[#This Row],[activating_chance]]/100),0)</f>
        <v>38</v>
      </c>
      <c r="BV87" s="71" t="str">
        <f ca="1">INDIRECT(ADDRESS(11+(MATCH(RIGHT(Table61011[[#This Row],[spawner_sku]],LEN(Table61011[[#This Row],[spawner_sku]])-FIND("/",Table61011[[#This Row],[spawner_sku]])),Table28[Entity Prefab],0)),24,1,1,"Entities"))</f>
        <v>no</v>
      </c>
      <c r="BW87" s="71">
        <v>1</v>
      </c>
      <c r="BX87" s="71">
        <v>2</v>
      </c>
      <c r="BY87" s="71" t="b">
        <v>0</v>
      </c>
      <c r="BZ87" s="71"/>
      <c r="CA87" s="147" t="s">
        <v>8142</v>
      </c>
      <c r="CB87">
        <v>1</v>
      </c>
      <c r="CC87">
        <v>200</v>
      </c>
      <c r="CD87">
        <v>100</v>
      </c>
      <c r="CE87" s="74">
        <f ca="1">INDIRECT(ADDRESS(11+(MATCH(RIGHT(Table35[[#This Row],[spawner_sku]],LEN(Table35[[#This Row],[spawner_sku]])-FIND("/",Table35[[#This Row],[spawner_sku]])),Table1[Entity Prefab],0)),10,1,1,"Entities"))</f>
        <v>75</v>
      </c>
      <c r="CF87" s="74">
        <f ca="1">ROUND((Table35[[#This Row],[XP]]*Table35[[#This Row],[entity_spawned (AVG)]])*(Table35[[#This Row],[activating_chance]]/100),0)</f>
        <v>75</v>
      </c>
      <c r="CG87" s="144" t="str">
        <f ca="1">INDIRECT(ADDRESS(11+(MATCH(RIGHT(Table35[[#This Row],[spawner_sku]],LEN(Table35[[#This Row],[spawner_sku]])-FIND("/",Table35[[#This Row],[spawner_sku]])),Table28[Entity Prefab],0)),24,1,1,"Entities"))</f>
        <v>no</v>
      </c>
      <c r="CH87">
        <v>1</v>
      </c>
      <c r="CI87">
        <v>1</v>
      </c>
      <c r="CJ87" s="71" t="b">
        <v>0</v>
      </c>
      <c r="CL87" t="s">
        <v>215</v>
      </c>
      <c r="CM87">
        <v>1</v>
      </c>
      <c r="CN87">
        <v>180</v>
      </c>
      <c r="CO87">
        <v>100</v>
      </c>
      <c r="CP87" s="74">
        <f ca="1">INDIRECT(ADDRESS(11+(MATCH(RIGHT(Table11[[#This Row],[spawner_sku]],LEN(Table11[[#This Row],[spawner_sku]])-FIND("/",Table11[[#This Row],[spawner_sku]])),Table1[Entity Prefab],0)),10,1,1,"Entities"))</f>
        <v>25</v>
      </c>
      <c r="CQ87">
        <f ca="1">ROUND((Table11[[#This Row],[XP]]*Table11[[#This Row],[entity_spawned (AVG)]])*(Table11[[#This Row],[activating_chance]]/100),0)</f>
        <v>25</v>
      </c>
      <c r="CR87" s="144" t="str">
        <f ca="1">INDIRECT(ADDRESS(11+(MATCH(RIGHT(Table11[[#This Row],[spawner_sku]],LEN(Table11[[#This Row],[spawner_sku]])-FIND("/",Table11[[#This Row],[spawner_sku]])),Table28[Entity Prefab],0)),25,1,1,"Entities"))</f>
        <v>no</v>
      </c>
      <c r="CS87" s="71">
        <v>1</v>
      </c>
      <c r="CT87" s="71">
        <v>1</v>
      </c>
      <c r="CU87" s="71" t="b">
        <v>0</v>
      </c>
      <c r="CW87" t="s">
        <v>446</v>
      </c>
      <c r="CX87">
        <v>1</v>
      </c>
      <c r="CY87">
        <v>240</v>
      </c>
      <c r="CZ87">
        <v>100</v>
      </c>
      <c r="DA87" s="74">
        <f ca="1">INDIRECT(ADDRESS(11+(MATCH(RIGHT(Table12[[#This Row],[spawner_sku]],LEN(Table12[[#This Row],[spawner_sku]])-FIND("/",Table12[[#This Row],[spawner_sku]])),Table1[Entity Prefab],0)),10,1,1,"Entities"))</f>
        <v>83</v>
      </c>
      <c r="DB87" s="74">
        <f ca="1">ROUND((Table12[[#This Row],[XP]]*Table12[[#This Row],[entity_spawned (AVG)]])*(Table12[[#This Row],[activating_chance]]/100),0)</f>
        <v>83</v>
      </c>
      <c r="DC87" s="144" t="str">
        <f ca="1">INDIRECT(ADDRESS(11+(MATCH(RIGHT(Table12[[#This Row],[spawner_sku]],LEN(Table12[[#This Row],[spawner_sku]])-FIND("/",Table12[[#This Row],[spawner_sku]])),Table28[Entity Prefab],0)),25,1,1,"Entities"))</f>
        <v>yes</v>
      </c>
      <c r="DD87" s="71">
        <v>1</v>
      </c>
      <c r="DE87" s="71">
        <v>1</v>
      </c>
      <c r="DF87" s="71" t="b">
        <v>0</v>
      </c>
      <c r="DH87" t="s">
        <v>223</v>
      </c>
      <c r="DI87">
        <v>1</v>
      </c>
      <c r="DJ87">
        <v>170</v>
      </c>
      <c r="DK87">
        <v>100</v>
      </c>
      <c r="DL87" s="74">
        <f ca="1">INDIRECT(ADDRESS(11+(MATCH(RIGHT(Table13[[#This Row],[spawner_sku]],LEN(Table13[[#This Row],[spawner_sku]])-FIND("/",Table13[[#This Row],[spawner_sku]])),Table1[Entity Prefab],0)),10,1,1,"Entities"))</f>
        <v>70</v>
      </c>
      <c r="DM87" s="74">
        <f ca="1">ROUND((Table13[[#This Row],[XP]]*Table13[[#This Row],[entity_spawned (AVG)]])*(Table13[[#This Row],[activating_chance]]/100),0)</f>
        <v>70</v>
      </c>
      <c r="DN87" s="144" t="str">
        <f ca="1">INDIRECT(ADDRESS(11+(MATCH(RIGHT(Table13[[#This Row],[spawner_sku]],LEN(Table13[[#This Row],[spawner_sku]])-FIND("/",Table13[[#This Row],[spawner_sku]])),Table28[Entity Prefab],0)),25,1,1,"Entities"))</f>
        <v>no</v>
      </c>
      <c r="DO87" s="71">
        <v>1</v>
      </c>
      <c r="DP87" s="71">
        <v>1</v>
      </c>
      <c r="DQ87" s="71" t="b">
        <v>0</v>
      </c>
      <c r="DS87" t="s">
        <v>214</v>
      </c>
      <c r="DT87">
        <v>7</v>
      </c>
      <c r="DU87">
        <v>150</v>
      </c>
      <c r="DV87">
        <v>100</v>
      </c>
      <c r="DW87" s="74">
        <f ca="1">INDIRECT(ADDRESS(11+(MATCH(RIGHT(Table14[[#This Row],[spawner_sku]],LEN(Table14[[#This Row],[spawner_sku]])-FIND("/",Table14[[#This Row],[spawner_sku]])),Table1[Entity Prefab],0)),10,1,1,"Entities"))</f>
        <v>25</v>
      </c>
      <c r="DX87" s="74">
        <f ca="1">ROUND((Table14[[#This Row],[XP]]*Table14[[#This Row],[entity_spawned (AVG)]])*(Table14[[#This Row],[activating_chance]]/100),0)</f>
        <v>175</v>
      </c>
      <c r="DY87" s="144" t="str">
        <f ca="1">INDIRECT(ADDRESS(11+(MATCH(RIGHT(Table14[[#This Row],[spawner_sku]],LEN(Table14[[#This Row],[spawner_sku]])-FIND("/",Table14[[#This Row],[spawner_sku]])),Table28[Entity Prefab],0)),25,1,1,"Entities"))</f>
        <v>no</v>
      </c>
      <c r="DZ87" s="71">
        <v>6</v>
      </c>
      <c r="EA87" s="71">
        <v>8</v>
      </c>
      <c r="EB87" s="71" t="b">
        <v>1</v>
      </c>
      <c r="EC87" s="71"/>
      <c r="ED87" s="147" t="s">
        <v>8142</v>
      </c>
      <c r="EE87" s="71">
        <v>1</v>
      </c>
      <c r="EF87" s="71">
        <v>200</v>
      </c>
      <c r="EG87" s="71">
        <v>80</v>
      </c>
      <c r="EH87" s="71">
        <f ca="1">INDIRECT(ADDRESS(11+(MATCH(RIGHT(Table36[[#This Row],[spawner_sku]],LEN(Table36[[#This Row],[spawner_sku]])-FIND("/",Table36[[#This Row],[spawner_sku]])),Table1[Entity Prefab],0)),10,1,1,"Entities"))</f>
        <v>75</v>
      </c>
      <c r="EI87" s="71">
        <f ca="1">ROUND((Table36[[#This Row],[XP]]*Table36[[#This Row],[entity_spawned (AVG)]])*(Table36[[#This Row],[activating_chance]]/100),0)</f>
        <v>60</v>
      </c>
      <c r="EJ87" s="71" t="str">
        <f ca="1">INDIRECT(ADDRESS(11+(MATCH(RIGHT(Table36[[#This Row],[spawner_sku]],LEN(Table36[[#This Row],[spawner_sku]])-FIND("/",Table36[[#This Row],[spawner_sku]])),Table28[Entity Prefab],0)),25,1,1,"Entities"))</f>
        <v>no</v>
      </c>
      <c r="EK87" s="71">
        <v>1</v>
      </c>
      <c r="EL87" s="71">
        <v>1</v>
      </c>
      <c r="EM87" s="71" t="b">
        <v>0</v>
      </c>
      <c r="EO87" t="s">
        <v>376</v>
      </c>
      <c r="EP87">
        <v>6.5</v>
      </c>
      <c r="EQ87">
        <v>160</v>
      </c>
      <c r="ER87">
        <v>100</v>
      </c>
      <c r="ES87" s="74">
        <f ca="1">INDIRECT(ADDRESS(11+(MATCH(RIGHT(Table18[[#This Row],[spawner_sku]],LEN(Table18[[#This Row],[spawner_sku]])-FIND("/",Table18[[#This Row],[spawner_sku]])),Table1[Entity Prefab],0)),10,1,1,"Entities"))</f>
        <v>25</v>
      </c>
      <c r="ET87" s="74">
        <f ca="1">ROUND((Table18[[#This Row],[XP]]*Table18[[#This Row],[entity_spawned (AVG)]])*(Table18[[#This Row],[activating_chance]]/100),0)</f>
        <v>163</v>
      </c>
      <c r="EU87" s="74" t="str">
        <f ca="1">INDIRECT(ADDRESS(11+(MATCH(RIGHT(Table18[[#This Row],[spawner_sku]],LEN(Table18[[#This Row],[spawner_sku]])-FIND("/",Table18[[#This Row],[spawner_sku]])),Table28[Entity Prefab],0)),26,1,1,"Entities"))</f>
        <v>no</v>
      </c>
      <c r="EV87">
        <v>5</v>
      </c>
      <c r="EW87">
        <v>8</v>
      </c>
      <c r="EX87" t="b">
        <v>1</v>
      </c>
      <c r="EZ87" t="s">
        <v>376</v>
      </c>
      <c r="FA87">
        <v>7</v>
      </c>
      <c r="FB87">
        <v>120</v>
      </c>
      <c r="FC87">
        <v>80</v>
      </c>
      <c r="FD87" s="74">
        <f ca="1">INDIRECT(ADDRESS(11+(MATCH(RIGHT(Table1820[[#This Row],[spawner_sku]],LEN(Table1820[[#This Row],[spawner_sku]])-FIND("/",Table1820[[#This Row],[spawner_sku]])),Table1[Entity Prefab],0)),10,1,1,"Entities"))</f>
        <v>25</v>
      </c>
      <c r="FE87" s="74">
        <f ca="1">ROUND((Table1820[[#This Row],[XP]]*Table1820[[#This Row],[entity_spawned (AVG)]])*(Table1820[[#This Row],[activating_chance]]/100),0)</f>
        <v>140</v>
      </c>
      <c r="FF87" s="74" t="str">
        <f ca="1">INDIRECT(ADDRESS(11+(MATCH(RIGHT(Table1820[[#This Row],[spawner_sku]],LEN(Table1820[[#This Row],[spawner_sku]])-FIND("/",Table1820[[#This Row],[spawner_sku]])),Table28[Entity Prefab],0)),26,1,1,"Entities"))</f>
        <v>no</v>
      </c>
      <c r="FG87">
        <v>6</v>
      </c>
      <c r="FH87">
        <v>8</v>
      </c>
      <c r="FI87" t="b">
        <v>1</v>
      </c>
      <c r="FK87" t="s">
        <v>2695</v>
      </c>
      <c r="FL87">
        <v>3.5</v>
      </c>
      <c r="FM87">
        <v>80</v>
      </c>
      <c r="FN87">
        <v>30</v>
      </c>
      <c r="FO87">
        <f ca="1">INDIRECT(ADDRESS(11+(MATCH(RIGHT(Table182023[[#This Row],[spawner_sku]],LEN(Table182023[[#This Row],[spawner_sku]])-FIND("/",Table182023[[#This Row],[spawner_sku]])),Table1[Entity Prefab],0)),10,1,1,"Entities"))</f>
        <v>40</v>
      </c>
      <c r="FP87">
        <f ca="1">ROUND((Table182023[[#This Row],[XP]]*Table182023[[#This Row],[entity_spawned (AVG)]])*(Table182023[[#This Row],[activating_chance]]/100),0)</f>
        <v>42</v>
      </c>
      <c r="FQ87" t="str">
        <f ca="1">INDIRECT(ADDRESS(11+(MATCH(RIGHT(Table182023[[#This Row],[spawner_sku]],LEN(Table182023[[#This Row],[spawner_sku]])-FIND("/",Table182023[[#This Row],[spawner_sku]])),Table28[Entity Prefab],0)),26,1,1,"Entities"))</f>
        <v>no</v>
      </c>
      <c r="FR87">
        <v>3</v>
      </c>
      <c r="FS87">
        <v>4</v>
      </c>
      <c r="FT87" t="b">
        <v>0</v>
      </c>
      <c r="FV87" t="s">
        <v>2695</v>
      </c>
      <c r="FW87">
        <v>5.5</v>
      </c>
      <c r="FX87">
        <v>100</v>
      </c>
      <c r="FY87">
        <v>100</v>
      </c>
      <c r="FZ87" s="74">
        <f ca="1">INDIRECT(ADDRESS(11+(MATCH(RIGHT(Table18202324[[#This Row],[spawner_sku]],LEN(Table18202324[[#This Row],[spawner_sku]])-FIND("/",Table18202324[[#This Row],[spawner_sku]])),Table1[Entity Prefab],0)),10,1,1,"Entities"))</f>
        <v>40</v>
      </c>
      <c r="GA87" s="74">
        <f ca="1">ROUND((Table18202324[[#This Row],[XP]]*Table18202324[[#This Row],[entity_spawned (AVG)]])*(Table18202324[[#This Row],[activating_chance]]/100),0)</f>
        <v>220</v>
      </c>
      <c r="GB87" s="74" t="str">
        <f ca="1">INDIRECT(ADDRESS(11+(MATCH(RIGHT(Table18202324[[#This Row],[spawner_sku]],LEN(Table18202324[[#This Row],[spawner_sku]])-FIND("/",Table18202324[[#This Row],[spawner_sku]])),Table28[Entity Prefab],0)),26,1,1,"Entities"))</f>
        <v>no</v>
      </c>
      <c r="GC87">
        <v>5</v>
      </c>
      <c r="GD87">
        <v>6</v>
      </c>
      <c r="GE87" t="b">
        <v>1</v>
      </c>
      <c r="GG87" t="s">
        <v>3816</v>
      </c>
      <c r="GH87">
        <v>1</v>
      </c>
      <c r="GI87">
        <v>240</v>
      </c>
      <c r="GJ87">
        <v>100</v>
      </c>
      <c r="GK87">
        <f ca="1">INDIRECT(ADDRESS(11+(MATCH(RIGHT(Table37[[#This Row],[spawner_sku]],LEN(Table37[[#This Row],[spawner_sku]])-FIND("/",Table37[[#This Row],[spawner_sku]])),Table1[Entity Prefab],0)),10,1,1,"Entities"))</f>
        <v>50</v>
      </c>
      <c r="GL87">
        <f ca="1">ROUND((Table37[[#This Row],[XP]]*Table37[[#This Row],[entity_spawned (AVG)]])*(Table37[[#This Row],[activating_chance]]/100),0)</f>
        <v>50</v>
      </c>
      <c r="GM87" t="str">
        <f ca="1">INDIRECT(ADDRESS(11+(MATCH(RIGHT(Table37[[#This Row],[spawner_sku]],LEN(Table37[[#This Row],[spawner_sku]])-FIND("/",Table37[[#This Row],[spawner_sku]])),Table28[Entity Prefab],0)),26,1,1,"Entities"))</f>
        <v>no</v>
      </c>
      <c r="GN87">
        <v>1</v>
      </c>
      <c r="GO87">
        <v>1</v>
      </c>
      <c r="GP87" t="b">
        <v>0</v>
      </c>
    </row>
    <row r="88" spans="2:198" x14ac:dyDescent="0.25">
      <c r="B88" s="72" t="s">
        <v>215</v>
      </c>
      <c r="C88">
        <v>2.5</v>
      </c>
      <c r="D88">
        <v>80</v>
      </c>
      <c r="E88">
        <v>60</v>
      </c>
      <c r="F88" s="74">
        <f ca="1">INDIRECT(ADDRESS(11+(MATCH(RIGHT(Table245[[#This Row],[spawner_sku]],LEN(Table245[[#This Row],[spawner_sku]])-FIND("/",Table245[[#This Row],[spawner_sku]])),Table1[Entity Prefab],0)),10,1,1,"Entities"))</f>
        <v>25</v>
      </c>
      <c r="G88" s="74">
        <f ca="1">ROUND((Table245[[#This Row],[XP]]*Table245[[#This Row],[entity_spawned (AVG)]])*(Table245[[#This Row],[activating_chance]]/100),0)</f>
        <v>38</v>
      </c>
      <c r="H88" s="71" t="str">
        <f ca="1">INDIRECT(ADDRESS(11+(MATCH(RIGHT(Table245[[#This Row],[spawner_sku]],LEN(Table245[[#This Row],[spawner_sku]])-FIND("/",Table245[[#This Row],[spawner_sku]])),Table28[Entity Prefab],0)),24,1,1,"Entities"))</f>
        <v>no</v>
      </c>
      <c r="I88" s="71">
        <v>2</v>
      </c>
      <c r="J88" s="71">
        <v>3</v>
      </c>
      <c r="K88" s="71" t="b">
        <v>0</v>
      </c>
      <c r="M88" t="s">
        <v>241</v>
      </c>
      <c r="N88">
        <v>2</v>
      </c>
      <c r="O88">
        <v>190</v>
      </c>
      <c r="P88">
        <v>75</v>
      </c>
      <c r="Q88" s="74">
        <f ca="1">INDIRECT(ADDRESS(11+(MATCH(RIGHT(Table3[[#This Row],[spawner_sku]],LEN(Table3[[#This Row],[spawner_sku]])-FIND("/",Table3[[#This Row],[spawner_sku]])),Table1[Entity Prefab],0)),10,1,1,"Entities"))</f>
        <v>70</v>
      </c>
      <c r="R88" s="74">
        <f ca="1">ROUND((Table3[[#This Row],[XP]]*Table3[[#This Row],[entity_spawned (AVG)]])*(Table3[[#This Row],[activating_chance]]/100),0)</f>
        <v>105</v>
      </c>
      <c r="S88" t="str">
        <f ca="1">INDIRECT(ADDRESS(11+(MATCH(RIGHT(Table3[[#This Row],[spawner_sku]],LEN(Table3[[#This Row],[spawner_sku]])-FIND("/",Table3[[#This Row],[spawner_sku]])),Table28[Entity Prefab],0)),24,1,1,"Entities"))</f>
        <v>yes</v>
      </c>
      <c r="T88">
        <v>2</v>
      </c>
      <c r="U88">
        <v>2</v>
      </c>
      <c r="V88" t="b">
        <v>0</v>
      </c>
      <c r="W88" s="71"/>
      <c r="X88" t="s">
        <v>243</v>
      </c>
      <c r="Y88">
        <v>1</v>
      </c>
      <c r="Z88">
        <v>170</v>
      </c>
      <c r="AA88">
        <v>90</v>
      </c>
      <c r="AB88" s="74">
        <f ca="1">INDIRECT(ADDRESS(11+(MATCH(RIGHT(Table39[[#This Row],[spawner_sku]],LEN(Table39[[#This Row],[spawner_sku]])-FIND("/",Table39[[#This Row],[spawner_sku]])),Table1[Entity Prefab],0)),10,1,1,"Entities"))</f>
        <v>25</v>
      </c>
      <c r="AC88" s="74">
        <f ca="1">ROUND((Table39[[#This Row],[XP]]*Table39[[#This Row],[entity_spawned (AVG)]])*(Table39[[#This Row],[activating_chance]]/100),0)</f>
        <v>23</v>
      </c>
      <c r="AD88" t="str">
        <f ca="1">INDIRECT(ADDRESS(11+(MATCH(RIGHT(Table39[[#This Row],[spawner_sku]],LEN(Table39[[#This Row],[spawner_sku]])-FIND("/",Table39[[#This Row],[spawner_sku]])),Table28[Entity Prefab],0)),24,1,1,"Entities"))</f>
        <v>no</v>
      </c>
      <c r="AE88">
        <v>1</v>
      </c>
      <c r="AF88">
        <v>1</v>
      </c>
      <c r="AG88" t="b">
        <v>0</v>
      </c>
      <c r="AI88" t="s">
        <v>215</v>
      </c>
      <c r="AJ88">
        <v>3.5</v>
      </c>
      <c r="AK88">
        <v>100</v>
      </c>
      <c r="AL88">
        <v>100</v>
      </c>
      <c r="AM88" s="74">
        <f ca="1">INDIRECT(ADDRESS(11+(MATCH(RIGHT(Table2[[#This Row],[spawner_sku]],LEN(Table2[[#This Row],[spawner_sku]])-FIND("/",Table2[[#This Row],[spawner_sku]])),Table1[Entity Prefab],0)),10,1,1,"Entities"))</f>
        <v>25</v>
      </c>
      <c r="AN88" s="74">
        <f ca="1">ROUND((Table2[[#This Row],[XP]]*Table2[[#This Row],[entity_spawned (AVG)]])*(Table2[[#This Row],[activating_chance]]/100),0)</f>
        <v>88</v>
      </c>
      <c r="AO88" s="71" t="str">
        <f ca="1">INDIRECT(ADDRESS(11+(MATCH(RIGHT(Table2[[#This Row],[spawner_sku]],LEN(Table2[[#This Row],[spawner_sku]])-FIND("/",Table2[[#This Row],[spawner_sku]])),Table28[Entity Prefab],0)),24,1,1,"Entities"))</f>
        <v>no</v>
      </c>
      <c r="AP88" s="71">
        <v>3</v>
      </c>
      <c r="AQ88" s="71">
        <v>4</v>
      </c>
      <c r="AR88" s="71" t="b">
        <v>0</v>
      </c>
      <c r="AT88" t="s">
        <v>225</v>
      </c>
      <c r="AU88">
        <v>1</v>
      </c>
      <c r="AV88">
        <v>2500</v>
      </c>
      <c r="AW88">
        <v>100</v>
      </c>
      <c r="AX88" s="74">
        <f ca="1">INDIRECT(ADDRESS(11+(MATCH(RIGHT(Table6[[#This Row],[spawner_sku]],LEN(Table6[[#This Row],[spawner_sku]])-FIND("/",Table6[[#This Row],[spawner_sku]])),Table1[Entity Prefab],0)),10,1,1,"Entities"))</f>
        <v>263</v>
      </c>
      <c r="AY88" s="74">
        <f ca="1">ROUND((Table6[[#This Row],[XP]]*Table6[[#This Row],[entity_spawned (AVG)]])*(Table6[[#This Row],[activating_chance]]/100),0)</f>
        <v>263</v>
      </c>
      <c r="AZ88" s="144" t="str">
        <f ca="1">INDIRECT(ADDRESS(11+(MATCH(RIGHT(Table6[[#This Row],[spawner_sku]],LEN(Table6[[#This Row],[spawner_sku]])-FIND("/",Table6[[#This Row],[spawner_sku]])),Table28[Entity Prefab],0)),24,1,1,"Entities"))</f>
        <v>yes</v>
      </c>
      <c r="BA88">
        <v>1</v>
      </c>
      <c r="BB88">
        <v>1</v>
      </c>
      <c r="BC88" t="b">
        <v>0</v>
      </c>
      <c r="BE88" t="s">
        <v>321</v>
      </c>
      <c r="BF88">
        <v>1.5</v>
      </c>
      <c r="BG88">
        <v>300</v>
      </c>
      <c r="BH88">
        <v>100</v>
      </c>
      <c r="BI88" s="74">
        <f ca="1">INDIRECT(ADDRESS(11+(MATCH(RIGHT(Table610[[#This Row],[spawner_sku]],LEN(Table610[[#This Row],[spawner_sku]])-FIND("/",Table610[[#This Row],[spawner_sku]])),Table1[Entity Prefab],0)),10,1,1,"Entities"))</f>
        <v>195</v>
      </c>
      <c r="BJ88" s="74">
        <f ca="1">ROUND((Table610[[#This Row],[XP]]*Table610[[#This Row],[entity_spawned (AVG)]])*(Table610[[#This Row],[activating_chance]]/100),0)</f>
        <v>293</v>
      </c>
      <c r="BK88" s="71" t="str">
        <f ca="1">INDIRECT(ADDRESS(11+(MATCH(RIGHT(Table610[[#This Row],[spawner_sku]],LEN(Table610[[#This Row],[spawner_sku]])-FIND("/",Table610[[#This Row],[spawner_sku]])),Table28[Entity Prefab],0)),24,1,1,"Entities"))</f>
        <v>yes</v>
      </c>
      <c r="BL88">
        <v>1</v>
      </c>
      <c r="BM88">
        <v>2</v>
      </c>
      <c r="BN88" t="b">
        <v>0</v>
      </c>
      <c r="BP88" t="s">
        <v>376</v>
      </c>
      <c r="BQ88">
        <v>6</v>
      </c>
      <c r="BR88">
        <v>240</v>
      </c>
      <c r="BS88">
        <v>100</v>
      </c>
      <c r="BT88" s="74">
        <f ca="1">INDIRECT(ADDRESS(11+(MATCH(RIGHT(Table61011[[#This Row],[spawner_sku]],LEN(Table61011[[#This Row],[spawner_sku]])-FIND("/",Table61011[[#This Row],[spawner_sku]])),Table1[Entity Prefab],0)),10,1,1,"Entities"))</f>
        <v>25</v>
      </c>
      <c r="BU88" s="74">
        <f ca="1">ROUND((Table61011[[#This Row],[XP]]*Table61011[[#This Row],[entity_spawned (AVG)]])*(Table61011[[#This Row],[activating_chance]]/100),0)</f>
        <v>150</v>
      </c>
      <c r="BV88" s="71" t="str">
        <f ca="1">INDIRECT(ADDRESS(11+(MATCH(RIGHT(Table61011[[#This Row],[spawner_sku]],LEN(Table61011[[#This Row],[spawner_sku]])-FIND("/",Table61011[[#This Row],[spawner_sku]])),Table28[Entity Prefab],0)),24,1,1,"Entities"))</f>
        <v>no</v>
      </c>
      <c r="BW88" s="71">
        <v>5</v>
      </c>
      <c r="BX88" s="71">
        <v>7</v>
      </c>
      <c r="BY88" s="71" t="b">
        <v>1</v>
      </c>
      <c r="BZ88" s="71"/>
      <c r="CA88" s="147" t="s">
        <v>8142</v>
      </c>
      <c r="CB88">
        <v>1</v>
      </c>
      <c r="CC88">
        <v>200</v>
      </c>
      <c r="CD88">
        <v>100</v>
      </c>
      <c r="CE88" s="74">
        <f ca="1">INDIRECT(ADDRESS(11+(MATCH(RIGHT(Table35[[#This Row],[spawner_sku]],LEN(Table35[[#This Row],[spawner_sku]])-FIND("/",Table35[[#This Row],[spawner_sku]])),Table1[Entity Prefab],0)),10,1,1,"Entities"))</f>
        <v>75</v>
      </c>
      <c r="CF88" s="74">
        <f ca="1">ROUND((Table35[[#This Row],[XP]]*Table35[[#This Row],[entity_spawned (AVG)]])*(Table35[[#This Row],[activating_chance]]/100),0)</f>
        <v>75</v>
      </c>
      <c r="CG88" s="144" t="str">
        <f ca="1">INDIRECT(ADDRESS(11+(MATCH(RIGHT(Table35[[#This Row],[spawner_sku]],LEN(Table35[[#This Row],[spawner_sku]])-FIND("/",Table35[[#This Row],[spawner_sku]])),Table28[Entity Prefab],0)),24,1,1,"Entities"))</f>
        <v>no</v>
      </c>
      <c r="CH88">
        <v>1</v>
      </c>
      <c r="CI88">
        <v>1</v>
      </c>
      <c r="CJ88" s="71" t="b">
        <v>0</v>
      </c>
      <c r="CL88" t="s">
        <v>215</v>
      </c>
      <c r="CM88">
        <v>1.5</v>
      </c>
      <c r="CN88">
        <v>165</v>
      </c>
      <c r="CO88">
        <v>10</v>
      </c>
      <c r="CP88" s="74">
        <f ca="1">INDIRECT(ADDRESS(11+(MATCH(RIGHT(Table11[[#This Row],[spawner_sku]],LEN(Table11[[#This Row],[spawner_sku]])-FIND("/",Table11[[#This Row],[spawner_sku]])),Table1[Entity Prefab],0)),10,1,1,"Entities"))</f>
        <v>25</v>
      </c>
      <c r="CQ88">
        <f ca="1">ROUND((Table11[[#This Row],[XP]]*Table11[[#This Row],[entity_spawned (AVG)]])*(Table11[[#This Row],[activating_chance]]/100),0)</f>
        <v>4</v>
      </c>
      <c r="CR88" s="144" t="str">
        <f ca="1">INDIRECT(ADDRESS(11+(MATCH(RIGHT(Table11[[#This Row],[spawner_sku]],LEN(Table11[[#This Row],[spawner_sku]])-FIND("/",Table11[[#This Row],[spawner_sku]])),Table28[Entity Prefab],0)),25,1,1,"Entities"))</f>
        <v>no</v>
      </c>
      <c r="CS88" s="71">
        <v>1</v>
      </c>
      <c r="CT88" s="71">
        <v>2</v>
      </c>
      <c r="CU88" s="71" t="b">
        <v>0</v>
      </c>
      <c r="CW88" t="s">
        <v>446</v>
      </c>
      <c r="CX88">
        <v>1</v>
      </c>
      <c r="CY88">
        <v>240</v>
      </c>
      <c r="CZ88">
        <v>100</v>
      </c>
      <c r="DA88" s="74">
        <f ca="1">INDIRECT(ADDRESS(11+(MATCH(RIGHT(Table12[[#This Row],[spawner_sku]],LEN(Table12[[#This Row],[spawner_sku]])-FIND("/",Table12[[#This Row],[spawner_sku]])),Table1[Entity Prefab],0)),10,1,1,"Entities"))</f>
        <v>83</v>
      </c>
      <c r="DB88" s="74">
        <f ca="1">ROUND((Table12[[#This Row],[XP]]*Table12[[#This Row],[entity_spawned (AVG)]])*(Table12[[#This Row],[activating_chance]]/100),0)</f>
        <v>83</v>
      </c>
      <c r="DC88" s="144" t="str">
        <f ca="1">INDIRECT(ADDRESS(11+(MATCH(RIGHT(Table12[[#This Row],[spawner_sku]],LEN(Table12[[#This Row],[spawner_sku]])-FIND("/",Table12[[#This Row],[spawner_sku]])),Table28[Entity Prefab],0)),25,1,1,"Entities"))</f>
        <v>yes</v>
      </c>
      <c r="DD88" s="71">
        <v>1</v>
      </c>
      <c r="DE88" s="71">
        <v>1</v>
      </c>
      <c r="DF88" s="71" t="b">
        <v>0</v>
      </c>
      <c r="DH88" t="s">
        <v>226</v>
      </c>
      <c r="DI88">
        <v>1</v>
      </c>
      <c r="DJ88">
        <v>2000</v>
      </c>
      <c r="DK88">
        <v>100</v>
      </c>
      <c r="DL88" s="74">
        <f ca="1">INDIRECT(ADDRESS(11+(MATCH(RIGHT(Table13[[#This Row],[spawner_sku]],LEN(Table13[[#This Row],[spawner_sku]])-FIND("/",Table13[[#This Row],[spawner_sku]])),Table1[Entity Prefab],0)),10,1,1,"Entities"))</f>
        <v>175</v>
      </c>
      <c r="DM88" s="74">
        <f ca="1">ROUND((Table13[[#This Row],[XP]]*Table13[[#This Row],[entity_spawned (AVG)]])*(Table13[[#This Row],[activating_chance]]/100),0)</f>
        <v>175</v>
      </c>
      <c r="DN88" s="144" t="str">
        <f ca="1">INDIRECT(ADDRESS(11+(MATCH(RIGHT(Table13[[#This Row],[spawner_sku]],LEN(Table13[[#This Row],[spawner_sku]])-FIND("/",Table13[[#This Row],[spawner_sku]])),Table28[Entity Prefab],0)),25,1,1,"Entities"))</f>
        <v>yes</v>
      </c>
      <c r="DO88" s="71">
        <v>1</v>
      </c>
      <c r="DP88" s="71">
        <v>1</v>
      </c>
      <c r="DQ88" s="71" t="b">
        <v>0</v>
      </c>
      <c r="DS88" t="s">
        <v>214</v>
      </c>
      <c r="DT88">
        <v>6.5</v>
      </c>
      <c r="DU88">
        <v>140</v>
      </c>
      <c r="DV88">
        <v>100</v>
      </c>
      <c r="DW88" s="74">
        <f ca="1">INDIRECT(ADDRESS(11+(MATCH(RIGHT(Table14[[#This Row],[spawner_sku]],LEN(Table14[[#This Row],[spawner_sku]])-FIND("/",Table14[[#This Row],[spawner_sku]])),Table1[Entity Prefab],0)),10,1,1,"Entities"))</f>
        <v>25</v>
      </c>
      <c r="DX88" s="74">
        <f ca="1">ROUND((Table14[[#This Row],[XP]]*Table14[[#This Row],[entity_spawned (AVG)]])*(Table14[[#This Row],[activating_chance]]/100),0)</f>
        <v>163</v>
      </c>
      <c r="DY88" s="144" t="str">
        <f ca="1">INDIRECT(ADDRESS(11+(MATCH(RIGHT(Table14[[#This Row],[spawner_sku]],LEN(Table14[[#This Row],[spawner_sku]])-FIND("/",Table14[[#This Row],[spawner_sku]])),Table28[Entity Prefab],0)),25,1,1,"Entities"))</f>
        <v>no</v>
      </c>
      <c r="DZ88" s="71">
        <v>5</v>
      </c>
      <c r="EA88" s="71">
        <v>8</v>
      </c>
      <c r="EB88" s="71" t="b">
        <v>1</v>
      </c>
      <c r="EC88" s="71"/>
      <c r="ED88" s="147" t="s">
        <v>8142</v>
      </c>
      <c r="EE88" s="71">
        <v>1</v>
      </c>
      <c r="EF88" s="71">
        <v>200</v>
      </c>
      <c r="EG88" s="71">
        <v>80</v>
      </c>
      <c r="EH88" s="71">
        <f ca="1">INDIRECT(ADDRESS(11+(MATCH(RIGHT(Table36[[#This Row],[spawner_sku]],LEN(Table36[[#This Row],[spawner_sku]])-FIND("/",Table36[[#This Row],[spawner_sku]])),Table1[Entity Prefab],0)),10,1,1,"Entities"))</f>
        <v>75</v>
      </c>
      <c r="EI88" s="71">
        <f ca="1">ROUND((Table36[[#This Row],[XP]]*Table36[[#This Row],[entity_spawned (AVG)]])*(Table36[[#This Row],[activating_chance]]/100),0)</f>
        <v>60</v>
      </c>
      <c r="EJ88" s="71" t="str">
        <f ca="1">INDIRECT(ADDRESS(11+(MATCH(RIGHT(Table36[[#This Row],[spawner_sku]],LEN(Table36[[#This Row],[spawner_sku]])-FIND("/",Table36[[#This Row],[spawner_sku]])),Table28[Entity Prefab],0)),25,1,1,"Entities"))</f>
        <v>no</v>
      </c>
      <c r="EK88" s="71">
        <v>1</v>
      </c>
      <c r="EL88" s="71">
        <v>1</v>
      </c>
      <c r="EM88" s="71" t="b">
        <v>0</v>
      </c>
      <c r="EO88" t="s">
        <v>376</v>
      </c>
      <c r="EP88">
        <v>3.5</v>
      </c>
      <c r="EQ88">
        <v>160</v>
      </c>
      <c r="ER88">
        <v>100</v>
      </c>
      <c r="ES88" s="74">
        <f ca="1">INDIRECT(ADDRESS(11+(MATCH(RIGHT(Table18[[#This Row],[spawner_sku]],LEN(Table18[[#This Row],[spawner_sku]])-FIND("/",Table18[[#This Row],[spawner_sku]])),Table1[Entity Prefab],0)),10,1,1,"Entities"))</f>
        <v>25</v>
      </c>
      <c r="ET88" s="74">
        <f ca="1">ROUND((Table18[[#This Row],[XP]]*Table18[[#This Row],[entity_spawned (AVG)]])*(Table18[[#This Row],[activating_chance]]/100),0)</f>
        <v>88</v>
      </c>
      <c r="EU88" s="74" t="str">
        <f ca="1">INDIRECT(ADDRESS(11+(MATCH(RIGHT(Table18[[#This Row],[spawner_sku]],LEN(Table18[[#This Row],[spawner_sku]])-FIND("/",Table18[[#This Row],[spawner_sku]])),Table28[Entity Prefab],0)),26,1,1,"Entities"))</f>
        <v>no</v>
      </c>
      <c r="EV88">
        <v>3</v>
      </c>
      <c r="EW88">
        <v>4</v>
      </c>
      <c r="EX88" t="b">
        <v>0</v>
      </c>
      <c r="EZ88" t="s">
        <v>376</v>
      </c>
      <c r="FA88">
        <v>3</v>
      </c>
      <c r="FB88">
        <v>100</v>
      </c>
      <c r="FC88">
        <v>100</v>
      </c>
      <c r="FD88" s="74">
        <f ca="1">INDIRECT(ADDRESS(11+(MATCH(RIGHT(Table1820[[#This Row],[spawner_sku]],LEN(Table1820[[#This Row],[spawner_sku]])-FIND("/",Table1820[[#This Row],[spawner_sku]])),Table1[Entity Prefab],0)),10,1,1,"Entities"))</f>
        <v>25</v>
      </c>
      <c r="FE88" s="74">
        <f ca="1">ROUND((Table1820[[#This Row],[XP]]*Table1820[[#This Row],[entity_spawned (AVG)]])*(Table1820[[#This Row],[activating_chance]]/100),0)</f>
        <v>75</v>
      </c>
      <c r="FF88" s="74" t="str">
        <f ca="1">INDIRECT(ADDRESS(11+(MATCH(RIGHT(Table1820[[#This Row],[spawner_sku]],LEN(Table1820[[#This Row],[spawner_sku]])-FIND("/",Table1820[[#This Row],[spawner_sku]])),Table28[Entity Prefab],0)),26,1,1,"Entities"))</f>
        <v>no</v>
      </c>
      <c r="FG88">
        <v>2</v>
      </c>
      <c r="FH88">
        <v>4</v>
      </c>
      <c r="FI88" t="b">
        <v>0</v>
      </c>
      <c r="FK88" t="s">
        <v>2695</v>
      </c>
      <c r="FL88">
        <v>3</v>
      </c>
      <c r="FM88">
        <v>90</v>
      </c>
      <c r="FN88">
        <v>80</v>
      </c>
      <c r="FO88">
        <f ca="1">INDIRECT(ADDRESS(11+(MATCH(RIGHT(Table182023[[#This Row],[spawner_sku]],LEN(Table182023[[#This Row],[spawner_sku]])-FIND("/",Table182023[[#This Row],[spawner_sku]])),Table1[Entity Prefab],0)),10,1,1,"Entities"))</f>
        <v>40</v>
      </c>
      <c r="FP88">
        <f ca="1">ROUND((Table182023[[#This Row],[XP]]*Table182023[[#This Row],[entity_spawned (AVG)]])*(Table182023[[#This Row],[activating_chance]]/100),0)</f>
        <v>96</v>
      </c>
      <c r="FQ88" t="str">
        <f ca="1">INDIRECT(ADDRESS(11+(MATCH(RIGHT(Table182023[[#This Row],[spawner_sku]],LEN(Table182023[[#This Row],[spawner_sku]])-FIND("/",Table182023[[#This Row],[spawner_sku]])),Table28[Entity Prefab],0)),26,1,1,"Entities"))</f>
        <v>no</v>
      </c>
      <c r="FR88">
        <v>2</v>
      </c>
      <c r="FS88">
        <v>4</v>
      </c>
      <c r="FT88" t="b">
        <v>0</v>
      </c>
      <c r="FV88" t="s">
        <v>2695</v>
      </c>
      <c r="FW88">
        <v>6.5</v>
      </c>
      <c r="FX88">
        <v>100</v>
      </c>
      <c r="FY88">
        <v>100</v>
      </c>
      <c r="FZ88" s="74">
        <f ca="1">INDIRECT(ADDRESS(11+(MATCH(RIGHT(Table18202324[[#This Row],[spawner_sku]],LEN(Table18202324[[#This Row],[spawner_sku]])-FIND("/",Table18202324[[#This Row],[spawner_sku]])),Table1[Entity Prefab],0)),10,1,1,"Entities"))</f>
        <v>40</v>
      </c>
      <c r="GA88" s="74">
        <f ca="1">ROUND((Table18202324[[#This Row],[XP]]*Table18202324[[#This Row],[entity_spawned (AVG)]])*(Table18202324[[#This Row],[activating_chance]]/100),0)</f>
        <v>260</v>
      </c>
      <c r="GB88" s="74" t="str">
        <f ca="1">INDIRECT(ADDRESS(11+(MATCH(RIGHT(Table18202324[[#This Row],[spawner_sku]],LEN(Table18202324[[#This Row],[spawner_sku]])-FIND("/",Table18202324[[#This Row],[spawner_sku]])),Table28[Entity Prefab],0)),26,1,1,"Entities"))</f>
        <v>no</v>
      </c>
      <c r="GC88">
        <v>5</v>
      </c>
      <c r="GD88">
        <v>8</v>
      </c>
      <c r="GE88" t="b">
        <v>1</v>
      </c>
      <c r="GG88" t="s">
        <v>3816</v>
      </c>
      <c r="GH88">
        <v>1</v>
      </c>
      <c r="GI88">
        <v>240</v>
      </c>
      <c r="GJ88">
        <v>100</v>
      </c>
      <c r="GK88">
        <f ca="1">INDIRECT(ADDRESS(11+(MATCH(RIGHT(Table37[[#This Row],[spawner_sku]],LEN(Table37[[#This Row],[spawner_sku]])-FIND("/",Table37[[#This Row],[spawner_sku]])),Table1[Entity Prefab],0)),10,1,1,"Entities"))</f>
        <v>50</v>
      </c>
      <c r="GL88">
        <f ca="1">ROUND((Table37[[#This Row],[XP]]*Table37[[#This Row],[entity_spawned (AVG)]])*(Table37[[#This Row],[activating_chance]]/100),0)</f>
        <v>50</v>
      </c>
      <c r="GM88" t="str">
        <f ca="1">INDIRECT(ADDRESS(11+(MATCH(RIGHT(Table37[[#This Row],[spawner_sku]],LEN(Table37[[#This Row],[spawner_sku]])-FIND("/",Table37[[#This Row],[spawner_sku]])),Table28[Entity Prefab],0)),26,1,1,"Entities"))</f>
        <v>no</v>
      </c>
      <c r="GN88">
        <v>1</v>
      </c>
      <c r="GO88">
        <v>1</v>
      </c>
      <c r="GP88" t="b">
        <v>0</v>
      </c>
    </row>
    <row r="89" spans="2:198" x14ac:dyDescent="0.25">
      <c r="B89" s="72" t="s">
        <v>215</v>
      </c>
      <c r="C89">
        <v>10</v>
      </c>
      <c r="D89">
        <v>200</v>
      </c>
      <c r="E89">
        <v>100</v>
      </c>
      <c r="F89" s="74">
        <f ca="1">INDIRECT(ADDRESS(11+(MATCH(RIGHT(Table245[[#This Row],[spawner_sku]],LEN(Table245[[#This Row],[spawner_sku]])-FIND("/",Table245[[#This Row],[spawner_sku]])),Table1[Entity Prefab],0)),10,1,1,"Entities"))</f>
        <v>25</v>
      </c>
      <c r="G89" s="74">
        <f ca="1">ROUND((Table245[[#This Row],[XP]]*Table245[[#This Row],[entity_spawned (AVG)]])*(Table245[[#This Row],[activating_chance]]/100),0)</f>
        <v>250</v>
      </c>
      <c r="H89" s="71" t="str">
        <f ca="1">INDIRECT(ADDRESS(11+(MATCH(RIGHT(Table245[[#This Row],[spawner_sku]],LEN(Table245[[#This Row],[spawner_sku]])-FIND("/",Table245[[#This Row],[spawner_sku]])),Table28[Entity Prefab],0)),24,1,1,"Entities"))</f>
        <v>no</v>
      </c>
      <c r="I89" s="71">
        <v>5</v>
      </c>
      <c r="J89" s="71">
        <v>15</v>
      </c>
      <c r="K89" s="71" t="b">
        <v>1</v>
      </c>
      <c r="M89" t="s">
        <v>241</v>
      </c>
      <c r="N89">
        <v>1</v>
      </c>
      <c r="O89">
        <v>190</v>
      </c>
      <c r="P89">
        <v>100</v>
      </c>
      <c r="Q89" s="74">
        <f ca="1">INDIRECT(ADDRESS(11+(MATCH(RIGHT(Table3[[#This Row],[spawner_sku]],LEN(Table3[[#This Row],[spawner_sku]])-FIND("/",Table3[[#This Row],[spawner_sku]])),Table1[Entity Prefab],0)),10,1,1,"Entities"))</f>
        <v>70</v>
      </c>
      <c r="R89" s="74">
        <f ca="1">ROUND((Table3[[#This Row],[XP]]*Table3[[#This Row],[entity_spawned (AVG)]])*(Table3[[#This Row],[activating_chance]]/100),0)</f>
        <v>70</v>
      </c>
      <c r="S89" t="str">
        <f ca="1">INDIRECT(ADDRESS(11+(MATCH(RIGHT(Table3[[#This Row],[spawner_sku]],LEN(Table3[[#This Row],[spawner_sku]])-FIND("/",Table3[[#This Row],[spawner_sku]])),Table28[Entity Prefab],0)),24,1,1,"Entities"))</f>
        <v>yes</v>
      </c>
      <c r="T89">
        <v>1</v>
      </c>
      <c r="U89">
        <v>1</v>
      </c>
      <c r="V89" t="b">
        <v>0</v>
      </c>
      <c r="W89" s="71"/>
      <c r="X89" t="s">
        <v>243</v>
      </c>
      <c r="Y89">
        <v>1</v>
      </c>
      <c r="Z89">
        <v>160</v>
      </c>
      <c r="AA89">
        <v>100</v>
      </c>
      <c r="AB89" s="74">
        <f ca="1">INDIRECT(ADDRESS(11+(MATCH(RIGHT(Table39[[#This Row],[spawner_sku]],LEN(Table39[[#This Row],[spawner_sku]])-FIND("/",Table39[[#This Row],[spawner_sku]])),Table1[Entity Prefab],0)),10,1,1,"Entities"))</f>
        <v>25</v>
      </c>
      <c r="AC89" s="74">
        <f ca="1">ROUND((Table39[[#This Row],[XP]]*Table39[[#This Row],[entity_spawned (AVG)]])*(Table39[[#This Row],[activating_chance]]/100),0)</f>
        <v>25</v>
      </c>
      <c r="AD89" t="str">
        <f ca="1">INDIRECT(ADDRESS(11+(MATCH(RIGHT(Table39[[#This Row],[spawner_sku]],LEN(Table39[[#This Row],[spawner_sku]])-FIND("/",Table39[[#This Row],[spawner_sku]])),Table28[Entity Prefab],0)),24,1,1,"Entities"))</f>
        <v>no</v>
      </c>
      <c r="AE89">
        <v>1</v>
      </c>
      <c r="AF89">
        <v>1</v>
      </c>
      <c r="AG89" t="b">
        <v>0</v>
      </c>
      <c r="AI89" t="s">
        <v>215</v>
      </c>
      <c r="AJ89">
        <v>3</v>
      </c>
      <c r="AK89">
        <v>120</v>
      </c>
      <c r="AL89">
        <v>100</v>
      </c>
      <c r="AM89" s="74">
        <f ca="1">INDIRECT(ADDRESS(11+(MATCH(RIGHT(Table2[[#This Row],[spawner_sku]],LEN(Table2[[#This Row],[spawner_sku]])-FIND("/",Table2[[#This Row],[spawner_sku]])),Table1[Entity Prefab],0)),10,1,1,"Entities"))</f>
        <v>25</v>
      </c>
      <c r="AN89" s="74">
        <f ca="1">ROUND((Table2[[#This Row],[XP]]*Table2[[#This Row],[entity_spawned (AVG)]])*(Table2[[#This Row],[activating_chance]]/100),0)</f>
        <v>75</v>
      </c>
      <c r="AO89" s="71" t="str">
        <f ca="1">INDIRECT(ADDRESS(11+(MATCH(RIGHT(Table2[[#This Row],[spawner_sku]],LEN(Table2[[#This Row],[spawner_sku]])-FIND("/",Table2[[#This Row],[spawner_sku]])),Table28[Entity Prefab],0)),24,1,1,"Entities"))</f>
        <v>no</v>
      </c>
      <c r="AP89" s="71">
        <v>2</v>
      </c>
      <c r="AQ89" s="71">
        <v>4</v>
      </c>
      <c r="AR89" s="71" t="b">
        <v>0</v>
      </c>
      <c r="AT89" t="s">
        <v>225</v>
      </c>
      <c r="AU89">
        <v>1</v>
      </c>
      <c r="AV89">
        <v>2500</v>
      </c>
      <c r="AW89">
        <v>100</v>
      </c>
      <c r="AX89" s="74">
        <f ca="1">INDIRECT(ADDRESS(11+(MATCH(RIGHT(Table6[[#This Row],[spawner_sku]],LEN(Table6[[#This Row],[spawner_sku]])-FIND("/",Table6[[#This Row],[spawner_sku]])),Table1[Entity Prefab],0)),10,1,1,"Entities"))</f>
        <v>263</v>
      </c>
      <c r="AY89" s="74">
        <f ca="1">ROUND((Table6[[#This Row],[XP]]*Table6[[#This Row],[entity_spawned (AVG)]])*(Table6[[#This Row],[activating_chance]]/100),0)</f>
        <v>263</v>
      </c>
      <c r="AZ89" s="144" t="str">
        <f ca="1">INDIRECT(ADDRESS(11+(MATCH(RIGHT(Table6[[#This Row],[spawner_sku]],LEN(Table6[[#This Row],[spawner_sku]])-FIND("/",Table6[[#This Row],[spawner_sku]])),Table28[Entity Prefab],0)),24,1,1,"Entities"))</f>
        <v>yes</v>
      </c>
      <c r="BA89">
        <v>1</v>
      </c>
      <c r="BB89">
        <v>1</v>
      </c>
      <c r="BC89" t="b">
        <v>0</v>
      </c>
      <c r="BE89" t="s">
        <v>321</v>
      </c>
      <c r="BF89">
        <v>2.5</v>
      </c>
      <c r="BG89">
        <v>300</v>
      </c>
      <c r="BH89">
        <v>100</v>
      </c>
      <c r="BI89" s="74">
        <f ca="1">INDIRECT(ADDRESS(11+(MATCH(RIGHT(Table610[[#This Row],[spawner_sku]],LEN(Table610[[#This Row],[spawner_sku]])-FIND("/",Table610[[#This Row],[spawner_sku]])),Table1[Entity Prefab],0)),10,1,1,"Entities"))</f>
        <v>195</v>
      </c>
      <c r="BJ89" s="74">
        <f ca="1">ROUND((Table610[[#This Row],[XP]]*Table610[[#This Row],[entity_spawned (AVG)]])*(Table610[[#This Row],[activating_chance]]/100),0)</f>
        <v>488</v>
      </c>
      <c r="BK89" s="71" t="str">
        <f ca="1">INDIRECT(ADDRESS(11+(MATCH(RIGHT(Table610[[#This Row],[spawner_sku]],LEN(Table610[[#This Row],[spawner_sku]])-FIND("/",Table610[[#This Row],[spawner_sku]])),Table28[Entity Prefab],0)),24,1,1,"Entities"))</f>
        <v>yes</v>
      </c>
      <c r="BL89">
        <v>2</v>
      </c>
      <c r="BM89">
        <v>3</v>
      </c>
      <c r="BN89" t="b">
        <v>0</v>
      </c>
      <c r="BP89" t="s">
        <v>376</v>
      </c>
      <c r="BQ89">
        <v>6</v>
      </c>
      <c r="BR89">
        <v>260</v>
      </c>
      <c r="BS89">
        <v>100</v>
      </c>
      <c r="BT89" s="74">
        <f ca="1">INDIRECT(ADDRESS(11+(MATCH(RIGHT(Table61011[[#This Row],[spawner_sku]],LEN(Table61011[[#This Row],[spawner_sku]])-FIND("/",Table61011[[#This Row],[spawner_sku]])),Table1[Entity Prefab],0)),10,1,1,"Entities"))</f>
        <v>25</v>
      </c>
      <c r="BU89" s="74">
        <f ca="1">ROUND((Table61011[[#This Row],[XP]]*Table61011[[#This Row],[entity_spawned (AVG)]])*(Table61011[[#This Row],[activating_chance]]/100),0)</f>
        <v>150</v>
      </c>
      <c r="BV89" s="71" t="str">
        <f ca="1">INDIRECT(ADDRESS(11+(MATCH(RIGHT(Table61011[[#This Row],[spawner_sku]],LEN(Table61011[[#This Row],[spawner_sku]])-FIND("/",Table61011[[#This Row],[spawner_sku]])),Table28[Entity Prefab],0)),24,1,1,"Entities"))</f>
        <v>no</v>
      </c>
      <c r="BW89" s="71">
        <v>5</v>
      </c>
      <c r="BX89" s="71">
        <v>7</v>
      </c>
      <c r="BY89" s="71" t="b">
        <v>1</v>
      </c>
      <c r="BZ89" s="71"/>
      <c r="CA89" s="147" t="s">
        <v>8142</v>
      </c>
      <c r="CB89">
        <v>1</v>
      </c>
      <c r="CC89">
        <v>200</v>
      </c>
      <c r="CD89">
        <v>100</v>
      </c>
      <c r="CE89" s="74">
        <f ca="1">INDIRECT(ADDRESS(11+(MATCH(RIGHT(Table35[[#This Row],[spawner_sku]],LEN(Table35[[#This Row],[spawner_sku]])-FIND("/",Table35[[#This Row],[spawner_sku]])),Table1[Entity Prefab],0)),10,1,1,"Entities"))</f>
        <v>75</v>
      </c>
      <c r="CF89" s="74">
        <f ca="1">ROUND((Table35[[#This Row],[XP]]*Table35[[#This Row],[entity_spawned (AVG)]])*(Table35[[#This Row],[activating_chance]]/100),0)</f>
        <v>75</v>
      </c>
      <c r="CG89" s="144" t="str">
        <f ca="1">INDIRECT(ADDRESS(11+(MATCH(RIGHT(Table35[[#This Row],[spawner_sku]],LEN(Table35[[#This Row],[spawner_sku]])-FIND("/",Table35[[#This Row],[spawner_sku]])),Table28[Entity Prefab],0)),24,1,1,"Entities"))</f>
        <v>no</v>
      </c>
      <c r="CH89">
        <v>1</v>
      </c>
      <c r="CI89">
        <v>1</v>
      </c>
      <c r="CJ89" s="71" t="b">
        <v>0</v>
      </c>
      <c r="CL89" t="s">
        <v>215</v>
      </c>
      <c r="CM89">
        <v>13</v>
      </c>
      <c r="CN89">
        <v>180</v>
      </c>
      <c r="CO89">
        <v>100</v>
      </c>
      <c r="CP89" s="74">
        <f ca="1">INDIRECT(ADDRESS(11+(MATCH(RIGHT(Table11[[#This Row],[spawner_sku]],LEN(Table11[[#This Row],[spawner_sku]])-FIND("/",Table11[[#This Row],[spawner_sku]])),Table1[Entity Prefab],0)),10,1,1,"Entities"))</f>
        <v>25</v>
      </c>
      <c r="CQ89">
        <f ca="1">ROUND((Table11[[#This Row],[XP]]*Table11[[#This Row],[entity_spawned (AVG)]])*(Table11[[#This Row],[activating_chance]]/100),0)</f>
        <v>325</v>
      </c>
      <c r="CR89" s="144" t="str">
        <f ca="1">INDIRECT(ADDRESS(11+(MATCH(RIGHT(Table11[[#This Row],[spawner_sku]],LEN(Table11[[#This Row],[spawner_sku]])-FIND("/",Table11[[#This Row],[spawner_sku]])),Table28[Entity Prefab],0)),25,1,1,"Entities"))</f>
        <v>no</v>
      </c>
      <c r="CS89" s="71">
        <v>12</v>
      </c>
      <c r="CT89" s="71">
        <v>14</v>
      </c>
      <c r="CU89" s="71" t="b">
        <v>1</v>
      </c>
      <c r="CW89" t="s">
        <v>447</v>
      </c>
      <c r="CX89">
        <v>1</v>
      </c>
      <c r="CY89">
        <v>260</v>
      </c>
      <c r="CZ89">
        <v>100</v>
      </c>
      <c r="DA89" s="74">
        <f ca="1">INDIRECT(ADDRESS(11+(MATCH(RIGHT(Table12[[#This Row],[spawner_sku]],LEN(Table12[[#This Row],[spawner_sku]])-FIND("/",Table12[[#This Row],[spawner_sku]])),Table1[Entity Prefab],0)),10,1,1,"Entities"))</f>
        <v>105</v>
      </c>
      <c r="DB89" s="74">
        <f ca="1">ROUND((Table12[[#This Row],[XP]]*Table12[[#This Row],[entity_spawned (AVG)]])*(Table12[[#This Row],[activating_chance]]/100),0)</f>
        <v>105</v>
      </c>
      <c r="DC89" s="144" t="str">
        <f ca="1">INDIRECT(ADDRESS(11+(MATCH(RIGHT(Table12[[#This Row],[spawner_sku]],LEN(Table12[[#This Row],[spawner_sku]])-FIND("/",Table12[[#This Row],[spawner_sku]])),Table28[Entity Prefab],0)),25,1,1,"Entities"))</f>
        <v>yes</v>
      </c>
      <c r="DD89" s="71">
        <v>1</v>
      </c>
      <c r="DE89" s="71">
        <v>1</v>
      </c>
      <c r="DF89" s="71" t="b">
        <v>0</v>
      </c>
      <c r="DH89" t="s">
        <v>229</v>
      </c>
      <c r="DI89">
        <v>1</v>
      </c>
      <c r="DJ89">
        <v>1500</v>
      </c>
      <c r="DK89">
        <v>100</v>
      </c>
      <c r="DL89" s="74">
        <f ca="1">INDIRECT(ADDRESS(11+(MATCH(RIGHT(Table13[[#This Row],[spawner_sku]],LEN(Table13[[#This Row],[spawner_sku]])-FIND("/",Table13[[#This Row],[spawner_sku]])),Table1[Entity Prefab],0)),10,1,1,"Entities"))</f>
        <v>130</v>
      </c>
      <c r="DM89" s="74">
        <f ca="1">ROUND((Table13[[#This Row],[XP]]*Table13[[#This Row],[entity_spawned (AVG)]])*(Table13[[#This Row],[activating_chance]]/100),0)</f>
        <v>130</v>
      </c>
      <c r="DN89" s="144" t="str">
        <f ca="1">INDIRECT(ADDRESS(11+(MATCH(RIGHT(Table13[[#This Row],[spawner_sku]],LEN(Table13[[#This Row],[spawner_sku]])-FIND("/",Table13[[#This Row],[spawner_sku]])),Table28[Entity Prefab],0)),25,1,1,"Entities"))</f>
        <v>yes</v>
      </c>
      <c r="DO89" s="71">
        <v>1</v>
      </c>
      <c r="DP89" s="71">
        <v>1</v>
      </c>
      <c r="DQ89" s="71" t="b">
        <v>0</v>
      </c>
      <c r="DS89" t="s">
        <v>214</v>
      </c>
      <c r="DT89">
        <v>3.5</v>
      </c>
      <c r="DU89">
        <v>180</v>
      </c>
      <c r="DV89">
        <v>100</v>
      </c>
      <c r="DW89" s="74">
        <f ca="1">INDIRECT(ADDRESS(11+(MATCH(RIGHT(Table14[[#This Row],[spawner_sku]],LEN(Table14[[#This Row],[spawner_sku]])-FIND("/",Table14[[#This Row],[spawner_sku]])),Table1[Entity Prefab],0)),10,1,1,"Entities"))</f>
        <v>25</v>
      </c>
      <c r="DX89" s="74">
        <f ca="1">ROUND((Table14[[#This Row],[XP]]*Table14[[#This Row],[entity_spawned (AVG)]])*(Table14[[#This Row],[activating_chance]]/100),0)</f>
        <v>88</v>
      </c>
      <c r="DY89" s="144" t="str">
        <f ca="1">INDIRECT(ADDRESS(11+(MATCH(RIGHT(Table14[[#This Row],[spawner_sku]],LEN(Table14[[#This Row],[spawner_sku]])-FIND("/",Table14[[#This Row],[spawner_sku]])),Table28[Entity Prefab],0)),25,1,1,"Entities"))</f>
        <v>no</v>
      </c>
      <c r="DZ89" s="71">
        <v>3</v>
      </c>
      <c r="EA89" s="71">
        <v>4</v>
      </c>
      <c r="EB89" s="71" t="b">
        <v>0</v>
      </c>
      <c r="EC89" s="71"/>
      <c r="ED89" s="147" t="s">
        <v>8142</v>
      </c>
      <c r="EE89" s="71">
        <v>1</v>
      </c>
      <c r="EF89" s="71">
        <v>200</v>
      </c>
      <c r="EG89" s="71">
        <v>80</v>
      </c>
      <c r="EH89" s="71">
        <f ca="1">INDIRECT(ADDRESS(11+(MATCH(RIGHT(Table36[[#This Row],[spawner_sku]],LEN(Table36[[#This Row],[spawner_sku]])-FIND("/",Table36[[#This Row],[spawner_sku]])),Table1[Entity Prefab],0)),10,1,1,"Entities"))</f>
        <v>75</v>
      </c>
      <c r="EI89" s="71">
        <f ca="1">ROUND((Table36[[#This Row],[XP]]*Table36[[#This Row],[entity_spawned (AVG)]])*(Table36[[#This Row],[activating_chance]]/100),0)</f>
        <v>60</v>
      </c>
      <c r="EJ89" s="71" t="str">
        <f ca="1">INDIRECT(ADDRESS(11+(MATCH(RIGHT(Table36[[#This Row],[spawner_sku]],LEN(Table36[[#This Row],[spawner_sku]])-FIND("/",Table36[[#This Row],[spawner_sku]])),Table28[Entity Prefab],0)),25,1,1,"Entities"))</f>
        <v>no</v>
      </c>
      <c r="EK89" s="71">
        <v>1</v>
      </c>
      <c r="EL89" s="71">
        <v>1</v>
      </c>
      <c r="EM89" s="71" t="b">
        <v>0</v>
      </c>
      <c r="EO89" t="s">
        <v>376</v>
      </c>
      <c r="EP89">
        <v>3.5</v>
      </c>
      <c r="EQ89">
        <v>100</v>
      </c>
      <c r="ER89">
        <v>100</v>
      </c>
      <c r="ES89" s="74">
        <f ca="1">INDIRECT(ADDRESS(11+(MATCH(RIGHT(Table18[[#This Row],[spawner_sku]],LEN(Table18[[#This Row],[spawner_sku]])-FIND("/",Table18[[#This Row],[spawner_sku]])),Table1[Entity Prefab],0)),10,1,1,"Entities"))</f>
        <v>25</v>
      </c>
      <c r="ET89" s="74">
        <f ca="1">ROUND((Table18[[#This Row],[XP]]*Table18[[#This Row],[entity_spawned (AVG)]])*(Table18[[#This Row],[activating_chance]]/100),0)</f>
        <v>88</v>
      </c>
      <c r="EU89" s="74" t="str">
        <f ca="1">INDIRECT(ADDRESS(11+(MATCH(RIGHT(Table18[[#This Row],[spawner_sku]],LEN(Table18[[#This Row],[spawner_sku]])-FIND("/",Table18[[#This Row],[spawner_sku]])),Table28[Entity Prefab],0)),26,1,1,"Entities"))</f>
        <v>no</v>
      </c>
      <c r="EV89">
        <v>3</v>
      </c>
      <c r="EW89">
        <v>4</v>
      </c>
      <c r="EX89" t="b">
        <v>0</v>
      </c>
      <c r="EZ89" t="s">
        <v>376</v>
      </c>
      <c r="FA89">
        <v>5.5</v>
      </c>
      <c r="FB89">
        <v>200</v>
      </c>
      <c r="FC89">
        <v>100</v>
      </c>
      <c r="FD89" s="74">
        <f ca="1">INDIRECT(ADDRESS(11+(MATCH(RIGHT(Table1820[[#This Row],[spawner_sku]],LEN(Table1820[[#This Row],[spawner_sku]])-FIND("/",Table1820[[#This Row],[spawner_sku]])),Table1[Entity Prefab],0)),10,1,1,"Entities"))</f>
        <v>25</v>
      </c>
      <c r="FE89" s="74">
        <f ca="1">ROUND((Table1820[[#This Row],[XP]]*Table1820[[#This Row],[entity_spawned (AVG)]])*(Table1820[[#This Row],[activating_chance]]/100),0)</f>
        <v>138</v>
      </c>
      <c r="FF89" s="74" t="str">
        <f ca="1">INDIRECT(ADDRESS(11+(MATCH(RIGHT(Table1820[[#This Row],[spawner_sku]],LEN(Table1820[[#This Row],[spawner_sku]])-FIND("/",Table1820[[#This Row],[spawner_sku]])),Table28[Entity Prefab],0)),26,1,1,"Entities"))</f>
        <v>no</v>
      </c>
      <c r="FG89">
        <v>5</v>
      </c>
      <c r="FH89">
        <v>6</v>
      </c>
      <c r="FI89" t="b">
        <v>1</v>
      </c>
      <c r="FK89" t="s">
        <v>2695</v>
      </c>
      <c r="FL89">
        <v>9</v>
      </c>
      <c r="FM89">
        <v>90</v>
      </c>
      <c r="FN89">
        <v>100</v>
      </c>
      <c r="FO89">
        <f ca="1">INDIRECT(ADDRESS(11+(MATCH(RIGHT(Table182023[[#This Row],[spawner_sku]],LEN(Table182023[[#This Row],[spawner_sku]])-FIND("/",Table182023[[#This Row],[spawner_sku]])),Table1[Entity Prefab],0)),10,1,1,"Entities"))</f>
        <v>40</v>
      </c>
      <c r="FP89">
        <f ca="1">ROUND((Table182023[[#This Row],[XP]]*Table182023[[#This Row],[entity_spawned (AVG)]])*(Table182023[[#This Row],[activating_chance]]/100),0)</f>
        <v>360</v>
      </c>
      <c r="FQ89" t="str">
        <f ca="1">INDIRECT(ADDRESS(11+(MATCH(RIGHT(Table182023[[#This Row],[spawner_sku]],LEN(Table182023[[#This Row],[spawner_sku]])-FIND("/",Table182023[[#This Row],[spawner_sku]])),Table28[Entity Prefab],0)),26,1,1,"Entities"))</f>
        <v>no</v>
      </c>
      <c r="FR89">
        <v>6</v>
      </c>
      <c r="FS89">
        <v>12</v>
      </c>
      <c r="FT89" t="b">
        <v>1</v>
      </c>
      <c r="FV89" t="s">
        <v>2695</v>
      </c>
      <c r="FW89">
        <v>3</v>
      </c>
      <c r="FX89">
        <v>90</v>
      </c>
      <c r="FY89">
        <v>80</v>
      </c>
      <c r="FZ89" s="74">
        <f ca="1">INDIRECT(ADDRESS(11+(MATCH(RIGHT(Table18202324[[#This Row],[spawner_sku]],LEN(Table18202324[[#This Row],[spawner_sku]])-FIND("/",Table18202324[[#This Row],[spawner_sku]])),Table1[Entity Prefab],0)),10,1,1,"Entities"))</f>
        <v>40</v>
      </c>
      <c r="GA89" s="74">
        <f ca="1">ROUND((Table18202324[[#This Row],[XP]]*Table18202324[[#This Row],[entity_spawned (AVG)]])*(Table18202324[[#This Row],[activating_chance]]/100),0)</f>
        <v>96</v>
      </c>
      <c r="GB89" s="74" t="str">
        <f ca="1">INDIRECT(ADDRESS(11+(MATCH(RIGHT(Table18202324[[#This Row],[spawner_sku]],LEN(Table18202324[[#This Row],[spawner_sku]])-FIND("/",Table18202324[[#This Row],[spawner_sku]])),Table28[Entity Prefab],0)),26,1,1,"Entities"))</f>
        <v>no</v>
      </c>
      <c r="GC89">
        <v>2</v>
      </c>
      <c r="GD89">
        <v>4</v>
      </c>
      <c r="GE89" t="b">
        <v>0</v>
      </c>
      <c r="GG89" t="s">
        <v>3816</v>
      </c>
      <c r="GH89">
        <v>1</v>
      </c>
      <c r="GI89">
        <v>240</v>
      </c>
      <c r="GJ89">
        <v>100</v>
      </c>
      <c r="GK89">
        <f ca="1">INDIRECT(ADDRESS(11+(MATCH(RIGHT(Table37[[#This Row],[spawner_sku]],LEN(Table37[[#This Row],[spawner_sku]])-FIND("/",Table37[[#This Row],[spawner_sku]])),Table1[Entity Prefab],0)),10,1,1,"Entities"))</f>
        <v>50</v>
      </c>
      <c r="GL89">
        <f ca="1">ROUND((Table37[[#This Row],[XP]]*Table37[[#This Row],[entity_spawned (AVG)]])*(Table37[[#This Row],[activating_chance]]/100),0)</f>
        <v>50</v>
      </c>
      <c r="GM89" t="str">
        <f ca="1">INDIRECT(ADDRESS(11+(MATCH(RIGHT(Table37[[#This Row],[spawner_sku]],LEN(Table37[[#This Row],[spawner_sku]])-FIND("/",Table37[[#This Row],[spawner_sku]])),Table28[Entity Prefab],0)),26,1,1,"Entities"))</f>
        <v>no</v>
      </c>
      <c r="GN89">
        <v>1</v>
      </c>
      <c r="GO89">
        <v>1</v>
      </c>
      <c r="GP89" t="b">
        <v>0</v>
      </c>
    </row>
    <row r="90" spans="2:198" x14ac:dyDescent="0.25">
      <c r="B90" s="72" t="s">
        <v>215</v>
      </c>
      <c r="C90">
        <v>1.5</v>
      </c>
      <c r="D90">
        <v>80</v>
      </c>
      <c r="E90">
        <v>100</v>
      </c>
      <c r="F90" s="74">
        <f ca="1">INDIRECT(ADDRESS(11+(MATCH(RIGHT(Table245[[#This Row],[spawner_sku]],LEN(Table245[[#This Row],[spawner_sku]])-FIND("/",Table245[[#This Row],[spawner_sku]])),Table1[Entity Prefab],0)),10,1,1,"Entities"))</f>
        <v>25</v>
      </c>
      <c r="G90" s="74">
        <f ca="1">ROUND((Table245[[#This Row],[XP]]*Table245[[#This Row],[entity_spawned (AVG)]])*(Table245[[#This Row],[activating_chance]]/100),0)</f>
        <v>38</v>
      </c>
      <c r="H90" s="71" t="str">
        <f ca="1">INDIRECT(ADDRESS(11+(MATCH(RIGHT(Table245[[#This Row],[spawner_sku]],LEN(Table245[[#This Row],[spawner_sku]])-FIND("/",Table245[[#This Row],[spawner_sku]])),Table28[Entity Prefab],0)),24,1,1,"Entities"))</f>
        <v>no</v>
      </c>
      <c r="I90" s="71">
        <v>1</v>
      </c>
      <c r="J90" s="71">
        <v>2</v>
      </c>
      <c r="K90" s="71" t="b">
        <v>0</v>
      </c>
      <c r="M90" t="s">
        <v>241</v>
      </c>
      <c r="N90">
        <v>1</v>
      </c>
      <c r="O90">
        <v>190</v>
      </c>
      <c r="P90">
        <v>50</v>
      </c>
      <c r="Q90" s="74">
        <f ca="1">INDIRECT(ADDRESS(11+(MATCH(RIGHT(Table3[[#This Row],[spawner_sku]],LEN(Table3[[#This Row],[spawner_sku]])-FIND("/",Table3[[#This Row],[spawner_sku]])),Table1[Entity Prefab],0)),10,1,1,"Entities"))</f>
        <v>70</v>
      </c>
      <c r="R90" s="74">
        <f ca="1">ROUND((Table3[[#This Row],[XP]]*Table3[[#This Row],[entity_spawned (AVG)]])*(Table3[[#This Row],[activating_chance]]/100),0)</f>
        <v>35</v>
      </c>
      <c r="S90" t="str">
        <f ca="1">INDIRECT(ADDRESS(11+(MATCH(RIGHT(Table3[[#This Row],[spawner_sku]],LEN(Table3[[#This Row],[spawner_sku]])-FIND("/",Table3[[#This Row],[spawner_sku]])),Table28[Entity Prefab],0)),24,1,1,"Entities"))</f>
        <v>yes</v>
      </c>
      <c r="T90">
        <v>1</v>
      </c>
      <c r="U90">
        <v>1</v>
      </c>
      <c r="V90" t="b">
        <v>0</v>
      </c>
      <c r="W90" s="71"/>
      <c r="X90" t="s">
        <v>243</v>
      </c>
      <c r="Y90">
        <v>1</v>
      </c>
      <c r="Z90">
        <v>160</v>
      </c>
      <c r="AA90">
        <v>100</v>
      </c>
      <c r="AB90" s="74">
        <f ca="1">INDIRECT(ADDRESS(11+(MATCH(RIGHT(Table39[[#This Row],[spawner_sku]],LEN(Table39[[#This Row],[spawner_sku]])-FIND("/",Table39[[#This Row],[spawner_sku]])),Table1[Entity Prefab],0)),10,1,1,"Entities"))</f>
        <v>25</v>
      </c>
      <c r="AC90" s="74">
        <f ca="1">ROUND((Table39[[#This Row],[XP]]*Table39[[#This Row],[entity_spawned (AVG)]])*(Table39[[#This Row],[activating_chance]]/100),0)</f>
        <v>25</v>
      </c>
      <c r="AD90" t="str">
        <f ca="1">INDIRECT(ADDRESS(11+(MATCH(RIGHT(Table39[[#This Row],[spawner_sku]],LEN(Table39[[#This Row],[spawner_sku]])-FIND("/",Table39[[#This Row],[spawner_sku]])),Table28[Entity Prefab],0)),24,1,1,"Entities"))</f>
        <v>no</v>
      </c>
      <c r="AE90">
        <v>1</v>
      </c>
      <c r="AF90">
        <v>1</v>
      </c>
      <c r="AG90" t="b">
        <v>0</v>
      </c>
      <c r="AI90" t="s">
        <v>215</v>
      </c>
      <c r="AJ90">
        <v>5.5</v>
      </c>
      <c r="AK90">
        <v>80</v>
      </c>
      <c r="AL90">
        <v>100</v>
      </c>
      <c r="AM90" s="74">
        <f ca="1">INDIRECT(ADDRESS(11+(MATCH(RIGHT(Table2[[#This Row],[spawner_sku]],LEN(Table2[[#This Row],[spawner_sku]])-FIND("/",Table2[[#This Row],[spawner_sku]])),Table1[Entity Prefab],0)),10,1,1,"Entities"))</f>
        <v>25</v>
      </c>
      <c r="AN90" s="74">
        <f ca="1">ROUND((Table2[[#This Row],[XP]]*Table2[[#This Row],[entity_spawned (AVG)]])*(Table2[[#This Row],[activating_chance]]/100),0)</f>
        <v>138</v>
      </c>
      <c r="AO90" s="71" t="str">
        <f ca="1">INDIRECT(ADDRESS(11+(MATCH(RIGHT(Table2[[#This Row],[spawner_sku]],LEN(Table2[[#This Row],[spawner_sku]])-FIND("/",Table2[[#This Row],[spawner_sku]])),Table28[Entity Prefab],0)),24,1,1,"Entities"))</f>
        <v>no</v>
      </c>
      <c r="AP90" s="71">
        <v>5</v>
      </c>
      <c r="AQ90" s="71">
        <v>6</v>
      </c>
      <c r="AR90" s="71" t="b">
        <v>1</v>
      </c>
      <c r="AT90" t="s">
        <v>570</v>
      </c>
      <c r="AU90">
        <v>2.5</v>
      </c>
      <c r="AV90">
        <v>120</v>
      </c>
      <c r="AW90">
        <v>100</v>
      </c>
      <c r="AX90" s="74">
        <f ca="1">INDIRECT(ADDRESS(11+(MATCH(RIGHT(Table6[[#This Row],[spawner_sku]],LEN(Table6[[#This Row],[spawner_sku]])-FIND("/",Table6[[#This Row],[spawner_sku]])),Table1[Entity Prefab],0)),10,1,1,"Entities"))</f>
        <v>50</v>
      </c>
      <c r="AY90" s="74">
        <f ca="1">ROUND((Table6[[#This Row],[XP]]*Table6[[#This Row],[entity_spawned (AVG)]])*(Table6[[#This Row],[activating_chance]]/100),0)</f>
        <v>125</v>
      </c>
      <c r="AZ90" s="144" t="str">
        <f ca="1">INDIRECT(ADDRESS(11+(MATCH(RIGHT(Table6[[#This Row],[spawner_sku]],LEN(Table6[[#This Row],[spawner_sku]])-FIND("/",Table6[[#This Row],[spawner_sku]])),Table28[Entity Prefab],0)),24,1,1,"Entities"))</f>
        <v>no</v>
      </c>
      <c r="BA90">
        <v>2</v>
      </c>
      <c r="BB90">
        <v>3</v>
      </c>
      <c r="BC90" t="b">
        <v>0</v>
      </c>
      <c r="BE90" t="s">
        <v>321</v>
      </c>
      <c r="BF90">
        <v>1</v>
      </c>
      <c r="BG90">
        <v>300</v>
      </c>
      <c r="BH90">
        <v>100</v>
      </c>
      <c r="BI90" s="74">
        <f ca="1">INDIRECT(ADDRESS(11+(MATCH(RIGHT(Table610[[#This Row],[spawner_sku]],LEN(Table610[[#This Row],[spawner_sku]])-FIND("/",Table610[[#This Row],[spawner_sku]])),Table1[Entity Prefab],0)),10,1,1,"Entities"))</f>
        <v>195</v>
      </c>
      <c r="BJ90" s="74">
        <f ca="1">ROUND((Table610[[#This Row],[XP]]*Table610[[#This Row],[entity_spawned (AVG)]])*(Table610[[#This Row],[activating_chance]]/100),0)</f>
        <v>195</v>
      </c>
      <c r="BK90" s="71" t="str">
        <f ca="1">INDIRECT(ADDRESS(11+(MATCH(RIGHT(Table610[[#This Row],[spawner_sku]],LEN(Table610[[#This Row],[spawner_sku]])-FIND("/",Table610[[#This Row],[spawner_sku]])),Table28[Entity Prefab],0)),24,1,1,"Entities"))</f>
        <v>yes</v>
      </c>
      <c r="BL90">
        <v>1</v>
      </c>
      <c r="BM90">
        <v>1</v>
      </c>
      <c r="BN90" t="b">
        <v>0</v>
      </c>
      <c r="BP90" t="s">
        <v>376</v>
      </c>
      <c r="BQ90">
        <v>6</v>
      </c>
      <c r="BR90">
        <v>220</v>
      </c>
      <c r="BS90">
        <v>100</v>
      </c>
      <c r="BT90" s="74">
        <f ca="1">INDIRECT(ADDRESS(11+(MATCH(RIGHT(Table61011[[#This Row],[spawner_sku]],LEN(Table61011[[#This Row],[spawner_sku]])-FIND("/",Table61011[[#This Row],[spawner_sku]])),Table1[Entity Prefab],0)),10,1,1,"Entities"))</f>
        <v>25</v>
      </c>
      <c r="BU90" s="74">
        <f ca="1">ROUND((Table61011[[#This Row],[XP]]*Table61011[[#This Row],[entity_spawned (AVG)]])*(Table61011[[#This Row],[activating_chance]]/100),0)</f>
        <v>150</v>
      </c>
      <c r="BV90" s="71" t="str">
        <f ca="1">INDIRECT(ADDRESS(11+(MATCH(RIGHT(Table61011[[#This Row],[spawner_sku]],LEN(Table61011[[#This Row],[spawner_sku]])-FIND("/",Table61011[[#This Row],[spawner_sku]])),Table28[Entity Prefab],0)),24,1,1,"Entities"))</f>
        <v>no</v>
      </c>
      <c r="BW90" s="71">
        <v>5</v>
      </c>
      <c r="BX90" s="71">
        <v>7</v>
      </c>
      <c r="BY90" s="71" t="b">
        <v>1</v>
      </c>
      <c r="BZ90" s="71"/>
      <c r="CA90" s="147" t="s">
        <v>8142</v>
      </c>
      <c r="CB90">
        <v>1</v>
      </c>
      <c r="CC90">
        <v>200</v>
      </c>
      <c r="CD90">
        <v>100</v>
      </c>
      <c r="CE90" s="74">
        <f ca="1">INDIRECT(ADDRESS(11+(MATCH(RIGHT(Table35[[#This Row],[spawner_sku]],LEN(Table35[[#This Row],[spawner_sku]])-FIND("/",Table35[[#This Row],[spawner_sku]])),Table1[Entity Prefab],0)),10,1,1,"Entities"))</f>
        <v>75</v>
      </c>
      <c r="CF90" s="74">
        <f ca="1">ROUND((Table35[[#This Row],[XP]]*Table35[[#This Row],[entity_spawned (AVG)]])*(Table35[[#This Row],[activating_chance]]/100),0)</f>
        <v>75</v>
      </c>
      <c r="CG90" s="144" t="str">
        <f ca="1">INDIRECT(ADDRESS(11+(MATCH(RIGHT(Table35[[#This Row],[spawner_sku]],LEN(Table35[[#This Row],[spawner_sku]])-FIND("/",Table35[[#This Row],[spawner_sku]])),Table28[Entity Prefab],0)),24,1,1,"Entities"))</f>
        <v>no</v>
      </c>
      <c r="CH90">
        <v>1</v>
      </c>
      <c r="CI90">
        <v>1</v>
      </c>
      <c r="CJ90" s="71" t="b">
        <v>0</v>
      </c>
      <c r="CL90" t="s">
        <v>215</v>
      </c>
      <c r="CM90">
        <v>2.5</v>
      </c>
      <c r="CN90">
        <v>180</v>
      </c>
      <c r="CO90">
        <v>100</v>
      </c>
      <c r="CP90" s="74">
        <f ca="1">INDIRECT(ADDRESS(11+(MATCH(RIGHT(Table11[[#This Row],[spawner_sku]],LEN(Table11[[#This Row],[spawner_sku]])-FIND("/",Table11[[#This Row],[spawner_sku]])),Table1[Entity Prefab],0)),10,1,1,"Entities"))</f>
        <v>25</v>
      </c>
      <c r="CQ90">
        <f ca="1">ROUND((Table11[[#This Row],[XP]]*Table11[[#This Row],[entity_spawned (AVG)]])*(Table11[[#This Row],[activating_chance]]/100),0)</f>
        <v>63</v>
      </c>
      <c r="CR90" s="144" t="str">
        <f ca="1">INDIRECT(ADDRESS(11+(MATCH(RIGHT(Table11[[#This Row],[spawner_sku]],LEN(Table11[[#This Row],[spawner_sku]])-FIND("/",Table11[[#This Row],[spawner_sku]])),Table28[Entity Prefab],0)),25,1,1,"Entities"))</f>
        <v>no</v>
      </c>
      <c r="CS90" s="71">
        <v>2</v>
      </c>
      <c r="CT90" s="71">
        <v>3</v>
      </c>
      <c r="CU90" s="71" t="b">
        <v>0</v>
      </c>
      <c r="CW90" t="s">
        <v>448</v>
      </c>
      <c r="CX90">
        <v>1</v>
      </c>
      <c r="CY90">
        <v>280</v>
      </c>
      <c r="CZ90">
        <v>100</v>
      </c>
      <c r="DA90" s="74">
        <f ca="1">INDIRECT(ADDRESS(11+(MATCH(RIGHT(Table12[[#This Row],[spawner_sku]],LEN(Table12[[#This Row],[spawner_sku]])-FIND("/",Table12[[#This Row],[spawner_sku]])),Table1[Entity Prefab],0)),10,1,1,"Entities"))</f>
        <v>143</v>
      </c>
      <c r="DB90" s="74">
        <f ca="1">ROUND((Table12[[#This Row],[XP]]*Table12[[#This Row],[entity_spawned (AVG)]])*(Table12[[#This Row],[activating_chance]]/100),0)</f>
        <v>143</v>
      </c>
      <c r="DC90" s="144" t="str">
        <f ca="1">INDIRECT(ADDRESS(11+(MATCH(RIGHT(Table12[[#This Row],[spawner_sku]],LEN(Table12[[#This Row],[spawner_sku]])-FIND("/",Table12[[#This Row],[spawner_sku]])),Table28[Entity Prefab],0)),25,1,1,"Entities"))</f>
        <v>yes</v>
      </c>
      <c r="DD90" s="71">
        <v>1</v>
      </c>
      <c r="DE90" s="71">
        <v>1</v>
      </c>
      <c r="DF90" s="71" t="b">
        <v>0</v>
      </c>
      <c r="DH90" t="s">
        <v>229</v>
      </c>
      <c r="DI90">
        <v>1</v>
      </c>
      <c r="DJ90">
        <v>1500</v>
      </c>
      <c r="DK90">
        <v>20</v>
      </c>
      <c r="DL90" s="74">
        <f ca="1">INDIRECT(ADDRESS(11+(MATCH(RIGHT(Table13[[#This Row],[spawner_sku]],LEN(Table13[[#This Row],[spawner_sku]])-FIND("/",Table13[[#This Row],[spawner_sku]])),Table1[Entity Prefab],0)),10,1,1,"Entities"))</f>
        <v>130</v>
      </c>
      <c r="DM90" s="74">
        <f ca="1">ROUND((Table13[[#This Row],[XP]]*Table13[[#This Row],[entity_spawned (AVG)]])*(Table13[[#This Row],[activating_chance]]/100),0)</f>
        <v>26</v>
      </c>
      <c r="DN90" s="144" t="str">
        <f ca="1">INDIRECT(ADDRESS(11+(MATCH(RIGHT(Table13[[#This Row],[spawner_sku]],LEN(Table13[[#This Row],[spawner_sku]])-FIND("/",Table13[[#This Row],[spawner_sku]])),Table28[Entity Prefab],0)),25,1,1,"Entities"))</f>
        <v>yes</v>
      </c>
      <c r="DO90" s="71">
        <v>1</v>
      </c>
      <c r="DP90" s="71">
        <v>1</v>
      </c>
      <c r="DQ90" s="71" t="b">
        <v>0</v>
      </c>
      <c r="DS90" t="s">
        <v>214</v>
      </c>
      <c r="DT90">
        <v>7</v>
      </c>
      <c r="DU90">
        <v>180</v>
      </c>
      <c r="DV90">
        <v>100</v>
      </c>
      <c r="DW90" s="74">
        <f ca="1">INDIRECT(ADDRESS(11+(MATCH(RIGHT(Table14[[#This Row],[spawner_sku]],LEN(Table14[[#This Row],[spawner_sku]])-FIND("/",Table14[[#This Row],[spawner_sku]])),Table1[Entity Prefab],0)),10,1,1,"Entities"))</f>
        <v>25</v>
      </c>
      <c r="DX90" s="74">
        <f ca="1">ROUND((Table14[[#This Row],[XP]]*Table14[[#This Row],[entity_spawned (AVG)]])*(Table14[[#This Row],[activating_chance]]/100),0)</f>
        <v>175</v>
      </c>
      <c r="DY90" s="144" t="str">
        <f ca="1">INDIRECT(ADDRESS(11+(MATCH(RIGHT(Table14[[#This Row],[spawner_sku]],LEN(Table14[[#This Row],[spawner_sku]])-FIND("/",Table14[[#This Row],[spawner_sku]])),Table28[Entity Prefab],0)),25,1,1,"Entities"))</f>
        <v>no</v>
      </c>
      <c r="DZ90" s="71">
        <v>6</v>
      </c>
      <c r="EA90" s="71">
        <v>8</v>
      </c>
      <c r="EB90" s="71" t="b">
        <v>1</v>
      </c>
      <c r="EC90" s="71"/>
      <c r="ED90" s="147" t="s">
        <v>8142</v>
      </c>
      <c r="EE90" s="71">
        <v>1</v>
      </c>
      <c r="EF90" s="71">
        <v>200</v>
      </c>
      <c r="EG90" s="71">
        <v>100</v>
      </c>
      <c r="EH90" s="71">
        <f ca="1">INDIRECT(ADDRESS(11+(MATCH(RIGHT(Table36[[#This Row],[spawner_sku]],LEN(Table36[[#This Row],[spawner_sku]])-FIND("/",Table36[[#This Row],[spawner_sku]])),Table1[Entity Prefab],0)),10,1,1,"Entities"))</f>
        <v>75</v>
      </c>
      <c r="EI90" s="71">
        <f ca="1">ROUND((Table36[[#This Row],[XP]]*Table36[[#This Row],[entity_spawned (AVG)]])*(Table36[[#This Row],[activating_chance]]/100),0)</f>
        <v>75</v>
      </c>
      <c r="EJ90" s="71" t="str">
        <f ca="1">INDIRECT(ADDRESS(11+(MATCH(RIGHT(Table36[[#This Row],[spawner_sku]],LEN(Table36[[#This Row],[spawner_sku]])-FIND("/",Table36[[#This Row],[spawner_sku]])),Table28[Entity Prefab],0)),25,1,1,"Entities"))</f>
        <v>no</v>
      </c>
      <c r="EK90" s="71">
        <v>1</v>
      </c>
      <c r="EL90" s="71">
        <v>1</v>
      </c>
      <c r="EM90" s="71" t="b">
        <v>0</v>
      </c>
      <c r="EO90" t="s">
        <v>376</v>
      </c>
      <c r="EP90">
        <v>3.5</v>
      </c>
      <c r="EQ90">
        <v>160</v>
      </c>
      <c r="ER90">
        <v>80</v>
      </c>
      <c r="ES90" s="74">
        <f ca="1">INDIRECT(ADDRESS(11+(MATCH(RIGHT(Table18[[#This Row],[spawner_sku]],LEN(Table18[[#This Row],[spawner_sku]])-FIND("/",Table18[[#This Row],[spawner_sku]])),Table1[Entity Prefab],0)),10,1,1,"Entities"))</f>
        <v>25</v>
      </c>
      <c r="ET90" s="74">
        <f ca="1">ROUND((Table18[[#This Row],[XP]]*Table18[[#This Row],[entity_spawned (AVG)]])*(Table18[[#This Row],[activating_chance]]/100),0)</f>
        <v>70</v>
      </c>
      <c r="EU90" s="74" t="str">
        <f ca="1">INDIRECT(ADDRESS(11+(MATCH(RIGHT(Table18[[#This Row],[spawner_sku]],LEN(Table18[[#This Row],[spawner_sku]])-FIND("/",Table18[[#This Row],[spawner_sku]])),Table28[Entity Prefab],0)),26,1,1,"Entities"))</f>
        <v>no</v>
      </c>
      <c r="EV90">
        <v>3</v>
      </c>
      <c r="EW90">
        <v>4</v>
      </c>
      <c r="EX90" t="b">
        <v>0</v>
      </c>
      <c r="EZ90" t="s">
        <v>376</v>
      </c>
      <c r="FA90">
        <v>3.5</v>
      </c>
      <c r="FB90">
        <v>200</v>
      </c>
      <c r="FC90">
        <v>100</v>
      </c>
      <c r="FD90" s="74">
        <f ca="1">INDIRECT(ADDRESS(11+(MATCH(RIGHT(Table1820[[#This Row],[spawner_sku]],LEN(Table1820[[#This Row],[spawner_sku]])-FIND("/",Table1820[[#This Row],[spawner_sku]])),Table1[Entity Prefab],0)),10,1,1,"Entities"))</f>
        <v>25</v>
      </c>
      <c r="FE90" s="74">
        <f ca="1">ROUND((Table1820[[#This Row],[XP]]*Table1820[[#This Row],[entity_spawned (AVG)]])*(Table1820[[#This Row],[activating_chance]]/100),0)</f>
        <v>88</v>
      </c>
      <c r="FF90" s="74" t="str">
        <f ca="1">INDIRECT(ADDRESS(11+(MATCH(RIGHT(Table1820[[#This Row],[spawner_sku]],LEN(Table1820[[#This Row],[spawner_sku]])-FIND("/",Table1820[[#This Row],[spawner_sku]])),Table28[Entity Prefab],0)),26,1,1,"Entities"))</f>
        <v>no</v>
      </c>
      <c r="FG90">
        <v>3</v>
      </c>
      <c r="FH90">
        <v>4</v>
      </c>
      <c r="FI90" t="b">
        <v>0</v>
      </c>
      <c r="FK90" t="s">
        <v>2695</v>
      </c>
      <c r="FL90">
        <v>3</v>
      </c>
      <c r="FM90">
        <v>90</v>
      </c>
      <c r="FN90">
        <v>100</v>
      </c>
      <c r="FO90">
        <f ca="1">INDIRECT(ADDRESS(11+(MATCH(RIGHT(Table182023[[#This Row],[spawner_sku]],LEN(Table182023[[#This Row],[spawner_sku]])-FIND("/",Table182023[[#This Row],[spawner_sku]])),Table1[Entity Prefab],0)),10,1,1,"Entities"))</f>
        <v>40</v>
      </c>
      <c r="FP90">
        <f ca="1">ROUND((Table182023[[#This Row],[XP]]*Table182023[[#This Row],[entity_spawned (AVG)]])*(Table182023[[#This Row],[activating_chance]]/100),0)</f>
        <v>120</v>
      </c>
      <c r="FQ90" t="str">
        <f ca="1">INDIRECT(ADDRESS(11+(MATCH(RIGHT(Table182023[[#This Row],[spawner_sku]],LEN(Table182023[[#This Row],[spawner_sku]])-FIND("/",Table182023[[#This Row],[spawner_sku]])),Table28[Entity Prefab],0)),26,1,1,"Entities"))</f>
        <v>no</v>
      </c>
      <c r="FR90">
        <v>2</v>
      </c>
      <c r="FS90">
        <v>4</v>
      </c>
      <c r="FT90" t="b">
        <v>0</v>
      </c>
      <c r="FV90" t="s">
        <v>2695</v>
      </c>
      <c r="FW90">
        <v>2</v>
      </c>
      <c r="FX90">
        <v>90</v>
      </c>
      <c r="FY90">
        <v>80</v>
      </c>
      <c r="FZ90" s="74">
        <f ca="1">INDIRECT(ADDRESS(11+(MATCH(RIGHT(Table18202324[[#This Row],[spawner_sku]],LEN(Table18202324[[#This Row],[spawner_sku]])-FIND("/",Table18202324[[#This Row],[spawner_sku]])),Table1[Entity Prefab],0)),10,1,1,"Entities"))</f>
        <v>40</v>
      </c>
      <c r="GA90" s="74">
        <f ca="1">ROUND((Table18202324[[#This Row],[XP]]*Table18202324[[#This Row],[entity_spawned (AVG)]])*(Table18202324[[#This Row],[activating_chance]]/100),0)</f>
        <v>64</v>
      </c>
      <c r="GB90" s="74" t="str">
        <f ca="1">INDIRECT(ADDRESS(11+(MATCH(RIGHT(Table18202324[[#This Row],[spawner_sku]],LEN(Table18202324[[#This Row],[spawner_sku]])-FIND("/",Table18202324[[#This Row],[spawner_sku]])),Table28[Entity Prefab],0)),26,1,1,"Entities"))</f>
        <v>no</v>
      </c>
      <c r="GC90">
        <v>1</v>
      </c>
      <c r="GD90">
        <v>3</v>
      </c>
      <c r="GE90" t="b">
        <v>0</v>
      </c>
      <c r="GG90" t="s">
        <v>3816</v>
      </c>
      <c r="GH90">
        <v>1</v>
      </c>
      <c r="GI90">
        <v>240</v>
      </c>
      <c r="GJ90">
        <v>100</v>
      </c>
      <c r="GK90">
        <f ca="1">INDIRECT(ADDRESS(11+(MATCH(RIGHT(Table37[[#This Row],[spawner_sku]],LEN(Table37[[#This Row],[spawner_sku]])-FIND("/",Table37[[#This Row],[spawner_sku]])),Table1[Entity Prefab],0)),10,1,1,"Entities"))</f>
        <v>50</v>
      </c>
      <c r="GL90">
        <f ca="1">ROUND((Table37[[#This Row],[XP]]*Table37[[#This Row],[entity_spawned (AVG)]])*(Table37[[#This Row],[activating_chance]]/100),0)</f>
        <v>50</v>
      </c>
      <c r="GM90" t="str">
        <f ca="1">INDIRECT(ADDRESS(11+(MATCH(RIGHT(Table37[[#This Row],[spawner_sku]],LEN(Table37[[#This Row],[spawner_sku]])-FIND("/",Table37[[#This Row],[spawner_sku]])),Table28[Entity Prefab],0)),26,1,1,"Entities"))</f>
        <v>no</v>
      </c>
      <c r="GN90">
        <v>1</v>
      </c>
      <c r="GO90">
        <v>1</v>
      </c>
      <c r="GP90" t="b">
        <v>0</v>
      </c>
    </row>
    <row r="91" spans="2:198" x14ac:dyDescent="0.25">
      <c r="B91" s="72" t="s">
        <v>215</v>
      </c>
      <c r="C91">
        <v>1.5</v>
      </c>
      <c r="D91">
        <v>140</v>
      </c>
      <c r="E91">
        <v>85</v>
      </c>
      <c r="F91" s="74">
        <f ca="1">INDIRECT(ADDRESS(11+(MATCH(RIGHT(Table245[[#This Row],[spawner_sku]],LEN(Table245[[#This Row],[spawner_sku]])-FIND("/",Table245[[#This Row],[spawner_sku]])),Table1[Entity Prefab],0)),10,1,1,"Entities"))</f>
        <v>25</v>
      </c>
      <c r="G91" s="74">
        <f ca="1">ROUND((Table245[[#This Row],[XP]]*Table245[[#This Row],[entity_spawned (AVG)]])*(Table245[[#This Row],[activating_chance]]/100),0)</f>
        <v>32</v>
      </c>
      <c r="H91" s="71" t="str">
        <f ca="1">INDIRECT(ADDRESS(11+(MATCH(RIGHT(Table245[[#This Row],[spawner_sku]],LEN(Table245[[#This Row],[spawner_sku]])-FIND("/",Table245[[#This Row],[spawner_sku]])),Table28[Entity Prefab],0)),24,1,1,"Entities"))</f>
        <v>no</v>
      </c>
      <c r="I91" s="71">
        <v>1</v>
      </c>
      <c r="J91" s="71">
        <v>2</v>
      </c>
      <c r="K91" s="71" t="b">
        <v>0</v>
      </c>
      <c r="M91" t="s">
        <v>242</v>
      </c>
      <c r="N91">
        <v>1</v>
      </c>
      <c r="O91">
        <v>170</v>
      </c>
      <c r="P91">
        <v>100</v>
      </c>
      <c r="Q91" s="74">
        <f ca="1">INDIRECT(ADDRESS(11+(MATCH(RIGHT(Table3[[#This Row],[spawner_sku]],LEN(Table3[[#This Row],[spawner_sku]])-FIND("/",Table3[[#This Row],[spawner_sku]])),Table1[Entity Prefab],0)),10,1,1,"Entities"))</f>
        <v>25</v>
      </c>
      <c r="R91" s="74">
        <f ca="1">ROUND((Table3[[#This Row],[XP]]*Table3[[#This Row],[entity_spawned (AVG)]])*(Table3[[#This Row],[activating_chance]]/100),0)</f>
        <v>25</v>
      </c>
      <c r="S91" t="str">
        <f ca="1">INDIRECT(ADDRESS(11+(MATCH(RIGHT(Table3[[#This Row],[spawner_sku]],LEN(Table3[[#This Row],[spawner_sku]])-FIND("/",Table3[[#This Row],[spawner_sku]])),Table28[Entity Prefab],0)),24,1,1,"Entities"))</f>
        <v>no</v>
      </c>
      <c r="T91">
        <v>1</v>
      </c>
      <c r="U91">
        <v>1</v>
      </c>
      <c r="V91" t="b">
        <v>0</v>
      </c>
      <c r="W91" s="71"/>
      <c r="X91" t="s">
        <v>243</v>
      </c>
      <c r="Y91">
        <v>1</v>
      </c>
      <c r="Z91">
        <v>160</v>
      </c>
      <c r="AA91">
        <v>100</v>
      </c>
      <c r="AB91" s="74">
        <f ca="1">INDIRECT(ADDRESS(11+(MATCH(RIGHT(Table39[[#This Row],[spawner_sku]],LEN(Table39[[#This Row],[spawner_sku]])-FIND("/",Table39[[#This Row],[spawner_sku]])),Table1[Entity Prefab],0)),10,1,1,"Entities"))</f>
        <v>25</v>
      </c>
      <c r="AC91" s="74">
        <f ca="1">ROUND((Table39[[#This Row],[XP]]*Table39[[#This Row],[entity_spawned (AVG)]])*(Table39[[#This Row],[activating_chance]]/100),0)</f>
        <v>25</v>
      </c>
      <c r="AD91" t="str">
        <f ca="1">INDIRECT(ADDRESS(11+(MATCH(RIGHT(Table39[[#This Row],[spawner_sku]],LEN(Table39[[#This Row],[spawner_sku]])-FIND("/",Table39[[#This Row],[spawner_sku]])),Table28[Entity Prefab],0)),24,1,1,"Entities"))</f>
        <v>no</v>
      </c>
      <c r="AE91">
        <v>1</v>
      </c>
      <c r="AF91">
        <v>1</v>
      </c>
      <c r="AG91" t="b">
        <v>0</v>
      </c>
      <c r="AI91" t="s">
        <v>215</v>
      </c>
      <c r="AJ91">
        <v>2</v>
      </c>
      <c r="AK91">
        <v>120</v>
      </c>
      <c r="AL91">
        <v>80</v>
      </c>
      <c r="AM91" s="74">
        <f ca="1">INDIRECT(ADDRESS(11+(MATCH(RIGHT(Table2[[#This Row],[spawner_sku]],LEN(Table2[[#This Row],[spawner_sku]])-FIND("/",Table2[[#This Row],[spawner_sku]])),Table1[Entity Prefab],0)),10,1,1,"Entities"))</f>
        <v>25</v>
      </c>
      <c r="AN91" s="74">
        <f ca="1">ROUND((Table2[[#This Row],[XP]]*Table2[[#This Row],[entity_spawned (AVG)]])*(Table2[[#This Row],[activating_chance]]/100),0)</f>
        <v>40</v>
      </c>
      <c r="AO91" s="71" t="str">
        <f ca="1">INDIRECT(ADDRESS(11+(MATCH(RIGHT(Table2[[#This Row],[spawner_sku]],LEN(Table2[[#This Row],[spawner_sku]])-FIND("/",Table2[[#This Row],[spawner_sku]])),Table28[Entity Prefab],0)),24,1,1,"Entities"))</f>
        <v>no</v>
      </c>
      <c r="AP91" s="71">
        <v>1</v>
      </c>
      <c r="AQ91" s="71">
        <v>3</v>
      </c>
      <c r="AR91" s="71" t="b">
        <v>0</v>
      </c>
      <c r="AT91" t="s">
        <v>570</v>
      </c>
      <c r="AU91">
        <v>1</v>
      </c>
      <c r="AV91">
        <v>120</v>
      </c>
      <c r="AW91">
        <v>100</v>
      </c>
      <c r="AX91" s="74">
        <f ca="1">INDIRECT(ADDRESS(11+(MATCH(RIGHT(Table6[[#This Row],[spawner_sku]],LEN(Table6[[#This Row],[spawner_sku]])-FIND("/",Table6[[#This Row],[spawner_sku]])),Table1[Entity Prefab],0)),10,1,1,"Entities"))</f>
        <v>50</v>
      </c>
      <c r="AY91" s="74">
        <f ca="1">ROUND((Table6[[#This Row],[XP]]*Table6[[#This Row],[entity_spawned (AVG)]])*(Table6[[#This Row],[activating_chance]]/100),0)</f>
        <v>50</v>
      </c>
      <c r="AZ91" s="144" t="str">
        <f ca="1">INDIRECT(ADDRESS(11+(MATCH(RIGHT(Table6[[#This Row],[spawner_sku]],LEN(Table6[[#This Row],[spawner_sku]])-FIND("/",Table6[[#This Row],[spawner_sku]])),Table28[Entity Prefab],0)),24,1,1,"Entities"))</f>
        <v>no</v>
      </c>
      <c r="BA91">
        <v>1</v>
      </c>
      <c r="BB91">
        <v>1</v>
      </c>
      <c r="BC91" t="b">
        <v>0</v>
      </c>
      <c r="BE91" t="s">
        <v>321</v>
      </c>
      <c r="BF91">
        <v>2</v>
      </c>
      <c r="BG91">
        <v>300</v>
      </c>
      <c r="BH91">
        <v>100</v>
      </c>
      <c r="BI91" s="74">
        <f ca="1">INDIRECT(ADDRESS(11+(MATCH(RIGHT(Table610[[#This Row],[spawner_sku]],LEN(Table610[[#This Row],[spawner_sku]])-FIND("/",Table610[[#This Row],[spawner_sku]])),Table1[Entity Prefab],0)),10,1,1,"Entities"))</f>
        <v>195</v>
      </c>
      <c r="BJ91" s="74">
        <f ca="1">ROUND((Table610[[#This Row],[XP]]*Table610[[#This Row],[entity_spawned (AVG)]])*(Table610[[#This Row],[activating_chance]]/100),0)</f>
        <v>390</v>
      </c>
      <c r="BK91" s="71" t="str">
        <f ca="1">INDIRECT(ADDRESS(11+(MATCH(RIGHT(Table610[[#This Row],[spawner_sku]],LEN(Table610[[#This Row],[spawner_sku]])-FIND("/",Table610[[#This Row],[spawner_sku]])),Table28[Entity Prefab],0)),24,1,1,"Entities"))</f>
        <v>yes</v>
      </c>
      <c r="BL91">
        <v>2</v>
      </c>
      <c r="BM91">
        <v>2</v>
      </c>
      <c r="BN91" t="b">
        <v>0</v>
      </c>
      <c r="BP91" t="s">
        <v>376</v>
      </c>
      <c r="BQ91">
        <v>3</v>
      </c>
      <c r="BR91">
        <v>220</v>
      </c>
      <c r="BS91">
        <v>100</v>
      </c>
      <c r="BT91" s="74">
        <f ca="1">INDIRECT(ADDRESS(11+(MATCH(RIGHT(Table61011[[#This Row],[spawner_sku]],LEN(Table61011[[#This Row],[spawner_sku]])-FIND("/",Table61011[[#This Row],[spawner_sku]])),Table1[Entity Prefab],0)),10,1,1,"Entities"))</f>
        <v>25</v>
      </c>
      <c r="BU91" s="74">
        <f ca="1">ROUND((Table61011[[#This Row],[XP]]*Table61011[[#This Row],[entity_spawned (AVG)]])*(Table61011[[#This Row],[activating_chance]]/100),0)</f>
        <v>75</v>
      </c>
      <c r="BV91" s="71" t="str">
        <f ca="1">INDIRECT(ADDRESS(11+(MATCH(RIGHT(Table61011[[#This Row],[spawner_sku]],LEN(Table61011[[#This Row],[spawner_sku]])-FIND("/",Table61011[[#This Row],[spawner_sku]])),Table28[Entity Prefab],0)),24,1,1,"Entities"))</f>
        <v>no</v>
      </c>
      <c r="BW91" s="71">
        <v>2</v>
      </c>
      <c r="BX91" s="71">
        <v>4</v>
      </c>
      <c r="BY91" s="71" t="b">
        <v>0</v>
      </c>
      <c r="BZ91" s="71"/>
      <c r="CA91" s="147" t="s">
        <v>8142</v>
      </c>
      <c r="CB91">
        <v>1</v>
      </c>
      <c r="CC91">
        <v>200</v>
      </c>
      <c r="CD91">
        <v>100</v>
      </c>
      <c r="CE91" s="74">
        <f ca="1">INDIRECT(ADDRESS(11+(MATCH(RIGHT(Table35[[#This Row],[spawner_sku]],LEN(Table35[[#This Row],[spawner_sku]])-FIND("/",Table35[[#This Row],[spawner_sku]])),Table1[Entity Prefab],0)),10,1,1,"Entities"))</f>
        <v>75</v>
      </c>
      <c r="CF91" s="74">
        <f ca="1">ROUND((Table35[[#This Row],[XP]]*Table35[[#This Row],[entity_spawned (AVG)]])*(Table35[[#This Row],[activating_chance]]/100),0)</f>
        <v>75</v>
      </c>
      <c r="CG91" s="144" t="str">
        <f ca="1">INDIRECT(ADDRESS(11+(MATCH(RIGHT(Table35[[#This Row],[spawner_sku]],LEN(Table35[[#This Row],[spawner_sku]])-FIND("/",Table35[[#This Row],[spawner_sku]])),Table28[Entity Prefab],0)),24,1,1,"Entities"))</f>
        <v>no</v>
      </c>
      <c r="CH91">
        <v>1</v>
      </c>
      <c r="CI91">
        <v>1</v>
      </c>
      <c r="CJ91" s="71" t="b">
        <v>0</v>
      </c>
      <c r="CL91" t="s">
        <v>215</v>
      </c>
      <c r="CM91">
        <v>9</v>
      </c>
      <c r="CN91">
        <v>190</v>
      </c>
      <c r="CO91">
        <v>100</v>
      </c>
      <c r="CP91" s="74">
        <f ca="1">INDIRECT(ADDRESS(11+(MATCH(RIGHT(Table11[[#This Row],[spawner_sku]],LEN(Table11[[#This Row],[spawner_sku]])-FIND("/",Table11[[#This Row],[spawner_sku]])),Table1[Entity Prefab],0)),10,1,1,"Entities"))</f>
        <v>25</v>
      </c>
      <c r="CQ91">
        <f ca="1">ROUND((Table11[[#This Row],[XP]]*Table11[[#This Row],[entity_spawned (AVG)]])*(Table11[[#This Row],[activating_chance]]/100),0)</f>
        <v>225</v>
      </c>
      <c r="CR91" s="144" t="str">
        <f ca="1">INDIRECT(ADDRESS(11+(MATCH(RIGHT(Table11[[#This Row],[spawner_sku]],LEN(Table11[[#This Row],[spawner_sku]])-FIND("/",Table11[[#This Row],[spawner_sku]])),Table28[Entity Prefab],0)),25,1,1,"Entities"))</f>
        <v>no</v>
      </c>
      <c r="CS91" s="71">
        <v>8</v>
      </c>
      <c r="CT91" s="71">
        <v>10</v>
      </c>
      <c r="CU91" s="71" t="b">
        <v>1</v>
      </c>
      <c r="CW91" t="s">
        <v>8112</v>
      </c>
      <c r="CX91">
        <v>1</v>
      </c>
      <c r="CY91">
        <v>300</v>
      </c>
      <c r="CZ91">
        <v>100</v>
      </c>
      <c r="DA91" s="74">
        <f ca="1">INDIRECT(ADDRESS(11+(MATCH(RIGHT(Table12[[#This Row],[spawner_sku]],LEN(Table12[[#This Row],[spawner_sku]])-FIND("/",Table12[[#This Row],[spawner_sku]])),Table1[Entity Prefab],0)),10,1,1,"Entities"))</f>
        <v>150</v>
      </c>
      <c r="DB91" s="74">
        <f ca="1">ROUND((Table12[[#This Row],[XP]]*Table12[[#This Row],[entity_spawned (AVG)]])*(Table12[[#This Row],[activating_chance]]/100),0)</f>
        <v>150</v>
      </c>
      <c r="DC91" s="144" t="str">
        <f ca="1">INDIRECT(ADDRESS(11+(MATCH(RIGHT(Table12[[#This Row],[spawner_sku]],LEN(Table12[[#This Row],[spawner_sku]])-FIND("/",Table12[[#This Row],[spawner_sku]])),Table28[Entity Prefab],0)),25,1,1,"Entities"))</f>
        <v>yes</v>
      </c>
      <c r="DD91" s="71">
        <v>1</v>
      </c>
      <c r="DE91" s="71">
        <v>1</v>
      </c>
      <c r="DF91" s="71" t="b">
        <v>0</v>
      </c>
      <c r="DH91" t="s">
        <v>229</v>
      </c>
      <c r="DI91">
        <v>1</v>
      </c>
      <c r="DJ91">
        <v>1500</v>
      </c>
      <c r="DK91">
        <v>80</v>
      </c>
      <c r="DL91" s="74">
        <f ca="1">INDIRECT(ADDRESS(11+(MATCH(RIGHT(Table13[[#This Row],[spawner_sku]],LEN(Table13[[#This Row],[spawner_sku]])-FIND("/",Table13[[#This Row],[spawner_sku]])),Table1[Entity Prefab],0)),10,1,1,"Entities"))</f>
        <v>130</v>
      </c>
      <c r="DM91" s="74">
        <f ca="1">ROUND((Table13[[#This Row],[XP]]*Table13[[#This Row],[entity_spawned (AVG)]])*(Table13[[#This Row],[activating_chance]]/100),0)</f>
        <v>104</v>
      </c>
      <c r="DN91" s="144" t="str">
        <f ca="1">INDIRECT(ADDRESS(11+(MATCH(RIGHT(Table13[[#This Row],[spawner_sku]],LEN(Table13[[#This Row],[spawner_sku]])-FIND("/",Table13[[#This Row],[spawner_sku]])),Table28[Entity Prefab],0)),25,1,1,"Entities"))</f>
        <v>yes</v>
      </c>
      <c r="DO91" s="71">
        <v>1</v>
      </c>
      <c r="DP91" s="71">
        <v>1</v>
      </c>
      <c r="DQ91" s="71" t="b">
        <v>0</v>
      </c>
      <c r="DS91" t="s">
        <v>214</v>
      </c>
      <c r="DT91">
        <v>6</v>
      </c>
      <c r="DU91">
        <v>180</v>
      </c>
      <c r="DV91">
        <v>100</v>
      </c>
      <c r="DW91" s="74">
        <f ca="1">INDIRECT(ADDRESS(11+(MATCH(RIGHT(Table14[[#This Row],[spawner_sku]],LEN(Table14[[#This Row],[spawner_sku]])-FIND("/",Table14[[#This Row],[spawner_sku]])),Table1[Entity Prefab],0)),10,1,1,"Entities"))</f>
        <v>25</v>
      </c>
      <c r="DX91" s="74">
        <f ca="1">ROUND((Table14[[#This Row],[XP]]*Table14[[#This Row],[entity_spawned (AVG)]])*(Table14[[#This Row],[activating_chance]]/100),0)</f>
        <v>150</v>
      </c>
      <c r="DY91" s="144" t="str">
        <f ca="1">INDIRECT(ADDRESS(11+(MATCH(RIGHT(Table14[[#This Row],[spawner_sku]],LEN(Table14[[#This Row],[spawner_sku]])-FIND("/",Table14[[#This Row],[spawner_sku]])),Table28[Entity Prefab],0)),25,1,1,"Entities"))</f>
        <v>no</v>
      </c>
      <c r="DZ91" s="71">
        <v>6</v>
      </c>
      <c r="EA91" s="71">
        <v>6</v>
      </c>
      <c r="EB91" s="71" t="b">
        <v>1</v>
      </c>
      <c r="EC91" s="71"/>
      <c r="ED91" s="147" t="s">
        <v>8142</v>
      </c>
      <c r="EE91" s="71">
        <v>1</v>
      </c>
      <c r="EF91" s="71">
        <v>200</v>
      </c>
      <c r="EG91" s="71">
        <v>80</v>
      </c>
      <c r="EH91" s="71">
        <f ca="1">INDIRECT(ADDRESS(11+(MATCH(RIGHT(Table36[[#This Row],[spawner_sku]],LEN(Table36[[#This Row],[spawner_sku]])-FIND("/",Table36[[#This Row],[spawner_sku]])),Table1[Entity Prefab],0)),10,1,1,"Entities"))</f>
        <v>75</v>
      </c>
      <c r="EI91" s="71">
        <f ca="1">ROUND((Table36[[#This Row],[XP]]*Table36[[#This Row],[entity_spawned (AVG)]])*(Table36[[#This Row],[activating_chance]]/100),0)</f>
        <v>60</v>
      </c>
      <c r="EJ91" s="71" t="str">
        <f ca="1">INDIRECT(ADDRESS(11+(MATCH(RIGHT(Table36[[#This Row],[spawner_sku]],LEN(Table36[[#This Row],[spawner_sku]])-FIND("/",Table36[[#This Row],[spawner_sku]])),Table28[Entity Prefab],0)),25,1,1,"Entities"))</f>
        <v>no</v>
      </c>
      <c r="EK91" s="71">
        <v>1</v>
      </c>
      <c r="EL91" s="71">
        <v>1</v>
      </c>
      <c r="EM91" s="71" t="b">
        <v>0</v>
      </c>
      <c r="EO91" t="s">
        <v>376</v>
      </c>
      <c r="EP91">
        <v>1.5</v>
      </c>
      <c r="EQ91">
        <v>100</v>
      </c>
      <c r="ER91">
        <v>100</v>
      </c>
      <c r="ES91" s="74">
        <f ca="1">INDIRECT(ADDRESS(11+(MATCH(RIGHT(Table18[[#This Row],[spawner_sku]],LEN(Table18[[#This Row],[spawner_sku]])-FIND("/",Table18[[#This Row],[spawner_sku]])),Table1[Entity Prefab],0)),10,1,1,"Entities"))</f>
        <v>25</v>
      </c>
      <c r="ET91" s="74">
        <f ca="1">ROUND((Table18[[#This Row],[XP]]*Table18[[#This Row],[entity_spawned (AVG)]])*(Table18[[#This Row],[activating_chance]]/100),0)</f>
        <v>38</v>
      </c>
      <c r="EU91" s="74" t="str">
        <f ca="1">INDIRECT(ADDRESS(11+(MATCH(RIGHT(Table18[[#This Row],[spawner_sku]],LEN(Table18[[#This Row],[spawner_sku]])-FIND("/",Table18[[#This Row],[spawner_sku]])),Table28[Entity Prefab],0)),26,1,1,"Entities"))</f>
        <v>no</v>
      </c>
      <c r="EV91">
        <v>1</v>
      </c>
      <c r="EW91">
        <v>2</v>
      </c>
      <c r="EX91" t="b">
        <v>0</v>
      </c>
      <c r="EZ91" t="s">
        <v>218</v>
      </c>
      <c r="FA91">
        <v>1</v>
      </c>
      <c r="FB91">
        <v>5000</v>
      </c>
      <c r="FC91">
        <v>75</v>
      </c>
      <c r="FD91" s="74">
        <f ca="1">INDIRECT(ADDRESS(11+(MATCH(RIGHT(Table1820[[#This Row],[spawner_sku]],LEN(Table1820[[#This Row],[spawner_sku]])-FIND("/",Table1820[[#This Row],[spawner_sku]])),Table1[Entity Prefab],0)),10,1,1,"Entities"))</f>
        <v>75</v>
      </c>
      <c r="FE91" s="74">
        <f ca="1">ROUND((Table1820[[#This Row],[XP]]*Table1820[[#This Row],[entity_spawned (AVG)]])*(Table1820[[#This Row],[activating_chance]]/100),0)</f>
        <v>56</v>
      </c>
      <c r="FF91" s="74" t="str">
        <f ca="1">INDIRECT(ADDRESS(11+(MATCH(RIGHT(Table1820[[#This Row],[spawner_sku]],LEN(Table1820[[#This Row],[spawner_sku]])-FIND("/",Table1820[[#This Row],[spawner_sku]])),Table28[Entity Prefab],0)),26,1,1,"Entities"))</f>
        <v>no</v>
      </c>
      <c r="FG91">
        <v>1</v>
      </c>
      <c r="FH91">
        <v>1</v>
      </c>
      <c r="FI91" t="b">
        <v>0</v>
      </c>
      <c r="FK91" t="s">
        <v>2695</v>
      </c>
      <c r="FL91">
        <v>3</v>
      </c>
      <c r="FM91">
        <v>100</v>
      </c>
      <c r="FN91">
        <v>100</v>
      </c>
      <c r="FO91">
        <f ca="1">INDIRECT(ADDRESS(11+(MATCH(RIGHT(Table182023[[#This Row],[spawner_sku]],LEN(Table182023[[#This Row],[spawner_sku]])-FIND("/",Table182023[[#This Row],[spawner_sku]])),Table1[Entity Prefab],0)),10,1,1,"Entities"))</f>
        <v>40</v>
      </c>
      <c r="FP91">
        <f ca="1">ROUND((Table182023[[#This Row],[XP]]*Table182023[[#This Row],[entity_spawned (AVG)]])*(Table182023[[#This Row],[activating_chance]]/100),0)</f>
        <v>120</v>
      </c>
      <c r="FQ91" t="str">
        <f ca="1">INDIRECT(ADDRESS(11+(MATCH(RIGHT(Table182023[[#This Row],[spawner_sku]],LEN(Table182023[[#This Row],[spawner_sku]])-FIND("/",Table182023[[#This Row],[spawner_sku]])),Table28[Entity Prefab],0)),26,1,1,"Entities"))</f>
        <v>no</v>
      </c>
      <c r="FR91">
        <v>2</v>
      </c>
      <c r="FS91">
        <v>4</v>
      </c>
      <c r="FT91" t="b">
        <v>0</v>
      </c>
      <c r="FV91" t="s">
        <v>2695</v>
      </c>
      <c r="FW91">
        <v>5.5</v>
      </c>
      <c r="FX91">
        <v>100</v>
      </c>
      <c r="FY91">
        <v>100</v>
      </c>
      <c r="FZ91" s="74">
        <f ca="1">INDIRECT(ADDRESS(11+(MATCH(RIGHT(Table18202324[[#This Row],[spawner_sku]],LEN(Table18202324[[#This Row],[spawner_sku]])-FIND("/",Table18202324[[#This Row],[spawner_sku]])),Table1[Entity Prefab],0)),10,1,1,"Entities"))</f>
        <v>40</v>
      </c>
      <c r="GA91" s="74">
        <f ca="1">ROUND((Table18202324[[#This Row],[XP]]*Table18202324[[#This Row],[entity_spawned (AVG)]])*(Table18202324[[#This Row],[activating_chance]]/100),0)</f>
        <v>220</v>
      </c>
      <c r="GB91" s="74" t="str">
        <f ca="1">INDIRECT(ADDRESS(11+(MATCH(RIGHT(Table18202324[[#This Row],[spawner_sku]],LEN(Table18202324[[#This Row],[spawner_sku]])-FIND("/",Table18202324[[#This Row],[spawner_sku]])),Table28[Entity Prefab],0)),26,1,1,"Entities"))</f>
        <v>no</v>
      </c>
      <c r="GC91">
        <v>5</v>
      </c>
      <c r="GD91">
        <v>6</v>
      </c>
      <c r="GE91" t="b">
        <v>1</v>
      </c>
      <c r="GG91" t="s">
        <v>3816</v>
      </c>
      <c r="GH91">
        <v>1</v>
      </c>
      <c r="GI91">
        <v>240</v>
      </c>
      <c r="GJ91">
        <v>100</v>
      </c>
      <c r="GK91">
        <f ca="1">INDIRECT(ADDRESS(11+(MATCH(RIGHT(Table37[[#This Row],[spawner_sku]],LEN(Table37[[#This Row],[spawner_sku]])-FIND("/",Table37[[#This Row],[spawner_sku]])),Table1[Entity Prefab],0)),10,1,1,"Entities"))</f>
        <v>50</v>
      </c>
      <c r="GL91">
        <f ca="1">ROUND((Table37[[#This Row],[XP]]*Table37[[#This Row],[entity_spawned (AVG)]])*(Table37[[#This Row],[activating_chance]]/100),0)</f>
        <v>50</v>
      </c>
      <c r="GM91" t="str">
        <f ca="1">INDIRECT(ADDRESS(11+(MATCH(RIGHT(Table37[[#This Row],[spawner_sku]],LEN(Table37[[#This Row],[spawner_sku]])-FIND("/",Table37[[#This Row],[spawner_sku]])),Table28[Entity Prefab],0)),26,1,1,"Entities"))</f>
        <v>no</v>
      </c>
      <c r="GN91">
        <v>1</v>
      </c>
      <c r="GO91">
        <v>1</v>
      </c>
      <c r="GP91" t="b">
        <v>0</v>
      </c>
    </row>
    <row r="92" spans="2:198" x14ac:dyDescent="0.25">
      <c r="B92" s="72" t="s">
        <v>215</v>
      </c>
      <c r="C92">
        <v>2</v>
      </c>
      <c r="D92">
        <v>110</v>
      </c>
      <c r="E92">
        <v>100</v>
      </c>
      <c r="F92" s="74">
        <f ca="1">INDIRECT(ADDRESS(11+(MATCH(RIGHT(Table245[[#This Row],[spawner_sku]],LEN(Table245[[#This Row],[spawner_sku]])-FIND("/",Table245[[#This Row],[spawner_sku]])),Table1[Entity Prefab],0)),10,1,1,"Entities"))</f>
        <v>25</v>
      </c>
      <c r="G92" s="74">
        <f ca="1">ROUND((Table245[[#This Row],[XP]]*Table245[[#This Row],[entity_spawned (AVG)]])*(Table245[[#This Row],[activating_chance]]/100),0)</f>
        <v>50</v>
      </c>
      <c r="H92" s="71" t="str">
        <f ca="1">INDIRECT(ADDRESS(11+(MATCH(RIGHT(Table245[[#This Row],[spawner_sku]],LEN(Table245[[#This Row],[spawner_sku]])-FIND("/",Table245[[#This Row],[spawner_sku]])),Table28[Entity Prefab],0)),24,1,1,"Entities"))</f>
        <v>no</v>
      </c>
      <c r="I92" s="71">
        <v>1</v>
      </c>
      <c r="J92" s="71">
        <v>3</v>
      </c>
      <c r="K92" s="71" t="b">
        <v>0</v>
      </c>
      <c r="M92" t="s">
        <v>242</v>
      </c>
      <c r="N92">
        <v>1</v>
      </c>
      <c r="O92">
        <v>180</v>
      </c>
      <c r="P92">
        <v>100</v>
      </c>
      <c r="Q92" s="74">
        <f ca="1">INDIRECT(ADDRESS(11+(MATCH(RIGHT(Table3[[#This Row],[spawner_sku]],LEN(Table3[[#This Row],[spawner_sku]])-FIND("/",Table3[[#This Row],[spawner_sku]])),Table1[Entity Prefab],0)),10,1,1,"Entities"))</f>
        <v>25</v>
      </c>
      <c r="R92" s="74">
        <f ca="1">ROUND((Table3[[#This Row],[XP]]*Table3[[#This Row],[entity_spawned (AVG)]])*(Table3[[#This Row],[activating_chance]]/100),0)</f>
        <v>25</v>
      </c>
      <c r="S92" t="str">
        <f ca="1">INDIRECT(ADDRESS(11+(MATCH(RIGHT(Table3[[#This Row],[spawner_sku]],LEN(Table3[[#This Row],[spawner_sku]])-FIND("/",Table3[[#This Row],[spawner_sku]])),Table28[Entity Prefab],0)),24,1,1,"Entities"))</f>
        <v>no</v>
      </c>
      <c r="T92">
        <v>1</v>
      </c>
      <c r="U92">
        <v>1</v>
      </c>
      <c r="V92" t="b">
        <v>0</v>
      </c>
      <c r="W92" s="71"/>
      <c r="X92" t="s">
        <v>243</v>
      </c>
      <c r="Y92">
        <v>1</v>
      </c>
      <c r="Z92">
        <v>170</v>
      </c>
      <c r="AA92">
        <v>100</v>
      </c>
      <c r="AB92" s="74">
        <f ca="1">INDIRECT(ADDRESS(11+(MATCH(RIGHT(Table39[[#This Row],[spawner_sku]],LEN(Table39[[#This Row],[spawner_sku]])-FIND("/",Table39[[#This Row],[spawner_sku]])),Table1[Entity Prefab],0)),10,1,1,"Entities"))</f>
        <v>25</v>
      </c>
      <c r="AC92" s="74">
        <f ca="1">ROUND((Table39[[#This Row],[XP]]*Table39[[#This Row],[entity_spawned (AVG)]])*(Table39[[#This Row],[activating_chance]]/100),0)</f>
        <v>25</v>
      </c>
      <c r="AD92" t="str">
        <f ca="1">INDIRECT(ADDRESS(11+(MATCH(RIGHT(Table39[[#This Row],[spawner_sku]],LEN(Table39[[#This Row],[spawner_sku]])-FIND("/",Table39[[#This Row],[spawner_sku]])),Table28[Entity Prefab],0)),24,1,1,"Entities"))</f>
        <v>no</v>
      </c>
      <c r="AE92">
        <v>1</v>
      </c>
      <c r="AF92">
        <v>1</v>
      </c>
      <c r="AG92" t="b">
        <v>0</v>
      </c>
      <c r="AI92" t="s">
        <v>215</v>
      </c>
      <c r="AJ92">
        <v>2.5</v>
      </c>
      <c r="AK92">
        <v>120</v>
      </c>
      <c r="AL92">
        <v>100</v>
      </c>
      <c r="AM92" s="74">
        <f ca="1">INDIRECT(ADDRESS(11+(MATCH(RIGHT(Table2[[#This Row],[spawner_sku]],LEN(Table2[[#This Row],[spawner_sku]])-FIND("/",Table2[[#This Row],[spawner_sku]])),Table1[Entity Prefab],0)),10,1,1,"Entities"))</f>
        <v>25</v>
      </c>
      <c r="AN92" s="74">
        <f ca="1">ROUND((Table2[[#This Row],[XP]]*Table2[[#This Row],[entity_spawned (AVG)]])*(Table2[[#This Row],[activating_chance]]/100),0)</f>
        <v>63</v>
      </c>
      <c r="AO92" s="71" t="str">
        <f ca="1">INDIRECT(ADDRESS(11+(MATCH(RIGHT(Table2[[#This Row],[spawner_sku]],LEN(Table2[[#This Row],[spawner_sku]])-FIND("/",Table2[[#This Row],[spawner_sku]])),Table28[Entity Prefab],0)),24,1,1,"Entities"))</f>
        <v>no</v>
      </c>
      <c r="AP92" s="71">
        <v>2</v>
      </c>
      <c r="AQ92" s="71">
        <v>3</v>
      </c>
      <c r="AR92" s="71" t="b">
        <v>0</v>
      </c>
      <c r="AT92" t="s">
        <v>570</v>
      </c>
      <c r="AU92">
        <v>1</v>
      </c>
      <c r="AV92">
        <v>120</v>
      </c>
      <c r="AW92">
        <v>80</v>
      </c>
      <c r="AX92" s="74">
        <f ca="1">INDIRECT(ADDRESS(11+(MATCH(RIGHT(Table6[[#This Row],[spawner_sku]],LEN(Table6[[#This Row],[spawner_sku]])-FIND("/",Table6[[#This Row],[spawner_sku]])),Table1[Entity Prefab],0)),10,1,1,"Entities"))</f>
        <v>50</v>
      </c>
      <c r="AY92" s="74">
        <f ca="1">ROUND((Table6[[#This Row],[XP]]*Table6[[#This Row],[entity_spawned (AVG)]])*(Table6[[#This Row],[activating_chance]]/100),0)</f>
        <v>40</v>
      </c>
      <c r="AZ92" s="144" t="str">
        <f ca="1">INDIRECT(ADDRESS(11+(MATCH(RIGHT(Table6[[#This Row],[spawner_sku]],LEN(Table6[[#This Row],[spawner_sku]])-FIND("/",Table6[[#This Row],[spawner_sku]])),Table28[Entity Prefab],0)),24,1,1,"Entities"))</f>
        <v>no</v>
      </c>
      <c r="BA92">
        <v>1</v>
      </c>
      <c r="BB92">
        <v>1</v>
      </c>
      <c r="BC92" t="b">
        <v>0</v>
      </c>
      <c r="BE92" t="s">
        <v>321</v>
      </c>
      <c r="BF92">
        <v>2</v>
      </c>
      <c r="BG92">
        <v>300</v>
      </c>
      <c r="BH92">
        <v>100</v>
      </c>
      <c r="BI92" s="74">
        <f ca="1">INDIRECT(ADDRESS(11+(MATCH(RIGHT(Table610[[#This Row],[spawner_sku]],LEN(Table610[[#This Row],[spawner_sku]])-FIND("/",Table610[[#This Row],[spawner_sku]])),Table1[Entity Prefab],0)),10,1,1,"Entities"))</f>
        <v>195</v>
      </c>
      <c r="BJ92" s="74">
        <f ca="1">ROUND((Table610[[#This Row],[XP]]*Table610[[#This Row],[entity_spawned (AVG)]])*(Table610[[#This Row],[activating_chance]]/100),0)</f>
        <v>390</v>
      </c>
      <c r="BK92" s="71" t="str">
        <f ca="1">INDIRECT(ADDRESS(11+(MATCH(RIGHT(Table610[[#This Row],[spawner_sku]],LEN(Table610[[#This Row],[spawner_sku]])-FIND("/",Table610[[#This Row],[spawner_sku]])),Table28[Entity Prefab],0)),24,1,1,"Entities"))</f>
        <v>yes</v>
      </c>
      <c r="BL92">
        <v>1</v>
      </c>
      <c r="BM92">
        <v>3</v>
      </c>
      <c r="BN92" t="b">
        <v>0</v>
      </c>
      <c r="BP92" t="s">
        <v>376</v>
      </c>
      <c r="BQ92">
        <v>3.5</v>
      </c>
      <c r="BR92">
        <v>220</v>
      </c>
      <c r="BS92">
        <v>100</v>
      </c>
      <c r="BT92" s="74">
        <f ca="1">INDIRECT(ADDRESS(11+(MATCH(RIGHT(Table61011[[#This Row],[spawner_sku]],LEN(Table61011[[#This Row],[spawner_sku]])-FIND("/",Table61011[[#This Row],[spawner_sku]])),Table1[Entity Prefab],0)),10,1,1,"Entities"))</f>
        <v>25</v>
      </c>
      <c r="BU92" s="74">
        <f ca="1">ROUND((Table61011[[#This Row],[XP]]*Table61011[[#This Row],[entity_spawned (AVG)]])*(Table61011[[#This Row],[activating_chance]]/100),0)</f>
        <v>88</v>
      </c>
      <c r="BV92" s="71" t="str">
        <f ca="1">INDIRECT(ADDRESS(11+(MATCH(RIGHT(Table61011[[#This Row],[spawner_sku]],LEN(Table61011[[#This Row],[spawner_sku]])-FIND("/",Table61011[[#This Row],[spawner_sku]])),Table28[Entity Prefab],0)),24,1,1,"Entities"))</f>
        <v>no</v>
      </c>
      <c r="BW92" s="71">
        <v>3</v>
      </c>
      <c r="BX92" s="71">
        <v>4</v>
      </c>
      <c r="BY92" s="71" t="b">
        <v>0</v>
      </c>
      <c r="BZ92" s="71"/>
      <c r="CA92" s="147" t="s">
        <v>8142</v>
      </c>
      <c r="CB92">
        <v>1</v>
      </c>
      <c r="CC92">
        <v>200</v>
      </c>
      <c r="CD92">
        <v>80</v>
      </c>
      <c r="CE92" s="74">
        <f ca="1">INDIRECT(ADDRESS(11+(MATCH(RIGHT(Table35[[#This Row],[spawner_sku]],LEN(Table35[[#This Row],[spawner_sku]])-FIND("/",Table35[[#This Row],[spawner_sku]])),Table1[Entity Prefab],0)),10,1,1,"Entities"))</f>
        <v>75</v>
      </c>
      <c r="CF92" s="74">
        <f ca="1">ROUND((Table35[[#This Row],[XP]]*Table35[[#This Row],[entity_spawned (AVG)]])*(Table35[[#This Row],[activating_chance]]/100),0)</f>
        <v>60</v>
      </c>
      <c r="CG92" s="144" t="str">
        <f ca="1">INDIRECT(ADDRESS(11+(MATCH(RIGHT(Table35[[#This Row],[spawner_sku]],LEN(Table35[[#This Row],[spawner_sku]])-FIND("/",Table35[[#This Row],[spawner_sku]])),Table28[Entity Prefab],0)),24,1,1,"Entities"))</f>
        <v>no</v>
      </c>
      <c r="CH92">
        <v>1</v>
      </c>
      <c r="CI92">
        <v>1</v>
      </c>
      <c r="CJ92" s="71" t="b">
        <v>0</v>
      </c>
      <c r="CL92" t="s">
        <v>215</v>
      </c>
      <c r="CM92">
        <v>3.5</v>
      </c>
      <c r="CN92">
        <v>180</v>
      </c>
      <c r="CO92">
        <v>100</v>
      </c>
      <c r="CP92" s="74">
        <f ca="1">INDIRECT(ADDRESS(11+(MATCH(RIGHT(Table11[[#This Row],[spawner_sku]],LEN(Table11[[#This Row],[spawner_sku]])-FIND("/",Table11[[#This Row],[spawner_sku]])),Table1[Entity Prefab],0)),10,1,1,"Entities"))</f>
        <v>25</v>
      </c>
      <c r="CQ92">
        <f ca="1">ROUND((Table11[[#This Row],[XP]]*Table11[[#This Row],[entity_spawned (AVG)]])*(Table11[[#This Row],[activating_chance]]/100),0)</f>
        <v>88</v>
      </c>
      <c r="CR92" s="144" t="str">
        <f ca="1">INDIRECT(ADDRESS(11+(MATCH(RIGHT(Table11[[#This Row],[spawner_sku]],LEN(Table11[[#This Row],[spawner_sku]])-FIND("/",Table11[[#This Row],[spawner_sku]])),Table28[Entity Prefab],0)),25,1,1,"Entities"))</f>
        <v>no</v>
      </c>
      <c r="CS92" s="71">
        <v>3</v>
      </c>
      <c r="CT92" s="71">
        <v>4</v>
      </c>
      <c r="CU92" s="71" t="b">
        <v>0</v>
      </c>
      <c r="CW92" t="s">
        <v>233</v>
      </c>
      <c r="CX92">
        <v>1</v>
      </c>
      <c r="CY92">
        <v>500</v>
      </c>
      <c r="CZ92">
        <v>75</v>
      </c>
      <c r="DA92" s="74">
        <f ca="1">INDIRECT(ADDRESS(11+(MATCH(RIGHT(Table12[[#This Row],[spawner_sku]],LEN(Table12[[#This Row],[spawner_sku]])-FIND("/",Table12[[#This Row],[spawner_sku]])),Table1[Entity Prefab],0)),10,1,1,"Entities"))</f>
        <v>25</v>
      </c>
      <c r="DB92" s="74">
        <f ca="1">ROUND((Table12[[#This Row],[XP]]*Table12[[#This Row],[entity_spawned (AVG)]])*(Table12[[#This Row],[activating_chance]]/100),0)</f>
        <v>19</v>
      </c>
      <c r="DC92" s="144" t="str">
        <f ca="1">INDIRECT(ADDRESS(11+(MATCH(RIGHT(Table12[[#This Row],[spawner_sku]],LEN(Table12[[#This Row],[spawner_sku]])-FIND("/",Table12[[#This Row],[spawner_sku]])),Table28[Entity Prefab],0)),25,1,1,"Entities"))</f>
        <v>no</v>
      </c>
      <c r="DD92" s="71">
        <v>1</v>
      </c>
      <c r="DE92" s="71">
        <v>1</v>
      </c>
      <c r="DF92" s="71" t="b">
        <v>0</v>
      </c>
      <c r="DH92" t="s">
        <v>229</v>
      </c>
      <c r="DI92">
        <v>1</v>
      </c>
      <c r="DJ92">
        <v>1500</v>
      </c>
      <c r="DK92">
        <v>30</v>
      </c>
      <c r="DL92" s="74">
        <f ca="1">INDIRECT(ADDRESS(11+(MATCH(RIGHT(Table13[[#This Row],[spawner_sku]],LEN(Table13[[#This Row],[spawner_sku]])-FIND("/",Table13[[#This Row],[spawner_sku]])),Table1[Entity Prefab],0)),10,1,1,"Entities"))</f>
        <v>130</v>
      </c>
      <c r="DM92" s="74">
        <f ca="1">ROUND((Table13[[#This Row],[XP]]*Table13[[#This Row],[entity_spawned (AVG)]])*(Table13[[#This Row],[activating_chance]]/100),0)</f>
        <v>39</v>
      </c>
      <c r="DN92" s="144" t="str">
        <f ca="1">INDIRECT(ADDRESS(11+(MATCH(RIGHT(Table13[[#This Row],[spawner_sku]],LEN(Table13[[#This Row],[spawner_sku]])-FIND("/",Table13[[#This Row],[spawner_sku]])),Table28[Entity Prefab],0)),25,1,1,"Entities"))</f>
        <v>yes</v>
      </c>
      <c r="DO92" s="71">
        <v>1</v>
      </c>
      <c r="DP92" s="71">
        <v>1</v>
      </c>
      <c r="DQ92" s="71" t="b">
        <v>0</v>
      </c>
      <c r="DS92" t="s">
        <v>214</v>
      </c>
      <c r="DT92">
        <v>3.5</v>
      </c>
      <c r="DU92">
        <v>220</v>
      </c>
      <c r="DV92">
        <v>100</v>
      </c>
      <c r="DW92" s="74">
        <f ca="1">INDIRECT(ADDRESS(11+(MATCH(RIGHT(Table14[[#This Row],[spawner_sku]],LEN(Table14[[#This Row],[spawner_sku]])-FIND("/",Table14[[#This Row],[spawner_sku]])),Table1[Entity Prefab],0)),10,1,1,"Entities"))</f>
        <v>25</v>
      </c>
      <c r="DX92" s="74">
        <f ca="1">ROUND((Table14[[#This Row],[XP]]*Table14[[#This Row],[entity_spawned (AVG)]])*(Table14[[#This Row],[activating_chance]]/100),0)</f>
        <v>88</v>
      </c>
      <c r="DY92" s="144" t="str">
        <f ca="1">INDIRECT(ADDRESS(11+(MATCH(RIGHT(Table14[[#This Row],[spawner_sku]],LEN(Table14[[#This Row],[spawner_sku]])-FIND("/",Table14[[#This Row],[spawner_sku]])),Table28[Entity Prefab],0)),25,1,1,"Entities"))</f>
        <v>no</v>
      </c>
      <c r="DZ92" s="71">
        <v>3</v>
      </c>
      <c r="EA92" s="71">
        <v>4</v>
      </c>
      <c r="EB92" s="71" t="b">
        <v>0</v>
      </c>
      <c r="EC92" s="71"/>
      <c r="ED92" s="147" t="s">
        <v>8142</v>
      </c>
      <c r="EE92" s="71">
        <v>1</v>
      </c>
      <c r="EF92" s="71">
        <v>200</v>
      </c>
      <c r="EG92" s="71">
        <v>80</v>
      </c>
      <c r="EH92" s="71">
        <f ca="1">INDIRECT(ADDRESS(11+(MATCH(RIGHT(Table36[[#This Row],[spawner_sku]],LEN(Table36[[#This Row],[spawner_sku]])-FIND("/",Table36[[#This Row],[spawner_sku]])),Table1[Entity Prefab],0)),10,1,1,"Entities"))</f>
        <v>75</v>
      </c>
      <c r="EI92" s="71">
        <f ca="1">ROUND((Table36[[#This Row],[XP]]*Table36[[#This Row],[entity_spawned (AVG)]])*(Table36[[#This Row],[activating_chance]]/100),0)</f>
        <v>60</v>
      </c>
      <c r="EJ92" s="71" t="str">
        <f ca="1">INDIRECT(ADDRESS(11+(MATCH(RIGHT(Table36[[#This Row],[spawner_sku]],LEN(Table36[[#This Row],[spawner_sku]])-FIND("/",Table36[[#This Row],[spawner_sku]])),Table28[Entity Prefab],0)),25,1,1,"Entities"))</f>
        <v>no</v>
      </c>
      <c r="EK92" s="71">
        <v>1</v>
      </c>
      <c r="EL92" s="71">
        <v>1</v>
      </c>
      <c r="EM92" s="71" t="b">
        <v>0</v>
      </c>
      <c r="EO92" t="s">
        <v>376</v>
      </c>
      <c r="EP92">
        <v>5.5</v>
      </c>
      <c r="EQ92">
        <v>100</v>
      </c>
      <c r="ER92">
        <v>100</v>
      </c>
      <c r="ES92" s="74">
        <f ca="1">INDIRECT(ADDRESS(11+(MATCH(RIGHT(Table18[[#This Row],[spawner_sku]],LEN(Table18[[#This Row],[spawner_sku]])-FIND("/",Table18[[#This Row],[spawner_sku]])),Table1[Entity Prefab],0)),10,1,1,"Entities"))</f>
        <v>25</v>
      </c>
      <c r="ET92" s="74">
        <f ca="1">ROUND((Table18[[#This Row],[XP]]*Table18[[#This Row],[entity_spawned (AVG)]])*(Table18[[#This Row],[activating_chance]]/100),0)</f>
        <v>138</v>
      </c>
      <c r="EU92" s="74" t="str">
        <f ca="1">INDIRECT(ADDRESS(11+(MATCH(RIGHT(Table18[[#This Row],[spawner_sku]],LEN(Table18[[#This Row],[spawner_sku]])-FIND("/",Table18[[#This Row],[spawner_sku]])),Table28[Entity Prefab],0)),26,1,1,"Entities"))</f>
        <v>no</v>
      </c>
      <c r="EV92">
        <v>5</v>
      </c>
      <c r="EW92">
        <v>6</v>
      </c>
      <c r="EX92" t="b">
        <v>1</v>
      </c>
      <c r="EZ92" t="s">
        <v>218</v>
      </c>
      <c r="FA92">
        <v>1</v>
      </c>
      <c r="FB92">
        <v>5000</v>
      </c>
      <c r="FC92">
        <v>80</v>
      </c>
      <c r="FD92" s="74">
        <f ca="1">INDIRECT(ADDRESS(11+(MATCH(RIGHT(Table1820[[#This Row],[spawner_sku]],LEN(Table1820[[#This Row],[spawner_sku]])-FIND("/",Table1820[[#This Row],[spawner_sku]])),Table1[Entity Prefab],0)),10,1,1,"Entities"))</f>
        <v>75</v>
      </c>
      <c r="FE92" s="74">
        <f ca="1">ROUND((Table1820[[#This Row],[XP]]*Table1820[[#This Row],[entity_spawned (AVG)]])*(Table1820[[#This Row],[activating_chance]]/100),0)</f>
        <v>60</v>
      </c>
      <c r="FF92" s="74" t="str">
        <f ca="1">INDIRECT(ADDRESS(11+(MATCH(RIGHT(Table1820[[#This Row],[spawner_sku]],LEN(Table1820[[#This Row],[spawner_sku]])-FIND("/",Table1820[[#This Row],[spawner_sku]])),Table28[Entity Prefab],0)),26,1,1,"Entities"))</f>
        <v>no</v>
      </c>
      <c r="FG92">
        <v>1</v>
      </c>
      <c r="FH92">
        <v>1</v>
      </c>
      <c r="FI92" t="b">
        <v>0</v>
      </c>
      <c r="FK92" t="s">
        <v>2695</v>
      </c>
      <c r="FL92">
        <v>3.5</v>
      </c>
      <c r="FM92">
        <v>85</v>
      </c>
      <c r="FN92">
        <v>100</v>
      </c>
      <c r="FO92">
        <f ca="1">INDIRECT(ADDRESS(11+(MATCH(RIGHT(Table182023[[#This Row],[spawner_sku]],LEN(Table182023[[#This Row],[spawner_sku]])-FIND("/",Table182023[[#This Row],[spawner_sku]])),Table1[Entity Prefab],0)),10,1,1,"Entities"))</f>
        <v>40</v>
      </c>
      <c r="FP92">
        <f ca="1">ROUND((Table182023[[#This Row],[XP]]*Table182023[[#This Row],[entity_spawned (AVG)]])*(Table182023[[#This Row],[activating_chance]]/100),0)</f>
        <v>140</v>
      </c>
      <c r="FQ92" t="str">
        <f ca="1">INDIRECT(ADDRESS(11+(MATCH(RIGHT(Table182023[[#This Row],[spawner_sku]],LEN(Table182023[[#This Row],[spawner_sku]])-FIND("/",Table182023[[#This Row],[spawner_sku]])),Table28[Entity Prefab],0)),26,1,1,"Entities"))</f>
        <v>no</v>
      </c>
      <c r="FR92">
        <v>3</v>
      </c>
      <c r="FS92">
        <v>4</v>
      </c>
      <c r="FT92" t="b">
        <v>0</v>
      </c>
      <c r="FV92" t="s">
        <v>2695</v>
      </c>
      <c r="FW92">
        <v>3.5</v>
      </c>
      <c r="FX92">
        <v>90</v>
      </c>
      <c r="FY92">
        <v>100</v>
      </c>
      <c r="FZ92" s="74">
        <f ca="1">INDIRECT(ADDRESS(11+(MATCH(RIGHT(Table18202324[[#This Row],[spawner_sku]],LEN(Table18202324[[#This Row],[spawner_sku]])-FIND("/",Table18202324[[#This Row],[spawner_sku]])),Table1[Entity Prefab],0)),10,1,1,"Entities"))</f>
        <v>40</v>
      </c>
      <c r="GA92" s="74">
        <f ca="1">ROUND((Table18202324[[#This Row],[XP]]*Table18202324[[#This Row],[entity_spawned (AVG)]])*(Table18202324[[#This Row],[activating_chance]]/100),0)</f>
        <v>140</v>
      </c>
      <c r="GB92" s="74" t="str">
        <f ca="1">INDIRECT(ADDRESS(11+(MATCH(RIGHT(Table18202324[[#This Row],[spawner_sku]],LEN(Table18202324[[#This Row],[spawner_sku]])-FIND("/",Table18202324[[#This Row],[spawner_sku]])),Table28[Entity Prefab],0)),26,1,1,"Entities"))</f>
        <v>no</v>
      </c>
      <c r="GC92">
        <v>3</v>
      </c>
      <c r="GD92">
        <v>4</v>
      </c>
      <c r="GE92" t="b">
        <v>0</v>
      </c>
      <c r="GG92" t="s">
        <v>3816</v>
      </c>
      <c r="GH92">
        <v>1</v>
      </c>
      <c r="GI92">
        <v>240</v>
      </c>
      <c r="GJ92">
        <v>100</v>
      </c>
      <c r="GK92">
        <f ca="1">INDIRECT(ADDRESS(11+(MATCH(RIGHT(Table37[[#This Row],[spawner_sku]],LEN(Table37[[#This Row],[spawner_sku]])-FIND("/",Table37[[#This Row],[spawner_sku]])),Table1[Entity Prefab],0)),10,1,1,"Entities"))</f>
        <v>50</v>
      </c>
      <c r="GL92">
        <f ca="1">ROUND((Table37[[#This Row],[XP]]*Table37[[#This Row],[entity_spawned (AVG)]])*(Table37[[#This Row],[activating_chance]]/100),0)</f>
        <v>50</v>
      </c>
      <c r="GM92" t="str">
        <f ca="1">INDIRECT(ADDRESS(11+(MATCH(RIGHT(Table37[[#This Row],[spawner_sku]],LEN(Table37[[#This Row],[spawner_sku]])-FIND("/",Table37[[#This Row],[spawner_sku]])),Table28[Entity Prefab],0)),26,1,1,"Entities"))</f>
        <v>no</v>
      </c>
      <c r="GN92">
        <v>1</v>
      </c>
      <c r="GO92">
        <v>1</v>
      </c>
      <c r="GP92" t="b">
        <v>0</v>
      </c>
    </row>
    <row r="93" spans="2:198" x14ac:dyDescent="0.25">
      <c r="B93" s="72" t="s">
        <v>215</v>
      </c>
      <c r="C93">
        <v>7.5</v>
      </c>
      <c r="D93">
        <v>180</v>
      </c>
      <c r="E93">
        <v>100</v>
      </c>
      <c r="F93" s="74">
        <f ca="1">INDIRECT(ADDRESS(11+(MATCH(RIGHT(Table245[[#This Row],[spawner_sku]],LEN(Table245[[#This Row],[spawner_sku]])-FIND("/",Table245[[#This Row],[spawner_sku]])),Table1[Entity Prefab],0)),10,1,1,"Entities"))</f>
        <v>25</v>
      </c>
      <c r="G93" s="74">
        <f ca="1">ROUND((Table245[[#This Row],[XP]]*Table245[[#This Row],[entity_spawned (AVG)]])*(Table245[[#This Row],[activating_chance]]/100),0)</f>
        <v>188</v>
      </c>
      <c r="H93" s="71" t="str">
        <f ca="1">INDIRECT(ADDRESS(11+(MATCH(RIGHT(Table245[[#This Row],[spawner_sku]],LEN(Table245[[#This Row],[spawner_sku]])-FIND("/",Table245[[#This Row],[spawner_sku]])),Table28[Entity Prefab],0)),24,1,1,"Entities"))</f>
        <v>no</v>
      </c>
      <c r="I93" s="71">
        <v>5</v>
      </c>
      <c r="J93" s="71">
        <v>10</v>
      </c>
      <c r="K93" s="71" t="b">
        <v>1</v>
      </c>
      <c r="M93" t="s">
        <v>242</v>
      </c>
      <c r="N93">
        <v>1</v>
      </c>
      <c r="O93">
        <v>190</v>
      </c>
      <c r="P93">
        <v>85</v>
      </c>
      <c r="Q93" s="74">
        <f ca="1">INDIRECT(ADDRESS(11+(MATCH(RIGHT(Table3[[#This Row],[spawner_sku]],LEN(Table3[[#This Row],[spawner_sku]])-FIND("/",Table3[[#This Row],[spawner_sku]])),Table1[Entity Prefab],0)),10,1,1,"Entities"))</f>
        <v>25</v>
      </c>
      <c r="R93" s="74">
        <f ca="1">ROUND((Table3[[#This Row],[XP]]*Table3[[#This Row],[entity_spawned (AVG)]])*(Table3[[#This Row],[activating_chance]]/100),0)</f>
        <v>21</v>
      </c>
      <c r="S93" t="str">
        <f ca="1">INDIRECT(ADDRESS(11+(MATCH(RIGHT(Table3[[#This Row],[spawner_sku]],LEN(Table3[[#This Row],[spawner_sku]])-FIND("/",Table3[[#This Row],[spawner_sku]])),Table28[Entity Prefab],0)),24,1,1,"Entities"))</f>
        <v>no</v>
      </c>
      <c r="T93">
        <v>1</v>
      </c>
      <c r="U93">
        <v>1</v>
      </c>
      <c r="V93" t="b">
        <v>0</v>
      </c>
      <c r="W93" s="71"/>
      <c r="X93" t="s">
        <v>243</v>
      </c>
      <c r="Y93">
        <v>1</v>
      </c>
      <c r="Z93">
        <v>140</v>
      </c>
      <c r="AA93">
        <v>100</v>
      </c>
      <c r="AB93" s="74">
        <f ca="1">INDIRECT(ADDRESS(11+(MATCH(RIGHT(Table39[[#This Row],[spawner_sku]],LEN(Table39[[#This Row],[spawner_sku]])-FIND("/",Table39[[#This Row],[spawner_sku]])),Table1[Entity Prefab],0)),10,1,1,"Entities"))</f>
        <v>25</v>
      </c>
      <c r="AC93" s="74">
        <f ca="1">ROUND((Table39[[#This Row],[XP]]*Table39[[#This Row],[entity_spawned (AVG)]])*(Table39[[#This Row],[activating_chance]]/100),0)</f>
        <v>25</v>
      </c>
      <c r="AD93" t="str">
        <f ca="1">INDIRECT(ADDRESS(11+(MATCH(RIGHT(Table39[[#This Row],[spawner_sku]],LEN(Table39[[#This Row],[spawner_sku]])-FIND("/",Table39[[#This Row],[spawner_sku]])),Table28[Entity Prefab],0)),24,1,1,"Entities"))</f>
        <v>no</v>
      </c>
      <c r="AE93">
        <v>1</v>
      </c>
      <c r="AF93">
        <v>1</v>
      </c>
      <c r="AG93" t="b">
        <v>0</v>
      </c>
      <c r="AI93" t="s">
        <v>215</v>
      </c>
      <c r="AJ93">
        <v>2.5</v>
      </c>
      <c r="AK93">
        <v>100</v>
      </c>
      <c r="AL93">
        <v>100</v>
      </c>
      <c r="AM93" s="74">
        <f ca="1">INDIRECT(ADDRESS(11+(MATCH(RIGHT(Table2[[#This Row],[spawner_sku]],LEN(Table2[[#This Row],[spawner_sku]])-FIND("/",Table2[[#This Row],[spawner_sku]])),Table1[Entity Prefab],0)),10,1,1,"Entities"))</f>
        <v>25</v>
      </c>
      <c r="AN93" s="74">
        <f ca="1">ROUND((Table2[[#This Row],[XP]]*Table2[[#This Row],[entity_spawned (AVG)]])*(Table2[[#This Row],[activating_chance]]/100),0)</f>
        <v>63</v>
      </c>
      <c r="AO93" s="71" t="str">
        <f ca="1">INDIRECT(ADDRESS(11+(MATCH(RIGHT(Table2[[#This Row],[spawner_sku]],LEN(Table2[[#This Row],[spawner_sku]])-FIND("/",Table2[[#This Row],[spawner_sku]])),Table28[Entity Prefab],0)),24,1,1,"Entities"))</f>
        <v>no</v>
      </c>
      <c r="AP93" s="71">
        <v>2</v>
      </c>
      <c r="AQ93" s="71">
        <v>3</v>
      </c>
      <c r="AR93" s="71" t="b">
        <v>0</v>
      </c>
      <c r="AT93" t="s">
        <v>370</v>
      </c>
      <c r="AU93">
        <v>1</v>
      </c>
      <c r="AV93">
        <v>450</v>
      </c>
      <c r="AW93">
        <v>100</v>
      </c>
      <c r="AX93" s="74">
        <f ca="1">INDIRECT(ADDRESS(11+(MATCH(RIGHT(Table6[[#This Row],[spawner_sku]],LEN(Table6[[#This Row],[spawner_sku]])-FIND("/",Table6[[#This Row],[spawner_sku]])),Table1[Entity Prefab],0)),10,1,1,"Entities"))</f>
        <v>0</v>
      </c>
      <c r="AY93" s="74">
        <f ca="1">ROUND((Table6[[#This Row],[XP]]*Table6[[#This Row],[entity_spawned (AVG)]])*(Table6[[#This Row],[activating_chance]]/100),0)</f>
        <v>0</v>
      </c>
      <c r="AZ93" s="144" t="str">
        <f ca="1">INDIRECT(ADDRESS(11+(MATCH(RIGHT(Table6[[#This Row],[spawner_sku]],LEN(Table6[[#This Row],[spawner_sku]])-FIND("/",Table6[[#This Row],[spawner_sku]])),Table28[Entity Prefab],0)),24,1,1,"Entities"))</f>
        <v>no</v>
      </c>
      <c r="BA93">
        <v>1</v>
      </c>
      <c r="BB93">
        <v>1</v>
      </c>
      <c r="BC93" t="b">
        <v>0</v>
      </c>
      <c r="BE93" t="s">
        <v>223</v>
      </c>
      <c r="BF93">
        <v>2.5</v>
      </c>
      <c r="BG93">
        <v>170</v>
      </c>
      <c r="BH93">
        <v>50</v>
      </c>
      <c r="BI93" s="74">
        <f ca="1">INDIRECT(ADDRESS(11+(MATCH(RIGHT(Table610[[#This Row],[spawner_sku]],LEN(Table610[[#This Row],[spawner_sku]])-FIND("/",Table610[[#This Row],[spawner_sku]])),Table1[Entity Prefab],0)),10,1,1,"Entities"))</f>
        <v>70</v>
      </c>
      <c r="BJ93" s="74">
        <f ca="1">ROUND((Table610[[#This Row],[XP]]*Table610[[#This Row],[entity_spawned (AVG)]])*(Table610[[#This Row],[activating_chance]]/100),0)</f>
        <v>88</v>
      </c>
      <c r="BK93" s="71" t="str">
        <f ca="1">INDIRECT(ADDRESS(11+(MATCH(RIGHT(Table610[[#This Row],[spawner_sku]],LEN(Table610[[#This Row],[spawner_sku]])-FIND("/",Table610[[#This Row],[spawner_sku]])),Table28[Entity Prefab],0)),24,1,1,"Entities"))</f>
        <v>yes</v>
      </c>
      <c r="BL93">
        <v>2</v>
      </c>
      <c r="BM93">
        <v>3</v>
      </c>
      <c r="BN93" t="b">
        <v>0</v>
      </c>
      <c r="BP93" t="s">
        <v>376</v>
      </c>
      <c r="BQ93">
        <v>8</v>
      </c>
      <c r="BR93">
        <v>240</v>
      </c>
      <c r="BS93">
        <v>100</v>
      </c>
      <c r="BT93" s="74">
        <f ca="1">INDIRECT(ADDRESS(11+(MATCH(RIGHT(Table61011[[#This Row],[spawner_sku]],LEN(Table61011[[#This Row],[spawner_sku]])-FIND("/",Table61011[[#This Row],[spawner_sku]])),Table1[Entity Prefab],0)),10,1,1,"Entities"))</f>
        <v>25</v>
      </c>
      <c r="BU93" s="74">
        <f ca="1">ROUND((Table61011[[#This Row],[XP]]*Table61011[[#This Row],[entity_spawned (AVG)]])*(Table61011[[#This Row],[activating_chance]]/100),0)</f>
        <v>200</v>
      </c>
      <c r="BV93" s="71" t="str">
        <f ca="1">INDIRECT(ADDRESS(11+(MATCH(RIGHT(Table61011[[#This Row],[spawner_sku]],LEN(Table61011[[#This Row],[spawner_sku]])-FIND("/",Table61011[[#This Row],[spawner_sku]])),Table28[Entity Prefab],0)),24,1,1,"Entities"))</f>
        <v>no</v>
      </c>
      <c r="BW93" s="71">
        <v>6</v>
      </c>
      <c r="BX93" s="71">
        <v>10</v>
      </c>
      <c r="BY93" s="71" t="b">
        <v>1</v>
      </c>
      <c r="BZ93" s="71"/>
      <c r="CA93" s="147" t="s">
        <v>8142</v>
      </c>
      <c r="CB93">
        <v>1</v>
      </c>
      <c r="CC93">
        <v>200</v>
      </c>
      <c r="CD93">
        <v>100</v>
      </c>
      <c r="CE93" s="74">
        <f ca="1">INDIRECT(ADDRESS(11+(MATCH(RIGHT(Table35[[#This Row],[spawner_sku]],LEN(Table35[[#This Row],[spawner_sku]])-FIND("/",Table35[[#This Row],[spawner_sku]])),Table1[Entity Prefab],0)),10,1,1,"Entities"))</f>
        <v>75</v>
      </c>
      <c r="CF93" s="74">
        <f ca="1">ROUND((Table35[[#This Row],[XP]]*Table35[[#This Row],[entity_spawned (AVG)]])*(Table35[[#This Row],[activating_chance]]/100),0)</f>
        <v>75</v>
      </c>
      <c r="CG93" s="144" t="str">
        <f ca="1">INDIRECT(ADDRESS(11+(MATCH(RIGHT(Table35[[#This Row],[spawner_sku]],LEN(Table35[[#This Row],[spawner_sku]])-FIND("/",Table35[[#This Row],[spawner_sku]])),Table28[Entity Prefab],0)),24,1,1,"Entities"))</f>
        <v>no</v>
      </c>
      <c r="CH93">
        <v>1</v>
      </c>
      <c r="CI93">
        <v>1</v>
      </c>
      <c r="CJ93" s="71" t="b">
        <v>0</v>
      </c>
      <c r="CL93" t="s">
        <v>215</v>
      </c>
      <c r="CM93">
        <v>2.5</v>
      </c>
      <c r="CN93">
        <v>180</v>
      </c>
      <c r="CO93">
        <v>100</v>
      </c>
      <c r="CP93" s="74">
        <f ca="1">INDIRECT(ADDRESS(11+(MATCH(RIGHT(Table11[[#This Row],[spawner_sku]],LEN(Table11[[#This Row],[spawner_sku]])-FIND("/",Table11[[#This Row],[spawner_sku]])),Table1[Entity Prefab],0)),10,1,1,"Entities"))</f>
        <v>25</v>
      </c>
      <c r="CQ93">
        <f ca="1">ROUND((Table11[[#This Row],[XP]]*Table11[[#This Row],[entity_spawned (AVG)]])*(Table11[[#This Row],[activating_chance]]/100),0)</f>
        <v>63</v>
      </c>
      <c r="CR93" s="144" t="str">
        <f ca="1">INDIRECT(ADDRESS(11+(MATCH(RIGHT(Table11[[#This Row],[spawner_sku]],LEN(Table11[[#This Row],[spawner_sku]])-FIND("/",Table11[[#This Row],[spawner_sku]])),Table28[Entity Prefab],0)),25,1,1,"Entities"))</f>
        <v>no</v>
      </c>
      <c r="CS93" s="71">
        <v>1</v>
      </c>
      <c r="CT93" s="71">
        <v>4</v>
      </c>
      <c r="CU93" s="71" t="b">
        <v>0</v>
      </c>
      <c r="CW93" t="s">
        <v>233</v>
      </c>
      <c r="CX93">
        <v>1</v>
      </c>
      <c r="CY93">
        <v>500</v>
      </c>
      <c r="CZ93">
        <v>100</v>
      </c>
      <c r="DA93" s="74">
        <f ca="1">INDIRECT(ADDRESS(11+(MATCH(RIGHT(Table12[[#This Row],[spawner_sku]],LEN(Table12[[#This Row],[spawner_sku]])-FIND("/",Table12[[#This Row],[spawner_sku]])),Table1[Entity Prefab],0)),10,1,1,"Entities"))</f>
        <v>25</v>
      </c>
      <c r="DB93" s="74">
        <f ca="1">ROUND((Table12[[#This Row],[XP]]*Table12[[#This Row],[entity_spawned (AVG)]])*(Table12[[#This Row],[activating_chance]]/100),0)</f>
        <v>25</v>
      </c>
      <c r="DC93" s="144" t="str">
        <f ca="1">INDIRECT(ADDRESS(11+(MATCH(RIGHT(Table12[[#This Row],[spawner_sku]],LEN(Table12[[#This Row],[spawner_sku]])-FIND("/",Table12[[#This Row],[spawner_sku]])),Table28[Entity Prefab],0)),25,1,1,"Entities"))</f>
        <v>no</v>
      </c>
      <c r="DD93" s="71">
        <v>1</v>
      </c>
      <c r="DE93" s="71">
        <v>1</v>
      </c>
      <c r="DF93" s="71" t="b">
        <v>0</v>
      </c>
      <c r="DH93" t="s">
        <v>229</v>
      </c>
      <c r="DI93">
        <v>1</v>
      </c>
      <c r="DJ93">
        <v>1500</v>
      </c>
      <c r="DK93">
        <v>100</v>
      </c>
      <c r="DL93" s="74">
        <f ca="1">INDIRECT(ADDRESS(11+(MATCH(RIGHT(Table13[[#This Row],[spawner_sku]],LEN(Table13[[#This Row],[spawner_sku]])-FIND("/",Table13[[#This Row],[spawner_sku]])),Table1[Entity Prefab],0)),10,1,1,"Entities"))</f>
        <v>130</v>
      </c>
      <c r="DM93" s="74">
        <f ca="1">ROUND((Table13[[#This Row],[XP]]*Table13[[#This Row],[entity_spawned (AVG)]])*(Table13[[#This Row],[activating_chance]]/100),0)</f>
        <v>130</v>
      </c>
      <c r="DN93" s="144" t="str">
        <f ca="1">INDIRECT(ADDRESS(11+(MATCH(RIGHT(Table13[[#This Row],[spawner_sku]],LEN(Table13[[#This Row],[spawner_sku]])-FIND("/",Table13[[#This Row],[spawner_sku]])),Table28[Entity Prefab],0)),25,1,1,"Entities"))</f>
        <v>yes</v>
      </c>
      <c r="DO93" s="71">
        <v>1</v>
      </c>
      <c r="DP93" s="71">
        <v>1</v>
      </c>
      <c r="DQ93" s="71" t="b">
        <v>0</v>
      </c>
      <c r="DS93" t="s">
        <v>214</v>
      </c>
      <c r="DT93">
        <v>3.5</v>
      </c>
      <c r="DU93">
        <v>100</v>
      </c>
      <c r="DV93">
        <v>100</v>
      </c>
      <c r="DW93" s="74">
        <f ca="1">INDIRECT(ADDRESS(11+(MATCH(RIGHT(Table14[[#This Row],[spawner_sku]],LEN(Table14[[#This Row],[spawner_sku]])-FIND("/",Table14[[#This Row],[spawner_sku]])),Table1[Entity Prefab],0)),10,1,1,"Entities"))</f>
        <v>25</v>
      </c>
      <c r="DX93" s="74">
        <f ca="1">ROUND((Table14[[#This Row],[XP]]*Table14[[#This Row],[entity_spawned (AVG)]])*(Table14[[#This Row],[activating_chance]]/100),0)</f>
        <v>88</v>
      </c>
      <c r="DY93" s="144" t="str">
        <f ca="1">INDIRECT(ADDRESS(11+(MATCH(RIGHT(Table14[[#This Row],[spawner_sku]],LEN(Table14[[#This Row],[spawner_sku]])-FIND("/",Table14[[#This Row],[spawner_sku]])),Table28[Entity Prefab],0)),25,1,1,"Entities"))</f>
        <v>no</v>
      </c>
      <c r="DZ93" s="71">
        <v>3</v>
      </c>
      <c r="EA93" s="71">
        <v>4</v>
      </c>
      <c r="EB93" s="71" t="b">
        <v>0</v>
      </c>
      <c r="EC93" s="71"/>
      <c r="ED93" s="147" t="s">
        <v>8142</v>
      </c>
      <c r="EE93" s="71">
        <v>1</v>
      </c>
      <c r="EF93" s="71">
        <v>200</v>
      </c>
      <c r="EG93" s="71">
        <v>100</v>
      </c>
      <c r="EH93" s="71">
        <f ca="1">INDIRECT(ADDRESS(11+(MATCH(RIGHT(Table36[[#This Row],[spawner_sku]],LEN(Table36[[#This Row],[spawner_sku]])-FIND("/",Table36[[#This Row],[spawner_sku]])),Table1[Entity Prefab],0)),10,1,1,"Entities"))</f>
        <v>75</v>
      </c>
      <c r="EI93" s="71">
        <f ca="1">ROUND((Table36[[#This Row],[XP]]*Table36[[#This Row],[entity_spawned (AVG)]])*(Table36[[#This Row],[activating_chance]]/100),0)</f>
        <v>75</v>
      </c>
      <c r="EJ93" s="71" t="str">
        <f ca="1">INDIRECT(ADDRESS(11+(MATCH(RIGHT(Table36[[#This Row],[spawner_sku]],LEN(Table36[[#This Row],[spawner_sku]])-FIND("/",Table36[[#This Row],[spawner_sku]])),Table28[Entity Prefab],0)),25,1,1,"Entities"))</f>
        <v>no</v>
      </c>
      <c r="EK93" s="71">
        <v>1</v>
      </c>
      <c r="EL93" s="71">
        <v>1</v>
      </c>
      <c r="EM93" s="71" t="b">
        <v>0</v>
      </c>
      <c r="EO93" t="s">
        <v>376</v>
      </c>
      <c r="EP93">
        <v>2.5</v>
      </c>
      <c r="EQ93">
        <v>140</v>
      </c>
      <c r="ER93">
        <v>100</v>
      </c>
      <c r="ES93" s="74">
        <f ca="1">INDIRECT(ADDRESS(11+(MATCH(RIGHT(Table18[[#This Row],[spawner_sku]],LEN(Table18[[#This Row],[spawner_sku]])-FIND("/",Table18[[#This Row],[spawner_sku]])),Table1[Entity Prefab],0)),10,1,1,"Entities"))</f>
        <v>25</v>
      </c>
      <c r="ET93" s="74">
        <f ca="1">ROUND((Table18[[#This Row],[XP]]*Table18[[#This Row],[entity_spawned (AVG)]])*(Table18[[#This Row],[activating_chance]]/100),0)</f>
        <v>63</v>
      </c>
      <c r="EU93" s="74" t="str">
        <f ca="1">INDIRECT(ADDRESS(11+(MATCH(RIGHT(Table18[[#This Row],[spawner_sku]],LEN(Table18[[#This Row],[spawner_sku]])-FIND("/",Table18[[#This Row],[spawner_sku]])),Table28[Entity Prefab],0)),26,1,1,"Entities"))</f>
        <v>no</v>
      </c>
      <c r="EV93">
        <v>2</v>
      </c>
      <c r="EW93">
        <v>3</v>
      </c>
      <c r="EX93" t="b">
        <v>0</v>
      </c>
      <c r="EZ93" t="s">
        <v>218</v>
      </c>
      <c r="FA93">
        <v>1</v>
      </c>
      <c r="FB93">
        <v>5000</v>
      </c>
      <c r="FC93">
        <v>75</v>
      </c>
      <c r="FD93" s="74">
        <f ca="1">INDIRECT(ADDRESS(11+(MATCH(RIGHT(Table1820[[#This Row],[spawner_sku]],LEN(Table1820[[#This Row],[spawner_sku]])-FIND("/",Table1820[[#This Row],[spawner_sku]])),Table1[Entity Prefab],0)),10,1,1,"Entities"))</f>
        <v>75</v>
      </c>
      <c r="FE93" s="74">
        <f ca="1">ROUND((Table1820[[#This Row],[XP]]*Table1820[[#This Row],[entity_spawned (AVG)]])*(Table1820[[#This Row],[activating_chance]]/100),0)</f>
        <v>56</v>
      </c>
      <c r="FF93" s="74" t="str">
        <f ca="1">INDIRECT(ADDRESS(11+(MATCH(RIGHT(Table1820[[#This Row],[spawner_sku]],LEN(Table1820[[#This Row],[spawner_sku]])-FIND("/",Table1820[[#This Row],[spawner_sku]])),Table28[Entity Prefab],0)),26,1,1,"Entities"))</f>
        <v>no</v>
      </c>
      <c r="FG93">
        <v>1</v>
      </c>
      <c r="FH93">
        <v>1</v>
      </c>
      <c r="FI93" t="b">
        <v>0</v>
      </c>
      <c r="FK93" t="s">
        <v>2695</v>
      </c>
      <c r="FL93">
        <v>3</v>
      </c>
      <c r="FM93">
        <v>90</v>
      </c>
      <c r="FN93">
        <v>100</v>
      </c>
      <c r="FO93">
        <f ca="1">INDIRECT(ADDRESS(11+(MATCH(RIGHT(Table182023[[#This Row],[spawner_sku]],LEN(Table182023[[#This Row],[spawner_sku]])-FIND("/",Table182023[[#This Row],[spawner_sku]])),Table1[Entity Prefab],0)),10,1,1,"Entities"))</f>
        <v>40</v>
      </c>
      <c r="FP93">
        <f ca="1">ROUND((Table182023[[#This Row],[XP]]*Table182023[[#This Row],[entity_spawned (AVG)]])*(Table182023[[#This Row],[activating_chance]]/100),0)</f>
        <v>120</v>
      </c>
      <c r="FQ93" t="str">
        <f ca="1">INDIRECT(ADDRESS(11+(MATCH(RIGHT(Table182023[[#This Row],[spawner_sku]],LEN(Table182023[[#This Row],[spawner_sku]])-FIND("/",Table182023[[#This Row],[spawner_sku]])),Table28[Entity Prefab],0)),26,1,1,"Entities"))</f>
        <v>no</v>
      </c>
      <c r="FR93">
        <v>2</v>
      </c>
      <c r="FS93">
        <v>4</v>
      </c>
      <c r="FT93" t="b">
        <v>0</v>
      </c>
      <c r="FV93" t="s">
        <v>2695</v>
      </c>
      <c r="FW93">
        <v>2.5</v>
      </c>
      <c r="FX93">
        <v>90</v>
      </c>
      <c r="FY93">
        <v>100</v>
      </c>
      <c r="FZ93" s="74">
        <f ca="1">INDIRECT(ADDRESS(11+(MATCH(RIGHT(Table18202324[[#This Row],[spawner_sku]],LEN(Table18202324[[#This Row],[spawner_sku]])-FIND("/",Table18202324[[#This Row],[spawner_sku]])),Table1[Entity Prefab],0)),10,1,1,"Entities"))</f>
        <v>40</v>
      </c>
      <c r="GA93" s="74">
        <f ca="1">ROUND((Table18202324[[#This Row],[XP]]*Table18202324[[#This Row],[entity_spawned (AVG)]])*(Table18202324[[#This Row],[activating_chance]]/100),0)</f>
        <v>100</v>
      </c>
      <c r="GB93" s="74" t="str">
        <f ca="1">INDIRECT(ADDRESS(11+(MATCH(RIGHT(Table18202324[[#This Row],[spawner_sku]],LEN(Table18202324[[#This Row],[spawner_sku]])-FIND("/",Table18202324[[#This Row],[spawner_sku]])),Table28[Entity Prefab],0)),26,1,1,"Entities"))</f>
        <v>no</v>
      </c>
      <c r="GC93">
        <v>2</v>
      </c>
      <c r="GD93">
        <v>3</v>
      </c>
      <c r="GE93" t="b">
        <v>0</v>
      </c>
      <c r="GG93" t="s">
        <v>3816</v>
      </c>
      <c r="GH93">
        <v>1</v>
      </c>
      <c r="GI93">
        <v>240</v>
      </c>
      <c r="GJ93">
        <v>100</v>
      </c>
      <c r="GK93">
        <f ca="1">INDIRECT(ADDRESS(11+(MATCH(RIGHT(Table37[[#This Row],[spawner_sku]],LEN(Table37[[#This Row],[spawner_sku]])-FIND("/",Table37[[#This Row],[spawner_sku]])),Table1[Entity Prefab],0)),10,1,1,"Entities"))</f>
        <v>50</v>
      </c>
      <c r="GL93">
        <f ca="1">ROUND((Table37[[#This Row],[XP]]*Table37[[#This Row],[entity_spawned (AVG)]])*(Table37[[#This Row],[activating_chance]]/100),0)</f>
        <v>50</v>
      </c>
      <c r="GM93" t="str">
        <f ca="1">INDIRECT(ADDRESS(11+(MATCH(RIGHT(Table37[[#This Row],[spawner_sku]],LEN(Table37[[#This Row],[spawner_sku]])-FIND("/",Table37[[#This Row],[spawner_sku]])),Table28[Entity Prefab],0)),26,1,1,"Entities"))</f>
        <v>no</v>
      </c>
      <c r="GN93">
        <v>1</v>
      </c>
      <c r="GO93">
        <v>1</v>
      </c>
      <c r="GP93" t="b">
        <v>0</v>
      </c>
    </row>
    <row r="94" spans="2:198" x14ac:dyDescent="0.25">
      <c r="B94" s="72" t="s">
        <v>215</v>
      </c>
      <c r="C94">
        <v>5.5</v>
      </c>
      <c r="D94">
        <v>160</v>
      </c>
      <c r="E94">
        <v>100</v>
      </c>
      <c r="F94" s="74">
        <f ca="1">INDIRECT(ADDRESS(11+(MATCH(RIGHT(Table245[[#This Row],[spawner_sku]],LEN(Table245[[#This Row],[spawner_sku]])-FIND("/",Table245[[#This Row],[spawner_sku]])),Table1[Entity Prefab],0)),10,1,1,"Entities"))</f>
        <v>25</v>
      </c>
      <c r="G94" s="74">
        <f ca="1">ROUND((Table245[[#This Row],[XP]]*Table245[[#This Row],[entity_spawned (AVG)]])*(Table245[[#This Row],[activating_chance]]/100),0)</f>
        <v>138</v>
      </c>
      <c r="H94" s="71" t="str">
        <f ca="1">INDIRECT(ADDRESS(11+(MATCH(RIGHT(Table245[[#This Row],[spawner_sku]],LEN(Table245[[#This Row],[spawner_sku]])-FIND("/",Table245[[#This Row],[spawner_sku]])),Table28[Entity Prefab],0)),24,1,1,"Entities"))</f>
        <v>no</v>
      </c>
      <c r="I94" s="71">
        <v>5</v>
      </c>
      <c r="J94" s="71">
        <v>6</v>
      </c>
      <c r="K94" s="71" t="b">
        <v>1</v>
      </c>
      <c r="M94" t="s">
        <v>242</v>
      </c>
      <c r="N94">
        <v>1</v>
      </c>
      <c r="O94">
        <v>180</v>
      </c>
      <c r="P94">
        <v>70</v>
      </c>
      <c r="Q94" s="74">
        <f ca="1">INDIRECT(ADDRESS(11+(MATCH(RIGHT(Table3[[#This Row],[spawner_sku]],LEN(Table3[[#This Row],[spawner_sku]])-FIND("/",Table3[[#This Row],[spawner_sku]])),Table1[Entity Prefab],0)),10,1,1,"Entities"))</f>
        <v>25</v>
      </c>
      <c r="R94" s="74">
        <f ca="1">ROUND((Table3[[#This Row],[XP]]*Table3[[#This Row],[entity_spawned (AVG)]])*(Table3[[#This Row],[activating_chance]]/100),0)</f>
        <v>18</v>
      </c>
      <c r="S94" t="str">
        <f ca="1">INDIRECT(ADDRESS(11+(MATCH(RIGHT(Table3[[#This Row],[spawner_sku]],LEN(Table3[[#This Row],[spawner_sku]])-FIND("/",Table3[[#This Row],[spawner_sku]])),Table28[Entity Prefab],0)),24,1,1,"Entities"))</f>
        <v>no</v>
      </c>
      <c r="T94">
        <v>1</v>
      </c>
      <c r="U94">
        <v>1</v>
      </c>
      <c r="V94" t="b">
        <v>0</v>
      </c>
      <c r="W94" s="71"/>
      <c r="X94" t="s">
        <v>3812</v>
      </c>
      <c r="Y94">
        <v>1</v>
      </c>
      <c r="Z94">
        <v>180</v>
      </c>
      <c r="AA94">
        <v>100</v>
      </c>
      <c r="AB94" s="74">
        <f ca="1">INDIRECT(ADDRESS(11+(MATCH(RIGHT(Table39[[#This Row],[spawner_sku]],LEN(Table39[[#This Row],[spawner_sku]])-FIND("/",Table39[[#This Row],[spawner_sku]])),Table1[Entity Prefab],0)),10,1,1,"Entities"))</f>
        <v>0</v>
      </c>
      <c r="AC94" s="74">
        <f ca="1">ROUND((Table39[[#This Row],[XP]]*Table39[[#This Row],[entity_spawned (AVG)]])*(Table39[[#This Row],[activating_chance]]/100),0)</f>
        <v>0</v>
      </c>
      <c r="AD94" t="str">
        <f ca="1">INDIRECT(ADDRESS(11+(MATCH(RIGHT(Table39[[#This Row],[spawner_sku]],LEN(Table39[[#This Row],[spawner_sku]])-FIND("/",Table39[[#This Row],[spawner_sku]])),Table28[Entity Prefab],0)),24,1,1,"Entities"))</f>
        <v>no</v>
      </c>
      <c r="AE94">
        <v>1</v>
      </c>
      <c r="AF94">
        <v>1</v>
      </c>
      <c r="AG94" t="b">
        <v>0</v>
      </c>
      <c r="AI94" t="s">
        <v>215</v>
      </c>
      <c r="AJ94">
        <v>2</v>
      </c>
      <c r="AK94">
        <v>120</v>
      </c>
      <c r="AL94">
        <v>100</v>
      </c>
      <c r="AM94" s="74">
        <f ca="1">INDIRECT(ADDRESS(11+(MATCH(RIGHT(Table2[[#This Row],[spawner_sku]],LEN(Table2[[#This Row],[spawner_sku]])-FIND("/",Table2[[#This Row],[spawner_sku]])),Table1[Entity Prefab],0)),10,1,1,"Entities"))</f>
        <v>25</v>
      </c>
      <c r="AN94" s="74">
        <f ca="1">ROUND((Table2[[#This Row],[XP]]*Table2[[#This Row],[entity_spawned (AVG)]])*(Table2[[#This Row],[activating_chance]]/100),0)</f>
        <v>50</v>
      </c>
      <c r="AO94" s="71" t="str">
        <f ca="1">INDIRECT(ADDRESS(11+(MATCH(RIGHT(Table2[[#This Row],[spawner_sku]],LEN(Table2[[#This Row],[spawner_sku]])-FIND("/",Table2[[#This Row],[spawner_sku]])),Table28[Entity Prefab],0)),24,1,1,"Entities"))</f>
        <v>no</v>
      </c>
      <c r="AP94" s="71">
        <v>1</v>
      </c>
      <c r="AQ94" s="71">
        <v>3</v>
      </c>
      <c r="AR94" s="71" t="b">
        <v>0</v>
      </c>
      <c r="AT94" t="s">
        <v>370</v>
      </c>
      <c r="AU94">
        <v>1</v>
      </c>
      <c r="AV94">
        <v>450</v>
      </c>
      <c r="AW94">
        <v>100</v>
      </c>
      <c r="AX94" s="74">
        <f ca="1">INDIRECT(ADDRESS(11+(MATCH(RIGHT(Table6[[#This Row],[spawner_sku]],LEN(Table6[[#This Row],[spawner_sku]])-FIND("/",Table6[[#This Row],[spawner_sku]])),Table1[Entity Prefab],0)),10,1,1,"Entities"))</f>
        <v>0</v>
      </c>
      <c r="AY94" s="74">
        <f ca="1">ROUND((Table6[[#This Row],[XP]]*Table6[[#This Row],[entity_spawned (AVG)]])*(Table6[[#This Row],[activating_chance]]/100),0)</f>
        <v>0</v>
      </c>
      <c r="AZ94" s="144" t="str">
        <f ca="1">INDIRECT(ADDRESS(11+(MATCH(RIGHT(Table6[[#This Row],[spawner_sku]],LEN(Table6[[#This Row],[spawner_sku]])-FIND("/",Table6[[#This Row],[spawner_sku]])),Table28[Entity Prefab],0)),24,1,1,"Entities"))</f>
        <v>no</v>
      </c>
      <c r="BA94">
        <v>1</v>
      </c>
      <c r="BB94">
        <v>1</v>
      </c>
      <c r="BC94" t="b">
        <v>0</v>
      </c>
      <c r="BE94" t="s">
        <v>223</v>
      </c>
      <c r="BF94">
        <v>2.5</v>
      </c>
      <c r="BG94">
        <v>170</v>
      </c>
      <c r="BH94">
        <v>100</v>
      </c>
      <c r="BI94" s="74">
        <f ca="1">INDIRECT(ADDRESS(11+(MATCH(RIGHT(Table610[[#This Row],[spawner_sku]],LEN(Table610[[#This Row],[spawner_sku]])-FIND("/",Table610[[#This Row],[spawner_sku]])),Table1[Entity Prefab],0)),10,1,1,"Entities"))</f>
        <v>70</v>
      </c>
      <c r="BJ94" s="74">
        <f ca="1">ROUND((Table610[[#This Row],[XP]]*Table610[[#This Row],[entity_spawned (AVG)]])*(Table610[[#This Row],[activating_chance]]/100),0)</f>
        <v>175</v>
      </c>
      <c r="BK94" s="71" t="str">
        <f ca="1">INDIRECT(ADDRESS(11+(MATCH(RIGHT(Table610[[#This Row],[spawner_sku]],LEN(Table610[[#This Row],[spawner_sku]])-FIND("/",Table610[[#This Row],[spawner_sku]])),Table28[Entity Prefab],0)),24,1,1,"Entities"))</f>
        <v>yes</v>
      </c>
      <c r="BL94">
        <v>2</v>
      </c>
      <c r="BM94">
        <v>3</v>
      </c>
      <c r="BN94" t="b">
        <v>0</v>
      </c>
      <c r="BP94" t="s">
        <v>376</v>
      </c>
      <c r="BQ94">
        <v>3</v>
      </c>
      <c r="BR94">
        <v>200</v>
      </c>
      <c r="BS94">
        <v>100</v>
      </c>
      <c r="BT94" s="74">
        <f ca="1">INDIRECT(ADDRESS(11+(MATCH(RIGHT(Table61011[[#This Row],[spawner_sku]],LEN(Table61011[[#This Row],[spawner_sku]])-FIND("/",Table61011[[#This Row],[spawner_sku]])),Table1[Entity Prefab],0)),10,1,1,"Entities"))</f>
        <v>25</v>
      </c>
      <c r="BU94" s="74">
        <f ca="1">ROUND((Table61011[[#This Row],[XP]]*Table61011[[#This Row],[entity_spawned (AVG)]])*(Table61011[[#This Row],[activating_chance]]/100),0)</f>
        <v>75</v>
      </c>
      <c r="BV94" s="71" t="str">
        <f ca="1">INDIRECT(ADDRESS(11+(MATCH(RIGHT(Table61011[[#This Row],[spawner_sku]],LEN(Table61011[[#This Row],[spawner_sku]])-FIND("/",Table61011[[#This Row],[spawner_sku]])),Table28[Entity Prefab],0)),24,1,1,"Entities"))</f>
        <v>no</v>
      </c>
      <c r="BW94" s="71">
        <v>2</v>
      </c>
      <c r="BX94" s="71">
        <v>4</v>
      </c>
      <c r="BY94" s="71" t="b">
        <v>0</v>
      </c>
      <c r="BZ94" s="71"/>
      <c r="CA94" s="147" t="s">
        <v>8142</v>
      </c>
      <c r="CB94">
        <v>1</v>
      </c>
      <c r="CC94">
        <v>200</v>
      </c>
      <c r="CD94">
        <v>100</v>
      </c>
      <c r="CE94" s="74">
        <f ca="1">INDIRECT(ADDRESS(11+(MATCH(RIGHT(Table35[[#This Row],[spawner_sku]],LEN(Table35[[#This Row],[spawner_sku]])-FIND("/",Table35[[#This Row],[spawner_sku]])),Table1[Entity Prefab],0)),10,1,1,"Entities"))</f>
        <v>75</v>
      </c>
      <c r="CF94" s="74">
        <f ca="1">ROUND((Table35[[#This Row],[XP]]*Table35[[#This Row],[entity_spawned (AVG)]])*(Table35[[#This Row],[activating_chance]]/100),0)</f>
        <v>75</v>
      </c>
      <c r="CG94" s="144" t="str">
        <f ca="1">INDIRECT(ADDRESS(11+(MATCH(RIGHT(Table35[[#This Row],[spawner_sku]],LEN(Table35[[#This Row],[spawner_sku]])-FIND("/",Table35[[#This Row],[spawner_sku]])),Table28[Entity Prefab],0)),24,1,1,"Entities"))</f>
        <v>no</v>
      </c>
      <c r="CH94">
        <v>1</v>
      </c>
      <c r="CI94">
        <v>1</v>
      </c>
      <c r="CJ94" s="71" t="b">
        <v>0</v>
      </c>
      <c r="CL94" t="s">
        <v>215</v>
      </c>
      <c r="CM94">
        <v>3</v>
      </c>
      <c r="CN94">
        <v>180</v>
      </c>
      <c r="CO94">
        <v>100</v>
      </c>
      <c r="CP94" s="74">
        <f ca="1">INDIRECT(ADDRESS(11+(MATCH(RIGHT(Table11[[#This Row],[spawner_sku]],LEN(Table11[[#This Row],[spawner_sku]])-FIND("/",Table11[[#This Row],[spawner_sku]])),Table1[Entity Prefab],0)),10,1,1,"Entities"))</f>
        <v>25</v>
      </c>
      <c r="CQ94">
        <f ca="1">ROUND((Table11[[#This Row],[XP]]*Table11[[#This Row],[entity_spawned (AVG)]])*(Table11[[#This Row],[activating_chance]]/100),0)</f>
        <v>75</v>
      </c>
      <c r="CR94" s="144" t="str">
        <f ca="1">INDIRECT(ADDRESS(11+(MATCH(RIGHT(Table11[[#This Row],[spawner_sku]],LEN(Table11[[#This Row],[spawner_sku]])-FIND("/",Table11[[#This Row],[spawner_sku]])),Table28[Entity Prefab],0)),25,1,1,"Entities"))</f>
        <v>no</v>
      </c>
      <c r="CS94" s="71">
        <v>3</v>
      </c>
      <c r="CT94" s="71">
        <v>3</v>
      </c>
      <c r="CU94" s="71" t="b">
        <v>0</v>
      </c>
      <c r="CW94" t="s">
        <v>233</v>
      </c>
      <c r="CX94">
        <v>1</v>
      </c>
      <c r="CY94">
        <v>500</v>
      </c>
      <c r="CZ94">
        <v>100</v>
      </c>
      <c r="DA94" s="74">
        <f ca="1">INDIRECT(ADDRESS(11+(MATCH(RIGHT(Table12[[#This Row],[spawner_sku]],LEN(Table12[[#This Row],[spawner_sku]])-FIND("/",Table12[[#This Row],[spawner_sku]])),Table1[Entity Prefab],0)),10,1,1,"Entities"))</f>
        <v>25</v>
      </c>
      <c r="DB94" s="74">
        <f ca="1">ROUND((Table12[[#This Row],[XP]]*Table12[[#This Row],[entity_spawned (AVG)]])*(Table12[[#This Row],[activating_chance]]/100),0)</f>
        <v>25</v>
      </c>
      <c r="DC94" s="144" t="str">
        <f ca="1">INDIRECT(ADDRESS(11+(MATCH(RIGHT(Table12[[#This Row],[spawner_sku]],LEN(Table12[[#This Row],[spawner_sku]])-FIND("/",Table12[[#This Row],[spawner_sku]])),Table28[Entity Prefab],0)),25,1,1,"Entities"))</f>
        <v>no</v>
      </c>
      <c r="DD94" s="71">
        <v>1</v>
      </c>
      <c r="DE94" s="71">
        <v>1</v>
      </c>
      <c r="DF94" s="71" t="b">
        <v>0</v>
      </c>
      <c r="DH94" t="s">
        <v>229</v>
      </c>
      <c r="DI94">
        <v>1</v>
      </c>
      <c r="DJ94">
        <v>1500</v>
      </c>
      <c r="DK94">
        <v>30</v>
      </c>
      <c r="DL94" s="74">
        <f ca="1">INDIRECT(ADDRESS(11+(MATCH(RIGHT(Table13[[#This Row],[spawner_sku]],LEN(Table13[[#This Row],[spawner_sku]])-FIND("/",Table13[[#This Row],[spawner_sku]])),Table1[Entity Prefab],0)),10,1,1,"Entities"))</f>
        <v>130</v>
      </c>
      <c r="DM94" s="74">
        <f ca="1">ROUND((Table13[[#This Row],[XP]]*Table13[[#This Row],[entity_spawned (AVG)]])*(Table13[[#This Row],[activating_chance]]/100),0)</f>
        <v>39</v>
      </c>
      <c r="DN94" s="144" t="str">
        <f ca="1">INDIRECT(ADDRESS(11+(MATCH(RIGHT(Table13[[#This Row],[spawner_sku]],LEN(Table13[[#This Row],[spawner_sku]])-FIND("/",Table13[[#This Row],[spawner_sku]])),Table28[Entity Prefab],0)),25,1,1,"Entities"))</f>
        <v>yes</v>
      </c>
      <c r="DO94" s="71">
        <v>1</v>
      </c>
      <c r="DP94" s="71">
        <v>1</v>
      </c>
      <c r="DQ94" s="71" t="b">
        <v>0</v>
      </c>
      <c r="DS94" t="s">
        <v>214</v>
      </c>
      <c r="DT94">
        <v>4</v>
      </c>
      <c r="DU94">
        <v>100</v>
      </c>
      <c r="DV94">
        <v>100</v>
      </c>
      <c r="DW94" s="74">
        <f ca="1">INDIRECT(ADDRESS(11+(MATCH(RIGHT(Table14[[#This Row],[spawner_sku]],LEN(Table14[[#This Row],[spawner_sku]])-FIND("/",Table14[[#This Row],[spawner_sku]])),Table1[Entity Prefab],0)),10,1,1,"Entities"))</f>
        <v>25</v>
      </c>
      <c r="DX94" s="74">
        <f ca="1">ROUND((Table14[[#This Row],[XP]]*Table14[[#This Row],[entity_spawned (AVG)]])*(Table14[[#This Row],[activating_chance]]/100),0)</f>
        <v>100</v>
      </c>
      <c r="DY94" s="144" t="str">
        <f ca="1">INDIRECT(ADDRESS(11+(MATCH(RIGHT(Table14[[#This Row],[spawner_sku]],LEN(Table14[[#This Row],[spawner_sku]])-FIND("/",Table14[[#This Row],[spawner_sku]])),Table28[Entity Prefab],0)),25,1,1,"Entities"))</f>
        <v>no</v>
      </c>
      <c r="DZ94" s="71">
        <v>4</v>
      </c>
      <c r="EA94" s="71">
        <v>4</v>
      </c>
      <c r="EB94" s="71" t="b">
        <v>0</v>
      </c>
      <c r="EC94" s="71"/>
      <c r="ED94" s="147" t="s">
        <v>8142</v>
      </c>
      <c r="EE94" s="71">
        <v>1</v>
      </c>
      <c r="EF94" s="71">
        <v>200</v>
      </c>
      <c r="EG94" s="71">
        <v>80</v>
      </c>
      <c r="EH94" s="71">
        <f ca="1">INDIRECT(ADDRESS(11+(MATCH(RIGHT(Table36[[#This Row],[spawner_sku]],LEN(Table36[[#This Row],[spawner_sku]])-FIND("/",Table36[[#This Row],[spawner_sku]])),Table1[Entity Prefab],0)),10,1,1,"Entities"))</f>
        <v>75</v>
      </c>
      <c r="EI94" s="71">
        <f ca="1">ROUND((Table36[[#This Row],[XP]]*Table36[[#This Row],[entity_spawned (AVG)]])*(Table36[[#This Row],[activating_chance]]/100),0)</f>
        <v>60</v>
      </c>
      <c r="EJ94" s="71" t="str">
        <f ca="1">INDIRECT(ADDRESS(11+(MATCH(RIGHT(Table36[[#This Row],[spawner_sku]],LEN(Table36[[#This Row],[spawner_sku]])-FIND("/",Table36[[#This Row],[spawner_sku]])),Table28[Entity Prefab],0)),25,1,1,"Entities"))</f>
        <v>no</v>
      </c>
      <c r="EK94" s="71">
        <v>1</v>
      </c>
      <c r="EL94" s="71">
        <v>1</v>
      </c>
      <c r="EM94" s="71" t="b">
        <v>0</v>
      </c>
      <c r="EO94" t="s">
        <v>376</v>
      </c>
      <c r="EP94">
        <v>2.5</v>
      </c>
      <c r="EQ94">
        <v>160</v>
      </c>
      <c r="ER94">
        <v>80</v>
      </c>
      <c r="ES94" s="74">
        <f ca="1">INDIRECT(ADDRESS(11+(MATCH(RIGHT(Table18[[#This Row],[spawner_sku]],LEN(Table18[[#This Row],[spawner_sku]])-FIND("/",Table18[[#This Row],[spawner_sku]])),Table1[Entity Prefab],0)),10,1,1,"Entities"))</f>
        <v>25</v>
      </c>
      <c r="ET94" s="74">
        <f ca="1">ROUND((Table18[[#This Row],[XP]]*Table18[[#This Row],[entity_spawned (AVG)]])*(Table18[[#This Row],[activating_chance]]/100),0)</f>
        <v>50</v>
      </c>
      <c r="EU94" s="74" t="str">
        <f ca="1">INDIRECT(ADDRESS(11+(MATCH(RIGHT(Table18[[#This Row],[spawner_sku]],LEN(Table18[[#This Row],[spawner_sku]])-FIND("/",Table18[[#This Row],[spawner_sku]])),Table28[Entity Prefab],0)),26,1,1,"Entities"))</f>
        <v>no</v>
      </c>
      <c r="EV94">
        <v>2</v>
      </c>
      <c r="EW94">
        <v>3</v>
      </c>
      <c r="EX94" t="b">
        <v>0</v>
      </c>
      <c r="EZ94" t="s">
        <v>218</v>
      </c>
      <c r="FA94">
        <v>1</v>
      </c>
      <c r="FB94">
        <v>5000</v>
      </c>
      <c r="FC94">
        <v>80</v>
      </c>
      <c r="FD94" s="74">
        <f ca="1">INDIRECT(ADDRESS(11+(MATCH(RIGHT(Table1820[[#This Row],[spawner_sku]],LEN(Table1820[[#This Row],[spawner_sku]])-FIND("/",Table1820[[#This Row],[spawner_sku]])),Table1[Entity Prefab],0)),10,1,1,"Entities"))</f>
        <v>75</v>
      </c>
      <c r="FE94" s="74">
        <f ca="1">ROUND((Table1820[[#This Row],[XP]]*Table1820[[#This Row],[entity_spawned (AVG)]])*(Table1820[[#This Row],[activating_chance]]/100),0)</f>
        <v>60</v>
      </c>
      <c r="FF94" s="74" t="str">
        <f ca="1">INDIRECT(ADDRESS(11+(MATCH(RIGHT(Table1820[[#This Row],[spawner_sku]],LEN(Table1820[[#This Row],[spawner_sku]])-FIND("/",Table1820[[#This Row],[spawner_sku]])),Table28[Entity Prefab],0)),26,1,1,"Entities"))</f>
        <v>no</v>
      </c>
      <c r="FG94">
        <v>1</v>
      </c>
      <c r="FH94">
        <v>1</v>
      </c>
      <c r="FI94" t="b">
        <v>0</v>
      </c>
      <c r="FK94" t="s">
        <v>2695</v>
      </c>
      <c r="FL94">
        <v>8</v>
      </c>
      <c r="FM94">
        <v>100</v>
      </c>
      <c r="FN94">
        <v>100</v>
      </c>
      <c r="FO94">
        <f ca="1">INDIRECT(ADDRESS(11+(MATCH(RIGHT(Table182023[[#This Row],[spawner_sku]],LEN(Table182023[[#This Row],[spawner_sku]])-FIND("/",Table182023[[#This Row],[spawner_sku]])),Table1[Entity Prefab],0)),10,1,1,"Entities"))</f>
        <v>40</v>
      </c>
      <c r="FP94">
        <f ca="1">ROUND((Table182023[[#This Row],[XP]]*Table182023[[#This Row],[entity_spawned (AVG)]])*(Table182023[[#This Row],[activating_chance]]/100),0)</f>
        <v>320</v>
      </c>
      <c r="FQ94" t="str">
        <f ca="1">INDIRECT(ADDRESS(11+(MATCH(RIGHT(Table182023[[#This Row],[spawner_sku]],LEN(Table182023[[#This Row],[spawner_sku]])-FIND("/",Table182023[[#This Row],[spawner_sku]])),Table28[Entity Prefab],0)),26,1,1,"Entities"))</f>
        <v>no</v>
      </c>
      <c r="FR94">
        <v>6</v>
      </c>
      <c r="FS94">
        <v>10</v>
      </c>
      <c r="FT94" t="b">
        <v>1</v>
      </c>
      <c r="FV94" t="s">
        <v>2695</v>
      </c>
      <c r="FW94">
        <v>6.5</v>
      </c>
      <c r="FX94">
        <v>90</v>
      </c>
      <c r="FY94">
        <v>100</v>
      </c>
      <c r="FZ94" s="74">
        <f ca="1">INDIRECT(ADDRESS(11+(MATCH(RIGHT(Table18202324[[#This Row],[spawner_sku]],LEN(Table18202324[[#This Row],[spawner_sku]])-FIND("/",Table18202324[[#This Row],[spawner_sku]])),Table1[Entity Prefab],0)),10,1,1,"Entities"))</f>
        <v>40</v>
      </c>
      <c r="GA94" s="74">
        <f ca="1">ROUND((Table18202324[[#This Row],[XP]]*Table18202324[[#This Row],[entity_spawned (AVG)]])*(Table18202324[[#This Row],[activating_chance]]/100),0)</f>
        <v>260</v>
      </c>
      <c r="GB94" s="74" t="str">
        <f ca="1">INDIRECT(ADDRESS(11+(MATCH(RIGHT(Table18202324[[#This Row],[spawner_sku]],LEN(Table18202324[[#This Row],[spawner_sku]])-FIND("/",Table18202324[[#This Row],[spawner_sku]])),Table28[Entity Prefab],0)),26,1,1,"Entities"))</f>
        <v>no</v>
      </c>
      <c r="GC94">
        <v>5</v>
      </c>
      <c r="GD94">
        <v>8</v>
      </c>
      <c r="GE94" t="b">
        <v>1</v>
      </c>
      <c r="GG94" t="s">
        <v>3816</v>
      </c>
      <c r="GH94">
        <v>1</v>
      </c>
      <c r="GI94">
        <v>240</v>
      </c>
      <c r="GJ94">
        <v>100</v>
      </c>
      <c r="GK94">
        <f ca="1">INDIRECT(ADDRESS(11+(MATCH(RIGHT(Table37[[#This Row],[spawner_sku]],LEN(Table37[[#This Row],[spawner_sku]])-FIND("/",Table37[[#This Row],[spawner_sku]])),Table1[Entity Prefab],0)),10,1,1,"Entities"))</f>
        <v>50</v>
      </c>
      <c r="GL94">
        <f ca="1">ROUND((Table37[[#This Row],[XP]]*Table37[[#This Row],[entity_spawned (AVG)]])*(Table37[[#This Row],[activating_chance]]/100),0)</f>
        <v>50</v>
      </c>
      <c r="GM94" t="str">
        <f ca="1">INDIRECT(ADDRESS(11+(MATCH(RIGHT(Table37[[#This Row],[spawner_sku]],LEN(Table37[[#This Row],[spawner_sku]])-FIND("/",Table37[[#This Row],[spawner_sku]])),Table28[Entity Prefab],0)),26,1,1,"Entities"))</f>
        <v>no</v>
      </c>
      <c r="GN94">
        <v>1</v>
      </c>
      <c r="GO94">
        <v>1</v>
      </c>
      <c r="GP94" t="b">
        <v>0</v>
      </c>
    </row>
    <row r="95" spans="2:198" x14ac:dyDescent="0.25">
      <c r="B95" s="72" t="s">
        <v>215</v>
      </c>
      <c r="C95">
        <v>4</v>
      </c>
      <c r="D95">
        <v>160</v>
      </c>
      <c r="E95">
        <v>100</v>
      </c>
      <c r="F95" s="74">
        <f ca="1">INDIRECT(ADDRESS(11+(MATCH(RIGHT(Table245[[#This Row],[spawner_sku]],LEN(Table245[[#This Row],[spawner_sku]])-FIND("/",Table245[[#This Row],[spawner_sku]])),Table1[Entity Prefab],0)),10,1,1,"Entities"))</f>
        <v>25</v>
      </c>
      <c r="G95" s="74">
        <f ca="1">ROUND((Table245[[#This Row],[XP]]*Table245[[#This Row],[entity_spawned (AVG)]])*(Table245[[#This Row],[activating_chance]]/100),0)</f>
        <v>100</v>
      </c>
      <c r="H95" s="71" t="str">
        <f ca="1">INDIRECT(ADDRESS(11+(MATCH(RIGHT(Table245[[#This Row],[spawner_sku]],LEN(Table245[[#This Row],[spawner_sku]])-FIND("/",Table245[[#This Row],[spawner_sku]])),Table28[Entity Prefab],0)),24,1,1,"Entities"))</f>
        <v>no</v>
      </c>
      <c r="I95" s="71">
        <v>4</v>
      </c>
      <c r="J95" s="71">
        <v>4</v>
      </c>
      <c r="K95" s="71" t="b">
        <v>0</v>
      </c>
      <c r="M95" t="s">
        <v>242</v>
      </c>
      <c r="N95">
        <v>1</v>
      </c>
      <c r="O95">
        <v>200</v>
      </c>
      <c r="P95">
        <v>100</v>
      </c>
      <c r="Q95" s="74">
        <f ca="1">INDIRECT(ADDRESS(11+(MATCH(RIGHT(Table3[[#This Row],[spawner_sku]],LEN(Table3[[#This Row],[spawner_sku]])-FIND("/",Table3[[#This Row],[spawner_sku]])),Table1[Entity Prefab],0)),10,1,1,"Entities"))</f>
        <v>25</v>
      </c>
      <c r="R95" s="74">
        <f ca="1">ROUND((Table3[[#This Row],[XP]]*Table3[[#This Row],[entity_spawned (AVG)]])*(Table3[[#This Row],[activating_chance]]/100),0)</f>
        <v>25</v>
      </c>
      <c r="S95" t="str">
        <f ca="1">INDIRECT(ADDRESS(11+(MATCH(RIGHT(Table3[[#This Row],[spawner_sku]],LEN(Table3[[#This Row],[spawner_sku]])-FIND("/",Table3[[#This Row],[spawner_sku]])),Table28[Entity Prefab],0)),24,1,1,"Entities"))</f>
        <v>no</v>
      </c>
      <c r="T95">
        <v>1</v>
      </c>
      <c r="U95">
        <v>1</v>
      </c>
      <c r="V95" t="b">
        <v>0</v>
      </c>
      <c r="W95" s="71"/>
      <c r="AI95" t="s">
        <v>215</v>
      </c>
      <c r="AJ95">
        <v>3</v>
      </c>
      <c r="AK95">
        <v>160</v>
      </c>
      <c r="AL95">
        <v>100</v>
      </c>
      <c r="AM95" s="74">
        <f ca="1">INDIRECT(ADDRESS(11+(MATCH(RIGHT(Table2[[#This Row],[spawner_sku]],LEN(Table2[[#This Row],[spawner_sku]])-FIND("/",Table2[[#This Row],[spawner_sku]])),Table1[Entity Prefab],0)),10,1,1,"Entities"))</f>
        <v>25</v>
      </c>
      <c r="AN95" s="74">
        <f ca="1">ROUND((Table2[[#This Row],[XP]]*Table2[[#This Row],[entity_spawned (AVG)]])*(Table2[[#This Row],[activating_chance]]/100),0)</f>
        <v>75</v>
      </c>
      <c r="AO95" s="71" t="str">
        <f ca="1">INDIRECT(ADDRESS(11+(MATCH(RIGHT(Table2[[#This Row],[spawner_sku]],LEN(Table2[[#This Row],[spawner_sku]])-FIND("/",Table2[[#This Row],[spawner_sku]])),Table28[Entity Prefab],0)),24,1,1,"Entities"))</f>
        <v>no</v>
      </c>
      <c r="AP95" s="71">
        <v>2</v>
      </c>
      <c r="AQ95" s="71">
        <v>4</v>
      </c>
      <c r="AR95" s="71" t="b">
        <v>0</v>
      </c>
      <c r="AT95" t="s">
        <v>370</v>
      </c>
      <c r="AU95">
        <v>1</v>
      </c>
      <c r="AV95">
        <v>450</v>
      </c>
      <c r="AW95">
        <v>100</v>
      </c>
      <c r="AX95" s="74">
        <f ca="1">INDIRECT(ADDRESS(11+(MATCH(RIGHT(Table6[[#This Row],[spawner_sku]],LEN(Table6[[#This Row],[spawner_sku]])-FIND("/",Table6[[#This Row],[spawner_sku]])),Table1[Entity Prefab],0)),10,1,1,"Entities"))</f>
        <v>0</v>
      </c>
      <c r="AY95" s="74">
        <f ca="1">ROUND((Table6[[#This Row],[XP]]*Table6[[#This Row],[entity_spawned (AVG)]])*(Table6[[#This Row],[activating_chance]]/100),0)</f>
        <v>0</v>
      </c>
      <c r="AZ95" s="144" t="str">
        <f ca="1">INDIRECT(ADDRESS(11+(MATCH(RIGHT(Table6[[#This Row],[spawner_sku]],LEN(Table6[[#This Row],[spawner_sku]])-FIND("/",Table6[[#This Row],[spawner_sku]])),Table28[Entity Prefab],0)),24,1,1,"Entities"))</f>
        <v>no</v>
      </c>
      <c r="BA95">
        <v>1</v>
      </c>
      <c r="BB95">
        <v>1</v>
      </c>
      <c r="BC95" t="b">
        <v>0</v>
      </c>
      <c r="BE95" t="s">
        <v>223</v>
      </c>
      <c r="BF95">
        <v>2.5</v>
      </c>
      <c r="BG95">
        <v>170</v>
      </c>
      <c r="BH95">
        <v>100</v>
      </c>
      <c r="BI95" s="74">
        <f ca="1">INDIRECT(ADDRESS(11+(MATCH(RIGHT(Table610[[#This Row],[spawner_sku]],LEN(Table610[[#This Row],[spawner_sku]])-FIND("/",Table610[[#This Row],[spawner_sku]])),Table1[Entity Prefab],0)),10,1,1,"Entities"))</f>
        <v>70</v>
      </c>
      <c r="BJ95" s="74">
        <f ca="1">ROUND((Table610[[#This Row],[XP]]*Table610[[#This Row],[entity_spawned (AVG)]])*(Table610[[#This Row],[activating_chance]]/100),0)</f>
        <v>175</v>
      </c>
      <c r="BK95" s="71" t="str">
        <f ca="1">INDIRECT(ADDRESS(11+(MATCH(RIGHT(Table610[[#This Row],[spawner_sku]],LEN(Table610[[#This Row],[spawner_sku]])-FIND("/",Table610[[#This Row],[spawner_sku]])),Table28[Entity Prefab],0)),24,1,1,"Entities"))</f>
        <v>yes</v>
      </c>
      <c r="BL95">
        <v>2</v>
      </c>
      <c r="BM95">
        <v>3</v>
      </c>
      <c r="BN95" t="b">
        <v>0</v>
      </c>
      <c r="BP95" t="s">
        <v>376</v>
      </c>
      <c r="BQ95">
        <v>6.5</v>
      </c>
      <c r="BR95">
        <v>220</v>
      </c>
      <c r="BS95">
        <v>100</v>
      </c>
      <c r="BT95" s="74">
        <f ca="1">INDIRECT(ADDRESS(11+(MATCH(RIGHT(Table61011[[#This Row],[spawner_sku]],LEN(Table61011[[#This Row],[spawner_sku]])-FIND("/",Table61011[[#This Row],[spawner_sku]])),Table1[Entity Prefab],0)),10,1,1,"Entities"))</f>
        <v>25</v>
      </c>
      <c r="BU95" s="74">
        <f ca="1">ROUND((Table61011[[#This Row],[XP]]*Table61011[[#This Row],[entity_spawned (AVG)]])*(Table61011[[#This Row],[activating_chance]]/100),0)</f>
        <v>163</v>
      </c>
      <c r="BV95" s="71" t="str">
        <f ca="1">INDIRECT(ADDRESS(11+(MATCH(RIGHT(Table61011[[#This Row],[spawner_sku]],LEN(Table61011[[#This Row],[spawner_sku]])-FIND("/",Table61011[[#This Row],[spawner_sku]])),Table28[Entity Prefab],0)),24,1,1,"Entities"))</f>
        <v>no</v>
      </c>
      <c r="BW95" s="71">
        <v>6</v>
      </c>
      <c r="BX95" s="71">
        <v>7</v>
      </c>
      <c r="BY95" s="71" t="b">
        <v>1</v>
      </c>
      <c r="BZ95" s="71"/>
      <c r="CA95" s="147" t="s">
        <v>8142</v>
      </c>
      <c r="CB95">
        <v>1</v>
      </c>
      <c r="CC95">
        <v>200</v>
      </c>
      <c r="CD95">
        <v>60</v>
      </c>
      <c r="CE95" s="74">
        <f ca="1">INDIRECT(ADDRESS(11+(MATCH(RIGHT(Table35[[#This Row],[spawner_sku]],LEN(Table35[[#This Row],[spawner_sku]])-FIND("/",Table35[[#This Row],[spawner_sku]])),Table1[Entity Prefab],0)),10,1,1,"Entities"))</f>
        <v>75</v>
      </c>
      <c r="CF95" s="74">
        <f ca="1">ROUND((Table35[[#This Row],[XP]]*Table35[[#This Row],[entity_spawned (AVG)]])*(Table35[[#This Row],[activating_chance]]/100),0)</f>
        <v>45</v>
      </c>
      <c r="CG95" s="144" t="str">
        <f ca="1">INDIRECT(ADDRESS(11+(MATCH(RIGHT(Table35[[#This Row],[spawner_sku]],LEN(Table35[[#This Row],[spawner_sku]])-FIND("/",Table35[[#This Row],[spawner_sku]])),Table28[Entity Prefab],0)),24,1,1,"Entities"))</f>
        <v>no</v>
      </c>
      <c r="CH95">
        <v>1</v>
      </c>
      <c r="CI95">
        <v>1</v>
      </c>
      <c r="CJ95" s="71" t="b">
        <v>0</v>
      </c>
      <c r="CL95" t="s">
        <v>215</v>
      </c>
      <c r="CM95">
        <v>1.5</v>
      </c>
      <c r="CN95">
        <v>170</v>
      </c>
      <c r="CO95">
        <v>30</v>
      </c>
      <c r="CP95" s="74">
        <f ca="1">INDIRECT(ADDRESS(11+(MATCH(RIGHT(Table11[[#This Row],[spawner_sku]],LEN(Table11[[#This Row],[spawner_sku]])-FIND("/",Table11[[#This Row],[spawner_sku]])),Table1[Entity Prefab],0)),10,1,1,"Entities"))</f>
        <v>25</v>
      </c>
      <c r="CQ95">
        <f ca="1">ROUND((Table11[[#This Row],[XP]]*Table11[[#This Row],[entity_spawned (AVG)]])*(Table11[[#This Row],[activating_chance]]/100),0)</f>
        <v>11</v>
      </c>
      <c r="CR95" s="144" t="str">
        <f ca="1">INDIRECT(ADDRESS(11+(MATCH(RIGHT(Table11[[#This Row],[spawner_sku]],LEN(Table11[[#This Row],[spawner_sku]])-FIND("/",Table11[[#This Row],[spawner_sku]])),Table28[Entity Prefab],0)),25,1,1,"Entities"))</f>
        <v>no</v>
      </c>
      <c r="CS95" s="71">
        <v>1</v>
      </c>
      <c r="CT95" s="71">
        <v>2</v>
      </c>
      <c r="CU95" s="71" t="b">
        <v>0</v>
      </c>
      <c r="CW95" t="s">
        <v>233</v>
      </c>
      <c r="CX95">
        <v>1</v>
      </c>
      <c r="CY95">
        <v>500</v>
      </c>
      <c r="CZ95">
        <v>75</v>
      </c>
      <c r="DA95" s="74">
        <f ca="1">INDIRECT(ADDRESS(11+(MATCH(RIGHT(Table12[[#This Row],[spawner_sku]],LEN(Table12[[#This Row],[spawner_sku]])-FIND("/",Table12[[#This Row],[spawner_sku]])),Table1[Entity Prefab],0)),10,1,1,"Entities"))</f>
        <v>25</v>
      </c>
      <c r="DB95" s="74">
        <f ca="1">ROUND((Table12[[#This Row],[XP]]*Table12[[#This Row],[entity_spawned (AVG)]])*(Table12[[#This Row],[activating_chance]]/100),0)</f>
        <v>19</v>
      </c>
      <c r="DC95" s="144" t="str">
        <f ca="1">INDIRECT(ADDRESS(11+(MATCH(RIGHT(Table12[[#This Row],[spawner_sku]],LEN(Table12[[#This Row],[spawner_sku]])-FIND("/",Table12[[#This Row],[spawner_sku]])),Table28[Entity Prefab],0)),25,1,1,"Entities"))</f>
        <v>no</v>
      </c>
      <c r="DD95" s="71">
        <v>1</v>
      </c>
      <c r="DE95" s="71">
        <v>1</v>
      </c>
      <c r="DF95" s="71" t="b">
        <v>0</v>
      </c>
      <c r="DH95" t="s">
        <v>229</v>
      </c>
      <c r="DI95">
        <v>1</v>
      </c>
      <c r="DJ95">
        <v>1500</v>
      </c>
      <c r="DK95">
        <v>10</v>
      </c>
      <c r="DL95" s="74">
        <f ca="1">INDIRECT(ADDRESS(11+(MATCH(RIGHT(Table13[[#This Row],[spawner_sku]],LEN(Table13[[#This Row],[spawner_sku]])-FIND("/",Table13[[#This Row],[spawner_sku]])),Table1[Entity Prefab],0)),10,1,1,"Entities"))</f>
        <v>130</v>
      </c>
      <c r="DM95" s="74">
        <f ca="1">ROUND((Table13[[#This Row],[XP]]*Table13[[#This Row],[entity_spawned (AVG)]])*(Table13[[#This Row],[activating_chance]]/100),0)</f>
        <v>13</v>
      </c>
      <c r="DN95" s="144" t="str">
        <f ca="1">INDIRECT(ADDRESS(11+(MATCH(RIGHT(Table13[[#This Row],[spawner_sku]],LEN(Table13[[#This Row],[spawner_sku]])-FIND("/",Table13[[#This Row],[spawner_sku]])),Table28[Entity Prefab],0)),25,1,1,"Entities"))</f>
        <v>yes</v>
      </c>
      <c r="DO95" s="71">
        <v>1</v>
      </c>
      <c r="DP95" s="71">
        <v>1</v>
      </c>
      <c r="DQ95" s="71" t="b">
        <v>0</v>
      </c>
      <c r="DS95" t="s">
        <v>214</v>
      </c>
      <c r="DT95">
        <v>6.5</v>
      </c>
      <c r="DU95">
        <v>180</v>
      </c>
      <c r="DV95">
        <v>100</v>
      </c>
      <c r="DW95" s="74">
        <f ca="1">INDIRECT(ADDRESS(11+(MATCH(RIGHT(Table14[[#This Row],[spawner_sku]],LEN(Table14[[#This Row],[spawner_sku]])-FIND("/",Table14[[#This Row],[spawner_sku]])),Table1[Entity Prefab],0)),10,1,1,"Entities"))</f>
        <v>25</v>
      </c>
      <c r="DX95" s="74">
        <f ca="1">ROUND((Table14[[#This Row],[XP]]*Table14[[#This Row],[entity_spawned (AVG)]])*(Table14[[#This Row],[activating_chance]]/100),0)</f>
        <v>163</v>
      </c>
      <c r="DY95" s="144" t="str">
        <f ca="1">INDIRECT(ADDRESS(11+(MATCH(RIGHT(Table14[[#This Row],[spawner_sku]],LEN(Table14[[#This Row],[spawner_sku]])-FIND("/",Table14[[#This Row],[spawner_sku]])),Table28[Entity Prefab],0)),25,1,1,"Entities"))</f>
        <v>no</v>
      </c>
      <c r="DZ95" s="71">
        <v>5</v>
      </c>
      <c r="EA95" s="71">
        <v>8</v>
      </c>
      <c r="EB95" s="71" t="b">
        <v>1</v>
      </c>
      <c r="EC95" s="71"/>
      <c r="ED95" s="147" t="s">
        <v>8142</v>
      </c>
      <c r="EE95" s="71">
        <v>1</v>
      </c>
      <c r="EF95" s="71">
        <v>200</v>
      </c>
      <c r="EG95" s="71">
        <v>80</v>
      </c>
      <c r="EH95" s="71">
        <f ca="1">INDIRECT(ADDRESS(11+(MATCH(RIGHT(Table36[[#This Row],[spawner_sku]],LEN(Table36[[#This Row],[spawner_sku]])-FIND("/",Table36[[#This Row],[spawner_sku]])),Table1[Entity Prefab],0)),10,1,1,"Entities"))</f>
        <v>75</v>
      </c>
      <c r="EI95" s="71">
        <f ca="1">ROUND((Table36[[#This Row],[XP]]*Table36[[#This Row],[entity_spawned (AVG)]])*(Table36[[#This Row],[activating_chance]]/100),0)</f>
        <v>60</v>
      </c>
      <c r="EJ95" s="71" t="str">
        <f ca="1">INDIRECT(ADDRESS(11+(MATCH(RIGHT(Table36[[#This Row],[spawner_sku]],LEN(Table36[[#This Row],[spawner_sku]])-FIND("/",Table36[[#This Row],[spawner_sku]])),Table28[Entity Prefab],0)),25,1,1,"Entities"))</f>
        <v>no</v>
      </c>
      <c r="EK95" s="71">
        <v>1</v>
      </c>
      <c r="EL95" s="71">
        <v>1</v>
      </c>
      <c r="EM95" s="71" t="b">
        <v>0</v>
      </c>
      <c r="EO95" t="s">
        <v>376</v>
      </c>
      <c r="EP95">
        <v>2.5</v>
      </c>
      <c r="EQ95">
        <v>160</v>
      </c>
      <c r="ER95">
        <v>100</v>
      </c>
      <c r="ES95" s="74">
        <f ca="1">INDIRECT(ADDRESS(11+(MATCH(RIGHT(Table18[[#This Row],[spawner_sku]],LEN(Table18[[#This Row],[spawner_sku]])-FIND("/",Table18[[#This Row],[spawner_sku]])),Table1[Entity Prefab],0)),10,1,1,"Entities"))</f>
        <v>25</v>
      </c>
      <c r="ET95" s="74">
        <f ca="1">ROUND((Table18[[#This Row],[XP]]*Table18[[#This Row],[entity_spawned (AVG)]])*(Table18[[#This Row],[activating_chance]]/100),0)</f>
        <v>63</v>
      </c>
      <c r="EU95" s="74" t="str">
        <f ca="1">INDIRECT(ADDRESS(11+(MATCH(RIGHT(Table18[[#This Row],[spawner_sku]],LEN(Table18[[#This Row],[spawner_sku]])-FIND("/",Table18[[#This Row],[spawner_sku]])),Table28[Entity Prefab],0)),26,1,1,"Entities"))</f>
        <v>no</v>
      </c>
      <c r="EV95">
        <v>2</v>
      </c>
      <c r="EW95">
        <v>3</v>
      </c>
      <c r="EX95" t="b">
        <v>0</v>
      </c>
      <c r="EZ95" t="s">
        <v>219</v>
      </c>
      <c r="FA95">
        <v>2</v>
      </c>
      <c r="FB95">
        <v>250</v>
      </c>
      <c r="FC95">
        <v>100</v>
      </c>
      <c r="FD95" s="74">
        <f ca="1">INDIRECT(ADDRESS(11+(MATCH(RIGHT(Table1820[[#This Row],[spawner_sku]],LEN(Table1820[[#This Row],[spawner_sku]])-FIND("/",Table1820[[#This Row],[spawner_sku]])),Table1[Entity Prefab],0)),10,1,1,"Entities"))</f>
        <v>143</v>
      </c>
      <c r="FE95" s="74">
        <f ca="1">ROUND((Table1820[[#This Row],[XP]]*Table1820[[#This Row],[entity_spawned (AVG)]])*(Table1820[[#This Row],[activating_chance]]/100),0)</f>
        <v>286</v>
      </c>
      <c r="FF95" s="74" t="str">
        <f ca="1">INDIRECT(ADDRESS(11+(MATCH(RIGHT(Table1820[[#This Row],[spawner_sku]],LEN(Table1820[[#This Row],[spawner_sku]])-FIND("/",Table1820[[#This Row],[spawner_sku]])),Table28[Entity Prefab],0)),26,1,1,"Entities"))</f>
        <v>yes</v>
      </c>
      <c r="FG95">
        <v>1</v>
      </c>
      <c r="FH95">
        <v>3</v>
      </c>
      <c r="FI95" t="b">
        <v>0</v>
      </c>
      <c r="FK95" t="s">
        <v>2695</v>
      </c>
      <c r="FL95">
        <v>2.5</v>
      </c>
      <c r="FM95">
        <v>70</v>
      </c>
      <c r="FN95">
        <v>100</v>
      </c>
      <c r="FO95">
        <f ca="1">INDIRECT(ADDRESS(11+(MATCH(RIGHT(Table182023[[#This Row],[spawner_sku]],LEN(Table182023[[#This Row],[spawner_sku]])-FIND("/",Table182023[[#This Row],[spawner_sku]])),Table1[Entity Prefab],0)),10,1,1,"Entities"))</f>
        <v>40</v>
      </c>
      <c r="FP95">
        <f ca="1">ROUND((Table182023[[#This Row],[XP]]*Table182023[[#This Row],[entity_spawned (AVG)]])*(Table182023[[#This Row],[activating_chance]]/100),0)</f>
        <v>100</v>
      </c>
      <c r="FQ95" t="str">
        <f ca="1">INDIRECT(ADDRESS(11+(MATCH(RIGHT(Table182023[[#This Row],[spawner_sku]],LEN(Table182023[[#This Row],[spawner_sku]])-FIND("/",Table182023[[#This Row],[spawner_sku]])),Table28[Entity Prefab],0)),26,1,1,"Entities"))</f>
        <v>no</v>
      </c>
      <c r="FR95">
        <v>2</v>
      </c>
      <c r="FS95">
        <v>3</v>
      </c>
      <c r="FT95" t="b">
        <v>0</v>
      </c>
      <c r="FV95" t="s">
        <v>2695</v>
      </c>
      <c r="FW95">
        <v>5.5</v>
      </c>
      <c r="FX95">
        <v>90</v>
      </c>
      <c r="FY95">
        <v>80</v>
      </c>
      <c r="FZ95" s="74">
        <f ca="1">INDIRECT(ADDRESS(11+(MATCH(RIGHT(Table18202324[[#This Row],[spawner_sku]],LEN(Table18202324[[#This Row],[spawner_sku]])-FIND("/",Table18202324[[#This Row],[spawner_sku]])),Table1[Entity Prefab],0)),10,1,1,"Entities"))</f>
        <v>40</v>
      </c>
      <c r="GA95" s="74">
        <f ca="1">ROUND((Table18202324[[#This Row],[XP]]*Table18202324[[#This Row],[entity_spawned (AVG)]])*(Table18202324[[#This Row],[activating_chance]]/100),0)</f>
        <v>176</v>
      </c>
      <c r="GB95" s="74" t="str">
        <f ca="1">INDIRECT(ADDRESS(11+(MATCH(RIGHT(Table18202324[[#This Row],[spawner_sku]],LEN(Table18202324[[#This Row],[spawner_sku]])-FIND("/",Table18202324[[#This Row],[spawner_sku]])),Table28[Entity Prefab],0)),26,1,1,"Entities"))</f>
        <v>no</v>
      </c>
      <c r="GC95">
        <v>5</v>
      </c>
      <c r="GD95">
        <v>6</v>
      </c>
      <c r="GE95" t="b">
        <v>1</v>
      </c>
      <c r="GG95" t="s">
        <v>3816</v>
      </c>
      <c r="GH95">
        <v>1</v>
      </c>
      <c r="GI95">
        <v>240</v>
      </c>
      <c r="GJ95">
        <v>100</v>
      </c>
      <c r="GK95">
        <f ca="1">INDIRECT(ADDRESS(11+(MATCH(RIGHT(Table37[[#This Row],[spawner_sku]],LEN(Table37[[#This Row],[spawner_sku]])-FIND("/",Table37[[#This Row],[spawner_sku]])),Table1[Entity Prefab],0)),10,1,1,"Entities"))</f>
        <v>50</v>
      </c>
      <c r="GL95">
        <f ca="1">ROUND((Table37[[#This Row],[XP]]*Table37[[#This Row],[entity_spawned (AVG)]])*(Table37[[#This Row],[activating_chance]]/100),0)</f>
        <v>50</v>
      </c>
      <c r="GM95" t="str">
        <f ca="1">INDIRECT(ADDRESS(11+(MATCH(RIGHT(Table37[[#This Row],[spawner_sku]],LEN(Table37[[#This Row],[spawner_sku]])-FIND("/",Table37[[#This Row],[spawner_sku]])),Table28[Entity Prefab],0)),26,1,1,"Entities"))</f>
        <v>no</v>
      </c>
      <c r="GN95">
        <v>1</v>
      </c>
      <c r="GO95">
        <v>1</v>
      </c>
      <c r="GP95" t="b">
        <v>0</v>
      </c>
    </row>
    <row r="96" spans="2:198" x14ac:dyDescent="0.25">
      <c r="B96" s="72" t="s">
        <v>215</v>
      </c>
      <c r="C96">
        <v>3.5</v>
      </c>
      <c r="D96">
        <v>160</v>
      </c>
      <c r="E96">
        <v>100</v>
      </c>
      <c r="F96" s="74">
        <f ca="1">INDIRECT(ADDRESS(11+(MATCH(RIGHT(Table245[[#This Row],[spawner_sku]],LEN(Table245[[#This Row],[spawner_sku]])-FIND("/",Table245[[#This Row],[spawner_sku]])),Table1[Entity Prefab],0)),10,1,1,"Entities"))</f>
        <v>25</v>
      </c>
      <c r="G96" s="74">
        <f ca="1">ROUND((Table245[[#This Row],[XP]]*Table245[[#This Row],[entity_spawned (AVG)]])*(Table245[[#This Row],[activating_chance]]/100),0)</f>
        <v>88</v>
      </c>
      <c r="H96" s="71" t="str">
        <f ca="1">INDIRECT(ADDRESS(11+(MATCH(RIGHT(Table245[[#This Row],[spawner_sku]],LEN(Table245[[#This Row],[spawner_sku]])-FIND("/",Table245[[#This Row],[spawner_sku]])),Table28[Entity Prefab],0)),24,1,1,"Entities"))</f>
        <v>no</v>
      </c>
      <c r="I96" s="71">
        <v>3</v>
      </c>
      <c r="J96" s="71">
        <v>4</v>
      </c>
      <c r="K96" s="71" t="b">
        <v>0</v>
      </c>
      <c r="M96" t="s">
        <v>242</v>
      </c>
      <c r="N96">
        <v>1</v>
      </c>
      <c r="O96">
        <v>170</v>
      </c>
      <c r="P96">
        <v>80</v>
      </c>
      <c r="Q96" s="74">
        <f ca="1">INDIRECT(ADDRESS(11+(MATCH(RIGHT(Table3[[#This Row],[spawner_sku]],LEN(Table3[[#This Row],[spawner_sku]])-FIND("/",Table3[[#This Row],[spawner_sku]])),Table1[Entity Prefab],0)),10,1,1,"Entities"))</f>
        <v>25</v>
      </c>
      <c r="R96" s="74">
        <f ca="1">ROUND((Table3[[#This Row],[XP]]*Table3[[#This Row],[entity_spawned (AVG)]])*(Table3[[#This Row],[activating_chance]]/100),0)</f>
        <v>20</v>
      </c>
      <c r="S96" t="str">
        <f ca="1">INDIRECT(ADDRESS(11+(MATCH(RIGHT(Table3[[#This Row],[spawner_sku]],LEN(Table3[[#This Row],[spawner_sku]])-FIND("/",Table3[[#This Row],[spawner_sku]])),Table28[Entity Prefab],0)),24,1,1,"Entities"))</f>
        <v>no</v>
      </c>
      <c r="T96">
        <v>1</v>
      </c>
      <c r="U96">
        <v>1</v>
      </c>
      <c r="V96" t="b">
        <v>0</v>
      </c>
      <c r="W96" s="71"/>
      <c r="AI96" t="s">
        <v>215</v>
      </c>
      <c r="AJ96">
        <v>2</v>
      </c>
      <c r="AK96">
        <v>110</v>
      </c>
      <c r="AL96">
        <v>100</v>
      </c>
      <c r="AM96" s="74">
        <f ca="1">INDIRECT(ADDRESS(11+(MATCH(RIGHT(Table2[[#This Row],[spawner_sku]],LEN(Table2[[#This Row],[spawner_sku]])-FIND("/",Table2[[#This Row],[spawner_sku]])),Table1[Entity Prefab],0)),10,1,1,"Entities"))</f>
        <v>25</v>
      </c>
      <c r="AN96" s="74">
        <f ca="1">ROUND((Table2[[#This Row],[XP]]*Table2[[#This Row],[entity_spawned (AVG)]])*(Table2[[#This Row],[activating_chance]]/100),0)</f>
        <v>50</v>
      </c>
      <c r="AO96" s="71" t="str">
        <f ca="1">INDIRECT(ADDRESS(11+(MATCH(RIGHT(Table2[[#This Row],[spawner_sku]],LEN(Table2[[#This Row],[spawner_sku]])-FIND("/",Table2[[#This Row],[spawner_sku]])),Table28[Entity Prefab],0)),24,1,1,"Entities"))</f>
        <v>no</v>
      </c>
      <c r="AP96" s="71">
        <v>1</v>
      </c>
      <c r="AQ96" s="71">
        <v>3</v>
      </c>
      <c r="AR96" s="71" t="b">
        <v>0</v>
      </c>
      <c r="AT96" t="s">
        <v>8112</v>
      </c>
      <c r="AU96">
        <v>1</v>
      </c>
      <c r="AV96">
        <v>300</v>
      </c>
      <c r="AW96">
        <v>100</v>
      </c>
      <c r="AX96" s="74">
        <f ca="1">INDIRECT(ADDRESS(11+(MATCH(RIGHT(Table6[[#This Row],[spawner_sku]],LEN(Table6[[#This Row],[spawner_sku]])-FIND("/",Table6[[#This Row],[spawner_sku]])),Table1[Entity Prefab],0)),10,1,1,"Entities"))</f>
        <v>150</v>
      </c>
      <c r="AY96" s="74">
        <f ca="1">ROUND((Table6[[#This Row],[XP]]*Table6[[#This Row],[entity_spawned (AVG)]])*(Table6[[#This Row],[activating_chance]]/100),0)</f>
        <v>150</v>
      </c>
      <c r="AZ96" s="144" t="str">
        <f ca="1">INDIRECT(ADDRESS(11+(MATCH(RIGHT(Table6[[#This Row],[spawner_sku]],LEN(Table6[[#This Row],[spawner_sku]])-FIND("/",Table6[[#This Row],[spawner_sku]])),Table28[Entity Prefab],0)),24,1,1,"Entities"))</f>
        <v>yes</v>
      </c>
      <c r="BA96">
        <v>1</v>
      </c>
      <c r="BB96">
        <v>1</v>
      </c>
      <c r="BC96" t="b">
        <v>0</v>
      </c>
      <c r="BE96" t="s">
        <v>223</v>
      </c>
      <c r="BF96">
        <v>2.5</v>
      </c>
      <c r="BG96">
        <v>170</v>
      </c>
      <c r="BH96">
        <v>100</v>
      </c>
      <c r="BI96" s="74">
        <f ca="1">INDIRECT(ADDRESS(11+(MATCH(RIGHT(Table610[[#This Row],[spawner_sku]],LEN(Table610[[#This Row],[spawner_sku]])-FIND("/",Table610[[#This Row],[spawner_sku]])),Table1[Entity Prefab],0)),10,1,1,"Entities"))</f>
        <v>70</v>
      </c>
      <c r="BJ96" s="74">
        <f ca="1">ROUND((Table610[[#This Row],[XP]]*Table610[[#This Row],[entity_spawned (AVG)]])*(Table610[[#This Row],[activating_chance]]/100),0)</f>
        <v>175</v>
      </c>
      <c r="BK96" s="71" t="str">
        <f ca="1">INDIRECT(ADDRESS(11+(MATCH(RIGHT(Table610[[#This Row],[spawner_sku]],LEN(Table610[[#This Row],[spawner_sku]])-FIND("/",Table610[[#This Row],[spawner_sku]])),Table28[Entity Prefab],0)),24,1,1,"Entities"))</f>
        <v>yes</v>
      </c>
      <c r="BL96">
        <v>2</v>
      </c>
      <c r="BM96">
        <v>3</v>
      </c>
      <c r="BN96" t="b">
        <v>0</v>
      </c>
      <c r="BP96" t="s">
        <v>376</v>
      </c>
      <c r="BQ96">
        <v>7</v>
      </c>
      <c r="BR96">
        <v>230</v>
      </c>
      <c r="BS96">
        <v>100</v>
      </c>
      <c r="BT96" s="74">
        <f ca="1">INDIRECT(ADDRESS(11+(MATCH(RIGHT(Table61011[[#This Row],[spawner_sku]],LEN(Table61011[[#This Row],[spawner_sku]])-FIND("/",Table61011[[#This Row],[spawner_sku]])),Table1[Entity Prefab],0)),10,1,1,"Entities"))</f>
        <v>25</v>
      </c>
      <c r="BU96" s="74">
        <f ca="1">ROUND((Table61011[[#This Row],[XP]]*Table61011[[#This Row],[entity_spawned (AVG)]])*(Table61011[[#This Row],[activating_chance]]/100),0)</f>
        <v>175</v>
      </c>
      <c r="BV96" s="71" t="str">
        <f ca="1">INDIRECT(ADDRESS(11+(MATCH(RIGHT(Table61011[[#This Row],[spawner_sku]],LEN(Table61011[[#This Row],[spawner_sku]])-FIND("/",Table61011[[#This Row],[spawner_sku]])),Table28[Entity Prefab],0)),24,1,1,"Entities"))</f>
        <v>no</v>
      </c>
      <c r="BW96" s="71">
        <v>6</v>
      </c>
      <c r="BX96" s="71">
        <v>8</v>
      </c>
      <c r="BY96" s="71" t="b">
        <v>1</v>
      </c>
      <c r="BZ96" s="71"/>
      <c r="CA96" s="147" t="s">
        <v>8142</v>
      </c>
      <c r="CB96">
        <v>1</v>
      </c>
      <c r="CC96">
        <v>200</v>
      </c>
      <c r="CD96">
        <v>100</v>
      </c>
      <c r="CE96" s="74">
        <f ca="1">INDIRECT(ADDRESS(11+(MATCH(RIGHT(Table35[[#This Row],[spawner_sku]],LEN(Table35[[#This Row],[spawner_sku]])-FIND("/",Table35[[#This Row],[spawner_sku]])),Table1[Entity Prefab],0)),10,1,1,"Entities"))</f>
        <v>75</v>
      </c>
      <c r="CF96" s="74">
        <f ca="1">ROUND((Table35[[#This Row],[XP]]*Table35[[#This Row],[entity_spawned (AVG)]])*(Table35[[#This Row],[activating_chance]]/100),0)</f>
        <v>75</v>
      </c>
      <c r="CG96" s="144" t="str">
        <f ca="1">INDIRECT(ADDRESS(11+(MATCH(RIGHT(Table35[[#This Row],[spawner_sku]],LEN(Table35[[#This Row],[spawner_sku]])-FIND("/",Table35[[#This Row],[spawner_sku]])),Table28[Entity Prefab],0)),24,1,1,"Entities"))</f>
        <v>no</v>
      </c>
      <c r="CH96">
        <v>1</v>
      </c>
      <c r="CI96">
        <v>1</v>
      </c>
      <c r="CJ96" s="71" t="b">
        <v>0</v>
      </c>
      <c r="CL96" t="s">
        <v>215</v>
      </c>
      <c r="CM96">
        <v>2.5</v>
      </c>
      <c r="CN96">
        <v>180</v>
      </c>
      <c r="CO96">
        <v>100</v>
      </c>
      <c r="CP96" s="74">
        <f ca="1">INDIRECT(ADDRESS(11+(MATCH(RIGHT(Table11[[#This Row],[spawner_sku]],LEN(Table11[[#This Row],[spawner_sku]])-FIND("/",Table11[[#This Row],[spawner_sku]])),Table1[Entity Prefab],0)),10,1,1,"Entities"))</f>
        <v>25</v>
      </c>
      <c r="CQ96">
        <f ca="1">ROUND((Table11[[#This Row],[XP]]*Table11[[#This Row],[entity_spawned (AVG)]])*(Table11[[#This Row],[activating_chance]]/100),0)</f>
        <v>63</v>
      </c>
      <c r="CR96" s="144" t="str">
        <f ca="1">INDIRECT(ADDRESS(11+(MATCH(RIGHT(Table11[[#This Row],[spawner_sku]],LEN(Table11[[#This Row],[spawner_sku]])-FIND("/",Table11[[#This Row],[spawner_sku]])),Table28[Entity Prefab],0)),25,1,1,"Entities"))</f>
        <v>no</v>
      </c>
      <c r="CS96" s="71">
        <v>2</v>
      </c>
      <c r="CT96" s="71">
        <v>3</v>
      </c>
      <c r="CU96" s="71" t="b">
        <v>0</v>
      </c>
      <c r="CW96" t="s">
        <v>233</v>
      </c>
      <c r="CX96">
        <v>1</v>
      </c>
      <c r="CY96">
        <v>500</v>
      </c>
      <c r="CZ96">
        <v>75</v>
      </c>
      <c r="DA96" s="74">
        <f ca="1">INDIRECT(ADDRESS(11+(MATCH(RIGHT(Table12[[#This Row],[spawner_sku]],LEN(Table12[[#This Row],[spawner_sku]])-FIND("/",Table12[[#This Row],[spawner_sku]])),Table1[Entity Prefab],0)),10,1,1,"Entities"))</f>
        <v>25</v>
      </c>
      <c r="DB96" s="74">
        <f ca="1">ROUND((Table12[[#This Row],[XP]]*Table12[[#This Row],[entity_spawned (AVG)]])*(Table12[[#This Row],[activating_chance]]/100),0)</f>
        <v>19</v>
      </c>
      <c r="DC96" s="144" t="str">
        <f ca="1">INDIRECT(ADDRESS(11+(MATCH(RIGHT(Table12[[#This Row],[spawner_sku]],LEN(Table12[[#This Row],[spawner_sku]])-FIND("/",Table12[[#This Row],[spawner_sku]])),Table28[Entity Prefab],0)),25,1,1,"Entities"))</f>
        <v>no</v>
      </c>
      <c r="DD96" s="71">
        <v>1</v>
      </c>
      <c r="DE96" s="71">
        <v>1</v>
      </c>
      <c r="DF96" s="71" t="b">
        <v>0</v>
      </c>
      <c r="DH96" t="s">
        <v>230</v>
      </c>
      <c r="DI96">
        <v>1</v>
      </c>
      <c r="DJ96">
        <v>200</v>
      </c>
      <c r="DK96">
        <v>100</v>
      </c>
      <c r="DL96" s="74">
        <f ca="1">INDIRECT(ADDRESS(11+(MATCH(RIGHT(Table13[[#This Row],[spawner_sku]],LEN(Table13[[#This Row],[spawner_sku]])-FIND("/",Table13[[#This Row],[spawner_sku]])),Table1[Entity Prefab],0)),10,1,1,"Entities"))</f>
        <v>28</v>
      </c>
      <c r="DM96" s="74">
        <f ca="1">ROUND((Table13[[#This Row],[XP]]*Table13[[#This Row],[entity_spawned (AVG)]])*(Table13[[#This Row],[activating_chance]]/100),0)</f>
        <v>28</v>
      </c>
      <c r="DN96" s="144" t="str">
        <f ca="1">INDIRECT(ADDRESS(11+(MATCH(RIGHT(Table13[[#This Row],[spawner_sku]],LEN(Table13[[#This Row],[spawner_sku]])-FIND("/",Table13[[#This Row],[spawner_sku]])),Table28[Entity Prefab],0)),25,1,1,"Entities"))</f>
        <v>no</v>
      </c>
      <c r="DO96" s="71">
        <v>1</v>
      </c>
      <c r="DP96" s="71">
        <v>1</v>
      </c>
      <c r="DQ96" s="71" t="b">
        <v>0</v>
      </c>
      <c r="DS96" t="s">
        <v>214</v>
      </c>
      <c r="DT96">
        <v>3</v>
      </c>
      <c r="DU96">
        <v>120</v>
      </c>
      <c r="DV96">
        <v>100</v>
      </c>
      <c r="DW96" s="74">
        <f ca="1">INDIRECT(ADDRESS(11+(MATCH(RIGHT(Table14[[#This Row],[spawner_sku]],LEN(Table14[[#This Row],[spawner_sku]])-FIND("/",Table14[[#This Row],[spawner_sku]])),Table1[Entity Prefab],0)),10,1,1,"Entities"))</f>
        <v>25</v>
      </c>
      <c r="DX96" s="74">
        <f ca="1">ROUND((Table14[[#This Row],[XP]]*Table14[[#This Row],[entity_spawned (AVG)]])*(Table14[[#This Row],[activating_chance]]/100),0)</f>
        <v>75</v>
      </c>
      <c r="DY96" s="144" t="str">
        <f ca="1">INDIRECT(ADDRESS(11+(MATCH(RIGHT(Table14[[#This Row],[spawner_sku]],LEN(Table14[[#This Row],[spawner_sku]])-FIND("/",Table14[[#This Row],[spawner_sku]])),Table28[Entity Prefab],0)),25,1,1,"Entities"))</f>
        <v>no</v>
      </c>
      <c r="DZ96" s="71">
        <v>3</v>
      </c>
      <c r="EA96" s="71">
        <v>3</v>
      </c>
      <c r="EB96" s="71" t="b">
        <v>0</v>
      </c>
      <c r="EC96" s="71"/>
      <c r="ED96" s="147" t="s">
        <v>8142</v>
      </c>
      <c r="EE96" s="71">
        <v>1</v>
      </c>
      <c r="EF96" s="71">
        <v>200</v>
      </c>
      <c r="EG96" s="71">
        <v>80</v>
      </c>
      <c r="EH96" s="71">
        <f ca="1">INDIRECT(ADDRESS(11+(MATCH(RIGHT(Table36[[#This Row],[spawner_sku]],LEN(Table36[[#This Row],[spawner_sku]])-FIND("/",Table36[[#This Row],[spawner_sku]])),Table1[Entity Prefab],0)),10,1,1,"Entities"))</f>
        <v>75</v>
      </c>
      <c r="EI96" s="71">
        <f ca="1">ROUND((Table36[[#This Row],[XP]]*Table36[[#This Row],[entity_spawned (AVG)]])*(Table36[[#This Row],[activating_chance]]/100),0)</f>
        <v>60</v>
      </c>
      <c r="EJ96" s="71" t="str">
        <f ca="1">INDIRECT(ADDRESS(11+(MATCH(RIGHT(Table36[[#This Row],[spawner_sku]],LEN(Table36[[#This Row],[spawner_sku]])-FIND("/",Table36[[#This Row],[spawner_sku]])),Table28[Entity Prefab],0)),25,1,1,"Entities"))</f>
        <v>no</v>
      </c>
      <c r="EK96" s="71">
        <v>1</v>
      </c>
      <c r="EL96" s="71">
        <v>1</v>
      </c>
      <c r="EM96" s="71" t="b">
        <v>0</v>
      </c>
      <c r="EO96" t="s">
        <v>376</v>
      </c>
      <c r="EP96">
        <v>7</v>
      </c>
      <c r="EQ96">
        <v>100</v>
      </c>
      <c r="ER96">
        <v>100</v>
      </c>
      <c r="ES96" s="74">
        <f ca="1">INDIRECT(ADDRESS(11+(MATCH(RIGHT(Table18[[#This Row],[spawner_sku]],LEN(Table18[[#This Row],[spawner_sku]])-FIND("/",Table18[[#This Row],[spawner_sku]])),Table1[Entity Prefab],0)),10,1,1,"Entities"))</f>
        <v>25</v>
      </c>
      <c r="ET96" s="74">
        <f ca="1">ROUND((Table18[[#This Row],[XP]]*Table18[[#This Row],[entity_spawned (AVG)]])*(Table18[[#This Row],[activating_chance]]/100),0)</f>
        <v>175</v>
      </c>
      <c r="EU96" s="74" t="str">
        <f ca="1">INDIRECT(ADDRESS(11+(MATCH(RIGHT(Table18[[#This Row],[spawner_sku]],LEN(Table18[[#This Row],[spawner_sku]])-FIND("/",Table18[[#This Row],[spawner_sku]])),Table28[Entity Prefab],0)),26,1,1,"Entities"))</f>
        <v>no</v>
      </c>
      <c r="EV96">
        <v>6</v>
      </c>
      <c r="EW96">
        <v>8</v>
      </c>
      <c r="EX96" t="b">
        <v>1</v>
      </c>
      <c r="EZ96" t="s">
        <v>219</v>
      </c>
      <c r="FA96">
        <v>1.5</v>
      </c>
      <c r="FB96">
        <v>250</v>
      </c>
      <c r="FC96">
        <v>100</v>
      </c>
      <c r="FD96" s="74">
        <f ca="1">INDIRECT(ADDRESS(11+(MATCH(RIGHT(Table1820[[#This Row],[spawner_sku]],LEN(Table1820[[#This Row],[spawner_sku]])-FIND("/",Table1820[[#This Row],[spawner_sku]])),Table1[Entity Prefab],0)),10,1,1,"Entities"))</f>
        <v>143</v>
      </c>
      <c r="FE96" s="74">
        <f ca="1">ROUND((Table1820[[#This Row],[XP]]*Table1820[[#This Row],[entity_spawned (AVG)]])*(Table1820[[#This Row],[activating_chance]]/100),0)</f>
        <v>215</v>
      </c>
      <c r="FF96" s="74" t="str">
        <f ca="1">INDIRECT(ADDRESS(11+(MATCH(RIGHT(Table1820[[#This Row],[spawner_sku]],LEN(Table1820[[#This Row],[spawner_sku]])-FIND("/",Table1820[[#This Row],[spawner_sku]])),Table28[Entity Prefab],0)),26,1,1,"Entities"))</f>
        <v>yes</v>
      </c>
      <c r="FG96">
        <v>1</v>
      </c>
      <c r="FH96">
        <v>2</v>
      </c>
      <c r="FI96" t="b">
        <v>0</v>
      </c>
      <c r="FK96" t="s">
        <v>2695</v>
      </c>
      <c r="FL96">
        <v>3</v>
      </c>
      <c r="FM96">
        <v>80</v>
      </c>
      <c r="FN96">
        <v>80</v>
      </c>
      <c r="FO96">
        <f ca="1">INDIRECT(ADDRESS(11+(MATCH(RIGHT(Table182023[[#This Row],[spawner_sku]],LEN(Table182023[[#This Row],[spawner_sku]])-FIND("/",Table182023[[#This Row],[spawner_sku]])),Table1[Entity Prefab],0)),10,1,1,"Entities"))</f>
        <v>40</v>
      </c>
      <c r="FP96">
        <f ca="1">ROUND((Table182023[[#This Row],[XP]]*Table182023[[#This Row],[entity_spawned (AVG)]])*(Table182023[[#This Row],[activating_chance]]/100),0)</f>
        <v>96</v>
      </c>
      <c r="FQ96" t="str">
        <f ca="1">INDIRECT(ADDRESS(11+(MATCH(RIGHT(Table182023[[#This Row],[spawner_sku]],LEN(Table182023[[#This Row],[spawner_sku]])-FIND("/",Table182023[[#This Row],[spawner_sku]])),Table28[Entity Prefab],0)),26,1,1,"Entities"))</f>
        <v>no</v>
      </c>
      <c r="FR96">
        <v>2</v>
      </c>
      <c r="FS96">
        <v>4</v>
      </c>
      <c r="FT96" t="b">
        <v>0</v>
      </c>
      <c r="FV96" t="s">
        <v>2695</v>
      </c>
      <c r="FW96">
        <v>2</v>
      </c>
      <c r="FX96">
        <v>90</v>
      </c>
      <c r="FY96">
        <v>80</v>
      </c>
      <c r="FZ96" s="74">
        <f ca="1">INDIRECT(ADDRESS(11+(MATCH(RIGHT(Table18202324[[#This Row],[spawner_sku]],LEN(Table18202324[[#This Row],[spawner_sku]])-FIND("/",Table18202324[[#This Row],[spawner_sku]])),Table1[Entity Prefab],0)),10,1,1,"Entities"))</f>
        <v>40</v>
      </c>
      <c r="GA96" s="74">
        <f ca="1">ROUND((Table18202324[[#This Row],[XP]]*Table18202324[[#This Row],[entity_spawned (AVG)]])*(Table18202324[[#This Row],[activating_chance]]/100),0)</f>
        <v>64</v>
      </c>
      <c r="GB96" s="74" t="str">
        <f ca="1">INDIRECT(ADDRESS(11+(MATCH(RIGHT(Table18202324[[#This Row],[spawner_sku]],LEN(Table18202324[[#This Row],[spawner_sku]])-FIND("/",Table18202324[[#This Row],[spawner_sku]])),Table28[Entity Prefab],0)),26,1,1,"Entities"))</f>
        <v>no</v>
      </c>
      <c r="GC96">
        <v>1</v>
      </c>
      <c r="GD96">
        <v>3</v>
      </c>
      <c r="GE96" t="b">
        <v>0</v>
      </c>
      <c r="GG96" t="s">
        <v>3816</v>
      </c>
      <c r="GH96">
        <v>1</v>
      </c>
      <c r="GI96">
        <v>240</v>
      </c>
      <c r="GJ96">
        <v>100</v>
      </c>
      <c r="GK96">
        <f ca="1">INDIRECT(ADDRESS(11+(MATCH(RIGHT(Table37[[#This Row],[spawner_sku]],LEN(Table37[[#This Row],[spawner_sku]])-FIND("/",Table37[[#This Row],[spawner_sku]])),Table1[Entity Prefab],0)),10,1,1,"Entities"))</f>
        <v>50</v>
      </c>
      <c r="GL96">
        <f ca="1">ROUND((Table37[[#This Row],[XP]]*Table37[[#This Row],[entity_spawned (AVG)]])*(Table37[[#This Row],[activating_chance]]/100),0)</f>
        <v>50</v>
      </c>
      <c r="GM96" t="str">
        <f ca="1">INDIRECT(ADDRESS(11+(MATCH(RIGHT(Table37[[#This Row],[spawner_sku]],LEN(Table37[[#This Row],[spawner_sku]])-FIND("/",Table37[[#This Row],[spawner_sku]])),Table28[Entity Prefab],0)),26,1,1,"Entities"))</f>
        <v>no</v>
      </c>
      <c r="GN96">
        <v>1</v>
      </c>
      <c r="GO96">
        <v>1</v>
      </c>
      <c r="GP96" t="b">
        <v>0</v>
      </c>
    </row>
    <row r="97" spans="2:198" x14ac:dyDescent="0.25">
      <c r="B97" s="72" t="s">
        <v>215</v>
      </c>
      <c r="C97">
        <v>3</v>
      </c>
      <c r="D97">
        <v>110</v>
      </c>
      <c r="E97">
        <v>30</v>
      </c>
      <c r="F97" s="74">
        <f ca="1">INDIRECT(ADDRESS(11+(MATCH(RIGHT(Table245[[#This Row],[spawner_sku]],LEN(Table245[[#This Row],[spawner_sku]])-FIND("/",Table245[[#This Row],[spawner_sku]])),Table1[Entity Prefab],0)),10,1,1,"Entities"))</f>
        <v>25</v>
      </c>
      <c r="G97" s="74">
        <f ca="1">ROUND((Table245[[#This Row],[XP]]*Table245[[#This Row],[entity_spawned (AVG)]])*(Table245[[#This Row],[activating_chance]]/100),0)</f>
        <v>23</v>
      </c>
      <c r="H97" s="71" t="str">
        <f ca="1">INDIRECT(ADDRESS(11+(MATCH(RIGHT(Table245[[#This Row],[spawner_sku]],LEN(Table245[[#This Row],[spawner_sku]])-FIND("/",Table245[[#This Row],[spawner_sku]])),Table28[Entity Prefab],0)),24,1,1,"Entities"))</f>
        <v>no</v>
      </c>
      <c r="I97" s="71">
        <v>2</v>
      </c>
      <c r="J97" s="71">
        <v>4</v>
      </c>
      <c r="K97" s="71" t="b">
        <v>0</v>
      </c>
      <c r="M97" t="s">
        <v>242</v>
      </c>
      <c r="N97">
        <v>1</v>
      </c>
      <c r="O97">
        <v>150</v>
      </c>
      <c r="P97">
        <v>40</v>
      </c>
      <c r="Q97" s="74">
        <f ca="1">INDIRECT(ADDRESS(11+(MATCH(RIGHT(Table3[[#This Row],[spawner_sku]],LEN(Table3[[#This Row],[spawner_sku]])-FIND("/",Table3[[#This Row],[spawner_sku]])),Table1[Entity Prefab],0)),10,1,1,"Entities"))</f>
        <v>25</v>
      </c>
      <c r="R97" s="74">
        <f ca="1">ROUND((Table3[[#This Row],[XP]]*Table3[[#This Row],[entity_spawned (AVG)]])*(Table3[[#This Row],[activating_chance]]/100),0)</f>
        <v>10</v>
      </c>
      <c r="S97" t="str">
        <f ca="1">INDIRECT(ADDRESS(11+(MATCH(RIGHT(Table3[[#This Row],[spawner_sku]],LEN(Table3[[#This Row],[spawner_sku]])-FIND("/",Table3[[#This Row],[spawner_sku]])),Table28[Entity Prefab],0)),24,1,1,"Entities"))</f>
        <v>no</v>
      </c>
      <c r="T97">
        <v>1</v>
      </c>
      <c r="U97">
        <v>1</v>
      </c>
      <c r="V97" t="b">
        <v>0</v>
      </c>
      <c r="W97" s="71"/>
      <c r="AI97" t="s">
        <v>215</v>
      </c>
      <c r="AJ97">
        <v>6.5</v>
      </c>
      <c r="AK97">
        <v>140</v>
      </c>
      <c r="AL97">
        <v>40</v>
      </c>
      <c r="AM97" s="74">
        <f ca="1">INDIRECT(ADDRESS(11+(MATCH(RIGHT(Table2[[#This Row],[spawner_sku]],LEN(Table2[[#This Row],[spawner_sku]])-FIND("/",Table2[[#This Row],[spawner_sku]])),Table1[Entity Prefab],0)),10,1,1,"Entities"))</f>
        <v>25</v>
      </c>
      <c r="AN97" s="74">
        <f ca="1">ROUND((Table2[[#This Row],[XP]]*Table2[[#This Row],[entity_spawned (AVG)]])*(Table2[[#This Row],[activating_chance]]/100),0)</f>
        <v>65</v>
      </c>
      <c r="AO97" s="71" t="str">
        <f ca="1">INDIRECT(ADDRESS(11+(MATCH(RIGHT(Table2[[#This Row],[spawner_sku]],LEN(Table2[[#This Row],[spawner_sku]])-FIND("/",Table2[[#This Row],[spawner_sku]])),Table28[Entity Prefab],0)),24,1,1,"Entities"))</f>
        <v>no</v>
      </c>
      <c r="AP97" s="71">
        <v>5</v>
      </c>
      <c r="AQ97" s="71">
        <v>8</v>
      </c>
      <c r="AR97" s="71" t="b">
        <v>1</v>
      </c>
      <c r="AT97" t="s">
        <v>423</v>
      </c>
      <c r="AU97">
        <v>2.5</v>
      </c>
      <c r="AV97">
        <v>190</v>
      </c>
      <c r="AW97">
        <v>100</v>
      </c>
      <c r="AX97" s="74">
        <f ca="1">INDIRECT(ADDRESS(11+(MATCH(RIGHT(Table6[[#This Row],[spawner_sku]],LEN(Table6[[#This Row],[spawner_sku]])-FIND("/",Table6[[#This Row],[spawner_sku]])),Table1[Entity Prefab],0)),10,1,1,"Entities"))</f>
        <v>0</v>
      </c>
      <c r="AY97" s="74">
        <f ca="1">ROUND((Table6[[#This Row],[XP]]*Table6[[#This Row],[entity_spawned (AVG)]])*(Table6[[#This Row],[activating_chance]]/100),0)</f>
        <v>0</v>
      </c>
      <c r="AZ97" s="144" t="str">
        <f ca="1">INDIRECT(ADDRESS(11+(MATCH(RIGHT(Table6[[#This Row],[spawner_sku]],LEN(Table6[[#This Row],[spawner_sku]])-FIND("/",Table6[[#This Row],[spawner_sku]])),Table28[Entity Prefab],0)),24,1,1,"Entities"))</f>
        <v>yes</v>
      </c>
      <c r="BA97">
        <v>2</v>
      </c>
      <c r="BB97">
        <v>3</v>
      </c>
      <c r="BC97" t="b">
        <v>0</v>
      </c>
      <c r="BE97" t="s">
        <v>223</v>
      </c>
      <c r="BF97">
        <v>1.5</v>
      </c>
      <c r="BG97">
        <v>170</v>
      </c>
      <c r="BH97">
        <v>100</v>
      </c>
      <c r="BI97" s="74">
        <f ca="1">INDIRECT(ADDRESS(11+(MATCH(RIGHT(Table610[[#This Row],[spawner_sku]],LEN(Table610[[#This Row],[spawner_sku]])-FIND("/",Table610[[#This Row],[spawner_sku]])),Table1[Entity Prefab],0)),10,1,1,"Entities"))</f>
        <v>70</v>
      </c>
      <c r="BJ97" s="74">
        <f ca="1">ROUND((Table610[[#This Row],[XP]]*Table610[[#This Row],[entity_spawned (AVG)]])*(Table610[[#This Row],[activating_chance]]/100),0)</f>
        <v>105</v>
      </c>
      <c r="BK97" s="71" t="str">
        <f ca="1">INDIRECT(ADDRESS(11+(MATCH(RIGHT(Table610[[#This Row],[spawner_sku]],LEN(Table610[[#This Row],[spawner_sku]])-FIND("/",Table610[[#This Row],[spawner_sku]])),Table28[Entity Prefab],0)),24,1,1,"Entities"))</f>
        <v>yes</v>
      </c>
      <c r="BL97">
        <v>1</v>
      </c>
      <c r="BM97">
        <v>2</v>
      </c>
      <c r="BN97" t="b">
        <v>0</v>
      </c>
      <c r="BP97" t="s">
        <v>376</v>
      </c>
      <c r="BQ97">
        <v>6.5</v>
      </c>
      <c r="BR97">
        <v>220</v>
      </c>
      <c r="BS97">
        <v>100</v>
      </c>
      <c r="BT97" s="74">
        <f ca="1">INDIRECT(ADDRESS(11+(MATCH(RIGHT(Table61011[[#This Row],[spawner_sku]],LEN(Table61011[[#This Row],[spawner_sku]])-FIND("/",Table61011[[#This Row],[spawner_sku]])),Table1[Entity Prefab],0)),10,1,1,"Entities"))</f>
        <v>25</v>
      </c>
      <c r="BU97" s="74">
        <f ca="1">ROUND((Table61011[[#This Row],[XP]]*Table61011[[#This Row],[entity_spawned (AVG)]])*(Table61011[[#This Row],[activating_chance]]/100),0)</f>
        <v>163</v>
      </c>
      <c r="BV97" s="71" t="str">
        <f ca="1">INDIRECT(ADDRESS(11+(MATCH(RIGHT(Table61011[[#This Row],[spawner_sku]],LEN(Table61011[[#This Row],[spawner_sku]])-FIND("/",Table61011[[#This Row],[spawner_sku]])),Table28[Entity Prefab],0)),24,1,1,"Entities"))</f>
        <v>no</v>
      </c>
      <c r="BW97" s="71">
        <v>5</v>
      </c>
      <c r="BX97" s="71">
        <v>8</v>
      </c>
      <c r="BY97" s="71" t="b">
        <v>1</v>
      </c>
      <c r="BZ97" s="71"/>
      <c r="CA97" s="147" t="s">
        <v>8142</v>
      </c>
      <c r="CB97">
        <v>1</v>
      </c>
      <c r="CC97">
        <v>200</v>
      </c>
      <c r="CD97">
        <v>100</v>
      </c>
      <c r="CE97" s="74">
        <f ca="1">INDIRECT(ADDRESS(11+(MATCH(RIGHT(Table35[[#This Row],[spawner_sku]],LEN(Table35[[#This Row],[spawner_sku]])-FIND("/",Table35[[#This Row],[spawner_sku]])),Table1[Entity Prefab],0)),10,1,1,"Entities"))</f>
        <v>75</v>
      </c>
      <c r="CF97" s="74">
        <f ca="1">ROUND((Table35[[#This Row],[XP]]*Table35[[#This Row],[entity_spawned (AVG)]])*(Table35[[#This Row],[activating_chance]]/100),0)</f>
        <v>75</v>
      </c>
      <c r="CG97" s="144" t="str">
        <f ca="1">INDIRECT(ADDRESS(11+(MATCH(RIGHT(Table35[[#This Row],[spawner_sku]],LEN(Table35[[#This Row],[spawner_sku]])-FIND("/",Table35[[#This Row],[spawner_sku]])),Table28[Entity Prefab],0)),24,1,1,"Entities"))</f>
        <v>no</v>
      </c>
      <c r="CH97">
        <v>1</v>
      </c>
      <c r="CI97">
        <v>1</v>
      </c>
      <c r="CJ97" s="71" t="b">
        <v>0</v>
      </c>
      <c r="CL97" t="s">
        <v>215</v>
      </c>
      <c r="CM97">
        <v>3</v>
      </c>
      <c r="CN97">
        <v>180</v>
      </c>
      <c r="CO97">
        <v>100</v>
      </c>
      <c r="CP97" s="74">
        <f ca="1">INDIRECT(ADDRESS(11+(MATCH(RIGHT(Table11[[#This Row],[spawner_sku]],LEN(Table11[[#This Row],[spawner_sku]])-FIND("/",Table11[[#This Row],[spawner_sku]])),Table1[Entity Prefab],0)),10,1,1,"Entities"))</f>
        <v>25</v>
      </c>
      <c r="CQ97">
        <f ca="1">ROUND((Table11[[#This Row],[XP]]*Table11[[#This Row],[entity_spawned (AVG)]])*(Table11[[#This Row],[activating_chance]]/100),0)</f>
        <v>75</v>
      </c>
      <c r="CR97" s="144" t="str">
        <f ca="1">INDIRECT(ADDRESS(11+(MATCH(RIGHT(Table11[[#This Row],[spawner_sku]],LEN(Table11[[#This Row],[spawner_sku]])-FIND("/",Table11[[#This Row],[spawner_sku]])),Table28[Entity Prefab],0)),25,1,1,"Entities"))</f>
        <v>no</v>
      </c>
      <c r="CS97" s="71">
        <v>2</v>
      </c>
      <c r="CT97" s="71">
        <v>4</v>
      </c>
      <c r="CU97" s="71" t="b">
        <v>0</v>
      </c>
      <c r="CW97" t="s">
        <v>5003</v>
      </c>
      <c r="CX97">
        <v>1</v>
      </c>
      <c r="CY97">
        <v>5000</v>
      </c>
      <c r="CZ97">
        <v>100</v>
      </c>
      <c r="DA97" s="74">
        <f ca="1">INDIRECT(ADDRESS(11+(MATCH(RIGHT(Table12[[#This Row],[spawner_sku]],LEN(Table12[[#This Row],[spawner_sku]])-FIND("/",Table12[[#This Row],[spawner_sku]])),Table1[Entity Prefab],0)),10,1,1,"Entities"))</f>
        <v>25</v>
      </c>
      <c r="DB97" s="74">
        <f ca="1">ROUND((Table12[[#This Row],[XP]]*Table12[[#This Row],[entity_spawned (AVG)]])*(Table12[[#This Row],[activating_chance]]/100),0)</f>
        <v>25</v>
      </c>
      <c r="DC97" s="144" t="str">
        <f ca="1">INDIRECT(ADDRESS(11+(MATCH(RIGHT(Table12[[#This Row],[spawner_sku]],LEN(Table12[[#This Row],[spawner_sku]])-FIND("/",Table12[[#This Row],[spawner_sku]])),Table28[Entity Prefab],0)),25,1,1,"Entities"))</f>
        <v>no</v>
      </c>
      <c r="DD97" s="71">
        <v>1</v>
      </c>
      <c r="DE97" s="71">
        <v>1</v>
      </c>
      <c r="DF97" s="71" t="b">
        <v>0</v>
      </c>
      <c r="DH97" t="s">
        <v>230</v>
      </c>
      <c r="DI97">
        <v>1</v>
      </c>
      <c r="DJ97">
        <v>200</v>
      </c>
      <c r="DK97">
        <v>100</v>
      </c>
      <c r="DL97" s="74">
        <f ca="1">INDIRECT(ADDRESS(11+(MATCH(RIGHT(Table13[[#This Row],[spawner_sku]],LEN(Table13[[#This Row],[spawner_sku]])-FIND("/",Table13[[#This Row],[spawner_sku]])),Table1[Entity Prefab],0)),10,1,1,"Entities"))</f>
        <v>28</v>
      </c>
      <c r="DM97" s="74">
        <f ca="1">ROUND((Table13[[#This Row],[XP]]*Table13[[#This Row],[entity_spawned (AVG)]])*(Table13[[#This Row],[activating_chance]]/100),0)</f>
        <v>28</v>
      </c>
      <c r="DN97" s="144" t="str">
        <f ca="1">INDIRECT(ADDRESS(11+(MATCH(RIGHT(Table13[[#This Row],[spawner_sku]],LEN(Table13[[#This Row],[spawner_sku]])-FIND("/",Table13[[#This Row],[spawner_sku]])),Table28[Entity Prefab],0)),25,1,1,"Entities"))</f>
        <v>no</v>
      </c>
      <c r="DO97" s="71">
        <v>1</v>
      </c>
      <c r="DP97" s="71">
        <v>1</v>
      </c>
      <c r="DQ97" s="71" t="b">
        <v>0</v>
      </c>
      <c r="DS97" t="s">
        <v>214</v>
      </c>
      <c r="DT97">
        <v>3.5</v>
      </c>
      <c r="DU97">
        <v>80</v>
      </c>
      <c r="DV97">
        <v>80</v>
      </c>
      <c r="DW97" s="74">
        <f ca="1">INDIRECT(ADDRESS(11+(MATCH(RIGHT(Table14[[#This Row],[spawner_sku]],LEN(Table14[[#This Row],[spawner_sku]])-FIND("/",Table14[[#This Row],[spawner_sku]])),Table1[Entity Prefab],0)),10,1,1,"Entities"))</f>
        <v>25</v>
      </c>
      <c r="DX97" s="74">
        <f ca="1">ROUND((Table14[[#This Row],[XP]]*Table14[[#This Row],[entity_spawned (AVG)]])*(Table14[[#This Row],[activating_chance]]/100),0)</f>
        <v>70</v>
      </c>
      <c r="DY97" s="144" t="str">
        <f ca="1">INDIRECT(ADDRESS(11+(MATCH(RIGHT(Table14[[#This Row],[spawner_sku]],LEN(Table14[[#This Row],[spawner_sku]])-FIND("/",Table14[[#This Row],[spawner_sku]])),Table28[Entity Prefab],0)),25,1,1,"Entities"))</f>
        <v>no</v>
      </c>
      <c r="DZ97" s="71">
        <v>3</v>
      </c>
      <c r="EA97" s="71">
        <v>4</v>
      </c>
      <c r="EB97" s="71" t="b">
        <v>0</v>
      </c>
      <c r="EC97" s="71"/>
      <c r="ED97" s="147" t="s">
        <v>8142</v>
      </c>
      <c r="EE97" s="71">
        <v>1</v>
      </c>
      <c r="EF97" s="71">
        <v>200</v>
      </c>
      <c r="EG97" s="71">
        <v>80</v>
      </c>
      <c r="EH97" s="71">
        <f ca="1">INDIRECT(ADDRESS(11+(MATCH(RIGHT(Table36[[#This Row],[spawner_sku]],LEN(Table36[[#This Row],[spawner_sku]])-FIND("/",Table36[[#This Row],[spawner_sku]])),Table1[Entity Prefab],0)),10,1,1,"Entities"))</f>
        <v>75</v>
      </c>
      <c r="EI97" s="71">
        <f ca="1">ROUND((Table36[[#This Row],[XP]]*Table36[[#This Row],[entity_spawned (AVG)]])*(Table36[[#This Row],[activating_chance]]/100),0)</f>
        <v>60</v>
      </c>
      <c r="EJ97" s="71" t="str">
        <f ca="1">INDIRECT(ADDRESS(11+(MATCH(RIGHT(Table36[[#This Row],[spawner_sku]],LEN(Table36[[#This Row],[spawner_sku]])-FIND("/",Table36[[#This Row],[spawner_sku]])),Table28[Entity Prefab],0)),25,1,1,"Entities"))</f>
        <v>no</v>
      </c>
      <c r="EK97" s="71">
        <v>1</v>
      </c>
      <c r="EL97" s="71">
        <v>1</v>
      </c>
      <c r="EM97" s="71" t="b">
        <v>0</v>
      </c>
      <c r="EO97" t="s">
        <v>376</v>
      </c>
      <c r="EP97">
        <v>3.5</v>
      </c>
      <c r="EQ97">
        <v>160</v>
      </c>
      <c r="ER97">
        <v>100</v>
      </c>
      <c r="ES97" s="74">
        <f ca="1">INDIRECT(ADDRESS(11+(MATCH(RIGHT(Table18[[#This Row],[spawner_sku]],LEN(Table18[[#This Row],[spawner_sku]])-FIND("/",Table18[[#This Row],[spawner_sku]])),Table1[Entity Prefab],0)),10,1,1,"Entities"))</f>
        <v>25</v>
      </c>
      <c r="ET97" s="74">
        <f ca="1">ROUND((Table18[[#This Row],[XP]]*Table18[[#This Row],[entity_spawned (AVG)]])*(Table18[[#This Row],[activating_chance]]/100),0)</f>
        <v>88</v>
      </c>
      <c r="EU97" s="74" t="str">
        <f ca="1">INDIRECT(ADDRESS(11+(MATCH(RIGHT(Table18[[#This Row],[spawner_sku]],LEN(Table18[[#This Row],[spawner_sku]])-FIND("/",Table18[[#This Row],[spawner_sku]])),Table28[Entity Prefab],0)),26,1,1,"Entities"))</f>
        <v>no</v>
      </c>
      <c r="EV97">
        <v>3</v>
      </c>
      <c r="EW97">
        <v>4</v>
      </c>
      <c r="EX97" t="b">
        <v>0</v>
      </c>
      <c r="EZ97" t="s">
        <v>219</v>
      </c>
      <c r="FA97">
        <v>3.5</v>
      </c>
      <c r="FB97">
        <v>250</v>
      </c>
      <c r="FC97">
        <v>100</v>
      </c>
      <c r="FD97" s="74">
        <f ca="1">INDIRECT(ADDRESS(11+(MATCH(RIGHT(Table1820[[#This Row],[spawner_sku]],LEN(Table1820[[#This Row],[spawner_sku]])-FIND("/",Table1820[[#This Row],[spawner_sku]])),Table1[Entity Prefab],0)),10,1,1,"Entities"))</f>
        <v>143</v>
      </c>
      <c r="FE97" s="74">
        <f ca="1">ROUND((Table1820[[#This Row],[XP]]*Table1820[[#This Row],[entity_spawned (AVG)]])*(Table1820[[#This Row],[activating_chance]]/100),0)</f>
        <v>501</v>
      </c>
      <c r="FF97" s="74" t="str">
        <f ca="1">INDIRECT(ADDRESS(11+(MATCH(RIGHT(Table1820[[#This Row],[spawner_sku]],LEN(Table1820[[#This Row],[spawner_sku]])-FIND("/",Table1820[[#This Row],[spawner_sku]])),Table28[Entity Prefab],0)),26,1,1,"Entities"))</f>
        <v>yes</v>
      </c>
      <c r="FG97">
        <v>3</v>
      </c>
      <c r="FH97">
        <v>4</v>
      </c>
      <c r="FI97" t="b">
        <v>0</v>
      </c>
      <c r="FK97" t="s">
        <v>2695</v>
      </c>
      <c r="FL97">
        <v>6.5</v>
      </c>
      <c r="FM97">
        <v>100</v>
      </c>
      <c r="FN97">
        <v>100</v>
      </c>
      <c r="FO97">
        <f ca="1">INDIRECT(ADDRESS(11+(MATCH(RIGHT(Table182023[[#This Row],[spawner_sku]],LEN(Table182023[[#This Row],[spawner_sku]])-FIND("/",Table182023[[#This Row],[spawner_sku]])),Table1[Entity Prefab],0)),10,1,1,"Entities"))</f>
        <v>40</v>
      </c>
      <c r="FP97">
        <f ca="1">ROUND((Table182023[[#This Row],[XP]]*Table182023[[#This Row],[entity_spawned (AVG)]])*(Table182023[[#This Row],[activating_chance]]/100),0)</f>
        <v>260</v>
      </c>
      <c r="FQ97" t="str">
        <f ca="1">INDIRECT(ADDRESS(11+(MATCH(RIGHT(Table182023[[#This Row],[spawner_sku]],LEN(Table182023[[#This Row],[spawner_sku]])-FIND("/",Table182023[[#This Row],[spawner_sku]])),Table28[Entity Prefab],0)),26,1,1,"Entities"))</f>
        <v>no</v>
      </c>
      <c r="FR97">
        <v>5</v>
      </c>
      <c r="FS97">
        <v>8</v>
      </c>
      <c r="FT97" t="b">
        <v>1</v>
      </c>
      <c r="FV97" t="s">
        <v>2695</v>
      </c>
      <c r="FW97">
        <v>2.5</v>
      </c>
      <c r="FX97">
        <v>90</v>
      </c>
      <c r="FY97">
        <v>100</v>
      </c>
      <c r="FZ97" s="74">
        <f ca="1">INDIRECT(ADDRESS(11+(MATCH(RIGHT(Table18202324[[#This Row],[spawner_sku]],LEN(Table18202324[[#This Row],[spawner_sku]])-FIND("/",Table18202324[[#This Row],[spawner_sku]])),Table1[Entity Prefab],0)),10,1,1,"Entities"))</f>
        <v>40</v>
      </c>
      <c r="GA97" s="74">
        <f ca="1">ROUND((Table18202324[[#This Row],[XP]]*Table18202324[[#This Row],[entity_spawned (AVG)]])*(Table18202324[[#This Row],[activating_chance]]/100),0)</f>
        <v>100</v>
      </c>
      <c r="GB97" s="74" t="str">
        <f ca="1">INDIRECT(ADDRESS(11+(MATCH(RIGHT(Table18202324[[#This Row],[spawner_sku]],LEN(Table18202324[[#This Row],[spawner_sku]])-FIND("/",Table18202324[[#This Row],[spawner_sku]])),Table28[Entity Prefab],0)),26,1,1,"Entities"))</f>
        <v>no</v>
      </c>
      <c r="GC97">
        <v>2</v>
      </c>
      <c r="GD97">
        <v>3</v>
      </c>
      <c r="GE97" t="b">
        <v>0</v>
      </c>
      <c r="GG97" t="s">
        <v>3816</v>
      </c>
      <c r="GH97">
        <v>1</v>
      </c>
      <c r="GI97">
        <v>240</v>
      </c>
      <c r="GJ97">
        <v>100</v>
      </c>
      <c r="GK97">
        <f ca="1">INDIRECT(ADDRESS(11+(MATCH(RIGHT(Table37[[#This Row],[spawner_sku]],LEN(Table37[[#This Row],[spawner_sku]])-FIND("/",Table37[[#This Row],[spawner_sku]])),Table1[Entity Prefab],0)),10,1,1,"Entities"))</f>
        <v>50</v>
      </c>
      <c r="GL97">
        <f ca="1">ROUND((Table37[[#This Row],[XP]]*Table37[[#This Row],[entity_spawned (AVG)]])*(Table37[[#This Row],[activating_chance]]/100),0)</f>
        <v>50</v>
      </c>
      <c r="GM97" t="str">
        <f ca="1">INDIRECT(ADDRESS(11+(MATCH(RIGHT(Table37[[#This Row],[spawner_sku]],LEN(Table37[[#This Row],[spawner_sku]])-FIND("/",Table37[[#This Row],[spawner_sku]])),Table28[Entity Prefab],0)),26,1,1,"Entities"))</f>
        <v>no</v>
      </c>
      <c r="GN97">
        <v>1</v>
      </c>
      <c r="GO97">
        <v>1</v>
      </c>
      <c r="GP97" t="b">
        <v>0</v>
      </c>
    </row>
    <row r="98" spans="2:198" x14ac:dyDescent="0.25">
      <c r="B98" s="72" t="s">
        <v>215</v>
      </c>
      <c r="C98">
        <v>2.5</v>
      </c>
      <c r="D98">
        <v>130</v>
      </c>
      <c r="E98">
        <v>100</v>
      </c>
      <c r="F98" s="74">
        <f ca="1">INDIRECT(ADDRESS(11+(MATCH(RIGHT(Table245[[#This Row],[spawner_sku]],LEN(Table245[[#This Row],[spawner_sku]])-FIND("/",Table245[[#This Row],[spawner_sku]])),Table1[Entity Prefab],0)),10,1,1,"Entities"))</f>
        <v>25</v>
      </c>
      <c r="G98" s="74">
        <f ca="1">ROUND((Table245[[#This Row],[XP]]*Table245[[#This Row],[entity_spawned (AVG)]])*(Table245[[#This Row],[activating_chance]]/100),0)</f>
        <v>63</v>
      </c>
      <c r="H98" s="71" t="str">
        <f ca="1">INDIRECT(ADDRESS(11+(MATCH(RIGHT(Table245[[#This Row],[spawner_sku]],LEN(Table245[[#This Row],[spawner_sku]])-FIND("/",Table245[[#This Row],[spawner_sku]])),Table28[Entity Prefab],0)),24,1,1,"Entities"))</f>
        <v>no</v>
      </c>
      <c r="I98" s="71">
        <v>1</v>
      </c>
      <c r="J98" s="71">
        <v>4</v>
      </c>
      <c r="K98" s="71" t="b">
        <v>0</v>
      </c>
      <c r="M98" t="s">
        <v>242</v>
      </c>
      <c r="N98">
        <v>1</v>
      </c>
      <c r="O98">
        <v>170</v>
      </c>
      <c r="P98">
        <v>100</v>
      </c>
      <c r="Q98" s="74">
        <f ca="1">INDIRECT(ADDRESS(11+(MATCH(RIGHT(Table3[[#This Row],[spawner_sku]],LEN(Table3[[#This Row],[spawner_sku]])-FIND("/",Table3[[#This Row],[spawner_sku]])),Table1[Entity Prefab],0)),10,1,1,"Entities"))</f>
        <v>25</v>
      </c>
      <c r="R98" s="74">
        <f ca="1">ROUND((Table3[[#This Row],[XP]]*Table3[[#This Row],[entity_spawned (AVG)]])*(Table3[[#This Row],[activating_chance]]/100),0)</f>
        <v>25</v>
      </c>
      <c r="S98" t="str">
        <f ca="1">INDIRECT(ADDRESS(11+(MATCH(RIGHT(Table3[[#This Row],[spawner_sku]],LEN(Table3[[#This Row],[spawner_sku]])-FIND("/",Table3[[#This Row],[spawner_sku]])),Table28[Entity Prefab],0)),24,1,1,"Entities"))</f>
        <v>no</v>
      </c>
      <c r="T98">
        <v>1</v>
      </c>
      <c r="U98">
        <v>1</v>
      </c>
      <c r="V98" t="b">
        <v>0</v>
      </c>
      <c r="W98" s="71"/>
      <c r="AI98" t="s">
        <v>215</v>
      </c>
      <c r="AJ98">
        <v>3</v>
      </c>
      <c r="AK98">
        <v>120</v>
      </c>
      <c r="AL98">
        <v>100</v>
      </c>
      <c r="AM98" s="74">
        <f ca="1">INDIRECT(ADDRESS(11+(MATCH(RIGHT(Table2[[#This Row],[spawner_sku]],LEN(Table2[[#This Row],[spawner_sku]])-FIND("/",Table2[[#This Row],[spawner_sku]])),Table1[Entity Prefab],0)),10,1,1,"Entities"))</f>
        <v>25</v>
      </c>
      <c r="AN98" s="74">
        <f ca="1">ROUND((Table2[[#This Row],[XP]]*Table2[[#This Row],[entity_spawned (AVG)]])*(Table2[[#This Row],[activating_chance]]/100),0)</f>
        <v>75</v>
      </c>
      <c r="AO98" s="71" t="str">
        <f ca="1">INDIRECT(ADDRESS(11+(MATCH(RIGHT(Table2[[#This Row],[spawner_sku]],LEN(Table2[[#This Row],[spawner_sku]])-FIND("/",Table2[[#This Row],[spawner_sku]])),Table28[Entity Prefab],0)),24,1,1,"Entities"))</f>
        <v>no</v>
      </c>
      <c r="AP98" s="71">
        <v>3</v>
      </c>
      <c r="AQ98" s="71">
        <v>3</v>
      </c>
      <c r="AR98" s="71" t="b">
        <v>0</v>
      </c>
      <c r="AT98" t="s">
        <v>423</v>
      </c>
      <c r="AU98">
        <v>1</v>
      </c>
      <c r="AV98">
        <v>190</v>
      </c>
      <c r="AW98">
        <v>100</v>
      </c>
      <c r="AX98" s="74">
        <f ca="1">INDIRECT(ADDRESS(11+(MATCH(RIGHT(Table6[[#This Row],[spawner_sku]],LEN(Table6[[#This Row],[spawner_sku]])-FIND("/",Table6[[#This Row],[spawner_sku]])),Table1[Entity Prefab],0)),10,1,1,"Entities"))</f>
        <v>0</v>
      </c>
      <c r="AY98" s="74">
        <f ca="1">ROUND((Table6[[#This Row],[XP]]*Table6[[#This Row],[entity_spawned (AVG)]])*(Table6[[#This Row],[activating_chance]]/100),0)</f>
        <v>0</v>
      </c>
      <c r="AZ98" s="144" t="str">
        <f ca="1">INDIRECT(ADDRESS(11+(MATCH(RIGHT(Table6[[#This Row],[spawner_sku]],LEN(Table6[[#This Row],[spawner_sku]])-FIND("/",Table6[[#This Row],[spawner_sku]])),Table28[Entity Prefab],0)),24,1,1,"Entities"))</f>
        <v>yes</v>
      </c>
      <c r="BA98">
        <v>1</v>
      </c>
      <c r="BB98">
        <v>1</v>
      </c>
      <c r="BC98" t="b">
        <v>0</v>
      </c>
      <c r="BE98" t="s">
        <v>224</v>
      </c>
      <c r="BF98">
        <v>1</v>
      </c>
      <c r="BG98">
        <v>2500</v>
      </c>
      <c r="BH98">
        <v>100</v>
      </c>
      <c r="BI98" s="74">
        <f ca="1">INDIRECT(ADDRESS(11+(MATCH(RIGHT(Table610[[#This Row],[spawner_sku]],LEN(Table610[[#This Row],[spawner_sku]])-FIND("/",Table610[[#This Row],[spawner_sku]])),Table1[Entity Prefab],0)),10,1,1,"Entities"))</f>
        <v>263</v>
      </c>
      <c r="BJ98" s="74">
        <f ca="1">ROUND((Table610[[#This Row],[XP]]*Table610[[#This Row],[entity_spawned (AVG)]])*(Table610[[#This Row],[activating_chance]]/100),0)</f>
        <v>263</v>
      </c>
      <c r="BK98" s="71" t="str">
        <f ca="1">INDIRECT(ADDRESS(11+(MATCH(RIGHT(Table610[[#This Row],[spawner_sku]],LEN(Table610[[#This Row],[spawner_sku]])-FIND("/",Table610[[#This Row],[spawner_sku]])),Table28[Entity Prefab],0)),24,1,1,"Entities"))</f>
        <v>yes</v>
      </c>
      <c r="BL98">
        <v>1</v>
      </c>
      <c r="BM98">
        <v>1</v>
      </c>
      <c r="BN98" t="b">
        <v>0</v>
      </c>
      <c r="BP98" t="s">
        <v>376</v>
      </c>
      <c r="BQ98">
        <v>10</v>
      </c>
      <c r="BR98">
        <v>260</v>
      </c>
      <c r="BS98">
        <v>40</v>
      </c>
      <c r="BT98" s="74">
        <f ca="1">INDIRECT(ADDRESS(11+(MATCH(RIGHT(Table61011[[#This Row],[spawner_sku]],LEN(Table61011[[#This Row],[spawner_sku]])-FIND("/",Table61011[[#This Row],[spawner_sku]])),Table1[Entity Prefab],0)),10,1,1,"Entities"))</f>
        <v>25</v>
      </c>
      <c r="BU98" s="74">
        <f ca="1">ROUND((Table61011[[#This Row],[XP]]*Table61011[[#This Row],[entity_spawned (AVG)]])*(Table61011[[#This Row],[activating_chance]]/100),0)</f>
        <v>100</v>
      </c>
      <c r="BV98" s="71" t="str">
        <f ca="1">INDIRECT(ADDRESS(11+(MATCH(RIGHT(Table61011[[#This Row],[spawner_sku]],LEN(Table61011[[#This Row],[spawner_sku]])-FIND("/",Table61011[[#This Row],[spawner_sku]])),Table28[Entity Prefab],0)),24,1,1,"Entities"))</f>
        <v>no</v>
      </c>
      <c r="BW98" s="71">
        <v>8</v>
      </c>
      <c r="BX98" s="71">
        <v>12</v>
      </c>
      <c r="BY98" s="71" t="b">
        <v>1</v>
      </c>
      <c r="BZ98" s="71"/>
      <c r="CA98" s="147" t="s">
        <v>8142</v>
      </c>
      <c r="CB98">
        <v>1</v>
      </c>
      <c r="CC98">
        <v>200</v>
      </c>
      <c r="CD98">
        <v>100</v>
      </c>
      <c r="CE98" s="74">
        <f ca="1">INDIRECT(ADDRESS(11+(MATCH(RIGHT(Table35[[#This Row],[spawner_sku]],LEN(Table35[[#This Row],[spawner_sku]])-FIND("/",Table35[[#This Row],[spawner_sku]])),Table1[Entity Prefab],0)),10,1,1,"Entities"))</f>
        <v>75</v>
      </c>
      <c r="CF98" s="74">
        <f ca="1">ROUND((Table35[[#This Row],[XP]]*Table35[[#This Row],[entity_spawned (AVG)]])*(Table35[[#This Row],[activating_chance]]/100),0)</f>
        <v>75</v>
      </c>
      <c r="CG98" s="144" t="str">
        <f ca="1">INDIRECT(ADDRESS(11+(MATCH(RIGHT(Table35[[#This Row],[spawner_sku]],LEN(Table35[[#This Row],[spawner_sku]])-FIND("/",Table35[[#This Row],[spawner_sku]])),Table28[Entity Prefab],0)),24,1,1,"Entities"))</f>
        <v>no</v>
      </c>
      <c r="CH98">
        <v>1</v>
      </c>
      <c r="CI98">
        <v>1</v>
      </c>
      <c r="CJ98" s="71" t="b">
        <v>0</v>
      </c>
      <c r="CL98" t="s">
        <v>215</v>
      </c>
      <c r="CM98">
        <v>3</v>
      </c>
      <c r="CN98">
        <v>180</v>
      </c>
      <c r="CO98">
        <v>100</v>
      </c>
      <c r="CP98" s="74">
        <f ca="1">INDIRECT(ADDRESS(11+(MATCH(RIGHT(Table11[[#This Row],[spawner_sku]],LEN(Table11[[#This Row],[spawner_sku]])-FIND("/",Table11[[#This Row],[spawner_sku]])),Table1[Entity Prefab],0)),10,1,1,"Entities"))</f>
        <v>25</v>
      </c>
      <c r="CQ98">
        <f ca="1">ROUND((Table11[[#This Row],[XP]]*Table11[[#This Row],[entity_spawned (AVG)]])*(Table11[[#This Row],[activating_chance]]/100),0)</f>
        <v>75</v>
      </c>
      <c r="CR98" s="144" t="str">
        <f ca="1">INDIRECT(ADDRESS(11+(MATCH(RIGHT(Table11[[#This Row],[spawner_sku]],LEN(Table11[[#This Row],[spawner_sku]])-FIND("/",Table11[[#This Row],[spawner_sku]])),Table28[Entity Prefab],0)),25,1,1,"Entities"))</f>
        <v>no</v>
      </c>
      <c r="CS98" s="71">
        <v>2</v>
      </c>
      <c r="CT98" s="71">
        <v>4</v>
      </c>
      <c r="CU98" s="71" t="b">
        <v>0</v>
      </c>
      <c r="CW98" t="s">
        <v>465</v>
      </c>
      <c r="CX98">
        <v>2.5</v>
      </c>
      <c r="CY98">
        <v>110</v>
      </c>
      <c r="CZ98">
        <v>100</v>
      </c>
      <c r="DA98" s="74">
        <f ca="1">INDIRECT(ADDRESS(11+(MATCH(RIGHT(Table12[[#This Row],[spawner_sku]],LEN(Table12[[#This Row],[spawner_sku]])-FIND("/",Table12[[#This Row],[spawner_sku]])),Table1[Entity Prefab],0)),10,1,1,"Entities"))</f>
        <v>25</v>
      </c>
      <c r="DB98" s="74">
        <f ca="1">ROUND((Table12[[#This Row],[XP]]*Table12[[#This Row],[entity_spawned (AVG)]])*(Table12[[#This Row],[activating_chance]]/100),0)</f>
        <v>63</v>
      </c>
      <c r="DC98" s="144" t="str">
        <f ca="1">INDIRECT(ADDRESS(11+(MATCH(RIGHT(Table12[[#This Row],[spawner_sku]],LEN(Table12[[#This Row],[spawner_sku]])-FIND("/",Table12[[#This Row],[spawner_sku]])),Table28[Entity Prefab],0)),25,1,1,"Entities"))</f>
        <v>no</v>
      </c>
      <c r="DD98" s="71">
        <v>2</v>
      </c>
      <c r="DE98" s="71">
        <v>3</v>
      </c>
      <c r="DF98" s="71" t="b">
        <v>0</v>
      </c>
      <c r="DH98" t="s">
        <v>230</v>
      </c>
      <c r="DI98">
        <v>1</v>
      </c>
      <c r="DJ98">
        <v>200</v>
      </c>
      <c r="DK98">
        <v>100</v>
      </c>
      <c r="DL98" s="74">
        <f ca="1">INDIRECT(ADDRESS(11+(MATCH(RIGHT(Table13[[#This Row],[spawner_sku]],LEN(Table13[[#This Row],[spawner_sku]])-FIND("/",Table13[[#This Row],[spawner_sku]])),Table1[Entity Prefab],0)),10,1,1,"Entities"))</f>
        <v>28</v>
      </c>
      <c r="DM98" s="74">
        <f ca="1">ROUND((Table13[[#This Row],[XP]]*Table13[[#This Row],[entity_spawned (AVG)]])*(Table13[[#This Row],[activating_chance]]/100),0)</f>
        <v>28</v>
      </c>
      <c r="DN98" s="144" t="str">
        <f ca="1">INDIRECT(ADDRESS(11+(MATCH(RIGHT(Table13[[#This Row],[spawner_sku]],LEN(Table13[[#This Row],[spawner_sku]])-FIND("/",Table13[[#This Row],[spawner_sku]])),Table28[Entity Prefab],0)),25,1,1,"Entities"))</f>
        <v>no</v>
      </c>
      <c r="DO98" s="71">
        <v>1</v>
      </c>
      <c r="DP98" s="71">
        <v>1</v>
      </c>
      <c r="DQ98" s="71" t="b">
        <v>0</v>
      </c>
      <c r="DS98" t="s">
        <v>214</v>
      </c>
      <c r="DT98">
        <v>3</v>
      </c>
      <c r="DU98">
        <v>180</v>
      </c>
      <c r="DV98">
        <v>80</v>
      </c>
      <c r="DW98" s="74">
        <f ca="1">INDIRECT(ADDRESS(11+(MATCH(RIGHT(Table14[[#This Row],[spawner_sku]],LEN(Table14[[#This Row],[spawner_sku]])-FIND("/",Table14[[#This Row],[spawner_sku]])),Table1[Entity Prefab],0)),10,1,1,"Entities"))</f>
        <v>25</v>
      </c>
      <c r="DX98" s="74">
        <f ca="1">ROUND((Table14[[#This Row],[XP]]*Table14[[#This Row],[entity_spawned (AVG)]])*(Table14[[#This Row],[activating_chance]]/100),0)</f>
        <v>60</v>
      </c>
      <c r="DY98" s="144" t="str">
        <f ca="1">INDIRECT(ADDRESS(11+(MATCH(RIGHT(Table14[[#This Row],[spawner_sku]],LEN(Table14[[#This Row],[spawner_sku]])-FIND("/",Table14[[#This Row],[spawner_sku]])),Table28[Entity Prefab],0)),25,1,1,"Entities"))</f>
        <v>no</v>
      </c>
      <c r="DZ98" s="71">
        <v>3</v>
      </c>
      <c r="EA98" s="71">
        <v>3</v>
      </c>
      <c r="EB98" s="71" t="b">
        <v>0</v>
      </c>
      <c r="EC98" s="71"/>
      <c r="ED98" s="147" t="s">
        <v>8142</v>
      </c>
      <c r="EE98" s="71">
        <v>1</v>
      </c>
      <c r="EF98" s="71">
        <v>200</v>
      </c>
      <c r="EG98" s="71">
        <v>80</v>
      </c>
      <c r="EH98" s="71">
        <f ca="1">INDIRECT(ADDRESS(11+(MATCH(RIGHT(Table36[[#This Row],[spawner_sku]],LEN(Table36[[#This Row],[spawner_sku]])-FIND("/",Table36[[#This Row],[spawner_sku]])),Table1[Entity Prefab],0)),10,1,1,"Entities"))</f>
        <v>75</v>
      </c>
      <c r="EI98" s="71">
        <f ca="1">ROUND((Table36[[#This Row],[XP]]*Table36[[#This Row],[entity_spawned (AVG)]])*(Table36[[#This Row],[activating_chance]]/100),0)</f>
        <v>60</v>
      </c>
      <c r="EJ98" s="71" t="str">
        <f ca="1">INDIRECT(ADDRESS(11+(MATCH(RIGHT(Table36[[#This Row],[spawner_sku]],LEN(Table36[[#This Row],[spawner_sku]])-FIND("/",Table36[[#This Row],[spawner_sku]])),Table28[Entity Prefab],0)),25,1,1,"Entities"))</f>
        <v>no</v>
      </c>
      <c r="EK98" s="71">
        <v>1</v>
      </c>
      <c r="EL98" s="71">
        <v>1</v>
      </c>
      <c r="EM98" s="71" t="b">
        <v>0</v>
      </c>
      <c r="EO98" t="s">
        <v>376</v>
      </c>
      <c r="EP98">
        <v>3.5</v>
      </c>
      <c r="EQ98">
        <v>160</v>
      </c>
      <c r="ER98">
        <v>80</v>
      </c>
      <c r="ES98" s="74">
        <f ca="1">INDIRECT(ADDRESS(11+(MATCH(RIGHT(Table18[[#This Row],[spawner_sku]],LEN(Table18[[#This Row],[spawner_sku]])-FIND("/",Table18[[#This Row],[spawner_sku]])),Table1[Entity Prefab],0)),10,1,1,"Entities"))</f>
        <v>25</v>
      </c>
      <c r="ET98" s="74">
        <f ca="1">ROUND((Table18[[#This Row],[XP]]*Table18[[#This Row],[entity_spawned (AVG)]])*(Table18[[#This Row],[activating_chance]]/100),0)</f>
        <v>70</v>
      </c>
      <c r="EU98" s="74" t="str">
        <f ca="1">INDIRECT(ADDRESS(11+(MATCH(RIGHT(Table18[[#This Row],[spawner_sku]],LEN(Table18[[#This Row],[spawner_sku]])-FIND("/",Table18[[#This Row],[spawner_sku]])),Table28[Entity Prefab],0)),26,1,1,"Entities"))</f>
        <v>no</v>
      </c>
      <c r="EV98">
        <v>3</v>
      </c>
      <c r="EW98">
        <v>4</v>
      </c>
      <c r="EX98" t="b">
        <v>0</v>
      </c>
      <c r="EZ98" t="s">
        <v>219</v>
      </c>
      <c r="FA98">
        <v>2.5</v>
      </c>
      <c r="FB98">
        <v>250</v>
      </c>
      <c r="FC98">
        <v>100</v>
      </c>
      <c r="FD98" s="74">
        <f ca="1">INDIRECT(ADDRESS(11+(MATCH(RIGHT(Table1820[[#This Row],[spawner_sku]],LEN(Table1820[[#This Row],[spawner_sku]])-FIND("/",Table1820[[#This Row],[spawner_sku]])),Table1[Entity Prefab],0)),10,1,1,"Entities"))</f>
        <v>143</v>
      </c>
      <c r="FE98" s="74">
        <f ca="1">ROUND((Table1820[[#This Row],[XP]]*Table1820[[#This Row],[entity_spawned (AVG)]])*(Table1820[[#This Row],[activating_chance]]/100),0)</f>
        <v>358</v>
      </c>
      <c r="FF98" s="74" t="str">
        <f ca="1">INDIRECT(ADDRESS(11+(MATCH(RIGHT(Table1820[[#This Row],[spawner_sku]],LEN(Table1820[[#This Row],[spawner_sku]])-FIND("/",Table1820[[#This Row],[spawner_sku]])),Table28[Entity Prefab],0)),26,1,1,"Entities"))</f>
        <v>yes</v>
      </c>
      <c r="FG98">
        <v>2</v>
      </c>
      <c r="FH98">
        <v>3</v>
      </c>
      <c r="FI98" t="b">
        <v>0</v>
      </c>
      <c r="FK98" t="s">
        <v>2695</v>
      </c>
      <c r="FL98">
        <v>6.5</v>
      </c>
      <c r="FM98">
        <v>80</v>
      </c>
      <c r="FN98">
        <v>100</v>
      </c>
      <c r="FO98">
        <f ca="1">INDIRECT(ADDRESS(11+(MATCH(RIGHT(Table182023[[#This Row],[spawner_sku]],LEN(Table182023[[#This Row],[spawner_sku]])-FIND("/",Table182023[[#This Row],[spawner_sku]])),Table1[Entity Prefab],0)),10,1,1,"Entities"))</f>
        <v>40</v>
      </c>
      <c r="FP98">
        <f ca="1">ROUND((Table182023[[#This Row],[XP]]*Table182023[[#This Row],[entity_spawned (AVG)]])*(Table182023[[#This Row],[activating_chance]]/100),0)</f>
        <v>260</v>
      </c>
      <c r="FQ98" t="str">
        <f ca="1">INDIRECT(ADDRESS(11+(MATCH(RIGHT(Table182023[[#This Row],[spawner_sku]],LEN(Table182023[[#This Row],[spawner_sku]])-FIND("/",Table182023[[#This Row],[spawner_sku]])),Table28[Entity Prefab],0)),26,1,1,"Entities"))</f>
        <v>no</v>
      </c>
      <c r="FR98">
        <v>5</v>
      </c>
      <c r="FS98">
        <v>8</v>
      </c>
      <c r="FT98" t="b">
        <v>1</v>
      </c>
      <c r="FV98" t="s">
        <v>2695</v>
      </c>
      <c r="FW98">
        <v>2.5</v>
      </c>
      <c r="FX98">
        <v>90</v>
      </c>
      <c r="FY98">
        <v>100</v>
      </c>
      <c r="FZ98" s="74">
        <f ca="1">INDIRECT(ADDRESS(11+(MATCH(RIGHT(Table18202324[[#This Row],[spawner_sku]],LEN(Table18202324[[#This Row],[spawner_sku]])-FIND("/",Table18202324[[#This Row],[spawner_sku]])),Table1[Entity Prefab],0)),10,1,1,"Entities"))</f>
        <v>40</v>
      </c>
      <c r="GA98" s="74">
        <f ca="1">ROUND((Table18202324[[#This Row],[XP]]*Table18202324[[#This Row],[entity_spawned (AVG)]])*(Table18202324[[#This Row],[activating_chance]]/100),0)</f>
        <v>100</v>
      </c>
      <c r="GB98" s="74" t="str">
        <f ca="1">INDIRECT(ADDRESS(11+(MATCH(RIGHT(Table18202324[[#This Row],[spawner_sku]],LEN(Table18202324[[#This Row],[spawner_sku]])-FIND("/",Table18202324[[#This Row],[spawner_sku]])),Table28[Entity Prefab],0)),26,1,1,"Entities"))</f>
        <v>no</v>
      </c>
      <c r="GC98">
        <v>2</v>
      </c>
      <c r="GD98">
        <v>3</v>
      </c>
      <c r="GE98" t="b">
        <v>0</v>
      </c>
      <c r="GG98" t="s">
        <v>3816</v>
      </c>
      <c r="GH98">
        <v>1</v>
      </c>
      <c r="GI98">
        <v>240</v>
      </c>
      <c r="GJ98">
        <v>100</v>
      </c>
      <c r="GK98">
        <f ca="1">INDIRECT(ADDRESS(11+(MATCH(RIGHT(Table37[[#This Row],[spawner_sku]],LEN(Table37[[#This Row],[spawner_sku]])-FIND("/",Table37[[#This Row],[spawner_sku]])),Table1[Entity Prefab],0)),10,1,1,"Entities"))</f>
        <v>50</v>
      </c>
      <c r="GL98">
        <f ca="1">ROUND((Table37[[#This Row],[XP]]*Table37[[#This Row],[entity_spawned (AVG)]])*(Table37[[#This Row],[activating_chance]]/100),0)</f>
        <v>50</v>
      </c>
      <c r="GM98" t="str">
        <f ca="1">INDIRECT(ADDRESS(11+(MATCH(RIGHT(Table37[[#This Row],[spawner_sku]],LEN(Table37[[#This Row],[spawner_sku]])-FIND("/",Table37[[#This Row],[spawner_sku]])),Table28[Entity Prefab],0)),26,1,1,"Entities"))</f>
        <v>no</v>
      </c>
      <c r="GN98">
        <v>1</v>
      </c>
      <c r="GO98">
        <v>1</v>
      </c>
      <c r="GP98" t="b">
        <v>0</v>
      </c>
    </row>
    <row r="99" spans="2:198" x14ac:dyDescent="0.25">
      <c r="B99" s="72" t="s">
        <v>215</v>
      </c>
      <c r="C99">
        <v>2.5</v>
      </c>
      <c r="D99">
        <v>160</v>
      </c>
      <c r="E99">
        <v>100</v>
      </c>
      <c r="F99" s="74">
        <f ca="1">INDIRECT(ADDRESS(11+(MATCH(RIGHT(Table245[[#This Row],[spawner_sku]],LEN(Table245[[#This Row],[spawner_sku]])-FIND("/",Table245[[#This Row],[spawner_sku]])),Table1[Entity Prefab],0)),10,1,1,"Entities"))</f>
        <v>25</v>
      </c>
      <c r="G99" s="74">
        <f ca="1">ROUND((Table245[[#This Row],[XP]]*Table245[[#This Row],[entity_spawned (AVG)]])*(Table245[[#This Row],[activating_chance]]/100),0)</f>
        <v>63</v>
      </c>
      <c r="H99" s="71" t="str">
        <f ca="1">INDIRECT(ADDRESS(11+(MATCH(RIGHT(Table245[[#This Row],[spawner_sku]],LEN(Table245[[#This Row],[spawner_sku]])-FIND("/",Table245[[#This Row],[spawner_sku]])),Table28[Entity Prefab],0)),24,1,1,"Entities"))</f>
        <v>no</v>
      </c>
      <c r="I99" s="71">
        <v>2</v>
      </c>
      <c r="J99" s="71">
        <v>3</v>
      </c>
      <c r="K99" s="71" t="b">
        <v>0</v>
      </c>
      <c r="M99" t="s">
        <v>242</v>
      </c>
      <c r="N99">
        <v>1</v>
      </c>
      <c r="O99">
        <v>150</v>
      </c>
      <c r="P99">
        <v>100</v>
      </c>
      <c r="Q99" s="74">
        <f ca="1">INDIRECT(ADDRESS(11+(MATCH(RIGHT(Table3[[#This Row],[spawner_sku]],LEN(Table3[[#This Row],[spawner_sku]])-FIND("/",Table3[[#This Row],[spawner_sku]])),Table1[Entity Prefab],0)),10,1,1,"Entities"))</f>
        <v>25</v>
      </c>
      <c r="R99" s="74">
        <f ca="1">ROUND((Table3[[#This Row],[XP]]*Table3[[#This Row],[entity_spawned (AVG)]])*(Table3[[#This Row],[activating_chance]]/100),0)</f>
        <v>25</v>
      </c>
      <c r="S99" t="str">
        <f ca="1">INDIRECT(ADDRESS(11+(MATCH(RIGHT(Table3[[#This Row],[spawner_sku]],LEN(Table3[[#This Row],[spawner_sku]])-FIND("/",Table3[[#This Row],[spawner_sku]])),Table28[Entity Prefab],0)),24,1,1,"Entities"))</f>
        <v>no</v>
      </c>
      <c r="T99">
        <v>1</v>
      </c>
      <c r="U99">
        <v>1</v>
      </c>
      <c r="V99" t="b">
        <v>0</v>
      </c>
      <c r="W99" s="71"/>
      <c r="AI99" t="s">
        <v>215</v>
      </c>
      <c r="AJ99">
        <v>2</v>
      </c>
      <c r="AK99">
        <v>100</v>
      </c>
      <c r="AL99">
        <v>85</v>
      </c>
      <c r="AM99" s="74">
        <f ca="1">INDIRECT(ADDRESS(11+(MATCH(RIGHT(Table2[[#This Row],[spawner_sku]],LEN(Table2[[#This Row],[spawner_sku]])-FIND("/",Table2[[#This Row],[spawner_sku]])),Table1[Entity Prefab],0)),10,1,1,"Entities"))</f>
        <v>25</v>
      </c>
      <c r="AN99" s="74">
        <f ca="1">ROUND((Table2[[#This Row],[XP]]*Table2[[#This Row],[entity_spawned (AVG)]])*(Table2[[#This Row],[activating_chance]]/100),0)</f>
        <v>43</v>
      </c>
      <c r="AO99" s="71" t="str">
        <f ca="1">INDIRECT(ADDRESS(11+(MATCH(RIGHT(Table2[[#This Row],[spawner_sku]],LEN(Table2[[#This Row],[spawner_sku]])-FIND("/",Table2[[#This Row],[spawner_sku]])),Table28[Entity Prefab],0)),24,1,1,"Entities"))</f>
        <v>no</v>
      </c>
      <c r="AP99" s="71">
        <v>1</v>
      </c>
      <c r="AQ99" s="71">
        <v>3</v>
      </c>
      <c r="AR99" s="71" t="b">
        <v>0</v>
      </c>
      <c r="AT99" t="s">
        <v>423</v>
      </c>
      <c r="AU99">
        <v>2</v>
      </c>
      <c r="AV99">
        <v>190</v>
      </c>
      <c r="AW99">
        <v>85</v>
      </c>
      <c r="AX99" s="74">
        <f ca="1">INDIRECT(ADDRESS(11+(MATCH(RIGHT(Table6[[#This Row],[spawner_sku]],LEN(Table6[[#This Row],[spawner_sku]])-FIND("/",Table6[[#This Row],[spawner_sku]])),Table1[Entity Prefab],0)),10,1,1,"Entities"))</f>
        <v>0</v>
      </c>
      <c r="AY99" s="74">
        <f ca="1">ROUND((Table6[[#This Row],[XP]]*Table6[[#This Row],[entity_spawned (AVG)]])*(Table6[[#This Row],[activating_chance]]/100),0)</f>
        <v>0</v>
      </c>
      <c r="AZ99" s="144" t="str">
        <f ca="1">INDIRECT(ADDRESS(11+(MATCH(RIGHT(Table6[[#This Row],[spawner_sku]],LEN(Table6[[#This Row],[spawner_sku]])-FIND("/",Table6[[#This Row],[spawner_sku]])),Table28[Entity Prefab],0)),24,1,1,"Entities"))</f>
        <v>yes</v>
      </c>
      <c r="BA99">
        <v>2</v>
      </c>
      <c r="BB99">
        <v>2</v>
      </c>
      <c r="BC99" t="b">
        <v>0</v>
      </c>
      <c r="BE99" t="s">
        <v>224</v>
      </c>
      <c r="BF99">
        <v>1</v>
      </c>
      <c r="BG99">
        <v>2500</v>
      </c>
      <c r="BH99">
        <v>100</v>
      </c>
      <c r="BI99" s="74">
        <f ca="1">INDIRECT(ADDRESS(11+(MATCH(RIGHT(Table610[[#This Row],[spawner_sku]],LEN(Table610[[#This Row],[spawner_sku]])-FIND("/",Table610[[#This Row],[spawner_sku]])),Table1[Entity Prefab],0)),10,1,1,"Entities"))</f>
        <v>263</v>
      </c>
      <c r="BJ99" s="74">
        <f ca="1">ROUND((Table610[[#This Row],[XP]]*Table610[[#This Row],[entity_spawned (AVG)]])*(Table610[[#This Row],[activating_chance]]/100),0)</f>
        <v>263</v>
      </c>
      <c r="BK99" s="71" t="str">
        <f ca="1">INDIRECT(ADDRESS(11+(MATCH(RIGHT(Table610[[#This Row],[spawner_sku]],LEN(Table610[[#This Row],[spawner_sku]])-FIND("/",Table610[[#This Row],[spawner_sku]])),Table28[Entity Prefab],0)),24,1,1,"Entities"))</f>
        <v>yes</v>
      </c>
      <c r="BL99">
        <v>1</v>
      </c>
      <c r="BM99">
        <v>1</v>
      </c>
      <c r="BN99" t="b">
        <v>0</v>
      </c>
      <c r="BP99" t="s">
        <v>376</v>
      </c>
      <c r="BQ99">
        <v>3.5</v>
      </c>
      <c r="BR99">
        <v>220</v>
      </c>
      <c r="BS99">
        <v>100</v>
      </c>
      <c r="BT99" s="74">
        <f ca="1">INDIRECT(ADDRESS(11+(MATCH(RIGHT(Table61011[[#This Row],[spawner_sku]],LEN(Table61011[[#This Row],[spawner_sku]])-FIND("/",Table61011[[#This Row],[spawner_sku]])),Table1[Entity Prefab],0)),10,1,1,"Entities"))</f>
        <v>25</v>
      </c>
      <c r="BU99" s="74">
        <f ca="1">ROUND((Table61011[[#This Row],[XP]]*Table61011[[#This Row],[entity_spawned (AVG)]])*(Table61011[[#This Row],[activating_chance]]/100),0)</f>
        <v>88</v>
      </c>
      <c r="BV99" s="71" t="str">
        <f ca="1">INDIRECT(ADDRESS(11+(MATCH(RIGHT(Table61011[[#This Row],[spawner_sku]],LEN(Table61011[[#This Row],[spawner_sku]])-FIND("/",Table61011[[#This Row],[spawner_sku]])),Table28[Entity Prefab],0)),24,1,1,"Entities"))</f>
        <v>no</v>
      </c>
      <c r="BW99" s="71">
        <v>3</v>
      </c>
      <c r="BX99" s="71">
        <v>4</v>
      </c>
      <c r="BY99" s="71" t="b">
        <v>0</v>
      </c>
      <c r="BZ99" s="71"/>
      <c r="CA99" s="147" t="s">
        <v>8142</v>
      </c>
      <c r="CB99">
        <v>1</v>
      </c>
      <c r="CC99">
        <v>200</v>
      </c>
      <c r="CD99">
        <v>100</v>
      </c>
      <c r="CE99" s="74">
        <f ca="1">INDIRECT(ADDRESS(11+(MATCH(RIGHT(Table35[[#This Row],[spawner_sku]],LEN(Table35[[#This Row],[spawner_sku]])-FIND("/",Table35[[#This Row],[spawner_sku]])),Table1[Entity Prefab],0)),10,1,1,"Entities"))</f>
        <v>75</v>
      </c>
      <c r="CF99" s="74">
        <f ca="1">ROUND((Table35[[#This Row],[XP]]*Table35[[#This Row],[entity_spawned (AVG)]])*(Table35[[#This Row],[activating_chance]]/100),0)</f>
        <v>75</v>
      </c>
      <c r="CG99" s="144" t="str">
        <f ca="1">INDIRECT(ADDRESS(11+(MATCH(RIGHT(Table35[[#This Row],[spawner_sku]],LEN(Table35[[#This Row],[spawner_sku]])-FIND("/",Table35[[#This Row],[spawner_sku]])),Table28[Entity Prefab],0)),24,1,1,"Entities"))</f>
        <v>no</v>
      </c>
      <c r="CH99">
        <v>1</v>
      </c>
      <c r="CI99">
        <v>1</v>
      </c>
      <c r="CJ99" s="71" t="b">
        <v>0</v>
      </c>
      <c r="CL99" t="s">
        <v>215</v>
      </c>
      <c r="CM99">
        <v>3</v>
      </c>
      <c r="CN99">
        <v>180</v>
      </c>
      <c r="CO99">
        <v>100</v>
      </c>
      <c r="CP99" s="74">
        <f ca="1">INDIRECT(ADDRESS(11+(MATCH(RIGHT(Table11[[#This Row],[spawner_sku]],LEN(Table11[[#This Row],[spawner_sku]])-FIND("/",Table11[[#This Row],[spawner_sku]])),Table1[Entity Prefab],0)),10,1,1,"Entities"))</f>
        <v>25</v>
      </c>
      <c r="CQ99">
        <f ca="1">ROUND((Table11[[#This Row],[XP]]*Table11[[#This Row],[entity_spawned (AVG)]])*(Table11[[#This Row],[activating_chance]]/100),0)</f>
        <v>75</v>
      </c>
      <c r="CR99" s="144" t="str">
        <f ca="1">INDIRECT(ADDRESS(11+(MATCH(RIGHT(Table11[[#This Row],[spawner_sku]],LEN(Table11[[#This Row],[spawner_sku]])-FIND("/",Table11[[#This Row],[spawner_sku]])),Table28[Entity Prefab],0)),25,1,1,"Entities"))</f>
        <v>no</v>
      </c>
      <c r="CS99" s="71">
        <v>2</v>
      </c>
      <c r="CT99" s="71">
        <v>4</v>
      </c>
      <c r="CU99" s="71" t="b">
        <v>0</v>
      </c>
      <c r="CW99" t="s">
        <v>466</v>
      </c>
      <c r="CX99">
        <v>1</v>
      </c>
      <c r="CY99">
        <v>70</v>
      </c>
      <c r="CZ99">
        <v>100</v>
      </c>
      <c r="DA99" s="74">
        <f ca="1">INDIRECT(ADDRESS(11+(MATCH(RIGHT(Table12[[#This Row],[spawner_sku]],LEN(Table12[[#This Row],[spawner_sku]])-FIND("/",Table12[[#This Row],[spawner_sku]])),Table1[Entity Prefab],0)),10,1,1,"Entities"))</f>
        <v>75</v>
      </c>
      <c r="DB99" s="74">
        <f ca="1">ROUND((Table12[[#This Row],[XP]]*Table12[[#This Row],[entity_spawned (AVG)]])*(Table12[[#This Row],[activating_chance]]/100),0)</f>
        <v>75</v>
      </c>
      <c r="DC99" s="144" t="str">
        <f ca="1">INDIRECT(ADDRESS(11+(MATCH(RIGHT(Table12[[#This Row],[spawner_sku]],LEN(Table12[[#This Row],[spawner_sku]])-FIND("/",Table12[[#This Row],[spawner_sku]])),Table28[Entity Prefab],0)),25,1,1,"Entities"))</f>
        <v>no</v>
      </c>
      <c r="DD99" s="71">
        <v>1</v>
      </c>
      <c r="DE99" s="71">
        <v>1</v>
      </c>
      <c r="DF99" s="71" t="b">
        <v>0</v>
      </c>
      <c r="DH99" t="s">
        <v>230</v>
      </c>
      <c r="DI99">
        <v>1</v>
      </c>
      <c r="DJ99">
        <v>200</v>
      </c>
      <c r="DK99">
        <v>100</v>
      </c>
      <c r="DL99" s="74">
        <f ca="1">INDIRECT(ADDRESS(11+(MATCH(RIGHT(Table13[[#This Row],[spawner_sku]],LEN(Table13[[#This Row],[spawner_sku]])-FIND("/",Table13[[#This Row],[spawner_sku]])),Table1[Entity Prefab],0)),10,1,1,"Entities"))</f>
        <v>28</v>
      </c>
      <c r="DM99" s="74">
        <f ca="1">ROUND((Table13[[#This Row],[XP]]*Table13[[#This Row],[entity_spawned (AVG)]])*(Table13[[#This Row],[activating_chance]]/100),0)</f>
        <v>28</v>
      </c>
      <c r="DN99" s="144" t="str">
        <f ca="1">INDIRECT(ADDRESS(11+(MATCH(RIGHT(Table13[[#This Row],[spawner_sku]],LEN(Table13[[#This Row],[spawner_sku]])-FIND("/",Table13[[#This Row],[spawner_sku]])),Table28[Entity Prefab],0)),25,1,1,"Entities"))</f>
        <v>no</v>
      </c>
      <c r="DO99" s="71">
        <v>1</v>
      </c>
      <c r="DP99" s="71">
        <v>1</v>
      </c>
      <c r="DQ99" s="71" t="b">
        <v>0</v>
      </c>
      <c r="DS99" t="s">
        <v>214</v>
      </c>
      <c r="DT99">
        <v>9</v>
      </c>
      <c r="DU99">
        <v>180</v>
      </c>
      <c r="DV99">
        <v>100</v>
      </c>
      <c r="DW99" s="74">
        <f ca="1">INDIRECT(ADDRESS(11+(MATCH(RIGHT(Table14[[#This Row],[spawner_sku]],LEN(Table14[[#This Row],[spawner_sku]])-FIND("/",Table14[[#This Row],[spawner_sku]])),Table1[Entity Prefab],0)),10,1,1,"Entities"))</f>
        <v>25</v>
      </c>
      <c r="DX99" s="74">
        <f ca="1">ROUND((Table14[[#This Row],[XP]]*Table14[[#This Row],[entity_spawned (AVG)]])*(Table14[[#This Row],[activating_chance]]/100),0)</f>
        <v>225</v>
      </c>
      <c r="DY99" s="144" t="str">
        <f ca="1">INDIRECT(ADDRESS(11+(MATCH(RIGHT(Table14[[#This Row],[spawner_sku]],LEN(Table14[[#This Row],[spawner_sku]])-FIND("/",Table14[[#This Row],[spawner_sku]])),Table28[Entity Prefab],0)),25,1,1,"Entities"))</f>
        <v>no</v>
      </c>
      <c r="DZ99" s="71">
        <v>8</v>
      </c>
      <c r="EA99" s="71">
        <v>10</v>
      </c>
      <c r="EB99" s="71" t="b">
        <v>1</v>
      </c>
      <c r="EC99" s="71"/>
      <c r="ED99" s="147" t="s">
        <v>8142</v>
      </c>
      <c r="EE99" s="71">
        <v>1</v>
      </c>
      <c r="EF99" s="71">
        <v>200</v>
      </c>
      <c r="EG99" s="71">
        <v>80</v>
      </c>
      <c r="EH99" s="71">
        <f ca="1">INDIRECT(ADDRESS(11+(MATCH(RIGHT(Table36[[#This Row],[spawner_sku]],LEN(Table36[[#This Row],[spawner_sku]])-FIND("/",Table36[[#This Row],[spawner_sku]])),Table1[Entity Prefab],0)),10,1,1,"Entities"))</f>
        <v>75</v>
      </c>
      <c r="EI99" s="71">
        <f ca="1">ROUND((Table36[[#This Row],[XP]]*Table36[[#This Row],[entity_spawned (AVG)]])*(Table36[[#This Row],[activating_chance]]/100),0)</f>
        <v>60</v>
      </c>
      <c r="EJ99" s="71" t="str">
        <f ca="1">INDIRECT(ADDRESS(11+(MATCH(RIGHT(Table36[[#This Row],[spawner_sku]],LEN(Table36[[#This Row],[spawner_sku]])-FIND("/",Table36[[#This Row],[spawner_sku]])),Table28[Entity Prefab],0)),25,1,1,"Entities"))</f>
        <v>no</v>
      </c>
      <c r="EK99" s="71">
        <v>1</v>
      </c>
      <c r="EL99" s="71">
        <v>1</v>
      </c>
      <c r="EM99" s="71" t="b">
        <v>0</v>
      </c>
      <c r="EO99" t="s">
        <v>376</v>
      </c>
      <c r="EP99">
        <v>6.5</v>
      </c>
      <c r="EQ99">
        <v>180</v>
      </c>
      <c r="ER99">
        <v>100</v>
      </c>
      <c r="ES99" s="74">
        <f ca="1">INDIRECT(ADDRESS(11+(MATCH(RIGHT(Table18[[#This Row],[spawner_sku]],LEN(Table18[[#This Row],[spawner_sku]])-FIND("/",Table18[[#This Row],[spawner_sku]])),Table1[Entity Prefab],0)),10,1,1,"Entities"))</f>
        <v>25</v>
      </c>
      <c r="ET99" s="74">
        <f ca="1">ROUND((Table18[[#This Row],[XP]]*Table18[[#This Row],[entity_spawned (AVG)]])*(Table18[[#This Row],[activating_chance]]/100),0)</f>
        <v>163</v>
      </c>
      <c r="EU99" s="74" t="str">
        <f ca="1">INDIRECT(ADDRESS(11+(MATCH(RIGHT(Table18[[#This Row],[spawner_sku]],LEN(Table18[[#This Row],[spawner_sku]])-FIND("/",Table18[[#This Row],[spawner_sku]])),Table28[Entity Prefab],0)),26,1,1,"Entities"))</f>
        <v>no</v>
      </c>
      <c r="EV99">
        <v>5</v>
      </c>
      <c r="EW99">
        <v>8</v>
      </c>
      <c r="EX99" t="b">
        <v>1</v>
      </c>
      <c r="EZ99" t="s">
        <v>320</v>
      </c>
      <c r="FA99">
        <v>1</v>
      </c>
      <c r="FB99">
        <v>250</v>
      </c>
      <c r="FC99">
        <v>50</v>
      </c>
      <c r="FD99" s="74">
        <f ca="1">INDIRECT(ADDRESS(11+(MATCH(RIGHT(Table1820[[#This Row],[spawner_sku]],LEN(Table1820[[#This Row],[spawner_sku]])-FIND("/",Table1820[[#This Row],[spawner_sku]])),Table1[Entity Prefab],0)),10,1,1,"Entities"))</f>
        <v>143</v>
      </c>
      <c r="FE99" s="74">
        <f ca="1">ROUND((Table1820[[#This Row],[XP]]*Table1820[[#This Row],[entity_spawned (AVG)]])*(Table1820[[#This Row],[activating_chance]]/100),0)</f>
        <v>72</v>
      </c>
      <c r="FF99" s="74" t="str">
        <f ca="1">INDIRECT(ADDRESS(11+(MATCH(RIGHT(Table1820[[#This Row],[spawner_sku]],LEN(Table1820[[#This Row],[spawner_sku]])-FIND("/",Table1820[[#This Row],[spawner_sku]])),Table28[Entity Prefab],0)),26,1,1,"Entities"))</f>
        <v>yes</v>
      </c>
      <c r="FG99">
        <v>1</v>
      </c>
      <c r="FH99">
        <v>1</v>
      </c>
      <c r="FI99" t="b">
        <v>0</v>
      </c>
      <c r="FK99" t="s">
        <v>2695</v>
      </c>
      <c r="FL99">
        <v>10</v>
      </c>
      <c r="FM99">
        <v>100</v>
      </c>
      <c r="FN99">
        <v>100</v>
      </c>
      <c r="FO99">
        <f ca="1">INDIRECT(ADDRESS(11+(MATCH(RIGHT(Table182023[[#This Row],[spawner_sku]],LEN(Table182023[[#This Row],[spawner_sku]])-FIND("/",Table182023[[#This Row],[spawner_sku]])),Table1[Entity Prefab],0)),10,1,1,"Entities"))</f>
        <v>40</v>
      </c>
      <c r="FP99">
        <f ca="1">ROUND((Table182023[[#This Row],[XP]]*Table182023[[#This Row],[entity_spawned (AVG)]])*(Table182023[[#This Row],[activating_chance]]/100),0)</f>
        <v>400</v>
      </c>
      <c r="FQ99" t="str">
        <f ca="1">INDIRECT(ADDRESS(11+(MATCH(RIGHT(Table182023[[#This Row],[spawner_sku]],LEN(Table182023[[#This Row],[spawner_sku]])-FIND("/",Table182023[[#This Row],[spawner_sku]])),Table28[Entity Prefab],0)),26,1,1,"Entities"))</f>
        <v>no</v>
      </c>
      <c r="FR99">
        <v>8</v>
      </c>
      <c r="FS99">
        <v>12</v>
      </c>
      <c r="FT99" t="b">
        <v>1</v>
      </c>
      <c r="FV99" t="s">
        <v>2695</v>
      </c>
      <c r="FW99">
        <v>2.5</v>
      </c>
      <c r="FX99">
        <v>90</v>
      </c>
      <c r="FY99">
        <v>100</v>
      </c>
      <c r="FZ99" s="74">
        <f ca="1">INDIRECT(ADDRESS(11+(MATCH(RIGHT(Table18202324[[#This Row],[spawner_sku]],LEN(Table18202324[[#This Row],[spawner_sku]])-FIND("/",Table18202324[[#This Row],[spawner_sku]])),Table1[Entity Prefab],0)),10,1,1,"Entities"))</f>
        <v>40</v>
      </c>
      <c r="GA99" s="74">
        <f ca="1">ROUND((Table18202324[[#This Row],[XP]]*Table18202324[[#This Row],[entity_spawned (AVG)]])*(Table18202324[[#This Row],[activating_chance]]/100),0)</f>
        <v>100</v>
      </c>
      <c r="GB99" s="74" t="str">
        <f ca="1">INDIRECT(ADDRESS(11+(MATCH(RIGHT(Table18202324[[#This Row],[spawner_sku]],LEN(Table18202324[[#This Row],[spawner_sku]])-FIND("/",Table18202324[[#This Row],[spawner_sku]])),Table28[Entity Prefab],0)),26,1,1,"Entities"))</f>
        <v>no</v>
      </c>
      <c r="GC99">
        <v>2</v>
      </c>
      <c r="GD99">
        <v>3</v>
      </c>
      <c r="GE99" t="b">
        <v>0</v>
      </c>
      <c r="GG99" t="s">
        <v>3816</v>
      </c>
      <c r="GH99">
        <v>1</v>
      </c>
      <c r="GI99">
        <v>240</v>
      </c>
      <c r="GJ99">
        <v>100</v>
      </c>
      <c r="GK99">
        <f ca="1">INDIRECT(ADDRESS(11+(MATCH(RIGHT(Table37[[#This Row],[spawner_sku]],LEN(Table37[[#This Row],[spawner_sku]])-FIND("/",Table37[[#This Row],[spawner_sku]])),Table1[Entity Prefab],0)),10,1,1,"Entities"))</f>
        <v>50</v>
      </c>
      <c r="GL99">
        <f ca="1">ROUND((Table37[[#This Row],[XP]]*Table37[[#This Row],[entity_spawned (AVG)]])*(Table37[[#This Row],[activating_chance]]/100),0)</f>
        <v>50</v>
      </c>
      <c r="GM99" t="str">
        <f ca="1">INDIRECT(ADDRESS(11+(MATCH(RIGHT(Table37[[#This Row],[spawner_sku]],LEN(Table37[[#This Row],[spawner_sku]])-FIND("/",Table37[[#This Row],[spawner_sku]])),Table28[Entity Prefab],0)),26,1,1,"Entities"))</f>
        <v>no</v>
      </c>
      <c r="GN99">
        <v>1</v>
      </c>
      <c r="GO99">
        <v>1</v>
      </c>
      <c r="GP99" t="b">
        <v>0</v>
      </c>
    </row>
    <row r="100" spans="2:198" x14ac:dyDescent="0.25">
      <c r="B100" s="72" t="s">
        <v>215</v>
      </c>
      <c r="C100">
        <v>2.5</v>
      </c>
      <c r="D100">
        <v>130</v>
      </c>
      <c r="E100">
        <v>60</v>
      </c>
      <c r="F100" s="74">
        <f ca="1">INDIRECT(ADDRESS(11+(MATCH(RIGHT(Table245[[#This Row],[spawner_sku]],LEN(Table245[[#This Row],[spawner_sku]])-FIND("/",Table245[[#This Row],[spawner_sku]])),Table1[Entity Prefab],0)),10,1,1,"Entities"))</f>
        <v>25</v>
      </c>
      <c r="G100" s="74">
        <f ca="1">ROUND((Table245[[#This Row],[XP]]*Table245[[#This Row],[entity_spawned (AVG)]])*(Table245[[#This Row],[activating_chance]]/100),0)</f>
        <v>38</v>
      </c>
      <c r="H100" s="71" t="str">
        <f ca="1">INDIRECT(ADDRESS(11+(MATCH(RIGHT(Table245[[#This Row],[spawner_sku]],LEN(Table245[[#This Row],[spawner_sku]])-FIND("/",Table245[[#This Row],[spawner_sku]])),Table28[Entity Prefab],0)),24,1,1,"Entities"))</f>
        <v>no</v>
      </c>
      <c r="I100" s="71">
        <v>2</v>
      </c>
      <c r="J100" s="71">
        <v>3</v>
      </c>
      <c r="K100" s="71" t="b">
        <v>0</v>
      </c>
      <c r="M100" t="s">
        <v>242</v>
      </c>
      <c r="N100">
        <v>1</v>
      </c>
      <c r="O100">
        <v>150</v>
      </c>
      <c r="P100">
        <v>100</v>
      </c>
      <c r="Q100" s="74">
        <f ca="1">INDIRECT(ADDRESS(11+(MATCH(RIGHT(Table3[[#This Row],[spawner_sku]],LEN(Table3[[#This Row],[spawner_sku]])-FIND("/",Table3[[#This Row],[spawner_sku]])),Table1[Entity Prefab],0)),10,1,1,"Entities"))</f>
        <v>25</v>
      </c>
      <c r="R100" s="74">
        <f ca="1">ROUND((Table3[[#This Row],[XP]]*Table3[[#This Row],[entity_spawned (AVG)]])*(Table3[[#This Row],[activating_chance]]/100),0)</f>
        <v>25</v>
      </c>
      <c r="S100" t="str">
        <f ca="1">INDIRECT(ADDRESS(11+(MATCH(RIGHT(Table3[[#This Row],[spawner_sku]],LEN(Table3[[#This Row],[spawner_sku]])-FIND("/",Table3[[#This Row],[spawner_sku]])),Table28[Entity Prefab],0)),24,1,1,"Entities"))</f>
        <v>no</v>
      </c>
      <c r="T100">
        <v>1</v>
      </c>
      <c r="U100">
        <v>1</v>
      </c>
      <c r="V100" t="b">
        <v>0</v>
      </c>
      <c r="W100" s="71"/>
      <c r="AI100" t="s">
        <v>215</v>
      </c>
      <c r="AJ100">
        <v>3</v>
      </c>
      <c r="AK100">
        <v>110</v>
      </c>
      <c r="AL100">
        <v>100</v>
      </c>
      <c r="AM100" s="74">
        <f ca="1">INDIRECT(ADDRESS(11+(MATCH(RIGHT(Table2[[#This Row],[spawner_sku]],LEN(Table2[[#This Row],[spawner_sku]])-FIND("/",Table2[[#This Row],[spawner_sku]])),Table1[Entity Prefab],0)),10,1,1,"Entities"))</f>
        <v>25</v>
      </c>
      <c r="AN100" s="74">
        <f ca="1">ROUND((Table2[[#This Row],[XP]]*Table2[[#This Row],[entity_spawned (AVG)]])*(Table2[[#This Row],[activating_chance]]/100),0)</f>
        <v>75</v>
      </c>
      <c r="AO100" s="71" t="str">
        <f ca="1">INDIRECT(ADDRESS(11+(MATCH(RIGHT(Table2[[#This Row],[spawner_sku]],LEN(Table2[[#This Row],[spawner_sku]])-FIND("/",Table2[[#This Row],[spawner_sku]])),Table28[Entity Prefab],0)),24,1,1,"Entities"))</f>
        <v>no</v>
      </c>
      <c r="AP100" s="71">
        <v>2</v>
      </c>
      <c r="AQ100" s="71">
        <v>4</v>
      </c>
      <c r="AR100" s="71" t="b">
        <v>0</v>
      </c>
      <c r="AT100" t="s">
        <v>423</v>
      </c>
      <c r="AU100">
        <v>3</v>
      </c>
      <c r="AV100">
        <v>190</v>
      </c>
      <c r="AW100">
        <v>100</v>
      </c>
      <c r="AX100" s="74">
        <f ca="1">INDIRECT(ADDRESS(11+(MATCH(RIGHT(Table6[[#This Row],[spawner_sku]],LEN(Table6[[#This Row],[spawner_sku]])-FIND("/",Table6[[#This Row],[spawner_sku]])),Table1[Entity Prefab],0)),10,1,1,"Entities"))</f>
        <v>0</v>
      </c>
      <c r="AY100" s="74">
        <f ca="1">ROUND((Table6[[#This Row],[XP]]*Table6[[#This Row],[entity_spawned (AVG)]])*(Table6[[#This Row],[activating_chance]]/100),0)</f>
        <v>0</v>
      </c>
      <c r="AZ100" s="144" t="str">
        <f ca="1">INDIRECT(ADDRESS(11+(MATCH(RIGHT(Table6[[#This Row],[spawner_sku]],LEN(Table6[[#This Row],[spawner_sku]])-FIND("/",Table6[[#This Row],[spawner_sku]])),Table28[Entity Prefab],0)),24,1,1,"Entities"))</f>
        <v>yes</v>
      </c>
      <c r="BA100">
        <v>3</v>
      </c>
      <c r="BB100">
        <v>3</v>
      </c>
      <c r="BC100" t="b">
        <v>0</v>
      </c>
      <c r="BE100" t="s">
        <v>225</v>
      </c>
      <c r="BF100">
        <v>1</v>
      </c>
      <c r="BG100">
        <v>2500</v>
      </c>
      <c r="BH100">
        <v>100</v>
      </c>
      <c r="BI100" s="74">
        <f ca="1">INDIRECT(ADDRESS(11+(MATCH(RIGHT(Table610[[#This Row],[spawner_sku]],LEN(Table610[[#This Row],[spawner_sku]])-FIND("/",Table610[[#This Row],[spawner_sku]])),Table1[Entity Prefab],0)),10,1,1,"Entities"))</f>
        <v>263</v>
      </c>
      <c r="BJ100" s="74">
        <f ca="1">ROUND((Table610[[#This Row],[XP]]*Table610[[#This Row],[entity_spawned (AVG)]])*(Table610[[#This Row],[activating_chance]]/100),0)</f>
        <v>263</v>
      </c>
      <c r="BK100" s="71" t="str">
        <f ca="1">INDIRECT(ADDRESS(11+(MATCH(RIGHT(Table610[[#This Row],[spawner_sku]],LEN(Table610[[#This Row],[spawner_sku]])-FIND("/",Table610[[#This Row],[spawner_sku]])),Table28[Entity Prefab],0)),24,1,1,"Entities"))</f>
        <v>yes</v>
      </c>
      <c r="BL100">
        <v>1</v>
      </c>
      <c r="BM100">
        <v>1</v>
      </c>
      <c r="BN100" t="b">
        <v>0</v>
      </c>
      <c r="BP100" t="s">
        <v>376</v>
      </c>
      <c r="BQ100">
        <v>2</v>
      </c>
      <c r="BR100">
        <v>220</v>
      </c>
      <c r="BS100">
        <v>100</v>
      </c>
      <c r="BT100" s="74">
        <f ca="1">INDIRECT(ADDRESS(11+(MATCH(RIGHT(Table61011[[#This Row],[spawner_sku]],LEN(Table61011[[#This Row],[spawner_sku]])-FIND("/",Table61011[[#This Row],[spawner_sku]])),Table1[Entity Prefab],0)),10,1,1,"Entities"))</f>
        <v>25</v>
      </c>
      <c r="BU100" s="74">
        <f ca="1">ROUND((Table61011[[#This Row],[XP]]*Table61011[[#This Row],[entity_spawned (AVG)]])*(Table61011[[#This Row],[activating_chance]]/100),0)</f>
        <v>50</v>
      </c>
      <c r="BV100" s="71" t="str">
        <f ca="1">INDIRECT(ADDRESS(11+(MATCH(RIGHT(Table61011[[#This Row],[spawner_sku]],LEN(Table61011[[#This Row],[spawner_sku]])-FIND("/",Table61011[[#This Row],[spawner_sku]])),Table28[Entity Prefab],0)),24,1,1,"Entities"))</f>
        <v>no</v>
      </c>
      <c r="BW100" s="71">
        <v>2</v>
      </c>
      <c r="BX100" s="71">
        <v>2</v>
      </c>
      <c r="BY100" s="71" t="b">
        <v>0</v>
      </c>
      <c r="BZ100" s="71"/>
      <c r="CA100" s="147" t="s">
        <v>8142</v>
      </c>
      <c r="CB100">
        <v>1</v>
      </c>
      <c r="CC100">
        <v>200</v>
      </c>
      <c r="CD100">
        <v>100</v>
      </c>
      <c r="CE100" s="74">
        <f ca="1">INDIRECT(ADDRESS(11+(MATCH(RIGHT(Table35[[#This Row],[spawner_sku]],LEN(Table35[[#This Row],[spawner_sku]])-FIND("/",Table35[[#This Row],[spawner_sku]])),Table1[Entity Prefab],0)),10,1,1,"Entities"))</f>
        <v>75</v>
      </c>
      <c r="CF100" s="74">
        <f ca="1">ROUND((Table35[[#This Row],[XP]]*Table35[[#This Row],[entity_spawned (AVG)]])*(Table35[[#This Row],[activating_chance]]/100),0)</f>
        <v>75</v>
      </c>
      <c r="CG100" s="144" t="str">
        <f ca="1">INDIRECT(ADDRESS(11+(MATCH(RIGHT(Table35[[#This Row],[spawner_sku]],LEN(Table35[[#This Row],[spawner_sku]])-FIND("/",Table35[[#This Row],[spawner_sku]])),Table28[Entity Prefab],0)),24,1,1,"Entities"))</f>
        <v>no</v>
      </c>
      <c r="CH100">
        <v>1</v>
      </c>
      <c r="CI100">
        <v>1</v>
      </c>
      <c r="CJ100" s="71" t="b">
        <v>0</v>
      </c>
      <c r="CL100" t="s">
        <v>215</v>
      </c>
      <c r="CM100">
        <v>3.5</v>
      </c>
      <c r="CN100">
        <v>180</v>
      </c>
      <c r="CO100">
        <v>80</v>
      </c>
      <c r="CP100" s="74">
        <f ca="1">INDIRECT(ADDRESS(11+(MATCH(RIGHT(Table11[[#This Row],[spawner_sku]],LEN(Table11[[#This Row],[spawner_sku]])-FIND("/",Table11[[#This Row],[spawner_sku]])),Table1[Entity Prefab],0)),10,1,1,"Entities"))</f>
        <v>25</v>
      </c>
      <c r="CQ100">
        <f ca="1">ROUND((Table11[[#This Row],[XP]]*Table11[[#This Row],[entity_spawned (AVG)]])*(Table11[[#This Row],[activating_chance]]/100),0)</f>
        <v>70</v>
      </c>
      <c r="CR100" s="144" t="str">
        <f ca="1">INDIRECT(ADDRESS(11+(MATCH(RIGHT(Table11[[#This Row],[spawner_sku]],LEN(Table11[[#This Row],[spawner_sku]])-FIND("/",Table11[[#This Row],[spawner_sku]])),Table28[Entity Prefab],0)),25,1,1,"Entities"))</f>
        <v>no</v>
      </c>
      <c r="CS100" s="71">
        <v>3</v>
      </c>
      <c r="CT100" s="71">
        <v>4</v>
      </c>
      <c r="CU100" s="71" t="b">
        <v>0</v>
      </c>
      <c r="CW100" t="s">
        <v>429</v>
      </c>
      <c r="CX100">
        <v>1</v>
      </c>
      <c r="CY100">
        <v>300</v>
      </c>
      <c r="CZ100">
        <v>100</v>
      </c>
      <c r="DA100" s="74">
        <f ca="1">INDIRECT(ADDRESS(11+(MATCH(RIGHT(Table12[[#This Row],[spawner_sku]],LEN(Table12[[#This Row],[spawner_sku]])-FIND("/",Table12[[#This Row],[spawner_sku]])),Table1[Entity Prefab],0)),10,1,1,"Entities"))</f>
        <v>77</v>
      </c>
      <c r="DB100" s="74">
        <f ca="1">ROUND((Table12[[#This Row],[XP]]*Table12[[#This Row],[entity_spawned (AVG)]])*(Table12[[#This Row],[activating_chance]]/100),0)</f>
        <v>77</v>
      </c>
      <c r="DC100" s="144" t="str">
        <f ca="1">INDIRECT(ADDRESS(11+(MATCH(RIGHT(Table12[[#This Row],[spawner_sku]],LEN(Table12[[#This Row],[spawner_sku]])-FIND("/",Table12[[#This Row],[spawner_sku]])),Table28[Entity Prefab],0)),25,1,1,"Entities"))</f>
        <v>yes</v>
      </c>
      <c r="DD100" s="71">
        <v>1</v>
      </c>
      <c r="DE100" s="71">
        <v>1</v>
      </c>
      <c r="DF100" s="71" t="b">
        <v>0</v>
      </c>
      <c r="DH100" t="s">
        <v>230</v>
      </c>
      <c r="DI100">
        <v>1.5</v>
      </c>
      <c r="DJ100">
        <v>200</v>
      </c>
      <c r="DK100">
        <v>100</v>
      </c>
      <c r="DL100" s="74">
        <f ca="1">INDIRECT(ADDRESS(11+(MATCH(RIGHT(Table13[[#This Row],[spawner_sku]],LEN(Table13[[#This Row],[spawner_sku]])-FIND("/",Table13[[#This Row],[spawner_sku]])),Table1[Entity Prefab],0)),10,1,1,"Entities"))</f>
        <v>28</v>
      </c>
      <c r="DM100" s="74">
        <f ca="1">ROUND((Table13[[#This Row],[XP]]*Table13[[#This Row],[entity_spawned (AVG)]])*(Table13[[#This Row],[activating_chance]]/100),0)</f>
        <v>42</v>
      </c>
      <c r="DN100" s="144" t="str">
        <f ca="1">INDIRECT(ADDRESS(11+(MATCH(RIGHT(Table13[[#This Row],[spawner_sku]],LEN(Table13[[#This Row],[spawner_sku]])-FIND("/",Table13[[#This Row],[spawner_sku]])),Table28[Entity Prefab],0)),25,1,1,"Entities"))</f>
        <v>no</v>
      </c>
      <c r="DO100" s="71">
        <v>1</v>
      </c>
      <c r="DP100" s="71">
        <v>2</v>
      </c>
      <c r="DQ100" s="71" t="b">
        <v>0</v>
      </c>
      <c r="DS100" t="s">
        <v>214</v>
      </c>
      <c r="DT100">
        <v>8</v>
      </c>
      <c r="DU100">
        <v>200</v>
      </c>
      <c r="DV100">
        <v>100</v>
      </c>
      <c r="DW100" s="74">
        <f ca="1">INDIRECT(ADDRESS(11+(MATCH(RIGHT(Table14[[#This Row],[spawner_sku]],LEN(Table14[[#This Row],[spawner_sku]])-FIND("/",Table14[[#This Row],[spawner_sku]])),Table1[Entity Prefab],0)),10,1,1,"Entities"))</f>
        <v>25</v>
      </c>
      <c r="DX100" s="74">
        <f ca="1">ROUND((Table14[[#This Row],[XP]]*Table14[[#This Row],[entity_spawned (AVG)]])*(Table14[[#This Row],[activating_chance]]/100),0)</f>
        <v>200</v>
      </c>
      <c r="DY100" s="144" t="str">
        <f ca="1">INDIRECT(ADDRESS(11+(MATCH(RIGHT(Table14[[#This Row],[spawner_sku]],LEN(Table14[[#This Row],[spawner_sku]])-FIND("/",Table14[[#This Row],[spawner_sku]])),Table28[Entity Prefab],0)),25,1,1,"Entities"))</f>
        <v>no</v>
      </c>
      <c r="DZ100" s="71">
        <v>6</v>
      </c>
      <c r="EA100" s="71">
        <v>10</v>
      </c>
      <c r="EB100" s="71" t="b">
        <v>1</v>
      </c>
      <c r="EC100" s="71"/>
      <c r="ED100" s="147" t="s">
        <v>8143</v>
      </c>
      <c r="EE100" s="71">
        <v>1</v>
      </c>
      <c r="EF100" s="71">
        <v>200</v>
      </c>
      <c r="EG100" s="71">
        <v>100</v>
      </c>
      <c r="EH100" s="71">
        <f ca="1">INDIRECT(ADDRESS(11+(MATCH(RIGHT(Table36[[#This Row],[spawner_sku]],LEN(Table36[[#This Row],[spawner_sku]])-FIND("/",Table36[[#This Row],[spawner_sku]])),Table1[Entity Prefab],0)),10,1,1,"Entities"))</f>
        <v>75</v>
      </c>
      <c r="EI100" s="71">
        <f ca="1">ROUND((Table36[[#This Row],[XP]]*Table36[[#This Row],[entity_spawned (AVG)]])*(Table36[[#This Row],[activating_chance]]/100),0)</f>
        <v>75</v>
      </c>
      <c r="EJ100" s="71" t="str">
        <f ca="1">INDIRECT(ADDRESS(11+(MATCH(RIGHT(Table36[[#This Row],[spawner_sku]],LEN(Table36[[#This Row],[spawner_sku]])-FIND("/",Table36[[#This Row],[spawner_sku]])),Table28[Entity Prefab],0)),25,1,1,"Entities"))</f>
        <v>no</v>
      </c>
      <c r="EK100" s="71">
        <v>1</v>
      </c>
      <c r="EL100" s="71">
        <v>1</v>
      </c>
      <c r="EM100" s="71" t="b">
        <v>0</v>
      </c>
      <c r="EO100" t="s">
        <v>376</v>
      </c>
      <c r="EP100">
        <v>7</v>
      </c>
      <c r="EQ100">
        <v>160</v>
      </c>
      <c r="ER100">
        <v>100</v>
      </c>
      <c r="ES100" s="74">
        <f ca="1">INDIRECT(ADDRESS(11+(MATCH(RIGHT(Table18[[#This Row],[spawner_sku]],LEN(Table18[[#This Row],[spawner_sku]])-FIND("/",Table18[[#This Row],[spawner_sku]])),Table1[Entity Prefab],0)),10,1,1,"Entities"))</f>
        <v>25</v>
      </c>
      <c r="ET100" s="74">
        <f ca="1">ROUND((Table18[[#This Row],[XP]]*Table18[[#This Row],[entity_spawned (AVG)]])*(Table18[[#This Row],[activating_chance]]/100),0)</f>
        <v>175</v>
      </c>
      <c r="EU100" s="74" t="str">
        <f ca="1">INDIRECT(ADDRESS(11+(MATCH(RIGHT(Table18[[#This Row],[spawner_sku]],LEN(Table18[[#This Row],[spawner_sku]])-FIND("/",Table18[[#This Row],[spawner_sku]])),Table28[Entity Prefab],0)),26,1,1,"Entities"))</f>
        <v>no</v>
      </c>
      <c r="EV100">
        <v>6</v>
      </c>
      <c r="EW100">
        <v>8</v>
      </c>
      <c r="EX100" t="b">
        <v>1</v>
      </c>
      <c r="EZ100" t="s">
        <v>320</v>
      </c>
      <c r="FA100">
        <v>2.5</v>
      </c>
      <c r="FB100">
        <v>250</v>
      </c>
      <c r="FC100">
        <v>100</v>
      </c>
      <c r="FD100" s="74">
        <f ca="1">INDIRECT(ADDRESS(11+(MATCH(RIGHT(Table1820[[#This Row],[spawner_sku]],LEN(Table1820[[#This Row],[spawner_sku]])-FIND("/",Table1820[[#This Row],[spawner_sku]])),Table1[Entity Prefab],0)),10,1,1,"Entities"))</f>
        <v>143</v>
      </c>
      <c r="FE100" s="74">
        <f ca="1">ROUND((Table1820[[#This Row],[XP]]*Table1820[[#This Row],[entity_spawned (AVG)]])*(Table1820[[#This Row],[activating_chance]]/100),0)</f>
        <v>358</v>
      </c>
      <c r="FF100" s="74" t="str">
        <f ca="1">INDIRECT(ADDRESS(11+(MATCH(RIGHT(Table1820[[#This Row],[spawner_sku]],LEN(Table1820[[#This Row],[spawner_sku]])-FIND("/",Table1820[[#This Row],[spawner_sku]])),Table28[Entity Prefab],0)),26,1,1,"Entities"))</f>
        <v>yes</v>
      </c>
      <c r="FG100">
        <v>2</v>
      </c>
      <c r="FH100">
        <v>3</v>
      </c>
      <c r="FI100" t="b">
        <v>0</v>
      </c>
      <c r="FK100" t="s">
        <v>2695</v>
      </c>
      <c r="FL100">
        <v>3</v>
      </c>
      <c r="FM100">
        <v>60</v>
      </c>
      <c r="FN100">
        <v>80</v>
      </c>
      <c r="FO100">
        <f ca="1">INDIRECT(ADDRESS(11+(MATCH(RIGHT(Table182023[[#This Row],[spawner_sku]],LEN(Table182023[[#This Row],[spawner_sku]])-FIND("/",Table182023[[#This Row],[spawner_sku]])),Table1[Entity Prefab],0)),10,1,1,"Entities"))</f>
        <v>40</v>
      </c>
      <c r="FP100">
        <f ca="1">ROUND((Table182023[[#This Row],[XP]]*Table182023[[#This Row],[entity_spawned (AVG)]])*(Table182023[[#This Row],[activating_chance]]/100),0)</f>
        <v>96</v>
      </c>
      <c r="FQ100" t="str">
        <f ca="1">INDIRECT(ADDRESS(11+(MATCH(RIGHT(Table182023[[#This Row],[spawner_sku]],LEN(Table182023[[#This Row],[spawner_sku]])-FIND("/",Table182023[[#This Row],[spawner_sku]])),Table28[Entity Prefab],0)),26,1,1,"Entities"))</f>
        <v>no</v>
      </c>
      <c r="FR100">
        <v>2</v>
      </c>
      <c r="FS100">
        <v>4</v>
      </c>
      <c r="FT100" t="b">
        <v>0</v>
      </c>
      <c r="FV100" t="s">
        <v>2693</v>
      </c>
      <c r="FW100">
        <v>1.5</v>
      </c>
      <c r="FX100">
        <v>120</v>
      </c>
      <c r="FY100">
        <v>100</v>
      </c>
      <c r="FZ100" s="74">
        <f ca="1">INDIRECT(ADDRESS(11+(MATCH(RIGHT(Table18202324[[#This Row],[spawner_sku]],LEN(Table18202324[[#This Row],[spawner_sku]])-FIND("/",Table18202324[[#This Row],[spawner_sku]])),Table1[Entity Prefab],0)),10,1,1,"Entities"))</f>
        <v>130</v>
      </c>
      <c r="GA100" s="74">
        <f ca="1">ROUND((Table18202324[[#This Row],[XP]]*Table18202324[[#This Row],[entity_spawned (AVG)]])*(Table18202324[[#This Row],[activating_chance]]/100),0)</f>
        <v>195</v>
      </c>
      <c r="GB100" s="74" t="str">
        <f ca="1">INDIRECT(ADDRESS(11+(MATCH(RIGHT(Table18202324[[#This Row],[spawner_sku]],LEN(Table18202324[[#This Row],[spawner_sku]])-FIND("/",Table18202324[[#This Row],[spawner_sku]])),Table28[Entity Prefab],0)),26,1,1,"Entities"))</f>
        <v>yes</v>
      </c>
      <c r="GC100">
        <v>1</v>
      </c>
      <c r="GD100">
        <v>2</v>
      </c>
      <c r="GE100" t="b">
        <v>0</v>
      </c>
      <c r="GG100" t="s">
        <v>3816</v>
      </c>
      <c r="GH100">
        <v>1</v>
      </c>
      <c r="GI100">
        <v>240</v>
      </c>
      <c r="GJ100">
        <v>100</v>
      </c>
      <c r="GK100">
        <f ca="1">INDIRECT(ADDRESS(11+(MATCH(RIGHT(Table37[[#This Row],[spawner_sku]],LEN(Table37[[#This Row],[spawner_sku]])-FIND("/",Table37[[#This Row],[spawner_sku]])),Table1[Entity Prefab],0)),10,1,1,"Entities"))</f>
        <v>50</v>
      </c>
      <c r="GL100">
        <f ca="1">ROUND((Table37[[#This Row],[XP]]*Table37[[#This Row],[entity_spawned (AVG)]])*(Table37[[#This Row],[activating_chance]]/100),0)</f>
        <v>50</v>
      </c>
      <c r="GM100" t="str">
        <f ca="1">INDIRECT(ADDRESS(11+(MATCH(RIGHT(Table37[[#This Row],[spawner_sku]],LEN(Table37[[#This Row],[spawner_sku]])-FIND("/",Table37[[#This Row],[spawner_sku]])),Table28[Entity Prefab],0)),26,1,1,"Entities"))</f>
        <v>no</v>
      </c>
      <c r="GN100">
        <v>1</v>
      </c>
      <c r="GO100">
        <v>1</v>
      </c>
      <c r="GP100" t="b">
        <v>0</v>
      </c>
    </row>
    <row r="101" spans="2:198" x14ac:dyDescent="0.25">
      <c r="B101" s="72" t="s">
        <v>215</v>
      </c>
      <c r="C101">
        <v>3.5</v>
      </c>
      <c r="D101">
        <v>90</v>
      </c>
      <c r="E101">
        <v>90</v>
      </c>
      <c r="F101" s="74">
        <f ca="1">INDIRECT(ADDRESS(11+(MATCH(RIGHT(Table245[[#This Row],[spawner_sku]],LEN(Table245[[#This Row],[spawner_sku]])-FIND("/",Table245[[#This Row],[spawner_sku]])),Table1[Entity Prefab],0)),10,1,1,"Entities"))</f>
        <v>25</v>
      </c>
      <c r="G101" s="74">
        <f ca="1">ROUND((Table245[[#This Row],[XP]]*Table245[[#This Row],[entity_spawned (AVG)]])*(Table245[[#This Row],[activating_chance]]/100),0)</f>
        <v>79</v>
      </c>
      <c r="H101" s="71" t="str">
        <f ca="1">INDIRECT(ADDRESS(11+(MATCH(RIGHT(Table245[[#This Row],[spawner_sku]],LEN(Table245[[#This Row],[spawner_sku]])-FIND("/",Table245[[#This Row],[spawner_sku]])),Table28[Entity Prefab],0)),24,1,1,"Entities"))</f>
        <v>no</v>
      </c>
      <c r="I101" s="71">
        <v>3</v>
      </c>
      <c r="J101" s="71">
        <v>4</v>
      </c>
      <c r="K101" s="71" t="b">
        <v>0</v>
      </c>
      <c r="M101" t="s">
        <v>242</v>
      </c>
      <c r="N101">
        <v>1</v>
      </c>
      <c r="O101">
        <v>170</v>
      </c>
      <c r="P101">
        <v>100</v>
      </c>
      <c r="Q101" s="74">
        <f ca="1">INDIRECT(ADDRESS(11+(MATCH(RIGHT(Table3[[#This Row],[spawner_sku]],LEN(Table3[[#This Row],[spawner_sku]])-FIND("/",Table3[[#This Row],[spawner_sku]])),Table1[Entity Prefab],0)),10,1,1,"Entities"))</f>
        <v>25</v>
      </c>
      <c r="R101" s="74">
        <f ca="1">ROUND((Table3[[#This Row],[XP]]*Table3[[#This Row],[entity_spawned (AVG)]])*(Table3[[#This Row],[activating_chance]]/100),0)</f>
        <v>25</v>
      </c>
      <c r="S101" t="str">
        <f ca="1">INDIRECT(ADDRESS(11+(MATCH(RIGHT(Table3[[#This Row],[spawner_sku]],LEN(Table3[[#This Row],[spawner_sku]])-FIND("/",Table3[[#This Row],[spawner_sku]])),Table28[Entity Prefab],0)),24,1,1,"Entities"))</f>
        <v>no</v>
      </c>
      <c r="T101">
        <v>1</v>
      </c>
      <c r="U101">
        <v>1</v>
      </c>
      <c r="V101" t="b">
        <v>0</v>
      </c>
      <c r="W101" s="71"/>
      <c r="AI101" t="s">
        <v>215</v>
      </c>
      <c r="AJ101">
        <v>3</v>
      </c>
      <c r="AK101">
        <v>100</v>
      </c>
      <c r="AL101">
        <v>85</v>
      </c>
      <c r="AM101" s="74">
        <f ca="1">INDIRECT(ADDRESS(11+(MATCH(RIGHT(Table2[[#This Row],[spawner_sku]],LEN(Table2[[#This Row],[spawner_sku]])-FIND("/",Table2[[#This Row],[spawner_sku]])),Table1[Entity Prefab],0)),10,1,1,"Entities"))</f>
        <v>25</v>
      </c>
      <c r="AN101" s="74">
        <f ca="1">ROUND((Table2[[#This Row],[XP]]*Table2[[#This Row],[entity_spawned (AVG)]])*(Table2[[#This Row],[activating_chance]]/100),0)</f>
        <v>64</v>
      </c>
      <c r="AO101" s="71" t="str">
        <f ca="1">INDIRECT(ADDRESS(11+(MATCH(RIGHT(Table2[[#This Row],[spawner_sku]],LEN(Table2[[#This Row],[spawner_sku]])-FIND("/",Table2[[#This Row],[spawner_sku]])),Table28[Entity Prefab],0)),24,1,1,"Entities"))</f>
        <v>no</v>
      </c>
      <c r="AP101" s="71">
        <v>2</v>
      </c>
      <c r="AQ101" s="71">
        <v>4</v>
      </c>
      <c r="AR101" s="71" t="b">
        <v>0</v>
      </c>
      <c r="AT101" t="s">
        <v>233</v>
      </c>
      <c r="AU101">
        <v>1</v>
      </c>
      <c r="AV101">
        <v>500</v>
      </c>
      <c r="AW101">
        <v>75</v>
      </c>
      <c r="AX101" s="74">
        <f ca="1">INDIRECT(ADDRESS(11+(MATCH(RIGHT(Table6[[#This Row],[spawner_sku]],LEN(Table6[[#This Row],[spawner_sku]])-FIND("/",Table6[[#This Row],[spawner_sku]])),Table1[Entity Prefab],0)),10,1,1,"Entities"))</f>
        <v>25</v>
      </c>
      <c r="AY101" s="74">
        <f ca="1">ROUND((Table6[[#This Row],[XP]]*Table6[[#This Row],[entity_spawned (AVG)]])*(Table6[[#This Row],[activating_chance]]/100),0)</f>
        <v>19</v>
      </c>
      <c r="AZ101" s="144" t="str">
        <f ca="1">INDIRECT(ADDRESS(11+(MATCH(RIGHT(Table6[[#This Row],[spawner_sku]],LEN(Table6[[#This Row],[spawner_sku]])-FIND("/",Table6[[#This Row],[spawner_sku]])),Table28[Entity Prefab],0)),24,1,1,"Entities"))</f>
        <v>no</v>
      </c>
      <c r="BA101">
        <v>1</v>
      </c>
      <c r="BB101">
        <v>1</v>
      </c>
      <c r="BC101" t="b">
        <v>0</v>
      </c>
      <c r="BE101" t="s">
        <v>226</v>
      </c>
      <c r="BF101">
        <v>1</v>
      </c>
      <c r="BG101">
        <v>2000</v>
      </c>
      <c r="BH101">
        <v>100</v>
      </c>
      <c r="BI101" s="74">
        <f ca="1">INDIRECT(ADDRESS(11+(MATCH(RIGHT(Table610[[#This Row],[spawner_sku]],LEN(Table610[[#This Row],[spawner_sku]])-FIND("/",Table610[[#This Row],[spawner_sku]])),Table1[Entity Prefab],0)),10,1,1,"Entities"))</f>
        <v>175</v>
      </c>
      <c r="BJ101" s="74">
        <f ca="1">ROUND((Table610[[#This Row],[XP]]*Table610[[#This Row],[entity_spawned (AVG)]])*(Table610[[#This Row],[activating_chance]]/100),0)</f>
        <v>175</v>
      </c>
      <c r="BK101" s="71" t="str">
        <f ca="1">INDIRECT(ADDRESS(11+(MATCH(RIGHT(Table610[[#This Row],[spawner_sku]],LEN(Table610[[#This Row],[spawner_sku]])-FIND("/",Table610[[#This Row],[spawner_sku]])),Table28[Entity Prefab],0)),24,1,1,"Entities"))</f>
        <v>yes</v>
      </c>
      <c r="BL101">
        <v>1</v>
      </c>
      <c r="BM101">
        <v>1</v>
      </c>
      <c r="BN101" t="b">
        <v>0</v>
      </c>
      <c r="BP101" t="s">
        <v>376</v>
      </c>
      <c r="BQ101">
        <v>3</v>
      </c>
      <c r="BR101">
        <v>120</v>
      </c>
      <c r="BS101">
        <v>100</v>
      </c>
      <c r="BT101" s="74">
        <f ca="1">INDIRECT(ADDRESS(11+(MATCH(RIGHT(Table61011[[#This Row],[spawner_sku]],LEN(Table61011[[#This Row],[spawner_sku]])-FIND("/",Table61011[[#This Row],[spawner_sku]])),Table1[Entity Prefab],0)),10,1,1,"Entities"))</f>
        <v>25</v>
      </c>
      <c r="BU101" s="74">
        <f ca="1">ROUND((Table61011[[#This Row],[XP]]*Table61011[[#This Row],[entity_spawned (AVG)]])*(Table61011[[#This Row],[activating_chance]]/100),0)</f>
        <v>75</v>
      </c>
      <c r="BV101" s="71" t="str">
        <f ca="1">INDIRECT(ADDRESS(11+(MATCH(RIGHT(Table61011[[#This Row],[spawner_sku]],LEN(Table61011[[#This Row],[spawner_sku]])-FIND("/",Table61011[[#This Row],[spawner_sku]])),Table28[Entity Prefab],0)),24,1,1,"Entities"))</f>
        <v>no</v>
      </c>
      <c r="BW101" s="71">
        <v>2</v>
      </c>
      <c r="BX101" s="71">
        <v>4</v>
      </c>
      <c r="BY101" s="71" t="b">
        <v>0</v>
      </c>
      <c r="BZ101" s="71"/>
      <c r="CA101" s="147" t="s">
        <v>8142</v>
      </c>
      <c r="CB101">
        <v>1</v>
      </c>
      <c r="CC101">
        <v>200</v>
      </c>
      <c r="CD101">
        <v>100</v>
      </c>
      <c r="CE101" s="74">
        <f ca="1">INDIRECT(ADDRESS(11+(MATCH(RIGHT(Table35[[#This Row],[spawner_sku]],LEN(Table35[[#This Row],[spawner_sku]])-FIND("/",Table35[[#This Row],[spawner_sku]])),Table1[Entity Prefab],0)),10,1,1,"Entities"))</f>
        <v>75</v>
      </c>
      <c r="CF101" s="74">
        <f ca="1">ROUND((Table35[[#This Row],[XP]]*Table35[[#This Row],[entity_spawned (AVG)]])*(Table35[[#This Row],[activating_chance]]/100),0)</f>
        <v>75</v>
      </c>
      <c r="CG101" s="144" t="str">
        <f ca="1">INDIRECT(ADDRESS(11+(MATCH(RIGHT(Table35[[#This Row],[spawner_sku]],LEN(Table35[[#This Row],[spawner_sku]])-FIND("/",Table35[[#This Row],[spawner_sku]])),Table28[Entity Prefab],0)),24,1,1,"Entities"))</f>
        <v>no</v>
      </c>
      <c r="CH101">
        <v>1</v>
      </c>
      <c r="CI101">
        <v>1</v>
      </c>
      <c r="CJ101" s="71" t="b">
        <v>0</v>
      </c>
      <c r="CL101" t="s">
        <v>215</v>
      </c>
      <c r="CM101">
        <v>1.5</v>
      </c>
      <c r="CN101">
        <v>170</v>
      </c>
      <c r="CO101">
        <v>30</v>
      </c>
      <c r="CP101" s="74">
        <f ca="1">INDIRECT(ADDRESS(11+(MATCH(RIGHT(Table11[[#This Row],[spawner_sku]],LEN(Table11[[#This Row],[spawner_sku]])-FIND("/",Table11[[#This Row],[spawner_sku]])),Table1[Entity Prefab],0)),10,1,1,"Entities"))</f>
        <v>25</v>
      </c>
      <c r="CQ101">
        <f ca="1">ROUND((Table11[[#This Row],[XP]]*Table11[[#This Row],[entity_spawned (AVG)]])*(Table11[[#This Row],[activating_chance]]/100),0)</f>
        <v>11</v>
      </c>
      <c r="CR101" s="144" t="str">
        <f ca="1">INDIRECT(ADDRESS(11+(MATCH(RIGHT(Table11[[#This Row],[spawner_sku]],LEN(Table11[[#This Row],[spawner_sku]])-FIND("/",Table11[[#This Row],[spawner_sku]])),Table28[Entity Prefab],0)),25,1,1,"Entities"))</f>
        <v>no</v>
      </c>
      <c r="CS101" s="71">
        <v>1</v>
      </c>
      <c r="CT101" s="71">
        <v>2</v>
      </c>
      <c r="CU101" s="71" t="b">
        <v>0</v>
      </c>
      <c r="CW101" t="s">
        <v>429</v>
      </c>
      <c r="CX101">
        <v>1</v>
      </c>
      <c r="CY101">
        <v>300</v>
      </c>
      <c r="CZ101">
        <v>80</v>
      </c>
      <c r="DA101" s="74">
        <f ca="1">INDIRECT(ADDRESS(11+(MATCH(RIGHT(Table12[[#This Row],[spawner_sku]],LEN(Table12[[#This Row],[spawner_sku]])-FIND("/",Table12[[#This Row],[spawner_sku]])),Table1[Entity Prefab],0)),10,1,1,"Entities"))</f>
        <v>77</v>
      </c>
      <c r="DB101" s="74">
        <f ca="1">ROUND((Table12[[#This Row],[XP]]*Table12[[#This Row],[entity_spawned (AVG)]])*(Table12[[#This Row],[activating_chance]]/100),0)</f>
        <v>62</v>
      </c>
      <c r="DC101" s="144" t="str">
        <f ca="1">INDIRECT(ADDRESS(11+(MATCH(RIGHT(Table12[[#This Row],[spawner_sku]],LEN(Table12[[#This Row],[spawner_sku]])-FIND("/",Table12[[#This Row],[spawner_sku]])),Table28[Entity Prefab],0)),25,1,1,"Entities"))</f>
        <v>yes</v>
      </c>
      <c r="DD101" s="71">
        <v>1</v>
      </c>
      <c r="DE101" s="71">
        <v>1</v>
      </c>
      <c r="DF101" s="71" t="b">
        <v>0</v>
      </c>
      <c r="DH101" t="s">
        <v>230</v>
      </c>
      <c r="DI101">
        <v>1.5</v>
      </c>
      <c r="DJ101">
        <v>200</v>
      </c>
      <c r="DK101">
        <v>100</v>
      </c>
      <c r="DL101" s="74">
        <f ca="1">INDIRECT(ADDRESS(11+(MATCH(RIGHT(Table13[[#This Row],[spawner_sku]],LEN(Table13[[#This Row],[spawner_sku]])-FIND("/",Table13[[#This Row],[spawner_sku]])),Table1[Entity Prefab],0)),10,1,1,"Entities"))</f>
        <v>28</v>
      </c>
      <c r="DM101" s="74">
        <f ca="1">ROUND((Table13[[#This Row],[XP]]*Table13[[#This Row],[entity_spawned (AVG)]])*(Table13[[#This Row],[activating_chance]]/100),0)</f>
        <v>42</v>
      </c>
      <c r="DN101" s="144" t="str">
        <f ca="1">INDIRECT(ADDRESS(11+(MATCH(RIGHT(Table13[[#This Row],[spawner_sku]],LEN(Table13[[#This Row],[spawner_sku]])-FIND("/",Table13[[#This Row],[spawner_sku]])),Table28[Entity Prefab],0)),25,1,1,"Entities"))</f>
        <v>no</v>
      </c>
      <c r="DO101" s="71">
        <v>1</v>
      </c>
      <c r="DP101" s="71">
        <v>2</v>
      </c>
      <c r="DQ101" s="71" t="b">
        <v>0</v>
      </c>
      <c r="DS101" t="s">
        <v>214</v>
      </c>
      <c r="DT101">
        <v>6.5</v>
      </c>
      <c r="DU101">
        <v>220</v>
      </c>
      <c r="DV101">
        <v>100</v>
      </c>
      <c r="DW101" s="74">
        <f ca="1">INDIRECT(ADDRESS(11+(MATCH(RIGHT(Table14[[#This Row],[spawner_sku]],LEN(Table14[[#This Row],[spawner_sku]])-FIND("/",Table14[[#This Row],[spawner_sku]])),Table1[Entity Prefab],0)),10,1,1,"Entities"))</f>
        <v>25</v>
      </c>
      <c r="DX101" s="74">
        <f ca="1">ROUND((Table14[[#This Row],[XP]]*Table14[[#This Row],[entity_spawned (AVG)]])*(Table14[[#This Row],[activating_chance]]/100),0)</f>
        <v>163</v>
      </c>
      <c r="DY101" s="144" t="str">
        <f ca="1">INDIRECT(ADDRESS(11+(MATCH(RIGHT(Table14[[#This Row],[spawner_sku]],LEN(Table14[[#This Row],[spawner_sku]])-FIND("/",Table14[[#This Row],[spawner_sku]])),Table28[Entity Prefab],0)),25,1,1,"Entities"))</f>
        <v>no</v>
      </c>
      <c r="DZ101" s="71">
        <v>5</v>
      </c>
      <c r="EA101" s="71">
        <v>8</v>
      </c>
      <c r="EB101" s="71" t="b">
        <v>1</v>
      </c>
      <c r="EC101" s="71"/>
      <c r="ED101" s="147" t="s">
        <v>8143</v>
      </c>
      <c r="EE101" s="71">
        <v>1</v>
      </c>
      <c r="EF101" s="71">
        <v>200</v>
      </c>
      <c r="EG101" s="71">
        <v>100</v>
      </c>
      <c r="EH101" s="71">
        <f ca="1">INDIRECT(ADDRESS(11+(MATCH(RIGHT(Table36[[#This Row],[spawner_sku]],LEN(Table36[[#This Row],[spawner_sku]])-FIND("/",Table36[[#This Row],[spawner_sku]])),Table1[Entity Prefab],0)),10,1,1,"Entities"))</f>
        <v>75</v>
      </c>
      <c r="EI101" s="71">
        <f ca="1">ROUND((Table36[[#This Row],[XP]]*Table36[[#This Row],[entity_spawned (AVG)]])*(Table36[[#This Row],[activating_chance]]/100),0)</f>
        <v>75</v>
      </c>
      <c r="EJ101" s="71" t="str">
        <f ca="1">INDIRECT(ADDRESS(11+(MATCH(RIGHT(Table36[[#This Row],[spawner_sku]],LEN(Table36[[#This Row],[spawner_sku]])-FIND("/",Table36[[#This Row],[spawner_sku]])),Table28[Entity Prefab],0)),25,1,1,"Entities"))</f>
        <v>no</v>
      </c>
      <c r="EK101" s="71">
        <v>1</v>
      </c>
      <c r="EL101" s="71">
        <v>1</v>
      </c>
      <c r="EM101" s="71" t="b">
        <v>0</v>
      </c>
      <c r="EO101" t="s">
        <v>376</v>
      </c>
      <c r="EP101">
        <v>3.5</v>
      </c>
      <c r="EQ101">
        <v>160</v>
      </c>
      <c r="ER101">
        <v>100</v>
      </c>
      <c r="ES101" s="74">
        <f ca="1">INDIRECT(ADDRESS(11+(MATCH(RIGHT(Table18[[#This Row],[spawner_sku]],LEN(Table18[[#This Row],[spawner_sku]])-FIND("/",Table18[[#This Row],[spawner_sku]])),Table1[Entity Prefab],0)),10,1,1,"Entities"))</f>
        <v>25</v>
      </c>
      <c r="ET101" s="74">
        <f ca="1">ROUND((Table18[[#This Row],[XP]]*Table18[[#This Row],[entity_spawned (AVG)]])*(Table18[[#This Row],[activating_chance]]/100),0)</f>
        <v>88</v>
      </c>
      <c r="EU101" s="74" t="str">
        <f ca="1">INDIRECT(ADDRESS(11+(MATCH(RIGHT(Table18[[#This Row],[spawner_sku]],LEN(Table18[[#This Row],[spawner_sku]])-FIND("/",Table18[[#This Row],[spawner_sku]])),Table28[Entity Prefab],0)),26,1,1,"Entities"))</f>
        <v>no</v>
      </c>
      <c r="EV101">
        <v>3</v>
      </c>
      <c r="EW101">
        <v>4</v>
      </c>
      <c r="EX101" t="b">
        <v>0</v>
      </c>
      <c r="EZ101" t="s">
        <v>320</v>
      </c>
      <c r="FA101">
        <v>2</v>
      </c>
      <c r="FB101">
        <v>250</v>
      </c>
      <c r="FC101">
        <v>100</v>
      </c>
      <c r="FD101" s="74">
        <f ca="1">INDIRECT(ADDRESS(11+(MATCH(RIGHT(Table1820[[#This Row],[spawner_sku]],LEN(Table1820[[#This Row],[spawner_sku]])-FIND("/",Table1820[[#This Row],[spawner_sku]])),Table1[Entity Prefab],0)),10,1,1,"Entities"))</f>
        <v>143</v>
      </c>
      <c r="FE101" s="74">
        <f ca="1">ROUND((Table1820[[#This Row],[XP]]*Table1820[[#This Row],[entity_spawned (AVG)]])*(Table1820[[#This Row],[activating_chance]]/100),0)</f>
        <v>286</v>
      </c>
      <c r="FF101" s="74" t="str">
        <f ca="1">INDIRECT(ADDRESS(11+(MATCH(RIGHT(Table1820[[#This Row],[spawner_sku]],LEN(Table1820[[#This Row],[spawner_sku]])-FIND("/",Table1820[[#This Row],[spawner_sku]])),Table28[Entity Prefab],0)),26,1,1,"Entities"))</f>
        <v>yes</v>
      </c>
      <c r="FG101">
        <v>1</v>
      </c>
      <c r="FH101">
        <v>3</v>
      </c>
      <c r="FI101" t="b">
        <v>0</v>
      </c>
      <c r="FK101" t="s">
        <v>2695</v>
      </c>
      <c r="FL101">
        <v>3</v>
      </c>
      <c r="FM101">
        <v>85</v>
      </c>
      <c r="FN101">
        <v>100</v>
      </c>
      <c r="FO101">
        <f ca="1">INDIRECT(ADDRESS(11+(MATCH(RIGHT(Table182023[[#This Row],[spawner_sku]],LEN(Table182023[[#This Row],[spawner_sku]])-FIND("/",Table182023[[#This Row],[spawner_sku]])),Table1[Entity Prefab],0)),10,1,1,"Entities"))</f>
        <v>40</v>
      </c>
      <c r="FP101">
        <f ca="1">ROUND((Table182023[[#This Row],[XP]]*Table182023[[#This Row],[entity_spawned (AVG)]])*(Table182023[[#This Row],[activating_chance]]/100),0)</f>
        <v>120</v>
      </c>
      <c r="FQ101" t="str">
        <f ca="1">INDIRECT(ADDRESS(11+(MATCH(RIGHT(Table182023[[#This Row],[spawner_sku]],LEN(Table182023[[#This Row],[spawner_sku]])-FIND("/",Table182023[[#This Row],[spawner_sku]])),Table28[Entity Prefab],0)),26,1,1,"Entities"))</f>
        <v>no</v>
      </c>
      <c r="FR101">
        <v>2</v>
      </c>
      <c r="FS101">
        <v>4</v>
      </c>
      <c r="FT101" t="b">
        <v>0</v>
      </c>
      <c r="FV101" t="s">
        <v>2693</v>
      </c>
      <c r="FW101">
        <v>2</v>
      </c>
      <c r="FX101">
        <v>120</v>
      </c>
      <c r="FY101">
        <v>80</v>
      </c>
      <c r="FZ101" s="74">
        <f ca="1">INDIRECT(ADDRESS(11+(MATCH(RIGHT(Table18202324[[#This Row],[spawner_sku]],LEN(Table18202324[[#This Row],[spawner_sku]])-FIND("/",Table18202324[[#This Row],[spawner_sku]])),Table1[Entity Prefab],0)),10,1,1,"Entities"))</f>
        <v>130</v>
      </c>
      <c r="GA101" s="74">
        <f ca="1">ROUND((Table18202324[[#This Row],[XP]]*Table18202324[[#This Row],[entity_spawned (AVG)]])*(Table18202324[[#This Row],[activating_chance]]/100),0)</f>
        <v>208</v>
      </c>
      <c r="GB101" s="74" t="str">
        <f ca="1">INDIRECT(ADDRESS(11+(MATCH(RIGHT(Table18202324[[#This Row],[spawner_sku]],LEN(Table18202324[[#This Row],[spawner_sku]])-FIND("/",Table18202324[[#This Row],[spawner_sku]])),Table28[Entity Prefab],0)),26,1,1,"Entities"))</f>
        <v>yes</v>
      </c>
      <c r="GC101">
        <v>1</v>
      </c>
      <c r="GD101">
        <v>3</v>
      </c>
      <c r="GE101" t="b">
        <v>0</v>
      </c>
      <c r="GG101" t="s">
        <v>3816</v>
      </c>
      <c r="GH101">
        <v>1</v>
      </c>
      <c r="GI101">
        <v>240</v>
      </c>
      <c r="GJ101">
        <v>100</v>
      </c>
      <c r="GK101">
        <f ca="1">INDIRECT(ADDRESS(11+(MATCH(RIGHT(Table37[[#This Row],[spawner_sku]],LEN(Table37[[#This Row],[spawner_sku]])-FIND("/",Table37[[#This Row],[spawner_sku]])),Table1[Entity Prefab],0)),10,1,1,"Entities"))</f>
        <v>50</v>
      </c>
      <c r="GL101">
        <f ca="1">ROUND((Table37[[#This Row],[XP]]*Table37[[#This Row],[entity_spawned (AVG)]])*(Table37[[#This Row],[activating_chance]]/100),0)</f>
        <v>50</v>
      </c>
      <c r="GM101" t="str">
        <f ca="1">INDIRECT(ADDRESS(11+(MATCH(RIGHT(Table37[[#This Row],[spawner_sku]],LEN(Table37[[#This Row],[spawner_sku]])-FIND("/",Table37[[#This Row],[spawner_sku]])),Table28[Entity Prefab],0)),26,1,1,"Entities"))</f>
        <v>no</v>
      </c>
      <c r="GN101">
        <v>1</v>
      </c>
      <c r="GO101">
        <v>1</v>
      </c>
      <c r="GP101" t="b">
        <v>0</v>
      </c>
    </row>
    <row r="102" spans="2:198" x14ac:dyDescent="0.25">
      <c r="B102" s="72" t="s">
        <v>215</v>
      </c>
      <c r="C102">
        <v>3.5</v>
      </c>
      <c r="D102">
        <v>160</v>
      </c>
      <c r="E102">
        <v>40</v>
      </c>
      <c r="F102" s="74">
        <f ca="1">INDIRECT(ADDRESS(11+(MATCH(RIGHT(Table245[[#This Row],[spawner_sku]],LEN(Table245[[#This Row],[spawner_sku]])-FIND("/",Table245[[#This Row],[spawner_sku]])),Table1[Entity Prefab],0)),10,1,1,"Entities"))</f>
        <v>25</v>
      </c>
      <c r="G102" s="74">
        <f ca="1">ROUND((Table245[[#This Row],[XP]]*Table245[[#This Row],[entity_spawned (AVG)]])*(Table245[[#This Row],[activating_chance]]/100),0)</f>
        <v>35</v>
      </c>
      <c r="H102" s="71" t="str">
        <f ca="1">INDIRECT(ADDRESS(11+(MATCH(RIGHT(Table245[[#This Row],[spawner_sku]],LEN(Table245[[#This Row],[spawner_sku]])-FIND("/",Table245[[#This Row],[spawner_sku]])),Table28[Entity Prefab],0)),24,1,1,"Entities"))</f>
        <v>no</v>
      </c>
      <c r="I102" s="71">
        <v>3</v>
      </c>
      <c r="J102" s="71">
        <v>4</v>
      </c>
      <c r="K102" s="71" t="b">
        <v>0</v>
      </c>
      <c r="M102" t="s">
        <v>242</v>
      </c>
      <c r="N102">
        <v>1</v>
      </c>
      <c r="O102">
        <v>150</v>
      </c>
      <c r="P102">
        <v>70</v>
      </c>
      <c r="Q102" s="74">
        <f ca="1">INDIRECT(ADDRESS(11+(MATCH(RIGHT(Table3[[#This Row],[spawner_sku]],LEN(Table3[[#This Row],[spawner_sku]])-FIND("/",Table3[[#This Row],[spawner_sku]])),Table1[Entity Prefab],0)),10,1,1,"Entities"))</f>
        <v>25</v>
      </c>
      <c r="R102" s="74">
        <f ca="1">ROUND((Table3[[#This Row],[XP]]*Table3[[#This Row],[entity_spawned (AVG)]])*(Table3[[#This Row],[activating_chance]]/100),0)</f>
        <v>18</v>
      </c>
      <c r="S102" t="str">
        <f ca="1">INDIRECT(ADDRESS(11+(MATCH(RIGHT(Table3[[#This Row],[spawner_sku]],LEN(Table3[[#This Row],[spawner_sku]])-FIND("/",Table3[[#This Row],[spawner_sku]])),Table28[Entity Prefab],0)),24,1,1,"Entities"))</f>
        <v>no</v>
      </c>
      <c r="T102">
        <v>1</v>
      </c>
      <c r="U102">
        <v>1</v>
      </c>
      <c r="V102" t="b">
        <v>0</v>
      </c>
      <c r="W102" s="71"/>
      <c r="AI102" t="s">
        <v>215</v>
      </c>
      <c r="AJ102">
        <v>6.5</v>
      </c>
      <c r="AK102">
        <v>160</v>
      </c>
      <c r="AL102">
        <v>100</v>
      </c>
      <c r="AM102" s="74">
        <f ca="1">INDIRECT(ADDRESS(11+(MATCH(RIGHT(Table2[[#This Row],[spawner_sku]],LEN(Table2[[#This Row],[spawner_sku]])-FIND("/",Table2[[#This Row],[spawner_sku]])),Table1[Entity Prefab],0)),10,1,1,"Entities"))</f>
        <v>25</v>
      </c>
      <c r="AN102" s="74">
        <f ca="1">ROUND((Table2[[#This Row],[XP]]*Table2[[#This Row],[entity_spawned (AVG)]])*(Table2[[#This Row],[activating_chance]]/100),0)</f>
        <v>163</v>
      </c>
      <c r="AO102" s="71" t="str">
        <f ca="1">INDIRECT(ADDRESS(11+(MATCH(RIGHT(Table2[[#This Row],[spawner_sku]],LEN(Table2[[#This Row],[spawner_sku]])-FIND("/",Table2[[#This Row],[spawner_sku]])),Table28[Entity Prefab],0)),24,1,1,"Entities"))</f>
        <v>no</v>
      </c>
      <c r="AP102" s="71">
        <v>5</v>
      </c>
      <c r="AQ102" s="71">
        <v>8</v>
      </c>
      <c r="AR102" s="71" t="b">
        <v>1</v>
      </c>
      <c r="AT102" t="s">
        <v>5003</v>
      </c>
      <c r="AU102">
        <v>1</v>
      </c>
      <c r="AV102">
        <v>5000</v>
      </c>
      <c r="AW102">
        <v>50</v>
      </c>
      <c r="AX102" s="74">
        <f ca="1">INDIRECT(ADDRESS(11+(MATCH(RIGHT(Table6[[#This Row],[spawner_sku]],LEN(Table6[[#This Row],[spawner_sku]])-FIND("/",Table6[[#This Row],[spawner_sku]])),Table1[Entity Prefab],0)),10,1,1,"Entities"))</f>
        <v>25</v>
      </c>
      <c r="AY102" s="74">
        <f ca="1">ROUND((Table6[[#This Row],[XP]]*Table6[[#This Row],[entity_spawned (AVG)]])*(Table6[[#This Row],[activating_chance]]/100),0)</f>
        <v>13</v>
      </c>
      <c r="AZ102" s="144" t="str">
        <f ca="1">INDIRECT(ADDRESS(11+(MATCH(RIGHT(Table6[[#This Row],[spawner_sku]],LEN(Table6[[#This Row],[spawner_sku]])-FIND("/",Table6[[#This Row],[spawner_sku]])),Table28[Entity Prefab],0)),24,1,1,"Entities"))</f>
        <v>no</v>
      </c>
      <c r="BA102">
        <v>1</v>
      </c>
      <c r="BB102">
        <v>1</v>
      </c>
      <c r="BC102" t="b">
        <v>0</v>
      </c>
      <c r="BE102" t="s">
        <v>226</v>
      </c>
      <c r="BF102">
        <v>1</v>
      </c>
      <c r="BG102">
        <v>2000</v>
      </c>
      <c r="BH102">
        <v>100</v>
      </c>
      <c r="BI102" s="74">
        <f ca="1">INDIRECT(ADDRESS(11+(MATCH(RIGHT(Table610[[#This Row],[spawner_sku]],LEN(Table610[[#This Row],[spawner_sku]])-FIND("/",Table610[[#This Row],[spawner_sku]])),Table1[Entity Prefab],0)),10,1,1,"Entities"))</f>
        <v>175</v>
      </c>
      <c r="BJ102" s="74">
        <f ca="1">ROUND((Table610[[#This Row],[XP]]*Table610[[#This Row],[entity_spawned (AVG)]])*(Table610[[#This Row],[activating_chance]]/100),0)</f>
        <v>175</v>
      </c>
      <c r="BK102" s="71" t="str">
        <f ca="1">INDIRECT(ADDRESS(11+(MATCH(RIGHT(Table610[[#This Row],[spawner_sku]],LEN(Table610[[#This Row],[spawner_sku]])-FIND("/",Table610[[#This Row],[spawner_sku]])),Table28[Entity Prefab],0)),24,1,1,"Entities"))</f>
        <v>yes</v>
      </c>
      <c r="BL102">
        <v>1</v>
      </c>
      <c r="BM102">
        <v>1</v>
      </c>
      <c r="BN102" t="b">
        <v>0</v>
      </c>
      <c r="BP102" t="s">
        <v>376</v>
      </c>
      <c r="BQ102">
        <v>4</v>
      </c>
      <c r="BR102">
        <v>220</v>
      </c>
      <c r="BS102">
        <v>80</v>
      </c>
      <c r="BT102" s="74">
        <f ca="1">INDIRECT(ADDRESS(11+(MATCH(RIGHT(Table61011[[#This Row],[spawner_sku]],LEN(Table61011[[#This Row],[spawner_sku]])-FIND("/",Table61011[[#This Row],[spawner_sku]])),Table1[Entity Prefab],0)),10,1,1,"Entities"))</f>
        <v>25</v>
      </c>
      <c r="BU102" s="74">
        <f ca="1">ROUND((Table61011[[#This Row],[XP]]*Table61011[[#This Row],[entity_spawned (AVG)]])*(Table61011[[#This Row],[activating_chance]]/100),0)</f>
        <v>80</v>
      </c>
      <c r="BV102" s="71" t="str">
        <f ca="1">INDIRECT(ADDRESS(11+(MATCH(RIGHT(Table61011[[#This Row],[spawner_sku]],LEN(Table61011[[#This Row],[spawner_sku]])-FIND("/",Table61011[[#This Row],[spawner_sku]])),Table28[Entity Prefab],0)),24,1,1,"Entities"))</f>
        <v>no</v>
      </c>
      <c r="BW102" s="71">
        <v>4</v>
      </c>
      <c r="BX102" s="71">
        <v>4</v>
      </c>
      <c r="BY102" s="71" t="b">
        <v>0</v>
      </c>
      <c r="BZ102" s="71"/>
      <c r="CA102" s="147" t="s">
        <v>8142</v>
      </c>
      <c r="CB102">
        <v>1</v>
      </c>
      <c r="CC102">
        <v>200</v>
      </c>
      <c r="CD102">
        <v>100</v>
      </c>
      <c r="CE102" s="74">
        <f ca="1">INDIRECT(ADDRESS(11+(MATCH(RIGHT(Table35[[#This Row],[spawner_sku]],LEN(Table35[[#This Row],[spawner_sku]])-FIND("/",Table35[[#This Row],[spawner_sku]])),Table1[Entity Prefab],0)),10,1,1,"Entities"))</f>
        <v>75</v>
      </c>
      <c r="CF102" s="74">
        <f ca="1">ROUND((Table35[[#This Row],[XP]]*Table35[[#This Row],[entity_spawned (AVG)]])*(Table35[[#This Row],[activating_chance]]/100),0)</f>
        <v>75</v>
      </c>
      <c r="CG102" s="144" t="str">
        <f ca="1">INDIRECT(ADDRESS(11+(MATCH(RIGHT(Table35[[#This Row],[spawner_sku]],LEN(Table35[[#This Row],[spawner_sku]])-FIND("/",Table35[[#This Row],[spawner_sku]])),Table28[Entity Prefab],0)),24,1,1,"Entities"))</f>
        <v>no</v>
      </c>
      <c r="CH102">
        <v>1</v>
      </c>
      <c r="CI102">
        <v>1</v>
      </c>
      <c r="CJ102" s="71" t="b">
        <v>0</v>
      </c>
      <c r="CL102" t="s">
        <v>215</v>
      </c>
      <c r="CM102">
        <v>1.5</v>
      </c>
      <c r="CN102">
        <v>180</v>
      </c>
      <c r="CO102">
        <v>30</v>
      </c>
      <c r="CP102" s="74">
        <f ca="1">INDIRECT(ADDRESS(11+(MATCH(RIGHT(Table11[[#This Row],[spawner_sku]],LEN(Table11[[#This Row],[spawner_sku]])-FIND("/",Table11[[#This Row],[spawner_sku]])),Table1[Entity Prefab],0)),10,1,1,"Entities"))</f>
        <v>25</v>
      </c>
      <c r="CQ102">
        <f ca="1">ROUND((Table11[[#This Row],[XP]]*Table11[[#This Row],[entity_spawned (AVG)]])*(Table11[[#This Row],[activating_chance]]/100),0)</f>
        <v>11</v>
      </c>
      <c r="CR102" s="144" t="str">
        <f ca="1">INDIRECT(ADDRESS(11+(MATCH(RIGHT(Table11[[#This Row],[spawner_sku]],LEN(Table11[[#This Row],[spawner_sku]])-FIND("/",Table11[[#This Row],[spawner_sku]])),Table28[Entity Prefab],0)),25,1,1,"Entities"))</f>
        <v>no</v>
      </c>
      <c r="CS102" s="71">
        <v>1</v>
      </c>
      <c r="CT102" s="71">
        <v>2</v>
      </c>
      <c r="CU102" s="71" t="b">
        <v>0</v>
      </c>
      <c r="CW102" t="s">
        <v>429</v>
      </c>
      <c r="CX102">
        <v>1</v>
      </c>
      <c r="CY102">
        <v>300</v>
      </c>
      <c r="CZ102">
        <v>70</v>
      </c>
      <c r="DA102" s="74">
        <f ca="1">INDIRECT(ADDRESS(11+(MATCH(RIGHT(Table12[[#This Row],[spawner_sku]],LEN(Table12[[#This Row],[spawner_sku]])-FIND("/",Table12[[#This Row],[spawner_sku]])),Table1[Entity Prefab],0)),10,1,1,"Entities"))</f>
        <v>77</v>
      </c>
      <c r="DB102" s="74">
        <f ca="1">ROUND((Table12[[#This Row],[XP]]*Table12[[#This Row],[entity_spawned (AVG)]])*(Table12[[#This Row],[activating_chance]]/100),0)</f>
        <v>54</v>
      </c>
      <c r="DC102" s="144" t="str">
        <f ca="1">INDIRECT(ADDRESS(11+(MATCH(RIGHT(Table12[[#This Row],[spawner_sku]],LEN(Table12[[#This Row],[spawner_sku]])-FIND("/",Table12[[#This Row],[spawner_sku]])),Table28[Entity Prefab],0)),25,1,1,"Entities"))</f>
        <v>yes</v>
      </c>
      <c r="DD102" s="71">
        <v>1</v>
      </c>
      <c r="DE102" s="71">
        <v>1</v>
      </c>
      <c r="DF102" s="71" t="b">
        <v>0</v>
      </c>
      <c r="DH102" t="s">
        <v>230</v>
      </c>
      <c r="DI102">
        <v>1.5</v>
      </c>
      <c r="DJ102">
        <v>200</v>
      </c>
      <c r="DK102">
        <v>100</v>
      </c>
      <c r="DL102" s="74">
        <f ca="1">INDIRECT(ADDRESS(11+(MATCH(RIGHT(Table13[[#This Row],[spawner_sku]],LEN(Table13[[#This Row],[spawner_sku]])-FIND("/",Table13[[#This Row],[spawner_sku]])),Table1[Entity Prefab],0)),10,1,1,"Entities"))</f>
        <v>28</v>
      </c>
      <c r="DM102" s="74">
        <f ca="1">ROUND((Table13[[#This Row],[XP]]*Table13[[#This Row],[entity_spawned (AVG)]])*(Table13[[#This Row],[activating_chance]]/100),0)</f>
        <v>42</v>
      </c>
      <c r="DN102" s="144" t="str">
        <f ca="1">INDIRECT(ADDRESS(11+(MATCH(RIGHT(Table13[[#This Row],[spawner_sku]],LEN(Table13[[#This Row],[spawner_sku]])-FIND("/",Table13[[#This Row],[spawner_sku]])),Table28[Entity Prefab],0)),25,1,1,"Entities"))</f>
        <v>no</v>
      </c>
      <c r="DO102" s="71">
        <v>1</v>
      </c>
      <c r="DP102" s="71">
        <v>2</v>
      </c>
      <c r="DQ102" s="71" t="b">
        <v>0</v>
      </c>
      <c r="DS102" t="s">
        <v>214</v>
      </c>
      <c r="DT102">
        <v>5.5</v>
      </c>
      <c r="DU102">
        <v>180</v>
      </c>
      <c r="DV102">
        <v>100</v>
      </c>
      <c r="DW102" s="74">
        <f ca="1">INDIRECT(ADDRESS(11+(MATCH(RIGHT(Table14[[#This Row],[spawner_sku]],LEN(Table14[[#This Row],[spawner_sku]])-FIND("/",Table14[[#This Row],[spawner_sku]])),Table1[Entity Prefab],0)),10,1,1,"Entities"))</f>
        <v>25</v>
      </c>
      <c r="DX102" s="74">
        <f ca="1">ROUND((Table14[[#This Row],[XP]]*Table14[[#This Row],[entity_spawned (AVG)]])*(Table14[[#This Row],[activating_chance]]/100),0)</f>
        <v>138</v>
      </c>
      <c r="DY102" s="144" t="str">
        <f ca="1">INDIRECT(ADDRESS(11+(MATCH(RIGHT(Table14[[#This Row],[spawner_sku]],LEN(Table14[[#This Row],[spawner_sku]])-FIND("/",Table14[[#This Row],[spawner_sku]])),Table28[Entity Prefab],0)),25,1,1,"Entities"))</f>
        <v>no</v>
      </c>
      <c r="DZ102" s="71">
        <v>5</v>
      </c>
      <c r="EA102" s="71">
        <v>6</v>
      </c>
      <c r="EB102" s="71" t="b">
        <v>1</v>
      </c>
      <c r="EC102" s="71"/>
      <c r="ED102" s="147" t="s">
        <v>8143</v>
      </c>
      <c r="EE102" s="71">
        <v>1</v>
      </c>
      <c r="EF102" s="71">
        <v>200</v>
      </c>
      <c r="EG102" s="71">
        <v>100</v>
      </c>
      <c r="EH102" s="71">
        <f ca="1">INDIRECT(ADDRESS(11+(MATCH(RIGHT(Table36[[#This Row],[spawner_sku]],LEN(Table36[[#This Row],[spawner_sku]])-FIND("/",Table36[[#This Row],[spawner_sku]])),Table1[Entity Prefab],0)),10,1,1,"Entities"))</f>
        <v>75</v>
      </c>
      <c r="EI102" s="71">
        <f ca="1">ROUND((Table36[[#This Row],[XP]]*Table36[[#This Row],[entity_spawned (AVG)]])*(Table36[[#This Row],[activating_chance]]/100),0)</f>
        <v>75</v>
      </c>
      <c r="EJ102" s="71" t="str">
        <f ca="1">INDIRECT(ADDRESS(11+(MATCH(RIGHT(Table36[[#This Row],[spawner_sku]],LEN(Table36[[#This Row],[spawner_sku]])-FIND("/",Table36[[#This Row],[spawner_sku]])),Table28[Entity Prefab],0)),25,1,1,"Entities"))</f>
        <v>no</v>
      </c>
      <c r="EK102" s="71">
        <v>1</v>
      </c>
      <c r="EL102" s="71">
        <v>1</v>
      </c>
      <c r="EM102" s="71" t="b">
        <v>0</v>
      </c>
      <c r="EO102" t="s">
        <v>376</v>
      </c>
      <c r="EP102">
        <v>6.5</v>
      </c>
      <c r="EQ102">
        <v>160</v>
      </c>
      <c r="ER102">
        <v>100</v>
      </c>
      <c r="ES102" s="74">
        <f ca="1">INDIRECT(ADDRESS(11+(MATCH(RIGHT(Table18[[#This Row],[spawner_sku]],LEN(Table18[[#This Row],[spawner_sku]])-FIND("/",Table18[[#This Row],[spawner_sku]])),Table1[Entity Prefab],0)),10,1,1,"Entities"))</f>
        <v>25</v>
      </c>
      <c r="ET102" s="74">
        <f ca="1">ROUND((Table18[[#This Row],[XP]]*Table18[[#This Row],[entity_spawned (AVG)]])*(Table18[[#This Row],[activating_chance]]/100),0)</f>
        <v>163</v>
      </c>
      <c r="EU102" s="74" t="str">
        <f ca="1">INDIRECT(ADDRESS(11+(MATCH(RIGHT(Table18[[#This Row],[spawner_sku]],LEN(Table18[[#This Row],[spawner_sku]])-FIND("/",Table18[[#This Row],[spawner_sku]])),Table28[Entity Prefab],0)),26,1,1,"Entities"))</f>
        <v>no</v>
      </c>
      <c r="EV102">
        <v>5</v>
      </c>
      <c r="EW102">
        <v>8</v>
      </c>
      <c r="EX102" t="b">
        <v>1</v>
      </c>
      <c r="EZ102" t="s">
        <v>220</v>
      </c>
      <c r="FA102">
        <v>1</v>
      </c>
      <c r="FB102">
        <v>300</v>
      </c>
      <c r="FC102">
        <v>100</v>
      </c>
      <c r="FD102" s="74">
        <f ca="1">INDIRECT(ADDRESS(11+(MATCH(RIGHT(Table1820[[#This Row],[spawner_sku]],LEN(Table1820[[#This Row],[spawner_sku]])-FIND("/",Table1820[[#This Row],[spawner_sku]])),Table1[Entity Prefab],0)),10,1,1,"Entities"))</f>
        <v>195</v>
      </c>
      <c r="FE102" s="74">
        <f ca="1">ROUND((Table1820[[#This Row],[XP]]*Table1820[[#This Row],[entity_spawned (AVG)]])*(Table1820[[#This Row],[activating_chance]]/100),0)</f>
        <v>195</v>
      </c>
      <c r="FF102" s="74" t="str">
        <f ca="1">INDIRECT(ADDRESS(11+(MATCH(RIGHT(Table1820[[#This Row],[spawner_sku]],LEN(Table1820[[#This Row],[spawner_sku]])-FIND("/",Table1820[[#This Row],[spawner_sku]])),Table28[Entity Prefab],0)),26,1,1,"Entities"))</f>
        <v>yes</v>
      </c>
      <c r="FG102">
        <v>1</v>
      </c>
      <c r="FH102">
        <v>1</v>
      </c>
      <c r="FI102" t="b">
        <v>0</v>
      </c>
      <c r="FK102" t="s">
        <v>2695</v>
      </c>
      <c r="FL102">
        <v>3.5</v>
      </c>
      <c r="FM102">
        <v>80</v>
      </c>
      <c r="FN102">
        <v>80</v>
      </c>
      <c r="FO102">
        <f ca="1">INDIRECT(ADDRESS(11+(MATCH(RIGHT(Table182023[[#This Row],[spawner_sku]],LEN(Table182023[[#This Row],[spawner_sku]])-FIND("/",Table182023[[#This Row],[spawner_sku]])),Table1[Entity Prefab],0)),10,1,1,"Entities"))</f>
        <v>40</v>
      </c>
      <c r="FP102">
        <f ca="1">ROUND((Table182023[[#This Row],[XP]]*Table182023[[#This Row],[entity_spawned (AVG)]])*(Table182023[[#This Row],[activating_chance]]/100),0)</f>
        <v>112</v>
      </c>
      <c r="FQ102" t="str">
        <f ca="1">INDIRECT(ADDRESS(11+(MATCH(RIGHT(Table182023[[#This Row],[spawner_sku]],LEN(Table182023[[#This Row],[spawner_sku]])-FIND("/",Table182023[[#This Row],[spawner_sku]])),Table28[Entity Prefab],0)),26,1,1,"Entities"))</f>
        <v>no</v>
      </c>
      <c r="FR102">
        <v>3</v>
      </c>
      <c r="FS102">
        <v>4</v>
      </c>
      <c r="FT102" t="b">
        <v>0</v>
      </c>
      <c r="FV102" t="s">
        <v>2693</v>
      </c>
      <c r="FW102">
        <v>3</v>
      </c>
      <c r="FX102">
        <v>120</v>
      </c>
      <c r="FY102">
        <v>100</v>
      </c>
      <c r="FZ102" s="74">
        <f ca="1">INDIRECT(ADDRESS(11+(MATCH(RIGHT(Table18202324[[#This Row],[spawner_sku]],LEN(Table18202324[[#This Row],[spawner_sku]])-FIND("/",Table18202324[[#This Row],[spawner_sku]])),Table1[Entity Prefab],0)),10,1,1,"Entities"))</f>
        <v>130</v>
      </c>
      <c r="GA102" s="74">
        <f ca="1">ROUND((Table18202324[[#This Row],[XP]]*Table18202324[[#This Row],[entity_spawned (AVG)]])*(Table18202324[[#This Row],[activating_chance]]/100),0)</f>
        <v>390</v>
      </c>
      <c r="GB102" s="74" t="str">
        <f ca="1">INDIRECT(ADDRESS(11+(MATCH(RIGHT(Table18202324[[#This Row],[spawner_sku]],LEN(Table18202324[[#This Row],[spawner_sku]])-FIND("/",Table18202324[[#This Row],[spawner_sku]])),Table28[Entity Prefab],0)),26,1,1,"Entities"))</f>
        <v>yes</v>
      </c>
      <c r="GC102">
        <v>2</v>
      </c>
      <c r="GD102">
        <v>4</v>
      </c>
      <c r="GE102" t="b">
        <v>0</v>
      </c>
      <c r="GG102" t="s">
        <v>3816</v>
      </c>
      <c r="GH102">
        <v>1</v>
      </c>
      <c r="GI102">
        <v>240</v>
      </c>
      <c r="GJ102">
        <v>100</v>
      </c>
      <c r="GK102">
        <f ca="1">INDIRECT(ADDRESS(11+(MATCH(RIGHT(Table37[[#This Row],[spawner_sku]],LEN(Table37[[#This Row],[spawner_sku]])-FIND("/",Table37[[#This Row],[spawner_sku]])),Table1[Entity Prefab],0)),10,1,1,"Entities"))</f>
        <v>50</v>
      </c>
      <c r="GL102">
        <f ca="1">ROUND((Table37[[#This Row],[XP]]*Table37[[#This Row],[entity_spawned (AVG)]])*(Table37[[#This Row],[activating_chance]]/100),0)</f>
        <v>50</v>
      </c>
      <c r="GM102" t="str">
        <f ca="1">INDIRECT(ADDRESS(11+(MATCH(RIGHT(Table37[[#This Row],[spawner_sku]],LEN(Table37[[#This Row],[spawner_sku]])-FIND("/",Table37[[#This Row],[spawner_sku]])),Table28[Entity Prefab],0)),26,1,1,"Entities"))</f>
        <v>no</v>
      </c>
      <c r="GN102">
        <v>1</v>
      </c>
      <c r="GO102">
        <v>1</v>
      </c>
      <c r="GP102" t="b">
        <v>0</v>
      </c>
    </row>
    <row r="103" spans="2:198" x14ac:dyDescent="0.25">
      <c r="B103" s="72" t="s">
        <v>215</v>
      </c>
      <c r="C103">
        <v>3</v>
      </c>
      <c r="D103">
        <v>140</v>
      </c>
      <c r="E103">
        <v>100</v>
      </c>
      <c r="F103" s="74">
        <f ca="1">INDIRECT(ADDRESS(11+(MATCH(RIGHT(Table245[[#This Row],[spawner_sku]],LEN(Table245[[#This Row],[spawner_sku]])-FIND("/",Table245[[#This Row],[spawner_sku]])),Table1[Entity Prefab],0)),10,1,1,"Entities"))</f>
        <v>25</v>
      </c>
      <c r="G103" s="74">
        <f ca="1">ROUND((Table245[[#This Row],[XP]]*Table245[[#This Row],[entity_spawned (AVG)]])*(Table245[[#This Row],[activating_chance]]/100),0)</f>
        <v>75</v>
      </c>
      <c r="H103" s="71" t="str">
        <f ca="1">INDIRECT(ADDRESS(11+(MATCH(RIGHT(Table245[[#This Row],[spawner_sku]],LEN(Table245[[#This Row],[spawner_sku]])-FIND("/",Table245[[#This Row],[spawner_sku]])),Table28[Entity Prefab],0)),24,1,1,"Entities"))</f>
        <v>no</v>
      </c>
      <c r="I103" s="71">
        <v>2</v>
      </c>
      <c r="J103" s="71">
        <v>4</v>
      </c>
      <c r="K103" s="71" t="b">
        <v>0</v>
      </c>
      <c r="M103" t="s">
        <v>242</v>
      </c>
      <c r="N103">
        <v>1</v>
      </c>
      <c r="O103">
        <v>170</v>
      </c>
      <c r="P103">
        <v>100</v>
      </c>
      <c r="Q103" s="74">
        <f ca="1">INDIRECT(ADDRESS(11+(MATCH(RIGHT(Table3[[#This Row],[spawner_sku]],LEN(Table3[[#This Row],[spawner_sku]])-FIND("/",Table3[[#This Row],[spawner_sku]])),Table1[Entity Prefab],0)),10,1,1,"Entities"))</f>
        <v>25</v>
      </c>
      <c r="R103" s="74">
        <f ca="1">ROUND((Table3[[#This Row],[XP]]*Table3[[#This Row],[entity_spawned (AVG)]])*(Table3[[#This Row],[activating_chance]]/100),0)</f>
        <v>25</v>
      </c>
      <c r="S103" t="str">
        <f ca="1">INDIRECT(ADDRESS(11+(MATCH(RIGHT(Table3[[#This Row],[spawner_sku]],LEN(Table3[[#This Row],[spawner_sku]])-FIND("/",Table3[[#This Row],[spawner_sku]])),Table28[Entity Prefab],0)),24,1,1,"Entities"))</f>
        <v>no</v>
      </c>
      <c r="T103">
        <v>1</v>
      </c>
      <c r="U103">
        <v>1</v>
      </c>
      <c r="V103" t="b">
        <v>0</v>
      </c>
      <c r="W103" s="71"/>
      <c r="AI103" t="s">
        <v>215</v>
      </c>
      <c r="AJ103">
        <v>2</v>
      </c>
      <c r="AK103">
        <v>160</v>
      </c>
      <c r="AL103">
        <v>80</v>
      </c>
      <c r="AM103" s="74">
        <f ca="1">INDIRECT(ADDRESS(11+(MATCH(RIGHT(Table2[[#This Row],[spawner_sku]],LEN(Table2[[#This Row],[spawner_sku]])-FIND("/",Table2[[#This Row],[spawner_sku]])),Table1[Entity Prefab],0)),10,1,1,"Entities"))</f>
        <v>25</v>
      </c>
      <c r="AN103" s="74">
        <f ca="1">ROUND((Table2[[#This Row],[XP]]*Table2[[#This Row],[entity_spawned (AVG)]])*(Table2[[#This Row],[activating_chance]]/100),0)</f>
        <v>40</v>
      </c>
      <c r="AO103" s="71" t="str">
        <f ca="1">INDIRECT(ADDRESS(11+(MATCH(RIGHT(Table2[[#This Row],[spawner_sku]],LEN(Table2[[#This Row],[spawner_sku]])-FIND("/",Table2[[#This Row],[spawner_sku]])),Table28[Entity Prefab],0)),24,1,1,"Entities"))</f>
        <v>no</v>
      </c>
      <c r="AP103" s="71">
        <v>1</v>
      </c>
      <c r="AQ103" s="71">
        <v>3</v>
      </c>
      <c r="AR103" s="71" t="b">
        <v>0</v>
      </c>
      <c r="AT103" t="s">
        <v>5003</v>
      </c>
      <c r="AU103">
        <v>1</v>
      </c>
      <c r="AV103">
        <v>5000</v>
      </c>
      <c r="AW103">
        <v>80</v>
      </c>
      <c r="AX103" s="74">
        <f ca="1">INDIRECT(ADDRESS(11+(MATCH(RIGHT(Table6[[#This Row],[spawner_sku]],LEN(Table6[[#This Row],[spawner_sku]])-FIND("/",Table6[[#This Row],[spawner_sku]])),Table1[Entity Prefab],0)),10,1,1,"Entities"))</f>
        <v>25</v>
      </c>
      <c r="AY103" s="74">
        <f ca="1">ROUND((Table6[[#This Row],[XP]]*Table6[[#This Row],[entity_spawned (AVG)]])*(Table6[[#This Row],[activating_chance]]/100),0)</f>
        <v>20</v>
      </c>
      <c r="AZ103" s="144" t="str">
        <f ca="1">INDIRECT(ADDRESS(11+(MATCH(RIGHT(Table6[[#This Row],[spawner_sku]],LEN(Table6[[#This Row],[spawner_sku]])-FIND("/",Table6[[#This Row],[spawner_sku]])),Table28[Entity Prefab],0)),24,1,1,"Entities"))</f>
        <v>no</v>
      </c>
      <c r="BA103">
        <v>1</v>
      </c>
      <c r="BB103">
        <v>1</v>
      </c>
      <c r="BC103" t="b">
        <v>0</v>
      </c>
      <c r="BE103" t="s">
        <v>226</v>
      </c>
      <c r="BF103">
        <v>1</v>
      </c>
      <c r="BG103">
        <v>2000</v>
      </c>
      <c r="BH103">
        <v>100</v>
      </c>
      <c r="BI103" s="74">
        <f ca="1">INDIRECT(ADDRESS(11+(MATCH(RIGHT(Table610[[#This Row],[spawner_sku]],LEN(Table610[[#This Row],[spawner_sku]])-FIND("/",Table610[[#This Row],[spawner_sku]])),Table1[Entity Prefab],0)),10,1,1,"Entities"))</f>
        <v>175</v>
      </c>
      <c r="BJ103" s="74">
        <f ca="1">ROUND((Table610[[#This Row],[XP]]*Table610[[#This Row],[entity_spawned (AVG)]])*(Table610[[#This Row],[activating_chance]]/100),0)</f>
        <v>175</v>
      </c>
      <c r="BK103" s="71" t="str">
        <f ca="1">INDIRECT(ADDRESS(11+(MATCH(RIGHT(Table610[[#This Row],[spawner_sku]],LEN(Table610[[#This Row],[spawner_sku]])-FIND("/",Table610[[#This Row],[spawner_sku]])),Table28[Entity Prefab],0)),24,1,1,"Entities"))</f>
        <v>yes</v>
      </c>
      <c r="BL103">
        <v>1</v>
      </c>
      <c r="BM103">
        <v>1</v>
      </c>
      <c r="BN103" t="b">
        <v>0</v>
      </c>
      <c r="BP103" t="s">
        <v>376</v>
      </c>
      <c r="BQ103">
        <v>6.5</v>
      </c>
      <c r="BR103">
        <v>220</v>
      </c>
      <c r="BS103">
        <v>100</v>
      </c>
      <c r="BT103" s="74">
        <f ca="1">INDIRECT(ADDRESS(11+(MATCH(RIGHT(Table61011[[#This Row],[spawner_sku]],LEN(Table61011[[#This Row],[spawner_sku]])-FIND("/",Table61011[[#This Row],[spawner_sku]])),Table1[Entity Prefab],0)),10,1,1,"Entities"))</f>
        <v>25</v>
      </c>
      <c r="BU103" s="74">
        <f ca="1">ROUND((Table61011[[#This Row],[XP]]*Table61011[[#This Row],[entity_spawned (AVG)]])*(Table61011[[#This Row],[activating_chance]]/100),0)</f>
        <v>163</v>
      </c>
      <c r="BV103" s="71" t="str">
        <f ca="1">INDIRECT(ADDRESS(11+(MATCH(RIGHT(Table61011[[#This Row],[spawner_sku]],LEN(Table61011[[#This Row],[spawner_sku]])-FIND("/",Table61011[[#This Row],[spawner_sku]])),Table28[Entity Prefab],0)),24,1,1,"Entities"))</f>
        <v>no</v>
      </c>
      <c r="BW103" s="71">
        <v>5</v>
      </c>
      <c r="BX103" s="71">
        <v>8</v>
      </c>
      <c r="BY103" s="71" t="b">
        <v>1</v>
      </c>
      <c r="BZ103" s="71"/>
      <c r="CA103" s="147" t="s">
        <v>8142</v>
      </c>
      <c r="CB103">
        <v>1</v>
      </c>
      <c r="CC103">
        <v>200</v>
      </c>
      <c r="CD103">
        <v>100</v>
      </c>
      <c r="CE103" s="74">
        <f ca="1">INDIRECT(ADDRESS(11+(MATCH(RIGHT(Table35[[#This Row],[spawner_sku]],LEN(Table35[[#This Row],[spawner_sku]])-FIND("/",Table35[[#This Row],[spawner_sku]])),Table1[Entity Prefab],0)),10,1,1,"Entities"))</f>
        <v>75</v>
      </c>
      <c r="CF103" s="74">
        <f ca="1">ROUND((Table35[[#This Row],[XP]]*Table35[[#This Row],[entity_spawned (AVG)]])*(Table35[[#This Row],[activating_chance]]/100),0)</f>
        <v>75</v>
      </c>
      <c r="CG103" s="144" t="str">
        <f ca="1">INDIRECT(ADDRESS(11+(MATCH(RIGHT(Table35[[#This Row],[spawner_sku]],LEN(Table35[[#This Row],[spawner_sku]])-FIND("/",Table35[[#This Row],[spawner_sku]])),Table28[Entity Prefab],0)),24,1,1,"Entities"))</f>
        <v>no</v>
      </c>
      <c r="CH103">
        <v>1</v>
      </c>
      <c r="CI103">
        <v>1</v>
      </c>
      <c r="CJ103" s="71" t="b">
        <v>0</v>
      </c>
      <c r="CL103" t="s">
        <v>215</v>
      </c>
      <c r="CM103">
        <v>1.5</v>
      </c>
      <c r="CN103">
        <v>180</v>
      </c>
      <c r="CO103">
        <v>80</v>
      </c>
      <c r="CP103" s="74">
        <f ca="1">INDIRECT(ADDRESS(11+(MATCH(RIGHT(Table11[[#This Row],[spawner_sku]],LEN(Table11[[#This Row],[spawner_sku]])-FIND("/",Table11[[#This Row],[spawner_sku]])),Table1[Entity Prefab],0)),10,1,1,"Entities"))</f>
        <v>25</v>
      </c>
      <c r="CQ103">
        <f ca="1">ROUND((Table11[[#This Row],[XP]]*Table11[[#This Row],[entity_spawned (AVG)]])*(Table11[[#This Row],[activating_chance]]/100),0)</f>
        <v>30</v>
      </c>
      <c r="CR103" s="144" t="str">
        <f ca="1">INDIRECT(ADDRESS(11+(MATCH(RIGHT(Table11[[#This Row],[spawner_sku]],LEN(Table11[[#This Row],[spawner_sku]])-FIND("/",Table11[[#This Row],[spawner_sku]])),Table28[Entity Prefab],0)),25,1,1,"Entities"))</f>
        <v>no</v>
      </c>
      <c r="CS103" s="71">
        <v>1</v>
      </c>
      <c r="CT103" s="71">
        <v>2</v>
      </c>
      <c r="CU103" s="71" t="b">
        <v>0</v>
      </c>
      <c r="CW103" t="s">
        <v>429</v>
      </c>
      <c r="CX103">
        <v>1</v>
      </c>
      <c r="CY103">
        <v>300</v>
      </c>
      <c r="CZ103">
        <v>100</v>
      </c>
      <c r="DA103" s="74">
        <f ca="1">INDIRECT(ADDRESS(11+(MATCH(RIGHT(Table12[[#This Row],[spawner_sku]],LEN(Table12[[#This Row],[spawner_sku]])-FIND("/",Table12[[#This Row],[spawner_sku]])),Table1[Entity Prefab],0)),10,1,1,"Entities"))</f>
        <v>77</v>
      </c>
      <c r="DB103" s="74">
        <f ca="1">ROUND((Table12[[#This Row],[XP]]*Table12[[#This Row],[entity_spawned (AVG)]])*(Table12[[#This Row],[activating_chance]]/100),0)</f>
        <v>77</v>
      </c>
      <c r="DC103" s="144" t="str">
        <f ca="1">INDIRECT(ADDRESS(11+(MATCH(RIGHT(Table12[[#This Row],[spawner_sku]],LEN(Table12[[#This Row],[spawner_sku]])-FIND("/",Table12[[#This Row],[spawner_sku]])),Table28[Entity Prefab],0)),25,1,1,"Entities"))</f>
        <v>yes</v>
      </c>
      <c r="DD103" s="71">
        <v>1</v>
      </c>
      <c r="DE103" s="71">
        <v>1</v>
      </c>
      <c r="DF103" s="71" t="b">
        <v>0</v>
      </c>
      <c r="DH103" t="s">
        <v>230</v>
      </c>
      <c r="DI103">
        <v>1</v>
      </c>
      <c r="DJ103">
        <v>200</v>
      </c>
      <c r="DK103">
        <v>100</v>
      </c>
      <c r="DL103" s="74">
        <f ca="1">INDIRECT(ADDRESS(11+(MATCH(RIGHT(Table13[[#This Row],[spawner_sku]],LEN(Table13[[#This Row],[spawner_sku]])-FIND("/",Table13[[#This Row],[spawner_sku]])),Table1[Entity Prefab],0)),10,1,1,"Entities"))</f>
        <v>28</v>
      </c>
      <c r="DM103" s="74">
        <f ca="1">ROUND((Table13[[#This Row],[XP]]*Table13[[#This Row],[entity_spawned (AVG)]])*(Table13[[#This Row],[activating_chance]]/100),0)</f>
        <v>28</v>
      </c>
      <c r="DN103" s="144" t="str">
        <f ca="1">INDIRECT(ADDRESS(11+(MATCH(RIGHT(Table13[[#This Row],[spawner_sku]],LEN(Table13[[#This Row],[spawner_sku]])-FIND("/",Table13[[#This Row],[spawner_sku]])),Table28[Entity Prefab],0)),25,1,1,"Entities"))</f>
        <v>no</v>
      </c>
      <c r="DO103" s="71">
        <v>1</v>
      </c>
      <c r="DP103" s="71">
        <v>1</v>
      </c>
      <c r="DQ103" s="71" t="b">
        <v>0</v>
      </c>
      <c r="DS103" t="s">
        <v>214</v>
      </c>
      <c r="DT103">
        <v>9</v>
      </c>
      <c r="DU103">
        <v>100</v>
      </c>
      <c r="DV103">
        <v>100</v>
      </c>
      <c r="DW103" s="74">
        <f ca="1">INDIRECT(ADDRESS(11+(MATCH(RIGHT(Table14[[#This Row],[spawner_sku]],LEN(Table14[[#This Row],[spawner_sku]])-FIND("/",Table14[[#This Row],[spawner_sku]])),Table1[Entity Prefab],0)),10,1,1,"Entities"))</f>
        <v>25</v>
      </c>
      <c r="DX103" s="74">
        <f ca="1">ROUND((Table14[[#This Row],[XP]]*Table14[[#This Row],[entity_spawned (AVG)]])*(Table14[[#This Row],[activating_chance]]/100),0)</f>
        <v>225</v>
      </c>
      <c r="DY103" s="144" t="str">
        <f ca="1">INDIRECT(ADDRESS(11+(MATCH(RIGHT(Table14[[#This Row],[spawner_sku]],LEN(Table14[[#This Row],[spawner_sku]])-FIND("/",Table14[[#This Row],[spawner_sku]])),Table28[Entity Prefab],0)),25,1,1,"Entities"))</f>
        <v>no</v>
      </c>
      <c r="DZ103" s="71">
        <v>8</v>
      </c>
      <c r="EA103" s="71">
        <v>10</v>
      </c>
      <c r="EB103" s="71" t="b">
        <v>1</v>
      </c>
      <c r="EC103" s="71"/>
      <c r="ED103" s="147" t="s">
        <v>3819</v>
      </c>
      <c r="EE103" s="71">
        <v>1</v>
      </c>
      <c r="EF103" s="71">
        <v>240</v>
      </c>
      <c r="EG103" s="71">
        <v>100</v>
      </c>
      <c r="EH103" s="71">
        <f ca="1">INDIRECT(ADDRESS(11+(MATCH(RIGHT(Table36[[#This Row],[spawner_sku]],LEN(Table36[[#This Row],[spawner_sku]])-FIND("/",Table36[[#This Row],[spawner_sku]])),Table1[Entity Prefab],0)),10,1,1,"Entities"))</f>
        <v>10</v>
      </c>
      <c r="EI103" s="71">
        <f ca="1">ROUND((Table36[[#This Row],[XP]]*Table36[[#This Row],[entity_spawned (AVG)]])*(Table36[[#This Row],[activating_chance]]/100),0)</f>
        <v>10</v>
      </c>
      <c r="EJ103" s="71" t="str">
        <f ca="1">INDIRECT(ADDRESS(11+(MATCH(RIGHT(Table36[[#This Row],[spawner_sku]],LEN(Table36[[#This Row],[spawner_sku]])-FIND("/",Table36[[#This Row],[spawner_sku]])),Table28[Entity Prefab],0)),25,1,1,"Entities"))</f>
        <v>no</v>
      </c>
      <c r="EK103" s="71">
        <v>1</v>
      </c>
      <c r="EL103" s="71">
        <v>1</v>
      </c>
      <c r="EM103" s="71" t="b">
        <v>0</v>
      </c>
      <c r="EO103" t="s">
        <v>376</v>
      </c>
      <c r="EP103">
        <v>2.5</v>
      </c>
      <c r="EQ103">
        <v>160</v>
      </c>
      <c r="ER103">
        <v>100</v>
      </c>
      <c r="ES103" s="74">
        <f ca="1">INDIRECT(ADDRESS(11+(MATCH(RIGHT(Table18[[#This Row],[spawner_sku]],LEN(Table18[[#This Row],[spawner_sku]])-FIND("/",Table18[[#This Row],[spawner_sku]])),Table1[Entity Prefab],0)),10,1,1,"Entities"))</f>
        <v>25</v>
      </c>
      <c r="ET103" s="74">
        <f ca="1">ROUND((Table18[[#This Row],[XP]]*Table18[[#This Row],[entity_spawned (AVG)]])*(Table18[[#This Row],[activating_chance]]/100),0)</f>
        <v>63</v>
      </c>
      <c r="EU103" s="74" t="str">
        <f ca="1">INDIRECT(ADDRESS(11+(MATCH(RIGHT(Table18[[#This Row],[spawner_sku]],LEN(Table18[[#This Row],[spawner_sku]])-FIND("/",Table18[[#This Row],[spawner_sku]])),Table28[Entity Prefab],0)),26,1,1,"Entities"))</f>
        <v>no</v>
      </c>
      <c r="EV103">
        <v>2</v>
      </c>
      <c r="EW103">
        <v>3</v>
      </c>
      <c r="EX103" t="b">
        <v>0</v>
      </c>
      <c r="EZ103" t="s">
        <v>220</v>
      </c>
      <c r="FA103">
        <v>1.5</v>
      </c>
      <c r="FB103">
        <v>300</v>
      </c>
      <c r="FC103">
        <v>100</v>
      </c>
      <c r="FD103" s="74">
        <f ca="1">INDIRECT(ADDRESS(11+(MATCH(RIGHT(Table1820[[#This Row],[spawner_sku]],LEN(Table1820[[#This Row],[spawner_sku]])-FIND("/",Table1820[[#This Row],[spawner_sku]])),Table1[Entity Prefab],0)),10,1,1,"Entities"))</f>
        <v>195</v>
      </c>
      <c r="FE103" s="74">
        <f ca="1">ROUND((Table1820[[#This Row],[XP]]*Table1820[[#This Row],[entity_spawned (AVG)]])*(Table1820[[#This Row],[activating_chance]]/100),0)</f>
        <v>293</v>
      </c>
      <c r="FF103" s="74" t="str">
        <f ca="1">INDIRECT(ADDRESS(11+(MATCH(RIGHT(Table1820[[#This Row],[spawner_sku]],LEN(Table1820[[#This Row],[spawner_sku]])-FIND("/",Table1820[[#This Row],[spawner_sku]])),Table28[Entity Prefab],0)),26,1,1,"Entities"))</f>
        <v>yes</v>
      </c>
      <c r="FG103">
        <v>1</v>
      </c>
      <c r="FH103">
        <v>2</v>
      </c>
      <c r="FI103" t="b">
        <v>0</v>
      </c>
      <c r="FK103" t="s">
        <v>2695</v>
      </c>
      <c r="FL103">
        <v>8</v>
      </c>
      <c r="FM103">
        <v>100</v>
      </c>
      <c r="FN103">
        <v>100</v>
      </c>
      <c r="FO103">
        <f ca="1">INDIRECT(ADDRESS(11+(MATCH(RIGHT(Table182023[[#This Row],[spawner_sku]],LEN(Table182023[[#This Row],[spawner_sku]])-FIND("/",Table182023[[#This Row],[spawner_sku]])),Table1[Entity Prefab],0)),10,1,1,"Entities"))</f>
        <v>40</v>
      </c>
      <c r="FP103">
        <f ca="1">ROUND((Table182023[[#This Row],[XP]]*Table182023[[#This Row],[entity_spawned (AVG)]])*(Table182023[[#This Row],[activating_chance]]/100),0)</f>
        <v>320</v>
      </c>
      <c r="FQ103" t="str">
        <f ca="1">INDIRECT(ADDRESS(11+(MATCH(RIGHT(Table182023[[#This Row],[spawner_sku]],LEN(Table182023[[#This Row],[spawner_sku]])-FIND("/",Table182023[[#This Row],[spawner_sku]])),Table28[Entity Prefab],0)),26,1,1,"Entities"))</f>
        <v>no</v>
      </c>
      <c r="FR103">
        <v>6</v>
      </c>
      <c r="FS103">
        <v>10</v>
      </c>
      <c r="FT103" t="b">
        <v>1</v>
      </c>
      <c r="FV103" t="s">
        <v>2693</v>
      </c>
      <c r="FW103">
        <v>1.5</v>
      </c>
      <c r="FX103">
        <v>120</v>
      </c>
      <c r="FY103">
        <v>100</v>
      </c>
      <c r="FZ103" s="74">
        <f ca="1">INDIRECT(ADDRESS(11+(MATCH(RIGHT(Table18202324[[#This Row],[spawner_sku]],LEN(Table18202324[[#This Row],[spawner_sku]])-FIND("/",Table18202324[[#This Row],[spawner_sku]])),Table1[Entity Prefab],0)),10,1,1,"Entities"))</f>
        <v>130</v>
      </c>
      <c r="GA103" s="74">
        <f ca="1">ROUND((Table18202324[[#This Row],[XP]]*Table18202324[[#This Row],[entity_spawned (AVG)]])*(Table18202324[[#This Row],[activating_chance]]/100),0)</f>
        <v>195</v>
      </c>
      <c r="GB103" s="74" t="str">
        <f ca="1">INDIRECT(ADDRESS(11+(MATCH(RIGHT(Table18202324[[#This Row],[spawner_sku]],LEN(Table18202324[[#This Row],[spawner_sku]])-FIND("/",Table18202324[[#This Row],[spawner_sku]])),Table28[Entity Prefab],0)),26,1,1,"Entities"))</f>
        <v>yes</v>
      </c>
      <c r="GC103">
        <v>1</v>
      </c>
      <c r="GD103">
        <v>2</v>
      </c>
      <c r="GE103" t="b">
        <v>0</v>
      </c>
      <c r="GG103" t="s">
        <v>3816</v>
      </c>
      <c r="GH103">
        <v>1</v>
      </c>
      <c r="GI103">
        <v>240</v>
      </c>
      <c r="GJ103">
        <v>100</v>
      </c>
      <c r="GK103">
        <f ca="1">INDIRECT(ADDRESS(11+(MATCH(RIGHT(Table37[[#This Row],[spawner_sku]],LEN(Table37[[#This Row],[spawner_sku]])-FIND("/",Table37[[#This Row],[spawner_sku]])),Table1[Entity Prefab],0)),10,1,1,"Entities"))</f>
        <v>50</v>
      </c>
      <c r="GL103">
        <f ca="1">ROUND((Table37[[#This Row],[XP]]*Table37[[#This Row],[entity_spawned (AVG)]])*(Table37[[#This Row],[activating_chance]]/100),0)</f>
        <v>50</v>
      </c>
      <c r="GM103" t="str">
        <f ca="1">INDIRECT(ADDRESS(11+(MATCH(RIGHT(Table37[[#This Row],[spawner_sku]],LEN(Table37[[#This Row],[spawner_sku]])-FIND("/",Table37[[#This Row],[spawner_sku]])),Table28[Entity Prefab],0)),26,1,1,"Entities"))</f>
        <v>no</v>
      </c>
      <c r="GN103">
        <v>1</v>
      </c>
      <c r="GO103">
        <v>1</v>
      </c>
      <c r="GP103" t="b">
        <v>0</v>
      </c>
    </row>
    <row r="104" spans="2:198" x14ac:dyDescent="0.25">
      <c r="B104" s="72" t="s">
        <v>215</v>
      </c>
      <c r="C104">
        <v>3.5</v>
      </c>
      <c r="D104">
        <v>80</v>
      </c>
      <c r="E104">
        <v>70</v>
      </c>
      <c r="F104" s="74">
        <f ca="1">INDIRECT(ADDRESS(11+(MATCH(RIGHT(Table245[[#This Row],[spawner_sku]],LEN(Table245[[#This Row],[spawner_sku]])-FIND("/",Table245[[#This Row],[spawner_sku]])),Table1[Entity Prefab],0)),10,1,1,"Entities"))</f>
        <v>25</v>
      </c>
      <c r="G104" s="74">
        <f ca="1">ROUND((Table245[[#This Row],[XP]]*Table245[[#This Row],[entity_spawned (AVG)]])*(Table245[[#This Row],[activating_chance]]/100),0)</f>
        <v>61</v>
      </c>
      <c r="H104" s="71" t="str">
        <f ca="1">INDIRECT(ADDRESS(11+(MATCH(RIGHT(Table245[[#This Row],[spawner_sku]],LEN(Table245[[#This Row],[spawner_sku]])-FIND("/",Table245[[#This Row],[spawner_sku]])),Table28[Entity Prefab],0)),24,1,1,"Entities"))</f>
        <v>no</v>
      </c>
      <c r="I104" s="71">
        <v>3</v>
      </c>
      <c r="J104" s="71">
        <v>4</v>
      </c>
      <c r="K104" s="71" t="b">
        <v>0</v>
      </c>
      <c r="M104" t="s">
        <v>242</v>
      </c>
      <c r="N104">
        <v>1</v>
      </c>
      <c r="O104">
        <v>150</v>
      </c>
      <c r="P104">
        <v>100</v>
      </c>
      <c r="Q104" s="74">
        <f ca="1">INDIRECT(ADDRESS(11+(MATCH(RIGHT(Table3[[#This Row],[spawner_sku]],LEN(Table3[[#This Row],[spawner_sku]])-FIND("/",Table3[[#This Row],[spawner_sku]])),Table1[Entity Prefab],0)),10,1,1,"Entities"))</f>
        <v>25</v>
      </c>
      <c r="R104" s="74">
        <f ca="1">ROUND((Table3[[#This Row],[XP]]*Table3[[#This Row],[entity_spawned (AVG)]])*(Table3[[#This Row],[activating_chance]]/100),0)</f>
        <v>25</v>
      </c>
      <c r="S104" t="str">
        <f ca="1">INDIRECT(ADDRESS(11+(MATCH(RIGHT(Table3[[#This Row],[spawner_sku]],LEN(Table3[[#This Row],[spawner_sku]])-FIND("/",Table3[[#This Row],[spawner_sku]])),Table28[Entity Prefab],0)),24,1,1,"Entities"))</f>
        <v>no</v>
      </c>
      <c r="T104">
        <v>1</v>
      </c>
      <c r="U104">
        <v>1</v>
      </c>
      <c r="V104" t="b">
        <v>0</v>
      </c>
      <c r="W104" s="71"/>
      <c r="AI104" t="s">
        <v>215</v>
      </c>
      <c r="AJ104">
        <v>3</v>
      </c>
      <c r="AK104">
        <v>110</v>
      </c>
      <c r="AL104">
        <v>100</v>
      </c>
      <c r="AM104" s="74">
        <f ca="1">INDIRECT(ADDRESS(11+(MATCH(RIGHT(Table2[[#This Row],[spawner_sku]],LEN(Table2[[#This Row],[spawner_sku]])-FIND("/",Table2[[#This Row],[spawner_sku]])),Table1[Entity Prefab],0)),10,1,1,"Entities"))</f>
        <v>25</v>
      </c>
      <c r="AN104" s="74">
        <f ca="1">ROUND((Table2[[#This Row],[XP]]*Table2[[#This Row],[entity_spawned (AVG)]])*(Table2[[#This Row],[activating_chance]]/100),0)</f>
        <v>75</v>
      </c>
      <c r="AO104" s="71" t="str">
        <f ca="1">INDIRECT(ADDRESS(11+(MATCH(RIGHT(Table2[[#This Row],[spawner_sku]],LEN(Table2[[#This Row],[spawner_sku]])-FIND("/",Table2[[#This Row],[spawner_sku]])),Table28[Entity Prefab],0)),24,1,1,"Entities"))</f>
        <v>no</v>
      </c>
      <c r="AP104" s="71">
        <v>2</v>
      </c>
      <c r="AQ104" s="71">
        <v>4</v>
      </c>
      <c r="AR104" s="71" t="b">
        <v>0</v>
      </c>
      <c r="AT104" t="s">
        <v>466</v>
      </c>
      <c r="AU104">
        <v>1</v>
      </c>
      <c r="AV104">
        <v>150</v>
      </c>
      <c r="AW104">
        <v>100</v>
      </c>
      <c r="AX104" s="74">
        <f ca="1">INDIRECT(ADDRESS(11+(MATCH(RIGHT(Table6[[#This Row],[spawner_sku]],LEN(Table6[[#This Row],[spawner_sku]])-FIND("/",Table6[[#This Row],[spawner_sku]])),Table1[Entity Prefab],0)),10,1,1,"Entities"))</f>
        <v>75</v>
      </c>
      <c r="AY104" s="74">
        <f ca="1">ROUND((Table6[[#This Row],[XP]]*Table6[[#This Row],[entity_spawned (AVG)]])*(Table6[[#This Row],[activating_chance]]/100),0)</f>
        <v>75</v>
      </c>
      <c r="AZ104" s="144" t="str">
        <f ca="1">INDIRECT(ADDRESS(11+(MATCH(RIGHT(Table6[[#This Row],[spawner_sku]],LEN(Table6[[#This Row],[spawner_sku]])-FIND("/",Table6[[#This Row],[spawner_sku]])),Table28[Entity Prefab],0)),24,1,1,"Entities"))</f>
        <v>no</v>
      </c>
      <c r="BA104">
        <v>1</v>
      </c>
      <c r="BB104">
        <v>1</v>
      </c>
      <c r="BC104" t="b">
        <v>0</v>
      </c>
      <c r="BE104" t="s">
        <v>228</v>
      </c>
      <c r="BF104">
        <v>1</v>
      </c>
      <c r="BG104">
        <v>1500</v>
      </c>
      <c r="BH104">
        <v>100</v>
      </c>
      <c r="BI104" s="74">
        <f ca="1">INDIRECT(ADDRESS(11+(MATCH(RIGHT(Table610[[#This Row],[spawner_sku]],LEN(Table610[[#This Row],[spawner_sku]])-FIND("/",Table610[[#This Row],[spawner_sku]])),Table1[Entity Prefab],0)),10,1,1,"Entities"))</f>
        <v>130</v>
      </c>
      <c r="BJ104" s="74">
        <f ca="1">ROUND((Table610[[#This Row],[XP]]*Table610[[#This Row],[entity_spawned (AVG)]])*(Table610[[#This Row],[activating_chance]]/100),0)</f>
        <v>130</v>
      </c>
      <c r="BK104" s="71" t="str">
        <f ca="1">INDIRECT(ADDRESS(11+(MATCH(RIGHT(Table610[[#This Row],[spawner_sku]],LEN(Table610[[#This Row],[spawner_sku]])-FIND("/",Table610[[#This Row],[spawner_sku]])),Table28[Entity Prefab],0)),24,1,1,"Entities"))</f>
        <v>yes</v>
      </c>
      <c r="BL104">
        <v>1</v>
      </c>
      <c r="BM104">
        <v>1</v>
      </c>
      <c r="BN104" t="b">
        <v>0</v>
      </c>
      <c r="BP104" t="s">
        <v>218</v>
      </c>
      <c r="BQ104">
        <v>1</v>
      </c>
      <c r="BR104">
        <v>5000</v>
      </c>
      <c r="BS104">
        <v>50</v>
      </c>
      <c r="BT104" s="74">
        <f ca="1">INDIRECT(ADDRESS(11+(MATCH(RIGHT(Table61011[[#This Row],[spawner_sku]],LEN(Table61011[[#This Row],[spawner_sku]])-FIND("/",Table61011[[#This Row],[spawner_sku]])),Table1[Entity Prefab],0)),10,1,1,"Entities"))</f>
        <v>75</v>
      </c>
      <c r="BU104" s="74">
        <f ca="1">ROUND((Table61011[[#This Row],[XP]]*Table61011[[#This Row],[entity_spawned (AVG)]])*(Table61011[[#This Row],[activating_chance]]/100),0)</f>
        <v>38</v>
      </c>
      <c r="BV104" s="71" t="str">
        <f ca="1">INDIRECT(ADDRESS(11+(MATCH(RIGHT(Table61011[[#This Row],[spawner_sku]],LEN(Table61011[[#This Row],[spawner_sku]])-FIND("/",Table61011[[#This Row],[spawner_sku]])),Table28[Entity Prefab],0)),24,1,1,"Entities"))</f>
        <v>no</v>
      </c>
      <c r="BW104" s="71">
        <v>1</v>
      </c>
      <c r="BX104" s="71">
        <v>1</v>
      </c>
      <c r="BY104" s="71" t="b">
        <v>0</v>
      </c>
      <c r="BZ104" s="71"/>
      <c r="CA104" s="147" t="s">
        <v>8142</v>
      </c>
      <c r="CB104">
        <v>1</v>
      </c>
      <c r="CC104">
        <v>200</v>
      </c>
      <c r="CD104">
        <v>80</v>
      </c>
      <c r="CE104" s="74">
        <f ca="1">INDIRECT(ADDRESS(11+(MATCH(RIGHT(Table35[[#This Row],[spawner_sku]],LEN(Table35[[#This Row],[spawner_sku]])-FIND("/",Table35[[#This Row],[spawner_sku]])),Table1[Entity Prefab],0)),10,1,1,"Entities"))</f>
        <v>75</v>
      </c>
      <c r="CF104" s="74">
        <f ca="1">ROUND((Table35[[#This Row],[XP]]*Table35[[#This Row],[entity_spawned (AVG)]])*(Table35[[#This Row],[activating_chance]]/100),0)</f>
        <v>60</v>
      </c>
      <c r="CG104" s="144" t="str">
        <f ca="1">INDIRECT(ADDRESS(11+(MATCH(RIGHT(Table35[[#This Row],[spawner_sku]],LEN(Table35[[#This Row],[spawner_sku]])-FIND("/",Table35[[#This Row],[spawner_sku]])),Table28[Entity Prefab],0)),24,1,1,"Entities"))</f>
        <v>no</v>
      </c>
      <c r="CH104">
        <v>1</v>
      </c>
      <c r="CI104">
        <v>1</v>
      </c>
      <c r="CJ104" s="71" t="b">
        <v>0</v>
      </c>
      <c r="CL104" t="s">
        <v>215</v>
      </c>
      <c r="CM104">
        <v>3.5</v>
      </c>
      <c r="CN104">
        <v>180</v>
      </c>
      <c r="CO104">
        <v>100</v>
      </c>
      <c r="CP104" s="74">
        <f ca="1">INDIRECT(ADDRESS(11+(MATCH(RIGHT(Table11[[#This Row],[spawner_sku]],LEN(Table11[[#This Row],[spawner_sku]])-FIND("/",Table11[[#This Row],[spawner_sku]])),Table1[Entity Prefab],0)),10,1,1,"Entities"))</f>
        <v>25</v>
      </c>
      <c r="CQ104">
        <f ca="1">ROUND((Table11[[#This Row],[XP]]*Table11[[#This Row],[entity_spawned (AVG)]])*(Table11[[#This Row],[activating_chance]]/100),0)</f>
        <v>88</v>
      </c>
      <c r="CR104" s="144" t="str">
        <f ca="1">INDIRECT(ADDRESS(11+(MATCH(RIGHT(Table11[[#This Row],[spawner_sku]],LEN(Table11[[#This Row],[spawner_sku]])-FIND("/",Table11[[#This Row],[spawner_sku]])),Table28[Entity Prefab],0)),25,1,1,"Entities"))</f>
        <v>no</v>
      </c>
      <c r="CS104" s="71">
        <v>3</v>
      </c>
      <c r="CT104" s="71">
        <v>4</v>
      </c>
      <c r="CU104" s="71" t="b">
        <v>0</v>
      </c>
      <c r="CW104" t="s">
        <v>429</v>
      </c>
      <c r="CX104">
        <v>1</v>
      </c>
      <c r="CY104">
        <v>300</v>
      </c>
      <c r="CZ104">
        <v>100</v>
      </c>
      <c r="DA104" s="74">
        <f ca="1">INDIRECT(ADDRESS(11+(MATCH(RIGHT(Table12[[#This Row],[spawner_sku]],LEN(Table12[[#This Row],[spawner_sku]])-FIND("/",Table12[[#This Row],[spawner_sku]])),Table1[Entity Prefab],0)),10,1,1,"Entities"))</f>
        <v>77</v>
      </c>
      <c r="DB104" s="74">
        <f ca="1">ROUND((Table12[[#This Row],[XP]]*Table12[[#This Row],[entity_spawned (AVG)]])*(Table12[[#This Row],[activating_chance]]/100),0)</f>
        <v>77</v>
      </c>
      <c r="DC104" s="144" t="str">
        <f ca="1">INDIRECT(ADDRESS(11+(MATCH(RIGHT(Table12[[#This Row],[spawner_sku]],LEN(Table12[[#This Row],[spawner_sku]])-FIND("/",Table12[[#This Row],[spawner_sku]])),Table28[Entity Prefab],0)),25,1,1,"Entities"))</f>
        <v>yes</v>
      </c>
      <c r="DD104" s="71">
        <v>1</v>
      </c>
      <c r="DE104" s="71">
        <v>1</v>
      </c>
      <c r="DF104" s="71" t="b">
        <v>0</v>
      </c>
      <c r="DH104" t="s">
        <v>448</v>
      </c>
      <c r="DI104">
        <v>1</v>
      </c>
      <c r="DJ104">
        <v>280</v>
      </c>
      <c r="DK104">
        <v>100</v>
      </c>
      <c r="DL104" s="74">
        <f ca="1">INDIRECT(ADDRESS(11+(MATCH(RIGHT(Table13[[#This Row],[spawner_sku]],LEN(Table13[[#This Row],[spawner_sku]])-FIND("/",Table13[[#This Row],[spawner_sku]])),Table1[Entity Prefab],0)),10,1,1,"Entities"))</f>
        <v>143</v>
      </c>
      <c r="DM104" s="74">
        <f ca="1">ROUND((Table13[[#This Row],[XP]]*Table13[[#This Row],[entity_spawned (AVG)]])*(Table13[[#This Row],[activating_chance]]/100),0)</f>
        <v>143</v>
      </c>
      <c r="DN104" s="144" t="str">
        <f ca="1">INDIRECT(ADDRESS(11+(MATCH(RIGHT(Table13[[#This Row],[spawner_sku]],LEN(Table13[[#This Row],[spawner_sku]])-FIND("/",Table13[[#This Row],[spawner_sku]])),Table28[Entity Prefab],0)),25,1,1,"Entities"))</f>
        <v>yes</v>
      </c>
      <c r="DO104" s="71">
        <v>1</v>
      </c>
      <c r="DP104" s="71">
        <v>1</v>
      </c>
      <c r="DQ104" s="71" t="b">
        <v>0</v>
      </c>
      <c r="DS104" t="s">
        <v>214</v>
      </c>
      <c r="DT104">
        <v>3.5</v>
      </c>
      <c r="DU104">
        <v>150</v>
      </c>
      <c r="DV104">
        <v>10</v>
      </c>
      <c r="DW104" s="74">
        <f ca="1">INDIRECT(ADDRESS(11+(MATCH(RIGHT(Table14[[#This Row],[spawner_sku]],LEN(Table14[[#This Row],[spawner_sku]])-FIND("/",Table14[[#This Row],[spawner_sku]])),Table1[Entity Prefab],0)),10,1,1,"Entities"))</f>
        <v>25</v>
      </c>
      <c r="DX104" s="74">
        <f ca="1">ROUND((Table14[[#This Row],[XP]]*Table14[[#This Row],[entity_spawned (AVG)]])*(Table14[[#This Row],[activating_chance]]/100),0)</f>
        <v>9</v>
      </c>
      <c r="DY104" s="144" t="str">
        <f ca="1">INDIRECT(ADDRESS(11+(MATCH(RIGHT(Table14[[#This Row],[spawner_sku]],LEN(Table14[[#This Row],[spawner_sku]])-FIND("/",Table14[[#This Row],[spawner_sku]])),Table28[Entity Prefab],0)),25,1,1,"Entities"))</f>
        <v>no</v>
      </c>
      <c r="DZ104" s="71">
        <v>3</v>
      </c>
      <c r="EA104" s="71">
        <v>4</v>
      </c>
      <c r="EB104" s="71" t="b">
        <v>0</v>
      </c>
      <c r="EC104" s="71"/>
      <c r="ED104" s="147" t="s">
        <v>3819</v>
      </c>
      <c r="EE104" s="71">
        <v>1</v>
      </c>
      <c r="EF104" s="71">
        <v>240</v>
      </c>
      <c r="EG104" s="71">
        <v>100</v>
      </c>
      <c r="EH104" s="71">
        <f ca="1">INDIRECT(ADDRESS(11+(MATCH(RIGHT(Table36[[#This Row],[spawner_sku]],LEN(Table36[[#This Row],[spawner_sku]])-FIND("/",Table36[[#This Row],[spawner_sku]])),Table1[Entity Prefab],0)),10,1,1,"Entities"))</f>
        <v>10</v>
      </c>
      <c r="EI104" s="71">
        <f ca="1">ROUND((Table36[[#This Row],[XP]]*Table36[[#This Row],[entity_spawned (AVG)]])*(Table36[[#This Row],[activating_chance]]/100),0)</f>
        <v>10</v>
      </c>
      <c r="EJ104" s="71" t="str">
        <f ca="1">INDIRECT(ADDRESS(11+(MATCH(RIGHT(Table36[[#This Row],[spawner_sku]],LEN(Table36[[#This Row],[spawner_sku]])-FIND("/",Table36[[#This Row],[spawner_sku]])),Table28[Entity Prefab],0)),25,1,1,"Entities"))</f>
        <v>no</v>
      </c>
      <c r="EK104" s="71">
        <v>1</v>
      </c>
      <c r="EL104" s="71">
        <v>1</v>
      </c>
      <c r="EM104" s="71" t="b">
        <v>0</v>
      </c>
      <c r="EO104" t="s">
        <v>376</v>
      </c>
      <c r="EP104">
        <v>11</v>
      </c>
      <c r="EQ104">
        <v>200</v>
      </c>
      <c r="ER104">
        <v>100</v>
      </c>
      <c r="ES104" s="74">
        <f ca="1">INDIRECT(ADDRESS(11+(MATCH(RIGHT(Table18[[#This Row],[spawner_sku]],LEN(Table18[[#This Row],[spawner_sku]])-FIND("/",Table18[[#This Row],[spawner_sku]])),Table1[Entity Prefab],0)),10,1,1,"Entities"))</f>
        <v>25</v>
      </c>
      <c r="ET104" s="74">
        <f ca="1">ROUND((Table18[[#This Row],[XP]]*Table18[[#This Row],[entity_spawned (AVG)]])*(Table18[[#This Row],[activating_chance]]/100),0)</f>
        <v>275</v>
      </c>
      <c r="EU104" s="74" t="str">
        <f ca="1">INDIRECT(ADDRESS(11+(MATCH(RIGHT(Table18[[#This Row],[spawner_sku]],LEN(Table18[[#This Row],[spawner_sku]])-FIND("/",Table18[[#This Row],[spawner_sku]])),Table28[Entity Prefab],0)),26,1,1,"Entities"))</f>
        <v>no</v>
      </c>
      <c r="EV104">
        <v>10</v>
      </c>
      <c r="EW104">
        <v>12</v>
      </c>
      <c r="EX104" t="b">
        <v>1</v>
      </c>
      <c r="EZ104" t="s">
        <v>220</v>
      </c>
      <c r="FA104">
        <v>2</v>
      </c>
      <c r="FB104">
        <v>300</v>
      </c>
      <c r="FC104">
        <v>100</v>
      </c>
      <c r="FD104" s="74">
        <f ca="1">INDIRECT(ADDRESS(11+(MATCH(RIGHT(Table1820[[#This Row],[spawner_sku]],LEN(Table1820[[#This Row],[spawner_sku]])-FIND("/",Table1820[[#This Row],[spawner_sku]])),Table1[Entity Prefab],0)),10,1,1,"Entities"))</f>
        <v>195</v>
      </c>
      <c r="FE104" s="74">
        <f ca="1">ROUND((Table1820[[#This Row],[XP]]*Table1820[[#This Row],[entity_spawned (AVG)]])*(Table1820[[#This Row],[activating_chance]]/100),0)</f>
        <v>390</v>
      </c>
      <c r="FF104" s="74" t="str">
        <f ca="1">INDIRECT(ADDRESS(11+(MATCH(RIGHT(Table1820[[#This Row],[spawner_sku]],LEN(Table1820[[#This Row],[spawner_sku]])-FIND("/",Table1820[[#This Row],[spawner_sku]])),Table28[Entity Prefab],0)),26,1,1,"Entities"))</f>
        <v>yes</v>
      </c>
      <c r="FG104">
        <v>2</v>
      </c>
      <c r="FH104">
        <v>2</v>
      </c>
      <c r="FI104" t="b">
        <v>0</v>
      </c>
      <c r="FK104" t="s">
        <v>2693</v>
      </c>
      <c r="FL104">
        <v>1.5</v>
      </c>
      <c r="FM104">
        <v>100</v>
      </c>
      <c r="FN104">
        <v>100</v>
      </c>
      <c r="FO104">
        <f ca="1">INDIRECT(ADDRESS(11+(MATCH(RIGHT(Table182023[[#This Row],[spawner_sku]],LEN(Table182023[[#This Row],[spawner_sku]])-FIND("/",Table182023[[#This Row],[spawner_sku]])),Table1[Entity Prefab],0)),10,1,1,"Entities"))</f>
        <v>130</v>
      </c>
      <c r="FP104">
        <f ca="1">ROUND((Table182023[[#This Row],[XP]]*Table182023[[#This Row],[entity_spawned (AVG)]])*(Table182023[[#This Row],[activating_chance]]/100),0)</f>
        <v>195</v>
      </c>
      <c r="FQ104" t="str">
        <f ca="1">INDIRECT(ADDRESS(11+(MATCH(RIGHT(Table182023[[#This Row],[spawner_sku]],LEN(Table182023[[#This Row],[spawner_sku]])-FIND("/",Table182023[[#This Row],[spawner_sku]])),Table28[Entity Prefab],0)),26,1,1,"Entities"))</f>
        <v>yes</v>
      </c>
      <c r="FR104">
        <v>1</v>
      </c>
      <c r="FS104">
        <v>2</v>
      </c>
      <c r="FT104" t="b">
        <v>0</v>
      </c>
      <c r="FV104" t="s">
        <v>2693</v>
      </c>
      <c r="FW104">
        <v>3</v>
      </c>
      <c r="FX104">
        <v>120</v>
      </c>
      <c r="FY104">
        <v>100</v>
      </c>
      <c r="FZ104" s="74">
        <f ca="1">INDIRECT(ADDRESS(11+(MATCH(RIGHT(Table18202324[[#This Row],[spawner_sku]],LEN(Table18202324[[#This Row],[spawner_sku]])-FIND("/",Table18202324[[#This Row],[spawner_sku]])),Table1[Entity Prefab],0)),10,1,1,"Entities"))</f>
        <v>130</v>
      </c>
      <c r="GA104" s="74">
        <f ca="1">ROUND((Table18202324[[#This Row],[XP]]*Table18202324[[#This Row],[entity_spawned (AVG)]])*(Table18202324[[#This Row],[activating_chance]]/100),0)</f>
        <v>390</v>
      </c>
      <c r="GB104" s="74" t="str">
        <f ca="1">INDIRECT(ADDRESS(11+(MATCH(RIGHT(Table18202324[[#This Row],[spawner_sku]],LEN(Table18202324[[#This Row],[spawner_sku]])-FIND("/",Table18202324[[#This Row],[spawner_sku]])),Table28[Entity Prefab],0)),26,1,1,"Entities"))</f>
        <v>yes</v>
      </c>
      <c r="GC104">
        <v>2</v>
      </c>
      <c r="GD104">
        <v>4</v>
      </c>
      <c r="GE104" t="b">
        <v>0</v>
      </c>
      <c r="GG104" t="s">
        <v>3816</v>
      </c>
      <c r="GH104">
        <v>1</v>
      </c>
      <c r="GI104">
        <v>240</v>
      </c>
      <c r="GJ104">
        <v>100</v>
      </c>
      <c r="GK104">
        <f ca="1">INDIRECT(ADDRESS(11+(MATCH(RIGHT(Table37[[#This Row],[spawner_sku]],LEN(Table37[[#This Row],[spawner_sku]])-FIND("/",Table37[[#This Row],[spawner_sku]])),Table1[Entity Prefab],0)),10,1,1,"Entities"))</f>
        <v>50</v>
      </c>
      <c r="GL104">
        <f ca="1">ROUND((Table37[[#This Row],[XP]]*Table37[[#This Row],[entity_spawned (AVG)]])*(Table37[[#This Row],[activating_chance]]/100),0)</f>
        <v>50</v>
      </c>
      <c r="GM104" t="str">
        <f ca="1">INDIRECT(ADDRESS(11+(MATCH(RIGHT(Table37[[#This Row],[spawner_sku]],LEN(Table37[[#This Row],[spawner_sku]])-FIND("/",Table37[[#This Row],[spawner_sku]])),Table28[Entity Prefab],0)),26,1,1,"Entities"))</f>
        <v>no</v>
      </c>
      <c r="GN104">
        <v>1</v>
      </c>
      <c r="GO104">
        <v>1</v>
      </c>
      <c r="GP104" t="b">
        <v>0</v>
      </c>
    </row>
    <row r="105" spans="2:198" x14ac:dyDescent="0.25">
      <c r="B105" s="72" t="s">
        <v>215</v>
      </c>
      <c r="C105">
        <v>5.5</v>
      </c>
      <c r="D105">
        <v>160</v>
      </c>
      <c r="E105">
        <v>30</v>
      </c>
      <c r="F105" s="74">
        <f ca="1">INDIRECT(ADDRESS(11+(MATCH(RIGHT(Table245[[#This Row],[spawner_sku]],LEN(Table245[[#This Row],[spawner_sku]])-FIND("/",Table245[[#This Row],[spawner_sku]])),Table1[Entity Prefab],0)),10,1,1,"Entities"))</f>
        <v>25</v>
      </c>
      <c r="G105" s="74">
        <f ca="1">ROUND((Table245[[#This Row],[XP]]*Table245[[#This Row],[entity_spawned (AVG)]])*(Table245[[#This Row],[activating_chance]]/100),0)</f>
        <v>41</v>
      </c>
      <c r="H105" s="71" t="str">
        <f ca="1">INDIRECT(ADDRESS(11+(MATCH(RIGHT(Table245[[#This Row],[spawner_sku]],LEN(Table245[[#This Row],[spawner_sku]])-FIND("/",Table245[[#This Row],[spawner_sku]])),Table28[Entity Prefab],0)),24,1,1,"Entities"))</f>
        <v>no</v>
      </c>
      <c r="I105" s="71">
        <v>5</v>
      </c>
      <c r="J105" s="71">
        <v>6</v>
      </c>
      <c r="K105" s="71" t="b">
        <v>1</v>
      </c>
      <c r="M105" t="s">
        <v>242</v>
      </c>
      <c r="N105">
        <v>1</v>
      </c>
      <c r="O105">
        <v>180</v>
      </c>
      <c r="P105">
        <v>80</v>
      </c>
      <c r="Q105" s="74">
        <f ca="1">INDIRECT(ADDRESS(11+(MATCH(RIGHT(Table3[[#This Row],[spawner_sku]],LEN(Table3[[#This Row],[spawner_sku]])-FIND("/",Table3[[#This Row],[spawner_sku]])),Table1[Entity Prefab],0)),10,1,1,"Entities"))</f>
        <v>25</v>
      </c>
      <c r="R105" s="74">
        <f ca="1">ROUND((Table3[[#This Row],[XP]]*Table3[[#This Row],[entity_spawned (AVG)]])*(Table3[[#This Row],[activating_chance]]/100),0)</f>
        <v>20</v>
      </c>
      <c r="S105" t="str">
        <f ca="1">INDIRECT(ADDRESS(11+(MATCH(RIGHT(Table3[[#This Row],[spawner_sku]],LEN(Table3[[#This Row],[spawner_sku]])-FIND("/",Table3[[#This Row],[spawner_sku]])),Table28[Entity Prefab],0)),24,1,1,"Entities"))</f>
        <v>no</v>
      </c>
      <c r="T105">
        <v>1</v>
      </c>
      <c r="U105">
        <v>1</v>
      </c>
      <c r="V105" t="b">
        <v>0</v>
      </c>
      <c r="W105" s="71"/>
      <c r="AI105" t="s">
        <v>215</v>
      </c>
      <c r="AJ105">
        <v>3.5</v>
      </c>
      <c r="AK105">
        <v>100</v>
      </c>
      <c r="AL105">
        <v>100</v>
      </c>
      <c r="AM105" s="74">
        <f ca="1">INDIRECT(ADDRESS(11+(MATCH(RIGHT(Table2[[#This Row],[spawner_sku]],LEN(Table2[[#This Row],[spawner_sku]])-FIND("/",Table2[[#This Row],[spawner_sku]])),Table1[Entity Prefab],0)),10,1,1,"Entities"))</f>
        <v>25</v>
      </c>
      <c r="AN105" s="74">
        <f ca="1">ROUND((Table2[[#This Row],[XP]]*Table2[[#This Row],[entity_spawned (AVG)]])*(Table2[[#This Row],[activating_chance]]/100),0)</f>
        <v>88</v>
      </c>
      <c r="AO105" s="71" t="str">
        <f ca="1">INDIRECT(ADDRESS(11+(MATCH(RIGHT(Table2[[#This Row],[spawner_sku]],LEN(Table2[[#This Row],[spawner_sku]])-FIND("/",Table2[[#This Row],[spawner_sku]])),Table28[Entity Prefab],0)),24,1,1,"Entities"))</f>
        <v>no</v>
      </c>
      <c r="AP105" s="71">
        <v>3</v>
      </c>
      <c r="AQ105" s="71">
        <v>4</v>
      </c>
      <c r="AR105" s="71" t="b">
        <v>0</v>
      </c>
      <c r="AT105" t="s">
        <v>466</v>
      </c>
      <c r="AU105">
        <v>1</v>
      </c>
      <c r="AV105">
        <v>140</v>
      </c>
      <c r="AW105">
        <v>100</v>
      </c>
      <c r="AX105" s="74">
        <f ca="1">INDIRECT(ADDRESS(11+(MATCH(RIGHT(Table6[[#This Row],[spawner_sku]],LEN(Table6[[#This Row],[spawner_sku]])-FIND("/",Table6[[#This Row],[spawner_sku]])),Table1[Entity Prefab],0)),10,1,1,"Entities"))</f>
        <v>75</v>
      </c>
      <c r="AY105" s="74">
        <f ca="1">ROUND((Table6[[#This Row],[XP]]*Table6[[#This Row],[entity_spawned (AVG)]])*(Table6[[#This Row],[activating_chance]]/100),0)</f>
        <v>75</v>
      </c>
      <c r="AZ105" s="144" t="str">
        <f ca="1">INDIRECT(ADDRESS(11+(MATCH(RIGHT(Table6[[#This Row],[spawner_sku]],LEN(Table6[[#This Row],[spawner_sku]])-FIND("/",Table6[[#This Row],[spawner_sku]])),Table28[Entity Prefab],0)),24,1,1,"Entities"))</f>
        <v>no</v>
      </c>
      <c r="BA105">
        <v>1</v>
      </c>
      <c r="BB105">
        <v>1</v>
      </c>
      <c r="BC105" t="b">
        <v>0</v>
      </c>
      <c r="BE105" t="s">
        <v>228</v>
      </c>
      <c r="BF105">
        <v>1</v>
      </c>
      <c r="BG105">
        <v>1500</v>
      </c>
      <c r="BH105">
        <v>100</v>
      </c>
      <c r="BI105" s="74">
        <f ca="1">INDIRECT(ADDRESS(11+(MATCH(RIGHT(Table610[[#This Row],[spawner_sku]],LEN(Table610[[#This Row],[spawner_sku]])-FIND("/",Table610[[#This Row],[spawner_sku]])),Table1[Entity Prefab],0)),10,1,1,"Entities"))</f>
        <v>130</v>
      </c>
      <c r="BJ105" s="74">
        <f ca="1">ROUND((Table610[[#This Row],[XP]]*Table610[[#This Row],[entity_spawned (AVG)]])*(Table610[[#This Row],[activating_chance]]/100),0)</f>
        <v>130</v>
      </c>
      <c r="BK105" s="71" t="str">
        <f ca="1">INDIRECT(ADDRESS(11+(MATCH(RIGHT(Table610[[#This Row],[spawner_sku]],LEN(Table610[[#This Row],[spawner_sku]])-FIND("/",Table610[[#This Row],[spawner_sku]])),Table28[Entity Prefab],0)),24,1,1,"Entities"))</f>
        <v>yes</v>
      </c>
      <c r="BL105">
        <v>1</v>
      </c>
      <c r="BM105">
        <v>1</v>
      </c>
      <c r="BN105" t="b">
        <v>0</v>
      </c>
      <c r="BP105" t="s">
        <v>218</v>
      </c>
      <c r="BQ105">
        <v>1</v>
      </c>
      <c r="BR105">
        <v>5000</v>
      </c>
      <c r="BS105">
        <v>50</v>
      </c>
      <c r="BT105" s="74">
        <f ca="1">INDIRECT(ADDRESS(11+(MATCH(RIGHT(Table61011[[#This Row],[spawner_sku]],LEN(Table61011[[#This Row],[spawner_sku]])-FIND("/",Table61011[[#This Row],[spawner_sku]])),Table1[Entity Prefab],0)),10,1,1,"Entities"))</f>
        <v>75</v>
      </c>
      <c r="BU105" s="74">
        <f ca="1">ROUND((Table61011[[#This Row],[XP]]*Table61011[[#This Row],[entity_spawned (AVG)]])*(Table61011[[#This Row],[activating_chance]]/100),0)</f>
        <v>38</v>
      </c>
      <c r="BV105" s="71" t="str">
        <f ca="1">INDIRECT(ADDRESS(11+(MATCH(RIGHT(Table61011[[#This Row],[spawner_sku]],LEN(Table61011[[#This Row],[spawner_sku]])-FIND("/",Table61011[[#This Row],[spawner_sku]])),Table28[Entity Prefab],0)),24,1,1,"Entities"))</f>
        <v>no</v>
      </c>
      <c r="BW105" s="71">
        <v>1</v>
      </c>
      <c r="BX105" s="71">
        <v>1</v>
      </c>
      <c r="BY105" s="71" t="b">
        <v>0</v>
      </c>
      <c r="BZ105" s="71"/>
      <c r="CA105" s="147" t="s">
        <v>8142</v>
      </c>
      <c r="CB105">
        <v>1</v>
      </c>
      <c r="CC105">
        <v>200</v>
      </c>
      <c r="CD105">
        <v>80</v>
      </c>
      <c r="CE105" s="74">
        <f ca="1">INDIRECT(ADDRESS(11+(MATCH(RIGHT(Table35[[#This Row],[spawner_sku]],LEN(Table35[[#This Row],[spawner_sku]])-FIND("/",Table35[[#This Row],[spawner_sku]])),Table1[Entity Prefab],0)),10,1,1,"Entities"))</f>
        <v>75</v>
      </c>
      <c r="CF105" s="74">
        <f ca="1">ROUND((Table35[[#This Row],[XP]]*Table35[[#This Row],[entity_spawned (AVG)]])*(Table35[[#This Row],[activating_chance]]/100),0)</f>
        <v>60</v>
      </c>
      <c r="CG105" s="144" t="str">
        <f ca="1">INDIRECT(ADDRESS(11+(MATCH(RIGHT(Table35[[#This Row],[spawner_sku]],LEN(Table35[[#This Row],[spawner_sku]])-FIND("/",Table35[[#This Row],[spawner_sku]])),Table28[Entity Prefab],0)),24,1,1,"Entities"))</f>
        <v>no</v>
      </c>
      <c r="CH105">
        <v>1</v>
      </c>
      <c r="CI105">
        <v>1</v>
      </c>
      <c r="CJ105" s="71" t="b">
        <v>0</v>
      </c>
      <c r="CL105" t="s">
        <v>215</v>
      </c>
      <c r="CM105">
        <v>1</v>
      </c>
      <c r="CN105">
        <v>180</v>
      </c>
      <c r="CO105">
        <v>100</v>
      </c>
      <c r="CP105" s="74">
        <f ca="1">INDIRECT(ADDRESS(11+(MATCH(RIGHT(Table11[[#This Row],[spawner_sku]],LEN(Table11[[#This Row],[spawner_sku]])-FIND("/",Table11[[#This Row],[spawner_sku]])),Table1[Entity Prefab],0)),10,1,1,"Entities"))</f>
        <v>25</v>
      </c>
      <c r="CQ105">
        <f ca="1">ROUND((Table11[[#This Row],[XP]]*Table11[[#This Row],[entity_spawned (AVG)]])*(Table11[[#This Row],[activating_chance]]/100),0)</f>
        <v>25</v>
      </c>
      <c r="CR105" s="144" t="str">
        <f ca="1">INDIRECT(ADDRESS(11+(MATCH(RIGHT(Table11[[#This Row],[spawner_sku]],LEN(Table11[[#This Row],[spawner_sku]])-FIND("/",Table11[[#This Row],[spawner_sku]])),Table28[Entity Prefab],0)),25,1,1,"Entities"))</f>
        <v>no</v>
      </c>
      <c r="CS105" s="71">
        <v>1</v>
      </c>
      <c r="CT105" s="71">
        <v>1</v>
      </c>
      <c r="CU105" s="71" t="b">
        <v>0</v>
      </c>
      <c r="CW105" t="s">
        <v>502</v>
      </c>
      <c r="CX105">
        <v>1</v>
      </c>
      <c r="CY105">
        <v>130</v>
      </c>
      <c r="CZ105">
        <v>100</v>
      </c>
      <c r="DA105" s="74">
        <f ca="1">INDIRECT(ADDRESS(11+(MATCH(RIGHT(Table12[[#This Row],[spawner_sku]],LEN(Table12[[#This Row],[spawner_sku]])-FIND("/",Table12[[#This Row],[spawner_sku]])),Table1[Entity Prefab],0)),10,1,1,"Entities"))</f>
        <v>50</v>
      </c>
      <c r="DB105" s="74">
        <f ca="1">ROUND((Table12[[#This Row],[XP]]*Table12[[#This Row],[entity_spawned (AVG)]])*(Table12[[#This Row],[activating_chance]]/100),0)</f>
        <v>50</v>
      </c>
      <c r="DC105" s="144" t="str">
        <f ca="1">INDIRECT(ADDRESS(11+(MATCH(RIGHT(Table12[[#This Row],[spawner_sku]],LEN(Table12[[#This Row],[spawner_sku]])-FIND("/",Table12[[#This Row],[spawner_sku]])),Table28[Entity Prefab],0)),25,1,1,"Entities"))</f>
        <v>no</v>
      </c>
      <c r="DD105" s="71">
        <v>1</v>
      </c>
      <c r="DE105" s="71">
        <v>1</v>
      </c>
      <c r="DF105" s="71" t="b">
        <v>0</v>
      </c>
      <c r="DH105" t="s">
        <v>8112</v>
      </c>
      <c r="DI105">
        <v>1</v>
      </c>
      <c r="DJ105">
        <v>300</v>
      </c>
      <c r="DK105">
        <v>100</v>
      </c>
      <c r="DL105" s="74">
        <f ca="1">INDIRECT(ADDRESS(11+(MATCH(RIGHT(Table13[[#This Row],[spawner_sku]],LEN(Table13[[#This Row],[spawner_sku]])-FIND("/",Table13[[#This Row],[spawner_sku]])),Table1[Entity Prefab],0)),10,1,1,"Entities"))</f>
        <v>150</v>
      </c>
      <c r="DM105" s="74">
        <f ca="1">ROUND((Table13[[#This Row],[XP]]*Table13[[#This Row],[entity_spawned (AVG)]])*(Table13[[#This Row],[activating_chance]]/100),0)</f>
        <v>150</v>
      </c>
      <c r="DN105" s="144" t="str">
        <f ca="1">INDIRECT(ADDRESS(11+(MATCH(RIGHT(Table13[[#This Row],[spawner_sku]],LEN(Table13[[#This Row],[spawner_sku]])-FIND("/",Table13[[#This Row],[spawner_sku]])),Table28[Entity Prefab],0)),25,1,1,"Entities"))</f>
        <v>yes</v>
      </c>
      <c r="DO105" s="71">
        <v>1</v>
      </c>
      <c r="DP105" s="71">
        <v>1</v>
      </c>
      <c r="DQ105" s="71" t="b">
        <v>0</v>
      </c>
      <c r="DS105" t="s">
        <v>214</v>
      </c>
      <c r="DT105">
        <v>5.5</v>
      </c>
      <c r="DU105">
        <v>180</v>
      </c>
      <c r="DV105">
        <v>100</v>
      </c>
      <c r="DW105" s="74">
        <f ca="1">INDIRECT(ADDRESS(11+(MATCH(RIGHT(Table14[[#This Row],[spawner_sku]],LEN(Table14[[#This Row],[spawner_sku]])-FIND("/",Table14[[#This Row],[spawner_sku]])),Table1[Entity Prefab],0)),10,1,1,"Entities"))</f>
        <v>25</v>
      </c>
      <c r="DX105" s="74">
        <f ca="1">ROUND((Table14[[#This Row],[XP]]*Table14[[#This Row],[entity_spawned (AVG)]])*(Table14[[#This Row],[activating_chance]]/100),0)</f>
        <v>138</v>
      </c>
      <c r="DY105" s="144" t="str">
        <f ca="1">INDIRECT(ADDRESS(11+(MATCH(RIGHT(Table14[[#This Row],[spawner_sku]],LEN(Table14[[#This Row],[spawner_sku]])-FIND("/",Table14[[#This Row],[spawner_sku]])),Table28[Entity Prefab],0)),25,1,1,"Entities"))</f>
        <v>no</v>
      </c>
      <c r="DZ105" s="71">
        <v>5</v>
      </c>
      <c r="EA105" s="71">
        <v>6</v>
      </c>
      <c r="EB105" s="71" t="b">
        <v>1</v>
      </c>
      <c r="EC105" s="71"/>
      <c r="ED105" s="147" t="s">
        <v>3819</v>
      </c>
      <c r="EE105" s="71">
        <v>1</v>
      </c>
      <c r="EF105" s="71">
        <v>240</v>
      </c>
      <c r="EG105" s="71">
        <v>100</v>
      </c>
      <c r="EH105" s="71">
        <f ca="1">INDIRECT(ADDRESS(11+(MATCH(RIGHT(Table36[[#This Row],[spawner_sku]],LEN(Table36[[#This Row],[spawner_sku]])-FIND("/",Table36[[#This Row],[spawner_sku]])),Table1[Entity Prefab],0)),10,1,1,"Entities"))</f>
        <v>10</v>
      </c>
      <c r="EI105" s="71">
        <f ca="1">ROUND((Table36[[#This Row],[XP]]*Table36[[#This Row],[entity_spawned (AVG)]])*(Table36[[#This Row],[activating_chance]]/100),0)</f>
        <v>10</v>
      </c>
      <c r="EJ105" s="71" t="str">
        <f ca="1">INDIRECT(ADDRESS(11+(MATCH(RIGHT(Table36[[#This Row],[spawner_sku]],LEN(Table36[[#This Row],[spawner_sku]])-FIND("/",Table36[[#This Row],[spawner_sku]])),Table28[Entity Prefab],0)),25,1,1,"Entities"))</f>
        <v>no</v>
      </c>
      <c r="EK105" s="71">
        <v>1</v>
      </c>
      <c r="EL105" s="71">
        <v>1</v>
      </c>
      <c r="EM105" s="71" t="b">
        <v>0</v>
      </c>
      <c r="EO105" t="s">
        <v>376</v>
      </c>
      <c r="EP105">
        <v>3.5</v>
      </c>
      <c r="EQ105">
        <v>100</v>
      </c>
      <c r="ER105">
        <v>100</v>
      </c>
      <c r="ES105" s="74">
        <f ca="1">INDIRECT(ADDRESS(11+(MATCH(RIGHT(Table18[[#This Row],[spawner_sku]],LEN(Table18[[#This Row],[spawner_sku]])-FIND("/",Table18[[#This Row],[spawner_sku]])),Table1[Entity Prefab],0)),10,1,1,"Entities"))</f>
        <v>25</v>
      </c>
      <c r="ET105" s="74">
        <f ca="1">ROUND((Table18[[#This Row],[XP]]*Table18[[#This Row],[entity_spawned (AVG)]])*(Table18[[#This Row],[activating_chance]]/100),0)</f>
        <v>88</v>
      </c>
      <c r="EU105" s="74" t="str">
        <f ca="1">INDIRECT(ADDRESS(11+(MATCH(RIGHT(Table18[[#This Row],[spawner_sku]],LEN(Table18[[#This Row],[spawner_sku]])-FIND("/",Table18[[#This Row],[spawner_sku]])),Table28[Entity Prefab],0)),26,1,1,"Entities"))</f>
        <v>no</v>
      </c>
      <c r="EV105">
        <v>3</v>
      </c>
      <c r="EW105">
        <v>4</v>
      </c>
      <c r="EX105" t="b">
        <v>0</v>
      </c>
      <c r="EZ105" t="s">
        <v>220</v>
      </c>
      <c r="FA105">
        <v>3</v>
      </c>
      <c r="FB105">
        <v>300</v>
      </c>
      <c r="FC105">
        <v>100</v>
      </c>
      <c r="FD105" s="74">
        <f ca="1">INDIRECT(ADDRESS(11+(MATCH(RIGHT(Table1820[[#This Row],[spawner_sku]],LEN(Table1820[[#This Row],[spawner_sku]])-FIND("/",Table1820[[#This Row],[spawner_sku]])),Table1[Entity Prefab],0)),10,1,1,"Entities"))</f>
        <v>195</v>
      </c>
      <c r="FE105" s="74">
        <f ca="1">ROUND((Table1820[[#This Row],[XP]]*Table1820[[#This Row],[entity_spawned (AVG)]])*(Table1820[[#This Row],[activating_chance]]/100),0)</f>
        <v>585</v>
      </c>
      <c r="FF105" s="74" t="str">
        <f ca="1">INDIRECT(ADDRESS(11+(MATCH(RIGHT(Table1820[[#This Row],[spawner_sku]],LEN(Table1820[[#This Row],[spawner_sku]])-FIND("/",Table1820[[#This Row],[spawner_sku]])),Table28[Entity Prefab],0)),26,1,1,"Entities"))</f>
        <v>yes</v>
      </c>
      <c r="FG105">
        <v>3</v>
      </c>
      <c r="FH105">
        <v>3</v>
      </c>
      <c r="FI105" t="b">
        <v>0</v>
      </c>
      <c r="FK105" t="s">
        <v>2693</v>
      </c>
      <c r="FL105">
        <v>1.5</v>
      </c>
      <c r="FM105">
        <v>100</v>
      </c>
      <c r="FN105">
        <v>100</v>
      </c>
      <c r="FO105">
        <f ca="1">INDIRECT(ADDRESS(11+(MATCH(RIGHT(Table182023[[#This Row],[spawner_sku]],LEN(Table182023[[#This Row],[spawner_sku]])-FIND("/",Table182023[[#This Row],[spawner_sku]])),Table1[Entity Prefab],0)),10,1,1,"Entities"))</f>
        <v>130</v>
      </c>
      <c r="FP105">
        <f ca="1">ROUND((Table182023[[#This Row],[XP]]*Table182023[[#This Row],[entity_spawned (AVG)]])*(Table182023[[#This Row],[activating_chance]]/100),0)</f>
        <v>195</v>
      </c>
      <c r="FQ105" t="str">
        <f ca="1">INDIRECT(ADDRESS(11+(MATCH(RIGHT(Table182023[[#This Row],[spawner_sku]],LEN(Table182023[[#This Row],[spawner_sku]])-FIND("/",Table182023[[#This Row],[spawner_sku]])),Table28[Entity Prefab],0)),26,1,1,"Entities"))</f>
        <v>yes</v>
      </c>
      <c r="FR105">
        <v>1</v>
      </c>
      <c r="FS105">
        <v>2</v>
      </c>
      <c r="FT105" t="b">
        <v>0</v>
      </c>
      <c r="FV105" t="s">
        <v>2705</v>
      </c>
      <c r="FW105">
        <v>2.5</v>
      </c>
      <c r="FX105">
        <v>120</v>
      </c>
      <c r="FY105">
        <v>100</v>
      </c>
      <c r="FZ105" s="74">
        <f ca="1">INDIRECT(ADDRESS(11+(MATCH(RIGHT(Table18202324[[#This Row],[spawner_sku]],LEN(Table18202324[[#This Row],[spawner_sku]])-FIND("/",Table18202324[[#This Row],[spawner_sku]])),Table1[Entity Prefab],0)),10,1,1,"Entities"))</f>
        <v>130</v>
      </c>
      <c r="GA105" s="74">
        <f ca="1">ROUND((Table18202324[[#This Row],[XP]]*Table18202324[[#This Row],[entity_spawned (AVG)]])*(Table18202324[[#This Row],[activating_chance]]/100),0)</f>
        <v>325</v>
      </c>
      <c r="GB105" s="74" t="str">
        <f ca="1">INDIRECT(ADDRESS(11+(MATCH(RIGHT(Table18202324[[#This Row],[spawner_sku]],LEN(Table18202324[[#This Row],[spawner_sku]])-FIND("/",Table18202324[[#This Row],[spawner_sku]])),Table28[Entity Prefab],0)),26,1,1,"Entities"))</f>
        <v>yes</v>
      </c>
      <c r="GC105">
        <v>2</v>
      </c>
      <c r="GD105">
        <v>3</v>
      </c>
      <c r="GE105" t="b">
        <v>0</v>
      </c>
      <c r="GG105" t="s">
        <v>3816</v>
      </c>
      <c r="GH105">
        <v>1</v>
      </c>
      <c r="GI105">
        <v>240</v>
      </c>
      <c r="GJ105">
        <v>100</v>
      </c>
      <c r="GK105">
        <f ca="1">INDIRECT(ADDRESS(11+(MATCH(RIGHT(Table37[[#This Row],[spawner_sku]],LEN(Table37[[#This Row],[spawner_sku]])-FIND("/",Table37[[#This Row],[spawner_sku]])),Table1[Entity Prefab],0)),10,1,1,"Entities"))</f>
        <v>50</v>
      </c>
      <c r="GL105">
        <f ca="1">ROUND((Table37[[#This Row],[XP]]*Table37[[#This Row],[entity_spawned (AVG)]])*(Table37[[#This Row],[activating_chance]]/100),0)</f>
        <v>50</v>
      </c>
      <c r="GM105" t="str">
        <f ca="1">INDIRECT(ADDRESS(11+(MATCH(RIGHT(Table37[[#This Row],[spawner_sku]],LEN(Table37[[#This Row],[spawner_sku]])-FIND("/",Table37[[#This Row],[spawner_sku]])),Table28[Entity Prefab],0)),26,1,1,"Entities"))</f>
        <v>no</v>
      </c>
      <c r="GN105">
        <v>1</v>
      </c>
      <c r="GO105">
        <v>1</v>
      </c>
      <c r="GP105" t="b">
        <v>0</v>
      </c>
    </row>
    <row r="106" spans="2:198" x14ac:dyDescent="0.25">
      <c r="B106" s="72" t="s">
        <v>215</v>
      </c>
      <c r="C106">
        <v>3.5</v>
      </c>
      <c r="D106">
        <v>160</v>
      </c>
      <c r="E106">
        <v>70</v>
      </c>
      <c r="F106" s="74">
        <f ca="1">INDIRECT(ADDRESS(11+(MATCH(RIGHT(Table245[[#This Row],[spawner_sku]],LEN(Table245[[#This Row],[spawner_sku]])-FIND("/",Table245[[#This Row],[spawner_sku]])),Table1[Entity Prefab],0)),10,1,1,"Entities"))</f>
        <v>25</v>
      </c>
      <c r="G106" s="74">
        <f ca="1">ROUND((Table245[[#This Row],[XP]]*Table245[[#This Row],[entity_spawned (AVG)]])*(Table245[[#This Row],[activating_chance]]/100),0)</f>
        <v>61</v>
      </c>
      <c r="H106" s="71" t="str">
        <f ca="1">INDIRECT(ADDRESS(11+(MATCH(RIGHT(Table245[[#This Row],[spawner_sku]],LEN(Table245[[#This Row],[spawner_sku]])-FIND("/",Table245[[#This Row],[spawner_sku]])),Table28[Entity Prefab],0)),24,1,1,"Entities"))</f>
        <v>no</v>
      </c>
      <c r="I106" s="71">
        <v>3</v>
      </c>
      <c r="J106" s="71">
        <v>4</v>
      </c>
      <c r="K106" s="71" t="b">
        <v>0</v>
      </c>
      <c r="M106" t="s">
        <v>242</v>
      </c>
      <c r="N106">
        <v>1</v>
      </c>
      <c r="O106">
        <v>180</v>
      </c>
      <c r="P106">
        <v>100</v>
      </c>
      <c r="Q106" s="74">
        <f ca="1">INDIRECT(ADDRESS(11+(MATCH(RIGHT(Table3[[#This Row],[spawner_sku]],LEN(Table3[[#This Row],[spawner_sku]])-FIND("/",Table3[[#This Row],[spawner_sku]])),Table1[Entity Prefab],0)),10,1,1,"Entities"))</f>
        <v>25</v>
      </c>
      <c r="R106" s="74">
        <f ca="1">ROUND((Table3[[#This Row],[XP]]*Table3[[#This Row],[entity_spawned (AVG)]])*(Table3[[#This Row],[activating_chance]]/100),0)</f>
        <v>25</v>
      </c>
      <c r="S106" t="str">
        <f ca="1">INDIRECT(ADDRESS(11+(MATCH(RIGHT(Table3[[#This Row],[spawner_sku]],LEN(Table3[[#This Row],[spawner_sku]])-FIND("/",Table3[[#This Row],[spawner_sku]])),Table28[Entity Prefab],0)),24,1,1,"Entities"))</f>
        <v>no</v>
      </c>
      <c r="T106">
        <v>1</v>
      </c>
      <c r="U106">
        <v>1</v>
      </c>
      <c r="V106" t="b">
        <v>0</v>
      </c>
      <c r="W106" s="71"/>
      <c r="AI106" t="s">
        <v>215</v>
      </c>
      <c r="AJ106">
        <v>2</v>
      </c>
      <c r="AK106">
        <v>100</v>
      </c>
      <c r="AL106">
        <v>100</v>
      </c>
      <c r="AM106" s="74">
        <f ca="1">INDIRECT(ADDRESS(11+(MATCH(RIGHT(Table2[[#This Row],[spawner_sku]],LEN(Table2[[#This Row],[spawner_sku]])-FIND("/",Table2[[#This Row],[spawner_sku]])),Table1[Entity Prefab],0)),10,1,1,"Entities"))</f>
        <v>25</v>
      </c>
      <c r="AN106" s="74">
        <f ca="1">ROUND((Table2[[#This Row],[XP]]*Table2[[#This Row],[entity_spawned (AVG)]])*(Table2[[#This Row],[activating_chance]]/100),0)</f>
        <v>50</v>
      </c>
      <c r="AO106" s="71" t="str">
        <f ca="1">INDIRECT(ADDRESS(11+(MATCH(RIGHT(Table2[[#This Row],[spawner_sku]],LEN(Table2[[#This Row],[spawner_sku]])-FIND("/",Table2[[#This Row],[spawner_sku]])),Table28[Entity Prefab],0)),24,1,1,"Entities"))</f>
        <v>no</v>
      </c>
      <c r="AP106" s="71">
        <v>2</v>
      </c>
      <c r="AQ106" s="71">
        <v>2</v>
      </c>
      <c r="AR106" s="71" t="b">
        <v>0</v>
      </c>
      <c r="AT106" t="s">
        <v>234</v>
      </c>
      <c r="AU106">
        <v>1</v>
      </c>
      <c r="AV106">
        <v>420</v>
      </c>
      <c r="AW106">
        <v>100</v>
      </c>
      <c r="AX106" s="74">
        <f ca="1">INDIRECT(ADDRESS(11+(MATCH(RIGHT(Table6[[#This Row],[spawner_sku]],LEN(Table6[[#This Row],[spawner_sku]])-FIND("/",Table6[[#This Row],[spawner_sku]])),Table1[Entity Prefab],0)),10,1,1,"Entities"))</f>
        <v>83</v>
      </c>
      <c r="AY106" s="74">
        <f ca="1">ROUND((Table6[[#This Row],[XP]]*Table6[[#This Row],[entity_spawned (AVG)]])*(Table6[[#This Row],[activating_chance]]/100),0)</f>
        <v>83</v>
      </c>
      <c r="AZ106" s="144" t="str">
        <f ca="1">INDIRECT(ADDRESS(11+(MATCH(RIGHT(Table6[[#This Row],[spawner_sku]],LEN(Table6[[#This Row],[spawner_sku]])-FIND("/",Table6[[#This Row],[spawner_sku]])),Table28[Entity Prefab],0)),24,1,1,"Entities"))</f>
        <v>yes</v>
      </c>
      <c r="BA106">
        <v>1</v>
      </c>
      <c r="BB106">
        <v>1</v>
      </c>
      <c r="BC106" t="b">
        <v>0</v>
      </c>
      <c r="BE106" t="s">
        <v>228</v>
      </c>
      <c r="BF106">
        <v>1</v>
      </c>
      <c r="BG106">
        <v>1500</v>
      </c>
      <c r="BH106">
        <v>100</v>
      </c>
      <c r="BI106" s="74">
        <f ca="1">INDIRECT(ADDRESS(11+(MATCH(RIGHT(Table610[[#This Row],[spawner_sku]],LEN(Table610[[#This Row],[spawner_sku]])-FIND("/",Table610[[#This Row],[spawner_sku]])),Table1[Entity Prefab],0)),10,1,1,"Entities"))</f>
        <v>130</v>
      </c>
      <c r="BJ106" s="74">
        <f ca="1">ROUND((Table610[[#This Row],[XP]]*Table610[[#This Row],[entity_spawned (AVG)]])*(Table610[[#This Row],[activating_chance]]/100),0)</f>
        <v>130</v>
      </c>
      <c r="BK106" s="71" t="str">
        <f ca="1">INDIRECT(ADDRESS(11+(MATCH(RIGHT(Table610[[#This Row],[spawner_sku]],LEN(Table610[[#This Row],[spawner_sku]])-FIND("/",Table610[[#This Row],[spawner_sku]])),Table28[Entity Prefab],0)),24,1,1,"Entities"))</f>
        <v>yes</v>
      </c>
      <c r="BL106">
        <v>1</v>
      </c>
      <c r="BM106">
        <v>1</v>
      </c>
      <c r="BN106" t="b">
        <v>0</v>
      </c>
      <c r="BP106" t="s">
        <v>218</v>
      </c>
      <c r="BQ106">
        <v>1</v>
      </c>
      <c r="BR106">
        <v>5000</v>
      </c>
      <c r="BS106">
        <v>50</v>
      </c>
      <c r="BT106" s="74">
        <f ca="1">INDIRECT(ADDRESS(11+(MATCH(RIGHT(Table61011[[#This Row],[spawner_sku]],LEN(Table61011[[#This Row],[spawner_sku]])-FIND("/",Table61011[[#This Row],[spawner_sku]])),Table1[Entity Prefab],0)),10,1,1,"Entities"))</f>
        <v>75</v>
      </c>
      <c r="BU106" s="74">
        <f ca="1">ROUND((Table61011[[#This Row],[XP]]*Table61011[[#This Row],[entity_spawned (AVG)]])*(Table61011[[#This Row],[activating_chance]]/100),0)</f>
        <v>38</v>
      </c>
      <c r="BV106" s="71" t="str">
        <f ca="1">INDIRECT(ADDRESS(11+(MATCH(RIGHT(Table61011[[#This Row],[spawner_sku]],LEN(Table61011[[#This Row],[spawner_sku]])-FIND("/",Table61011[[#This Row],[spawner_sku]])),Table28[Entity Prefab],0)),24,1,1,"Entities"))</f>
        <v>no</v>
      </c>
      <c r="BW106" s="71">
        <v>1</v>
      </c>
      <c r="BX106" s="71">
        <v>1</v>
      </c>
      <c r="BY106" s="71" t="b">
        <v>0</v>
      </c>
      <c r="BZ106" s="71"/>
      <c r="CA106" s="147" t="s">
        <v>8142</v>
      </c>
      <c r="CB106">
        <v>1</v>
      </c>
      <c r="CC106">
        <v>200</v>
      </c>
      <c r="CD106">
        <v>80</v>
      </c>
      <c r="CE106" s="74">
        <f ca="1">INDIRECT(ADDRESS(11+(MATCH(RIGHT(Table35[[#This Row],[spawner_sku]],LEN(Table35[[#This Row],[spawner_sku]])-FIND("/",Table35[[#This Row],[spawner_sku]])),Table1[Entity Prefab],0)),10,1,1,"Entities"))</f>
        <v>75</v>
      </c>
      <c r="CF106" s="74">
        <f ca="1">ROUND((Table35[[#This Row],[XP]]*Table35[[#This Row],[entity_spawned (AVG)]])*(Table35[[#This Row],[activating_chance]]/100),0)</f>
        <v>60</v>
      </c>
      <c r="CG106" s="144" t="str">
        <f ca="1">INDIRECT(ADDRESS(11+(MATCH(RIGHT(Table35[[#This Row],[spawner_sku]],LEN(Table35[[#This Row],[spawner_sku]])-FIND("/",Table35[[#This Row],[spawner_sku]])),Table28[Entity Prefab],0)),24,1,1,"Entities"))</f>
        <v>no</v>
      </c>
      <c r="CH106">
        <v>1</v>
      </c>
      <c r="CI106">
        <v>1</v>
      </c>
      <c r="CJ106" s="71" t="b">
        <v>0</v>
      </c>
      <c r="CL106" t="s">
        <v>215</v>
      </c>
      <c r="CM106">
        <v>9</v>
      </c>
      <c r="CN106">
        <v>180</v>
      </c>
      <c r="CO106">
        <v>100</v>
      </c>
      <c r="CP106" s="74">
        <f ca="1">INDIRECT(ADDRESS(11+(MATCH(RIGHT(Table11[[#This Row],[spawner_sku]],LEN(Table11[[#This Row],[spawner_sku]])-FIND("/",Table11[[#This Row],[spawner_sku]])),Table1[Entity Prefab],0)),10,1,1,"Entities"))</f>
        <v>25</v>
      </c>
      <c r="CQ106">
        <f ca="1">ROUND((Table11[[#This Row],[XP]]*Table11[[#This Row],[entity_spawned (AVG)]])*(Table11[[#This Row],[activating_chance]]/100),0)</f>
        <v>225</v>
      </c>
      <c r="CR106" s="144" t="str">
        <f ca="1">INDIRECT(ADDRESS(11+(MATCH(RIGHT(Table11[[#This Row],[spawner_sku]],LEN(Table11[[#This Row],[spawner_sku]])-FIND("/",Table11[[#This Row],[spawner_sku]])),Table28[Entity Prefab],0)),25,1,1,"Entities"))</f>
        <v>no</v>
      </c>
      <c r="CS106" s="71">
        <v>8</v>
      </c>
      <c r="CT106" s="71">
        <v>10</v>
      </c>
      <c r="CU106" s="71" t="b">
        <v>1</v>
      </c>
      <c r="CW106" t="s">
        <v>502</v>
      </c>
      <c r="CX106">
        <v>1</v>
      </c>
      <c r="CY106">
        <v>130</v>
      </c>
      <c r="CZ106">
        <v>100</v>
      </c>
      <c r="DA106" s="74">
        <f ca="1">INDIRECT(ADDRESS(11+(MATCH(RIGHT(Table12[[#This Row],[spawner_sku]],LEN(Table12[[#This Row],[spawner_sku]])-FIND("/",Table12[[#This Row],[spawner_sku]])),Table1[Entity Prefab],0)),10,1,1,"Entities"))</f>
        <v>50</v>
      </c>
      <c r="DB106" s="74">
        <f ca="1">ROUND((Table12[[#This Row],[XP]]*Table12[[#This Row],[entity_spawned (AVG)]])*(Table12[[#This Row],[activating_chance]]/100),0)</f>
        <v>50</v>
      </c>
      <c r="DC106" s="144" t="str">
        <f ca="1">INDIRECT(ADDRESS(11+(MATCH(RIGHT(Table12[[#This Row],[spawner_sku]],LEN(Table12[[#This Row],[spawner_sku]])-FIND("/",Table12[[#This Row],[spawner_sku]])),Table28[Entity Prefab],0)),25,1,1,"Entities"))</f>
        <v>no</v>
      </c>
      <c r="DD106" s="71">
        <v>1</v>
      </c>
      <c r="DE106" s="71">
        <v>1</v>
      </c>
      <c r="DF106" s="71" t="b">
        <v>0</v>
      </c>
      <c r="DH106" t="s">
        <v>8112</v>
      </c>
      <c r="DI106">
        <v>1</v>
      </c>
      <c r="DJ106">
        <v>300</v>
      </c>
      <c r="DK106">
        <v>100</v>
      </c>
      <c r="DL106" s="74">
        <f ca="1">INDIRECT(ADDRESS(11+(MATCH(RIGHT(Table13[[#This Row],[spawner_sku]],LEN(Table13[[#This Row],[spawner_sku]])-FIND("/",Table13[[#This Row],[spawner_sku]])),Table1[Entity Prefab],0)),10,1,1,"Entities"))</f>
        <v>150</v>
      </c>
      <c r="DM106" s="74">
        <f ca="1">ROUND((Table13[[#This Row],[XP]]*Table13[[#This Row],[entity_spawned (AVG)]])*(Table13[[#This Row],[activating_chance]]/100),0)</f>
        <v>150</v>
      </c>
      <c r="DN106" s="144" t="str">
        <f ca="1">INDIRECT(ADDRESS(11+(MATCH(RIGHT(Table13[[#This Row],[spawner_sku]],LEN(Table13[[#This Row],[spawner_sku]])-FIND("/",Table13[[#This Row],[spawner_sku]])),Table28[Entity Prefab],0)),25,1,1,"Entities"))</f>
        <v>yes</v>
      </c>
      <c r="DO106" s="71">
        <v>1</v>
      </c>
      <c r="DP106" s="71">
        <v>1</v>
      </c>
      <c r="DQ106" s="71" t="b">
        <v>0</v>
      </c>
      <c r="DS106" t="s">
        <v>214</v>
      </c>
      <c r="DT106">
        <v>3.5</v>
      </c>
      <c r="DU106">
        <v>220</v>
      </c>
      <c r="DV106">
        <v>100</v>
      </c>
      <c r="DW106" s="74">
        <f ca="1">INDIRECT(ADDRESS(11+(MATCH(RIGHT(Table14[[#This Row],[spawner_sku]],LEN(Table14[[#This Row],[spawner_sku]])-FIND("/",Table14[[#This Row],[spawner_sku]])),Table1[Entity Prefab],0)),10,1,1,"Entities"))</f>
        <v>25</v>
      </c>
      <c r="DX106" s="74">
        <f ca="1">ROUND((Table14[[#This Row],[XP]]*Table14[[#This Row],[entity_spawned (AVG)]])*(Table14[[#This Row],[activating_chance]]/100),0)</f>
        <v>88</v>
      </c>
      <c r="DY106" s="144" t="str">
        <f ca="1">INDIRECT(ADDRESS(11+(MATCH(RIGHT(Table14[[#This Row],[spawner_sku]],LEN(Table14[[#This Row],[spawner_sku]])-FIND("/",Table14[[#This Row],[spawner_sku]])),Table28[Entity Prefab],0)),25,1,1,"Entities"))</f>
        <v>no</v>
      </c>
      <c r="DZ106" s="71">
        <v>3</v>
      </c>
      <c r="EA106" s="71">
        <v>4</v>
      </c>
      <c r="EB106" s="71" t="b">
        <v>0</v>
      </c>
      <c r="EC106" s="71"/>
      <c r="ED106" s="147" t="s">
        <v>3819</v>
      </c>
      <c r="EE106" s="71">
        <v>1</v>
      </c>
      <c r="EF106" s="71">
        <v>240</v>
      </c>
      <c r="EG106" s="71">
        <v>100</v>
      </c>
      <c r="EH106" s="71">
        <f ca="1">INDIRECT(ADDRESS(11+(MATCH(RIGHT(Table36[[#This Row],[spawner_sku]],LEN(Table36[[#This Row],[spawner_sku]])-FIND("/",Table36[[#This Row],[spawner_sku]])),Table1[Entity Prefab],0)),10,1,1,"Entities"))</f>
        <v>10</v>
      </c>
      <c r="EI106" s="71">
        <f ca="1">ROUND((Table36[[#This Row],[XP]]*Table36[[#This Row],[entity_spawned (AVG)]])*(Table36[[#This Row],[activating_chance]]/100),0)</f>
        <v>10</v>
      </c>
      <c r="EJ106" s="71" t="str">
        <f ca="1">INDIRECT(ADDRESS(11+(MATCH(RIGHT(Table36[[#This Row],[spawner_sku]],LEN(Table36[[#This Row],[spawner_sku]])-FIND("/",Table36[[#This Row],[spawner_sku]])),Table28[Entity Prefab],0)),25,1,1,"Entities"))</f>
        <v>no</v>
      </c>
      <c r="EK106" s="71">
        <v>1</v>
      </c>
      <c r="EL106" s="71">
        <v>1</v>
      </c>
      <c r="EM106" s="71" t="b">
        <v>0</v>
      </c>
      <c r="EO106" t="s">
        <v>376</v>
      </c>
      <c r="EP106">
        <v>2.5</v>
      </c>
      <c r="EQ106">
        <v>160</v>
      </c>
      <c r="ER106">
        <v>80</v>
      </c>
      <c r="ES106" s="74">
        <f ca="1">INDIRECT(ADDRESS(11+(MATCH(RIGHT(Table18[[#This Row],[spawner_sku]],LEN(Table18[[#This Row],[spawner_sku]])-FIND("/",Table18[[#This Row],[spawner_sku]])),Table1[Entity Prefab],0)),10,1,1,"Entities"))</f>
        <v>25</v>
      </c>
      <c r="ET106" s="74">
        <f ca="1">ROUND((Table18[[#This Row],[XP]]*Table18[[#This Row],[entity_spawned (AVG)]])*(Table18[[#This Row],[activating_chance]]/100),0)</f>
        <v>50</v>
      </c>
      <c r="EU106" s="74" t="str">
        <f ca="1">INDIRECT(ADDRESS(11+(MATCH(RIGHT(Table18[[#This Row],[spawner_sku]],LEN(Table18[[#This Row],[spawner_sku]])-FIND("/",Table18[[#This Row],[spawner_sku]])),Table28[Entity Prefab],0)),26,1,1,"Entities"))</f>
        <v>no</v>
      </c>
      <c r="EV106">
        <v>2</v>
      </c>
      <c r="EW106">
        <v>3</v>
      </c>
      <c r="EX106" t="b">
        <v>0</v>
      </c>
      <c r="EZ106" t="s">
        <v>220</v>
      </c>
      <c r="FA106">
        <v>1</v>
      </c>
      <c r="FB106">
        <v>300</v>
      </c>
      <c r="FC106">
        <v>100</v>
      </c>
      <c r="FD106" s="74">
        <f ca="1">INDIRECT(ADDRESS(11+(MATCH(RIGHT(Table1820[[#This Row],[spawner_sku]],LEN(Table1820[[#This Row],[spawner_sku]])-FIND("/",Table1820[[#This Row],[spawner_sku]])),Table1[Entity Prefab],0)),10,1,1,"Entities"))</f>
        <v>195</v>
      </c>
      <c r="FE106" s="74">
        <f ca="1">ROUND((Table1820[[#This Row],[XP]]*Table1820[[#This Row],[entity_spawned (AVG)]])*(Table1820[[#This Row],[activating_chance]]/100),0)</f>
        <v>195</v>
      </c>
      <c r="FF106" s="74" t="str">
        <f ca="1">INDIRECT(ADDRESS(11+(MATCH(RIGHT(Table1820[[#This Row],[spawner_sku]],LEN(Table1820[[#This Row],[spawner_sku]])-FIND("/",Table1820[[#This Row],[spawner_sku]])),Table28[Entity Prefab],0)),26,1,1,"Entities"))</f>
        <v>yes</v>
      </c>
      <c r="FG106">
        <v>1</v>
      </c>
      <c r="FH106">
        <v>1</v>
      </c>
      <c r="FI106" t="b">
        <v>0</v>
      </c>
      <c r="FK106" t="s">
        <v>2693</v>
      </c>
      <c r="FL106">
        <v>3</v>
      </c>
      <c r="FM106">
        <v>100</v>
      </c>
      <c r="FN106">
        <v>80</v>
      </c>
      <c r="FO106">
        <f ca="1">INDIRECT(ADDRESS(11+(MATCH(RIGHT(Table182023[[#This Row],[spawner_sku]],LEN(Table182023[[#This Row],[spawner_sku]])-FIND("/",Table182023[[#This Row],[spawner_sku]])),Table1[Entity Prefab],0)),10,1,1,"Entities"))</f>
        <v>130</v>
      </c>
      <c r="FP106">
        <f ca="1">ROUND((Table182023[[#This Row],[XP]]*Table182023[[#This Row],[entity_spawned (AVG)]])*(Table182023[[#This Row],[activating_chance]]/100),0)</f>
        <v>312</v>
      </c>
      <c r="FQ106" t="str">
        <f ca="1">INDIRECT(ADDRESS(11+(MATCH(RIGHT(Table182023[[#This Row],[spawner_sku]],LEN(Table182023[[#This Row],[spawner_sku]])-FIND("/",Table182023[[#This Row],[spawner_sku]])),Table28[Entity Prefab],0)),26,1,1,"Entities"))</f>
        <v>yes</v>
      </c>
      <c r="FR106">
        <v>2</v>
      </c>
      <c r="FS106">
        <v>4</v>
      </c>
      <c r="FT106" t="b">
        <v>0</v>
      </c>
      <c r="FV106" t="s">
        <v>2705</v>
      </c>
      <c r="FW106">
        <v>1.5</v>
      </c>
      <c r="FX106">
        <v>120</v>
      </c>
      <c r="FY106">
        <v>100</v>
      </c>
      <c r="FZ106" s="74">
        <f ca="1">INDIRECT(ADDRESS(11+(MATCH(RIGHT(Table18202324[[#This Row],[spawner_sku]],LEN(Table18202324[[#This Row],[spawner_sku]])-FIND("/",Table18202324[[#This Row],[spawner_sku]])),Table1[Entity Prefab],0)),10,1,1,"Entities"))</f>
        <v>130</v>
      </c>
      <c r="GA106" s="74">
        <f ca="1">ROUND((Table18202324[[#This Row],[XP]]*Table18202324[[#This Row],[entity_spawned (AVG)]])*(Table18202324[[#This Row],[activating_chance]]/100),0)</f>
        <v>195</v>
      </c>
      <c r="GB106" s="74" t="str">
        <f ca="1">INDIRECT(ADDRESS(11+(MATCH(RIGHT(Table18202324[[#This Row],[spawner_sku]],LEN(Table18202324[[#This Row],[spawner_sku]])-FIND("/",Table18202324[[#This Row],[spawner_sku]])),Table28[Entity Prefab],0)),26,1,1,"Entities"))</f>
        <v>yes</v>
      </c>
      <c r="GC106">
        <v>1</v>
      </c>
      <c r="GD106">
        <v>2</v>
      </c>
      <c r="GE106" t="b">
        <v>0</v>
      </c>
      <c r="GG106" t="s">
        <v>3816</v>
      </c>
      <c r="GH106">
        <v>1</v>
      </c>
      <c r="GI106">
        <v>240</v>
      </c>
      <c r="GJ106">
        <v>100</v>
      </c>
      <c r="GK106">
        <f ca="1">INDIRECT(ADDRESS(11+(MATCH(RIGHT(Table37[[#This Row],[spawner_sku]],LEN(Table37[[#This Row],[spawner_sku]])-FIND("/",Table37[[#This Row],[spawner_sku]])),Table1[Entity Prefab],0)),10,1,1,"Entities"))</f>
        <v>50</v>
      </c>
      <c r="GL106">
        <f ca="1">ROUND((Table37[[#This Row],[XP]]*Table37[[#This Row],[entity_spawned (AVG)]])*(Table37[[#This Row],[activating_chance]]/100),0)</f>
        <v>50</v>
      </c>
      <c r="GM106" t="str">
        <f ca="1">INDIRECT(ADDRESS(11+(MATCH(RIGHT(Table37[[#This Row],[spawner_sku]],LEN(Table37[[#This Row],[spawner_sku]])-FIND("/",Table37[[#This Row],[spawner_sku]])),Table28[Entity Prefab],0)),26,1,1,"Entities"))</f>
        <v>no</v>
      </c>
      <c r="GN106">
        <v>1</v>
      </c>
      <c r="GO106">
        <v>1</v>
      </c>
      <c r="GP106" t="b">
        <v>0</v>
      </c>
    </row>
    <row r="107" spans="2:198" x14ac:dyDescent="0.25">
      <c r="B107" s="72" t="s">
        <v>215</v>
      </c>
      <c r="C107">
        <v>3.5</v>
      </c>
      <c r="D107">
        <v>140</v>
      </c>
      <c r="E107">
        <v>85</v>
      </c>
      <c r="F107" s="74">
        <f ca="1">INDIRECT(ADDRESS(11+(MATCH(RIGHT(Table245[[#This Row],[spawner_sku]],LEN(Table245[[#This Row],[spawner_sku]])-FIND("/",Table245[[#This Row],[spawner_sku]])),Table1[Entity Prefab],0)),10,1,1,"Entities"))</f>
        <v>25</v>
      </c>
      <c r="G107" s="74">
        <f ca="1">ROUND((Table245[[#This Row],[XP]]*Table245[[#This Row],[entity_spawned (AVG)]])*(Table245[[#This Row],[activating_chance]]/100),0)</f>
        <v>74</v>
      </c>
      <c r="H107" s="71" t="str">
        <f ca="1">INDIRECT(ADDRESS(11+(MATCH(RIGHT(Table245[[#This Row],[spawner_sku]],LEN(Table245[[#This Row],[spawner_sku]])-FIND("/",Table245[[#This Row],[spawner_sku]])),Table28[Entity Prefab],0)),24,1,1,"Entities"))</f>
        <v>no</v>
      </c>
      <c r="I107" s="71">
        <v>3</v>
      </c>
      <c r="J107" s="71">
        <v>4</v>
      </c>
      <c r="K107" s="71" t="b">
        <v>0</v>
      </c>
      <c r="M107" t="s">
        <v>242</v>
      </c>
      <c r="N107">
        <v>1</v>
      </c>
      <c r="O107">
        <v>200</v>
      </c>
      <c r="P107">
        <v>100</v>
      </c>
      <c r="Q107" s="74">
        <f ca="1">INDIRECT(ADDRESS(11+(MATCH(RIGHT(Table3[[#This Row],[spawner_sku]],LEN(Table3[[#This Row],[spawner_sku]])-FIND("/",Table3[[#This Row],[spawner_sku]])),Table1[Entity Prefab],0)),10,1,1,"Entities"))</f>
        <v>25</v>
      </c>
      <c r="R107" s="74">
        <f ca="1">ROUND((Table3[[#This Row],[XP]]*Table3[[#This Row],[entity_spawned (AVG)]])*(Table3[[#This Row],[activating_chance]]/100),0)</f>
        <v>25</v>
      </c>
      <c r="S107" t="str">
        <f ca="1">INDIRECT(ADDRESS(11+(MATCH(RIGHT(Table3[[#This Row],[spawner_sku]],LEN(Table3[[#This Row],[spawner_sku]])-FIND("/",Table3[[#This Row],[spawner_sku]])),Table28[Entity Prefab],0)),24,1,1,"Entities"))</f>
        <v>no</v>
      </c>
      <c r="T107">
        <v>1</v>
      </c>
      <c r="U107">
        <v>1</v>
      </c>
      <c r="V107" t="b">
        <v>0</v>
      </c>
      <c r="W107" s="71"/>
      <c r="AI107" t="s">
        <v>215</v>
      </c>
      <c r="AJ107">
        <v>5.5</v>
      </c>
      <c r="AK107">
        <v>120</v>
      </c>
      <c r="AL107">
        <v>80</v>
      </c>
      <c r="AM107" s="74">
        <f ca="1">INDIRECT(ADDRESS(11+(MATCH(RIGHT(Table2[[#This Row],[spawner_sku]],LEN(Table2[[#This Row],[spawner_sku]])-FIND("/",Table2[[#This Row],[spawner_sku]])),Table1[Entity Prefab],0)),10,1,1,"Entities"))</f>
        <v>25</v>
      </c>
      <c r="AN107" s="74">
        <f ca="1">ROUND((Table2[[#This Row],[XP]]*Table2[[#This Row],[entity_spawned (AVG)]])*(Table2[[#This Row],[activating_chance]]/100),0)</f>
        <v>110</v>
      </c>
      <c r="AO107" s="71" t="str">
        <f ca="1">INDIRECT(ADDRESS(11+(MATCH(RIGHT(Table2[[#This Row],[spawner_sku]],LEN(Table2[[#This Row],[spawner_sku]])-FIND("/",Table2[[#This Row],[spawner_sku]])),Table28[Entity Prefab],0)),24,1,1,"Entities"))</f>
        <v>no</v>
      </c>
      <c r="AP107" s="71">
        <v>5</v>
      </c>
      <c r="AQ107" s="71">
        <v>6</v>
      </c>
      <c r="AR107" s="71" t="b">
        <v>1</v>
      </c>
      <c r="AT107" t="s">
        <v>234</v>
      </c>
      <c r="AU107">
        <v>1</v>
      </c>
      <c r="AV107">
        <v>420</v>
      </c>
      <c r="AW107">
        <v>100</v>
      </c>
      <c r="AX107" s="74">
        <f ca="1">INDIRECT(ADDRESS(11+(MATCH(RIGHT(Table6[[#This Row],[spawner_sku]],LEN(Table6[[#This Row],[spawner_sku]])-FIND("/",Table6[[#This Row],[spawner_sku]])),Table1[Entity Prefab],0)),10,1,1,"Entities"))</f>
        <v>83</v>
      </c>
      <c r="AY107" s="74">
        <f ca="1">ROUND((Table6[[#This Row],[XP]]*Table6[[#This Row],[entity_spawned (AVG)]])*(Table6[[#This Row],[activating_chance]]/100),0)</f>
        <v>83</v>
      </c>
      <c r="AZ107" s="144" t="str">
        <f ca="1">INDIRECT(ADDRESS(11+(MATCH(RIGHT(Table6[[#This Row],[spawner_sku]],LEN(Table6[[#This Row],[spawner_sku]])-FIND("/",Table6[[#This Row],[spawner_sku]])),Table28[Entity Prefab],0)),24,1,1,"Entities"))</f>
        <v>yes</v>
      </c>
      <c r="BA107">
        <v>1</v>
      </c>
      <c r="BB107">
        <v>1</v>
      </c>
      <c r="BC107" t="b">
        <v>0</v>
      </c>
      <c r="BE107" t="s">
        <v>228</v>
      </c>
      <c r="BF107">
        <v>1</v>
      </c>
      <c r="BG107">
        <v>1500</v>
      </c>
      <c r="BH107">
        <v>100</v>
      </c>
      <c r="BI107" s="74">
        <f ca="1">INDIRECT(ADDRESS(11+(MATCH(RIGHT(Table610[[#This Row],[spawner_sku]],LEN(Table610[[#This Row],[spawner_sku]])-FIND("/",Table610[[#This Row],[spawner_sku]])),Table1[Entity Prefab],0)),10,1,1,"Entities"))</f>
        <v>130</v>
      </c>
      <c r="BJ107" s="74">
        <f ca="1">ROUND((Table610[[#This Row],[XP]]*Table610[[#This Row],[entity_spawned (AVG)]])*(Table610[[#This Row],[activating_chance]]/100),0)</f>
        <v>130</v>
      </c>
      <c r="BK107" s="71" t="str">
        <f ca="1">INDIRECT(ADDRESS(11+(MATCH(RIGHT(Table610[[#This Row],[spawner_sku]],LEN(Table610[[#This Row],[spawner_sku]])-FIND("/",Table610[[#This Row],[spawner_sku]])),Table28[Entity Prefab],0)),24,1,1,"Entities"))</f>
        <v>yes</v>
      </c>
      <c r="BL107">
        <v>1</v>
      </c>
      <c r="BM107">
        <v>1</v>
      </c>
      <c r="BN107" t="b">
        <v>0</v>
      </c>
      <c r="BP107" t="s">
        <v>218</v>
      </c>
      <c r="BQ107">
        <v>1</v>
      </c>
      <c r="BR107">
        <v>5000</v>
      </c>
      <c r="BS107">
        <v>50</v>
      </c>
      <c r="BT107" s="74">
        <f ca="1">INDIRECT(ADDRESS(11+(MATCH(RIGHT(Table61011[[#This Row],[spawner_sku]],LEN(Table61011[[#This Row],[spawner_sku]])-FIND("/",Table61011[[#This Row],[spawner_sku]])),Table1[Entity Prefab],0)),10,1,1,"Entities"))</f>
        <v>75</v>
      </c>
      <c r="BU107" s="74">
        <f ca="1">ROUND((Table61011[[#This Row],[XP]]*Table61011[[#This Row],[entity_spawned (AVG)]])*(Table61011[[#This Row],[activating_chance]]/100),0)</f>
        <v>38</v>
      </c>
      <c r="BV107" s="71" t="str">
        <f ca="1">INDIRECT(ADDRESS(11+(MATCH(RIGHT(Table61011[[#This Row],[spawner_sku]],LEN(Table61011[[#This Row],[spawner_sku]])-FIND("/",Table61011[[#This Row],[spawner_sku]])),Table28[Entity Prefab],0)),24,1,1,"Entities"))</f>
        <v>no</v>
      </c>
      <c r="BW107" s="71">
        <v>1</v>
      </c>
      <c r="BX107" s="71">
        <v>1</v>
      </c>
      <c r="BY107" s="71" t="b">
        <v>0</v>
      </c>
      <c r="BZ107" s="71"/>
      <c r="CA107" s="147" t="s">
        <v>8142</v>
      </c>
      <c r="CB107">
        <v>1</v>
      </c>
      <c r="CC107">
        <v>200</v>
      </c>
      <c r="CD107">
        <v>50</v>
      </c>
      <c r="CE107" s="74">
        <f ca="1">INDIRECT(ADDRESS(11+(MATCH(RIGHT(Table35[[#This Row],[spawner_sku]],LEN(Table35[[#This Row],[spawner_sku]])-FIND("/",Table35[[#This Row],[spawner_sku]])),Table1[Entity Prefab],0)),10,1,1,"Entities"))</f>
        <v>75</v>
      </c>
      <c r="CF107" s="74">
        <f ca="1">ROUND((Table35[[#This Row],[XP]]*Table35[[#This Row],[entity_spawned (AVG)]])*(Table35[[#This Row],[activating_chance]]/100),0)</f>
        <v>38</v>
      </c>
      <c r="CG107" s="144" t="str">
        <f ca="1">INDIRECT(ADDRESS(11+(MATCH(RIGHT(Table35[[#This Row],[spawner_sku]],LEN(Table35[[#This Row],[spawner_sku]])-FIND("/",Table35[[#This Row],[spawner_sku]])),Table28[Entity Prefab],0)),24,1,1,"Entities"))</f>
        <v>no</v>
      </c>
      <c r="CH107">
        <v>1</v>
      </c>
      <c r="CI107">
        <v>1</v>
      </c>
      <c r="CJ107" s="71" t="b">
        <v>0</v>
      </c>
      <c r="CL107" t="s">
        <v>215</v>
      </c>
      <c r="CM107">
        <v>3.5</v>
      </c>
      <c r="CN107">
        <v>180</v>
      </c>
      <c r="CO107">
        <v>100</v>
      </c>
      <c r="CP107" s="74">
        <f ca="1">INDIRECT(ADDRESS(11+(MATCH(RIGHT(Table11[[#This Row],[spawner_sku]],LEN(Table11[[#This Row],[spawner_sku]])-FIND("/",Table11[[#This Row],[spawner_sku]])),Table1[Entity Prefab],0)),10,1,1,"Entities"))</f>
        <v>25</v>
      </c>
      <c r="CQ107">
        <f ca="1">ROUND((Table11[[#This Row],[XP]]*Table11[[#This Row],[entity_spawned (AVG)]])*(Table11[[#This Row],[activating_chance]]/100),0)</f>
        <v>88</v>
      </c>
      <c r="CR107" s="144" t="str">
        <f ca="1">INDIRECT(ADDRESS(11+(MATCH(RIGHT(Table11[[#This Row],[spawner_sku]],LEN(Table11[[#This Row],[spawner_sku]])-FIND("/",Table11[[#This Row],[spawner_sku]])),Table28[Entity Prefab],0)),25,1,1,"Entities"))</f>
        <v>no</v>
      </c>
      <c r="CS107" s="71">
        <v>3</v>
      </c>
      <c r="CT107" s="71">
        <v>4</v>
      </c>
      <c r="CU107" s="71" t="b">
        <v>0</v>
      </c>
      <c r="CW107" t="s">
        <v>377</v>
      </c>
      <c r="CX107">
        <v>1</v>
      </c>
      <c r="CY107">
        <v>120</v>
      </c>
      <c r="CZ107">
        <v>80</v>
      </c>
      <c r="DA107" s="74">
        <f ca="1">INDIRECT(ADDRESS(11+(MATCH(RIGHT(Table12[[#This Row],[spawner_sku]],LEN(Table12[[#This Row],[spawner_sku]])-FIND("/",Table12[[#This Row],[spawner_sku]])),Table1[Entity Prefab],0)),10,1,1,"Entities"))</f>
        <v>25</v>
      </c>
      <c r="DB107" s="74">
        <f ca="1">ROUND((Table12[[#This Row],[XP]]*Table12[[#This Row],[entity_spawned (AVG)]])*(Table12[[#This Row],[activating_chance]]/100),0)</f>
        <v>20</v>
      </c>
      <c r="DC107" s="144" t="str">
        <f ca="1">INDIRECT(ADDRESS(11+(MATCH(RIGHT(Table12[[#This Row],[spawner_sku]],LEN(Table12[[#This Row],[spawner_sku]])-FIND("/",Table12[[#This Row],[spawner_sku]])),Table28[Entity Prefab],0)),25,1,1,"Entities"))</f>
        <v>no</v>
      </c>
      <c r="DD107" s="71">
        <v>1</v>
      </c>
      <c r="DE107" s="71">
        <v>1</v>
      </c>
      <c r="DF107" s="71" t="b">
        <v>0</v>
      </c>
      <c r="DH107" t="s">
        <v>369</v>
      </c>
      <c r="DI107">
        <v>1</v>
      </c>
      <c r="DJ107">
        <v>220</v>
      </c>
      <c r="DK107">
        <v>100</v>
      </c>
      <c r="DL107" s="74">
        <f ca="1">INDIRECT(ADDRESS(11+(MATCH(RIGHT(Table13[[#This Row],[spawner_sku]],LEN(Table13[[#This Row],[spawner_sku]])-FIND("/",Table13[[#This Row],[spawner_sku]])),Table1[Entity Prefab],0)),10,1,1,"Entities"))</f>
        <v>75</v>
      </c>
      <c r="DM107" s="74">
        <f ca="1">ROUND((Table13[[#This Row],[XP]]*Table13[[#This Row],[entity_spawned (AVG)]])*(Table13[[#This Row],[activating_chance]]/100),0)</f>
        <v>75</v>
      </c>
      <c r="DN107" s="144" t="str">
        <f ca="1">INDIRECT(ADDRESS(11+(MATCH(RIGHT(Table13[[#This Row],[spawner_sku]],LEN(Table13[[#This Row],[spawner_sku]])-FIND("/",Table13[[#This Row],[spawner_sku]])),Table28[Entity Prefab],0)),25,1,1,"Entities"))</f>
        <v>yes</v>
      </c>
      <c r="DO107" s="71">
        <v>1</v>
      </c>
      <c r="DP107" s="71">
        <v>1</v>
      </c>
      <c r="DQ107" s="71" t="b">
        <v>0</v>
      </c>
      <c r="DS107" t="s">
        <v>214</v>
      </c>
      <c r="DT107">
        <v>3.5</v>
      </c>
      <c r="DU107">
        <v>100</v>
      </c>
      <c r="DV107">
        <v>100</v>
      </c>
      <c r="DW107" s="74">
        <f ca="1">INDIRECT(ADDRESS(11+(MATCH(RIGHT(Table14[[#This Row],[spawner_sku]],LEN(Table14[[#This Row],[spawner_sku]])-FIND("/",Table14[[#This Row],[spawner_sku]])),Table1[Entity Prefab],0)),10,1,1,"Entities"))</f>
        <v>25</v>
      </c>
      <c r="DX107" s="74">
        <f ca="1">ROUND((Table14[[#This Row],[XP]]*Table14[[#This Row],[entity_spawned (AVG)]])*(Table14[[#This Row],[activating_chance]]/100),0)</f>
        <v>88</v>
      </c>
      <c r="DY107" s="144" t="str">
        <f ca="1">INDIRECT(ADDRESS(11+(MATCH(RIGHT(Table14[[#This Row],[spawner_sku]],LEN(Table14[[#This Row],[spawner_sku]])-FIND("/",Table14[[#This Row],[spawner_sku]])),Table28[Entity Prefab],0)),25,1,1,"Entities"))</f>
        <v>no</v>
      </c>
      <c r="DZ107" s="71">
        <v>3</v>
      </c>
      <c r="EA107" s="71">
        <v>4</v>
      </c>
      <c r="EB107" s="71" t="b">
        <v>0</v>
      </c>
      <c r="EC107" s="71"/>
      <c r="ED107" s="147" t="s">
        <v>3820</v>
      </c>
      <c r="EE107" s="71">
        <v>1</v>
      </c>
      <c r="EF107" s="71">
        <v>240</v>
      </c>
      <c r="EG107" s="71">
        <v>100</v>
      </c>
      <c r="EH107" s="71">
        <f ca="1">INDIRECT(ADDRESS(11+(MATCH(RIGHT(Table36[[#This Row],[spawner_sku]],LEN(Table36[[#This Row],[spawner_sku]])-FIND("/",Table36[[#This Row],[spawner_sku]])),Table1[Entity Prefab],0)),10,1,1,"Entities"))</f>
        <v>10</v>
      </c>
      <c r="EI107" s="71">
        <f ca="1">ROUND((Table36[[#This Row],[XP]]*Table36[[#This Row],[entity_spawned (AVG)]])*(Table36[[#This Row],[activating_chance]]/100),0)</f>
        <v>10</v>
      </c>
      <c r="EJ107" s="71" t="str">
        <f ca="1">INDIRECT(ADDRESS(11+(MATCH(RIGHT(Table36[[#This Row],[spawner_sku]],LEN(Table36[[#This Row],[spawner_sku]])-FIND("/",Table36[[#This Row],[spawner_sku]])),Table28[Entity Prefab],0)),25,1,1,"Entities"))</f>
        <v>no</v>
      </c>
      <c r="EK107" s="71">
        <v>1</v>
      </c>
      <c r="EL107" s="71">
        <v>1</v>
      </c>
      <c r="EM107" s="71" t="b">
        <v>0</v>
      </c>
      <c r="EO107" t="s">
        <v>376</v>
      </c>
      <c r="EP107">
        <v>5.5</v>
      </c>
      <c r="EQ107">
        <v>160</v>
      </c>
      <c r="ER107">
        <v>100</v>
      </c>
      <c r="ES107" s="74">
        <f ca="1">INDIRECT(ADDRESS(11+(MATCH(RIGHT(Table18[[#This Row],[spawner_sku]],LEN(Table18[[#This Row],[spawner_sku]])-FIND("/",Table18[[#This Row],[spawner_sku]])),Table1[Entity Prefab],0)),10,1,1,"Entities"))</f>
        <v>25</v>
      </c>
      <c r="ET107" s="74">
        <f ca="1">ROUND((Table18[[#This Row],[XP]]*Table18[[#This Row],[entity_spawned (AVG)]])*(Table18[[#This Row],[activating_chance]]/100),0)</f>
        <v>138</v>
      </c>
      <c r="EU107" s="74" t="str">
        <f ca="1">INDIRECT(ADDRESS(11+(MATCH(RIGHT(Table18[[#This Row],[spawner_sku]],LEN(Table18[[#This Row],[spawner_sku]])-FIND("/",Table18[[#This Row],[spawner_sku]])),Table28[Entity Prefab],0)),26,1,1,"Entities"))</f>
        <v>no</v>
      </c>
      <c r="EV107">
        <v>5</v>
      </c>
      <c r="EW107">
        <v>6</v>
      </c>
      <c r="EX107" t="b">
        <v>1</v>
      </c>
      <c r="EZ107" t="s">
        <v>220</v>
      </c>
      <c r="FA107">
        <v>2.5</v>
      </c>
      <c r="FB107">
        <v>300</v>
      </c>
      <c r="FC107">
        <v>100</v>
      </c>
      <c r="FD107" s="74">
        <f ca="1">INDIRECT(ADDRESS(11+(MATCH(RIGHT(Table1820[[#This Row],[spawner_sku]],LEN(Table1820[[#This Row],[spawner_sku]])-FIND("/",Table1820[[#This Row],[spawner_sku]])),Table1[Entity Prefab],0)),10,1,1,"Entities"))</f>
        <v>195</v>
      </c>
      <c r="FE107" s="74">
        <f ca="1">ROUND((Table1820[[#This Row],[XP]]*Table1820[[#This Row],[entity_spawned (AVG)]])*(Table1820[[#This Row],[activating_chance]]/100),0)</f>
        <v>488</v>
      </c>
      <c r="FF107" s="74" t="str">
        <f ca="1">INDIRECT(ADDRESS(11+(MATCH(RIGHT(Table1820[[#This Row],[spawner_sku]],LEN(Table1820[[#This Row],[spawner_sku]])-FIND("/",Table1820[[#This Row],[spawner_sku]])),Table28[Entity Prefab],0)),26,1,1,"Entities"))</f>
        <v>yes</v>
      </c>
      <c r="FG107">
        <v>2</v>
      </c>
      <c r="FH107">
        <v>3</v>
      </c>
      <c r="FI107" t="b">
        <v>0</v>
      </c>
      <c r="FK107" t="s">
        <v>2693</v>
      </c>
      <c r="FL107">
        <v>1.5</v>
      </c>
      <c r="FM107">
        <v>100</v>
      </c>
      <c r="FN107">
        <v>80</v>
      </c>
      <c r="FO107">
        <f ca="1">INDIRECT(ADDRESS(11+(MATCH(RIGHT(Table182023[[#This Row],[spawner_sku]],LEN(Table182023[[#This Row],[spawner_sku]])-FIND("/",Table182023[[#This Row],[spawner_sku]])),Table1[Entity Prefab],0)),10,1,1,"Entities"))</f>
        <v>130</v>
      </c>
      <c r="FP107">
        <f ca="1">ROUND((Table182023[[#This Row],[XP]]*Table182023[[#This Row],[entity_spawned (AVG)]])*(Table182023[[#This Row],[activating_chance]]/100),0)</f>
        <v>156</v>
      </c>
      <c r="FQ107" t="str">
        <f ca="1">INDIRECT(ADDRESS(11+(MATCH(RIGHT(Table182023[[#This Row],[spawner_sku]],LEN(Table182023[[#This Row],[spawner_sku]])-FIND("/",Table182023[[#This Row],[spawner_sku]])),Table28[Entity Prefab],0)),26,1,1,"Entities"))</f>
        <v>yes</v>
      </c>
      <c r="FR107">
        <v>1</v>
      </c>
      <c r="FS107">
        <v>2</v>
      </c>
      <c r="FT107" t="b">
        <v>0</v>
      </c>
      <c r="FV107" t="s">
        <v>2705</v>
      </c>
      <c r="FW107">
        <v>2.5</v>
      </c>
      <c r="FX107">
        <v>120</v>
      </c>
      <c r="FY107">
        <v>100</v>
      </c>
      <c r="FZ107" s="74">
        <f ca="1">INDIRECT(ADDRESS(11+(MATCH(RIGHT(Table18202324[[#This Row],[spawner_sku]],LEN(Table18202324[[#This Row],[spawner_sku]])-FIND("/",Table18202324[[#This Row],[spawner_sku]])),Table1[Entity Prefab],0)),10,1,1,"Entities"))</f>
        <v>130</v>
      </c>
      <c r="GA107" s="74">
        <f ca="1">ROUND((Table18202324[[#This Row],[XP]]*Table18202324[[#This Row],[entity_spawned (AVG)]])*(Table18202324[[#This Row],[activating_chance]]/100),0)</f>
        <v>325</v>
      </c>
      <c r="GB107" s="74" t="str">
        <f ca="1">INDIRECT(ADDRESS(11+(MATCH(RIGHT(Table18202324[[#This Row],[spawner_sku]],LEN(Table18202324[[#This Row],[spawner_sku]])-FIND("/",Table18202324[[#This Row],[spawner_sku]])),Table28[Entity Prefab],0)),26,1,1,"Entities"))</f>
        <v>yes</v>
      </c>
      <c r="GC107">
        <v>2</v>
      </c>
      <c r="GD107">
        <v>3</v>
      </c>
      <c r="GE107" t="b">
        <v>0</v>
      </c>
      <c r="GG107" t="s">
        <v>3816</v>
      </c>
      <c r="GH107">
        <v>1</v>
      </c>
      <c r="GI107">
        <v>240</v>
      </c>
      <c r="GJ107">
        <v>100</v>
      </c>
      <c r="GK107">
        <f ca="1">INDIRECT(ADDRESS(11+(MATCH(RIGHT(Table37[[#This Row],[spawner_sku]],LEN(Table37[[#This Row],[spawner_sku]])-FIND("/",Table37[[#This Row],[spawner_sku]])),Table1[Entity Prefab],0)),10,1,1,"Entities"))</f>
        <v>50</v>
      </c>
      <c r="GL107">
        <f ca="1">ROUND((Table37[[#This Row],[XP]]*Table37[[#This Row],[entity_spawned (AVG)]])*(Table37[[#This Row],[activating_chance]]/100),0)</f>
        <v>50</v>
      </c>
      <c r="GM107" t="str">
        <f ca="1">INDIRECT(ADDRESS(11+(MATCH(RIGHT(Table37[[#This Row],[spawner_sku]],LEN(Table37[[#This Row],[spawner_sku]])-FIND("/",Table37[[#This Row],[spawner_sku]])),Table28[Entity Prefab],0)),26,1,1,"Entities"))</f>
        <v>no</v>
      </c>
      <c r="GN107">
        <v>1</v>
      </c>
      <c r="GO107">
        <v>1</v>
      </c>
      <c r="GP107" t="b">
        <v>0</v>
      </c>
    </row>
    <row r="108" spans="2:198" x14ac:dyDescent="0.25">
      <c r="B108" s="72" t="s">
        <v>215</v>
      </c>
      <c r="C108">
        <v>1.5</v>
      </c>
      <c r="D108">
        <v>80</v>
      </c>
      <c r="E108">
        <v>100</v>
      </c>
      <c r="F108" s="74">
        <f ca="1">INDIRECT(ADDRESS(11+(MATCH(RIGHT(Table245[[#This Row],[spawner_sku]],LEN(Table245[[#This Row],[spawner_sku]])-FIND("/",Table245[[#This Row],[spawner_sku]])),Table1[Entity Prefab],0)),10,1,1,"Entities"))</f>
        <v>25</v>
      </c>
      <c r="G108" s="74">
        <f ca="1">ROUND((Table245[[#This Row],[XP]]*Table245[[#This Row],[entity_spawned (AVG)]])*(Table245[[#This Row],[activating_chance]]/100),0)</f>
        <v>38</v>
      </c>
      <c r="H108" s="71" t="str">
        <f ca="1">INDIRECT(ADDRESS(11+(MATCH(RIGHT(Table245[[#This Row],[spawner_sku]],LEN(Table245[[#This Row],[spawner_sku]])-FIND("/",Table245[[#This Row],[spawner_sku]])),Table28[Entity Prefab],0)),24,1,1,"Entities"))</f>
        <v>no</v>
      </c>
      <c r="I108" s="71">
        <v>1</v>
      </c>
      <c r="J108" s="71">
        <v>2</v>
      </c>
      <c r="K108" s="71" t="b">
        <v>0</v>
      </c>
      <c r="M108" t="s">
        <v>242</v>
      </c>
      <c r="N108">
        <v>1</v>
      </c>
      <c r="O108">
        <v>190</v>
      </c>
      <c r="P108">
        <v>100</v>
      </c>
      <c r="Q108" s="74">
        <f ca="1">INDIRECT(ADDRESS(11+(MATCH(RIGHT(Table3[[#This Row],[spawner_sku]],LEN(Table3[[#This Row],[spawner_sku]])-FIND("/",Table3[[#This Row],[spawner_sku]])),Table1[Entity Prefab],0)),10,1,1,"Entities"))</f>
        <v>25</v>
      </c>
      <c r="R108" s="74">
        <f ca="1">ROUND((Table3[[#This Row],[XP]]*Table3[[#This Row],[entity_spawned (AVG)]])*(Table3[[#This Row],[activating_chance]]/100),0)</f>
        <v>25</v>
      </c>
      <c r="S108" t="str">
        <f ca="1">INDIRECT(ADDRESS(11+(MATCH(RIGHT(Table3[[#This Row],[spawner_sku]],LEN(Table3[[#This Row],[spawner_sku]])-FIND("/",Table3[[#This Row],[spawner_sku]])),Table28[Entity Prefab],0)),24,1,1,"Entities"))</f>
        <v>no</v>
      </c>
      <c r="T108">
        <v>1</v>
      </c>
      <c r="U108">
        <v>1</v>
      </c>
      <c r="V108" t="b">
        <v>0</v>
      </c>
      <c r="W108" s="71"/>
      <c r="AI108" t="s">
        <v>215</v>
      </c>
      <c r="AJ108">
        <v>2</v>
      </c>
      <c r="AK108">
        <v>110</v>
      </c>
      <c r="AL108">
        <v>100</v>
      </c>
      <c r="AM108" s="74">
        <f ca="1">INDIRECT(ADDRESS(11+(MATCH(RIGHT(Table2[[#This Row],[spawner_sku]],LEN(Table2[[#This Row],[spawner_sku]])-FIND("/",Table2[[#This Row],[spawner_sku]])),Table1[Entity Prefab],0)),10,1,1,"Entities"))</f>
        <v>25</v>
      </c>
      <c r="AN108" s="74">
        <f ca="1">ROUND((Table2[[#This Row],[XP]]*Table2[[#This Row],[entity_spawned (AVG)]])*(Table2[[#This Row],[activating_chance]]/100),0)</f>
        <v>50</v>
      </c>
      <c r="AO108" s="71" t="str">
        <f ca="1">INDIRECT(ADDRESS(11+(MATCH(RIGHT(Table2[[#This Row],[spawner_sku]],LEN(Table2[[#This Row],[spawner_sku]])-FIND("/",Table2[[#This Row],[spawner_sku]])),Table28[Entity Prefab],0)),24,1,1,"Entities"))</f>
        <v>no</v>
      </c>
      <c r="AP108" s="71">
        <v>1</v>
      </c>
      <c r="AQ108" s="71">
        <v>3</v>
      </c>
      <c r="AR108" s="71" t="b">
        <v>0</v>
      </c>
      <c r="AT108" t="s">
        <v>234</v>
      </c>
      <c r="AU108">
        <v>1</v>
      </c>
      <c r="AV108">
        <v>420</v>
      </c>
      <c r="AW108">
        <v>100</v>
      </c>
      <c r="AX108" s="74">
        <f ca="1">INDIRECT(ADDRESS(11+(MATCH(RIGHT(Table6[[#This Row],[spawner_sku]],LEN(Table6[[#This Row],[spawner_sku]])-FIND("/",Table6[[#This Row],[spawner_sku]])),Table1[Entity Prefab],0)),10,1,1,"Entities"))</f>
        <v>83</v>
      </c>
      <c r="AY108" s="74">
        <f ca="1">ROUND((Table6[[#This Row],[XP]]*Table6[[#This Row],[entity_spawned (AVG)]])*(Table6[[#This Row],[activating_chance]]/100),0)</f>
        <v>83</v>
      </c>
      <c r="AZ108" s="144" t="str">
        <f ca="1">INDIRECT(ADDRESS(11+(MATCH(RIGHT(Table6[[#This Row],[spawner_sku]],LEN(Table6[[#This Row],[spawner_sku]])-FIND("/",Table6[[#This Row],[spawner_sku]])),Table28[Entity Prefab],0)),24,1,1,"Entities"))</f>
        <v>yes</v>
      </c>
      <c r="BA108">
        <v>1</v>
      </c>
      <c r="BB108">
        <v>1</v>
      </c>
      <c r="BC108" t="b">
        <v>0</v>
      </c>
      <c r="BE108" t="s">
        <v>228</v>
      </c>
      <c r="BF108">
        <v>1</v>
      </c>
      <c r="BG108">
        <v>1500</v>
      </c>
      <c r="BH108">
        <v>100</v>
      </c>
      <c r="BI108" s="74">
        <f ca="1">INDIRECT(ADDRESS(11+(MATCH(RIGHT(Table610[[#This Row],[spawner_sku]],LEN(Table610[[#This Row],[spawner_sku]])-FIND("/",Table610[[#This Row],[spawner_sku]])),Table1[Entity Prefab],0)),10,1,1,"Entities"))</f>
        <v>130</v>
      </c>
      <c r="BJ108" s="74">
        <f ca="1">ROUND((Table610[[#This Row],[XP]]*Table610[[#This Row],[entity_spawned (AVG)]])*(Table610[[#This Row],[activating_chance]]/100),0)</f>
        <v>130</v>
      </c>
      <c r="BK108" s="71" t="str">
        <f ca="1">INDIRECT(ADDRESS(11+(MATCH(RIGHT(Table610[[#This Row],[spawner_sku]],LEN(Table610[[#This Row],[spawner_sku]])-FIND("/",Table610[[#This Row],[spawner_sku]])),Table28[Entity Prefab],0)),24,1,1,"Entities"))</f>
        <v>yes</v>
      </c>
      <c r="BL108">
        <v>1</v>
      </c>
      <c r="BM108">
        <v>1</v>
      </c>
      <c r="BN108" t="b">
        <v>0</v>
      </c>
      <c r="BP108" t="s">
        <v>219</v>
      </c>
      <c r="BQ108">
        <v>1</v>
      </c>
      <c r="BR108">
        <v>250</v>
      </c>
      <c r="BS108">
        <v>100</v>
      </c>
      <c r="BT108" s="74">
        <f ca="1">INDIRECT(ADDRESS(11+(MATCH(RIGHT(Table61011[[#This Row],[spawner_sku]],LEN(Table61011[[#This Row],[spawner_sku]])-FIND("/",Table61011[[#This Row],[spawner_sku]])),Table1[Entity Prefab],0)),10,1,1,"Entities"))</f>
        <v>143</v>
      </c>
      <c r="BU108" s="74">
        <f ca="1">ROUND((Table61011[[#This Row],[XP]]*Table61011[[#This Row],[entity_spawned (AVG)]])*(Table61011[[#This Row],[activating_chance]]/100),0)</f>
        <v>143</v>
      </c>
      <c r="BV108" s="71" t="str">
        <f ca="1">INDIRECT(ADDRESS(11+(MATCH(RIGHT(Table61011[[#This Row],[spawner_sku]],LEN(Table61011[[#This Row],[spawner_sku]])-FIND("/",Table61011[[#This Row],[spawner_sku]])),Table28[Entity Prefab],0)),24,1,1,"Entities"))</f>
        <v>yes</v>
      </c>
      <c r="BW108" s="71">
        <v>1</v>
      </c>
      <c r="BX108" s="71">
        <v>1</v>
      </c>
      <c r="BY108" s="71" t="b">
        <v>0</v>
      </c>
      <c r="BZ108" s="71"/>
      <c r="CA108" s="147" t="s">
        <v>8142</v>
      </c>
      <c r="CB108">
        <v>1</v>
      </c>
      <c r="CC108">
        <v>200</v>
      </c>
      <c r="CD108">
        <v>60</v>
      </c>
      <c r="CE108" s="74">
        <f ca="1">INDIRECT(ADDRESS(11+(MATCH(RIGHT(Table35[[#This Row],[spawner_sku]],LEN(Table35[[#This Row],[spawner_sku]])-FIND("/",Table35[[#This Row],[spawner_sku]])),Table1[Entity Prefab],0)),10,1,1,"Entities"))</f>
        <v>75</v>
      </c>
      <c r="CF108" s="74">
        <f ca="1">ROUND((Table35[[#This Row],[XP]]*Table35[[#This Row],[entity_spawned (AVG)]])*(Table35[[#This Row],[activating_chance]]/100),0)</f>
        <v>45</v>
      </c>
      <c r="CG108" s="144" t="str">
        <f ca="1">INDIRECT(ADDRESS(11+(MATCH(RIGHT(Table35[[#This Row],[spawner_sku]],LEN(Table35[[#This Row],[spawner_sku]])-FIND("/",Table35[[#This Row],[spawner_sku]])),Table28[Entity Prefab],0)),24,1,1,"Entities"))</f>
        <v>no</v>
      </c>
      <c r="CH108">
        <v>1</v>
      </c>
      <c r="CI108">
        <v>1</v>
      </c>
      <c r="CJ108" s="71" t="b">
        <v>0</v>
      </c>
      <c r="CL108" t="s">
        <v>215</v>
      </c>
      <c r="CM108">
        <v>1.5</v>
      </c>
      <c r="CN108">
        <v>180</v>
      </c>
      <c r="CO108">
        <v>80</v>
      </c>
      <c r="CP108" s="74">
        <f ca="1">INDIRECT(ADDRESS(11+(MATCH(RIGHT(Table11[[#This Row],[spawner_sku]],LEN(Table11[[#This Row],[spawner_sku]])-FIND("/",Table11[[#This Row],[spawner_sku]])),Table1[Entity Prefab],0)),10,1,1,"Entities"))</f>
        <v>25</v>
      </c>
      <c r="CQ108">
        <f ca="1">ROUND((Table11[[#This Row],[XP]]*Table11[[#This Row],[entity_spawned (AVG)]])*(Table11[[#This Row],[activating_chance]]/100),0)</f>
        <v>30</v>
      </c>
      <c r="CR108" s="144" t="str">
        <f ca="1">INDIRECT(ADDRESS(11+(MATCH(RIGHT(Table11[[#This Row],[spawner_sku]],LEN(Table11[[#This Row],[spawner_sku]])-FIND("/",Table11[[#This Row],[spawner_sku]])),Table28[Entity Prefab],0)),25,1,1,"Entities"))</f>
        <v>no</v>
      </c>
      <c r="CS108" s="71">
        <v>1</v>
      </c>
      <c r="CT108" s="71">
        <v>2</v>
      </c>
      <c r="CU108" s="71" t="b">
        <v>0</v>
      </c>
      <c r="CW108" t="s">
        <v>377</v>
      </c>
      <c r="CX108">
        <v>2</v>
      </c>
      <c r="CY108">
        <v>120</v>
      </c>
      <c r="CZ108">
        <v>100</v>
      </c>
      <c r="DA108" s="74">
        <f ca="1">INDIRECT(ADDRESS(11+(MATCH(RIGHT(Table12[[#This Row],[spawner_sku]],LEN(Table12[[#This Row],[spawner_sku]])-FIND("/",Table12[[#This Row],[spawner_sku]])),Table1[Entity Prefab],0)),10,1,1,"Entities"))</f>
        <v>25</v>
      </c>
      <c r="DB108" s="74">
        <f ca="1">ROUND((Table12[[#This Row],[XP]]*Table12[[#This Row],[entity_spawned (AVG)]])*(Table12[[#This Row],[activating_chance]]/100),0)</f>
        <v>50</v>
      </c>
      <c r="DC108" s="144" t="str">
        <f ca="1">INDIRECT(ADDRESS(11+(MATCH(RIGHT(Table12[[#This Row],[spawner_sku]],LEN(Table12[[#This Row],[spawner_sku]])-FIND("/",Table12[[#This Row],[spawner_sku]])),Table28[Entity Prefab],0)),25,1,1,"Entities"))</f>
        <v>no</v>
      </c>
      <c r="DD108" s="71">
        <v>2</v>
      </c>
      <c r="DE108" s="71">
        <v>2</v>
      </c>
      <c r="DF108" s="71" t="b">
        <v>0</v>
      </c>
      <c r="DH108" t="s">
        <v>369</v>
      </c>
      <c r="DI108">
        <v>1</v>
      </c>
      <c r="DJ108">
        <v>220</v>
      </c>
      <c r="DK108">
        <v>100</v>
      </c>
      <c r="DL108" s="74">
        <f ca="1">INDIRECT(ADDRESS(11+(MATCH(RIGHT(Table13[[#This Row],[spawner_sku]],LEN(Table13[[#This Row],[spawner_sku]])-FIND("/",Table13[[#This Row],[spawner_sku]])),Table1[Entity Prefab],0)),10,1,1,"Entities"))</f>
        <v>75</v>
      </c>
      <c r="DM108" s="74">
        <f ca="1">ROUND((Table13[[#This Row],[XP]]*Table13[[#This Row],[entity_spawned (AVG)]])*(Table13[[#This Row],[activating_chance]]/100),0)</f>
        <v>75</v>
      </c>
      <c r="DN108" s="144" t="str">
        <f ca="1">INDIRECT(ADDRESS(11+(MATCH(RIGHT(Table13[[#This Row],[spawner_sku]],LEN(Table13[[#This Row],[spawner_sku]])-FIND("/",Table13[[#This Row],[spawner_sku]])),Table28[Entity Prefab],0)),25,1,1,"Entities"))</f>
        <v>yes</v>
      </c>
      <c r="DO108" s="71">
        <v>1</v>
      </c>
      <c r="DP108" s="71">
        <v>1</v>
      </c>
      <c r="DQ108" s="71" t="b">
        <v>0</v>
      </c>
      <c r="DS108" t="s">
        <v>214</v>
      </c>
      <c r="DT108">
        <v>5.5</v>
      </c>
      <c r="DU108">
        <v>130</v>
      </c>
      <c r="DV108">
        <v>100</v>
      </c>
      <c r="DW108" s="74">
        <f ca="1">INDIRECT(ADDRESS(11+(MATCH(RIGHT(Table14[[#This Row],[spawner_sku]],LEN(Table14[[#This Row],[spawner_sku]])-FIND("/",Table14[[#This Row],[spawner_sku]])),Table1[Entity Prefab],0)),10,1,1,"Entities"))</f>
        <v>25</v>
      </c>
      <c r="DX108" s="74">
        <f ca="1">ROUND((Table14[[#This Row],[XP]]*Table14[[#This Row],[entity_spawned (AVG)]])*(Table14[[#This Row],[activating_chance]]/100),0)</f>
        <v>138</v>
      </c>
      <c r="DY108" s="144" t="str">
        <f ca="1">INDIRECT(ADDRESS(11+(MATCH(RIGHT(Table14[[#This Row],[spawner_sku]],LEN(Table14[[#This Row],[spawner_sku]])-FIND("/",Table14[[#This Row],[spawner_sku]])),Table28[Entity Prefab],0)),25,1,1,"Entities"))</f>
        <v>no</v>
      </c>
      <c r="DZ108" s="71">
        <v>5</v>
      </c>
      <c r="EA108" s="71">
        <v>6</v>
      </c>
      <c r="EB108" s="71" t="b">
        <v>1</v>
      </c>
      <c r="EC108" s="71"/>
      <c r="ED108" s="147" t="s">
        <v>3820</v>
      </c>
      <c r="EE108" s="71">
        <v>1</v>
      </c>
      <c r="EF108" s="71">
        <v>240</v>
      </c>
      <c r="EG108" s="71">
        <v>100</v>
      </c>
      <c r="EH108" s="71">
        <f ca="1">INDIRECT(ADDRESS(11+(MATCH(RIGHT(Table36[[#This Row],[spawner_sku]],LEN(Table36[[#This Row],[spawner_sku]])-FIND("/",Table36[[#This Row],[spawner_sku]])),Table1[Entity Prefab],0)),10,1,1,"Entities"))</f>
        <v>10</v>
      </c>
      <c r="EI108" s="71">
        <f ca="1">ROUND((Table36[[#This Row],[XP]]*Table36[[#This Row],[entity_spawned (AVG)]])*(Table36[[#This Row],[activating_chance]]/100),0)</f>
        <v>10</v>
      </c>
      <c r="EJ108" s="71" t="str">
        <f ca="1">INDIRECT(ADDRESS(11+(MATCH(RIGHT(Table36[[#This Row],[spawner_sku]],LEN(Table36[[#This Row],[spawner_sku]])-FIND("/",Table36[[#This Row],[spawner_sku]])),Table28[Entity Prefab],0)),25,1,1,"Entities"))</f>
        <v>no</v>
      </c>
      <c r="EK108" s="71">
        <v>1</v>
      </c>
      <c r="EL108" s="71">
        <v>1</v>
      </c>
      <c r="EM108" s="71" t="b">
        <v>0</v>
      </c>
      <c r="EO108" t="s">
        <v>376</v>
      </c>
      <c r="EP108">
        <v>5.5</v>
      </c>
      <c r="EQ108">
        <v>180</v>
      </c>
      <c r="ER108">
        <v>30</v>
      </c>
      <c r="ES108" s="74">
        <f ca="1">INDIRECT(ADDRESS(11+(MATCH(RIGHT(Table18[[#This Row],[spawner_sku]],LEN(Table18[[#This Row],[spawner_sku]])-FIND("/",Table18[[#This Row],[spawner_sku]])),Table1[Entity Prefab],0)),10,1,1,"Entities"))</f>
        <v>25</v>
      </c>
      <c r="ET108" s="74">
        <f ca="1">ROUND((Table18[[#This Row],[XP]]*Table18[[#This Row],[entity_spawned (AVG)]])*(Table18[[#This Row],[activating_chance]]/100),0)</f>
        <v>41</v>
      </c>
      <c r="EU108" s="74" t="str">
        <f ca="1">INDIRECT(ADDRESS(11+(MATCH(RIGHT(Table18[[#This Row],[spawner_sku]],LEN(Table18[[#This Row],[spawner_sku]])-FIND("/",Table18[[#This Row],[spawner_sku]])),Table28[Entity Prefab],0)),26,1,1,"Entities"))</f>
        <v>no</v>
      </c>
      <c r="EV108">
        <v>5</v>
      </c>
      <c r="EW108">
        <v>6</v>
      </c>
      <c r="EX108" t="b">
        <v>1</v>
      </c>
      <c r="EZ108" t="s">
        <v>220</v>
      </c>
      <c r="FA108">
        <v>1</v>
      </c>
      <c r="FB108">
        <v>300</v>
      </c>
      <c r="FC108">
        <v>100</v>
      </c>
      <c r="FD108" s="74">
        <f ca="1">INDIRECT(ADDRESS(11+(MATCH(RIGHT(Table1820[[#This Row],[spawner_sku]],LEN(Table1820[[#This Row],[spawner_sku]])-FIND("/",Table1820[[#This Row],[spawner_sku]])),Table1[Entity Prefab],0)),10,1,1,"Entities"))</f>
        <v>195</v>
      </c>
      <c r="FE108" s="74">
        <f ca="1">ROUND((Table1820[[#This Row],[XP]]*Table1820[[#This Row],[entity_spawned (AVG)]])*(Table1820[[#This Row],[activating_chance]]/100),0)</f>
        <v>195</v>
      </c>
      <c r="FF108" s="74" t="str">
        <f ca="1">INDIRECT(ADDRESS(11+(MATCH(RIGHT(Table1820[[#This Row],[spawner_sku]],LEN(Table1820[[#This Row],[spawner_sku]])-FIND("/",Table1820[[#This Row],[spawner_sku]])),Table28[Entity Prefab],0)),26,1,1,"Entities"))</f>
        <v>yes</v>
      </c>
      <c r="FG108">
        <v>1</v>
      </c>
      <c r="FH108">
        <v>1</v>
      </c>
      <c r="FI108" t="b">
        <v>0</v>
      </c>
      <c r="FK108" t="s">
        <v>2693</v>
      </c>
      <c r="FL108">
        <v>2</v>
      </c>
      <c r="FM108">
        <v>100</v>
      </c>
      <c r="FN108">
        <v>100</v>
      </c>
      <c r="FO108">
        <f ca="1">INDIRECT(ADDRESS(11+(MATCH(RIGHT(Table182023[[#This Row],[spawner_sku]],LEN(Table182023[[#This Row],[spawner_sku]])-FIND("/",Table182023[[#This Row],[spawner_sku]])),Table1[Entity Prefab],0)),10,1,1,"Entities"))</f>
        <v>130</v>
      </c>
      <c r="FP108">
        <f ca="1">ROUND((Table182023[[#This Row],[XP]]*Table182023[[#This Row],[entity_spawned (AVG)]])*(Table182023[[#This Row],[activating_chance]]/100),0)</f>
        <v>260</v>
      </c>
      <c r="FQ108" t="str">
        <f ca="1">INDIRECT(ADDRESS(11+(MATCH(RIGHT(Table182023[[#This Row],[spawner_sku]],LEN(Table182023[[#This Row],[spawner_sku]])-FIND("/",Table182023[[#This Row],[spawner_sku]])),Table28[Entity Prefab],0)),26,1,1,"Entities"))</f>
        <v>yes</v>
      </c>
      <c r="FR108">
        <v>1</v>
      </c>
      <c r="FS108">
        <v>3</v>
      </c>
      <c r="FT108" t="b">
        <v>0</v>
      </c>
      <c r="FV108" t="s">
        <v>2705</v>
      </c>
      <c r="FW108">
        <v>1</v>
      </c>
      <c r="FX108">
        <v>120</v>
      </c>
      <c r="FY108">
        <v>100</v>
      </c>
      <c r="FZ108" s="74">
        <f ca="1">INDIRECT(ADDRESS(11+(MATCH(RIGHT(Table18202324[[#This Row],[spawner_sku]],LEN(Table18202324[[#This Row],[spawner_sku]])-FIND("/",Table18202324[[#This Row],[spawner_sku]])),Table1[Entity Prefab],0)),10,1,1,"Entities"))</f>
        <v>130</v>
      </c>
      <c r="GA108" s="74">
        <f ca="1">ROUND((Table18202324[[#This Row],[XP]]*Table18202324[[#This Row],[entity_spawned (AVG)]])*(Table18202324[[#This Row],[activating_chance]]/100),0)</f>
        <v>130</v>
      </c>
      <c r="GB108" s="74" t="str">
        <f ca="1">INDIRECT(ADDRESS(11+(MATCH(RIGHT(Table18202324[[#This Row],[spawner_sku]],LEN(Table18202324[[#This Row],[spawner_sku]])-FIND("/",Table18202324[[#This Row],[spawner_sku]])),Table28[Entity Prefab],0)),26,1,1,"Entities"))</f>
        <v>yes</v>
      </c>
      <c r="GC108">
        <v>1</v>
      </c>
      <c r="GD108">
        <v>1</v>
      </c>
      <c r="GE108" t="b">
        <v>0</v>
      </c>
      <c r="GG108" t="s">
        <v>3816</v>
      </c>
      <c r="GH108">
        <v>1</v>
      </c>
      <c r="GI108">
        <v>240</v>
      </c>
      <c r="GJ108">
        <v>100</v>
      </c>
      <c r="GK108">
        <f ca="1">INDIRECT(ADDRESS(11+(MATCH(RIGHT(Table37[[#This Row],[spawner_sku]],LEN(Table37[[#This Row],[spawner_sku]])-FIND("/",Table37[[#This Row],[spawner_sku]])),Table1[Entity Prefab],0)),10,1,1,"Entities"))</f>
        <v>50</v>
      </c>
      <c r="GL108">
        <f ca="1">ROUND((Table37[[#This Row],[XP]]*Table37[[#This Row],[entity_spawned (AVG)]])*(Table37[[#This Row],[activating_chance]]/100),0)</f>
        <v>50</v>
      </c>
      <c r="GM108" t="str">
        <f ca="1">INDIRECT(ADDRESS(11+(MATCH(RIGHT(Table37[[#This Row],[spawner_sku]],LEN(Table37[[#This Row],[spawner_sku]])-FIND("/",Table37[[#This Row],[spawner_sku]])),Table28[Entity Prefab],0)),26,1,1,"Entities"))</f>
        <v>no</v>
      </c>
      <c r="GN108">
        <v>1</v>
      </c>
      <c r="GO108">
        <v>1</v>
      </c>
      <c r="GP108" t="b">
        <v>0</v>
      </c>
    </row>
    <row r="109" spans="2:198" x14ac:dyDescent="0.25">
      <c r="B109" s="72" t="s">
        <v>215</v>
      </c>
      <c r="C109">
        <v>2.5</v>
      </c>
      <c r="D109">
        <v>120</v>
      </c>
      <c r="E109">
        <v>100</v>
      </c>
      <c r="F109" s="74">
        <f ca="1">INDIRECT(ADDRESS(11+(MATCH(RIGHT(Table245[[#This Row],[spawner_sku]],LEN(Table245[[#This Row],[spawner_sku]])-FIND("/",Table245[[#This Row],[spawner_sku]])),Table1[Entity Prefab],0)),10,1,1,"Entities"))</f>
        <v>25</v>
      </c>
      <c r="G109" s="74">
        <f ca="1">ROUND((Table245[[#This Row],[XP]]*Table245[[#This Row],[entity_spawned (AVG)]])*(Table245[[#This Row],[activating_chance]]/100),0)</f>
        <v>63</v>
      </c>
      <c r="H109" s="71" t="str">
        <f ca="1">INDIRECT(ADDRESS(11+(MATCH(RIGHT(Table245[[#This Row],[spawner_sku]],LEN(Table245[[#This Row],[spawner_sku]])-FIND("/",Table245[[#This Row],[spawner_sku]])),Table28[Entity Prefab],0)),24,1,1,"Entities"))</f>
        <v>no</v>
      </c>
      <c r="I109" s="71">
        <v>2</v>
      </c>
      <c r="J109" s="71">
        <v>3</v>
      </c>
      <c r="K109" s="71" t="b">
        <v>0</v>
      </c>
      <c r="M109" t="s">
        <v>242</v>
      </c>
      <c r="N109">
        <v>1</v>
      </c>
      <c r="O109">
        <v>200</v>
      </c>
      <c r="P109">
        <v>100</v>
      </c>
      <c r="Q109" s="74">
        <f ca="1">INDIRECT(ADDRESS(11+(MATCH(RIGHT(Table3[[#This Row],[spawner_sku]],LEN(Table3[[#This Row],[spawner_sku]])-FIND("/",Table3[[#This Row],[spawner_sku]])),Table1[Entity Prefab],0)),10,1,1,"Entities"))</f>
        <v>25</v>
      </c>
      <c r="R109" s="74">
        <f ca="1">ROUND((Table3[[#This Row],[XP]]*Table3[[#This Row],[entity_spawned (AVG)]])*(Table3[[#This Row],[activating_chance]]/100),0)</f>
        <v>25</v>
      </c>
      <c r="S109" t="str">
        <f ca="1">INDIRECT(ADDRESS(11+(MATCH(RIGHT(Table3[[#This Row],[spawner_sku]],LEN(Table3[[#This Row],[spawner_sku]])-FIND("/",Table3[[#This Row],[spawner_sku]])),Table28[Entity Prefab],0)),24,1,1,"Entities"))</f>
        <v>no</v>
      </c>
      <c r="T109">
        <v>1</v>
      </c>
      <c r="U109">
        <v>1</v>
      </c>
      <c r="V109" t="b">
        <v>0</v>
      </c>
      <c r="W109" s="71"/>
      <c r="AI109" t="s">
        <v>215</v>
      </c>
      <c r="AJ109">
        <v>3</v>
      </c>
      <c r="AK109">
        <v>100</v>
      </c>
      <c r="AL109">
        <v>100</v>
      </c>
      <c r="AM109" s="74">
        <f ca="1">INDIRECT(ADDRESS(11+(MATCH(RIGHT(Table2[[#This Row],[spawner_sku]],LEN(Table2[[#This Row],[spawner_sku]])-FIND("/",Table2[[#This Row],[spawner_sku]])),Table1[Entity Prefab],0)),10,1,1,"Entities"))</f>
        <v>25</v>
      </c>
      <c r="AN109" s="74">
        <f ca="1">ROUND((Table2[[#This Row],[XP]]*Table2[[#This Row],[entity_spawned (AVG)]])*(Table2[[#This Row],[activating_chance]]/100),0)</f>
        <v>75</v>
      </c>
      <c r="AO109" s="71" t="str">
        <f ca="1">INDIRECT(ADDRESS(11+(MATCH(RIGHT(Table2[[#This Row],[spawner_sku]],LEN(Table2[[#This Row],[spawner_sku]])-FIND("/",Table2[[#This Row],[spawner_sku]])),Table28[Entity Prefab],0)),24,1,1,"Entities"))</f>
        <v>no</v>
      </c>
      <c r="AP109" s="71">
        <v>2</v>
      </c>
      <c r="AQ109" s="71">
        <v>4</v>
      </c>
      <c r="AR109" s="71" t="b">
        <v>0</v>
      </c>
      <c r="AT109" t="s">
        <v>554</v>
      </c>
      <c r="AU109">
        <v>1</v>
      </c>
      <c r="AV109">
        <v>300</v>
      </c>
      <c r="AW109">
        <v>100</v>
      </c>
      <c r="AX109" s="74">
        <f ca="1">INDIRECT(ADDRESS(11+(MATCH(RIGHT(Table6[[#This Row],[spawner_sku]],LEN(Table6[[#This Row],[spawner_sku]])-FIND("/",Table6[[#This Row],[spawner_sku]])),Table1[Entity Prefab],0)),10,1,1,"Entities"))</f>
        <v>50</v>
      </c>
      <c r="AY109" s="74">
        <f ca="1">ROUND((Table6[[#This Row],[XP]]*Table6[[#This Row],[entity_spawned (AVG)]])*(Table6[[#This Row],[activating_chance]]/100),0)</f>
        <v>50</v>
      </c>
      <c r="AZ109" s="144" t="str">
        <f ca="1">INDIRECT(ADDRESS(11+(MATCH(RIGHT(Table6[[#This Row],[spawner_sku]],LEN(Table6[[#This Row],[spawner_sku]])-FIND("/",Table6[[#This Row],[spawner_sku]])),Table28[Entity Prefab],0)),24,1,1,"Entities"))</f>
        <v>yes</v>
      </c>
      <c r="BA109">
        <v>1</v>
      </c>
      <c r="BB109">
        <v>1</v>
      </c>
      <c r="BC109" t="b">
        <v>0</v>
      </c>
      <c r="BE109" t="s">
        <v>228</v>
      </c>
      <c r="BF109">
        <v>1</v>
      </c>
      <c r="BG109">
        <v>1500</v>
      </c>
      <c r="BH109">
        <v>100</v>
      </c>
      <c r="BI109" s="74">
        <f ca="1">INDIRECT(ADDRESS(11+(MATCH(RIGHT(Table610[[#This Row],[spawner_sku]],LEN(Table610[[#This Row],[spawner_sku]])-FIND("/",Table610[[#This Row],[spawner_sku]])),Table1[Entity Prefab],0)),10,1,1,"Entities"))</f>
        <v>130</v>
      </c>
      <c r="BJ109" s="74">
        <f ca="1">ROUND((Table610[[#This Row],[XP]]*Table610[[#This Row],[entity_spawned (AVG)]])*(Table610[[#This Row],[activating_chance]]/100),0)</f>
        <v>130</v>
      </c>
      <c r="BK109" s="71" t="str">
        <f ca="1">INDIRECT(ADDRESS(11+(MATCH(RIGHT(Table610[[#This Row],[spawner_sku]],LEN(Table610[[#This Row],[spawner_sku]])-FIND("/",Table610[[#This Row],[spawner_sku]])),Table28[Entity Prefab],0)),24,1,1,"Entities"))</f>
        <v>yes</v>
      </c>
      <c r="BL109">
        <v>1</v>
      </c>
      <c r="BM109">
        <v>1</v>
      </c>
      <c r="BN109" t="b">
        <v>0</v>
      </c>
      <c r="BP109" t="s">
        <v>219</v>
      </c>
      <c r="BQ109">
        <v>1</v>
      </c>
      <c r="BR109">
        <v>250</v>
      </c>
      <c r="BS109">
        <v>100</v>
      </c>
      <c r="BT109" s="74">
        <f ca="1">INDIRECT(ADDRESS(11+(MATCH(RIGHT(Table61011[[#This Row],[spawner_sku]],LEN(Table61011[[#This Row],[spawner_sku]])-FIND("/",Table61011[[#This Row],[spawner_sku]])),Table1[Entity Prefab],0)),10,1,1,"Entities"))</f>
        <v>143</v>
      </c>
      <c r="BU109" s="74">
        <f ca="1">ROUND((Table61011[[#This Row],[XP]]*Table61011[[#This Row],[entity_spawned (AVG)]])*(Table61011[[#This Row],[activating_chance]]/100),0)</f>
        <v>143</v>
      </c>
      <c r="BV109" s="71" t="str">
        <f ca="1">INDIRECT(ADDRESS(11+(MATCH(RIGHT(Table61011[[#This Row],[spawner_sku]],LEN(Table61011[[#This Row],[spawner_sku]])-FIND("/",Table61011[[#This Row],[spawner_sku]])),Table28[Entity Prefab],0)),24,1,1,"Entities"))</f>
        <v>yes</v>
      </c>
      <c r="BW109" s="71">
        <v>1</v>
      </c>
      <c r="BX109" s="71">
        <v>1</v>
      </c>
      <c r="BY109" s="71" t="b">
        <v>0</v>
      </c>
      <c r="BZ109" s="71"/>
      <c r="CA109" s="147" t="s">
        <v>8142</v>
      </c>
      <c r="CB109">
        <v>1</v>
      </c>
      <c r="CC109">
        <v>200</v>
      </c>
      <c r="CD109">
        <v>100</v>
      </c>
      <c r="CE109" s="74">
        <f ca="1">INDIRECT(ADDRESS(11+(MATCH(RIGHT(Table35[[#This Row],[spawner_sku]],LEN(Table35[[#This Row],[spawner_sku]])-FIND("/",Table35[[#This Row],[spawner_sku]])),Table1[Entity Prefab],0)),10,1,1,"Entities"))</f>
        <v>75</v>
      </c>
      <c r="CF109" s="74">
        <f ca="1">ROUND((Table35[[#This Row],[XP]]*Table35[[#This Row],[entity_spawned (AVG)]])*(Table35[[#This Row],[activating_chance]]/100),0)</f>
        <v>75</v>
      </c>
      <c r="CG109" s="144" t="str">
        <f ca="1">INDIRECT(ADDRESS(11+(MATCH(RIGHT(Table35[[#This Row],[spawner_sku]],LEN(Table35[[#This Row],[spawner_sku]])-FIND("/",Table35[[#This Row],[spawner_sku]])),Table28[Entity Prefab],0)),24,1,1,"Entities"))</f>
        <v>no</v>
      </c>
      <c r="CH109">
        <v>1</v>
      </c>
      <c r="CI109">
        <v>1</v>
      </c>
      <c r="CJ109" s="71" t="b">
        <v>0</v>
      </c>
      <c r="CL109" t="s">
        <v>215</v>
      </c>
      <c r="CM109">
        <v>3.5</v>
      </c>
      <c r="CN109">
        <v>180</v>
      </c>
      <c r="CO109">
        <v>80</v>
      </c>
      <c r="CP109" s="74">
        <f ca="1">INDIRECT(ADDRESS(11+(MATCH(RIGHT(Table11[[#This Row],[spawner_sku]],LEN(Table11[[#This Row],[spawner_sku]])-FIND("/",Table11[[#This Row],[spawner_sku]])),Table1[Entity Prefab],0)),10,1,1,"Entities"))</f>
        <v>25</v>
      </c>
      <c r="CQ109">
        <f ca="1">ROUND((Table11[[#This Row],[XP]]*Table11[[#This Row],[entity_spawned (AVG)]])*(Table11[[#This Row],[activating_chance]]/100),0)</f>
        <v>70</v>
      </c>
      <c r="CR109" s="144" t="str">
        <f ca="1">INDIRECT(ADDRESS(11+(MATCH(RIGHT(Table11[[#This Row],[spawner_sku]],LEN(Table11[[#This Row],[spawner_sku]])-FIND("/",Table11[[#This Row],[spawner_sku]])),Table28[Entity Prefab],0)),25,1,1,"Entities"))</f>
        <v>no</v>
      </c>
      <c r="CS109" s="71">
        <v>3</v>
      </c>
      <c r="CT109" s="71">
        <v>4</v>
      </c>
      <c r="CU109" s="71" t="b">
        <v>0</v>
      </c>
      <c r="CW109" t="s">
        <v>377</v>
      </c>
      <c r="CX109">
        <v>5</v>
      </c>
      <c r="CY109">
        <v>120</v>
      </c>
      <c r="CZ109">
        <v>100</v>
      </c>
      <c r="DA109" s="74">
        <f ca="1">INDIRECT(ADDRESS(11+(MATCH(RIGHT(Table12[[#This Row],[spawner_sku]],LEN(Table12[[#This Row],[spawner_sku]])-FIND("/",Table12[[#This Row],[spawner_sku]])),Table1[Entity Prefab],0)),10,1,1,"Entities"))</f>
        <v>25</v>
      </c>
      <c r="DB109" s="74">
        <f ca="1">ROUND((Table12[[#This Row],[XP]]*Table12[[#This Row],[entity_spawned (AVG)]])*(Table12[[#This Row],[activating_chance]]/100),0)</f>
        <v>125</v>
      </c>
      <c r="DC109" s="144" t="str">
        <f ca="1">INDIRECT(ADDRESS(11+(MATCH(RIGHT(Table12[[#This Row],[spawner_sku]],LEN(Table12[[#This Row],[spawner_sku]])-FIND("/",Table12[[#This Row],[spawner_sku]])),Table28[Entity Prefab],0)),25,1,1,"Entities"))</f>
        <v>no</v>
      </c>
      <c r="DD109" s="71">
        <v>5</v>
      </c>
      <c r="DE109" s="71">
        <v>5</v>
      </c>
      <c r="DF109" s="71" t="b">
        <v>1</v>
      </c>
      <c r="DH109" t="s">
        <v>369</v>
      </c>
      <c r="DI109">
        <v>1</v>
      </c>
      <c r="DJ109">
        <v>220</v>
      </c>
      <c r="DK109">
        <v>40</v>
      </c>
      <c r="DL109" s="74">
        <f ca="1">INDIRECT(ADDRESS(11+(MATCH(RIGHT(Table13[[#This Row],[spawner_sku]],LEN(Table13[[#This Row],[spawner_sku]])-FIND("/",Table13[[#This Row],[spawner_sku]])),Table1[Entity Prefab],0)),10,1,1,"Entities"))</f>
        <v>75</v>
      </c>
      <c r="DM109" s="74">
        <f ca="1">ROUND((Table13[[#This Row],[XP]]*Table13[[#This Row],[entity_spawned (AVG)]])*(Table13[[#This Row],[activating_chance]]/100),0)</f>
        <v>30</v>
      </c>
      <c r="DN109" s="144" t="str">
        <f ca="1">INDIRECT(ADDRESS(11+(MATCH(RIGHT(Table13[[#This Row],[spawner_sku]],LEN(Table13[[#This Row],[spawner_sku]])-FIND("/",Table13[[#This Row],[spawner_sku]])),Table28[Entity Prefab],0)),25,1,1,"Entities"))</f>
        <v>yes</v>
      </c>
      <c r="DO109" s="71">
        <v>1</v>
      </c>
      <c r="DP109" s="71">
        <v>1</v>
      </c>
      <c r="DQ109" s="71" t="b">
        <v>0</v>
      </c>
      <c r="DS109" t="s">
        <v>214</v>
      </c>
      <c r="DT109">
        <v>5</v>
      </c>
      <c r="DU109">
        <v>150</v>
      </c>
      <c r="DV109">
        <v>100</v>
      </c>
      <c r="DW109" s="74">
        <f ca="1">INDIRECT(ADDRESS(11+(MATCH(RIGHT(Table14[[#This Row],[spawner_sku]],LEN(Table14[[#This Row],[spawner_sku]])-FIND("/",Table14[[#This Row],[spawner_sku]])),Table1[Entity Prefab],0)),10,1,1,"Entities"))</f>
        <v>25</v>
      </c>
      <c r="DX109" s="74">
        <f ca="1">ROUND((Table14[[#This Row],[XP]]*Table14[[#This Row],[entity_spawned (AVG)]])*(Table14[[#This Row],[activating_chance]]/100),0)</f>
        <v>125</v>
      </c>
      <c r="DY109" s="144" t="str">
        <f ca="1">INDIRECT(ADDRESS(11+(MATCH(RIGHT(Table14[[#This Row],[spawner_sku]],LEN(Table14[[#This Row],[spawner_sku]])-FIND("/",Table14[[#This Row],[spawner_sku]])),Table28[Entity Prefab],0)),25,1,1,"Entities"))</f>
        <v>no</v>
      </c>
      <c r="DZ109" s="71">
        <v>5</v>
      </c>
      <c r="EA109" s="71">
        <v>5</v>
      </c>
      <c r="EB109" s="71" t="b">
        <v>1</v>
      </c>
      <c r="EC109" s="71"/>
      <c r="ED109" s="147" t="s">
        <v>3820</v>
      </c>
      <c r="EE109" s="71">
        <v>1</v>
      </c>
      <c r="EF109" s="71">
        <v>240</v>
      </c>
      <c r="EG109" s="71">
        <v>100</v>
      </c>
      <c r="EH109" s="71">
        <f ca="1">INDIRECT(ADDRESS(11+(MATCH(RIGHT(Table36[[#This Row],[spawner_sku]],LEN(Table36[[#This Row],[spawner_sku]])-FIND("/",Table36[[#This Row],[spawner_sku]])),Table1[Entity Prefab],0)),10,1,1,"Entities"))</f>
        <v>10</v>
      </c>
      <c r="EI109" s="71">
        <f ca="1">ROUND((Table36[[#This Row],[XP]]*Table36[[#This Row],[entity_spawned (AVG)]])*(Table36[[#This Row],[activating_chance]]/100),0)</f>
        <v>10</v>
      </c>
      <c r="EJ109" s="71" t="str">
        <f ca="1">INDIRECT(ADDRESS(11+(MATCH(RIGHT(Table36[[#This Row],[spawner_sku]],LEN(Table36[[#This Row],[spawner_sku]])-FIND("/",Table36[[#This Row],[spawner_sku]])),Table28[Entity Prefab],0)),25,1,1,"Entities"))</f>
        <v>no</v>
      </c>
      <c r="EK109" s="71">
        <v>1</v>
      </c>
      <c r="EL109" s="71">
        <v>1</v>
      </c>
      <c r="EM109" s="71" t="b">
        <v>0</v>
      </c>
      <c r="EO109" t="s">
        <v>376</v>
      </c>
      <c r="EP109">
        <v>10</v>
      </c>
      <c r="EQ109">
        <v>180</v>
      </c>
      <c r="ER109">
        <v>100</v>
      </c>
      <c r="ES109" s="74">
        <f ca="1">INDIRECT(ADDRESS(11+(MATCH(RIGHT(Table18[[#This Row],[spawner_sku]],LEN(Table18[[#This Row],[spawner_sku]])-FIND("/",Table18[[#This Row],[spawner_sku]])),Table1[Entity Prefab],0)),10,1,1,"Entities"))</f>
        <v>25</v>
      </c>
      <c r="ET109" s="74">
        <f ca="1">ROUND((Table18[[#This Row],[XP]]*Table18[[#This Row],[entity_spawned (AVG)]])*(Table18[[#This Row],[activating_chance]]/100),0)</f>
        <v>250</v>
      </c>
      <c r="EU109" s="74" t="str">
        <f ca="1">INDIRECT(ADDRESS(11+(MATCH(RIGHT(Table18[[#This Row],[spawner_sku]],LEN(Table18[[#This Row],[spawner_sku]])-FIND("/",Table18[[#This Row],[spawner_sku]])),Table28[Entity Prefab],0)),26,1,1,"Entities"))</f>
        <v>no</v>
      </c>
      <c r="EV109">
        <v>8</v>
      </c>
      <c r="EW109">
        <v>12</v>
      </c>
      <c r="EX109" t="b">
        <v>1</v>
      </c>
      <c r="EZ109" t="s">
        <v>321</v>
      </c>
      <c r="FA109">
        <v>1</v>
      </c>
      <c r="FB109">
        <v>300</v>
      </c>
      <c r="FC109">
        <v>100</v>
      </c>
      <c r="FD109" s="74">
        <f ca="1">INDIRECT(ADDRESS(11+(MATCH(RIGHT(Table1820[[#This Row],[spawner_sku]],LEN(Table1820[[#This Row],[spawner_sku]])-FIND("/",Table1820[[#This Row],[spawner_sku]])),Table1[Entity Prefab],0)),10,1,1,"Entities"))</f>
        <v>195</v>
      </c>
      <c r="FE109" s="74">
        <f ca="1">ROUND((Table1820[[#This Row],[XP]]*Table1820[[#This Row],[entity_spawned (AVG)]])*(Table1820[[#This Row],[activating_chance]]/100),0)</f>
        <v>195</v>
      </c>
      <c r="FF109" s="74" t="str">
        <f ca="1">INDIRECT(ADDRESS(11+(MATCH(RIGHT(Table1820[[#This Row],[spawner_sku]],LEN(Table1820[[#This Row],[spawner_sku]])-FIND("/",Table1820[[#This Row],[spawner_sku]])),Table28[Entity Prefab],0)),26,1,1,"Entities"))</f>
        <v>yes</v>
      </c>
      <c r="FG109">
        <v>1</v>
      </c>
      <c r="FH109">
        <v>1</v>
      </c>
      <c r="FI109" t="b">
        <v>0</v>
      </c>
      <c r="FK109" t="s">
        <v>2693</v>
      </c>
      <c r="FL109">
        <v>1</v>
      </c>
      <c r="FM109">
        <v>100</v>
      </c>
      <c r="FN109">
        <v>100</v>
      </c>
      <c r="FO109">
        <f ca="1">INDIRECT(ADDRESS(11+(MATCH(RIGHT(Table182023[[#This Row],[spawner_sku]],LEN(Table182023[[#This Row],[spawner_sku]])-FIND("/",Table182023[[#This Row],[spawner_sku]])),Table1[Entity Prefab],0)),10,1,1,"Entities"))</f>
        <v>130</v>
      </c>
      <c r="FP109">
        <f ca="1">ROUND((Table182023[[#This Row],[XP]]*Table182023[[#This Row],[entity_spawned (AVG)]])*(Table182023[[#This Row],[activating_chance]]/100),0)</f>
        <v>130</v>
      </c>
      <c r="FQ109" t="str">
        <f ca="1">INDIRECT(ADDRESS(11+(MATCH(RIGHT(Table182023[[#This Row],[spawner_sku]],LEN(Table182023[[#This Row],[spawner_sku]])-FIND("/",Table182023[[#This Row],[spawner_sku]])),Table28[Entity Prefab],0)),26,1,1,"Entities"))</f>
        <v>yes</v>
      </c>
      <c r="FR109">
        <v>1</v>
      </c>
      <c r="FS109">
        <v>1</v>
      </c>
      <c r="FT109" t="b">
        <v>0</v>
      </c>
      <c r="FV109" t="s">
        <v>2705</v>
      </c>
      <c r="FW109">
        <v>3</v>
      </c>
      <c r="FX109">
        <v>120</v>
      </c>
      <c r="FY109">
        <v>100</v>
      </c>
      <c r="FZ109" s="74">
        <f ca="1">INDIRECT(ADDRESS(11+(MATCH(RIGHT(Table18202324[[#This Row],[spawner_sku]],LEN(Table18202324[[#This Row],[spawner_sku]])-FIND("/",Table18202324[[#This Row],[spawner_sku]])),Table1[Entity Prefab],0)),10,1,1,"Entities"))</f>
        <v>130</v>
      </c>
      <c r="GA109" s="74">
        <f ca="1">ROUND((Table18202324[[#This Row],[XP]]*Table18202324[[#This Row],[entity_spawned (AVG)]])*(Table18202324[[#This Row],[activating_chance]]/100),0)</f>
        <v>390</v>
      </c>
      <c r="GB109" s="74" t="str">
        <f ca="1">INDIRECT(ADDRESS(11+(MATCH(RIGHT(Table18202324[[#This Row],[spawner_sku]],LEN(Table18202324[[#This Row],[spawner_sku]])-FIND("/",Table18202324[[#This Row],[spawner_sku]])),Table28[Entity Prefab],0)),26,1,1,"Entities"))</f>
        <v>yes</v>
      </c>
      <c r="GC109">
        <v>2</v>
      </c>
      <c r="GD109">
        <v>4</v>
      </c>
      <c r="GE109" t="b">
        <v>0</v>
      </c>
      <c r="GG109" t="s">
        <v>3816</v>
      </c>
      <c r="GH109">
        <v>1</v>
      </c>
      <c r="GI109">
        <v>240</v>
      </c>
      <c r="GJ109">
        <v>100</v>
      </c>
      <c r="GK109">
        <f ca="1">INDIRECT(ADDRESS(11+(MATCH(RIGHT(Table37[[#This Row],[spawner_sku]],LEN(Table37[[#This Row],[spawner_sku]])-FIND("/",Table37[[#This Row],[spawner_sku]])),Table1[Entity Prefab],0)),10,1,1,"Entities"))</f>
        <v>50</v>
      </c>
      <c r="GL109">
        <f ca="1">ROUND((Table37[[#This Row],[XP]]*Table37[[#This Row],[entity_spawned (AVG)]])*(Table37[[#This Row],[activating_chance]]/100),0)</f>
        <v>50</v>
      </c>
      <c r="GM109" t="str">
        <f ca="1">INDIRECT(ADDRESS(11+(MATCH(RIGHT(Table37[[#This Row],[spawner_sku]],LEN(Table37[[#This Row],[spawner_sku]])-FIND("/",Table37[[#This Row],[spawner_sku]])),Table28[Entity Prefab],0)),26,1,1,"Entities"))</f>
        <v>no</v>
      </c>
      <c r="GN109">
        <v>1</v>
      </c>
      <c r="GO109">
        <v>1</v>
      </c>
      <c r="GP109" t="b">
        <v>0</v>
      </c>
    </row>
    <row r="110" spans="2:198" x14ac:dyDescent="0.25">
      <c r="B110" s="72" t="s">
        <v>215</v>
      </c>
      <c r="C110">
        <v>1.5</v>
      </c>
      <c r="D110">
        <v>180</v>
      </c>
      <c r="E110">
        <v>100</v>
      </c>
      <c r="F110" s="74">
        <f ca="1">INDIRECT(ADDRESS(11+(MATCH(RIGHT(Table245[[#This Row],[spawner_sku]],LEN(Table245[[#This Row],[spawner_sku]])-FIND("/",Table245[[#This Row],[spawner_sku]])),Table1[Entity Prefab],0)),10,1,1,"Entities"))</f>
        <v>25</v>
      </c>
      <c r="G110" s="74">
        <f ca="1">ROUND((Table245[[#This Row],[XP]]*Table245[[#This Row],[entity_spawned (AVG)]])*(Table245[[#This Row],[activating_chance]]/100),0)</f>
        <v>38</v>
      </c>
      <c r="H110" s="71" t="str">
        <f ca="1">INDIRECT(ADDRESS(11+(MATCH(RIGHT(Table245[[#This Row],[spawner_sku]],LEN(Table245[[#This Row],[spawner_sku]])-FIND("/",Table245[[#This Row],[spawner_sku]])),Table28[Entity Prefab],0)),24,1,1,"Entities"))</f>
        <v>no</v>
      </c>
      <c r="I110" s="71">
        <v>1</v>
      </c>
      <c r="J110" s="71">
        <v>2</v>
      </c>
      <c r="K110" s="71" t="b">
        <v>0</v>
      </c>
      <c r="M110" t="s">
        <v>242</v>
      </c>
      <c r="N110">
        <v>1</v>
      </c>
      <c r="O110">
        <v>180</v>
      </c>
      <c r="P110">
        <v>100</v>
      </c>
      <c r="Q110" s="74">
        <f ca="1">INDIRECT(ADDRESS(11+(MATCH(RIGHT(Table3[[#This Row],[spawner_sku]],LEN(Table3[[#This Row],[spawner_sku]])-FIND("/",Table3[[#This Row],[spawner_sku]])),Table1[Entity Prefab],0)),10,1,1,"Entities"))</f>
        <v>25</v>
      </c>
      <c r="R110" s="74">
        <f ca="1">ROUND((Table3[[#This Row],[XP]]*Table3[[#This Row],[entity_spawned (AVG)]])*(Table3[[#This Row],[activating_chance]]/100),0)</f>
        <v>25</v>
      </c>
      <c r="S110" t="str">
        <f ca="1">INDIRECT(ADDRESS(11+(MATCH(RIGHT(Table3[[#This Row],[spawner_sku]],LEN(Table3[[#This Row],[spawner_sku]])-FIND("/",Table3[[#This Row],[spawner_sku]])),Table28[Entity Prefab],0)),24,1,1,"Entities"))</f>
        <v>no</v>
      </c>
      <c r="T110">
        <v>1</v>
      </c>
      <c r="U110">
        <v>1</v>
      </c>
      <c r="V110" t="b">
        <v>0</v>
      </c>
      <c r="W110" s="71"/>
      <c r="AI110" t="s">
        <v>215</v>
      </c>
      <c r="AJ110">
        <v>3.5</v>
      </c>
      <c r="AK110">
        <v>100</v>
      </c>
      <c r="AL110">
        <v>100</v>
      </c>
      <c r="AM110" s="74">
        <f ca="1">INDIRECT(ADDRESS(11+(MATCH(RIGHT(Table2[[#This Row],[spawner_sku]],LEN(Table2[[#This Row],[spawner_sku]])-FIND("/",Table2[[#This Row],[spawner_sku]])),Table1[Entity Prefab],0)),10,1,1,"Entities"))</f>
        <v>25</v>
      </c>
      <c r="AN110" s="74">
        <f ca="1">ROUND((Table2[[#This Row],[XP]]*Table2[[#This Row],[entity_spawned (AVG)]])*(Table2[[#This Row],[activating_chance]]/100),0)</f>
        <v>88</v>
      </c>
      <c r="AO110" s="71" t="str">
        <f ca="1">INDIRECT(ADDRESS(11+(MATCH(RIGHT(Table2[[#This Row],[spawner_sku]],LEN(Table2[[#This Row],[spawner_sku]])-FIND("/",Table2[[#This Row],[spawner_sku]])),Table28[Entity Prefab],0)),24,1,1,"Entities"))</f>
        <v>no</v>
      </c>
      <c r="AP110" s="71">
        <v>3</v>
      </c>
      <c r="AQ110" s="71">
        <v>4</v>
      </c>
      <c r="AR110" s="71" t="b">
        <v>0</v>
      </c>
      <c r="AT110" t="s">
        <v>554</v>
      </c>
      <c r="AU110">
        <v>1</v>
      </c>
      <c r="AV110">
        <v>300</v>
      </c>
      <c r="AW110">
        <v>100</v>
      </c>
      <c r="AX110" s="74">
        <f ca="1">INDIRECT(ADDRESS(11+(MATCH(RIGHT(Table6[[#This Row],[spawner_sku]],LEN(Table6[[#This Row],[spawner_sku]])-FIND("/",Table6[[#This Row],[spawner_sku]])),Table1[Entity Prefab],0)),10,1,1,"Entities"))</f>
        <v>50</v>
      </c>
      <c r="AY110" s="74">
        <f ca="1">ROUND((Table6[[#This Row],[XP]]*Table6[[#This Row],[entity_spawned (AVG)]])*(Table6[[#This Row],[activating_chance]]/100),0)</f>
        <v>50</v>
      </c>
      <c r="AZ110" s="144" t="str">
        <f ca="1">INDIRECT(ADDRESS(11+(MATCH(RIGHT(Table6[[#This Row],[spawner_sku]],LEN(Table6[[#This Row],[spawner_sku]])-FIND("/",Table6[[#This Row],[spawner_sku]])),Table28[Entity Prefab],0)),24,1,1,"Entities"))</f>
        <v>yes</v>
      </c>
      <c r="BA110">
        <v>1</v>
      </c>
      <c r="BB110">
        <v>1</v>
      </c>
      <c r="BC110" t="b">
        <v>0</v>
      </c>
      <c r="BE110" t="s">
        <v>230</v>
      </c>
      <c r="BF110">
        <v>1</v>
      </c>
      <c r="BG110">
        <v>200</v>
      </c>
      <c r="BH110">
        <v>100</v>
      </c>
      <c r="BI110" s="74">
        <f ca="1">INDIRECT(ADDRESS(11+(MATCH(RIGHT(Table610[[#This Row],[spawner_sku]],LEN(Table610[[#This Row],[spawner_sku]])-FIND("/",Table610[[#This Row],[spawner_sku]])),Table1[Entity Prefab],0)),10,1,1,"Entities"))</f>
        <v>28</v>
      </c>
      <c r="BJ110" s="74">
        <f ca="1">ROUND((Table610[[#This Row],[XP]]*Table610[[#This Row],[entity_spawned (AVG)]])*(Table610[[#This Row],[activating_chance]]/100),0)</f>
        <v>28</v>
      </c>
      <c r="BK110" s="71" t="str">
        <f ca="1">INDIRECT(ADDRESS(11+(MATCH(RIGHT(Table610[[#This Row],[spawner_sku]],LEN(Table610[[#This Row],[spawner_sku]])-FIND("/",Table610[[#This Row],[spawner_sku]])),Table28[Entity Prefab],0)),24,1,1,"Entities"))</f>
        <v>no</v>
      </c>
      <c r="BL110">
        <v>1</v>
      </c>
      <c r="BM110">
        <v>1</v>
      </c>
      <c r="BN110" t="b">
        <v>0</v>
      </c>
      <c r="BP110" t="s">
        <v>219</v>
      </c>
      <c r="BQ110">
        <v>1</v>
      </c>
      <c r="BR110">
        <v>250</v>
      </c>
      <c r="BS110">
        <v>100</v>
      </c>
      <c r="BT110" s="74">
        <f ca="1">INDIRECT(ADDRESS(11+(MATCH(RIGHT(Table61011[[#This Row],[spawner_sku]],LEN(Table61011[[#This Row],[spawner_sku]])-FIND("/",Table61011[[#This Row],[spawner_sku]])),Table1[Entity Prefab],0)),10,1,1,"Entities"))</f>
        <v>143</v>
      </c>
      <c r="BU110" s="74">
        <f ca="1">ROUND((Table61011[[#This Row],[XP]]*Table61011[[#This Row],[entity_spawned (AVG)]])*(Table61011[[#This Row],[activating_chance]]/100),0)</f>
        <v>143</v>
      </c>
      <c r="BV110" s="71" t="str">
        <f ca="1">INDIRECT(ADDRESS(11+(MATCH(RIGHT(Table61011[[#This Row],[spawner_sku]],LEN(Table61011[[#This Row],[spawner_sku]])-FIND("/",Table61011[[#This Row],[spawner_sku]])),Table28[Entity Prefab],0)),24,1,1,"Entities"))</f>
        <v>yes</v>
      </c>
      <c r="BW110" s="71">
        <v>1</v>
      </c>
      <c r="BX110" s="71">
        <v>1</v>
      </c>
      <c r="BY110" s="71" t="b">
        <v>0</v>
      </c>
      <c r="BZ110" s="71"/>
      <c r="CA110" s="147" t="s">
        <v>8142</v>
      </c>
      <c r="CB110">
        <v>1</v>
      </c>
      <c r="CC110">
        <v>200</v>
      </c>
      <c r="CD110">
        <v>100</v>
      </c>
      <c r="CE110" s="74">
        <f ca="1">INDIRECT(ADDRESS(11+(MATCH(RIGHT(Table35[[#This Row],[spawner_sku]],LEN(Table35[[#This Row],[spawner_sku]])-FIND("/",Table35[[#This Row],[spawner_sku]])),Table1[Entity Prefab],0)),10,1,1,"Entities"))</f>
        <v>75</v>
      </c>
      <c r="CF110" s="74">
        <f ca="1">ROUND((Table35[[#This Row],[XP]]*Table35[[#This Row],[entity_spawned (AVG)]])*(Table35[[#This Row],[activating_chance]]/100),0)</f>
        <v>75</v>
      </c>
      <c r="CG110" s="144" t="str">
        <f ca="1">INDIRECT(ADDRESS(11+(MATCH(RIGHT(Table35[[#This Row],[spawner_sku]],LEN(Table35[[#This Row],[spawner_sku]])-FIND("/",Table35[[#This Row],[spawner_sku]])),Table28[Entity Prefab],0)),24,1,1,"Entities"))</f>
        <v>no</v>
      </c>
      <c r="CH110">
        <v>1</v>
      </c>
      <c r="CI110">
        <v>1</v>
      </c>
      <c r="CJ110" s="71" t="b">
        <v>0</v>
      </c>
      <c r="CL110" t="s">
        <v>215</v>
      </c>
      <c r="CM110">
        <v>2</v>
      </c>
      <c r="CN110">
        <v>180</v>
      </c>
      <c r="CO110">
        <v>100</v>
      </c>
      <c r="CP110" s="74">
        <f ca="1">INDIRECT(ADDRESS(11+(MATCH(RIGHT(Table11[[#This Row],[spawner_sku]],LEN(Table11[[#This Row],[spawner_sku]])-FIND("/",Table11[[#This Row],[spawner_sku]])),Table1[Entity Prefab],0)),10,1,1,"Entities"))</f>
        <v>25</v>
      </c>
      <c r="CQ110">
        <f ca="1">ROUND((Table11[[#This Row],[XP]]*Table11[[#This Row],[entity_spawned (AVG)]])*(Table11[[#This Row],[activating_chance]]/100),0)</f>
        <v>50</v>
      </c>
      <c r="CR110" s="144" t="str">
        <f ca="1">INDIRECT(ADDRESS(11+(MATCH(RIGHT(Table11[[#This Row],[spawner_sku]],LEN(Table11[[#This Row],[spawner_sku]])-FIND("/",Table11[[#This Row],[spawner_sku]])),Table28[Entity Prefab],0)),25,1,1,"Entities"))</f>
        <v>no</v>
      </c>
      <c r="CS110" s="71">
        <v>2</v>
      </c>
      <c r="CT110" s="71">
        <v>2</v>
      </c>
      <c r="CU110" s="71" t="b">
        <v>0</v>
      </c>
      <c r="CW110" t="s">
        <v>377</v>
      </c>
      <c r="CX110">
        <v>1</v>
      </c>
      <c r="CY110">
        <v>120</v>
      </c>
      <c r="CZ110">
        <v>80</v>
      </c>
      <c r="DA110" s="74">
        <f ca="1">INDIRECT(ADDRESS(11+(MATCH(RIGHT(Table12[[#This Row],[spawner_sku]],LEN(Table12[[#This Row],[spawner_sku]])-FIND("/",Table12[[#This Row],[spawner_sku]])),Table1[Entity Prefab],0)),10,1,1,"Entities"))</f>
        <v>25</v>
      </c>
      <c r="DB110" s="74">
        <f ca="1">ROUND((Table12[[#This Row],[XP]]*Table12[[#This Row],[entity_spawned (AVG)]])*(Table12[[#This Row],[activating_chance]]/100),0)</f>
        <v>20</v>
      </c>
      <c r="DC110" s="144" t="str">
        <f ca="1">INDIRECT(ADDRESS(11+(MATCH(RIGHT(Table12[[#This Row],[spawner_sku]],LEN(Table12[[#This Row],[spawner_sku]])-FIND("/",Table12[[#This Row],[spawner_sku]])),Table28[Entity Prefab],0)),25,1,1,"Entities"))</f>
        <v>no</v>
      </c>
      <c r="DD110" s="71">
        <v>1</v>
      </c>
      <c r="DE110" s="71">
        <v>1</v>
      </c>
      <c r="DF110" s="71" t="b">
        <v>0</v>
      </c>
      <c r="DH110" t="s">
        <v>369</v>
      </c>
      <c r="DI110">
        <v>1</v>
      </c>
      <c r="DJ110">
        <v>220</v>
      </c>
      <c r="DK110">
        <v>80</v>
      </c>
      <c r="DL110" s="74">
        <f ca="1">INDIRECT(ADDRESS(11+(MATCH(RIGHT(Table13[[#This Row],[spawner_sku]],LEN(Table13[[#This Row],[spawner_sku]])-FIND("/",Table13[[#This Row],[spawner_sku]])),Table1[Entity Prefab],0)),10,1,1,"Entities"))</f>
        <v>75</v>
      </c>
      <c r="DM110" s="74">
        <f ca="1">ROUND((Table13[[#This Row],[XP]]*Table13[[#This Row],[entity_spawned (AVG)]])*(Table13[[#This Row],[activating_chance]]/100),0)</f>
        <v>60</v>
      </c>
      <c r="DN110" s="144" t="str">
        <f ca="1">INDIRECT(ADDRESS(11+(MATCH(RIGHT(Table13[[#This Row],[spawner_sku]],LEN(Table13[[#This Row],[spawner_sku]])-FIND("/",Table13[[#This Row],[spawner_sku]])),Table28[Entity Prefab],0)),25,1,1,"Entities"))</f>
        <v>yes</v>
      </c>
      <c r="DO110" s="71">
        <v>1</v>
      </c>
      <c r="DP110" s="71">
        <v>1</v>
      </c>
      <c r="DQ110" s="71" t="b">
        <v>0</v>
      </c>
      <c r="DS110" t="s">
        <v>214</v>
      </c>
      <c r="DT110">
        <v>3.5</v>
      </c>
      <c r="DU110">
        <v>100</v>
      </c>
      <c r="DV110">
        <v>100</v>
      </c>
      <c r="DW110" s="74">
        <f ca="1">INDIRECT(ADDRESS(11+(MATCH(RIGHT(Table14[[#This Row],[spawner_sku]],LEN(Table14[[#This Row],[spawner_sku]])-FIND("/",Table14[[#This Row],[spawner_sku]])),Table1[Entity Prefab],0)),10,1,1,"Entities"))</f>
        <v>25</v>
      </c>
      <c r="DX110" s="74">
        <f ca="1">ROUND((Table14[[#This Row],[XP]]*Table14[[#This Row],[entity_spawned (AVG)]])*(Table14[[#This Row],[activating_chance]]/100),0)</f>
        <v>88</v>
      </c>
      <c r="DY110" s="144" t="str">
        <f ca="1">INDIRECT(ADDRESS(11+(MATCH(RIGHT(Table14[[#This Row],[spawner_sku]],LEN(Table14[[#This Row],[spawner_sku]])-FIND("/",Table14[[#This Row],[spawner_sku]])),Table28[Entity Prefab],0)),25,1,1,"Entities"))</f>
        <v>no</v>
      </c>
      <c r="DZ110" s="71">
        <v>3</v>
      </c>
      <c r="EA110" s="71">
        <v>4</v>
      </c>
      <c r="EB110" s="71" t="b">
        <v>0</v>
      </c>
      <c r="EC110" s="71"/>
      <c r="ED110" s="147" t="s">
        <v>3820</v>
      </c>
      <c r="EE110" s="71">
        <v>1</v>
      </c>
      <c r="EF110" s="71">
        <v>240</v>
      </c>
      <c r="EG110" s="71">
        <v>100</v>
      </c>
      <c r="EH110" s="71">
        <f ca="1">INDIRECT(ADDRESS(11+(MATCH(RIGHT(Table36[[#This Row],[spawner_sku]],LEN(Table36[[#This Row],[spawner_sku]])-FIND("/",Table36[[#This Row],[spawner_sku]])),Table1[Entity Prefab],0)),10,1,1,"Entities"))</f>
        <v>10</v>
      </c>
      <c r="EI110" s="71">
        <f ca="1">ROUND((Table36[[#This Row],[XP]]*Table36[[#This Row],[entity_spawned (AVG)]])*(Table36[[#This Row],[activating_chance]]/100),0)</f>
        <v>10</v>
      </c>
      <c r="EJ110" s="71" t="str">
        <f ca="1">INDIRECT(ADDRESS(11+(MATCH(RIGHT(Table36[[#This Row],[spawner_sku]],LEN(Table36[[#This Row],[spawner_sku]])-FIND("/",Table36[[#This Row],[spawner_sku]])),Table28[Entity Prefab],0)),25,1,1,"Entities"))</f>
        <v>no</v>
      </c>
      <c r="EK110" s="71">
        <v>1</v>
      </c>
      <c r="EL110" s="71">
        <v>1</v>
      </c>
      <c r="EM110" s="71" t="b">
        <v>0</v>
      </c>
      <c r="EO110" t="s">
        <v>376</v>
      </c>
      <c r="EP110">
        <v>8</v>
      </c>
      <c r="EQ110">
        <v>100</v>
      </c>
      <c r="ER110">
        <v>100</v>
      </c>
      <c r="ES110" s="74">
        <f ca="1">INDIRECT(ADDRESS(11+(MATCH(RIGHT(Table18[[#This Row],[spawner_sku]],LEN(Table18[[#This Row],[spawner_sku]])-FIND("/",Table18[[#This Row],[spawner_sku]])),Table1[Entity Prefab],0)),10,1,1,"Entities"))</f>
        <v>25</v>
      </c>
      <c r="ET110" s="74">
        <f ca="1">ROUND((Table18[[#This Row],[XP]]*Table18[[#This Row],[entity_spawned (AVG)]])*(Table18[[#This Row],[activating_chance]]/100),0)</f>
        <v>200</v>
      </c>
      <c r="EU110" s="74" t="str">
        <f ca="1">INDIRECT(ADDRESS(11+(MATCH(RIGHT(Table18[[#This Row],[spawner_sku]],LEN(Table18[[#This Row],[spawner_sku]])-FIND("/",Table18[[#This Row],[spawner_sku]])),Table28[Entity Prefab],0)),26,1,1,"Entities"))</f>
        <v>no</v>
      </c>
      <c r="EV110">
        <v>6</v>
      </c>
      <c r="EW110">
        <v>10</v>
      </c>
      <c r="EX110" t="b">
        <v>1</v>
      </c>
      <c r="EZ110" t="s">
        <v>321</v>
      </c>
      <c r="FA110">
        <v>1</v>
      </c>
      <c r="FB110">
        <v>300</v>
      </c>
      <c r="FC110">
        <v>100</v>
      </c>
      <c r="FD110" s="74">
        <f ca="1">INDIRECT(ADDRESS(11+(MATCH(RIGHT(Table1820[[#This Row],[spawner_sku]],LEN(Table1820[[#This Row],[spawner_sku]])-FIND("/",Table1820[[#This Row],[spawner_sku]])),Table1[Entity Prefab],0)),10,1,1,"Entities"))</f>
        <v>195</v>
      </c>
      <c r="FE110" s="74">
        <f ca="1">ROUND((Table1820[[#This Row],[XP]]*Table1820[[#This Row],[entity_spawned (AVG)]])*(Table1820[[#This Row],[activating_chance]]/100),0)</f>
        <v>195</v>
      </c>
      <c r="FF110" s="74" t="str">
        <f ca="1">INDIRECT(ADDRESS(11+(MATCH(RIGHT(Table1820[[#This Row],[spawner_sku]],LEN(Table1820[[#This Row],[spawner_sku]])-FIND("/",Table1820[[#This Row],[spawner_sku]])),Table28[Entity Prefab],0)),26,1,1,"Entities"))</f>
        <v>yes</v>
      </c>
      <c r="FG110">
        <v>1</v>
      </c>
      <c r="FH110">
        <v>1</v>
      </c>
      <c r="FI110" t="b">
        <v>0</v>
      </c>
      <c r="FK110" t="s">
        <v>2693</v>
      </c>
      <c r="FL110">
        <v>2.5</v>
      </c>
      <c r="FM110">
        <v>100</v>
      </c>
      <c r="FN110">
        <v>100</v>
      </c>
      <c r="FO110">
        <f ca="1">INDIRECT(ADDRESS(11+(MATCH(RIGHT(Table182023[[#This Row],[spawner_sku]],LEN(Table182023[[#This Row],[spawner_sku]])-FIND("/",Table182023[[#This Row],[spawner_sku]])),Table1[Entity Prefab],0)),10,1,1,"Entities"))</f>
        <v>130</v>
      </c>
      <c r="FP110">
        <f ca="1">ROUND((Table182023[[#This Row],[XP]]*Table182023[[#This Row],[entity_spawned (AVG)]])*(Table182023[[#This Row],[activating_chance]]/100),0)</f>
        <v>325</v>
      </c>
      <c r="FQ110" t="str">
        <f ca="1">INDIRECT(ADDRESS(11+(MATCH(RIGHT(Table182023[[#This Row],[spawner_sku]],LEN(Table182023[[#This Row],[spawner_sku]])-FIND("/",Table182023[[#This Row],[spawner_sku]])),Table28[Entity Prefab],0)),26,1,1,"Entities"))</f>
        <v>yes</v>
      </c>
      <c r="FR110">
        <v>2</v>
      </c>
      <c r="FS110">
        <v>3</v>
      </c>
      <c r="FT110" t="b">
        <v>0</v>
      </c>
      <c r="FV110" t="s">
        <v>2705</v>
      </c>
      <c r="FW110">
        <v>3.5</v>
      </c>
      <c r="FX110">
        <v>120</v>
      </c>
      <c r="FY110">
        <v>100</v>
      </c>
      <c r="FZ110" s="74">
        <f ca="1">INDIRECT(ADDRESS(11+(MATCH(RIGHT(Table18202324[[#This Row],[spawner_sku]],LEN(Table18202324[[#This Row],[spawner_sku]])-FIND("/",Table18202324[[#This Row],[spawner_sku]])),Table1[Entity Prefab],0)),10,1,1,"Entities"))</f>
        <v>130</v>
      </c>
      <c r="GA110" s="74">
        <f ca="1">ROUND((Table18202324[[#This Row],[XP]]*Table18202324[[#This Row],[entity_spawned (AVG)]])*(Table18202324[[#This Row],[activating_chance]]/100),0)</f>
        <v>455</v>
      </c>
      <c r="GB110" s="74" t="str">
        <f ca="1">INDIRECT(ADDRESS(11+(MATCH(RIGHT(Table18202324[[#This Row],[spawner_sku]],LEN(Table18202324[[#This Row],[spawner_sku]])-FIND("/",Table18202324[[#This Row],[spawner_sku]])),Table28[Entity Prefab],0)),26,1,1,"Entities"))</f>
        <v>yes</v>
      </c>
      <c r="GC110">
        <v>3</v>
      </c>
      <c r="GD110">
        <v>4</v>
      </c>
      <c r="GE110" t="b">
        <v>0</v>
      </c>
      <c r="GG110" t="s">
        <v>3816</v>
      </c>
      <c r="GH110">
        <v>1</v>
      </c>
      <c r="GI110">
        <v>240</v>
      </c>
      <c r="GJ110">
        <v>100</v>
      </c>
      <c r="GK110">
        <f ca="1">INDIRECT(ADDRESS(11+(MATCH(RIGHT(Table37[[#This Row],[spawner_sku]],LEN(Table37[[#This Row],[spawner_sku]])-FIND("/",Table37[[#This Row],[spawner_sku]])),Table1[Entity Prefab],0)),10,1,1,"Entities"))</f>
        <v>50</v>
      </c>
      <c r="GL110">
        <f ca="1">ROUND((Table37[[#This Row],[XP]]*Table37[[#This Row],[entity_spawned (AVG)]])*(Table37[[#This Row],[activating_chance]]/100),0)</f>
        <v>50</v>
      </c>
      <c r="GM110" t="str">
        <f ca="1">INDIRECT(ADDRESS(11+(MATCH(RIGHT(Table37[[#This Row],[spawner_sku]],LEN(Table37[[#This Row],[spawner_sku]])-FIND("/",Table37[[#This Row],[spawner_sku]])),Table28[Entity Prefab],0)),26,1,1,"Entities"))</f>
        <v>no</v>
      </c>
      <c r="GN110">
        <v>1</v>
      </c>
      <c r="GO110">
        <v>1</v>
      </c>
      <c r="GP110" t="b">
        <v>0</v>
      </c>
    </row>
    <row r="111" spans="2:198" x14ac:dyDescent="0.25">
      <c r="B111" s="72" t="s">
        <v>215</v>
      </c>
      <c r="C111">
        <v>7</v>
      </c>
      <c r="D111">
        <v>150</v>
      </c>
      <c r="E111">
        <v>100</v>
      </c>
      <c r="F111" s="74">
        <f ca="1">INDIRECT(ADDRESS(11+(MATCH(RIGHT(Table245[[#This Row],[spawner_sku]],LEN(Table245[[#This Row],[spawner_sku]])-FIND("/",Table245[[#This Row],[spawner_sku]])),Table1[Entity Prefab],0)),10,1,1,"Entities"))</f>
        <v>25</v>
      </c>
      <c r="G111" s="74">
        <f ca="1">ROUND((Table245[[#This Row],[XP]]*Table245[[#This Row],[entity_spawned (AVG)]])*(Table245[[#This Row],[activating_chance]]/100),0)</f>
        <v>175</v>
      </c>
      <c r="H111" s="71" t="str">
        <f ca="1">INDIRECT(ADDRESS(11+(MATCH(RIGHT(Table245[[#This Row],[spawner_sku]],LEN(Table245[[#This Row],[spawner_sku]])-FIND("/",Table245[[#This Row],[spawner_sku]])),Table28[Entity Prefab],0)),24,1,1,"Entities"))</f>
        <v>no</v>
      </c>
      <c r="I111" s="71">
        <v>6</v>
      </c>
      <c r="J111" s="71">
        <v>8</v>
      </c>
      <c r="K111" s="71" t="b">
        <v>1</v>
      </c>
      <c r="M111" t="s">
        <v>242</v>
      </c>
      <c r="N111">
        <v>1</v>
      </c>
      <c r="O111">
        <v>180</v>
      </c>
      <c r="P111">
        <v>70</v>
      </c>
      <c r="Q111" s="74">
        <f ca="1">INDIRECT(ADDRESS(11+(MATCH(RIGHT(Table3[[#This Row],[spawner_sku]],LEN(Table3[[#This Row],[spawner_sku]])-FIND("/",Table3[[#This Row],[spawner_sku]])),Table1[Entity Prefab],0)),10,1,1,"Entities"))</f>
        <v>25</v>
      </c>
      <c r="R111" s="74">
        <f ca="1">ROUND((Table3[[#This Row],[XP]]*Table3[[#This Row],[entity_spawned (AVG)]])*(Table3[[#This Row],[activating_chance]]/100),0)</f>
        <v>18</v>
      </c>
      <c r="S111" t="str">
        <f ca="1">INDIRECT(ADDRESS(11+(MATCH(RIGHT(Table3[[#This Row],[spawner_sku]],LEN(Table3[[#This Row],[spawner_sku]])-FIND("/",Table3[[#This Row],[spawner_sku]])),Table28[Entity Prefab],0)),24,1,1,"Entities"))</f>
        <v>no</v>
      </c>
      <c r="T111">
        <v>1</v>
      </c>
      <c r="U111">
        <v>1</v>
      </c>
      <c r="V111" t="b">
        <v>0</v>
      </c>
      <c r="W111" s="71"/>
      <c r="AI111" t="s">
        <v>215</v>
      </c>
      <c r="AJ111">
        <v>2</v>
      </c>
      <c r="AK111">
        <v>120</v>
      </c>
      <c r="AL111">
        <v>80</v>
      </c>
      <c r="AM111" s="74">
        <f ca="1">INDIRECT(ADDRESS(11+(MATCH(RIGHT(Table2[[#This Row],[spawner_sku]],LEN(Table2[[#This Row],[spawner_sku]])-FIND("/",Table2[[#This Row],[spawner_sku]])),Table1[Entity Prefab],0)),10,1,1,"Entities"))</f>
        <v>25</v>
      </c>
      <c r="AN111" s="74">
        <f ca="1">ROUND((Table2[[#This Row],[XP]]*Table2[[#This Row],[entity_spawned (AVG)]])*(Table2[[#This Row],[activating_chance]]/100),0)</f>
        <v>40</v>
      </c>
      <c r="AO111" s="71" t="str">
        <f ca="1">INDIRECT(ADDRESS(11+(MATCH(RIGHT(Table2[[#This Row],[spawner_sku]],LEN(Table2[[#This Row],[spawner_sku]])-FIND("/",Table2[[#This Row],[spawner_sku]])),Table28[Entity Prefab],0)),24,1,1,"Entities"))</f>
        <v>no</v>
      </c>
      <c r="AP111" s="71">
        <v>1</v>
      </c>
      <c r="AQ111" s="71">
        <v>3</v>
      </c>
      <c r="AR111" s="71" t="b">
        <v>0</v>
      </c>
      <c r="AT111" t="s">
        <v>554</v>
      </c>
      <c r="AU111">
        <v>1</v>
      </c>
      <c r="AV111">
        <v>300</v>
      </c>
      <c r="AW111">
        <v>100</v>
      </c>
      <c r="AX111" s="74">
        <f ca="1">INDIRECT(ADDRESS(11+(MATCH(RIGHT(Table6[[#This Row],[spawner_sku]],LEN(Table6[[#This Row],[spawner_sku]])-FIND("/",Table6[[#This Row],[spawner_sku]])),Table1[Entity Prefab],0)),10,1,1,"Entities"))</f>
        <v>50</v>
      </c>
      <c r="AY111" s="74">
        <f ca="1">ROUND((Table6[[#This Row],[XP]]*Table6[[#This Row],[entity_spawned (AVG)]])*(Table6[[#This Row],[activating_chance]]/100),0)</f>
        <v>50</v>
      </c>
      <c r="AZ111" s="144" t="str">
        <f ca="1">INDIRECT(ADDRESS(11+(MATCH(RIGHT(Table6[[#This Row],[spawner_sku]],LEN(Table6[[#This Row],[spawner_sku]])-FIND("/",Table6[[#This Row],[spawner_sku]])),Table28[Entity Prefab],0)),24,1,1,"Entities"))</f>
        <v>yes</v>
      </c>
      <c r="BA111">
        <v>1</v>
      </c>
      <c r="BB111">
        <v>1</v>
      </c>
      <c r="BC111" t="b">
        <v>0</v>
      </c>
      <c r="BE111" t="s">
        <v>230</v>
      </c>
      <c r="BF111">
        <v>1</v>
      </c>
      <c r="BG111">
        <v>200</v>
      </c>
      <c r="BH111">
        <v>100</v>
      </c>
      <c r="BI111" s="74">
        <f ca="1">INDIRECT(ADDRESS(11+(MATCH(RIGHT(Table610[[#This Row],[spawner_sku]],LEN(Table610[[#This Row],[spawner_sku]])-FIND("/",Table610[[#This Row],[spawner_sku]])),Table1[Entity Prefab],0)),10,1,1,"Entities"))</f>
        <v>28</v>
      </c>
      <c r="BJ111" s="74">
        <f ca="1">ROUND((Table610[[#This Row],[XP]]*Table610[[#This Row],[entity_spawned (AVG)]])*(Table610[[#This Row],[activating_chance]]/100),0)</f>
        <v>28</v>
      </c>
      <c r="BK111" s="71" t="str">
        <f ca="1">INDIRECT(ADDRESS(11+(MATCH(RIGHT(Table610[[#This Row],[spawner_sku]],LEN(Table610[[#This Row],[spawner_sku]])-FIND("/",Table610[[#This Row],[spawner_sku]])),Table28[Entity Prefab],0)),24,1,1,"Entities"))</f>
        <v>no</v>
      </c>
      <c r="BL111">
        <v>1</v>
      </c>
      <c r="BM111">
        <v>1</v>
      </c>
      <c r="BN111" t="b">
        <v>0</v>
      </c>
      <c r="BP111" t="s">
        <v>219</v>
      </c>
      <c r="BQ111">
        <v>1</v>
      </c>
      <c r="BR111">
        <v>250</v>
      </c>
      <c r="BS111">
        <v>100</v>
      </c>
      <c r="BT111" s="74">
        <f ca="1">INDIRECT(ADDRESS(11+(MATCH(RIGHT(Table61011[[#This Row],[spawner_sku]],LEN(Table61011[[#This Row],[spawner_sku]])-FIND("/",Table61011[[#This Row],[spawner_sku]])),Table1[Entity Prefab],0)),10,1,1,"Entities"))</f>
        <v>143</v>
      </c>
      <c r="BU111" s="74">
        <f ca="1">ROUND((Table61011[[#This Row],[XP]]*Table61011[[#This Row],[entity_spawned (AVG)]])*(Table61011[[#This Row],[activating_chance]]/100),0)</f>
        <v>143</v>
      </c>
      <c r="BV111" s="71" t="str">
        <f ca="1">INDIRECT(ADDRESS(11+(MATCH(RIGHT(Table61011[[#This Row],[spawner_sku]],LEN(Table61011[[#This Row],[spawner_sku]])-FIND("/",Table61011[[#This Row],[spawner_sku]])),Table28[Entity Prefab],0)),24,1,1,"Entities"))</f>
        <v>yes</v>
      </c>
      <c r="BW111" s="71">
        <v>1</v>
      </c>
      <c r="BX111" s="71">
        <v>1</v>
      </c>
      <c r="BY111" s="71" t="b">
        <v>0</v>
      </c>
      <c r="BZ111" s="71"/>
      <c r="CA111" s="147" t="s">
        <v>8142</v>
      </c>
      <c r="CB111">
        <v>1</v>
      </c>
      <c r="CC111">
        <v>200</v>
      </c>
      <c r="CD111">
        <v>60</v>
      </c>
      <c r="CE111" s="74">
        <f ca="1">INDIRECT(ADDRESS(11+(MATCH(RIGHT(Table35[[#This Row],[spawner_sku]],LEN(Table35[[#This Row],[spawner_sku]])-FIND("/",Table35[[#This Row],[spawner_sku]])),Table1[Entity Prefab],0)),10,1,1,"Entities"))</f>
        <v>75</v>
      </c>
      <c r="CF111" s="74">
        <f ca="1">ROUND((Table35[[#This Row],[XP]]*Table35[[#This Row],[entity_spawned (AVG)]])*(Table35[[#This Row],[activating_chance]]/100),0)</f>
        <v>45</v>
      </c>
      <c r="CG111" s="144" t="str">
        <f ca="1">INDIRECT(ADDRESS(11+(MATCH(RIGHT(Table35[[#This Row],[spawner_sku]],LEN(Table35[[#This Row],[spawner_sku]])-FIND("/",Table35[[#This Row],[spawner_sku]])),Table28[Entity Prefab],0)),24,1,1,"Entities"))</f>
        <v>no</v>
      </c>
      <c r="CH111">
        <v>1</v>
      </c>
      <c r="CI111">
        <v>1</v>
      </c>
      <c r="CJ111" s="71" t="b">
        <v>0</v>
      </c>
      <c r="CL111" t="s">
        <v>215</v>
      </c>
      <c r="CM111">
        <v>3.5</v>
      </c>
      <c r="CN111">
        <v>180</v>
      </c>
      <c r="CO111">
        <v>100</v>
      </c>
      <c r="CP111" s="74">
        <f ca="1">INDIRECT(ADDRESS(11+(MATCH(RIGHT(Table11[[#This Row],[spawner_sku]],LEN(Table11[[#This Row],[spawner_sku]])-FIND("/",Table11[[#This Row],[spawner_sku]])),Table1[Entity Prefab],0)),10,1,1,"Entities"))</f>
        <v>25</v>
      </c>
      <c r="CQ111">
        <f ca="1">ROUND((Table11[[#This Row],[XP]]*Table11[[#This Row],[entity_spawned (AVG)]])*(Table11[[#This Row],[activating_chance]]/100),0)</f>
        <v>88</v>
      </c>
      <c r="CR111" s="144" t="str">
        <f ca="1">INDIRECT(ADDRESS(11+(MATCH(RIGHT(Table11[[#This Row],[spawner_sku]],LEN(Table11[[#This Row],[spawner_sku]])-FIND("/",Table11[[#This Row],[spawner_sku]])),Table28[Entity Prefab],0)),25,1,1,"Entities"))</f>
        <v>no</v>
      </c>
      <c r="CS111" s="71">
        <v>3</v>
      </c>
      <c r="CT111" s="71">
        <v>4</v>
      </c>
      <c r="CU111" s="71" t="b">
        <v>0</v>
      </c>
      <c r="CW111" t="s">
        <v>377</v>
      </c>
      <c r="CX111">
        <v>1</v>
      </c>
      <c r="CY111">
        <v>120</v>
      </c>
      <c r="CZ111">
        <v>100</v>
      </c>
      <c r="DA111" s="74">
        <f ca="1">INDIRECT(ADDRESS(11+(MATCH(RIGHT(Table12[[#This Row],[spawner_sku]],LEN(Table12[[#This Row],[spawner_sku]])-FIND("/",Table12[[#This Row],[spawner_sku]])),Table1[Entity Prefab],0)),10,1,1,"Entities"))</f>
        <v>25</v>
      </c>
      <c r="DB111" s="74">
        <f ca="1">ROUND((Table12[[#This Row],[XP]]*Table12[[#This Row],[entity_spawned (AVG)]])*(Table12[[#This Row],[activating_chance]]/100),0)</f>
        <v>25</v>
      </c>
      <c r="DC111" s="144" t="str">
        <f ca="1">INDIRECT(ADDRESS(11+(MATCH(RIGHT(Table12[[#This Row],[spawner_sku]],LEN(Table12[[#This Row],[spawner_sku]])-FIND("/",Table12[[#This Row],[spawner_sku]])),Table28[Entity Prefab],0)),25,1,1,"Entities"))</f>
        <v>no</v>
      </c>
      <c r="DD111" s="71">
        <v>1</v>
      </c>
      <c r="DE111" s="71">
        <v>1</v>
      </c>
      <c r="DF111" s="71" t="b">
        <v>0</v>
      </c>
      <c r="DH111" t="s">
        <v>369</v>
      </c>
      <c r="DI111">
        <v>1</v>
      </c>
      <c r="DJ111">
        <v>220</v>
      </c>
      <c r="DK111">
        <v>100</v>
      </c>
      <c r="DL111" s="74">
        <f ca="1">INDIRECT(ADDRESS(11+(MATCH(RIGHT(Table13[[#This Row],[spawner_sku]],LEN(Table13[[#This Row],[spawner_sku]])-FIND("/",Table13[[#This Row],[spawner_sku]])),Table1[Entity Prefab],0)),10,1,1,"Entities"))</f>
        <v>75</v>
      </c>
      <c r="DM111" s="74">
        <f ca="1">ROUND((Table13[[#This Row],[XP]]*Table13[[#This Row],[entity_spawned (AVG)]])*(Table13[[#This Row],[activating_chance]]/100),0)</f>
        <v>75</v>
      </c>
      <c r="DN111" s="144" t="str">
        <f ca="1">INDIRECT(ADDRESS(11+(MATCH(RIGHT(Table13[[#This Row],[spawner_sku]],LEN(Table13[[#This Row],[spawner_sku]])-FIND("/",Table13[[#This Row],[spawner_sku]])),Table28[Entity Prefab],0)),25,1,1,"Entities"))</f>
        <v>yes</v>
      </c>
      <c r="DO111" s="71">
        <v>1</v>
      </c>
      <c r="DP111" s="71">
        <v>1</v>
      </c>
      <c r="DQ111" s="71" t="b">
        <v>0</v>
      </c>
      <c r="DS111" t="s">
        <v>214</v>
      </c>
      <c r="DT111">
        <v>3.5</v>
      </c>
      <c r="DU111">
        <v>100</v>
      </c>
      <c r="DV111">
        <v>80</v>
      </c>
      <c r="DW111" s="74">
        <f ca="1">INDIRECT(ADDRESS(11+(MATCH(RIGHT(Table14[[#This Row],[spawner_sku]],LEN(Table14[[#This Row],[spawner_sku]])-FIND("/",Table14[[#This Row],[spawner_sku]])),Table1[Entity Prefab],0)),10,1,1,"Entities"))</f>
        <v>25</v>
      </c>
      <c r="DX111" s="74">
        <f ca="1">ROUND((Table14[[#This Row],[XP]]*Table14[[#This Row],[entity_spawned (AVG)]])*(Table14[[#This Row],[activating_chance]]/100),0)</f>
        <v>70</v>
      </c>
      <c r="DY111" s="144" t="str">
        <f ca="1">INDIRECT(ADDRESS(11+(MATCH(RIGHT(Table14[[#This Row],[spawner_sku]],LEN(Table14[[#This Row],[spawner_sku]])-FIND("/",Table14[[#This Row],[spawner_sku]])),Table28[Entity Prefab],0)),25,1,1,"Entities"))</f>
        <v>no</v>
      </c>
      <c r="DZ111" s="71">
        <v>3</v>
      </c>
      <c r="EA111" s="71">
        <v>4</v>
      </c>
      <c r="EB111" s="71" t="b">
        <v>0</v>
      </c>
      <c r="EC111" s="71"/>
      <c r="ED111" s="147" t="s">
        <v>3820</v>
      </c>
      <c r="EE111" s="71">
        <v>1</v>
      </c>
      <c r="EF111" s="71">
        <v>240</v>
      </c>
      <c r="EG111" s="71">
        <v>100</v>
      </c>
      <c r="EH111" s="71">
        <f ca="1">INDIRECT(ADDRESS(11+(MATCH(RIGHT(Table36[[#This Row],[spawner_sku]],LEN(Table36[[#This Row],[spawner_sku]])-FIND("/",Table36[[#This Row],[spawner_sku]])),Table1[Entity Prefab],0)),10,1,1,"Entities"))</f>
        <v>10</v>
      </c>
      <c r="EI111" s="71">
        <f ca="1">ROUND((Table36[[#This Row],[XP]]*Table36[[#This Row],[entity_spawned (AVG)]])*(Table36[[#This Row],[activating_chance]]/100),0)</f>
        <v>10</v>
      </c>
      <c r="EJ111" s="71" t="str">
        <f ca="1">INDIRECT(ADDRESS(11+(MATCH(RIGHT(Table36[[#This Row],[spawner_sku]],LEN(Table36[[#This Row],[spawner_sku]])-FIND("/",Table36[[#This Row],[spawner_sku]])),Table28[Entity Prefab],0)),25,1,1,"Entities"))</f>
        <v>no</v>
      </c>
      <c r="EK111" s="71">
        <v>1</v>
      </c>
      <c r="EL111" s="71">
        <v>1</v>
      </c>
      <c r="EM111" s="71" t="b">
        <v>0</v>
      </c>
      <c r="EO111" t="s">
        <v>376</v>
      </c>
      <c r="EP111">
        <v>12.5</v>
      </c>
      <c r="EQ111">
        <v>180</v>
      </c>
      <c r="ER111">
        <v>100</v>
      </c>
      <c r="ES111" s="74">
        <f ca="1">INDIRECT(ADDRESS(11+(MATCH(RIGHT(Table18[[#This Row],[spawner_sku]],LEN(Table18[[#This Row],[spawner_sku]])-FIND("/",Table18[[#This Row],[spawner_sku]])),Table1[Entity Prefab],0)),10,1,1,"Entities"))</f>
        <v>25</v>
      </c>
      <c r="ET111" s="74">
        <f ca="1">ROUND((Table18[[#This Row],[XP]]*Table18[[#This Row],[entity_spawned (AVG)]])*(Table18[[#This Row],[activating_chance]]/100),0)</f>
        <v>313</v>
      </c>
      <c r="EU111" s="74" t="str">
        <f ca="1">INDIRECT(ADDRESS(11+(MATCH(RIGHT(Table18[[#This Row],[spawner_sku]],LEN(Table18[[#This Row],[spawner_sku]])-FIND("/",Table18[[#This Row],[spawner_sku]])),Table28[Entity Prefab],0)),26,1,1,"Entities"))</f>
        <v>no</v>
      </c>
      <c r="EV111">
        <v>10</v>
      </c>
      <c r="EW111">
        <v>15</v>
      </c>
      <c r="EX111" t="b">
        <v>1</v>
      </c>
      <c r="EZ111" t="s">
        <v>321</v>
      </c>
      <c r="FA111">
        <v>1</v>
      </c>
      <c r="FB111">
        <v>300</v>
      </c>
      <c r="FC111">
        <v>100</v>
      </c>
      <c r="FD111" s="74">
        <f ca="1">INDIRECT(ADDRESS(11+(MATCH(RIGHT(Table1820[[#This Row],[spawner_sku]],LEN(Table1820[[#This Row],[spawner_sku]])-FIND("/",Table1820[[#This Row],[spawner_sku]])),Table1[Entity Prefab],0)),10,1,1,"Entities"))</f>
        <v>195</v>
      </c>
      <c r="FE111" s="74">
        <f ca="1">ROUND((Table1820[[#This Row],[XP]]*Table1820[[#This Row],[entity_spawned (AVG)]])*(Table1820[[#This Row],[activating_chance]]/100),0)</f>
        <v>195</v>
      </c>
      <c r="FF111" s="74" t="str">
        <f ca="1">INDIRECT(ADDRESS(11+(MATCH(RIGHT(Table1820[[#This Row],[spawner_sku]],LEN(Table1820[[#This Row],[spawner_sku]])-FIND("/",Table1820[[#This Row],[spawner_sku]])),Table28[Entity Prefab],0)),26,1,1,"Entities"))</f>
        <v>yes</v>
      </c>
      <c r="FG111">
        <v>1</v>
      </c>
      <c r="FH111">
        <v>1</v>
      </c>
      <c r="FI111" t="b">
        <v>0</v>
      </c>
      <c r="FK111" t="s">
        <v>2693</v>
      </c>
      <c r="FL111">
        <v>2</v>
      </c>
      <c r="FM111">
        <v>100</v>
      </c>
      <c r="FN111">
        <v>80</v>
      </c>
      <c r="FO111">
        <f ca="1">INDIRECT(ADDRESS(11+(MATCH(RIGHT(Table182023[[#This Row],[spawner_sku]],LEN(Table182023[[#This Row],[spawner_sku]])-FIND("/",Table182023[[#This Row],[spawner_sku]])),Table1[Entity Prefab],0)),10,1,1,"Entities"))</f>
        <v>130</v>
      </c>
      <c r="FP111">
        <f ca="1">ROUND((Table182023[[#This Row],[XP]]*Table182023[[#This Row],[entity_spawned (AVG)]])*(Table182023[[#This Row],[activating_chance]]/100),0)</f>
        <v>208</v>
      </c>
      <c r="FQ111" t="str">
        <f ca="1">INDIRECT(ADDRESS(11+(MATCH(RIGHT(Table182023[[#This Row],[spawner_sku]],LEN(Table182023[[#This Row],[spawner_sku]])-FIND("/",Table182023[[#This Row],[spawner_sku]])),Table28[Entity Prefab],0)),26,1,1,"Entities"))</f>
        <v>yes</v>
      </c>
      <c r="FR111">
        <v>1</v>
      </c>
      <c r="FS111">
        <v>3</v>
      </c>
      <c r="FT111" t="b">
        <v>0</v>
      </c>
      <c r="FV111" t="s">
        <v>2705</v>
      </c>
      <c r="FW111">
        <v>2</v>
      </c>
      <c r="FX111">
        <v>120</v>
      </c>
      <c r="FY111">
        <v>100</v>
      </c>
      <c r="FZ111" s="74">
        <f ca="1">INDIRECT(ADDRESS(11+(MATCH(RIGHT(Table18202324[[#This Row],[spawner_sku]],LEN(Table18202324[[#This Row],[spawner_sku]])-FIND("/",Table18202324[[#This Row],[spawner_sku]])),Table1[Entity Prefab],0)),10,1,1,"Entities"))</f>
        <v>130</v>
      </c>
      <c r="GA111" s="74">
        <f ca="1">ROUND((Table18202324[[#This Row],[XP]]*Table18202324[[#This Row],[entity_spawned (AVG)]])*(Table18202324[[#This Row],[activating_chance]]/100),0)</f>
        <v>260</v>
      </c>
      <c r="GB111" s="74" t="str">
        <f ca="1">INDIRECT(ADDRESS(11+(MATCH(RIGHT(Table18202324[[#This Row],[spawner_sku]],LEN(Table18202324[[#This Row],[spawner_sku]])-FIND("/",Table18202324[[#This Row],[spawner_sku]])),Table28[Entity Prefab],0)),26,1,1,"Entities"))</f>
        <v>yes</v>
      </c>
      <c r="GC111">
        <v>1</v>
      </c>
      <c r="GD111">
        <v>3</v>
      </c>
      <c r="GE111" t="b">
        <v>0</v>
      </c>
      <c r="GG111" t="s">
        <v>3816</v>
      </c>
      <c r="GH111">
        <v>1</v>
      </c>
      <c r="GI111">
        <v>240</v>
      </c>
      <c r="GJ111">
        <v>100</v>
      </c>
      <c r="GK111">
        <f ca="1">INDIRECT(ADDRESS(11+(MATCH(RIGHT(Table37[[#This Row],[spawner_sku]],LEN(Table37[[#This Row],[spawner_sku]])-FIND("/",Table37[[#This Row],[spawner_sku]])),Table1[Entity Prefab],0)),10,1,1,"Entities"))</f>
        <v>50</v>
      </c>
      <c r="GL111">
        <f ca="1">ROUND((Table37[[#This Row],[XP]]*Table37[[#This Row],[entity_spawned (AVG)]])*(Table37[[#This Row],[activating_chance]]/100),0)</f>
        <v>50</v>
      </c>
      <c r="GM111" t="str">
        <f ca="1">INDIRECT(ADDRESS(11+(MATCH(RIGHT(Table37[[#This Row],[spawner_sku]],LEN(Table37[[#This Row],[spawner_sku]])-FIND("/",Table37[[#This Row],[spawner_sku]])),Table28[Entity Prefab],0)),26,1,1,"Entities"))</f>
        <v>no</v>
      </c>
      <c r="GN111">
        <v>1</v>
      </c>
      <c r="GO111">
        <v>1</v>
      </c>
      <c r="GP111" t="b">
        <v>0</v>
      </c>
    </row>
    <row r="112" spans="2:198" x14ac:dyDescent="0.25">
      <c r="B112" s="72" t="s">
        <v>215</v>
      </c>
      <c r="C112">
        <v>3</v>
      </c>
      <c r="D112">
        <v>130</v>
      </c>
      <c r="E112">
        <v>100</v>
      </c>
      <c r="F112" s="74">
        <f ca="1">INDIRECT(ADDRESS(11+(MATCH(RIGHT(Table245[[#This Row],[spawner_sku]],LEN(Table245[[#This Row],[spawner_sku]])-FIND("/",Table245[[#This Row],[spawner_sku]])),Table1[Entity Prefab],0)),10,1,1,"Entities"))</f>
        <v>25</v>
      </c>
      <c r="G112" s="74">
        <f ca="1">ROUND((Table245[[#This Row],[XP]]*Table245[[#This Row],[entity_spawned (AVG)]])*(Table245[[#This Row],[activating_chance]]/100),0)</f>
        <v>75</v>
      </c>
      <c r="H112" s="71" t="str">
        <f ca="1">INDIRECT(ADDRESS(11+(MATCH(RIGHT(Table245[[#This Row],[spawner_sku]],LEN(Table245[[#This Row],[spawner_sku]])-FIND("/",Table245[[#This Row],[spawner_sku]])),Table28[Entity Prefab],0)),24,1,1,"Entities"))</f>
        <v>no</v>
      </c>
      <c r="I112" s="71">
        <v>2</v>
      </c>
      <c r="J112" s="71">
        <v>4</v>
      </c>
      <c r="K112" s="71" t="b">
        <v>0</v>
      </c>
      <c r="M112" t="s">
        <v>242</v>
      </c>
      <c r="N112">
        <v>1</v>
      </c>
      <c r="O112">
        <v>170</v>
      </c>
      <c r="P112">
        <v>100</v>
      </c>
      <c r="Q112" s="74">
        <f ca="1">INDIRECT(ADDRESS(11+(MATCH(RIGHT(Table3[[#This Row],[spawner_sku]],LEN(Table3[[#This Row],[spawner_sku]])-FIND("/",Table3[[#This Row],[spawner_sku]])),Table1[Entity Prefab],0)),10,1,1,"Entities"))</f>
        <v>25</v>
      </c>
      <c r="R112" s="74">
        <f ca="1">ROUND((Table3[[#This Row],[XP]]*Table3[[#This Row],[entity_spawned (AVG)]])*(Table3[[#This Row],[activating_chance]]/100),0)</f>
        <v>25</v>
      </c>
      <c r="S112" t="str">
        <f ca="1">INDIRECT(ADDRESS(11+(MATCH(RIGHT(Table3[[#This Row],[spawner_sku]],LEN(Table3[[#This Row],[spawner_sku]])-FIND("/",Table3[[#This Row],[spawner_sku]])),Table28[Entity Prefab],0)),24,1,1,"Entities"))</f>
        <v>no</v>
      </c>
      <c r="T112">
        <v>1</v>
      </c>
      <c r="U112">
        <v>1</v>
      </c>
      <c r="V112" t="b">
        <v>0</v>
      </c>
      <c r="W112" s="71"/>
      <c r="AI112" t="s">
        <v>215</v>
      </c>
      <c r="AJ112">
        <v>3.5</v>
      </c>
      <c r="AK112">
        <v>170</v>
      </c>
      <c r="AL112">
        <v>100</v>
      </c>
      <c r="AM112" s="74">
        <f ca="1">INDIRECT(ADDRESS(11+(MATCH(RIGHT(Table2[[#This Row],[spawner_sku]],LEN(Table2[[#This Row],[spawner_sku]])-FIND("/",Table2[[#This Row],[spawner_sku]])),Table1[Entity Prefab],0)),10,1,1,"Entities"))</f>
        <v>25</v>
      </c>
      <c r="AN112" s="74">
        <f ca="1">ROUND((Table2[[#This Row],[XP]]*Table2[[#This Row],[entity_spawned (AVG)]])*(Table2[[#This Row],[activating_chance]]/100),0)</f>
        <v>88</v>
      </c>
      <c r="AO112" s="71" t="str">
        <f ca="1">INDIRECT(ADDRESS(11+(MATCH(RIGHT(Table2[[#This Row],[spawner_sku]],LEN(Table2[[#This Row],[spawner_sku]])-FIND("/",Table2[[#This Row],[spawner_sku]])),Table28[Entity Prefab],0)),24,1,1,"Entities"))</f>
        <v>no</v>
      </c>
      <c r="AP112" s="71">
        <v>3</v>
      </c>
      <c r="AQ112" s="71">
        <v>4</v>
      </c>
      <c r="AR112" s="71" t="b">
        <v>0</v>
      </c>
      <c r="AT112" t="s">
        <v>554</v>
      </c>
      <c r="AU112">
        <v>1</v>
      </c>
      <c r="AV112">
        <v>300</v>
      </c>
      <c r="AW112">
        <v>100</v>
      </c>
      <c r="AX112" s="74">
        <f ca="1">INDIRECT(ADDRESS(11+(MATCH(RIGHT(Table6[[#This Row],[spawner_sku]],LEN(Table6[[#This Row],[spawner_sku]])-FIND("/",Table6[[#This Row],[spawner_sku]])),Table1[Entity Prefab],0)),10,1,1,"Entities"))</f>
        <v>50</v>
      </c>
      <c r="AY112" s="74">
        <f ca="1">ROUND((Table6[[#This Row],[XP]]*Table6[[#This Row],[entity_spawned (AVG)]])*(Table6[[#This Row],[activating_chance]]/100),0)</f>
        <v>50</v>
      </c>
      <c r="AZ112" s="144" t="str">
        <f ca="1">INDIRECT(ADDRESS(11+(MATCH(RIGHT(Table6[[#This Row],[spawner_sku]],LEN(Table6[[#This Row],[spawner_sku]])-FIND("/",Table6[[#This Row],[spawner_sku]])),Table28[Entity Prefab],0)),24,1,1,"Entities"))</f>
        <v>yes</v>
      </c>
      <c r="BA112">
        <v>1</v>
      </c>
      <c r="BB112">
        <v>1</v>
      </c>
      <c r="BC112" t="b">
        <v>0</v>
      </c>
      <c r="BE112" t="s">
        <v>230</v>
      </c>
      <c r="BF112">
        <v>1</v>
      </c>
      <c r="BG112">
        <v>200</v>
      </c>
      <c r="BH112">
        <v>100</v>
      </c>
      <c r="BI112" s="74">
        <f ca="1">INDIRECT(ADDRESS(11+(MATCH(RIGHT(Table610[[#This Row],[spawner_sku]],LEN(Table610[[#This Row],[spawner_sku]])-FIND("/",Table610[[#This Row],[spawner_sku]])),Table1[Entity Prefab],0)),10,1,1,"Entities"))</f>
        <v>28</v>
      </c>
      <c r="BJ112" s="74">
        <f ca="1">ROUND((Table610[[#This Row],[XP]]*Table610[[#This Row],[entity_spawned (AVG)]])*(Table610[[#This Row],[activating_chance]]/100),0)</f>
        <v>28</v>
      </c>
      <c r="BK112" s="71" t="str">
        <f ca="1">INDIRECT(ADDRESS(11+(MATCH(RIGHT(Table610[[#This Row],[spawner_sku]],LEN(Table610[[#This Row],[spawner_sku]])-FIND("/",Table610[[#This Row],[spawner_sku]])),Table28[Entity Prefab],0)),24,1,1,"Entities"))</f>
        <v>no</v>
      </c>
      <c r="BL112">
        <v>1</v>
      </c>
      <c r="BM112">
        <v>1</v>
      </c>
      <c r="BN112" t="b">
        <v>0</v>
      </c>
      <c r="BP112" t="s">
        <v>219</v>
      </c>
      <c r="BQ112">
        <v>1</v>
      </c>
      <c r="BR112">
        <v>250</v>
      </c>
      <c r="BS112">
        <v>100</v>
      </c>
      <c r="BT112" s="74">
        <f ca="1">INDIRECT(ADDRESS(11+(MATCH(RIGHT(Table61011[[#This Row],[spawner_sku]],LEN(Table61011[[#This Row],[spawner_sku]])-FIND("/",Table61011[[#This Row],[spawner_sku]])),Table1[Entity Prefab],0)),10,1,1,"Entities"))</f>
        <v>143</v>
      </c>
      <c r="BU112" s="74">
        <f ca="1">ROUND((Table61011[[#This Row],[XP]]*Table61011[[#This Row],[entity_spawned (AVG)]])*(Table61011[[#This Row],[activating_chance]]/100),0)</f>
        <v>143</v>
      </c>
      <c r="BV112" s="71" t="str">
        <f ca="1">INDIRECT(ADDRESS(11+(MATCH(RIGHT(Table61011[[#This Row],[spawner_sku]],LEN(Table61011[[#This Row],[spawner_sku]])-FIND("/",Table61011[[#This Row],[spawner_sku]])),Table28[Entity Prefab],0)),24,1,1,"Entities"))</f>
        <v>yes</v>
      </c>
      <c r="BW112" s="71">
        <v>1</v>
      </c>
      <c r="BX112" s="71">
        <v>1</v>
      </c>
      <c r="BY112" s="71" t="b">
        <v>0</v>
      </c>
      <c r="BZ112" s="71"/>
      <c r="CA112" s="147" t="s">
        <v>8142</v>
      </c>
      <c r="CB112">
        <v>1</v>
      </c>
      <c r="CC112">
        <v>200</v>
      </c>
      <c r="CD112">
        <v>80</v>
      </c>
      <c r="CE112" s="74">
        <f ca="1">INDIRECT(ADDRESS(11+(MATCH(RIGHT(Table35[[#This Row],[spawner_sku]],LEN(Table35[[#This Row],[spawner_sku]])-FIND("/",Table35[[#This Row],[spawner_sku]])),Table1[Entity Prefab],0)),10,1,1,"Entities"))</f>
        <v>75</v>
      </c>
      <c r="CF112" s="74">
        <f ca="1">ROUND((Table35[[#This Row],[XP]]*Table35[[#This Row],[entity_spawned (AVG)]])*(Table35[[#This Row],[activating_chance]]/100),0)</f>
        <v>60</v>
      </c>
      <c r="CG112" s="144" t="str">
        <f ca="1">INDIRECT(ADDRESS(11+(MATCH(RIGHT(Table35[[#This Row],[spawner_sku]],LEN(Table35[[#This Row],[spawner_sku]])-FIND("/",Table35[[#This Row],[spawner_sku]])),Table28[Entity Prefab],0)),24,1,1,"Entities"))</f>
        <v>no</v>
      </c>
      <c r="CH112">
        <v>1</v>
      </c>
      <c r="CI112">
        <v>1</v>
      </c>
      <c r="CJ112" s="71" t="b">
        <v>0</v>
      </c>
      <c r="CL112" t="s">
        <v>215</v>
      </c>
      <c r="CM112">
        <v>1.5</v>
      </c>
      <c r="CN112">
        <v>195</v>
      </c>
      <c r="CO112">
        <v>30</v>
      </c>
      <c r="CP112" s="74">
        <f ca="1">INDIRECT(ADDRESS(11+(MATCH(RIGHT(Table11[[#This Row],[spawner_sku]],LEN(Table11[[#This Row],[spawner_sku]])-FIND("/",Table11[[#This Row],[spawner_sku]])),Table1[Entity Prefab],0)),10,1,1,"Entities"))</f>
        <v>25</v>
      </c>
      <c r="CQ112">
        <f ca="1">ROUND((Table11[[#This Row],[XP]]*Table11[[#This Row],[entity_spawned (AVG)]])*(Table11[[#This Row],[activating_chance]]/100),0)</f>
        <v>11</v>
      </c>
      <c r="CR112" s="144" t="str">
        <f ca="1">INDIRECT(ADDRESS(11+(MATCH(RIGHT(Table11[[#This Row],[spawner_sku]],LEN(Table11[[#This Row],[spawner_sku]])-FIND("/",Table11[[#This Row],[spawner_sku]])),Table28[Entity Prefab],0)),25,1,1,"Entities"))</f>
        <v>no</v>
      </c>
      <c r="CS112" s="71">
        <v>1</v>
      </c>
      <c r="CT112" s="71">
        <v>2</v>
      </c>
      <c r="CU112" s="71" t="b">
        <v>0</v>
      </c>
      <c r="CW112" t="s">
        <v>377</v>
      </c>
      <c r="CX112">
        <v>1</v>
      </c>
      <c r="CY112">
        <v>120</v>
      </c>
      <c r="CZ112">
        <v>100</v>
      </c>
      <c r="DA112" s="74">
        <f ca="1">INDIRECT(ADDRESS(11+(MATCH(RIGHT(Table12[[#This Row],[spawner_sku]],LEN(Table12[[#This Row],[spawner_sku]])-FIND("/",Table12[[#This Row],[spawner_sku]])),Table1[Entity Prefab],0)),10,1,1,"Entities"))</f>
        <v>25</v>
      </c>
      <c r="DB112" s="74">
        <f ca="1">ROUND((Table12[[#This Row],[XP]]*Table12[[#This Row],[entity_spawned (AVG)]])*(Table12[[#This Row],[activating_chance]]/100),0)</f>
        <v>25</v>
      </c>
      <c r="DC112" s="144" t="str">
        <f ca="1">INDIRECT(ADDRESS(11+(MATCH(RIGHT(Table12[[#This Row],[spawner_sku]],LEN(Table12[[#This Row],[spawner_sku]])-FIND("/",Table12[[#This Row],[spawner_sku]])),Table28[Entity Prefab],0)),25,1,1,"Entities"))</f>
        <v>no</v>
      </c>
      <c r="DD112" s="71">
        <v>1</v>
      </c>
      <c r="DE112" s="71">
        <v>1</v>
      </c>
      <c r="DF112" s="71" t="b">
        <v>0</v>
      </c>
      <c r="DH112" t="s">
        <v>369</v>
      </c>
      <c r="DI112">
        <v>1</v>
      </c>
      <c r="DJ112">
        <v>220</v>
      </c>
      <c r="DK112">
        <v>100</v>
      </c>
      <c r="DL112" s="74">
        <f ca="1">INDIRECT(ADDRESS(11+(MATCH(RIGHT(Table13[[#This Row],[spawner_sku]],LEN(Table13[[#This Row],[spawner_sku]])-FIND("/",Table13[[#This Row],[spawner_sku]])),Table1[Entity Prefab],0)),10,1,1,"Entities"))</f>
        <v>75</v>
      </c>
      <c r="DM112" s="74">
        <f ca="1">ROUND((Table13[[#This Row],[XP]]*Table13[[#This Row],[entity_spawned (AVG)]])*(Table13[[#This Row],[activating_chance]]/100),0)</f>
        <v>75</v>
      </c>
      <c r="DN112" s="144" t="str">
        <f ca="1">INDIRECT(ADDRESS(11+(MATCH(RIGHT(Table13[[#This Row],[spawner_sku]],LEN(Table13[[#This Row],[spawner_sku]])-FIND("/",Table13[[#This Row],[spawner_sku]])),Table28[Entity Prefab],0)),25,1,1,"Entities"))</f>
        <v>yes</v>
      </c>
      <c r="DO112" s="71">
        <v>1</v>
      </c>
      <c r="DP112" s="71">
        <v>1</v>
      </c>
      <c r="DQ112" s="71" t="b">
        <v>0</v>
      </c>
      <c r="DS112" t="s">
        <v>214</v>
      </c>
      <c r="DT112">
        <v>3.5</v>
      </c>
      <c r="DU112">
        <v>100</v>
      </c>
      <c r="DV112">
        <v>100</v>
      </c>
      <c r="DW112" s="74">
        <f ca="1">INDIRECT(ADDRESS(11+(MATCH(RIGHT(Table14[[#This Row],[spawner_sku]],LEN(Table14[[#This Row],[spawner_sku]])-FIND("/",Table14[[#This Row],[spawner_sku]])),Table1[Entity Prefab],0)),10,1,1,"Entities"))</f>
        <v>25</v>
      </c>
      <c r="DX112" s="74">
        <f ca="1">ROUND((Table14[[#This Row],[XP]]*Table14[[#This Row],[entity_spawned (AVG)]])*(Table14[[#This Row],[activating_chance]]/100),0)</f>
        <v>88</v>
      </c>
      <c r="DY112" s="144" t="str">
        <f ca="1">INDIRECT(ADDRESS(11+(MATCH(RIGHT(Table14[[#This Row],[spawner_sku]],LEN(Table14[[#This Row],[spawner_sku]])-FIND("/",Table14[[#This Row],[spawner_sku]])),Table28[Entity Prefab],0)),25,1,1,"Entities"))</f>
        <v>no</v>
      </c>
      <c r="DZ112" s="71">
        <v>3</v>
      </c>
      <c r="EA112" s="71">
        <v>4</v>
      </c>
      <c r="EB112" s="71" t="b">
        <v>0</v>
      </c>
      <c r="EC112" s="71"/>
      <c r="ED112" s="147" t="s">
        <v>3820</v>
      </c>
      <c r="EE112" s="71">
        <v>1</v>
      </c>
      <c r="EF112" s="71">
        <v>240</v>
      </c>
      <c r="EG112" s="71">
        <v>100</v>
      </c>
      <c r="EH112" s="71">
        <f ca="1">INDIRECT(ADDRESS(11+(MATCH(RIGHT(Table36[[#This Row],[spawner_sku]],LEN(Table36[[#This Row],[spawner_sku]])-FIND("/",Table36[[#This Row],[spawner_sku]])),Table1[Entity Prefab],0)),10,1,1,"Entities"))</f>
        <v>10</v>
      </c>
      <c r="EI112" s="71">
        <f ca="1">ROUND((Table36[[#This Row],[XP]]*Table36[[#This Row],[entity_spawned (AVG)]])*(Table36[[#This Row],[activating_chance]]/100),0)</f>
        <v>10</v>
      </c>
      <c r="EJ112" s="71" t="str">
        <f ca="1">INDIRECT(ADDRESS(11+(MATCH(RIGHT(Table36[[#This Row],[spawner_sku]],LEN(Table36[[#This Row],[spawner_sku]])-FIND("/",Table36[[#This Row],[spawner_sku]])),Table28[Entity Prefab],0)),25,1,1,"Entities"))</f>
        <v>no</v>
      </c>
      <c r="EK112" s="71">
        <v>1</v>
      </c>
      <c r="EL112" s="71">
        <v>1</v>
      </c>
      <c r="EM112" s="71" t="b">
        <v>0</v>
      </c>
      <c r="EO112" t="s">
        <v>376</v>
      </c>
      <c r="EP112">
        <v>3.5</v>
      </c>
      <c r="EQ112">
        <v>100</v>
      </c>
      <c r="ER112">
        <v>10</v>
      </c>
      <c r="ES112" s="74">
        <f ca="1">INDIRECT(ADDRESS(11+(MATCH(RIGHT(Table18[[#This Row],[spawner_sku]],LEN(Table18[[#This Row],[spawner_sku]])-FIND("/",Table18[[#This Row],[spawner_sku]])),Table1[Entity Prefab],0)),10,1,1,"Entities"))</f>
        <v>25</v>
      </c>
      <c r="ET112" s="74">
        <f ca="1">ROUND((Table18[[#This Row],[XP]]*Table18[[#This Row],[entity_spawned (AVG)]])*(Table18[[#This Row],[activating_chance]]/100),0)</f>
        <v>9</v>
      </c>
      <c r="EU112" s="74" t="str">
        <f ca="1">INDIRECT(ADDRESS(11+(MATCH(RIGHT(Table18[[#This Row],[spawner_sku]],LEN(Table18[[#This Row],[spawner_sku]])-FIND("/",Table18[[#This Row],[spawner_sku]])),Table28[Entity Prefab],0)),26,1,1,"Entities"))</f>
        <v>no</v>
      </c>
      <c r="EV112">
        <v>3</v>
      </c>
      <c r="EW112">
        <v>4</v>
      </c>
      <c r="EX112" t="b">
        <v>0</v>
      </c>
      <c r="EZ112" t="s">
        <v>221</v>
      </c>
      <c r="FA112">
        <v>2</v>
      </c>
      <c r="FB112">
        <v>340</v>
      </c>
      <c r="FC112">
        <v>100</v>
      </c>
      <c r="FD112" s="74">
        <f ca="1">INDIRECT(ADDRESS(11+(MATCH(RIGHT(Table1820[[#This Row],[spawner_sku]],LEN(Table1820[[#This Row],[spawner_sku]])-FIND("/",Table1820[[#This Row],[spawner_sku]])),Table1[Entity Prefab],0)),10,1,1,"Entities"))</f>
        <v>263</v>
      </c>
      <c r="FE112" s="74">
        <f ca="1">ROUND((Table1820[[#This Row],[XP]]*Table1820[[#This Row],[entity_spawned (AVG)]])*(Table1820[[#This Row],[activating_chance]]/100),0)</f>
        <v>526</v>
      </c>
      <c r="FF112" s="74" t="str">
        <f ca="1">INDIRECT(ADDRESS(11+(MATCH(RIGHT(Table1820[[#This Row],[spawner_sku]],LEN(Table1820[[#This Row],[spawner_sku]])-FIND("/",Table1820[[#This Row],[spawner_sku]])),Table28[Entity Prefab],0)),26,1,1,"Entities"))</f>
        <v>yes</v>
      </c>
      <c r="FG112">
        <v>2</v>
      </c>
      <c r="FH112">
        <v>2</v>
      </c>
      <c r="FI112" t="b">
        <v>0</v>
      </c>
      <c r="FK112" t="s">
        <v>2693</v>
      </c>
      <c r="FL112">
        <v>1.5</v>
      </c>
      <c r="FM112">
        <v>100</v>
      </c>
      <c r="FN112">
        <v>100</v>
      </c>
      <c r="FO112">
        <f ca="1">INDIRECT(ADDRESS(11+(MATCH(RIGHT(Table182023[[#This Row],[spawner_sku]],LEN(Table182023[[#This Row],[spawner_sku]])-FIND("/",Table182023[[#This Row],[spawner_sku]])),Table1[Entity Prefab],0)),10,1,1,"Entities"))</f>
        <v>130</v>
      </c>
      <c r="FP112">
        <f ca="1">ROUND((Table182023[[#This Row],[XP]]*Table182023[[#This Row],[entity_spawned (AVG)]])*(Table182023[[#This Row],[activating_chance]]/100),0)</f>
        <v>195</v>
      </c>
      <c r="FQ112" t="str">
        <f ca="1">INDIRECT(ADDRESS(11+(MATCH(RIGHT(Table182023[[#This Row],[spawner_sku]],LEN(Table182023[[#This Row],[spawner_sku]])-FIND("/",Table182023[[#This Row],[spawner_sku]])),Table28[Entity Prefab],0)),26,1,1,"Entities"))</f>
        <v>yes</v>
      </c>
      <c r="FR112">
        <v>1</v>
      </c>
      <c r="FS112">
        <v>2</v>
      </c>
      <c r="FT112" t="b">
        <v>0</v>
      </c>
      <c r="FV112" t="s">
        <v>2692</v>
      </c>
      <c r="FW112">
        <v>2</v>
      </c>
      <c r="FX112">
        <v>250</v>
      </c>
      <c r="FY112">
        <v>100</v>
      </c>
      <c r="FZ112" s="74">
        <f ca="1">INDIRECT(ADDRESS(11+(MATCH(RIGHT(Table18202324[[#This Row],[spawner_sku]],LEN(Table18202324[[#This Row],[spawner_sku]])-FIND("/",Table18202324[[#This Row],[spawner_sku]])),Table1[Entity Prefab],0)),10,1,1,"Entities"))</f>
        <v>263</v>
      </c>
      <c r="GA112" s="74">
        <f ca="1">ROUND((Table18202324[[#This Row],[XP]]*Table18202324[[#This Row],[entity_spawned (AVG)]])*(Table18202324[[#This Row],[activating_chance]]/100),0)</f>
        <v>526</v>
      </c>
      <c r="GB112" s="74" t="str">
        <f ca="1">INDIRECT(ADDRESS(11+(MATCH(RIGHT(Table18202324[[#This Row],[spawner_sku]],LEN(Table18202324[[#This Row],[spawner_sku]])-FIND("/",Table18202324[[#This Row],[spawner_sku]])),Table28[Entity Prefab],0)),26,1,1,"Entities"))</f>
        <v>yes</v>
      </c>
      <c r="GC112">
        <v>1</v>
      </c>
      <c r="GD112">
        <v>3</v>
      </c>
      <c r="GE112" t="b">
        <v>0</v>
      </c>
      <c r="GG112" t="s">
        <v>3816</v>
      </c>
      <c r="GH112">
        <v>1</v>
      </c>
      <c r="GI112">
        <v>240</v>
      </c>
      <c r="GJ112">
        <v>100</v>
      </c>
      <c r="GK112">
        <f ca="1">INDIRECT(ADDRESS(11+(MATCH(RIGHT(Table37[[#This Row],[spawner_sku]],LEN(Table37[[#This Row],[spawner_sku]])-FIND("/",Table37[[#This Row],[spawner_sku]])),Table1[Entity Prefab],0)),10,1,1,"Entities"))</f>
        <v>50</v>
      </c>
      <c r="GL112">
        <f ca="1">ROUND((Table37[[#This Row],[XP]]*Table37[[#This Row],[entity_spawned (AVG)]])*(Table37[[#This Row],[activating_chance]]/100),0)</f>
        <v>50</v>
      </c>
      <c r="GM112" t="str">
        <f ca="1">INDIRECT(ADDRESS(11+(MATCH(RIGHT(Table37[[#This Row],[spawner_sku]],LEN(Table37[[#This Row],[spawner_sku]])-FIND("/",Table37[[#This Row],[spawner_sku]])),Table28[Entity Prefab],0)),26,1,1,"Entities"))</f>
        <v>no</v>
      </c>
      <c r="GN112">
        <v>1</v>
      </c>
      <c r="GO112">
        <v>1</v>
      </c>
      <c r="GP112" t="b">
        <v>0</v>
      </c>
    </row>
    <row r="113" spans="2:198" x14ac:dyDescent="0.25">
      <c r="B113" s="72" t="s">
        <v>215</v>
      </c>
      <c r="C113">
        <v>1</v>
      </c>
      <c r="D113">
        <v>80</v>
      </c>
      <c r="E113">
        <v>100</v>
      </c>
      <c r="F113" s="74">
        <f ca="1">INDIRECT(ADDRESS(11+(MATCH(RIGHT(Table245[[#This Row],[spawner_sku]],LEN(Table245[[#This Row],[spawner_sku]])-FIND("/",Table245[[#This Row],[spawner_sku]])),Table1[Entity Prefab],0)),10,1,1,"Entities"))</f>
        <v>25</v>
      </c>
      <c r="G113" s="74">
        <f ca="1">ROUND((Table245[[#This Row],[XP]]*Table245[[#This Row],[entity_spawned (AVG)]])*(Table245[[#This Row],[activating_chance]]/100),0)</f>
        <v>25</v>
      </c>
      <c r="H113" s="71" t="str">
        <f ca="1">INDIRECT(ADDRESS(11+(MATCH(RIGHT(Table245[[#This Row],[spawner_sku]],LEN(Table245[[#This Row],[spawner_sku]])-FIND("/",Table245[[#This Row],[spawner_sku]])),Table28[Entity Prefab],0)),24,1,1,"Entities"))</f>
        <v>no</v>
      </c>
      <c r="I113" s="71">
        <v>1</v>
      </c>
      <c r="J113" s="71">
        <v>1</v>
      </c>
      <c r="K113" s="71" t="b">
        <v>0</v>
      </c>
      <c r="M113" t="s">
        <v>242</v>
      </c>
      <c r="N113">
        <v>1</v>
      </c>
      <c r="O113">
        <v>90</v>
      </c>
      <c r="P113">
        <v>100</v>
      </c>
      <c r="Q113" s="74">
        <f ca="1">INDIRECT(ADDRESS(11+(MATCH(RIGHT(Table3[[#This Row],[spawner_sku]],LEN(Table3[[#This Row],[spawner_sku]])-FIND("/",Table3[[#This Row],[spawner_sku]])),Table1[Entity Prefab],0)),10,1,1,"Entities"))</f>
        <v>25</v>
      </c>
      <c r="R113" s="74">
        <f ca="1">ROUND((Table3[[#This Row],[XP]]*Table3[[#This Row],[entity_spawned (AVG)]])*(Table3[[#This Row],[activating_chance]]/100),0)</f>
        <v>25</v>
      </c>
      <c r="S113" t="str">
        <f ca="1">INDIRECT(ADDRESS(11+(MATCH(RIGHT(Table3[[#This Row],[spawner_sku]],LEN(Table3[[#This Row],[spawner_sku]])-FIND("/",Table3[[#This Row],[spawner_sku]])),Table28[Entity Prefab],0)),24,1,1,"Entities"))</f>
        <v>no</v>
      </c>
      <c r="T113">
        <v>1</v>
      </c>
      <c r="U113">
        <v>1</v>
      </c>
      <c r="V113" t="b">
        <v>0</v>
      </c>
      <c r="W113" s="71"/>
      <c r="AI113" t="s">
        <v>215</v>
      </c>
      <c r="AJ113">
        <v>3</v>
      </c>
      <c r="AK113">
        <v>160</v>
      </c>
      <c r="AL113">
        <v>100</v>
      </c>
      <c r="AM113" s="74">
        <f ca="1">INDIRECT(ADDRESS(11+(MATCH(RIGHT(Table2[[#This Row],[spawner_sku]],LEN(Table2[[#This Row],[spawner_sku]])-FIND("/",Table2[[#This Row],[spawner_sku]])),Table1[Entity Prefab],0)),10,1,1,"Entities"))</f>
        <v>25</v>
      </c>
      <c r="AN113" s="74">
        <f ca="1">ROUND((Table2[[#This Row],[XP]]*Table2[[#This Row],[entity_spawned (AVG)]])*(Table2[[#This Row],[activating_chance]]/100),0)</f>
        <v>75</v>
      </c>
      <c r="AO113" s="71" t="str">
        <f ca="1">INDIRECT(ADDRESS(11+(MATCH(RIGHT(Table2[[#This Row],[spawner_sku]],LEN(Table2[[#This Row],[spawner_sku]])-FIND("/",Table2[[#This Row],[spawner_sku]])),Table28[Entity Prefab],0)),24,1,1,"Entities"))</f>
        <v>no</v>
      </c>
      <c r="AP113" s="71">
        <v>2</v>
      </c>
      <c r="AQ113" s="71">
        <v>4</v>
      </c>
      <c r="AR113" s="71" t="b">
        <v>0</v>
      </c>
      <c r="AT113" t="s">
        <v>554</v>
      </c>
      <c r="AU113">
        <v>1</v>
      </c>
      <c r="AV113">
        <v>300</v>
      </c>
      <c r="AW113">
        <v>100</v>
      </c>
      <c r="AX113" s="74">
        <f ca="1">INDIRECT(ADDRESS(11+(MATCH(RIGHT(Table6[[#This Row],[spawner_sku]],LEN(Table6[[#This Row],[spawner_sku]])-FIND("/",Table6[[#This Row],[spawner_sku]])),Table1[Entity Prefab],0)),10,1,1,"Entities"))</f>
        <v>50</v>
      </c>
      <c r="AY113" s="74">
        <f ca="1">ROUND((Table6[[#This Row],[XP]]*Table6[[#This Row],[entity_spawned (AVG)]])*(Table6[[#This Row],[activating_chance]]/100),0)</f>
        <v>50</v>
      </c>
      <c r="AZ113" s="144" t="str">
        <f ca="1">INDIRECT(ADDRESS(11+(MATCH(RIGHT(Table6[[#This Row],[spawner_sku]],LEN(Table6[[#This Row],[spawner_sku]])-FIND("/",Table6[[#This Row],[spawner_sku]])),Table28[Entity Prefab],0)),24,1,1,"Entities"))</f>
        <v>yes</v>
      </c>
      <c r="BA113">
        <v>1</v>
      </c>
      <c r="BB113">
        <v>1</v>
      </c>
      <c r="BC113" t="b">
        <v>0</v>
      </c>
      <c r="BE113" t="s">
        <v>230</v>
      </c>
      <c r="BF113">
        <v>1</v>
      </c>
      <c r="BG113">
        <v>200</v>
      </c>
      <c r="BH113">
        <v>100</v>
      </c>
      <c r="BI113" s="74">
        <f ca="1">INDIRECT(ADDRESS(11+(MATCH(RIGHT(Table610[[#This Row],[spawner_sku]],LEN(Table610[[#This Row],[spawner_sku]])-FIND("/",Table610[[#This Row],[spawner_sku]])),Table1[Entity Prefab],0)),10,1,1,"Entities"))</f>
        <v>28</v>
      </c>
      <c r="BJ113" s="74">
        <f ca="1">ROUND((Table610[[#This Row],[XP]]*Table610[[#This Row],[entity_spawned (AVG)]])*(Table610[[#This Row],[activating_chance]]/100),0)</f>
        <v>28</v>
      </c>
      <c r="BK113" s="71" t="str">
        <f ca="1">INDIRECT(ADDRESS(11+(MATCH(RIGHT(Table610[[#This Row],[spawner_sku]],LEN(Table610[[#This Row],[spawner_sku]])-FIND("/",Table610[[#This Row],[spawner_sku]])),Table28[Entity Prefab],0)),24,1,1,"Entities"))</f>
        <v>no</v>
      </c>
      <c r="BL113">
        <v>1</v>
      </c>
      <c r="BM113">
        <v>1</v>
      </c>
      <c r="BN113" t="b">
        <v>0</v>
      </c>
      <c r="BP113" t="s">
        <v>219</v>
      </c>
      <c r="BQ113">
        <v>1</v>
      </c>
      <c r="BR113">
        <v>250</v>
      </c>
      <c r="BS113">
        <v>100</v>
      </c>
      <c r="BT113" s="74">
        <f ca="1">INDIRECT(ADDRESS(11+(MATCH(RIGHT(Table61011[[#This Row],[spawner_sku]],LEN(Table61011[[#This Row],[spawner_sku]])-FIND("/",Table61011[[#This Row],[spawner_sku]])),Table1[Entity Prefab],0)),10,1,1,"Entities"))</f>
        <v>143</v>
      </c>
      <c r="BU113" s="74">
        <f ca="1">ROUND((Table61011[[#This Row],[XP]]*Table61011[[#This Row],[entity_spawned (AVG)]])*(Table61011[[#This Row],[activating_chance]]/100),0)</f>
        <v>143</v>
      </c>
      <c r="BV113" s="71" t="str">
        <f ca="1">INDIRECT(ADDRESS(11+(MATCH(RIGHT(Table61011[[#This Row],[spawner_sku]],LEN(Table61011[[#This Row],[spawner_sku]])-FIND("/",Table61011[[#This Row],[spawner_sku]])),Table28[Entity Prefab],0)),24,1,1,"Entities"))</f>
        <v>yes</v>
      </c>
      <c r="BW113" s="71">
        <v>1</v>
      </c>
      <c r="BX113" s="71">
        <v>1</v>
      </c>
      <c r="BY113" s="71" t="b">
        <v>0</v>
      </c>
      <c r="BZ113" s="71"/>
      <c r="CA113" s="147" t="s">
        <v>8142</v>
      </c>
      <c r="CB113">
        <v>1</v>
      </c>
      <c r="CC113">
        <v>200</v>
      </c>
      <c r="CD113">
        <v>100</v>
      </c>
      <c r="CE113" s="74">
        <f ca="1">INDIRECT(ADDRESS(11+(MATCH(RIGHT(Table35[[#This Row],[spawner_sku]],LEN(Table35[[#This Row],[spawner_sku]])-FIND("/",Table35[[#This Row],[spawner_sku]])),Table1[Entity Prefab],0)),10,1,1,"Entities"))</f>
        <v>75</v>
      </c>
      <c r="CF113" s="74">
        <f ca="1">ROUND((Table35[[#This Row],[XP]]*Table35[[#This Row],[entity_spawned (AVG)]])*(Table35[[#This Row],[activating_chance]]/100),0)</f>
        <v>75</v>
      </c>
      <c r="CG113" s="144" t="str">
        <f ca="1">INDIRECT(ADDRESS(11+(MATCH(RIGHT(Table35[[#This Row],[spawner_sku]],LEN(Table35[[#This Row],[spawner_sku]])-FIND("/",Table35[[#This Row],[spawner_sku]])),Table28[Entity Prefab],0)),24,1,1,"Entities"))</f>
        <v>no</v>
      </c>
      <c r="CH113">
        <v>1</v>
      </c>
      <c r="CI113">
        <v>1</v>
      </c>
      <c r="CJ113" s="71" t="b">
        <v>0</v>
      </c>
      <c r="CL113" t="s">
        <v>215</v>
      </c>
      <c r="CM113">
        <v>3.5</v>
      </c>
      <c r="CN113">
        <v>190</v>
      </c>
      <c r="CO113">
        <v>100</v>
      </c>
      <c r="CP113" s="74">
        <f ca="1">INDIRECT(ADDRESS(11+(MATCH(RIGHT(Table11[[#This Row],[spawner_sku]],LEN(Table11[[#This Row],[spawner_sku]])-FIND("/",Table11[[#This Row],[spawner_sku]])),Table1[Entity Prefab],0)),10,1,1,"Entities"))</f>
        <v>25</v>
      </c>
      <c r="CQ113">
        <f ca="1">ROUND((Table11[[#This Row],[XP]]*Table11[[#This Row],[entity_spawned (AVG)]])*(Table11[[#This Row],[activating_chance]]/100),0)</f>
        <v>88</v>
      </c>
      <c r="CR113" s="144" t="str">
        <f ca="1">INDIRECT(ADDRESS(11+(MATCH(RIGHT(Table11[[#This Row],[spawner_sku]],LEN(Table11[[#This Row],[spawner_sku]])-FIND("/",Table11[[#This Row],[spawner_sku]])),Table28[Entity Prefab],0)),25,1,1,"Entities"))</f>
        <v>no</v>
      </c>
      <c r="CS113" s="71">
        <v>3</v>
      </c>
      <c r="CT113" s="71">
        <v>4</v>
      </c>
      <c r="CU113" s="71" t="b">
        <v>0</v>
      </c>
      <c r="CW113" t="s">
        <v>377</v>
      </c>
      <c r="CX113">
        <v>3.5</v>
      </c>
      <c r="CY113">
        <v>120</v>
      </c>
      <c r="CZ113">
        <v>100</v>
      </c>
      <c r="DA113" s="74">
        <f ca="1">INDIRECT(ADDRESS(11+(MATCH(RIGHT(Table12[[#This Row],[spawner_sku]],LEN(Table12[[#This Row],[spawner_sku]])-FIND("/",Table12[[#This Row],[spawner_sku]])),Table1[Entity Prefab],0)),10,1,1,"Entities"))</f>
        <v>25</v>
      </c>
      <c r="DB113" s="74">
        <f ca="1">ROUND((Table12[[#This Row],[XP]]*Table12[[#This Row],[entity_spawned (AVG)]])*(Table12[[#This Row],[activating_chance]]/100),0)</f>
        <v>88</v>
      </c>
      <c r="DC113" s="144" t="str">
        <f ca="1">INDIRECT(ADDRESS(11+(MATCH(RIGHT(Table12[[#This Row],[spawner_sku]],LEN(Table12[[#This Row],[spawner_sku]])-FIND("/",Table12[[#This Row],[spawner_sku]])),Table28[Entity Prefab],0)),25,1,1,"Entities"))</f>
        <v>no</v>
      </c>
      <c r="DD113" s="71">
        <v>3</v>
      </c>
      <c r="DE113" s="71">
        <v>4</v>
      </c>
      <c r="DF113" s="71" t="b">
        <v>0</v>
      </c>
      <c r="DH113" t="s">
        <v>494</v>
      </c>
      <c r="DI113">
        <v>1</v>
      </c>
      <c r="DJ113">
        <v>310</v>
      </c>
      <c r="DK113">
        <v>100</v>
      </c>
      <c r="DL113" s="74">
        <f ca="1">INDIRECT(ADDRESS(11+(MATCH(RIGHT(Table13[[#This Row],[spawner_sku]],LEN(Table13[[#This Row],[spawner_sku]])-FIND("/",Table13[[#This Row],[spawner_sku]])),Table1[Entity Prefab],0)),10,1,1,"Entities"))</f>
        <v>103</v>
      </c>
      <c r="DM113" s="74">
        <f ca="1">ROUND((Table13[[#This Row],[XP]]*Table13[[#This Row],[entity_spawned (AVG)]])*(Table13[[#This Row],[activating_chance]]/100),0)</f>
        <v>103</v>
      </c>
      <c r="DN113" s="144" t="str">
        <f ca="1">INDIRECT(ADDRESS(11+(MATCH(RIGHT(Table13[[#This Row],[spawner_sku]],LEN(Table13[[#This Row],[spawner_sku]])-FIND("/",Table13[[#This Row],[spawner_sku]])),Table28[Entity Prefab],0)),25,1,1,"Entities"))</f>
        <v>yes</v>
      </c>
      <c r="DO113" s="71">
        <v>1</v>
      </c>
      <c r="DP113" s="71">
        <v>1</v>
      </c>
      <c r="DQ113" s="71" t="b">
        <v>0</v>
      </c>
      <c r="DS113" t="s">
        <v>214</v>
      </c>
      <c r="DT113">
        <v>7</v>
      </c>
      <c r="DU113">
        <v>200</v>
      </c>
      <c r="DV113">
        <v>80</v>
      </c>
      <c r="DW113" s="74">
        <f ca="1">INDIRECT(ADDRESS(11+(MATCH(RIGHT(Table14[[#This Row],[spawner_sku]],LEN(Table14[[#This Row],[spawner_sku]])-FIND("/",Table14[[#This Row],[spawner_sku]])),Table1[Entity Prefab],0)),10,1,1,"Entities"))</f>
        <v>25</v>
      </c>
      <c r="DX113" s="74">
        <f ca="1">ROUND((Table14[[#This Row],[XP]]*Table14[[#This Row],[entity_spawned (AVG)]])*(Table14[[#This Row],[activating_chance]]/100),0)</f>
        <v>140</v>
      </c>
      <c r="DY113" s="144" t="str">
        <f ca="1">INDIRECT(ADDRESS(11+(MATCH(RIGHT(Table14[[#This Row],[spawner_sku]],LEN(Table14[[#This Row],[spawner_sku]])-FIND("/",Table14[[#This Row],[spawner_sku]])),Table28[Entity Prefab],0)),25,1,1,"Entities"))</f>
        <v>no</v>
      </c>
      <c r="DZ113" s="71">
        <v>6</v>
      </c>
      <c r="EA113" s="71">
        <v>8</v>
      </c>
      <c r="EB113" s="71" t="b">
        <v>1</v>
      </c>
      <c r="EC113" s="71"/>
      <c r="ED113" s="147" t="s">
        <v>3822</v>
      </c>
      <c r="EE113" s="71">
        <v>1</v>
      </c>
      <c r="EF113" s="71">
        <v>240</v>
      </c>
      <c r="EG113" s="71">
        <v>100</v>
      </c>
      <c r="EH113" s="71">
        <f ca="1">INDIRECT(ADDRESS(11+(MATCH(RIGHT(Table36[[#This Row],[spawner_sku]],LEN(Table36[[#This Row],[spawner_sku]])-FIND("/",Table36[[#This Row],[spawner_sku]])),Table1[Entity Prefab],0)),10,1,1,"Entities"))</f>
        <v>10</v>
      </c>
      <c r="EI113" s="71">
        <f ca="1">ROUND((Table36[[#This Row],[XP]]*Table36[[#This Row],[entity_spawned (AVG)]])*(Table36[[#This Row],[activating_chance]]/100),0)</f>
        <v>10</v>
      </c>
      <c r="EJ113" s="71" t="str">
        <f ca="1">INDIRECT(ADDRESS(11+(MATCH(RIGHT(Table36[[#This Row],[spawner_sku]],LEN(Table36[[#This Row],[spawner_sku]])-FIND("/",Table36[[#This Row],[spawner_sku]])),Table28[Entity Prefab],0)),25,1,1,"Entities"))</f>
        <v>no</v>
      </c>
      <c r="EK113" s="71">
        <v>1</v>
      </c>
      <c r="EL113" s="71">
        <v>1</v>
      </c>
      <c r="EM113" s="71" t="b">
        <v>0</v>
      </c>
      <c r="EO113" t="s">
        <v>376</v>
      </c>
      <c r="EP113">
        <v>6.5</v>
      </c>
      <c r="EQ113">
        <v>100</v>
      </c>
      <c r="ER113">
        <v>100</v>
      </c>
      <c r="ES113" s="74">
        <f ca="1">INDIRECT(ADDRESS(11+(MATCH(RIGHT(Table18[[#This Row],[spawner_sku]],LEN(Table18[[#This Row],[spawner_sku]])-FIND("/",Table18[[#This Row],[spawner_sku]])),Table1[Entity Prefab],0)),10,1,1,"Entities"))</f>
        <v>25</v>
      </c>
      <c r="ET113" s="74">
        <f ca="1">ROUND((Table18[[#This Row],[XP]]*Table18[[#This Row],[entity_spawned (AVG)]])*(Table18[[#This Row],[activating_chance]]/100),0)</f>
        <v>163</v>
      </c>
      <c r="EU113" s="74" t="str">
        <f ca="1">INDIRECT(ADDRESS(11+(MATCH(RIGHT(Table18[[#This Row],[spawner_sku]],LEN(Table18[[#This Row],[spawner_sku]])-FIND("/",Table18[[#This Row],[spawner_sku]])),Table28[Entity Prefab],0)),26,1,1,"Entities"))</f>
        <v>no</v>
      </c>
      <c r="EV113">
        <v>5</v>
      </c>
      <c r="EW113">
        <v>8</v>
      </c>
      <c r="EX113" t="b">
        <v>1</v>
      </c>
      <c r="EZ113" t="s">
        <v>221</v>
      </c>
      <c r="FA113">
        <v>2</v>
      </c>
      <c r="FB113">
        <v>340</v>
      </c>
      <c r="FC113">
        <v>100</v>
      </c>
      <c r="FD113" s="74">
        <f ca="1">INDIRECT(ADDRESS(11+(MATCH(RIGHT(Table1820[[#This Row],[spawner_sku]],LEN(Table1820[[#This Row],[spawner_sku]])-FIND("/",Table1820[[#This Row],[spawner_sku]])),Table1[Entity Prefab],0)),10,1,1,"Entities"))</f>
        <v>263</v>
      </c>
      <c r="FE113" s="74">
        <f ca="1">ROUND((Table1820[[#This Row],[XP]]*Table1820[[#This Row],[entity_spawned (AVG)]])*(Table1820[[#This Row],[activating_chance]]/100),0)</f>
        <v>526</v>
      </c>
      <c r="FF113" s="74" t="str">
        <f ca="1">INDIRECT(ADDRESS(11+(MATCH(RIGHT(Table1820[[#This Row],[spawner_sku]],LEN(Table1820[[#This Row],[spawner_sku]])-FIND("/",Table1820[[#This Row],[spawner_sku]])),Table28[Entity Prefab],0)),26,1,1,"Entities"))</f>
        <v>yes</v>
      </c>
      <c r="FG113">
        <v>2</v>
      </c>
      <c r="FH113">
        <v>2</v>
      </c>
      <c r="FI113" t="b">
        <v>0</v>
      </c>
      <c r="FK113" t="s">
        <v>2693</v>
      </c>
      <c r="FL113">
        <v>2.5</v>
      </c>
      <c r="FM113">
        <v>100</v>
      </c>
      <c r="FN113">
        <v>100</v>
      </c>
      <c r="FO113">
        <f ca="1">INDIRECT(ADDRESS(11+(MATCH(RIGHT(Table182023[[#This Row],[spawner_sku]],LEN(Table182023[[#This Row],[spawner_sku]])-FIND("/",Table182023[[#This Row],[spawner_sku]])),Table1[Entity Prefab],0)),10,1,1,"Entities"))</f>
        <v>130</v>
      </c>
      <c r="FP113">
        <f ca="1">ROUND((Table182023[[#This Row],[XP]]*Table182023[[#This Row],[entity_spawned (AVG)]])*(Table182023[[#This Row],[activating_chance]]/100),0)</f>
        <v>325</v>
      </c>
      <c r="FQ113" t="str">
        <f ca="1">INDIRECT(ADDRESS(11+(MATCH(RIGHT(Table182023[[#This Row],[spawner_sku]],LEN(Table182023[[#This Row],[spawner_sku]])-FIND("/",Table182023[[#This Row],[spawner_sku]])),Table28[Entity Prefab],0)),26,1,1,"Entities"))</f>
        <v>yes</v>
      </c>
      <c r="FR113">
        <v>2</v>
      </c>
      <c r="FS113">
        <v>3</v>
      </c>
      <c r="FT113" t="b">
        <v>0</v>
      </c>
      <c r="FV113" t="s">
        <v>2692</v>
      </c>
      <c r="FW113">
        <v>2</v>
      </c>
      <c r="FX113">
        <v>250</v>
      </c>
      <c r="FY113">
        <v>100</v>
      </c>
      <c r="FZ113" s="74">
        <f ca="1">INDIRECT(ADDRESS(11+(MATCH(RIGHT(Table18202324[[#This Row],[spawner_sku]],LEN(Table18202324[[#This Row],[spawner_sku]])-FIND("/",Table18202324[[#This Row],[spawner_sku]])),Table1[Entity Prefab],0)),10,1,1,"Entities"))</f>
        <v>263</v>
      </c>
      <c r="GA113" s="74">
        <f ca="1">ROUND((Table18202324[[#This Row],[XP]]*Table18202324[[#This Row],[entity_spawned (AVG)]])*(Table18202324[[#This Row],[activating_chance]]/100),0)</f>
        <v>526</v>
      </c>
      <c r="GB113" s="74" t="str">
        <f ca="1">INDIRECT(ADDRESS(11+(MATCH(RIGHT(Table18202324[[#This Row],[spawner_sku]],LEN(Table18202324[[#This Row],[spawner_sku]])-FIND("/",Table18202324[[#This Row],[spawner_sku]])),Table28[Entity Prefab],0)),26,1,1,"Entities"))</f>
        <v>yes</v>
      </c>
      <c r="GC113">
        <v>1</v>
      </c>
      <c r="GD113">
        <v>3</v>
      </c>
      <c r="GE113" t="b">
        <v>0</v>
      </c>
      <c r="GG113" t="s">
        <v>3816</v>
      </c>
      <c r="GH113">
        <v>1</v>
      </c>
      <c r="GI113">
        <v>240</v>
      </c>
      <c r="GJ113">
        <v>100</v>
      </c>
      <c r="GK113">
        <f ca="1">INDIRECT(ADDRESS(11+(MATCH(RIGHT(Table37[[#This Row],[spawner_sku]],LEN(Table37[[#This Row],[spawner_sku]])-FIND("/",Table37[[#This Row],[spawner_sku]])),Table1[Entity Prefab],0)),10,1,1,"Entities"))</f>
        <v>50</v>
      </c>
      <c r="GL113">
        <f ca="1">ROUND((Table37[[#This Row],[XP]]*Table37[[#This Row],[entity_spawned (AVG)]])*(Table37[[#This Row],[activating_chance]]/100),0)</f>
        <v>50</v>
      </c>
      <c r="GM113" t="str">
        <f ca="1">INDIRECT(ADDRESS(11+(MATCH(RIGHT(Table37[[#This Row],[spawner_sku]],LEN(Table37[[#This Row],[spawner_sku]])-FIND("/",Table37[[#This Row],[spawner_sku]])),Table28[Entity Prefab],0)),26,1,1,"Entities"))</f>
        <v>no</v>
      </c>
      <c r="GN113">
        <v>1</v>
      </c>
      <c r="GO113">
        <v>1</v>
      </c>
      <c r="GP113" t="b">
        <v>0</v>
      </c>
    </row>
    <row r="114" spans="2:198" x14ac:dyDescent="0.25">
      <c r="B114" s="72" t="s">
        <v>215</v>
      </c>
      <c r="C114">
        <v>6.5</v>
      </c>
      <c r="D114">
        <v>110</v>
      </c>
      <c r="E114">
        <v>100</v>
      </c>
      <c r="F114" s="74">
        <f ca="1">INDIRECT(ADDRESS(11+(MATCH(RIGHT(Table245[[#This Row],[spawner_sku]],LEN(Table245[[#This Row],[spawner_sku]])-FIND("/",Table245[[#This Row],[spawner_sku]])),Table1[Entity Prefab],0)),10,1,1,"Entities"))</f>
        <v>25</v>
      </c>
      <c r="G114" s="74">
        <f ca="1">ROUND((Table245[[#This Row],[XP]]*Table245[[#This Row],[entity_spawned (AVG)]])*(Table245[[#This Row],[activating_chance]]/100),0)</f>
        <v>163</v>
      </c>
      <c r="H114" s="71" t="str">
        <f ca="1">INDIRECT(ADDRESS(11+(MATCH(RIGHT(Table245[[#This Row],[spawner_sku]],LEN(Table245[[#This Row],[spawner_sku]])-FIND("/",Table245[[#This Row],[spawner_sku]])),Table28[Entity Prefab],0)),24,1,1,"Entities"))</f>
        <v>no</v>
      </c>
      <c r="I114" s="71">
        <v>5</v>
      </c>
      <c r="J114" s="71">
        <v>8</v>
      </c>
      <c r="K114" s="71" t="b">
        <v>1</v>
      </c>
      <c r="M114" t="s">
        <v>242</v>
      </c>
      <c r="N114">
        <v>1</v>
      </c>
      <c r="O114">
        <v>150</v>
      </c>
      <c r="P114">
        <v>80</v>
      </c>
      <c r="Q114" s="74">
        <f ca="1">INDIRECT(ADDRESS(11+(MATCH(RIGHT(Table3[[#This Row],[spawner_sku]],LEN(Table3[[#This Row],[spawner_sku]])-FIND("/",Table3[[#This Row],[spawner_sku]])),Table1[Entity Prefab],0)),10,1,1,"Entities"))</f>
        <v>25</v>
      </c>
      <c r="R114" s="74">
        <f ca="1">ROUND((Table3[[#This Row],[XP]]*Table3[[#This Row],[entity_spawned (AVG)]])*(Table3[[#This Row],[activating_chance]]/100),0)</f>
        <v>20</v>
      </c>
      <c r="S114" t="str">
        <f ca="1">INDIRECT(ADDRESS(11+(MATCH(RIGHT(Table3[[#This Row],[spawner_sku]],LEN(Table3[[#This Row],[spawner_sku]])-FIND("/",Table3[[#This Row],[spawner_sku]])),Table28[Entity Prefab],0)),24,1,1,"Entities"))</f>
        <v>no</v>
      </c>
      <c r="T114">
        <v>1</v>
      </c>
      <c r="U114">
        <v>1</v>
      </c>
      <c r="V114" t="b">
        <v>0</v>
      </c>
      <c r="W114" s="71"/>
      <c r="AI114" t="s">
        <v>215</v>
      </c>
      <c r="AJ114">
        <v>3</v>
      </c>
      <c r="AK114">
        <v>120</v>
      </c>
      <c r="AL114">
        <v>100</v>
      </c>
      <c r="AM114" s="74">
        <f ca="1">INDIRECT(ADDRESS(11+(MATCH(RIGHT(Table2[[#This Row],[spawner_sku]],LEN(Table2[[#This Row],[spawner_sku]])-FIND("/",Table2[[#This Row],[spawner_sku]])),Table1[Entity Prefab],0)),10,1,1,"Entities"))</f>
        <v>25</v>
      </c>
      <c r="AN114" s="74">
        <f ca="1">ROUND((Table2[[#This Row],[XP]]*Table2[[#This Row],[entity_spawned (AVG)]])*(Table2[[#This Row],[activating_chance]]/100),0)</f>
        <v>75</v>
      </c>
      <c r="AO114" s="71" t="str">
        <f ca="1">INDIRECT(ADDRESS(11+(MATCH(RIGHT(Table2[[#This Row],[spawner_sku]],LEN(Table2[[#This Row],[spawner_sku]])-FIND("/",Table2[[#This Row],[spawner_sku]])),Table28[Entity Prefab],0)),24,1,1,"Entities"))</f>
        <v>no</v>
      </c>
      <c r="AP114" s="71">
        <v>2</v>
      </c>
      <c r="AQ114" s="71">
        <v>4</v>
      </c>
      <c r="AR114" s="71" t="b">
        <v>0</v>
      </c>
      <c r="AT114" t="s">
        <v>554</v>
      </c>
      <c r="AU114">
        <v>1</v>
      </c>
      <c r="AV114">
        <v>300</v>
      </c>
      <c r="AW114">
        <v>100</v>
      </c>
      <c r="AX114" s="74">
        <f ca="1">INDIRECT(ADDRESS(11+(MATCH(RIGHT(Table6[[#This Row],[spawner_sku]],LEN(Table6[[#This Row],[spawner_sku]])-FIND("/",Table6[[#This Row],[spawner_sku]])),Table1[Entity Prefab],0)),10,1,1,"Entities"))</f>
        <v>50</v>
      </c>
      <c r="AY114" s="74">
        <f ca="1">ROUND((Table6[[#This Row],[XP]]*Table6[[#This Row],[entity_spawned (AVG)]])*(Table6[[#This Row],[activating_chance]]/100),0)</f>
        <v>50</v>
      </c>
      <c r="AZ114" s="144" t="str">
        <f ca="1">INDIRECT(ADDRESS(11+(MATCH(RIGHT(Table6[[#This Row],[spawner_sku]],LEN(Table6[[#This Row],[spawner_sku]])-FIND("/",Table6[[#This Row],[spawner_sku]])),Table28[Entity Prefab],0)),24,1,1,"Entities"))</f>
        <v>yes</v>
      </c>
      <c r="BA114">
        <v>1</v>
      </c>
      <c r="BB114">
        <v>1</v>
      </c>
      <c r="BC114" t="b">
        <v>0</v>
      </c>
      <c r="BE114" t="s">
        <v>230</v>
      </c>
      <c r="BF114">
        <v>1</v>
      </c>
      <c r="BG114">
        <v>200</v>
      </c>
      <c r="BH114">
        <v>100</v>
      </c>
      <c r="BI114" s="74">
        <f ca="1">INDIRECT(ADDRESS(11+(MATCH(RIGHT(Table610[[#This Row],[spawner_sku]],LEN(Table610[[#This Row],[spawner_sku]])-FIND("/",Table610[[#This Row],[spawner_sku]])),Table1[Entity Prefab],0)),10,1,1,"Entities"))</f>
        <v>28</v>
      </c>
      <c r="BJ114" s="74">
        <f ca="1">ROUND((Table610[[#This Row],[XP]]*Table610[[#This Row],[entity_spawned (AVG)]])*(Table610[[#This Row],[activating_chance]]/100),0)</f>
        <v>28</v>
      </c>
      <c r="BK114" s="71" t="str">
        <f ca="1">INDIRECT(ADDRESS(11+(MATCH(RIGHT(Table610[[#This Row],[spawner_sku]],LEN(Table610[[#This Row],[spawner_sku]])-FIND("/",Table610[[#This Row],[spawner_sku]])),Table28[Entity Prefab],0)),24,1,1,"Entities"))</f>
        <v>no</v>
      </c>
      <c r="BL114">
        <v>1</v>
      </c>
      <c r="BM114">
        <v>1</v>
      </c>
      <c r="BN114" t="b">
        <v>0</v>
      </c>
      <c r="BP114" t="s">
        <v>219</v>
      </c>
      <c r="BQ114">
        <v>1</v>
      </c>
      <c r="BR114">
        <v>250</v>
      </c>
      <c r="BS114">
        <v>100</v>
      </c>
      <c r="BT114" s="74">
        <f ca="1">INDIRECT(ADDRESS(11+(MATCH(RIGHT(Table61011[[#This Row],[spawner_sku]],LEN(Table61011[[#This Row],[spawner_sku]])-FIND("/",Table61011[[#This Row],[spawner_sku]])),Table1[Entity Prefab],0)),10,1,1,"Entities"))</f>
        <v>143</v>
      </c>
      <c r="BU114" s="74">
        <f ca="1">ROUND((Table61011[[#This Row],[XP]]*Table61011[[#This Row],[entity_spawned (AVG)]])*(Table61011[[#This Row],[activating_chance]]/100),0)</f>
        <v>143</v>
      </c>
      <c r="BV114" s="71" t="str">
        <f ca="1">INDIRECT(ADDRESS(11+(MATCH(RIGHT(Table61011[[#This Row],[spawner_sku]],LEN(Table61011[[#This Row],[spawner_sku]])-FIND("/",Table61011[[#This Row],[spawner_sku]])),Table28[Entity Prefab],0)),24,1,1,"Entities"))</f>
        <v>yes</v>
      </c>
      <c r="BW114" s="71">
        <v>1</v>
      </c>
      <c r="BX114" s="71">
        <v>1</v>
      </c>
      <c r="BY114" s="71" t="b">
        <v>0</v>
      </c>
      <c r="BZ114" s="71"/>
      <c r="CA114" s="147" t="s">
        <v>8142</v>
      </c>
      <c r="CB114">
        <v>1</v>
      </c>
      <c r="CC114">
        <v>200</v>
      </c>
      <c r="CD114">
        <v>50</v>
      </c>
      <c r="CE114" s="74">
        <f ca="1">INDIRECT(ADDRESS(11+(MATCH(RIGHT(Table35[[#This Row],[spawner_sku]],LEN(Table35[[#This Row],[spawner_sku]])-FIND("/",Table35[[#This Row],[spawner_sku]])),Table1[Entity Prefab],0)),10,1,1,"Entities"))</f>
        <v>75</v>
      </c>
      <c r="CF114" s="74">
        <f ca="1">ROUND((Table35[[#This Row],[XP]]*Table35[[#This Row],[entity_spawned (AVG)]])*(Table35[[#This Row],[activating_chance]]/100),0)</f>
        <v>38</v>
      </c>
      <c r="CG114" s="144" t="str">
        <f ca="1">INDIRECT(ADDRESS(11+(MATCH(RIGHT(Table35[[#This Row],[spawner_sku]],LEN(Table35[[#This Row],[spawner_sku]])-FIND("/",Table35[[#This Row],[spawner_sku]])),Table28[Entity Prefab],0)),24,1,1,"Entities"))</f>
        <v>no</v>
      </c>
      <c r="CH114">
        <v>1</v>
      </c>
      <c r="CI114">
        <v>1</v>
      </c>
      <c r="CJ114" s="71" t="b">
        <v>0</v>
      </c>
      <c r="CL114" t="s">
        <v>215</v>
      </c>
      <c r="CM114">
        <v>3.5</v>
      </c>
      <c r="CN114">
        <v>180</v>
      </c>
      <c r="CO114">
        <v>100</v>
      </c>
      <c r="CP114" s="74">
        <f ca="1">INDIRECT(ADDRESS(11+(MATCH(RIGHT(Table11[[#This Row],[spawner_sku]],LEN(Table11[[#This Row],[spawner_sku]])-FIND("/",Table11[[#This Row],[spawner_sku]])),Table1[Entity Prefab],0)),10,1,1,"Entities"))</f>
        <v>25</v>
      </c>
      <c r="CQ114">
        <f ca="1">ROUND((Table11[[#This Row],[XP]]*Table11[[#This Row],[entity_spawned (AVG)]])*(Table11[[#This Row],[activating_chance]]/100),0)</f>
        <v>88</v>
      </c>
      <c r="CR114" s="144" t="str">
        <f ca="1">INDIRECT(ADDRESS(11+(MATCH(RIGHT(Table11[[#This Row],[spawner_sku]],LEN(Table11[[#This Row],[spawner_sku]])-FIND("/",Table11[[#This Row],[spawner_sku]])),Table28[Entity Prefab],0)),25,1,1,"Entities"))</f>
        <v>no</v>
      </c>
      <c r="CS114" s="71">
        <v>3</v>
      </c>
      <c r="CT114" s="71">
        <v>4</v>
      </c>
      <c r="CU114" s="71" t="b">
        <v>0</v>
      </c>
      <c r="CW114" t="s">
        <v>377</v>
      </c>
      <c r="CX114">
        <v>1</v>
      </c>
      <c r="CY114">
        <v>120</v>
      </c>
      <c r="CZ114">
        <v>100</v>
      </c>
      <c r="DA114" s="74">
        <f ca="1">INDIRECT(ADDRESS(11+(MATCH(RIGHT(Table12[[#This Row],[spawner_sku]],LEN(Table12[[#This Row],[spawner_sku]])-FIND("/",Table12[[#This Row],[spawner_sku]])),Table1[Entity Prefab],0)),10,1,1,"Entities"))</f>
        <v>25</v>
      </c>
      <c r="DB114" s="74">
        <f ca="1">ROUND((Table12[[#This Row],[XP]]*Table12[[#This Row],[entity_spawned (AVG)]])*(Table12[[#This Row],[activating_chance]]/100),0)</f>
        <v>25</v>
      </c>
      <c r="DC114" s="144" t="str">
        <f ca="1">INDIRECT(ADDRESS(11+(MATCH(RIGHT(Table12[[#This Row],[spawner_sku]],LEN(Table12[[#This Row],[spawner_sku]])-FIND("/",Table12[[#This Row],[spawner_sku]])),Table28[Entity Prefab],0)),25,1,1,"Entities"))</f>
        <v>no</v>
      </c>
      <c r="DD114" s="71">
        <v>1</v>
      </c>
      <c r="DE114" s="71">
        <v>1</v>
      </c>
      <c r="DF114" s="71" t="b">
        <v>0</v>
      </c>
      <c r="DH114" t="s">
        <v>494</v>
      </c>
      <c r="DI114">
        <v>1</v>
      </c>
      <c r="DJ114">
        <v>310</v>
      </c>
      <c r="DK114">
        <v>100</v>
      </c>
      <c r="DL114" s="74">
        <f ca="1">INDIRECT(ADDRESS(11+(MATCH(RIGHT(Table13[[#This Row],[spawner_sku]],LEN(Table13[[#This Row],[spawner_sku]])-FIND("/",Table13[[#This Row],[spawner_sku]])),Table1[Entity Prefab],0)),10,1,1,"Entities"))</f>
        <v>103</v>
      </c>
      <c r="DM114" s="74">
        <f ca="1">ROUND((Table13[[#This Row],[XP]]*Table13[[#This Row],[entity_spawned (AVG)]])*(Table13[[#This Row],[activating_chance]]/100),0)</f>
        <v>103</v>
      </c>
      <c r="DN114" s="144" t="str">
        <f ca="1">INDIRECT(ADDRESS(11+(MATCH(RIGHT(Table13[[#This Row],[spawner_sku]],LEN(Table13[[#This Row],[spawner_sku]])-FIND("/",Table13[[#This Row],[spawner_sku]])),Table28[Entity Prefab],0)),25,1,1,"Entities"))</f>
        <v>yes</v>
      </c>
      <c r="DO114" s="71">
        <v>1</v>
      </c>
      <c r="DP114" s="71">
        <v>1</v>
      </c>
      <c r="DQ114" s="71" t="b">
        <v>0</v>
      </c>
      <c r="DS114" t="s">
        <v>214</v>
      </c>
      <c r="DT114">
        <v>6.5</v>
      </c>
      <c r="DU114">
        <v>150</v>
      </c>
      <c r="DV114">
        <v>100</v>
      </c>
      <c r="DW114" s="74">
        <f ca="1">INDIRECT(ADDRESS(11+(MATCH(RIGHT(Table14[[#This Row],[spawner_sku]],LEN(Table14[[#This Row],[spawner_sku]])-FIND("/",Table14[[#This Row],[spawner_sku]])),Table1[Entity Prefab],0)),10,1,1,"Entities"))</f>
        <v>25</v>
      </c>
      <c r="DX114" s="74">
        <f ca="1">ROUND((Table14[[#This Row],[XP]]*Table14[[#This Row],[entity_spawned (AVG)]])*(Table14[[#This Row],[activating_chance]]/100),0)</f>
        <v>163</v>
      </c>
      <c r="DY114" s="144" t="str">
        <f ca="1">INDIRECT(ADDRESS(11+(MATCH(RIGHT(Table14[[#This Row],[spawner_sku]],LEN(Table14[[#This Row],[spawner_sku]])-FIND("/",Table14[[#This Row],[spawner_sku]])),Table28[Entity Prefab],0)),25,1,1,"Entities"))</f>
        <v>no</v>
      </c>
      <c r="DZ114" s="71">
        <v>5</v>
      </c>
      <c r="EA114" s="71">
        <v>8</v>
      </c>
      <c r="EB114" s="71" t="b">
        <v>1</v>
      </c>
      <c r="EC114" s="71"/>
      <c r="ED114" s="147" t="s">
        <v>3822</v>
      </c>
      <c r="EE114" s="71">
        <v>1</v>
      </c>
      <c r="EF114" s="71">
        <v>240</v>
      </c>
      <c r="EG114" s="71">
        <v>100</v>
      </c>
      <c r="EH114" s="71">
        <f ca="1">INDIRECT(ADDRESS(11+(MATCH(RIGHT(Table36[[#This Row],[spawner_sku]],LEN(Table36[[#This Row],[spawner_sku]])-FIND("/",Table36[[#This Row],[spawner_sku]])),Table1[Entity Prefab],0)),10,1,1,"Entities"))</f>
        <v>10</v>
      </c>
      <c r="EI114" s="71">
        <f ca="1">ROUND((Table36[[#This Row],[XP]]*Table36[[#This Row],[entity_spawned (AVG)]])*(Table36[[#This Row],[activating_chance]]/100),0)</f>
        <v>10</v>
      </c>
      <c r="EJ114" s="71" t="str">
        <f ca="1">INDIRECT(ADDRESS(11+(MATCH(RIGHT(Table36[[#This Row],[spawner_sku]],LEN(Table36[[#This Row],[spawner_sku]])-FIND("/",Table36[[#This Row],[spawner_sku]])),Table28[Entity Prefab],0)),25,1,1,"Entities"))</f>
        <v>no</v>
      </c>
      <c r="EK114" s="71">
        <v>1</v>
      </c>
      <c r="EL114" s="71">
        <v>1</v>
      </c>
      <c r="EM114" s="71" t="b">
        <v>0</v>
      </c>
      <c r="EO114" t="s">
        <v>218</v>
      </c>
      <c r="EP114">
        <v>1</v>
      </c>
      <c r="EQ114">
        <v>5000</v>
      </c>
      <c r="ER114">
        <v>75</v>
      </c>
      <c r="ES114" s="74">
        <f ca="1">INDIRECT(ADDRESS(11+(MATCH(RIGHT(Table18[[#This Row],[spawner_sku]],LEN(Table18[[#This Row],[spawner_sku]])-FIND("/",Table18[[#This Row],[spawner_sku]])),Table1[Entity Prefab],0)),10,1,1,"Entities"))</f>
        <v>75</v>
      </c>
      <c r="ET114" s="74">
        <f ca="1">ROUND((Table18[[#This Row],[XP]]*Table18[[#This Row],[entity_spawned (AVG)]])*(Table18[[#This Row],[activating_chance]]/100),0)</f>
        <v>56</v>
      </c>
      <c r="EU114" s="74" t="str">
        <f ca="1">INDIRECT(ADDRESS(11+(MATCH(RIGHT(Table18[[#This Row],[spawner_sku]],LEN(Table18[[#This Row],[spawner_sku]])-FIND("/",Table18[[#This Row],[spawner_sku]])),Table28[Entity Prefab],0)),26,1,1,"Entities"))</f>
        <v>no</v>
      </c>
      <c r="EV114">
        <v>1</v>
      </c>
      <c r="EW114">
        <v>1</v>
      </c>
      <c r="EX114" t="b">
        <v>0</v>
      </c>
      <c r="EZ114" t="s">
        <v>221</v>
      </c>
      <c r="FA114">
        <v>2</v>
      </c>
      <c r="FB114">
        <v>340</v>
      </c>
      <c r="FC114">
        <v>100</v>
      </c>
      <c r="FD114" s="74">
        <f ca="1">INDIRECT(ADDRESS(11+(MATCH(RIGHT(Table1820[[#This Row],[spawner_sku]],LEN(Table1820[[#This Row],[spawner_sku]])-FIND("/",Table1820[[#This Row],[spawner_sku]])),Table1[Entity Prefab],0)),10,1,1,"Entities"))</f>
        <v>263</v>
      </c>
      <c r="FE114" s="74">
        <f ca="1">ROUND((Table1820[[#This Row],[XP]]*Table1820[[#This Row],[entity_spawned (AVG)]])*(Table1820[[#This Row],[activating_chance]]/100),0)</f>
        <v>526</v>
      </c>
      <c r="FF114" s="74" t="str">
        <f ca="1">INDIRECT(ADDRESS(11+(MATCH(RIGHT(Table1820[[#This Row],[spawner_sku]],LEN(Table1820[[#This Row],[spawner_sku]])-FIND("/",Table1820[[#This Row],[spawner_sku]])),Table28[Entity Prefab],0)),26,1,1,"Entities"))</f>
        <v>yes</v>
      </c>
      <c r="FG114">
        <v>2</v>
      </c>
      <c r="FH114">
        <v>2</v>
      </c>
      <c r="FI114" t="b">
        <v>0</v>
      </c>
      <c r="FK114" t="s">
        <v>2693</v>
      </c>
      <c r="FL114">
        <v>1.5</v>
      </c>
      <c r="FM114">
        <v>100</v>
      </c>
      <c r="FN114">
        <v>80</v>
      </c>
      <c r="FO114">
        <f ca="1">INDIRECT(ADDRESS(11+(MATCH(RIGHT(Table182023[[#This Row],[spawner_sku]],LEN(Table182023[[#This Row],[spawner_sku]])-FIND("/",Table182023[[#This Row],[spawner_sku]])),Table1[Entity Prefab],0)),10,1,1,"Entities"))</f>
        <v>130</v>
      </c>
      <c r="FP114">
        <f ca="1">ROUND((Table182023[[#This Row],[XP]]*Table182023[[#This Row],[entity_spawned (AVG)]])*(Table182023[[#This Row],[activating_chance]]/100),0)</f>
        <v>156</v>
      </c>
      <c r="FQ114" t="str">
        <f ca="1">INDIRECT(ADDRESS(11+(MATCH(RIGHT(Table182023[[#This Row],[spawner_sku]],LEN(Table182023[[#This Row],[spawner_sku]])-FIND("/",Table182023[[#This Row],[spawner_sku]])),Table28[Entity Prefab],0)),26,1,1,"Entities"))</f>
        <v>yes</v>
      </c>
      <c r="FR114">
        <v>1</v>
      </c>
      <c r="FS114">
        <v>2</v>
      </c>
      <c r="FT114" t="b">
        <v>0</v>
      </c>
      <c r="FV114" t="s">
        <v>2692</v>
      </c>
      <c r="FW114">
        <v>1</v>
      </c>
      <c r="FX114">
        <v>250</v>
      </c>
      <c r="FY114">
        <v>100</v>
      </c>
      <c r="FZ114" s="74">
        <f ca="1">INDIRECT(ADDRESS(11+(MATCH(RIGHT(Table18202324[[#This Row],[spawner_sku]],LEN(Table18202324[[#This Row],[spawner_sku]])-FIND("/",Table18202324[[#This Row],[spawner_sku]])),Table1[Entity Prefab],0)),10,1,1,"Entities"))</f>
        <v>263</v>
      </c>
      <c r="GA114" s="74">
        <f ca="1">ROUND((Table18202324[[#This Row],[XP]]*Table18202324[[#This Row],[entity_spawned (AVG)]])*(Table18202324[[#This Row],[activating_chance]]/100),0)</f>
        <v>263</v>
      </c>
      <c r="GB114" s="74" t="str">
        <f ca="1">INDIRECT(ADDRESS(11+(MATCH(RIGHT(Table18202324[[#This Row],[spawner_sku]],LEN(Table18202324[[#This Row],[spawner_sku]])-FIND("/",Table18202324[[#This Row],[spawner_sku]])),Table28[Entity Prefab],0)),26,1,1,"Entities"))</f>
        <v>yes</v>
      </c>
      <c r="GC114">
        <v>1</v>
      </c>
      <c r="GD114">
        <v>1</v>
      </c>
      <c r="GE114" t="b">
        <v>0</v>
      </c>
      <c r="GG114" t="s">
        <v>3816</v>
      </c>
      <c r="GH114">
        <v>1</v>
      </c>
      <c r="GI114">
        <v>240</v>
      </c>
      <c r="GJ114">
        <v>100</v>
      </c>
      <c r="GK114">
        <f ca="1">INDIRECT(ADDRESS(11+(MATCH(RIGHT(Table37[[#This Row],[spawner_sku]],LEN(Table37[[#This Row],[spawner_sku]])-FIND("/",Table37[[#This Row],[spawner_sku]])),Table1[Entity Prefab],0)),10,1,1,"Entities"))</f>
        <v>50</v>
      </c>
      <c r="GL114">
        <f ca="1">ROUND((Table37[[#This Row],[XP]]*Table37[[#This Row],[entity_spawned (AVG)]])*(Table37[[#This Row],[activating_chance]]/100),0)</f>
        <v>50</v>
      </c>
      <c r="GM114" t="str">
        <f ca="1">INDIRECT(ADDRESS(11+(MATCH(RIGHT(Table37[[#This Row],[spawner_sku]],LEN(Table37[[#This Row],[spawner_sku]])-FIND("/",Table37[[#This Row],[spawner_sku]])),Table28[Entity Prefab],0)),26,1,1,"Entities"))</f>
        <v>no</v>
      </c>
      <c r="GN114">
        <v>1</v>
      </c>
      <c r="GO114">
        <v>1</v>
      </c>
      <c r="GP114" t="b">
        <v>0</v>
      </c>
    </row>
    <row r="115" spans="2:198" x14ac:dyDescent="0.25">
      <c r="B115" s="72" t="s">
        <v>215</v>
      </c>
      <c r="C115">
        <v>3.5</v>
      </c>
      <c r="D115">
        <v>160</v>
      </c>
      <c r="E115">
        <v>100</v>
      </c>
      <c r="F115" s="74">
        <f ca="1">INDIRECT(ADDRESS(11+(MATCH(RIGHT(Table245[[#This Row],[spawner_sku]],LEN(Table245[[#This Row],[spawner_sku]])-FIND("/",Table245[[#This Row],[spawner_sku]])),Table1[Entity Prefab],0)),10,1,1,"Entities"))</f>
        <v>25</v>
      </c>
      <c r="G115" s="74">
        <f ca="1">ROUND((Table245[[#This Row],[XP]]*Table245[[#This Row],[entity_spawned (AVG)]])*(Table245[[#This Row],[activating_chance]]/100),0)</f>
        <v>88</v>
      </c>
      <c r="H115" s="71" t="str">
        <f ca="1">INDIRECT(ADDRESS(11+(MATCH(RIGHT(Table245[[#This Row],[spawner_sku]],LEN(Table245[[#This Row],[spawner_sku]])-FIND("/",Table245[[#This Row],[spawner_sku]])),Table28[Entity Prefab],0)),24,1,1,"Entities"))</f>
        <v>no</v>
      </c>
      <c r="I115" s="71">
        <v>3</v>
      </c>
      <c r="J115" s="71">
        <v>4</v>
      </c>
      <c r="K115" s="71" t="b">
        <v>0</v>
      </c>
      <c r="M115" t="s">
        <v>242</v>
      </c>
      <c r="N115">
        <v>1</v>
      </c>
      <c r="O115">
        <v>120</v>
      </c>
      <c r="P115">
        <v>100</v>
      </c>
      <c r="Q115" s="74">
        <f ca="1">INDIRECT(ADDRESS(11+(MATCH(RIGHT(Table3[[#This Row],[spawner_sku]],LEN(Table3[[#This Row],[spawner_sku]])-FIND("/",Table3[[#This Row],[spawner_sku]])),Table1[Entity Prefab],0)),10,1,1,"Entities"))</f>
        <v>25</v>
      </c>
      <c r="R115" s="74">
        <f ca="1">ROUND((Table3[[#This Row],[XP]]*Table3[[#This Row],[entity_spawned (AVG)]])*(Table3[[#This Row],[activating_chance]]/100),0)</f>
        <v>25</v>
      </c>
      <c r="S115" t="str">
        <f ca="1">INDIRECT(ADDRESS(11+(MATCH(RIGHT(Table3[[#This Row],[spawner_sku]],LEN(Table3[[#This Row],[spawner_sku]])-FIND("/",Table3[[#This Row],[spawner_sku]])),Table28[Entity Prefab],0)),24,1,1,"Entities"))</f>
        <v>no</v>
      </c>
      <c r="T115">
        <v>1</v>
      </c>
      <c r="U115">
        <v>1</v>
      </c>
      <c r="V115" t="b">
        <v>0</v>
      </c>
      <c r="W115" s="71"/>
      <c r="AI115" t="s">
        <v>216</v>
      </c>
      <c r="AJ115">
        <v>1</v>
      </c>
      <c r="AK115">
        <v>90</v>
      </c>
      <c r="AL115">
        <v>100</v>
      </c>
      <c r="AM115" s="74">
        <f ca="1">INDIRECT(ADDRESS(11+(MATCH(RIGHT(Table2[[#This Row],[spawner_sku]],LEN(Table2[[#This Row],[spawner_sku]])-FIND("/",Table2[[#This Row],[spawner_sku]])),Table1[Entity Prefab],0)),10,1,1,"Entities"))</f>
        <v>25</v>
      </c>
      <c r="AN115" s="74">
        <f ca="1">ROUND((Table2[[#This Row],[XP]]*Table2[[#This Row],[entity_spawned (AVG)]])*(Table2[[#This Row],[activating_chance]]/100),0)</f>
        <v>25</v>
      </c>
      <c r="AO115" s="71" t="str">
        <f ca="1">INDIRECT(ADDRESS(11+(MATCH(RIGHT(Table2[[#This Row],[spawner_sku]],LEN(Table2[[#This Row],[spawner_sku]])-FIND("/",Table2[[#This Row],[spawner_sku]])),Table28[Entity Prefab],0)),24,1,1,"Entities"))</f>
        <v>no</v>
      </c>
      <c r="AP115" s="71">
        <v>1</v>
      </c>
      <c r="AQ115" s="71">
        <v>1</v>
      </c>
      <c r="AR115" s="71" t="b">
        <v>0</v>
      </c>
      <c r="AT115" t="s">
        <v>554</v>
      </c>
      <c r="AU115">
        <v>1</v>
      </c>
      <c r="AV115">
        <v>300</v>
      </c>
      <c r="AW115">
        <v>100</v>
      </c>
      <c r="AX115" s="74">
        <f ca="1">INDIRECT(ADDRESS(11+(MATCH(RIGHT(Table6[[#This Row],[spawner_sku]],LEN(Table6[[#This Row],[spawner_sku]])-FIND("/",Table6[[#This Row],[spawner_sku]])),Table1[Entity Prefab],0)),10,1,1,"Entities"))</f>
        <v>50</v>
      </c>
      <c r="AY115" s="74">
        <f ca="1">ROUND((Table6[[#This Row],[XP]]*Table6[[#This Row],[entity_spawned (AVG)]])*(Table6[[#This Row],[activating_chance]]/100),0)</f>
        <v>50</v>
      </c>
      <c r="AZ115" s="144" t="str">
        <f ca="1">INDIRECT(ADDRESS(11+(MATCH(RIGHT(Table6[[#This Row],[spawner_sku]],LEN(Table6[[#This Row],[spawner_sku]])-FIND("/",Table6[[#This Row],[spawner_sku]])),Table28[Entity Prefab],0)),24,1,1,"Entities"))</f>
        <v>yes</v>
      </c>
      <c r="BA115">
        <v>1</v>
      </c>
      <c r="BB115">
        <v>1</v>
      </c>
      <c r="BC115" t="b">
        <v>0</v>
      </c>
      <c r="BE115" t="s">
        <v>230</v>
      </c>
      <c r="BF115">
        <v>1</v>
      </c>
      <c r="BG115">
        <v>200</v>
      </c>
      <c r="BH115">
        <v>100</v>
      </c>
      <c r="BI115" s="74">
        <f ca="1">INDIRECT(ADDRESS(11+(MATCH(RIGHT(Table610[[#This Row],[spawner_sku]],LEN(Table610[[#This Row],[spawner_sku]])-FIND("/",Table610[[#This Row],[spawner_sku]])),Table1[Entity Prefab],0)),10,1,1,"Entities"))</f>
        <v>28</v>
      </c>
      <c r="BJ115" s="74">
        <f ca="1">ROUND((Table610[[#This Row],[XP]]*Table610[[#This Row],[entity_spawned (AVG)]])*(Table610[[#This Row],[activating_chance]]/100),0)</f>
        <v>28</v>
      </c>
      <c r="BK115" s="71" t="str">
        <f ca="1">INDIRECT(ADDRESS(11+(MATCH(RIGHT(Table610[[#This Row],[spawner_sku]],LEN(Table610[[#This Row],[spawner_sku]])-FIND("/",Table610[[#This Row],[spawner_sku]])),Table28[Entity Prefab],0)),24,1,1,"Entities"))</f>
        <v>no</v>
      </c>
      <c r="BL115">
        <v>1</v>
      </c>
      <c r="BM115">
        <v>1</v>
      </c>
      <c r="BN115" t="b">
        <v>0</v>
      </c>
      <c r="BP115" t="s">
        <v>219</v>
      </c>
      <c r="BQ115">
        <v>1</v>
      </c>
      <c r="BR115">
        <v>250</v>
      </c>
      <c r="BS115">
        <v>100</v>
      </c>
      <c r="BT115" s="74">
        <f ca="1">INDIRECT(ADDRESS(11+(MATCH(RIGHT(Table61011[[#This Row],[spawner_sku]],LEN(Table61011[[#This Row],[spawner_sku]])-FIND("/",Table61011[[#This Row],[spawner_sku]])),Table1[Entity Prefab],0)),10,1,1,"Entities"))</f>
        <v>143</v>
      </c>
      <c r="BU115" s="74">
        <f ca="1">ROUND((Table61011[[#This Row],[XP]]*Table61011[[#This Row],[entity_spawned (AVG)]])*(Table61011[[#This Row],[activating_chance]]/100),0)</f>
        <v>143</v>
      </c>
      <c r="BV115" s="71" t="str">
        <f ca="1">INDIRECT(ADDRESS(11+(MATCH(RIGHT(Table61011[[#This Row],[spawner_sku]],LEN(Table61011[[#This Row],[spawner_sku]])-FIND("/",Table61011[[#This Row],[spawner_sku]])),Table28[Entity Prefab],0)),24,1,1,"Entities"))</f>
        <v>yes</v>
      </c>
      <c r="BW115" s="71">
        <v>1</v>
      </c>
      <c r="BX115" s="71">
        <v>1</v>
      </c>
      <c r="BY115" s="71" t="b">
        <v>0</v>
      </c>
      <c r="BZ115" s="71"/>
      <c r="CA115" s="147" t="s">
        <v>8142</v>
      </c>
      <c r="CB115">
        <v>1</v>
      </c>
      <c r="CC115">
        <v>200</v>
      </c>
      <c r="CD115">
        <v>80</v>
      </c>
      <c r="CE115" s="74">
        <f ca="1">INDIRECT(ADDRESS(11+(MATCH(RIGHT(Table35[[#This Row],[spawner_sku]],LEN(Table35[[#This Row],[spawner_sku]])-FIND("/",Table35[[#This Row],[spawner_sku]])),Table1[Entity Prefab],0)),10,1,1,"Entities"))</f>
        <v>75</v>
      </c>
      <c r="CF115" s="74">
        <f ca="1">ROUND((Table35[[#This Row],[XP]]*Table35[[#This Row],[entity_spawned (AVG)]])*(Table35[[#This Row],[activating_chance]]/100),0)</f>
        <v>60</v>
      </c>
      <c r="CG115" s="144" t="str">
        <f ca="1">INDIRECT(ADDRESS(11+(MATCH(RIGHT(Table35[[#This Row],[spawner_sku]],LEN(Table35[[#This Row],[spawner_sku]])-FIND("/",Table35[[#This Row],[spawner_sku]])),Table28[Entity Prefab],0)),24,1,1,"Entities"))</f>
        <v>no</v>
      </c>
      <c r="CH115">
        <v>1</v>
      </c>
      <c r="CI115">
        <v>1</v>
      </c>
      <c r="CJ115" s="71" t="b">
        <v>0</v>
      </c>
      <c r="CL115" t="s">
        <v>215</v>
      </c>
      <c r="CM115">
        <v>10</v>
      </c>
      <c r="CN115">
        <v>180</v>
      </c>
      <c r="CO115">
        <v>100</v>
      </c>
      <c r="CP115" s="74">
        <f ca="1">INDIRECT(ADDRESS(11+(MATCH(RIGHT(Table11[[#This Row],[spawner_sku]],LEN(Table11[[#This Row],[spawner_sku]])-FIND("/",Table11[[#This Row],[spawner_sku]])),Table1[Entity Prefab],0)),10,1,1,"Entities"))</f>
        <v>25</v>
      </c>
      <c r="CQ115">
        <f ca="1">ROUND((Table11[[#This Row],[XP]]*Table11[[#This Row],[entity_spawned (AVG)]])*(Table11[[#This Row],[activating_chance]]/100),0)</f>
        <v>250</v>
      </c>
      <c r="CR115" s="144" t="str">
        <f ca="1">INDIRECT(ADDRESS(11+(MATCH(RIGHT(Table11[[#This Row],[spawner_sku]],LEN(Table11[[#This Row],[spawner_sku]])-FIND("/",Table11[[#This Row],[spawner_sku]])),Table28[Entity Prefab],0)),25,1,1,"Entities"))</f>
        <v>no</v>
      </c>
      <c r="CS115" s="71">
        <v>10</v>
      </c>
      <c r="CT115" s="71">
        <v>10</v>
      </c>
      <c r="CU115" s="71" t="b">
        <v>1</v>
      </c>
      <c r="CW115" t="s">
        <v>377</v>
      </c>
      <c r="CX115">
        <v>4</v>
      </c>
      <c r="CY115">
        <v>120</v>
      </c>
      <c r="CZ115">
        <v>100</v>
      </c>
      <c r="DA115" s="74">
        <f ca="1">INDIRECT(ADDRESS(11+(MATCH(RIGHT(Table12[[#This Row],[spawner_sku]],LEN(Table12[[#This Row],[spawner_sku]])-FIND("/",Table12[[#This Row],[spawner_sku]])),Table1[Entity Prefab],0)),10,1,1,"Entities"))</f>
        <v>25</v>
      </c>
      <c r="DB115" s="74">
        <f ca="1">ROUND((Table12[[#This Row],[XP]]*Table12[[#This Row],[entity_spawned (AVG)]])*(Table12[[#This Row],[activating_chance]]/100),0)</f>
        <v>100</v>
      </c>
      <c r="DC115" s="144" t="str">
        <f ca="1">INDIRECT(ADDRESS(11+(MATCH(RIGHT(Table12[[#This Row],[spawner_sku]],LEN(Table12[[#This Row],[spawner_sku]])-FIND("/",Table12[[#This Row],[spawner_sku]])),Table28[Entity Prefab],0)),25,1,1,"Entities"))</f>
        <v>no</v>
      </c>
      <c r="DD115" s="71">
        <v>4</v>
      </c>
      <c r="DE115" s="71">
        <v>4</v>
      </c>
      <c r="DF115" s="71" t="b">
        <v>0</v>
      </c>
      <c r="DH115" t="s">
        <v>371</v>
      </c>
      <c r="DI115">
        <v>1</v>
      </c>
      <c r="DJ115">
        <v>200</v>
      </c>
      <c r="DK115">
        <v>100</v>
      </c>
      <c r="DL115" s="74">
        <f ca="1">INDIRECT(ADDRESS(11+(MATCH(RIGHT(Table13[[#This Row],[spawner_sku]],LEN(Table13[[#This Row],[spawner_sku]])-FIND("/",Table13[[#This Row],[spawner_sku]])),Table1[Entity Prefab],0)),10,1,1,"Entities"))</f>
        <v>75</v>
      </c>
      <c r="DM115" s="74">
        <f ca="1">ROUND((Table13[[#This Row],[XP]]*Table13[[#This Row],[entity_spawned (AVG)]])*(Table13[[#This Row],[activating_chance]]/100),0)</f>
        <v>75</v>
      </c>
      <c r="DN115" s="144" t="str">
        <f ca="1">INDIRECT(ADDRESS(11+(MATCH(RIGHT(Table13[[#This Row],[spawner_sku]],LEN(Table13[[#This Row],[spawner_sku]])-FIND("/",Table13[[#This Row],[spawner_sku]])),Table28[Entity Prefab],0)),25,1,1,"Entities"))</f>
        <v>yes</v>
      </c>
      <c r="DO115" s="71">
        <v>1</v>
      </c>
      <c r="DP115" s="71">
        <v>1</v>
      </c>
      <c r="DQ115" s="71" t="b">
        <v>0</v>
      </c>
      <c r="DS115" t="s">
        <v>214</v>
      </c>
      <c r="DT115">
        <v>3.5</v>
      </c>
      <c r="DU115">
        <v>100</v>
      </c>
      <c r="DV115">
        <v>100</v>
      </c>
      <c r="DW115" s="74">
        <f ca="1">INDIRECT(ADDRESS(11+(MATCH(RIGHT(Table14[[#This Row],[spawner_sku]],LEN(Table14[[#This Row],[spawner_sku]])-FIND("/",Table14[[#This Row],[spawner_sku]])),Table1[Entity Prefab],0)),10,1,1,"Entities"))</f>
        <v>25</v>
      </c>
      <c r="DX115" s="74">
        <f ca="1">ROUND((Table14[[#This Row],[XP]]*Table14[[#This Row],[entity_spawned (AVG)]])*(Table14[[#This Row],[activating_chance]]/100),0)</f>
        <v>88</v>
      </c>
      <c r="DY115" s="144" t="str">
        <f ca="1">INDIRECT(ADDRESS(11+(MATCH(RIGHT(Table14[[#This Row],[spawner_sku]],LEN(Table14[[#This Row],[spawner_sku]])-FIND("/",Table14[[#This Row],[spawner_sku]])),Table28[Entity Prefab],0)),25,1,1,"Entities"))</f>
        <v>no</v>
      </c>
      <c r="DZ115" s="71">
        <v>3</v>
      </c>
      <c r="EA115" s="71">
        <v>4</v>
      </c>
      <c r="EB115" s="71" t="b">
        <v>0</v>
      </c>
      <c r="EC115" s="71"/>
      <c r="ED115" s="147" t="s">
        <v>3822</v>
      </c>
      <c r="EE115" s="71">
        <v>1</v>
      </c>
      <c r="EF115" s="71">
        <v>240</v>
      </c>
      <c r="EG115" s="71">
        <v>100</v>
      </c>
      <c r="EH115" s="71">
        <f ca="1">INDIRECT(ADDRESS(11+(MATCH(RIGHT(Table36[[#This Row],[spawner_sku]],LEN(Table36[[#This Row],[spawner_sku]])-FIND("/",Table36[[#This Row],[spawner_sku]])),Table1[Entity Prefab],0)),10,1,1,"Entities"))</f>
        <v>10</v>
      </c>
      <c r="EI115" s="71">
        <f ca="1">ROUND((Table36[[#This Row],[XP]]*Table36[[#This Row],[entity_spawned (AVG)]])*(Table36[[#This Row],[activating_chance]]/100),0)</f>
        <v>10</v>
      </c>
      <c r="EJ115" s="71" t="str">
        <f ca="1">INDIRECT(ADDRESS(11+(MATCH(RIGHT(Table36[[#This Row],[spawner_sku]],LEN(Table36[[#This Row],[spawner_sku]])-FIND("/",Table36[[#This Row],[spawner_sku]])),Table28[Entity Prefab],0)),25,1,1,"Entities"))</f>
        <v>no</v>
      </c>
      <c r="EK115" s="71">
        <v>1</v>
      </c>
      <c r="EL115" s="71">
        <v>1</v>
      </c>
      <c r="EM115" s="71" t="b">
        <v>0</v>
      </c>
      <c r="EO115" t="s">
        <v>218</v>
      </c>
      <c r="EP115">
        <v>1</v>
      </c>
      <c r="EQ115">
        <v>5000</v>
      </c>
      <c r="ER115">
        <v>75</v>
      </c>
      <c r="ES115" s="74">
        <f ca="1">INDIRECT(ADDRESS(11+(MATCH(RIGHT(Table18[[#This Row],[spawner_sku]],LEN(Table18[[#This Row],[spawner_sku]])-FIND("/",Table18[[#This Row],[spawner_sku]])),Table1[Entity Prefab],0)),10,1,1,"Entities"))</f>
        <v>75</v>
      </c>
      <c r="ET115" s="74">
        <f ca="1">ROUND((Table18[[#This Row],[XP]]*Table18[[#This Row],[entity_spawned (AVG)]])*(Table18[[#This Row],[activating_chance]]/100),0)</f>
        <v>56</v>
      </c>
      <c r="EU115" s="74" t="str">
        <f ca="1">INDIRECT(ADDRESS(11+(MATCH(RIGHT(Table18[[#This Row],[spawner_sku]],LEN(Table18[[#This Row],[spawner_sku]])-FIND("/",Table18[[#This Row],[spawner_sku]])),Table28[Entity Prefab],0)),26,1,1,"Entities"))</f>
        <v>no</v>
      </c>
      <c r="EV115">
        <v>1</v>
      </c>
      <c r="EW115">
        <v>1</v>
      </c>
      <c r="EX115" t="b">
        <v>0</v>
      </c>
      <c r="EZ115" t="s">
        <v>221</v>
      </c>
      <c r="FA115">
        <v>2</v>
      </c>
      <c r="FB115">
        <v>340</v>
      </c>
      <c r="FC115">
        <v>100</v>
      </c>
      <c r="FD115" s="74">
        <f ca="1">INDIRECT(ADDRESS(11+(MATCH(RIGHT(Table1820[[#This Row],[spawner_sku]],LEN(Table1820[[#This Row],[spawner_sku]])-FIND("/",Table1820[[#This Row],[spawner_sku]])),Table1[Entity Prefab],0)),10,1,1,"Entities"))</f>
        <v>263</v>
      </c>
      <c r="FE115" s="74">
        <f ca="1">ROUND((Table1820[[#This Row],[XP]]*Table1820[[#This Row],[entity_spawned (AVG)]])*(Table1820[[#This Row],[activating_chance]]/100),0)</f>
        <v>526</v>
      </c>
      <c r="FF115" s="74" t="str">
        <f ca="1">INDIRECT(ADDRESS(11+(MATCH(RIGHT(Table1820[[#This Row],[spawner_sku]],LEN(Table1820[[#This Row],[spawner_sku]])-FIND("/",Table1820[[#This Row],[spawner_sku]])),Table28[Entity Prefab],0)),26,1,1,"Entities"))</f>
        <v>yes</v>
      </c>
      <c r="FG115">
        <v>2</v>
      </c>
      <c r="FH115">
        <v>2</v>
      </c>
      <c r="FI115" t="b">
        <v>0</v>
      </c>
      <c r="FK115" t="s">
        <v>2693</v>
      </c>
      <c r="FL115">
        <v>1.5</v>
      </c>
      <c r="FM115">
        <v>100</v>
      </c>
      <c r="FN115">
        <v>100</v>
      </c>
      <c r="FO115">
        <f ca="1">INDIRECT(ADDRESS(11+(MATCH(RIGHT(Table182023[[#This Row],[spawner_sku]],LEN(Table182023[[#This Row],[spawner_sku]])-FIND("/",Table182023[[#This Row],[spawner_sku]])),Table1[Entity Prefab],0)),10,1,1,"Entities"))</f>
        <v>130</v>
      </c>
      <c r="FP115">
        <f ca="1">ROUND((Table182023[[#This Row],[XP]]*Table182023[[#This Row],[entity_spawned (AVG)]])*(Table182023[[#This Row],[activating_chance]]/100),0)</f>
        <v>195</v>
      </c>
      <c r="FQ115" t="str">
        <f ca="1">INDIRECT(ADDRESS(11+(MATCH(RIGHT(Table182023[[#This Row],[spawner_sku]],LEN(Table182023[[#This Row],[spawner_sku]])-FIND("/",Table182023[[#This Row],[spawner_sku]])),Table28[Entity Prefab],0)),26,1,1,"Entities"))</f>
        <v>yes</v>
      </c>
      <c r="FR115">
        <v>1</v>
      </c>
      <c r="FS115">
        <v>2</v>
      </c>
      <c r="FT115" t="b">
        <v>0</v>
      </c>
      <c r="FV115" t="s">
        <v>2692</v>
      </c>
      <c r="FW115">
        <v>1</v>
      </c>
      <c r="FX115">
        <v>250</v>
      </c>
      <c r="FY115">
        <v>100</v>
      </c>
      <c r="FZ115" s="74">
        <f ca="1">INDIRECT(ADDRESS(11+(MATCH(RIGHT(Table18202324[[#This Row],[spawner_sku]],LEN(Table18202324[[#This Row],[spawner_sku]])-FIND("/",Table18202324[[#This Row],[spawner_sku]])),Table1[Entity Prefab],0)),10,1,1,"Entities"))</f>
        <v>263</v>
      </c>
      <c r="GA115" s="74">
        <f ca="1">ROUND((Table18202324[[#This Row],[XP]]*Table18202324[[#This Row],[entity_spawned (AVG)]])*(Table18202324[[#This Row],[activating_chance]]/100),0)</f>
        <v>263</v>
      </c>
      <c r="GB115" s="74" t="str">
        <f ca="1">INDIRECT(ADDRESS(11+(MATCH(RIGHT(Table18202324[[#This Row],[spawner_sku]],LEN(Table18202324[[#This Row],[spawner_sku]])-FIND("/",Table18202324[[#This Row],[spawner_sku]])),Table28[Entity Prefab],0)),26,1,1,"Entities"))</f>
        <v>yes</v>
      </c>
      <c r="GC115">
        <v>1</v>
      </c>
      <c r="GD115">
        <v>1</v>
      </c>
      <c r="GE115" t="b">
        <v>0</v>
      </c>
      <c r="GG115" t="s">
        <v>3816</v>
      </c>
      <c r="GH115">
        <v>1</v>
      </c>
      <c r="GI115">
        <v>240</v>
      </c>
      <c r="GJ115">
        <v>100</v>
      </c>
      <c r="GK115">
        <f ca="1">INDIRECT(ADDRESS(11+(MATCH(RIGHT(Table37[[#This Row],[spawner_sku]],LEN(Table37[[#This Row],[spawner_sku]])-FIND("/",Table37[[#This Row],[spawner_sku]])),Table1[Entity Prefab],0)),10,1,1,"Entities"))</f>
        <v>50</v>
      </c>
      <c r="GL115">
        <f ca="1">ROUND((Table37[[#This Row],[XP]]*Table37[[#This Row],[entity_spawned (AVG)]])*(Table37[[#This Row],[activating_chance]]/100),0)</f>
        <v>50</v>
      </c>
      <c r="GM115" t="str">
        <f ca="1">INDIRECT(ADDRESS(11+(MATCH(RIGHT(Table37[[#This Row],[spawner_sku]],LEN(Table37[[#This Row],[spawner_sku]])-FIND("/",Table37[[#This Row],[spawner_sku]])),Table28[Entity Prefab],0)),26,1,1,"Entities"))</f>
        <v>no</v>
      </c>
      <c r="GN115">
        <v>1</v>
      </c>
      <c r="GO115">
        <v>1</v>
      </c>
      <c r="GP115" t="b">
        <v>0</v>
      </c>
    </row>
    <row r="116" spans="2:198" x14ac:dyDescent="0.25">
      <c r="B116" s="72" t="s">
        <v>215</v>
      </c>
      <c r="C116">
        <v>8</v>
      </c>
      <c r="D116">
        <v>200</v>
      </c>
      <c r="E116">
        <v>100</v>
      </c>
      <c r="F116" s="74">
        <f ca="1">INDIRECT(ADDRESS(11+(MATCH(RIGHT(Table245[[#This Row],[spawner_sku]],LEN(Table245[[#This Row],[spawner_sku]])-FIND("/",Table245[[#This Row],[spawner_sku]])),Table1[Entity Prefab],0)),10,1,1,"Entities"))</f>
        <v>25</v>
      </c>
      <c r="G116" s="74">
        <f ca="1">ROUND((Table245[[#This Row],[XP]]*Table245[[#This Row],[entity_spawned (AVG)]])*(Table245[[#This Row],[activating_chance]]/100),0)</f>
        <v>200</v>
      </c>
      <c r="H116" s="71" t="str">
        <f ca="1">INDIRECT(ADDRESS(11+(MATCH(RIGHT(Table245[[#This Row],[spawner_sku]],LEN(Table245[[#This Row],[spawner_sku]])-FIND("/",Table245[[#This Row],[spawner_sku]])),Table28[Entity Prefab],0)),24,1,1,"Entities"))</f>
        <v>no</v>
      </c>
      <c r="I116" s="71">
        <v>6</v>
      </c>
      <c r="J116" s="71">
        <v>10</v>
      </c>
      <c r="K116" s="71" t="b">
        <v>1</v>
      </c>
      <c r="M116" t="s">
        <v>242</v>
      </c>
      <c r="N116">
        <v>1</v>
      </c>
      <c r="O116">
        <v>200</v>
      </c>
      <c r="P116">
        <v>100</v>
      </c>
      <c r="Q116" s="74">
        <f ca="1">INDIRECT(ADDRESS(11+(MATCH(RIGHT(Table3[[#This Row],[spawner_sku]],LEN(Table3[[#This Row],[spawner_sku]])-FIND("/",Table3[[#This Row],[spawner_sku]])),Table1[Entity Prefab],0)),10,1,1,"Entities"))</f>
        <v>25</v>
      </c>
      <c r="R116" s="74">
        <f ca="1">ROUND((Table3[[#This Row],[XP]]*Table3[[#This Row],[entity_spawned (AVG)]])*(Table3[[#This Row],[activating_chance]]/100),0)</f>
        <v>25</v>
      </c>
      <c r="S116" t="str">
        <f ca="1">INDIRECT(ADDRESS(11+(MATCH(RIGHT(Table3[[#This Row],[spawner_sku]],LEN(Table3[[#This Row],[spawner_sku]])-FIND("/",Table3[[#This Row],[spawner_sku]])),Table28[Entity Prefab],0)),24,1,1,"Entities"))</f>
        <v>no</v>
      </c>
      <c r="T116">
        <v>1</v>
      </c>
      <c r="U116">
        <v>1</v>
      </c>
      <c r="V116" t="b">
        <v>0</v>
      </c>
      <c r="W116" s="71"/>
      <c r="AI116" t="s">
        <v>216</v>
      </c>
      <c r="AJ116">
        <v>7.5</v>
      </c>
      <c r="AK116">
        <v>160</v>
      </c>
      <c r="AL116">
        <v>100</v>
      </c>
      <c r="AM116" s="74">
        <f ca="1">INDIRECT(ADDRESS(11+(MATCH(RIGHT(Table2[[#This Row],[spawner_sku]],LEN(Table2[[#This Row],[spawner_sku]])-FIND("/",Table2[[#This Row],[spawner_sku]])),Table1[Entity Prefab],0)),10,1,1,"Entities"))</f>
        <v>25</v>
      </c>
      <c r="AN116" s="74">
        <f ca="1">ROUND((Table2[[#This Row],[XP]]*Table2[[#This Row],[entity_spawned (AVG)]])*(Table2[[#This Row],[activating_chance]]/100),0)</f>
        <v>188</v>
      </c>
      <c r="AO116" s="71" t="str">
        <f ca="1">INDIRECT(ADDRESS(11+(MATCH(RIGHT(Table2[[#This Row],[spawner_sku]],LEN(Table2[[#This Row],[spawner_sku]])-FIND("/",Table2[[#This Row],[spawner_sku]])),Table28[Entity Prefab],0)),24,1,1,"Entities"))</f>
        <v>no</v>
      </c>
      <c r="AP116" s="71">
        <v>5</v>
      </c>
      <c r="AQ116" s="71">
        <v>10</v>
      </c>
      <c r="AR116" s="71" t="b">
        <v>1</v>
      </c>
      <c r="AT116" t="s">
        <v>554</v>
      </c>
      <c r="AU116">
        <v>1</v>
      </c>
      <c r="AV116">
        <v>300</v>
      </c>
      <c r="AW116">
        <v>100</v>
      </c>
      <c r="AX116" s="74">
        <f ca="1">INDIRECT(ADDRESS(11+(MATCH(RIGHT(Table6[[#This Row],[spawner_sku]],LEN(Table6[[#This Row],[spawner_sku]])-FIND("/",Table6[[#This Row],[spawner_sku]])),Table1[Entity Prefab],0)),10,1,1,"Entities"))</f>
        <v>50</v>
      </c>
      <c r="AY116" s="74">
        <f ca="1">ROUND((Table6[[#This Row],[XP]]*Table6[[#This Row],[entity_spawned (AVG)]])*(Table6[[#This Row],[activating_chance]]/100),0)</f>
        <v>50</v>
      </c>
      <c r="AZ116" s="144" t="str">
        <f ca="1">INDIRECT(ADDRESS(11+(MATCH(RIGHT(Table6[[#This Row],[spawner_sku]],LEN(Table6[[#This Row],[spawner_sku]])-FIND("/",Table6[[#This Row],[spawner_sku]])),Table28[Entity Prefab],0)),24,1,1,"Entities"))</f>
        <v>yes</v>
      </c>
      <c r="BA116">
        <v>1</v>
      </c>
      <c r="BB116">
        <v>1</v>
      </c>
      <c r="BC116" t="b">
        <v>0</v>
      </c>
      <c r="BE116" t="s">
        <v>230</v>
      </c>
      <c r="BF116">
        <v>1</v>
      </c>
      <c r="BG116">
        <v>200</v>
      </c>
      <c r="BH116">
        <v>100</v>
      </c>
      <c r="BI116" s="74">
        <f ca="1">INDIRECT(ADDRESS(11+(MATCH(RIGHT(Table610[[#This Row],[spawner_sku]],LEN(Table610[[#This Row],[spawner_sku]])-FIND("/",Table610[[#This Row],[spawner_sku]])),Table1[Entity Prefab],0)),10,1,1,"Entities"))</f>
        <v>28</v>
      </c>
      <c r="BJ116" s="74">
        <f ca="1">ROUND((Table610[[#This Row],[XP]]*Table610[[#This Row],[entity_spawned (AVG)]])*(Table610[[#This Row],[activating_chance]]/100),0)</f>
        <v>28</v>
      </c>
      <c r="BK116" s="71" t="str">
        <f ca="1">INDIRECT(ADDRESS(11+(MATCH(RIGHT(Table610[[#This Row],[spawner_sku]],LEN(Table610[[#This Row],[spawner_sku]])-FIND("/",Table610[[#This Row],[spawner_sku]])),Table28[Entity Prefab],0)),24,1,1,"Entities"))</f>
        <v>no</v>
      </c>
      <c r="BL116">
        <v>1</v>
      </c>
      <c r="BM116">
        <v>1</v>
      </c>
      <c r="BN116" t="b">
        <v>0</v>
      </c>
      <c r="BP116" t="s">
        <v>219</v>
      </c>
      <c r="BQ116">
        <v>1</v>
      </c>
      <c r="BR116">
        <v>250</v>
      </c>
      <c r="BS116">
        <v>100</v>
      </c>
      <c r="BT116" s="74">
        <f ca="1">INDIRECT(ADDRESS(11+(MATCH(RIGHT(Table61011[[#This Row],[spawner_sku]],LEN(Table61011[[#This Row],[spawner_sku]])-FIND("/",Table61011[[#This Row],[spawner_sku]])),Table1[Entity Prefab],0)),10,1,1,"Entities"))</f>
        <v>143</v>
      </c>
      <c r="BU116" s="74">
        <f ca="1">ROUND((Table61011[[#This Row],[XP]]*Table61011[[#This Row],[entity_spawned (AVG)]])*(Table61011[[#This Row],[activating_chance]]/100),0)</f>
        <v>143</v>
      </c>
      <c r="BV116" s="71" t="str">
        <f ca="1">INDIRECT(ADDRESS(11+(MATCH(RIGHT(Table61011[[#This Row],[spawner_sku]],LEN(Table61011[[#This Row],[spawner_sku]])-FIND("/",Table61011[[#This Row],[spawner_sku]])),Table28[Entity Prefab],0)),24,1,1,"Entities"))</f>
        <v>yes</v>
      </c>
      <c r="BW116" s="71">
        <v>1</v>
      </c>
      <c r="BX116" s="71">
        <v>1</v>
      </c>
      <c r="BY116" s="71" t="b">
        <v>0</v>
      </c>
      <c r="BZ116" s="71"/>
      <c r="CA116" s="147" t="s">
        <v>8142</v>
      </c>
      <c r="CB116">
        <v>1</v>
      </c>
      <c r="CC116">
        <v>200</v>
      </c>
      <c r="CD116">
        <v>100</v>
      </c>
      <c r="CE116" s="74">
        <f ca="1">INDIRECT(ADDRESS(11+(MATCH(RIGHT(Table35[[#This Row],[spawner_sku]],LEN(Table35[[#This Row],[spawner_sku]])-FIND("/",Table35[[#This Row],[spawner_sku]])),Table1[Entity Prefab],0)),10,1,1,"Entities"))</f>
        <v>75</v>
      </c>
      <c r="CF116" s="74">
        <f ca="1">ROUND((Table35[[#This Row],[XP]]*Table35[[#This Row],[entity_spawned (AVG)]])*(Table35[[#This Row],[activating_chance]]/100),0)</f>
        <v>75</v>
      </c>
      <c r="CG116" s="144" t="str">
        <f ca="1">INDIRECT(ADDRESS(11+(MATCH(RIGHT(Table35[[#This Row],[spawner_sku]],LEN(Table35[[#This Row],[spawner_sku]])-FIND("/",Table35[[#This Row],[spawner_sku]])),Table28[Entity Prefab],0)),24,1,1,"Entities"))</f>
        <v>no</v>
      </c>
      <c r="CH116">
        <v>1</v>
      </c>
      <c r="CI116">
        <v>1</v>
      </c>
      <c r="CJ116" s="71" t="b">
        <v>0</v>
      </c>
      <c r="CL116" t="s">
        <v>215</v>
      </c>
      <c r="CM116">
        <v>3</v>
      </c>
      <c r="CN116">
        <v>180</v>
      </c>
      <c r="CO116">
        <v>100</v>
      </c>
      <c r="CP116" s="74">
        <f ca="1">INDIRECT(ADDRESS(11+(MATCH(RIGHT(Table11[[#This Row],[spawner_sku]],LEN(Table11[[#This Row],[spawner_sku]])-FIND("/",Table11[[#This Row],[spawner_sku]])),Table1[Entity Prefab],0)),10,1,1,"Entities"))</f>
        <v>25</v>
      </c>
      <c r="CQ116">
        <f ca="1">ROUND((Table11[[#This Row],[XP]]*Table11[[#This Row],[entity_spawned (AVG)]])*(Table11[[#This Row],[activating_chance]]/100),0)</f>
        <v>75</v>
      </c>
      <c r="CR116" s="144" t="str">
        <f ca="1">INDIRECT(ADDRESS(11+(MATCH(RIGHT(Table11[[#This Row],[spawner_sku]],LEN(Table11[[#This Row],[spawner_sku]])-FIND("/",Table11[[#This Row],[spawner_sku]])),Table28[Entity Prefab],0)),25,1,1,"Entities"))</f>
        <v>no</v>
      </c>
      <c r="CS116" s="71">
        <v>2</v>
      </c>
      <c r="CT116" s="71">
        <v>4</v>
      </c>
      <c r="CU116" s="71" t="b">
        <v>0</v>
      </c>
      <c r="CW116" t="s">
        <v>377</v>
      </c>
      <c r="CX116">
        <v>2.5</v>
      </c>
      <c r="CY116">
        <v>120</v>
      </c>
      <c r="CZ116">
        <v>100</v>
      </c>
      <c r="DA116" s="74">
        <f ca="1">INDIRECT(ADDRESS(11+(MATCH(RIGHT(Table12[[#This Row],[spawner_sku]],LEN(Table12[[#This Row],[spawner_sku]])-FIND("/",Table12[[#This Row],[spawner_sku]])),Table1[Entity Prefab],0)),10,1,1,"Entities"))</f>
        <v>25</v>
      </c>
      <c r="DB116" s="74">
        <f ca="1">ROUND((Table12[[#This Row],[XP]]*Table12[[#This Row],[entity_spawned (AVG)]])*(Table12[[#This Row],[activating_chance]]/100),0)</f>
        <v>63</v>
      </c>
      <c r="DC116" s="144" t="str">
        <f ca="1">INDIRECT(ADDRESS(11+(MATCH(RIGHT(Table12[[#This Row],[spawner_sku]],LEN(Table12[[#This Row],[spawner_sku]])-FIND("/",Table12[[#This Row],[spawner_sku]])),Table28[Entity Prefab],0)),25,1,1,"Entities"))</f>
        <v>no</v>
      </c>
      <c r="DD116" s="71">
        <v>2</v>
      </c>
      <c r="DE116" s="71">
        <v>3</v>
      </c>
      <c r="DF116" s="71" t="b">
        <v>0</v>
      </c>
      <c r="DH116" t="s">
        <v>371</v>
      </c>
      <c r="DI116">
        <v>1</v>
      </c>
      <c r="DJ116">
        <v>200</v>
      </c>
      <c r="DK116">
        <v>80</v>
      </c>
      <c r="DL116" s="74">
        <f ca="1">INDIRECT(ADDRESS(11+(MATCH(RIGHT(Table13[[#This Row],[spawner_sku]],LEN(Table13[[#This Row],[spawner_sku]])-FIND("/",Table13[[#This Row],[spawner_sku]])),Table1[Entity Prefab],0)),10,1,1,"Entities"))</f>
        <v>75</v>
      </c>
      <c r="DM116" s="74">
        <f ca="1">ROUND((Table13[[#This Row],[XP]]*Table13[[#This Row],[entity_spawned (AVG)]])*(Table13[[#This Row],[activating_chance]]/100),0)</f>
        <v>60</v>
      </c>
      <c r="DN116" s="144" t="str">
        <f ca="1">INDIRECT(ADDRESS(11+(MATCH(RIGHT(Table13[[#This Row],[spawner_sku]],LEN(Table13[[#This Row],[spawner_sku]])-FIND("/",Table13[[#This Row],[spawner_sku]])),Table28[Entity Prefab],0)),25,1,1,"Entities"))</f>
        <v>yes</v>
      </c>
      <c r="DO116" s="71">
        <v>1</v>
      </c>
      <c r="DP116" s="71">
        <v>1</v>
      </c>
      <c r="DQ116" s="71" t="b">
        <v>0</v>
      </c>
      <c r="DS116" t="s">
        <v>214</v>
      </c>
      <c r="DT116">
        <v>7</v>
      </c>
      <c r="DU116">
        <v>180</v>
      </c>
      <c r="DV116">
        <v>30</v>
      </c>
      <c r="DW116" s="74">
        <f ca="1">INDIRECT(ADDRESS(11+(MATCH(RIGHT(Table14[[#This Row],[spawner_sku]],LEN(Table14[[#This Row],[spawner_sku]])-FIND("/",Table14[[#This Row],[spawner_sku]])),Table1[Entity Prefab],0)),10,1,1,"Entities"))</f>
        <v>25</v>
      </c>
      <c r="DX116" s="74">
        <f ca="1">ROUND((Table14[[#This Row],[XP]]*Table14[[#This Row],[entity_spawned (AVG)]])*(Table14[[#This Row],[activating_chance]]/100),0)</f>
        <v>53</v>
      </c>
      <c r="DY116" s="144" t="str">
        <f ca="1">INDIRECT(ADDRESS(11+(MATCH(RIGHT(Table14[[#This Row],[spawner_sku]],LEN(Table14[[#This Row],[spawner_sku]])-FIND("/",Table14[[#This Row],[spawner_sku]])),Table28[Entity Prefab],0)),25,1,1,"Entities"))</f>
        <v>no</v>
      </c>
      <c r="DZ116" s="71">
        <v>6</v>
      </c>
      <c r="EA116" s="71">
        <v>8</v>
      </c>
      <c r="EB116" s="71" t="b">
        <v>1</v>
      </c>
      <c r="EC116" s="71"/>
      <c r="ED116" s="147" t="s">
        <v>3822</v>
      </c>
      <c r="EE116" s="71">
        <v>1</v>
      </c>
      <c r="EF116" s="71">
        <v>240</v>
      </c>
      <c r="EG116" s="71">
        <v>100</v>
      </c>
      <c r="EH116" s="71">
        <f ca="1">INDIRECT(ADDRESS(11+(MATCH(RIGHT(Table36[[#This Row],[spawner_sku]],LEN(Table36[[#This Row],[spawner_sku]])-FIND("/",Table36[[#This Row],[spawner_sku]])),Table1[Entity Prefab],0)),10,1,1,"Entities"))</f>
        <v>10</v>
      </c>
      <c r="EI116" s="71">
        <f ca="1">ROUND((Table36[[#This Row],[XP]]*Table36[[#This Row],[entity_spawned (AVG)]])*(Table36[[#This Row],[activating_chance]]/100),0)</f>
        <v>10</v>
      </c>
      <c r="EJ116" s="71" t="str">
        <f ca="1">INDIRECT(ADDRESS(11+(MATCH(RIGHT(Table36[[#This Row],[spawner_sku]],LEN(Table36[[#This Row],[spawner_sku]])-FIND("/",Table36[[#This Row],[spawner_sku]])),Table28[Entity Prefab],0)),25,1,1,"Entities"))</f>
        <v>no</v>
      </c>
      <c r="EK116" s="71">
        <v>1</v>
      </c>
      <c r="EL116" s="71">
        <v>1</v>
      </c>
      <c r="EM116" s="71" t="b">
        <v>0</v>
      </c>
      <c r="EO116" t="s">
        <v>218</v>
      </c>
      <c r="EP116">
        <v>1</v>
      </c>
      <c r="EQ116">
        <v>5000</v>
      </c>
      <c r="ER116">
        <v>75</v>
      </c>
      <c r="ES116" s="74">
        <f ca="1">INDIRECT(ADDRESS(11+(MATCH(RIGHT(Table18[[#This Row],[spawner_sku]],LEN(Table18[[#This Row],[spawner_sku]])-FIND("/",Table18[[#This Row],[spawner_sku]])),Table1[Entity Prefab],0)),10,1,1,"Entities"))</f>
        <v>75</v>
      </c>
      <c r="ET116" s="74">
        <f ca="1">ROUND((Table18[[#This Row],[XP]]*Table18[[#This Row],[entity_spawned (AVG)]])*(Table18[[#This Row],[activating_chance]]/100),0)</f>
        <v>56</v>
      </c>
      <c r="EU116" s="74" t="str">
        <f ca="1">INDIRECT(ADDRESS(11+(MATCH(RIGHT(Table18[[#This Row],[spawner_sku]],LEN(Table18[[#This Row],[spawner_sku]])-FIND("/",Table18[[#This Row],[spawner_sku]])),Table28[Entity Prefab],0)),26,1,1,"Entities"))</f>
        <v>no</v>
      </c>
      <c r="EV116">
        <v>1</v>
      </c>
      <c r="EW116">
        <v>1</v>
      </c>
      <c r="EX116" t="b">
        <v>0</v>
      </c>
      <c r="EZ116" t="s">
        <v>221</v>
      </c>
      <c r="FA116">
        <v>1</v>
      </c>
      <c r="FB116">
        <v>340</v>
      </c>
      <c r="FC116">
        <v>100</v>
      </c>
      <c r="FD116" s="74">
        <f ca="1">INDIRECT(ADDRESS(11+(MATCH(RIGHT(Table1820[[#This Row],[spawner_sku]],LEN(Table1820[[#This Row],[spawner_sku]])-FIND("/",Table1820[[#This Row],[spawner_sku]])),Table1[Entity Prefab],0)),10,1,1,"Entities"))</f>
        <v>263</v>
      </c>
      <c r="FE116" s="74">
        <f ca="1">ROUND((Table1820[[#This Row],[XP]]*Table1820[[#This Row],[entity_spawned (AVG)]])*(Table1820[[#This Row],[activating_chance]]/100),0)</f>
        <v>263</v>
      </c>
      <c r="FF116" s="74" t="str">
        <f ca="1">INDIRECT(ADDRESS(11+(MATCH(RIGHT(Table1820[[#This Row],[spawner_sku]],LEN(Table1820[[#This Row],[spawner_sku]])-FIND("/",Table1820[[#This Row],[spawner_sku]])),Table28[Entity Prefab],0)),26,1,1,"Entities"))</f>
        <v>yes</v>
      </c>
      <c r="FG116">
        <v>1</v>
      </c>
      <c r="FH116">
        <v>1</v>
      </c>
      <c r="FI116" t="b">
        <v>0</v>
      </c>
      <c r="FK116" t="s">
        <v>2693</v>
      </c>
      <c r="FL116">
        <v>1.5</v>
      </c>
      <c r="FM116">
        <v>100</v>
      </c>
      <c r="FN116">
        <v>80</v>
      </c>
      <c r="FO116">
        <f ca="1">INDIRECT(ADDRESS(11+(MATCH(RIGHT(Table182023[[#This Row],[spawner_sku]],LEN(Table182023[[#This Row],[spawner_sku]])-FIND("/",Table182023[[#This Row],[spawner_sku]])),Table1[Entity Prefab],0)),10,1,1,"Entities"))</f>
        <v>130</v>
      </c>
      <c r="FP116">
        <f ca="1">ROUND((Table182023[[#This Row],[XP]]*Table182023[[#This Row],[entity_spawned (AVG)]])*(Table182023[[#This Row],[activating_chance]]/100),0)</f>
        <v>156</v>
      </c>
      <c r="FQ116" t="str">
        <f ca="1">INDIRECT(ADDRESS(11+(MATCH(RIGHT(Table182023[[#This Row],[spawner_sku]],LEN(Table182023[[#This Row],[spawner_sku]])-FIND("/",Table182023[[#This Row],[spawner_sku]])),Table28[Entity Prefab],0)),26,1,1,"Entities"))</f>
        <v>yes</v>
      </c>
      <c r="FR116">
        <v>1</v>
      </c>
      <c r="FS116">
        <v>2</v>
      </c>
      <c r="FT116" t="b">
        <v>0</v>
      </c>
      <c r="FV116" t="s">
        <v>2708</v>
      </c>
      <c r="FW116">
        <v>1</v>
      </c>
      <c r="FX116">
        <v>250</v>
      </c>
      <c r="FY116">
        <v>100</v>
      </c>
      <c r="FZ116" s="74">
        <f ca="1">INDIRECT(ADDRESS(11+(MATCH(RIGHT(Table18202324[[#This Row],[spawner_sku]],LEN(Table18202324[[#This Row],[spawner_sku]])-FIND("/",Table18202324[[#This Row],[spawner_sku]])),Table1[Entity Prefab],0)),10,1,1,"Entities"))</f>
        <v>263</v>
      </c>
      <c r="GA116" s="74">
        <f ca="1">ROUND((Table18202324[[#This Row],[XP]]*Table18202324[[#This Row],[entity_spawned (AVG)]])*(Table18202324[[#This Row],[activating_chance]]/100),0)</f>
        <v>263</v>
      </c>
      <c r="GB116" s="74" t="str">
        <f ca="1">INDIRECT(ADDRESS(11+(MATCH(RIGHT(Table18202324[[#This Row],[spawner_sku]],LEN(Table18202324[[#This Row],[spawner_sku]])-FIND("/",Table18202324[[#This Row],[spawner_sku]])),Table28[Entity Prefab],0)),26,1,1,"Entities"))</f>
        <v>yes</v>
      </c>
      <c r="GC116">
        <v>1</v>
      </c>
      <c r="GD116">
        <v>1</v>
      </c>
      <c r="GE116" t="b">
        <v>0</v>
      </c>
      <c r="GG116" t="s">
        <v>3816</v>
      </c>
      <c r="GH116">
        <v>1</v>
      </c>
      <c r="GI116">
        <v>240</v>
      </c>
      <c r="GJ116">
        <v>100</v>
      </c>
      <c r="GK116">
        <f ca="1">INDIRECT(ADDRESS(11+(MATCH(RIGHT(Table37[[#This Row],[spawner_sku]],LEN(Table37[[#This Row],[spawner_sku]])-FIND("/",Table37[[#This Row],[spawner_sku]])),Table1[Entity Prefab],0)),10,1,1,"Entities"))</f>
        <v>50</v>
      </c>
      <c r="GL116">
        <f ca="1">ROUND((Table37[[#This Row],[XP]]*Table37[[#This Row],[entity_spawned (AVG)]])*(Table37[[#This Row],[activating_chance]]/100),0)</f>
        <v>50</v>
      </c>
      <c r="GM116" t="str">
        <f ca="1">INDIRECT(ADDRESS(11+(MATCH(RIGHT(Table37[[#This Row],[spawner_sku]],LEN(Table37[[#This Row],[spawner_sku]])-FIND("/",Table37[[#This Row],[spawner_sku]])),Table28[Entity Prefab],0)),26,1,1,"Entities"))</f>
        <v>no</v>
      </c>
      <c r="GN116">
        <v>1</v>
      </c>
      <c r="GO116">
        <v>1</v>
      </c>
      <c r="GP116" t="b">
        <v>0</v>
      </c>
    </row>
    <row r="117" spans="2:198" x14ac:dyDescent="0.25">
      <c r="B117" s="72" t="s">
        <v>215</v>
      </c>
      <c r="C117">
        <v>1</v>
      </c>
      <c r="D117">
        <v>80</v>
      </c>
      <c r="E117">
        <v>100</v>
      </c>
      <c r="F117" s="74">
        <f ca="1">INDIRECT(ADDRESS(11+(MATCH(RIGHT(Table245[[#This Row],[spawner_sku]],LEN(Table245[[#This Row],[spawner_sku]])-FIND("/",Table245[[#This Row],[spawner_sku]])),Table1[Entity Prefab],0)),10,1,1,"Entities"))</f>
        <v>25</v>
      </c>
      <c r="G117" s="74">
        <f ca="1">ROUND((Table245[[#This Row],[XP]]*Table245[[#This Row],[entity_spawned (AVG)]])*(Table245[[#This Row],[activating_chance]]/100),0)</f>
        <v>25</v>
      </c>
      <c r="H117" s="71" t="str">
        <f ca="1">INDIRECT(ADDRESS(11+(MATCH(RIGHT(Table245[[#This Row],[spawner_sku]],LEN(Table245[[#This Row],[spawner_sku]])-FIND("/",Table245[[#This Row],[spawner_sku]])),Table28[Entity Prefab],0)),24,1,1,"Entities"))</f>
        <v>no</v>
      </c>
      <c r="I117" s="71">
        <v>1</v>
      </c>
      <c r="J117" s="71">
        <v>1</v>
      </c>
      <c r="K117" s="71" t="b">
        <v>0</v>
      </c>
      <c r="M117" t="s">
        <v>242</v>
      </c>
      <c r="N117">
        <v>1</v>
      </c>
      <c r="O117">
        <v>190</v>
      </c>
      <c r="P117">
        <v>80</v>
      </c>
      <c r="Q117" s="74">
        <f ca="1">INDIRECT(ADDRESS(11+(MATCH(RIGHT(Table3[[#This Row],[spawner_sku]],LEN(Table3[[#This Row],[spawner_sku]])-FIND("/",Table3[[#This Row],[spawner_sku]])),Table1[Entity Prefab],0)),10,1,1,"Entities"))</f>
        <v>25</v>
      </c>
      <c r="R117" s="74">
        <f ca="1">ROUND((Table3[[#This Row],[XP]]*Table3[[#This Row],[entity_spawned (AVG)]])*(Table3[[#This Row],[activating_chance]]/100),0)</f>
        <v>20</v>
      </c>
      <c r="S117" t="str">
        <f ca="1">INDIRECT(ADDRESS(11+(MATCH(RIGHT(Table3[[#This Row],[spawner_sku]],LEN(Table3[[#This Row],[spawner_sku]])-FIND("/",Table3[[#This Row],[spawner_sku]])),Table28[Entity Prefab],0)),24,1,1,"Entities"))</f>
        <v>no</v>
      </c>
      <c r="T117">
        <v>1</v>
      </c>
      <c r="U117">
        <v>1</v>
      </c>
      <c r="V117" t="b">
        <v>0</v>
      </c>
      <c r="W117" s="71"/>
      <c r="AI117" t="s">
        <v>216</v>
      </c>
      <c r="AJ117">
        <v>7.5</v>
      </c>
      <c r="AK117">
        <v>130</v>
      </c>
      <c r="AL117">
        <v>100</v>
      </c>
      <c r="AM117" s="74">
        <f ca="1">INDIRECT(ADDRESS(11+(MATCH(RIGHT(Table2[[#This Row],[spawner_sku]],LEN(Table2[[#This Row],[spawner_sku]])-FIND("/",Table2[[#This Row],[spawner_sku]])),Table1[Entity Prefab],0)),10,1,1,"Entities"))</f>
        <v>25</v>
      </c>
      <c r="AN117" s="74">
        <f ca="1">ROUND((Table2[[#This Row],[XP]]*Table2[[#This Row],[entity_spawned (AVG)]])*(Table2[[#This Row],[activating_chance]]/100),0)</f>
        <v>188</v>
      </c>
      <c r="AO117" s="71" t="str">
        <f ca="1">INDIRECT(ADDRESS(11+(MATCH(RIGHT(Table2[[#This Row],[spawner_sku]],LEN(Table2[[#This Row],[spawner_sku]])-FIND("/",Table2[[#This Row],[spawner_sku]])),Table28[Entity Prefab],0)),24,1,1,"Entities"))</f>
        <v>no</v>
      </c>
      <c r="AP117" s="71">
        <v>5</v>
      </c>
      <c r="AQ117" s="71">
        <v>10</v>
      </c>
      <c r="AR117" s="71" t="b">
        <v>1</v>
      </c>
      <c r="AT117" t="s">
        <v>554</v>
      </c>
      <c r="AU117">
        <v>1</v>
      </c>
      <c r="AV117">
        <v>300</v>
      </c>
      <c r="AW117">
        <v>100</v>
      </c>
      <c r="AX117" s="74">
        <f ca="1">INDIRECT(ADDRESS(11+(MATCH(RIGHT(Table6[[#This Row],[spawner_sku]],LEN(Table6[[#This Row],[spawner_sku]])-FIND("/",Table6[[#This Row],[spawner_sku]])),Table1[Entity Prefab],0)),10,1,1,"Entities"))</f>
        <v>50</v>
      </c>
      <c r="AY117" s="74">
        <f ca="1">ROUND((Table6[[#This Row],[XP]]*Table6[[#This Row],[entity_spawned (AVG)]])*(Table6[[#This Row],[activating_chance]]/100),0)</f>
        <v>50</v>
      </c>
      <c r="AZ117" s="144" t="str">
        <f ca="1">INDIRECT(ADDRESS(11+(MATCH(RIGHT(Table6[[#This Row],[spawner_sku]],LEN(Table6[[#This Row],[spawner_sku]])-FIND("/",Table6[[#This Row],[spawner_sku]])),Table28[Entity Prefab],0)),24,1,1,"Entities"))</f>
        <v>yes</v>
      </c>
      <c r="BA117">
        <v>1</v>
      </c>
      <c r="BB117">
        <v>1</v>
      </c>
      <c r="BC117" t="b">
        <v>0</v>
      </c>
      <c r="BE117" t="s">
        <v>231</v>
      </c>
      <c r="BF117">
        <v>1</v>
      </c>
      <c r="BG117">
        <v>220</v>
      </c>
      <c r="BH117">
        <v>100</v>
      </c>
      <c r="BI117" s="74">
        <f ca="1">INDIRECT(ADDRESS(11+(MATCH(RIGHT(Table610[[#This Row],[spawner_sku]],LEN(Table610[[#This Row],[spawner_sku]])-FIND("/",Table610[[#This Row],[spawner_sku]])),Table1[Entity Prefab],0)),10,1,1,"Entities"))</f>
        <v>25</v>
      </c>
      <c r="BJ117" s="74">
        <f ca="1">ROUND((Table610[[#This Row],[XP]]*Table610[[#This Row],[entity_spawned (AVG)]])*(Table610[[#This Row],[activating_chance]]/100),0)</f>
        <v>25</v>
      </c>
      <c r="BK117" s="71" t="str">
        <f ca="1">INDIRECT(ADDRESS(11+(MATCH(RIGHT(Table610[[#This Row],[spawner_sku]],LEN(Table610[[#This Row],[spawner_sku]])-FIND("/",Table610[[#This Row],[spawner_sku]])),Table28[Entity Prefab],0)),24,1,1,"Entities"))</f>
        <v>yes</v>
      </c>
      <c r="BL117">
        <v>1</v>
      </c>
      <c r="BM117">
        <v>1</v>
      </c>
      <c r="BN117" t="b">
        <v>0</v>
      </c>
      <c r="BP117" t="s">
        <v>219</v>
      </c>
      <c r="BQ117">
        <v>1</v>
      </c>
      <c r="BR117">
        <v>250</v>
      </c>
      <c r="BS117">
        <v>100</v>
      </c>
      <c r="BT117" s="74">
        <f ca="1">INDIRECT(ADDRESS(11+(MATCH(RIGHT(Table61011[[#This Row],[spawner_sku]],LEN(Table61011[[#This Row],[spawner_sku]])-FIND("/",Table61011[[#This Row],[spawner_sku]])),Table1[Entity Prefab],0)),10,1,1,"Entities"))</f>
        <v>143</v>
      </c>
      <c r="BU117" s="74">
        <f ca="1">ROUND((Table61011[[#This Row],[XP]]*Table61011[[#This Row],[entity_spawned (AVG)]])*(Table61011[[#This Row],[activating_chance]]/100),0)</f>
        <v>143</v>
      </c>
      <c r="BV117" s="71" t="str">
        <f ca="1">INDIRECT(ADDRESS(11+(MATCH(RIGHT(Table61011[[#This Row],[spawner_sku]],LEN(Table61011[[#This Row],[spawner_sku]])-FIND("/",Table61011[[#This Row],[spawner_sku]])),Table28[Entity Prefab],0)),24,1,1,"Entities"))</f>
        <v>yes</v>
      </c>
      <c r="BW117" s="71">
        <v>1</v>
      </c>
      <c r="BX117" s="71">
        <v>1</v>
      </c>
      <c r="BY117" s="71" t="b">
        <v>0</v>
      </c>
      <c r="BZ117" s="71"/>
      <c r="CA117" s="147" t="s">
        <v>8142</v>
      </c>
      <c r="CB117">
        <v>1</v>
      </c>
      <c r="CC117">
        <v>200</v>
      </c>
      <c r="CD117">
        <v>80</v>
      </c>
      <c r="CE117" s="74">
        <f ca="1">INDIRECT(ADDRESS(11+(MATCH(RIGHT(Table35[[#This Row],[spawner_sku]],LEN(Table35[[#This Row],[spawner_sku]])-FIND("/",Table35[[#This Row],[spawner_sku]])),Table1[Entity Prefab],0)),10,1,1,"Entities"))</f>
        <v>75</v>
      </c>
      <c r="CF117" s="74">
        <f ca="1">ROUND((Table35[[#This Row],[XP]]*Table35[[#This Row],[entity_spawned (AVG)]])*(Table35[[#This Row],[activating_chance]]/100),0)</f>
        <v>60</v>
      </c>
      <c r="CG117" s="144" t="str">
        <f ca="1">INDIRECT(ADDRESS(11+(MATCH(RIGHT(Table35[[#This Row],[spawner_sku]],LEN(Table35[[#This Row],[spawner_sku]])-FIND("/",Table35[[#This Row],[spawner_sku]])),Table28[Entity Prefab],0)),24,1,1,"Entities"))</f>
        <v>no</v>
      </c>
      <c r="CH117">
        <v>1</v>
      </c>
      <c r="CI117">
        <v>1</v>
      </c>
      <c r="CJ117" s="71" t="b">
        <v>0</v>
      </c>
      <c r="CL117" t="s">
        <v>215</v>
      </c>
      <c r="CM117">
        <v>2</v>
      </c>
      <c r="CN117">
        <v>180</v>
      </c>
      <c r="CO117">
        <v>100</v>
      </c>
      <c r="CP117" s="74">
        <f ca="1">INDIRECT(ADDRESS(11+(MATCH(RIGHT(Table11[[#This Row],[spawner_sku]],LEN(Table11[[#This Row],[spawner_sku]])-FIND("/",Table11[[#This Row],[spawner_sku]])),Table1[Entity Prefab],0)),10,1,1,"Entities"))</f>
        <v>25</v>
      </c>
      <c r="CQ117">
        <f ca="1">ROUND((Table11[[#This Row],[XP]]*Table11[[#This Row],[entity_spawned (AVG)]])*(Table11[[#This Row],[activating_chance]]/100),0)</f>
        <v>50</v>
      </c>
      <c r="CR117" s="144" t="str">
        <f ca="1">INDIRECT(ADDRESS(11+(MATCH(RIGHT(Table11[[#This Row],[spawner_sku]],LEN(Table11[[#This Row],[spawner_sku]])-FIND("/",Table11[[#This Row],[spawner_sku]])),Table28[Entity Prefab],0)),25,1,1,"Entities"))</f>
        <v>no</v>
      </c>
      <c r="CS117" s="71">
        <v>2</v>
      </c>
      <c r="CT117" s="71">
        <v>2</v>
      </c>
      <c r="CU117" s="71" t="b">
        <v>0</v>
      </c>
      <c r="CW117" t="s">
        <v>377</v>
      </c>
      <c r="CX117">
        <v>2.5</v>
      </c>
      <c r="CY117">
        <v>120</v>
      </c>
      <c r="CZ117">
        <v>100</v>
      </c>
      <c r="DA117" s="74">
        <f ca="1">INDIRECT(ADDRESS(11+(MATCH(RIGHT(Table12[[#This Row],[spawner_sku]],LEN(Table12[[#This Row],[spawner_sku]])-FIND("/",Table12[[#This Row],[spawner_sku]])),Table1[Entity Prefab],0)),10,1,1,"Entities"))</f>
        <v>25</v>
      </c>
      <c r="DB117" s="74">
        <f ca="1">ROUND((Table12[[#This Row],[XP]]*Table12[[#This Row],[entity_spawned (AVG)]])*(Table12[[#This Row],[activating_chance]]/100),0)</f>
        <v>63</v>
      </c>
      <c r="DC117" s="144" t="str">
        <f ca="1">INDIRECT(ADDRESS(11+(MATCH(RIGHT(Table12[[#This Row],[spawner_sku]],LEN(Table12[[#This Row],[spawner_sku]])-FIND("/",Table12[[#This Row],[spawner_sku]])),Table28[Entity Prefab],0)),25,1,1,"Entities"))</f>
        <v>no</v>
      </c>
      <c r="DD117" s="71">
        <v>2</v>
      </c>
      <c r="DE117" s="71">
        <v>3</v>
      </c>
      <c r="DF117" s="71" t="b">
        <v>0</v>
      </c>
      <c r="DH117" t="s">
        <v>371</v>
      </c>
      <c r="DI117">
        <v>1</v>
      </c>
      <c r="DJ117">
        <v>200</v>
      </c>
      <c r="DK117">
        <v>100</v>
      </c>
      <c r="DL117" s="74">
        <f ca="1">INDIRECT(ADDRESS(11+(MATCH(RIGHT(Table13[[#This Row],[spawner_sku]],LEN(Table13[[#This Row],[spawner_sku]])-FIND("/",Table13[[#This Row],[spawner_sku]])),Table1[Entity Prefab],0)),10,1,1,"Entities"))</f>
        <v>75</v>
      </c>
      <c r="DM117" s="74">
        <f ca="1">ROUND((Table13[[#This Row],[XP]]*Table13[[#This Row],[entity_spawned (AVG)]])*(Table13[[#This Row],[activating_chance]]/100),0)</f>
        <v>75</v>
      </c>
      <c r="DN117" s="144" t="str">
        <f ca="1">INDIRECT(ADDRESS(11+(MATCH(RIGHT(Table13[[#This Row],[spawner_sku]],LEN(Table13[[#This Row],[spawner_sku]])-FIND("/",Table13[[#This Row],[spawner_sku]])),Table28[Entity Prefab],0)),25,1,1,"Entities"))</f>
        <v>yes</v>
      </c>
      <c r="DO117" s="71">
        <v>1</v>
      </c>
      <c r="DP117" s="71">
        <v>1</v>
      </c>
      <c r="DQ117" s="71" t="b">
        <v>0</v>
      </c>
      <c r="DS117" t="s">
        <v>214</v>
      </c>
      <c r="DT117">
        <v>3.5</v>
      </c>
      <c r="DU117">
        <v>120</v>
      </c>
      <c r="DV117">
        <v>100</v>
      </c>
      <c r="DW117" s="74">
        <f ca="1">INDIRECT(ADDRESS(11+(MATCH(RIGHT(Table14[[#This Row],[spawner_sku]],LEN(Table14[[#This Row],[spawner_sku]])-FIND("/",Table14[[#This Row],[spawner_sku]])),Table1[Entity Prefab],0)),10,1,1,"Entities"))</f>
        <v>25</v>
      </c>
      <c r="DX117" s="74">
        <f ca="1">ROUND((Table14[[#This Row],[XP]]*Table14[[#This Row],[entity_spawned (AVG)]])*(Table14[[#This Row],[activating_chance]]/100),0)</f>
        <v>88</v>
      </c>
      <c r="DY117" s="144" t="str">
        <f ca="1">INDIRECT(ADDRESS(11+(MATCH(RIGHT(Table14[[#This Row],[spawner_sku]],LEN(Table14[[#This Row],[spawner_sku]])-FIND("/",Table14[[#This Row],[spawner_sku]])),Table28[Entity Prefab],0)),25,1,1,"Entities"))</f>
        <v>no</v>
      </c>
      <c r="DZ117" s="71">
        <v>3</v>
      </c>
      <c r="EA117" s="71">
        <v>4</v>
      </c>
      <c r="EB117" s="71" t="b">
        <v>0</v>
      </c>
      <c r="EC117" s="71"/>
      <c r="ED117" s="147" t="s">
        <v>3821</v>
      </c>
      <c r="EE117" s="71">
        <v>1</v>
      </c>
      <c r="EF117" s="71">
        <v>240</v>
      </c>
      <c r="EG117" s="71">
        <v>100</v>
      </c>
      <c r="EH117" s="71">
        <f ca="1">INDIRECT(ADDRESS(11+(MATCH(RIGHT(Table36[[#This Row],[spawner_sku]],LEN(Table36[[#This Row],[spawner_sku]])-FIND("/",Table36[[#This Row],[spawner_sku]])),Table1[Entity Prefab],0)),10,1,1,"Entities"))</f>
        <v>10</v>
      </c>
      <c r="EI117" s="71">
        <f ca="1">ROUND((Table36[[#This Row],[XP]]*Table36[[#This Row],[entity_spawned (AVG)]])*(Table36[[#This Row],[activating_chance]]/100),0)</f>
        <v>10</v>
      </c>
      <c r="EJ117" s="71" t="str">
        <f ca="1">INDIRECT(ADDRESS(11+(MATCH(RIGHT(Table36[[#This Row],[spawner_sku]],LEN(Table36[[#This Row],[spawner_sku]])-FIND("/",Table36[[#This Row],[spawner_sku]])),Table28[Entity Prefab],0)),25,1,1,"Entities"))</f>
        <v>no</v>
      </c>
      <c r="EK117" s="71">
        <v>1</v>
      </c>
      <c r="EL117" s="71">
        <v>1</v>
      </c>
      <c r="EM117" s="71" t="b">
        <v>0</v>
      </c>
      <c r="EO117" t="s">
        <v>218</v>
      </c>
      <c r="EP117">
        <v>1</v>
      </c>
      <c r="EQ117">
        <v>5000</v>
      </c>
      <c r="ER117">
        <v>75</v>
      </c>
      <c r="ES117" s="74">
        <f ca="1">INDIRECT(ADDRESS(11+(MATCH(RIGHT(Table18[[#This Row],[spawner_sku]],LEN(Table18[[#This Row],[spawner_sku]])-FIND("/",Table18[[#This Row],[spawner_sku]])),Table1[Entity Prefab],0)),10,1,1,"Entities"))</f>
        <v>75</v>
      </c>
      <c r="ET117" s="74">
        <f ca="1">ROUND((Table18[[#This Row],[XP]]*Table18[[#This Row],[entity_spawned (AVG)]])*(Table18[[#This Row],[activating_chance]]/100),0)</f>
        <v>56</v>
      </c>
      <c r="EU117" s="74" t="str">
        <f ca="1">INDIRECT(ADDRESS(11+(MATCH(RIGHT(Table18[[#This Row],[spawner_sku]],LEN(Table18[[#This Row],[spawner_sku]])-FIND("/",Table18[[#This Row],[spawner_sku]])),Table28[Entity Prefab],0)),26,1,1,"Entities"))</f>
        <v>no</v>
      </c>
      <c r="EV117">
        <v>1</v>
      </c>
      <c r="EW117">
        <v>1</v>
      </c>
      <c r="EX117" t="b">
        <v>0</v>
      </c>
      <c r="EZ117" t="s">
        <v>221</v>
      </c>
      <c r="FA117">
        <v>1</v>
      </c>
      <c r="FB117">
        <v>340</v>
      </c>
      <c r="FC117">
        <v>100</v>
      </c>
      <c r="FD117" s="74">
        <f ca="1">INDIRECT(ADDRESS(11+(MATCH(RIGHT(Table1820[[#This Row],[spawner_sku]],LEN(Table1820[[#This Row],[spawner_sku]])-FIND("/",Table1820[[#This Row],[spawner_sku]])),Table1[Entity Prefab],0)),10,1,1,"Entities"))</f>
        <v>263</v>
      </c>
      <c r="FE117" s="74">
        <f ca="1">ROUND((Table1820[[#This Row],[XP]]*Table1820[[#This Row],[entity_spawned (AVG)]])*(Table1820[[#This Row],[activating_chance]]/100),0)</f>
        <v>263</v>
      </c>
      <c r="FF117" s="74" t="str">
        <f ca="1">INDIRECT(ADDRESS(11+(MATCH(RIGHT(Table1820[[#This Row],[spawner_sku]],LEN(Table1820[[#This Row],[spawner_sku]])-FIND("/",Table1820[[#This Row],[spawner_sku]])),Table28[Entity Prefab],0)),26,1,1,"Entities"))</f>
        <v>yes</v>
      </c>
      <c r="FG117">
        <v>1</v>
      </c>
      <c r="FH117">
        <v>1</v>
      </c>
      <c r="FI117" t="b">
        <v>0</v>
      </c>
      <c r="FK117" t="s">
        <v>2693</v>
      </c>
      <c r="FL117">
        <v>2.5</v>
      </c>
      <c r="FM117">
        <v>100</v>
      </c>
      <c r="FN117">
        <v>100</v>
      </c>
      <c r="FO117">
        <f ca="1">INDIRECT(ADDRESS(11+(MATCH(RIGHT(Table182023[[#This Row],[spawner_sku]],LEN(Table182023[[#This Row],[spawner_sku]])-FIND("/",Table182023[[#This Row],[spawner_sku]])),Table1[Entity Prefab],0)),10,1,1,"Entities"))</f>
        <v>130</v>
      </c>
      <c r="FP117">
        <f ca="1">ROUND((Table182023[[#This Row],[XP]]*Table182023[[#This Row],[entity_spawned (AVG)]])*(Table182023[[#This Row],[activating_chance]]/100),0)</f>
        <v>325</v>
      </c>
      <c r="FQ117" t="str">
        <f ca="1">INDIRECT(ADDRESS(11+(MATCH(RIGHT(Table182023[[#This Row],[spawner_sku]],LEN(Table182023[[#This Row],[spawner_sku]])-FIND("/",Table182023[[#This Row],[spawner_sku]])),Table28[Entity Prefab],0)),26,1,1,"Entities"))</f>
        <v>yes</v>
      </c>
      <c r="FR117">
        <v>2</v>
      </c>
      <c r="FS117">
        <v>3</v>
      </c>
      <c r="FT117" t="b">
        <v>0</v>
      </c>
      <c r="FV117" t="s">
        <v>2708</v>
      </c>
      <c r="FW117">
        <v>1</v>
      </c>
      <c r="FX117">
        <v>250</v>
      </c>
      <c r="FY117">
        <v>100</v>
      </c>
      <c r="FZ117" s="74">
        <f ca="1">INDIRECT(ADDRESS(11+(MATCH(RIGHT(Table18202324[[#This Row],[spawner_sku]],LEN(Table18202324[[#This Row],[spawner_sku]])-FIND("/",Table18202324[[#This Row],[spawner_sku]])),Table1[Entity Prefab],0)),10,1,1,"Entities"))</f>
        <v>263</v>
      </c>
      <c r="GA117" s="74">
        <f ca="1">ROUND((Table18202324[[#This Row],[XP]]*Table18202324[[#This Row],[entity_spawned (AVG)]])*(Table18202324[[#This Row],[activating_chance]]/100),0)</f>
        <v>263</v>
      </c>
      <c r="GB117" s="74" t="str">
        <f ca="1">INDIRECT(ADDRESS(11+(MATCH(RIGHT(Table18202324[[#This Row],[spawner_sku]],LEN(Table18202324[[#This Row],[spawner_sku]])-FIND("/",Table18202324[[#This Row],[spawner_sku]])),Table28[Entity Prefab],0)),26,1,1,"Entities"))</f>
        <v>yes</v>
      </c>
      <c r="GC117">
        <v>1</v>
      </c>
      <c r="GD117">
        <v>1</v>
      </c>
      <c r="GE117" t="b">
        <v>0</v>
      </c>
      <c r="GG117" t="s">
        <v>3816</v>
      </c>
      <c r="GH117">
        <v>1</v>
      </c>
      <c r="GI117">
        <v>240</v>
      </c>
      <c r="GJ117">
        <v>100</v>
      </c>
      <c r="GK117">
        <f ca="1">INDIRECT(ADDRESS(11+(MATCH(RIGHT(Table37[[#This Row],[spawner_sku]],LEN(Table37[[#This Row],[spawner_sku]])-FIND("/",Table37[[#This Row],[spawner_sku]])),Table1[Entity Prefab],0)),10,1,1,"Entities"))</f>
        <v>50</v>
      </c>
      <c r="GL117">
        <f ca="1">ROUND((Table37[[#This Row],[XP]]*Table37[[#This Row],[entity_spawned (AVG)]])*(Table37[[#This Row],[activating_chance]]/100),0)</f>
        <v>50</v>
      </c>
      <c r="GM117" t="str">
        <f ca="1">INDIRECT(ADDRESS(11+(MATCH(RIGHT(Table37[[#This Row],[spawner_sku]],LEN(Table37[[#This Row],[spawner_sku]])-FIND("/",Table37[[#This Row],[spawner_sku]])),Table28[Entity Prefab],0)),26,1,1,"Entities"))</f>
        <v>no</v>
      </c>
      <c r="GN117">
        <v>1</v>
      </c>
      <c r="GO117">
        <v>1</v>
      </c>
      <c r="GP117" t="b">
        <v>0</v>
      </c>
    </row>
    <row r="118" spans="2:198" x14ac:dyDescent="0.25">
      <c r="B118" s="72" t="s">
        <v>215</v>
      </c>
      <c r="C118">
        <v>3</v>
      </c>
      <c r="D118">
        <v>160</v>
      </c>
      <c r="E118">
        <v>100</v>
      </c>
      <c r="F118" s="74">
        <f ca="1">INDIRECT(ADDRESS(11+(MATCH(RIGHT(Table245[[#This Row],[spawner_sku]],LEN(Table245[[#This Row],[spawner_sku]])-FIND("/",Table245[[#This Row],[spawner_sku]])),Table1[Entity Prefab],0)),10,1,1,"Entities"))</f>
        <v>25</v>
      </c>
      <c r="G118" s="74">
        <f ca="1">ROUND((Table245[[#This Row],[XP]]*Table245[[#This Row],[entity_spawned (AVG)]])*(Table245[[#This Row],[activating_chance]]/100),0)</f>
        <v>75</v>
      </c>
      <c r="H118" s="71" t="str">
        <f ca="1">INDIRECT(ADDRESS(11+(MATCH(RIGHT(Table245[[#This Row],[spawner_sku]],LEN(Table245[[#This Row],[spawner_sku]])-FIND("/",Table245[[#This Row],[spawner_sku]])),Table28[Entity Prefab],0)),24,1,1,"Entities"))</f>
        <v>no</v>
      </c>
      <c r="I118" s="71">
        <v>3</v>
      </c>
      <c r="J118" s="71">
        <v>3</v>
      </c>
      <c r="K118" s="71" t="b">
        <v>0</v>
      </c>
      <c r="M118" t="s">
        <v>242</v>
      </c>
      <c r="N118">
        <v>1</v>
      </c>
      <c r="O118">
        <v>160</v>
      </c>
      <c r="P118">
        <v>40</v>
      </c>
      <c r="Q118" s="74">
        <f ca="1">INDIRECT(ADDRESS(11+(MATCH(RIGHT(Table3[[#This Row],[spawner_sku]],LEN(Table3[[#This Row],[spawner_sku]])-FIND("/",Table3[[#This Row],[spawner_sku]])),Table1[Entity Prefab],0)),10,1,1,"Entities"))</f>
        <v>25</v>
      </c>
      <c r="R118" s="74">
        <f ca="1">ROUND((Table3[[#This Row],[XP]]*Table3[[#This Row],[entity_spawned (AVG)]])*(Table3[[#This Row],[activating_chance]]/100),0)</f>
        <v>10</v>
      </c>
      <c r="S118" t="str">
        <f ca="1">INDIRECT(ADDRESS(11+(MATCH(RIGHT(Table3[[#This Row],[spawner_sku]],LEN(Table3[[#This Row],[spawner_sku]])-FIND("/",Table3[[#This Row],[spawner_sku]])),Table28[Entity Prefab],0)),24,1,1,"Entities"))</f>
        <v>no</v>
      </c>
      <c r="T118">
        <v>1</v>
      </c>
      <c r="U118">
        <v>1</v>
      </c>
      <c r="V118" t="b">
        <v>0</v>
      </c>
      <c r="W118" s="71"/>
      <c r="AI118" t="s">
        <v>216</v>
      </c>
      <c r="AJ118">
        <v>2</v>
      </c>
      <c r="AK118">
        <v>100</v>
      </c>
      <c r="AL118">
        <v>100</v>
      </c>
      <c r="AM118" s="74">
        <f ca="1">INDIRECT(ADDRESS(11+(MATCH(RIGHT(Table2[[#This Row],[spawner_sku]],LEN(Table2[[#This Row],[spawner_sku]])-FIND("/",Table2[[#This Row],[spawner_sku]])),Table1[Entity Prefab],0)),10,1,1,"Entities"))</f>
        <v>25</v>
      </c>
      <c r="AN118" s="74">
        <f ca="1">ROUND((Table2[[#This Row],[XP]]*Table2[[#This Row],[entity_spawned (AVG)]])*(Table2[[#This Row],[activating_chance]]/100),0)</f>
        <v>50</v>
      </c>
      <c r="AO118" s="71" t="str">
        <f ca="1">INDIRECT(ADDRESS(11+(MATCH(RIGHT(Table2[[#This Row],[spawner_sku]],LEN(Table2[[#This Row],[spawner_sku]])-FIND("/",Table2[[#This Row],[spawner_sku]])),Table28[Entity Prefab],0)),24,1,1,"Entities"))</f>
        <v>no</v>
      </c>
      <c r="AP118" s="71">
        <v>1</v>
      </c>
      <c r="AQ118" s="71">
        <v>3</v>
      </c>
      <c r="AR118" s="71" t="b">
        <v>0</v>
      </c>
      <c r="AT118" t="s">
        <v>554</v>
      </c>
      <c r="AU118">
        <v>1</v>
      </c>
      <c r="AV118">
        <v>300</v>
      </c>
      <c r="AW118">
        <v>100</v>
      </c>
      <c r="AX118" s="74">
        <f ca="1">INDIRECT(ADDRESS(11+(MATCH(RIGHT(Table6[[#This Row],[spawner_sku]],LEN(Table6[[#This Row],[spawner_sku]])-FIND("/",Table6[[#This Row],[spawner_sku]])),Table1[Entity Prefab],0)),10,1,1,"Entities"))</f>
        <v>50</v>
      </c>
      <c r="AY118" s="74">
        <f ca="1">ROUND((Table6[[#This Row],[XP]]*Table6[[#This Row],[entity_spawned (AVG)]])*(Table6[[#This Row],[activating_chance]]/100),0)</f>
        <v>50</v>
      </c>
      <c r="AZ118" s="144" t="str">
        <f ca="1">INDIRECT(ADDRESS(11+(MATCH(RIGHT(Table6[[#This Row],[spawner_sku]],LEN(Table6[[#This Row],[spawner_sku]])-FIND("/",Table6[[#This Row],[spawner_sku]])),Table28[Entity Prefab],0)),24,1,1,"Entities"))</f>
        <v>yes</v>
      </c>
      <c r="BA118">
        <v>1</v>
      </c>
      <c r="BB118">
        <v>1</v>
      </c>
      <c r="BC118" t="b">
        <v>0</v>
      </c>
      <c r="BE118" t="s">
        <v>231</v>
      </c>
      <c r="BF118">
        <v>1</v>
      </c>
      <c r="BG118">
        <v>220</v>
      </c>
      <c r="BH118">
        <v>100</v>
      </c>
      <c r="BI118" s="74">
        <f ca="1">INDIRECT(ADDRESS(11+(MATCH(RIGHT(Table610[[#This Row],[spawner_sku]],LEN(Table610[[#This Row],[spawner_sku]])-FIND("/",Table610[[#This Row],[spawner_sku]])),Table1[Entity Prefab],0)),10,1,1,"Entities"))</f>
        <v>25</v>
      </c>
      <c r="BJ118" s="74">
        <f ca="1">ROUND((Table610[[#This Row],[XP]]*Table610[[#This Row],[entity_spawned (AVG)]])*(Table610[[#This Row],[activating_chance]]/100),0)</f>
        <v>25</v>
      </c>
      <c r="BK118" s="71" t="str">
        <f ca="1">INDIRECT(ADDRESS(11+(MATCH(RIGHT(Table610[[#This Row],[spawner_sku]],LEN(Table610[[#This Row],[spawner_sku]])-FIND("/",Table610[[#This Row],[spawner_sku]])),Table28[Entity Prefab],0)),24,1,1,"Entities"))</f>
        <v>yes</v>
      </c>
      <c r="BL118">
        <v>1</v>
      </c>
      <c r="BM118">
        <v>1</v>
      </c>
      <c r="BN118" t="b">
        <v>0</v>
      </c>
      <c r="BP118" t="s">
        <v>219</v>
      </c>
      <c r="BQ118">
        <v>1</v>
      </c>
      <c r="BR118">
        <v>250</v>
      </c>
      <c r="BS118">
        <v>100</v>
      </c>
      <c r="BT118" s="74">
        <f ca="1">INDIRECT(ADDRESS(11+(MATCH(RIGHT(Table61011[[#This Row],[spawner_sku]],LEN(Table61011[[#This Row],[spawner_sku]])-FIND("/",Table61011[[#This Row],[spawner_sku]])),Table1[Entity Prefab],0)),10,1,1,"Entities"))</f>
        <v>143</v>
      </c>
      <c r="BU118" s="74">
        <f ca="1">ROUND((Table61011[[#This Row],[XP]]*Table61011[[#This Row],[entity_spawned (AVG)]])*(Table61011[[#This Row],[activating_chance]]/100),0)</f>
        <v>143</v>
      </c>
      <c r="BV118" s="71" t="str">
        <f ca="1">INDIRECT(ADDRESS(11+(MATCH(RIGHT(Table61011[[#This Row],[spawner_sku]],LEN(Table61011[[#This Row],[spawner_sku]])-FIND("/",Table61011[[#This Row],[spawner_sku]])),Table28[Entity Prefab],0)),24,1,1,"Entities"))</f>
        <v>yes</v>
      </c>
      <c r="BW118" s="71">
        <v>1</v>
      </c>
      <c r="BX118" s="71">
        <v>1</v>
      </c>
      <c r="BY118" s="71" t="b">
        <v>0</v>
      </c>
      <c r="BZ118" s="71"/>
      <c r="CA118" s="147" t="s">
        <v>8142</v>
      </c>
      <c r="CB118">
        <v>1</v>
      </c>
      <c r="CC118">
        <v>200</v>
      </c>
      <c r="CD118">
        <v>100</v>
      </c>
      <c r="CE118" s="74">
        <f ca="1">INDIRECT(ADDRESS(11+(MATCH(RIGHT(Table35[[#This Row],[spawner_sku]],LEN(Table35[[#This Row],[spawner_sku]])-FIND("/",Table35[[#This Row],[spawner_sku]])),Table1[Entity Prefab],0)),10,1,1,"Entities"))</f>
        <v>75</v>
      </c>
      <c r="CF118" s="74">
        <f ca="1">ROUND((Table35[[#This Row],[XP]]*Table35[[#This Row],[entity_spawned (AVG)]])*(Table35[[#This Row],[activating_chance]]/100),0)</f>
        <v>75</v>
      </c>
      <c r="CG118" s="144" t="str">
        <f ca="1">INDIRECT(ADDRESS(11+(MATCH(RIGHT(Table35[[#This Row],[spawner_sku]],LEN(Table35[[#This Row],[spawner_sku]])-FIND("/",Table35[[#This Row],[spawner_sku]])),Table28[Entity Prefab],0)),24,1,1,"Entities"))</f>
        <v>no</v>
      </c>
      <c r="CH118">
        <v>1</v>
      </c>
      <c r="CI118">
        <v>1</v>
      </c>
      <c r="CJ118" s="71" t="b">
        <v>0</v>
      </c>
      <c r="CL118" t="s">
        <v>215</v>
      </c>
      <c r="CM118">
        <v>1</v>
      </c>
      <c r="CN118">
        <v>180</v>
      </c>
      <c r="CO118">
        <v>100</v>
      </c>
      <c r="CP118" s="74">
        <f ca="1">INDIRECT(ADDRESS(11+(MATCH(RIGHT(Table11[[#This Row],[spawner_sku]],LEN(Table11[[#This Row],[spawner_sku]])-FIND("/",Table11[[#This Row],[spawner_sku]])),Table1[Entity Prefab],0)),10,1,1,"Entities"))</f>
        <v>25</v>
      </c>
      <c r="CQ118">
        <f ca="1">ROUND((Table11[[#This Row],[XP]]*Table11[[#This Row],[entity_spawned (AVG)]])*(Table11[[#This Row],[activating_chance]]/100),0)</f>
        <v>25</v>
      </c>
      <c r="CR118" s="144" t="str">
        <f ca="1">INDIRECT(ADDRESS(11+(MATCH(RIGHT(Table11[[#This Row],[spawner_sku]],LEN(Table11[[#This Row],[spawner_sku]])-FIND("/",Table11[[#This Row],[spawner_sku]])),Table28[Entity Prefab],0)),25,1,1,"Entities"))</f>
        <v>no</v>
      </c>
      <c r="CS118" s="71">
        <v>1</v>
      </c>
      <c r="CT118" s="71">
        <v>1</v>
      </c>
      <c r="CU118" s="71" t="b">
        <v>0</v>
      </c>
      <c r="CW118" t="s">
        <v>427</v>
      </c>
      <c r="CX118">
        <v>1</v>
      </c>
      <c r="CY118">
        <v>120</v>
      </c>
      <c r="CZ118">
        <v>100</v>
      </c>
      <c r="DA118" s="74">
        <f ca="1">INDIRECT(ADDRESS(11+(MATCH(RIGHT(Table12[[#This Row],[spawner_sku]],LEN(Table12[[#This Row],[spawner_sku]])-FIND("/",Table12[[#This Row],[spawner_sku]])),Table1[Entity Prefab],0)),10,1,1,"Entities"))</f>
        <v>25</v>
      </c>
      <c r="DB118" s="74">
        <f ca="1">ROUND((Table12[[#This Row],[XP]]*Table12[[#This Row],[entity_spawned (AVG)]])*(Table12[[#This Row],[activating_chance]]/100),0)</f>
        <v>25</v>
      </c>
      <c r="DC118" s="144" t="str">
        <f ca="1">INDIRECT(ADDRESS(11+(MATCH(RIGHT(Table12[[#This Row],[spawner_sku]],LEN(Table12[[#This Row],[spawner_sku]])-FIND("/",Table12[[#This Row],[spawner_sku]])),Table28[Entity Prefab],0)),25,1,1,"Entities"))</f>
        <v>no</v>
      </c>
      <c r="DD118" s="71">
        <v>1</v>
      </c>
      <c r="DE118" s="71">
        <v>1</v>
      </c>
      <c r="DF118" s="71" t="b">
        <v>0</v>
      </c>
      <c r="DH118" t="s">
        <v>371</v>
      </c>
      <c r="DI118">
        <v>1</v>
      </c>
      <c r="DJ118">
        <v>200</v>
      </c>
      <c r="DK118">
        <v>100</v>
      </c>
      <c r="DL118" s="74">
        <f ca="1">INDIRECT(ADDRESS(11+(MATCH(RIGHT(Table13[[#This Row],[spawner_sku]],LEN(Table13[[#This Row],[spawner_sku]])-FIND("/",Table13[[#This Row],[spawner_sku]])),Table1[Entity Prefab],0)),10,1,1,"Entities"))</f>
        <v>75</v>
      </c>
      <c r="DM118" s="74">
        <f ca="1">ROUND((Table13[[#This Row],[XP]]*Table13[[#This Row],[entity_spawned (AVG)]])*(Table13[[#This Row],[activating_chance]]/100),0)</f>
        <v>75</v>
      </c>
      <c r="DN118" s="144" t="str">
        <f ca="1">INDIRECT(ADDRESS(11+(MATCH(RIGHT(Table13[[#This Row],[spawner_sku]],LEN(Table13[[#This Row],[spawner_sku]])-FIND("/",Table13[[#This Row],[spawner_sku]])),Table28[Entity Prefab],0)),25,1,1,"Entities"))</f>
        <v>yes</v>
      </c>
      <c r="DO118" s="71">
        <v>1</v>
      </c>
      <c r="DP118" s="71">
        <v>1</v>
      </c>
      <c r="DQ118" s="71" t="b">
        <v>0</v>
      </c>
      <c r="DS118" t="s">
        <v>214</v>
      </c>
      <c r="DT118">
        <v>5</v>
      </c>
      <c r="DU118">
        <v>180</v>
      </c>
      <c r="DV118">
        <v>50</v>
      </c>
      <c r="DW118" s="74">
        <f ca="1">INDIRECT(ADDRESS(11+(MATCH(RIGHT(Table14[[#This Row],[spawner_sku]],LEN(Table14[[#This Row],[spawner_sku]])-FIND("/",Table14[[#This Row],[spawner_sku]])),Table1[Entity Prefab],0)),10,1,1,"Entities"))</f>
        <v>25</v>
      </c>
      <c r="DX118" s="74">
        <f ca="1">ROUND((Table14[[#This Row],[XP]]*Table14[[#This Row],[entity_spawned (AVG)]])*(Table14[[#This Row],[activating_chance]]/100),0)</f>
        <v>63</v>
      </c>
      <c r="DY118" s="144" t="str">
        <f ca="1">INDIRECT(ADDRESS(11+(MATCH(RIGHT(Table14[[#This Row],[spawner_sku]],LEN(Table14[[#This Row],[spawner_sku]])-FIND("/",Table14[[#This Row],[spawner_sku]])),Table28[Entity Prefab],0)),25,1,1,"Entities"))</f>
        <v>no</v>
      </c>
      <c r="DZ118" s="71">
        <v>5</v>
      </c>
      <c r="EA118" s="71">
        <v>5</v>
      </c>
      <c r="EB118" s="71" t="b">
        <v>1</v>
      </c>
      <c r="EC118" s="71"/>
      <c r="ED118" s="147" t="s">
        <v>3821</v>
      </c>
      <c r="EE118" s="71">
        <v>1</v>
      </c>
      <c r="EF118" s="71">
        <v>240</v>
      </c>
      <c r="EG118" s="71">
        <v>100</v>
      </c>
      <c r="EH118" s="71">
        <f ca="1">INDIRECT(ADDRESS(11+(MATCH(RIGHT(Table36[[#This Row],[spawner_sku]],LEN(Table36[[#This Row],[spawner_sku]])-FIND("/",Table36[[#This Row],[spawner_sku]])),Table1[Entity Prefab],0)),10,1,1,"Entities"))</f>
        <v>10</v>
      </c>
      <c r="EI118" s="71">
        <f ca="1">ROUND((Table36[[#This Row],[XP]]*Table36[[#This Row],[entity_spawned (AVG)]])*(Table36[[#This Row],[activating_chance]]/100),0)</f>
        <v>10</v>
      </c>
      <c r="EJ118" s="71" t="str">
        <f ca="1">INDIRECT(ADDRESS(11+(MATCH(RIGHT(Table36[[#This Row],[spawner_sku]],LEN(Table36[[#This Row],[spawner_sku]])-FIND("/",Table36[[#This Row],[spawner_sku]])),Table28[Entity Prefab],0)),25,1,1,"Entities"))</f>
        <v>no</v>
      </c>
      <c r="EK118" s="71">
        <v>1</v>
      </c>
      <c r="EL118" s="71">
        <v>1</v>
      </c>
      <c r="EM118" s="71" t="b">
        <v>0</v>
      </c>
      <c r="EO118" t="s">
        <v>218</v>
      </c>
      <c r="EP118">
        <v>1</v>
      </c>
      <c r="EQ118">
        <v>5000</v>
      </c>
      <c r="ER118">
        <v>75</v>
      </c>
      <c r="ES118" s="74">
        <f ca="1">INDIRECT(ADDRESS(11+(MATCH(RIGHT(Table18[[#This Row],[spawner_sku]],LEN(Table18[[#This Row],[spawner_sku]])-FIND("/",Table18[[#This Row],[spawner_sku]])),Table1[Entity Prefab],0)),10,1,1,"Entities"))</f>
        <v>75</v>
      </c>
      <c r="ET118" s="74">
        <f ca="1">ROUND((Table18[[#This Row],[XP]]*Table18[[#This Row],[entity_spawned (AVG)]])*(Table18[[#This Row],[activating_chance]]/100),0)</f>
        <v>56</v>
      </c>
      <c r="EU118" s="74" t="str">
        <f ca="1">INDIRECT(ADDRESS(11+(MATCH(RIGHT(Table18[[#This Row],[spawner_sku]],LEN(Table18[[#This Row],[spawner_sku]])-FIND("/",Table18[[#This Row],[spawner_sku]])),Table28[Entity Prefab],0)),26,1,1,"Entities"))</f>
        <v>no</v>
      </c>
      <c r="EV118">
        <v>1</v>
      </c>
      <c r="EW118">
        <v>1</v>
      </c>
      <c r="EX118" t="b">
        <v>0</v>
      </c>
      <c r="EZ118" t="s">
        <v>221</v>
      </c>
      <c r="FA118">
        <v>1</v>
      </c>
      <c r="FB118">
        <v>340</v>
      </c>
      <c r="FC118">
        <v>100</v>
      </c>
      <c r="FD118" s="74">
        <f ca="1">INDIRECT(ADDRESS(11+(MATCH(RIGHT(Table1820[[#This Row],[spawner_sku]],LEN(Table1820[[#This Row],[spawner_sku]])-FIND("/",Table1820[[#This Row],[spawner_sku]])),Table1[Entity Prefab],0)),10,1,1,"Entities"))</f>
        <v>263</v>
      </c>
      <c r="FE118" s="74">
        <f ca="1">ROUND((Table1820[[#This Row],[XP]]*Table1820[[#This Row],[entity_spawned (AVG)]])*(Table1820[[#This Row],[activating_chance]]/100),0)</f>
        <v>263</v>
      </c>
      <c r="FF118" s="74" t="str">
        <f ca="1">INDIRECT(ADDRESS(11+(MATCH(RIGHT(Table1820[[#This Row],[spawner_sku]],LEN(Table1820[[#This Row],[spawner_sku]])-FIND("/",Table1820[[#This Row],[spawner_sku]])),Table28[Entity Prefab],0)),26,1,1,"Entities"))</f>
        <v>yes</v>
      </c>
      <c r="FG118">
        <v>1</v>
      </c>
      <c r="FH118">
        <v>1</v>
      </c>
      <c r="FI118" t="b">
        <v>0</v>
      </c>
      <c r="FK118" t="s">
        <v>2693</v>
      </c>
      <c r="FL118">
        <v>1.5</v>
      </c>
      <c r="FM118">
        <v>100</v>
      </c>
      <c r="FN118">
        <v>100</v>
      </c>
      <c r="FO118">
        <f ca="1">INDIRECT(ADDRESS(11+(MATCH(RIGHT(Table182023[[#This Row],[spawner_sku]],LEN(Table182023[[#This Row],[spawner_sku]])-FIND("/",Table182023[[#This Row],[spawner_sku]])),Table1[Entity Prefab],0)),10,1,1,"Entities"))</f>
        <v>130</v>
      </c>
      <c r="FP118">
        <f ca="1">ROUND((Table182023[[#This Row],[XP]]*Table182023[[#This Row],[entity_spawned (AVG)]])*(Table182023[[#This Row],[activating_chance]]/100),0)</f>
        <v>195</v>
      </c>
      <c r="FQ118" t="str">
        <f ca="1">INDIRECT(ADDRESS(11+(MATCH(RIGHT(Table182023[[#This Row],[spawner_sku]],LEN(Table182023[[#This Row],[spawner_sku]])-FIND("/",Table182023[[#This Row],[spawner_sku]])),Table28[Entity Prefab],0)),26,1,1,"Entities"))</f>
        <v>yes</v>
      </c>
      <c r="FR118">
        <v>1</v>
      </c>
      <c r="FS118">
        <v>2</v>
      </c>
      <c r="FT118" t="b">
        <v>0</v>
      </c>
      <c r="FV118" t="s">
        <v>2708</v>
      </c>
      <c r="FW118">
        <v>1</v>
      </c>
      <c r="FX118">
        <v>250</v>
      </c>
      <c r="FY118">
        <v>100</v>
      </c>
      <c r="FZ118" s="74">
        <f ca="1">INDIRECT(ADDRESS(11+(MATCH(RIGHT(Table18202324[[#This Row],[spawner_sku]],LEN(Table18202324[[#This Row],[spawner_sku]])-FIND("/",Table18202324[[#This Row],[spawner_sku]])),Table1[Entity Prefab],0)),10,1,1,"Entities"))</f>
        <v>263</v>
      </c>
      <c r="GA118" s="74">
        <f ca="1">ROUND((Table18202324[[#This Row],[XP]]*Table18202324[[#This Row],[entity_spawned (AVG)]])*(Table18202324[[#This Row],[activating_chance]]/100),0)</f>
        <v>263</v>
      </c>
      <c r="GB118" s="74" t="str">
        <f ca="1">INDIRECT(ADDRESS(11+(MATCH(RIGHT(Table18202324[[#This Row],[spawner_sku]],LEN(Table18202324[[#This Row],[spawner_sku]])-FIND("/",Table18202324[[#This Row],[spawner_sku]])),Table28[Entity Prefab],0)),26,1,1,"Entities"))</f>
        <v>yes</v>
      </c>
      <c r="GC118">
        <v>1</v>
      </c>
      <c r="GD118">
        <v>1</v>
      </c>
      <c r="GE118" t="b">
        <v>0</v>
      </c>
      <c r="GG118" t="s">
        <v>3816</v>
      </c>
      <c r="GH118">
        <v>1</v>
      </c>
      <c r="GI118">
        <v>240</v>
      </c>
      <c r="GJ118">
        <v>100</v>
      </c>
      <c r="GK118">
        <f ca="1">INDIRECT(ADDRESS(11+(MATCH(RIGHT(Table37[[#This Row],[spawner_sku]],LEN(Table37[[#This Row],[spawner_sku]])-FIND("/",Table37[[#This Row],[spawner_sku]])),Table1[Entity Prefab],0)),10,1,1,"Entities"))</f>
        <v>50</v>
      </c>
      <c r="GL118">
        <f ca="1">ROUND((Table37[[#This Row],[XP]]*Table37[[#This Row],[entity_spawned (AVG)]])*(Table37[[#This Row],[activating_chance]]/100),0)</f>
        <v>50</v>
      </c>
      <c r="GM118" t="str">
        <f ca="1">INDIRECT(ADDRESS(11+(MATCH(RIGHT(Table37[[#This Row],[spawner_sku]],LEN(Table37[[#This Row],[spawner_sku]])-FIND("/",Table37[[#This Row],[spawner_sku]])),Table28[Entity Prefab],0)),26,1,1,"Entities"))</f>
        <v>no</v>
      </c>
      <c r="GN118">
        <v>1</v>
      </c>
      <c r="GO118">
        <v>1</v>
      </c>
      <c r="GP118" t="b">
        <v>0</v>
      </c>
    </row>
    <row r="119" spans="2:198" x14ac:dyDescent="0.25">
      <c r="B119" s="72" t="s">
        <v>215</v>
      </c>
      <c r="C119">
        <v>1.5</v>
      </c>
      <c r="D119">
        <v>110</v>
      </c>
      <c r="E119">
        <v>100</v>
      </c>
      <c r="F119" s="74">
        <f ca="1">INDIRECT(ADDRESS(11+(MATCH(RIGHT(Table245[[#This Row],[spawner_sku]],LEN(Table245[[#This Row],[spawner_sku]])-FIND("/",Table245[[#This Row],[spawner_sku]])),Table1[Entity Prefab],0)),10,1,1,"Entities"))</f>
        <v>25</v>
      </c>
      <c r="G119" s="74">
        <f ca="1">ROUND((Table245[[#This Row],[XP]]*Table245[[#This Row],[entity_spawned (AVG)]])*(Table245[[#This Row],[activating_chance]]/100),0)</f>
        <v>38</v>
      </c>
      <c r="H119" s="71" t="str">
        <f ca="1">INDIRECT(ADDRESS(11+(MATCH(RIGHT(Table245[[#This Row],[spawner_sku]],LEN(Table245[[#This Row],[spawner_sku]])-FIND("/",Table245[[#This Row],[spawner_sku]])),Table28[Entity Prefab],0)),24,1,1,"Entities"))</f>
        <v>no</v>
      </c>
      <c r="I119" s="71">
        <v>1</v>
      </c>
      <c r="J119" s="71">
        <v>2</v>
      </c>
      <c r="K119" s="71" t="b">
        <v>0</v>
      </c>
      <c r="M119" t="s">
        <v>243</v>
      </c>
      <c r="N119">
        <v>1</v>
      </c>
      <c r="O119">
        <v>140</v>
      </c>
      <c r="P119">
        <v>100</v>
      </c>
      <c r="Q119" s="74">
        <f ca="1">INDIRECT(ADDRESS(11+(MATCH(RIGHT(Table3[[#This Row],[spawner_sku]],LEN(Table3[[#This Row],[spawner_sku]])-FIND("/",Table3[[#This Row],[spawner_sku]])),Table1[Entity Prefab],0)),10,1,1,"Entities"))</f>
        <v>25</v>
      </c>
      <c r="R119" s="74">
        <f ca="1">ROUND((Table3[[#This Row],[XP]]*Table3[[#This Row],[entity_spawned (AVG)]])*(Table3[[#This Row],[activating_chance]]/100),0)</f>
        <v>25</v>
      </c>
      <c r="S119" t="str">
        <f ca="1">INDIRECT(ADDRESS(11+(MATCH(RIGHT(Table3[[#This Row],[spawner_sku]],LEN(Table3[[#This Row],[spawner_sku]])-FIND("/",Table3[[#This Row],[spawner_sku]])),Table28[Entity Prefab],0)),24,1,1,"Entities"))</f>
        <v>no</v>
      </c>
      <c r="T119">
        <v>1</v>
      </c>
      <c r="U119">
        <v>1</v>
      </c>
      <c r="V119" t="b">
        <v>0</v>
      </c>
      <c r="W119" s="71"/>
      <c r="AI119" t="s">
        <v>216</v>
      </c>
      <c r="AJ119">
        <v>2</v>
      </c>
      <c r="AK119">
        <v>100</v>
      </c>
      <c r="AL119">
        <v>80</v>
      </c>
      <c r="AM119" s="74">
        <f ca="1">INDIRECT(ADDRESS(11+(MATCH(RIGHT(Table2[[#This Row],[spawner_sku]],LEN(Table2[[#This Row],[spawner_sku]])-FIND("/",Table2[[#This Row],[spawner_sku]])),Table1[Entity Prefab],0)),10,1,1,"Entities"))</f>
        <v>25</v>
      </c>
      <c r="AN119" s="74">
        <f ca="1">ROUND((Table2[[#This Row],[XP]]*Table2[[#This Row],[entity_spawned (AVG)]])*(Table2[[#This Row],[activating_chance]]/100),0)</f>
        <v>40</v>
      </c>
      <c r="AO119" s="71" t="str">
        <f ca="1">INDIRECT(ADDRESS(11+(MATCH(RIGHT(Table2[[#This Row],[spawner_sku]],LEN(Table2[[#This Row],[spawner_sku]])-FIND("/",Table2[[#This Row],[spawner_sku]])),Table28[Entity Prefab],0)),24,1,1,"Entities"))</f>
        <v>no</v>
      </c>
      <c r="AP119" s="71">
        <v>1</v>
      </c>
      <c r="AQ119" s="71">
        <v>3</v>
      </c>
      <c r="AR119" s="71" t="b">
        <v>0</v>
      </c>
      <c r="AT119" t="s">
        <v>554</v>
      </c>
      <c r="AU119">
        <v>1</v>
      </c>
      <c r="AV119">
        <v>300</v>
      </c>
      <c r="AW119">
        <v>100</v>
      </c>
      <c r="AX119" s="74">
        <f ca="1">INDIRECT(ADDRESS(11+(MATCH(RIGHT(Table6[[#This Row],[spawner_sku]],LEN(Table6[[#This Row],[spawner_sku]])-FIND("/",Table6[[#This Row],[spawner_sku]])),Table1[Entity Prefab],0)),10,1,1,"Entities"))</f>
        <v>50</v>
      </c>
      <c r="AY119" s="74">
        <f ca="1">ROUND((Table6[[#This Row],[XP]]*Table6[[#This Row],[entity_spawned (AVG)]])*(Table6[[#This Row],[activating_chance]]/100),0)</f>
        <v>50</v>
      </c>
      <c r="AZ119" s="144" t="str">
        <f ca="1">INDIRECT(ADDRESS(11+(MATCH(RIGHT(Table6[[#This Row],[spawner_sku]],LEN(Table6[[#This Row],[spawner_sku]])-FIND("/",Table6[[#This Row],[spawner_sku]])),Table28[Entity Prefab],0)),24,1,1,"Entities"))</f>
        <v>yes</v>
      </c>
      <c r="BA119">
        <v>1</v>
      </c>
      <c r="BB119">
        <v>1</v>
      </c>
      <c r="BC119" t="b">
        <v>0</v>
      </c>
      <c r="BE119" t="s">
        <v>231</v>
      </c>
      <c r="BF119">
        <v>1</v>
      </c>
      <c r="BG119">
        <v>220</v>
      </c>
      <c r="BH119">
        <v>100</v>
      </c>
      <c r="BI119" s="74">
        <f ca="1">INDIRECT(ADDRESS(11+(MATCH(RIGHT(Table610[[#This Row],[spawner_sku]],LEN(Table610[[#This Row],[spawner_sku]])-FIND("/",Table610[[#This Row],[spawner_sku]])),Table1[Entity Prefab],0)),10,1,1,"Entities"))</f>
        <v>25</v>
      </c>
      <c r="BJ119" s="74">
        <f ca="1">ROUND((Table610[[#This Row],[XP]]*Table610[[#This Row],[entity_spawned (AVG)]])*(Table610[[#This Row],[activating_chance]]/100),0)</f>
        <v>25</v>
      </c>
      <c r="BK119" s="71" t="str">
        <f ca="1">INDIRECT(ADDRESS(11+(MATCH(RIGHT(Table610[[#This Row],[spawner_sku]],LEN(Table610[[#This Row],[spawner_sku]])-FIND("/",Table610[[#This Row],[spawner_sku]])),Table28[Entity Prefab],0)),24,1,1,"Entities"))</f>
        <v>yes</v>
      </c>
      <c r="BL119">
        <v>1</v>
      </c>
      <c r="BM119">
        <v>1</v>
      </c>
      <c r="BN119" t="b">
        <v>0</v>
      </c>
      <c r="BP119" t="s">
        <v>219</v>
      </c>
      <c r="BQ119">
        <v>1</v>
      </c>
      <c r="BR119">
        <v>250</v>
      </c>
      <c r="BS119">
        <v>100</v>
      </c>
      <c r="BT119" s="74">
        <f ca="1">INDIRECT(ADDRESS(11+(MATCH(RIGHT(Table61011[[#This Row],[spawner_sku]],LEN(Table61011[[#This Row],[spawner_sku]])-FIND("/",Table61011[[#This Row],[spawner_sku]])),Table1[Entity Prefab],0)),10,1,1,"Entities"))</f>
        <v>143</v>
      </c>
      <c r="BU119" s="74">
        <f ca="1">ROUND((Table61011[[#This Row],[XP]]*Table61011[[#This Row],[entity_spawned (AVG)]])*(Table61011[[#This Row],[activating_chance]]/100),0)</f>
        <v>143</v>
      </c>
      <c r="BV119" s="71" t="str">
        <f ca="1">INDIRECT(ADDRESS(11+(MATCH(RIGHT(Table61011[[#This Row],[spawner_sku]],LEN(Table61011[[#This Row],[spawner_sku]])-FIND("/",Table61011[[#This Row],[spawner_sku]])),Table28[Entity Prefab],0)),24,1,1,"Entities"))</f>
        <v>yes</v>
      </c>
      <c r="BW119" s="71">
        <v>1</v>
      </c>
      <c r="BX119" s="71">
        <v>1</v>
      </c>
      <c r="BY119" s="71" t="b">
        <v>0</v>
      </c>
      <c r="BZ119" s="71"/>
      <c r="CA119" s="147" t="s">
        <v>8142</v>
      </c>
      <c r="CB119">
        <v>1</v>
      </c>
      <c r="CC119">
        <v>200</v>
      </c>
      <c r="CD119">
        <v>100</v>
      </c>
      <c r="CE119" s="74">
        <f ca="1">INDIRECT(ADDRESS(11+(MATCH(RIGHT(Table35[[#This Row],[spawner_sku]],LEN(Table35[[#This Row],[spawner_sku]])-FIND("/",Table35[[#This Row],[spawner_sku]])),Table1[Entity Prefab],0)),10,1,1,"Entities"))</f>
        <v>75</v>
      </c>
      <c r="CF119" s="74">
        <f ca="1">ROUND((Table35[[#This Row],[XP]]*Table35[[#This Row],[entity_spawned (AVG)]])*(Table35[[#This Row],[activating_chance]]/100),0)</f>
        <v>75</v>
      </c>
      <c r="CG119" s="144" t="str">
        <f ca="1">INDIRECT(ADDRESS(11+(MATCH(RIGHT(Table35[[#This Row],[spawner_sku]],LEN(Table35[[#This Row],[spawner_sku]])-FIND("/",Table35[[#This Row],[spawner_sku]])),Table28[Entity Prefab],0)),24,1,1,"Entities"))</f>
        <v>no</v>
      </c>
      <c r="CH119">
        <v>1</v>
      </c>
      <c r="CI119">
        <v>1</v>
      </c>
      <c r="CJ119" s="71" t="b">
        <v>0</v>
      </c>
      <c r="CL119" t="s">
        <v>215</v>
      </c>
      <c r="CM119">
        <v>3.5</v>
      </c>
      <c r="CN119">
        <v>180</v>
      </c>
      <c r="CO119">
        <v>100</v>
      </c>
      <c r="CP119" s="74">
        <f ca="1">INDIRECT(ADDRESS(11+(MATCH(RIGHT(Table11[[#This Row],[spawner_sku]],LEN(Table11[[#This Row],[spawner_sku]])-FIND("/",Table11[[#This Row],[spawner_sku]])),Table1[Entity Prefab],0)),10,1,1,"Entities"))</f>
        <v>25</v>
      </c>
      <c r="CQ119">
        <f ca="1">ROUND((Table11[[#This Row],[XP]]*Table11[[#This Row],[entity_spawned (AVG)]])*(Table11[[#This Row],[activating_chance]]/100),0)</f>
        <v>88</v>
      </c>
      <c r="CR119" s="144" t="str">
        <f ca="1">INDIRECT(ADDRESS(11+(MATCH(RIGHT(Table11[[#This Row],[spawner_sku]],LEN(Table11[[#This Row],[spawner_sku]])-FIND("/",Table11[[#This Row],[spawner_sku]])),Table28[Entity Prefab],0)),25,1,1,"Entities"))</f>
        <v>no</v>
      </c>
      <c r="CS119" s="71">
        <v>3</v>
      </c>
      <c r="CT119" s="71">
        <v>4</v>
      </c>
      <c r="CU119" s="71" t="b">
        <v>0</v>
      </c>
      <c r="CW119" t="s">
        <v>427</v>
      </c>
      <c r="CX119">
        <v>1</v>
      </c>
      <c r="CY119">
        <v>120</v>
      </c>
      <c r="CZ119">
        <v>100</v>
      </c>
      <c r="DA119" s="74">
        <f ca="1">INDIRECT(ADDRESS(11+(MATCH(RIGHT(Table12[[#This Row],[spawner_sku]],LEN(Table12[[#This Row],[spawner_sku]])-FIND("/",Table12[[#This Row],[spawner_sku]])),Table1[Entity Prefab],0)),10,1,1,"Entities"))</f>
        <v>25</v>
      </c>
      <c r="DB119" s="74">
        <f ca="1">ROUND((Table12[[#This Row],[XP]]*Table12[[#This Row],[entity_spawned (AVG)]])*(Table12[[#This Row],[activating_chance]]/100),0)</f>
        <v>25</v>
      </c>
      <c r="DC119" s="144" t="str">
        <f ca="1">INDIRECT(ADDRESS(11+(MATCH(RIGHT(Table12[[#This Row],[spawner_sku]],LEN(Table12[[#This Row],[spawner_sku]])-FIND("/",Table12[[#This Row],[spawner_sku]])),Table28[Entity Prefab],0)),25,1,1,"Entities"))</f>
        <v>no</v>
      </c>
      <c r="DD119" s="71">
        <v>1</v>
      </c>
      <c r="DE119" s="71">
        <v>1</v>
      </c>
      <c r="DF119" s="71" t="b">
        <v>0</v>
      </c>
      <c r="DH119" t="s">
        <v>371</v>
      </c>
      <c r="DI119">
        <v>1</v>
      </c>
      <c r="DJ119">
        <v>200</v>
      </c>
      <c r="DK119">
        <v>100</v>
      </c>
      <c r="DL119" s="74">
        <f ca="1">INDIRECT(ADDRESS(11+(MATCH(RIGHT(Table13[[#This Row],[spawner_sku]],LEN(Table13[[#This Row],[spawner_sku]])-FIND("/",Table13[[#This Row],[spawner_sku]])),Table1[Entity Prefab],0)),10,1,1,"Entities"))</f>
        <v>75</v>
      </c>
      <c r="DM119" s="74">
        <f ca="1">ROUND((Table13[[#This Row],[XP]]*Table13[[#This Row],[entity_spawned (AVG)]])*(Table13[[#This Row],[activating_chance]]/100),0)</f>
        <v>75</v>
      </c>
      <c r="DN119" s="144" t="str">
        <f ca="1">INDIRECT(ADDRESS(11+(MATCH(RIGHT(Table13[[#This Row],[spawner_sku]],LEN(Table13[[#This Row],[spawner_sku]])-FIND("/",Table13[[#This Row],[spawner_sku]])),Table28[Entity Prefab],0)),25,1,1,"Entities"))</f>
        <v>yes</v>
      </c>
      <c r="DO119" s="71">
        <v>1</v>
      </c>
      <c r="DP119" s="71">
        <v>1</v>
      </c>
      <c r="DQ119" s="71" t="b">
        <v>0</v>
      </c>
      <c r="DS119" t="s">
        <v>214</v>
      </c>
      <c r="DT119">
        <v>6.5</v>
      </c>
      <c r="DU119">
        <v>180</v>
      </c>
      <c r="DV119">
        <v>100</v>
      </c>
      <c r="DW119" s="74">
        <f ca="1">INDIRECT(ADDRESS(11+(MATCH(RIGHT(Table14[[#This Row],[spawner_sku]],LEN(Table14[[#This Row],[spawner_sku]])-FIND("/",Table14[[#This Row],[spawner_sku]])),Table1[Entity Prefab],0)),10,1,1,"Entities"))</f>
        <v>25</v>
      </c>
      <c r="DX119" s="74">
        <f ca="1">ROUND((Table14[[#This Row],[XP]]*Table14[[#This Row],[entity_spawned (AVG)]])*(Table14[[#This Row],[activating_chance]]/100),0)</f>
        <v>163</v>
      </c>
      <c r="DY119" s="144" t="str">
        <f ca="1">INDIRECT(ADDRESS(11+(MATCH(RIGHT(Table14[[#This Row],[spawner_sku]],LEN(Table14[[#This Row],[spawner_sku]])-FIND("/",Table14[[#This Row],[spawner_sku]])),Table28[Entity Prefab],0)),25,1,1,"Entities"))</f>
        <v>no</v>
      </c>
      <c r="DZ119" s="71">
        <v>5</v>
      </c>
      <c r="EA119" s="71">
        <v>8</v>
      </c>
      <c r="EB119" s="71" t="b">
        <v>1</v>
      </c>
      <c r="EC119" s="71"/>
      <c r="ED119" s="147" t="s">
        <v>3821</v>
      </c>
      <c r="EE119" s="71">
        <v>1</v>
      </c>
      <c r="EF119" s="71">
        <v>240</v>
      </c>
      <c r="EG119" s="71">
        <v>100</v>
      </c>
      <c r="EH119" s="71">
        <f ca="1">INDIRECT(ADDRESS(11+(MATCH(RIGHT(Table36[[#This Row],[spawner_sku]],LEN(Table36[[#This Row],[spawner_sku]])-FIND("/",Table36[[#This Row],[spawner_sku]])),Table1[Entity Prefab],0)),10,1,1,"Entities"))</f>
        <v>10</v>
      </c>
      <c r="EI119" s="71">
        <f ca="1">ROUND((Table36[[#This Row],[XP]]*Table36[[#This Row],[entity_spawned (AVG)]])*(Table36[[#This Row],[activating_chance]]/100),0)</f>
        <v>10</v>
      </c>
      <c r="EJ119" s="71" t="str">
        <f ca="1">INDIRECT(ADDRESS(11+(MATCH(RIGHT(Table36[[#This Row],[spawner_sku]],LEN(Table36[[#This Row],[spawner_sku]])-FIND("/",Table36[[#This Row],[spawner_sku]])),Table28[Entity Prefab],0)),25,1,1,"Entities"))</f>
        <v>no</v>
      </c>
      <c r="EK119" s="71">
        <v>1</v>
      </c>
      <c r="EL119" s="71">
        <v>1</v>
      </c>
      <c r="EM119" s="71" t="b">
        <v>0</v>
      </c>
      <c r="EO119" t="s">
        <v>219</v>
      </c>
      <c r="EP119">
        <v>3.5</v>
      </c>
      <c r="EQ119">
        <v>250</v>
      </c>
      <c r="ER119">
        <v>100</v>
      </c>
      <c r="ES119" s="74">
        <f ca="1">INDIRECT(ADDRESS(11+(MATCH(RIGHT(Table18[[#This Row],[spawner_sku]],LEN(Table18[[#This Row],[spawner_sku]])-FIND("/",Table18[[#This Row],[spawner_sku]])),Table1[Entity Prefab],0)),10,1,1,"Entities"))</f>
        <v>143</v>
      </c>
      <c r="ET119" s="74">
        <f ca="1">ROUND((Table18[[#This Row],[XP]]*Table18[[#This Row],[entity_spawned (AVG)]])*(Table18[[#This Row],[activating_chance]]/100),0)</f>
        <v>501</v>
      </c>
      <c r="EU119" s="74" t="str">
        <f ca="1">INDIRECT(ADDRESS(11+(MATCH(RIGHT(Table18[[#This Row],[spawner_sku]],LEN(Table18[[#This Row],[spawner_sku]])-FIND("/",Table18[[#This Row],[spawner_sku]])),Table28[Entity Prefab],0)),26,1,1,"Entities"))</f>
        <v>yes</v>
      </c>
      <c r="EV119">
        <v>3</v>
      </c>
      <c r="EW119">
        <v>4</v>
      </c>
      <c r="EX119" t="b">
        <v>0</v>
      </c>
      <c r="EZ119" t="s">
        <v>221</v>
      </c>
      <c r="FA119">
        <v>2</v>
      </c>
      <c r="FB119">
        <v>340</v>
      </c>
      <c r="FC119">
        <v>100</v>
      </c>
      <c r="FD119" s="74">
        <f ca="1">INDIRECT(ADDRESS(11+(MATCH(RIGHT(Table1820[[#This Row],[spawner_sku]],LEN(Table1820[[#This Row],[spawner_sku]])-FIND("/",Table1820[[#This Row],[spawner_sku]])),Table1[Entity Prefab],0)),10,1,1,"Entities"))</f>
        <v>263</v>
      </c>
      <c r="FE119" s="74">
        <f ca="1">ROUND((Table1820[[#This Row],[XP]]*Table1820[[#This Row],[entity_spawned (AVG)]])*(Table1820[[#This Row],[activating_chance]]/100),0)</f>
        <v>526</v>
      </c>
      <c r="FF119" s="74" t="str">
        <f ca="1">INDIRECT(ADDRESS(11+(MATCH(RIGHT(Table1820[[#This Row],[spawner_sku]],LEN(Table1820[[#This Row],[spawner_sku]])-FIND("/",Table1820[[#This Row],[spawner_sku]])),Table28[Entity Prefab],0)),26,1,1,"Entities"))</f>
        <v>yes</v>
      </c>
      <c r="FG119">
        <v>2</v>
      </c>
      <c r="FH119">
        <v>2</v>
      </c>
      <c r="FI119" t="b">
        <v>0</v>
      </c>
      <c r="FK119" t="s">
        <v>2693</v>
      </c>
      <c r="FL119">
        <v>2.5</v>
      </c>
      <c r="FM119">
        <v>100</v>
      </c>
      <c r="FN119">
        <v>100</v>
      </c>
      <c r="FO119">
        <f ca="1">INDIRECT(ADDRESS(11+(MATCH(RIGHT(Table182023[[#This Row],[spawner_sku]],LEN(Table182023[[#This Row],[spawner_sku]])-FIND("/",Table182023[[#This Row],[spawner_sku]])),Table1[Entity Prefab],0)),10,1,1,"Entities"))</f>
        <v>130</v>
      </c>
      <c r="FP119">
        <f ca="1">ROUND((Table182023[[#This Row],[XP]]*Table182023[[#This Row],[entity_spawned (AVG)]])*(Table182023[[#This Row],[activating_chance]]/100),0)</f>
        <v>325</v>
      </c>
      <c r="FQ119" t="str">
        <f ca="1">INDIRECT(ADDRESS(11+(MATCH(RIGHT(Table182023[[#This Row],[spawner_sku]],LEN(Table182023[[#This Row],[spawner_sku]])-FIND("/",Table182023[[#This Row],[spawner_sku]])),Table28[Entity Prefab],0)),26,1,1,"Entities"))</f>
        <v>yes</v>
      </c>
      <c r="FR119">
        <v>2</v>
      </c>
      <c r="FS119">
        <v>3</v>
      </c>
      <c r="FT119" t="b">
        <v>0</v>
      </c>
      <c r="FV119" t="s">
        <v>2708</v>
      </c>
      <c r="FW119">
        <v>1</v>
      </c>
      <c r="FX119">
        <v>250</v>
      </c>
      <c r="FY119">
        <v>100</v>
      </c>
      <c r="FZ119" s="74">
        <f ca="1">INDIRECT(ADDRESS(11+(MATCH(RIGHT(Table18202324[[#This Row],[spawner_sku]],LEN(Table18202324[[#This Row],[spawner_sku]])-FIND("/",Table18202324[[#This Row],[spawner_sku]])),Table1[Entity Prefab],0)),10,1,1,"Entities"))</f>
        <v>263</v>
      </c>
      <c r="GA119" s="74">
        <f ca="1">ROUND((Table18202324[[#This Row],[XP]]*Table18202324[[#This Row],[entity_spawned (AVG)]])*(Table18202324[[#This Row],[activating_chance]]/100),0)</f>
        <v>263</v>
      </c>
      <c r="GB119" s="74" t="str">
        <f ca="1">INDIRECT(ADDRESS(11+(MATCH(RIGHT(Table18202324[[#This Row],[spawner_sku]],LEN(Table18202324[[#This Row],[spawner_sku]])-FIND("/",Table18202324[[#This Row],[spawner_sku]])),Table28[Entity Prefab],0)),26,1,1,"Entities"))</f>
        <v>yes</v>
      </c>
      <c r="GC119">
        <v>1</v>
      </c>
      <c r="GD119">
        <v>1</v>
      </c>
      <c r="GE119" t="b">
        <v>0</v>
      </c>
      <c r="GG119" t="s">
        <v>3816</v>
      </c>
      <c r="GH119">
        <v>1</v>
      </c>
      <c r="GI119">
        <v>240</v>
      </c>
      <c r="GJ119">
        <v>100</v>
      </c>
      <c r="GK119">
        <f ca="1">INDIRECT(ADDRESS(11+(MATCH(RIGHT(Table37[[#This Row],[spawner_sku]],LEN(Table37[[#This Row],[spawner_sku]])-FIND("/",Table37[[#This Row],[spawner_sku]])),Table1[Entity Prefab],0)),10,1,1,"Entities"))</f>
        <v>50</v>
      </c>
      <c r="GL119">
        <f ca="1">ROUND((Table37[[#This Row],[XP]]*Table37[[#This Row],[entity_spawned (AVG)]])*(Table37[[#This Row],[activating_chance]]/100),0)</f>
        <v>50</v>
      </c>
      <c r="GM119" t="str">
        <f ca="1">INDIRECT(ADDRESS(11+(MATCH(RIGHT(Table37[[#This Row],[spawner_sku]],LEN(Table37[[#This Row],[spawner_sku]])-FIND("/",Table37[[#This Row],[spawner_sku]])),Table28[Entity Prefab],0)),26,1,1,"Entities"))</f>
        <v>no</v>
      </c>
      <c r="GN119">
        <v>1</v>
      </c>
      <c r="GO119">
        <v>1</v>
      </c>
      <c r="GP119" t="b">
        <v>0</v>
      </c>
    </row>
    <row r="120" spans="2:198" x14ac:dyDescent="0.25">
      <c r="B120" s="72" t="s">
        <v>215</v>
      </c>
      <c r="C120">
        <v>2</v>
      </c>
      <c r="D120">
        <v>110</v>
      </c>
      <c r="E120">
        <v>100</v>
      </c>
      <c r="F120" s="74">
        <f ca="1">INDIRECT(ADDRESS(11+(MATCH(RIGHT(Table245[[#This Row],[spawner_sku]],LEN(Table245[[#This Row],[spawner_sku]])-FIND("/",Table245[[#This Row],[spawner_sku]])),Table1[Entity Prefab],0)),10,1,1,"Entities"))</f>
        <v>25</v>
      </c>
      <c r="G120" s="74">
        <f ca="1">ROUND((Table245[[#This Row],[XP]]*Table245[[#This Row],[entity_spawned (AVG)]])*(Table245[[#This Row],[activating_chance]]/100),0)</f>
        <v>50</v>
      </c>
      <c r="H120" s="71" t="str">
        <f ca="1">INDIRECT(ADDRESS(11+(MATCH(RIGHT(Table245[[#This Row],[spawner_sku]],LEN(Table245[[#This Row],[spawner_sku]])-FIND("/",Table245[[#This Row],[spawner_sku]])),Table28[Entity Prefab],0)),24,1,1,"Entities"))</f>
        <v>no</v>
      </c>
      <c r="I120" s="71">
        <v>1</v>
      </c>
      <c r="J120" s="71">
        <v>3</v>
      </c>
      <c r="K120" s="71" t="b">
        <v>0</v>
      </c>
      <c r="M120" t="s">
        <v>243</v>
      </c>
      <c r="N120">
        <v>1</v>
      </c>
      <c r="O120">
        <v>140</v>
      </c>
      <c r="P120">
        <v>100</v>
      </c>
      <c r="Q120" s="74">
        <f ca="1">INDIRECT(ADDRESS(11+(MATCH(RIGHT(Table3[[#This Row],[spawner_sku]],LEN(Table3[[#This Row],[spawner_sku]])-FIND("/",Table3[[#This Row],[spawner_sku]])),Table1[Entity Prefab],0)),10,1,1,"Entities"))</f>
        <v>25</v>
      </c>
      <c r="R120" s="74">
        <f ca="1">ROUND((Table3[[#This Row],[XP]]*Table3[[#This Row],[entity_spawned (AVG)]])*(Table3[[#This Row],[activating_chance]]/100),0)</f>
        <v>25</v>
      </c>
      <c r="S120" t="str">
        <f ca="1">INDIRECT(ADDRESS(11+(MATCH(RIGHT(Table3[[#This Row],[spawner_sku]],LEN(Table3[[#This Row],[spawner_sku]])-FIND("/",Table3[[#This Row],[spawner_sku]])),Table28[Entity Prefab],0)),24,1,1,"Entities"))</f>
        <v>no</v>
      </c>
      <c r="T120">
        <v>1</v>
      </c>
      <c r="U120">
        <v>1</v>
      </c>
      <c r="V120" t="b">
        <v>0</v>
      </c>
      <c r="W120" s="71"/>
      <c r="AI120" t="s">
        <v>216</v>
      </c>
      <c r="AJ120">
        <v>2</v>
      </c>
      <c r="AK120">
        <v>130</v>
      </c>
      <c r="AL120">
        <v>100</v>
      </c>
      <c r="AM120" s="74">
        <f ca="1">INDIRECT(ADDRESS(11+(MATCH(RIGHT(Table2[[#This Row],[spawner_sku]],LEN(Table2[[#This Row],[spawner_sku]])-FIND("/",Table2[[#This Row],[spawner_sku]])),Table1[Entity Prefab],0)),10,1,1,"Entities"))</f>
        <v>25</v>
      </c>
      <c r="AN120" s="74">
        <f ca="1">ROUND((Table2[[#This Row],[XP]]*Table2[[#This Row],[entity_spawned (AVG)]])*(Table2[[#This Row],[activating_chance]]/100),0)</f>
        <v>50</v>
      </c>
      <c r="AO120" s="71" t="str">
        <f ca="1">INDIRECT(ADDRESS(11+(MATCH(RIGHT(Table2[[#This Row],[spawner_sku]],LEN(Table2[[#This Row],[spawner_sku]])-FIND("/",Table2[[#This Row],[spawner_sku]])),Table28[Entity Prefab],0)),24,1,1,"Entities"))</f>
        <v>no</v>
      </c>
      <c r="AP120" s="71">
        <v>1</v>
      </c>
      <c r="AQ120" s="71">
        <v>3</v>
      </c>
      <c r="AR120" s="71" t="b">
        <v>0</v>
      </c>
      <c r="AT120" t="s">
        <v>554</v>
      </c>
      <c r="AU120">
        <v>1</v>
      </c>
      <c r="AV120">
        <v>300</v>
      </c>
      <c r="AW120">
        <v>100</v>
      </c>
      <c r="AX120" s="74">
        <f ca="1">INDIRECT(ADDRESS(11+(MATCH(RIGHT(Table6[[#This Row],[spawner_sku]],LEN(Table6[[#This Row],[spawner_sku]])-FIND("/",Table6[[#This Row],[spawner_sku]])),Table1[Entity Prefab],0)),10,1,1,"Entities"))</f>
        <v>50</v>
      </c>
      <c r="AY120" s="74">
        <f ca="1">ROUND((Table6[[#This Row],[XP]]*Table6[[#This Row],[entity_spawned (AVG)]])*(Table6[[#This Row],[activating_chance]]/100),0)</f>
        <v>50</v>
      </c>
      <c r="AZ120" s="144" t="str">
        <f ca="1">INDIRECT(ADDRESS(11+(MATCH(RIGHT(Table6[[#This Row],[spawner_sku]],LEN(Table6[[#This Row],[spawner_sku]])-FIND("/",Table6[[#This Row],[spawner_sku]])),Table28[Entity Prefab],0)),24,1,1,"Entities"))</f>
        <v>yes</v>
      </c>
      <c r="BA120">
        <v>1</v>
      </c>
      <c r="BB120">
        <v>1</v>
      </c>
      <c r="BC120" t="b">
        <v>0</v>
      </c>
      <c r="BE120" t="s">
        <v>231</v>
      </c>
      <c r="BF120">
        <v>1</v>
      </c>
      <c r="BG120">
        <v>220</v>
      </c>
      <c r="BH120">
        <v>100</v>
      </c>
      <c r="BI120" s="74">
        <f ca="1">INDIRECT(ADDRESS(11+(MATCH(RIGHT(Table610[[#This Row],[spawner_sku]],LEN(Table610[[#This Row],[spawner_sku]])-FIND("/",Table610[[#This Row],[spawner_sku]])),Table1[Entity Prefab],0)),10,1,1,"Entities"))</f>
        <v>25</v>
      </c>
      <c r="BJ120" s="74">
        <f ca="1">ROUND((Table610[[#This Row],[XP]]*Table610[[#This Row],[entity_spawned (AVG)]])*(Table610[[#This Row],[activating_chance]]/100),0)</f>
        <v>25</v>
      </c>
      <c r="BK120" s="71" t="str">
        <f ca="1">INDIRECT(ADDRESS(11+(MATCH(RIGHT(Table610[[#This Row],[spawner_sku]],LEN(Table610[[#This Row],[spawner_sku]])-FIND("/",Table610[[#This Row],[spawner_sku]])),Table28[Entity Prefab],0)),24,1,1,"Entities"))</f>
        <v>yes</v>
      </c>
      <c r="BL120">
        <v>1</v>
      </c>
      <c r="BM120">
        <v>1</v>
      </c>
      <c r="BN120" t="b">
        <v>0</v>
      </c>
      <c r="BP120" t="s">
        <v>320</v>
      </c>
      <c r="BQ120">
        <v>1</v>
      </c>
      <c r="BR120">
        <v>250</v>
      </c>
      <c r="BS120">
        <v>100</v>
      </c>
      <c r="BT120" s="74">
        <f ca="1">INDIRECT(ADDRESS(11+(MATCH(RIGHT(Table61011[[#This Row],[spawner_sku]],LEN(Table61011[[#This Row],[spawner_sku]])-FIND("/",Table61011[[#This Row],[spawner_sku]])),Table1[Entity Prefab],0)),10,1,1,"Entities"))</f>
        <v>143</v>
      </c>
      <c r="BU120" s="74">
        <f ca="1">ROUND((Table61011[[#This Row],[XP]]*Table61011[[#This Row],[entity_spawned (AVG)]])*(Table61011[[#This Row],[activating_chance]]/100),0)</f>
        <v>143</v>
      </c>
      <c r="BV120" s="71" t="str">
        <f ca="1">INDIRECT(ADDRESS(11+(MATCH(RIGHT(Table61011[[#This Row],[spawner_sku]],LEN(Table61011[[#This Row],[spawner_sku]])-FIND("/",Table61011[[#This Row],[spawner_sku]])),Table28[Entity Prefab],0)),24,1,1,"Entities"))</f>
        <v>yes</v>
      </c>
      <c r="BW120" s="71">
        <v>1</v>
      </c>
      <c r="BX120" s="71">
        <v>1</v>
      </c>
      <c r="BY120" s="71" t="b">
        <v>0</v>
      </c>
      <c r="BZ120" s="71"/>
      <c r="CA120" s="147" t="s">
        <v>8142</v>
      </c>
      <c r="CB120">
        <v>1</v>
      </c>
      <c r="CC120">
        <v>200</v>
      </c>
      <c r="CD120">
        <v>100</v>
      </c>
      <c r="CE120" s="74">
        <f ca="1">INDIRECT(ADDRESS(11+(MATCH(RIGHT(Table35[[#This Row],[spawner_sku]],LEN(Table35[[#This Row],[spawner_sku]])-FIND("/",Table35[[#This Row],[spawner_sku]])),Table1[Entity Prefab],0)),10,1,1,"Entities"))</f>
        <v>75</v>
      </c>
      <c r="CF120" s="74">
        <f ca="1">ROUND((Table35[[#This Row],[XP]]*Table35[[#This Row],[entity_spawned (AVG)]])*(Table35[[#This Row],[activating_chance]]/100),0)</f>
        <v>75</v>
      </c>
      <c r="CG120" s="144" t="str">
        <f ca="1">INDIRECT(ADDRESS(11+(MATCH(RIGHT(Table35[[#This Row],[spawner_sku]],LEN(Table35[[#This Row],[spawner_sku]])-FIND("/",Table35[[#This Row],[spawner_sku]])),Table28[Entity Prefab],0)),24,1,1,"Entities"))</f>
        <v>no</v>
      </c>
      <c r="CH120">
        <v>1</v>
      </c>
      <c r="CI120">
        <v>1</v>
      </c>
      <c r="CJ120" s="71" t="b">
        <v>0</v>
      </c>
      <c r="CL120" t="s">
        <v>215</v>
      </c>
      <c r="CM120">
        <v>5</v>
      </c>
      <c r="CN120">
        <v>180</v>
      </c>
      <c r="CO120">
        <v>100</v>
      </c>
      <c r="CP120" s="74">
        <f ca="1">INDIRECT(ADDRESS(11+(MATCH(RIGHT(Table11[[#This Row],[spawner_sku]],LEN(Table11[[#This Row],[spawner_sku]])-FIND("/",Table11[[#This Row],[spawner_sku]])),Table1[Entity Prefab],0)),10,1,1,"Entities"))</f>
        <v>25</v>
      </c>
      <c r="CQ120">
        <f ca="1">ROUND((Table11[[#This Row],[XP]]*Table11[[#This Row],[entity_spawned (AVG)]])*(Table11[[#This Row],[activating_chance]]/100),0)</f>
        <v>125</v>
      </c>
      <c r="CR120" s="144" t="str">
        <f ca="1">INDIRECT(ADDRESS(11+(MATCH(RIGHT(Table11[[#This Row],[spawner_sku]],LEN(Table11[[#This Row],[spawner_sku]])-FIND("/",Table11[[#This Row],[spawner_sku]])),Table28[Entity Prefab],0)),25,1,1,"Entities"))</f>
        <v>no</v>
      </c>
      <c r="CS120" s="71">
        <v>5</v>
      </c>
      <c r="CT120" s="71">
        <v>5</v>
      </c>
      <c r="CU120" s="71" t="b">
        <v>1</v>
      </c>
      <c r="CW120" t="s">
        <v>496</v>
      </c>
      <c r="CX120">
        <v>1</v>
      </c>
      <c r="CY120">
        <v>260</v>
      </c>
      <c r="CZ120">
        <v>100</v>
      </c>
      <c r="DA120" s="74">
        <f ca="1">INDIRECT(ADDRESS(11+(MATCH(RIGHT(Table12[[#This Row],[spawner_sku]],LEN(Table12[[#This Row],[spawner_sku]])-FIND("/",Table12[[#This Row],[spawner_sku]])),Table1[Entity Prefab],0)),10,1,1,"Entities"))</f>
        <v>50</v>
      </c>
      <c r="DB120" s="74">
        <f ca="1">ROUND((Table12[[#This Row],[XP]]*Table12[[#This Row],[entity_spawned (AVG)]])*(Table12[[#This Row],[activating_chance]]/100),0)</f>
        <v>50</v>
      </c>
      <c r="DC120" s="144" t="str">
        <f ca="1">INDIRECT(ADDRESS(11+(MATCH(RIGHT(Table12[[#This Row],[spawner_sku]],LEN(Table12[[#This Row],[spawner_sku]])-FIND("/",Table12[[#This Row],[spawner_sku]])),Table28[Entity Prefab],0)),25,1,1,"Entities"))</f>
        <v>no</v>
      </c>
      <c r="DD120" s="71">
        <v>1</v>
      </c>
      <c r="DE120" s="71">
        <v>1</v>
      </c>
      <c r="DF120" s="71" t="b">
        <v>0</v>
      </c>
      <c r="DH120" t="s">
        <v>371</v>
      </c>
      <c r="DI120">
        <v>1</v>
      </c>
      <c r="DJ120">
        <v>200</v>
      </c>
      <c r="DK120">
        <v>80</v>
      </c>
      <c r="DL120" s="74">
        <f ca="1">INDIRECT(ADDRESS(11+(MATCH(RIGHT(Table13[[#This Row],[spawner_sku]],LEN(Table13[[#This Row],[spawner_sku]])-FIND("/",Table13[[#This Row],[spawner_sku]])),Table1[Entity Prefab],0)),10,1,1,"Entities"))</f>
        <v>75</v>
      </c>
      <c r="DM120" s="74">
        <f ca="1">ROUND((Table13[[#This Row],[XP]]*Table13[[#This Row],[entity_spawned (AVG)]])*(Table13[[#This Row],[activating_chance]]/100),0)</f>
        <v>60</v>
      </c>
      <c r="DN120" s="144" t="str">
        <f ca="1">INDIRECT(ADDRESS(11+(MATCH(RIGHT(Table13[[#This Row],[spawner_sku]],LEN(Table13[[#This Row],[spawner_sku]])-FIND("/",Table13[[#This Row],[spawner_sku]])),Table28[Entity Prefab],0)),25,1,1,"Entities"))</f>
        <v>yes</v>
      </c>
      <c r="DO120" s="71">
        <v>1</v>
      </c>
      <c r="DP120" s="71">
        <v>1</v>
      </c>
      <c r="DQ120" s="71" t="b">
        <v>0</v>
      </c>
      <c r="DS120" t="s">
        <v>214</v>
      </c>
      <c r="DT120">
        <v>3</v>
      </c>
      <c r="DU120">
        <v>100</v>
      </c>
      <c r="DV120">
        <v>100</v>
      </c>
      <c r="DW120" s="74">
        <f ca="1">INDIRECT(ADDRESS(11+(MATCH(RIGHT(Table14[[#This Row],[spawner_sku]],LEN(Table14[[#This Row],[spawner_sku]])-FIND("/",Table14[[#This Row],[spawner_sku]])),Table1[Entity Prefab],0)),10,1,1,"Entities"))</f>
        <v>25</v>
      </c>
      <c r="DX120" s="74">
        <f ca="1">ROUND((Table14[[#This Row],[XP]]*Table14[[#This Row],[entity_spawned (AVG)]])*(Table14[[#This Row],[activating_chance]]/100),0)</f>
        <v>75</v>
      </c>
      <c r="DY120" s="144" t="str">
        <f ca="1">INDIRECT(ADDRESS(11+(MATCH(RIGHT(Table14[[#This Row],[spawner_sku]],LEN(Table14[[#This Row],[spawner_sku]])-FIND("/",Table14[[#This Row],[spawner_sku]])),Table28[Entity Prefab],0)),25,1,1,"Entities"))</f>
        <v>no</v>
      </c>
      <c r="DZ120" s="71">
        <v>3</v>
      </c>
      <c r="EA120" s="71">
        <v>3</v>
      </c>
      <c r="EB120" s="71" t="b">
        <v>0</v>
      </c>
      <c r="EC120" s="71"/>
      <c r="ED120" s="147" t="s">
        <v>3821</v>
      </c>
      <c r="EE120" s="71">
        <v>1</v>
      </c>
      <c r="EF120" s="71">
        <v>240</v>
      </c>
      <c r="EG120" s="71">
        <v>100</v>
      </c>
      <c r="EH120" s="71">
        <f ca="1">INDIRECT(ADDRESS(11+(MATCH(RIGHT(Table36[[#This Row],[spawner_sku]],LEN(Table36[[#This Row],[spawner_sku]])-FIND("/",Table36[[#This Row],[spawner_sku]])),Table1[Entity Prefab],0)),10,1,1,"Entities"))</f>
        <v>10</v>
      </c>
      <c r="EI120" s="71">
        <f ca="1">ROUND((Table36[[#This Row],[XP]]*Table36[[#This Row],[entity_spawned (AVG)]])*(Table36[[#This Row],[activating_chance]]/100),0)</f>
        <v>10</v>
      </c>
      <c r="EJ120" s="71" t="str">
        <f ca="1">INDIRECT(ADDRESS(11+(MATCH(RIGHT(Table36[[#This Row],[spawner_sku]],LEN(Table36[[#This Row],[spawner_sku]])-FIND("/",Table36[[#This Row],[spawner_sku]])),Table28[Entity Prefab],0)),25,1,1,"Entities"))</f>
        <v>no</v>
      </c>
      <c r="EK120" s="71">
        <v>1</v>
      </c>
      <c r="EL120" s="71">
        <v>1</v>
      </c>
      <c r="EM120" s="71" t="b">
        <v>0</v>
      </c>
      <c r="EO120" t="s">
        <v>219</v>
      </c>
      <c r="EP120">
        <v>2.5</v>
      </c>
      <c r="EQ120">
        <v>250</v>
      </c>
      <c r="ER120">
        <v>100</v>
      </c>
      <c r="ES120" s="74">
        <f ca="1">INDIRECT(ADDRESS(11+(MATCH(RIGHT(Table18[[#This Row],[spawner_sku]],LEN(Table18[[#This Row],[spawner_sku]])-FIND("/",Table18[[#This Row],[spawner_sku]])),Table1[Entity Prefab],0)),10,1,1,"Entities"))</f>
        <v>143</v>
      </c>
      <c r="ET120" s="74">
        <f ca="1">ROUND((Table18[[#This Row],[XP]]*Table18[[#This Row],[entity_spawned (AVG)]])*(Table18[[#This Row],[activating_chance]]/100),0)</f>
        <v>358</v>
      </c>
      <c r="EU120" s="74" t="str">
        <f ca="1">INDIRECT(ADDRESS(11+(MATCH(RIGHT(Table18[[#This Row],[spawner_sku]],LEN(Table18[[#This Row],[spawner_sku]])-FIND("/",Table18[[#This Row],[spawner_sku]])),Table28[Entity Prefab],0)),26,1,1,"Entities"))</f>
        <v>yes</v>
      </c>
      <c r="EV120">
        <v>2</v>
      </c>
      <c r="EW120">
        <v>3</v>
      </c>
      <c r="EX120" t="b">
        <v>0</v>
      </c>
      <c r="EZ120" t="s">
        <v>221</v>
      </c>
      <c r="FA120">
        <v>1</v>
      </c>
      <c r="FB120">
        <v>340</v>
      </c>
      <c r="FC120">
        <v>100</v>
      </c>
      <c r="FD120" s="74">
        <f ca="1">INDIRECT(ADDRESS(11+(MATCH(RIGHT(Table1820[[#This Row],[spawner_sku]],LEN(Table1820[[#This Row],[spawner_sku]])-FIND("/",Table1820[[#This Row],[spawner_sku]])),Table1[Entity Prefab],0)),10,1,1,"Entities"))</f>
        <v>263</v>
      </c>
      <c r="FE120" s="74">
        <f ca="1">ROUND((Table1820[[#This Row],[XP]]*Table1820[[#This Row],[entity_spawned (AVG)]])*(Table1820[[#This Row],[activating_chance]]/100),0)</f>
        <v>263</v>
      </c>
      <c r="FF120" s="74" t="str">
        <f ca="1">INDIRECT(ADDRESS(11+(MATCH(RIGHT(Table1820[[#This Row],[spawner_sku]],LEN(Table1820[[#This Row],[spawner_sku]])-FIND("/",Table1820[[#This Row],[spawner_sku]])),Table28[Entity Prefab],0)),26,1,1,"Entities"))</f>
        <v>yes</v>
      </c>
      <c r="FG120">
        <v>1</v>
      </c>
      <c r="FH120">
        <v>1</v>
      </c>
      <c r="FI120" t="b">
        <v>0</v>
      </c>
      <c r="FK120" t="s">
        <v>2693</v>
      </c>
      <c r="FL120">
        <v>1.5</v>
      </c>
      <c r="FM120">
        <v>100</v>
      </c>
      <c r="FN120">
        <v>80</v>
      </c>
      <c r="FO120">
        <f ca="1">INDIRECT(ADDRESS(11+(MATCH(RIGHT(Table182023[[#This Row],[spawner_sku]],LEN(Table182023[[#This Row],[spawner_sku]])-FIND("/",Table182023[[#This Row],[spawner_sku]])),Table1[Entity Prefab],0)),10,1,1,"Entities"))</f>
        <v>130</v>
      </c>
      <c r="FP120">
        <f ca="1">ROUND((Table182023[[#This Row],[XP]]*Table182023[[#This Row],[entity_spawned (AVG)]])*(Table182023[[#This Row],[activating_chance]]/100),0)</f>
        <v>156</v>
      </c>
      <c r="FQ120" t="str">
        <f ca="1">INDIRECT(ADDRESS(11+(MATCH(RIGHT(Table182023[[#This Row],[spawner_sku]],LEN(Table182023[[#This Row],[spawner_sku]])-FIND("/",Table182023[[#This Row],[spawner_sku]])),Table28[Entity Prefab],0)),26,1,1,"Entities"))</f>
        <v>yes</v>
      </c>
      <c r="FR120">
        <v>1</v>
      </c>
      <c r="FS120">
        <v>2</v>
      </c>
      <c r="FT120" t="b">
        <v>0</v>
      </c>
      <c r="FV120" t="s">
        <v>2708</v>
      </c>
      <c r="FW120">
        <v>1</v>
      </c>
      <c r="FX120">
        <v>250</v>
      </c>
      <c r="FY120">
        <v>100</v>
      </c>
      <c r="FZ120" s="74">
        <f ca="1">INDIRECT(ADDRESS(11+(MATCH(RIGHT(Table18202324[[#This Row],[spawner_sku]],LEN(Table18202324[[#This Row],[spawner_sku]])-FIND("/",Table18202324[[#This Row],[spawner_sku]])),Table1[Entity Prefab],0)),10,1,1,"Entities"))</f>
        <v>263</v>
      </c>
      <c r="GA120" s="74">
        <f ca="1">ROUND((Table18202324[[#This Row],[XP]]*Table18202324[[#This Row],[entity_spawned (AVG)]])*(Table18202324[[#This Row],[activating_chance]]/100),0)</f>
        <v>263</v>
      </c>
      <c r="GB120" s="74" t="str">
        <f ca="1">INDIRECT(ADDRESS(11+(MATCH(RIGHT(Table18202324[[#This Row],[spawner_sku]],LEN(Table18202324[[#This Row],[spawner_sku]])-FIND("/",Table18202324[[#This Row],[spawner_sku]])),Table28[Entity Prefab],0)),26,1,1,"Entities"))</f>
        <v>yes</v>
      </c>
      <c r="GC120">
        <v>1</v>
      </c>
      <c r="GD120">
        <v>1</v>
      </c>
      <c r="GE120" t="b">
        <v>0</v>
      </c>
      <c r="GG120" t="s">
        <v>3816</v>
      </c>
      <c r="GH120">
        <v>1</v>
      </c>
      <c r="GI120">
        <v>240</v>
      </c>
      <c r="GJ120">
        <v>100</v>
      </c>
      <c r="GK120">
        <f ca="1">INDIRECT(ADDRESS(11+(MATCH(RIGHT(Table37[[#This Row],[spawner_sku]],LEN(Table37[[#This Row],[spawner_sku]])-FIND("/",Table37[[#This Row],[spawner_sku]])),Table1[Entity Prefab],0)),10,1,1,"Entities"))</f>
        <v>50</v>
      </c>
      <c r="GL120">
        <f ca="1">ROUND((Table37[[#This Row],[XP]]*Table37[[#This Row],[entity_spawned (AVG)]])*(Table37[[#This Row],[activating_chance]]/100),0)</f>
        <v>50</v>
      </c>
      <c r="GM120" t="str">
        <f ca="1">INDIRECT(ADDRESS(11+(MATCH(RIGHT(Table37[[#This Row],[spawner_sku]],LEN(Table37[[#This Row],[spawner_sku]])-FIND("/",Table37[[#This Row],[spawner_sku]])),Table28[Entity Prefab],0)),26,1,1,"Entities"))</f>
        <v>no</v>
      </c>
      <c r="GN120">
        <v>1</v>
      </c>
      <c r="GO120">
        <v>1</v>
      </c>
      <c r="GP120" t="b">
        <v>0</v>
      </c>
    </row>
    <row r="121" spans="2:198" x14ac:dyDescent="0.25">
      <c r="B121" s="72" t="s">
        <v>215</v>
      </c>
      <c r="C121">
        <v>1.5</v>
      </c>
      <c r="D121">
        <v>100</v>
      </c>
      <c r="E121">
        <v>100</v>
      </c>
      <c r="F121" s="74">
        <f ca="1">INDIRECT(ADDRESS(11+(MATCH(RIGHT(Table245[[#This Row],[spawner_sku]],LEN(Table245[[#This Row],[spawner_sku]])-FIND("/",Table245[[#This Row],[spawner_sku]])),Table1[Entity Prefab],0)),10,1,1,"Entities"))</f>
        <v>25</v>
      </c>
      <c r="G121" s="74">
        <f ca="1">ROUND((Table245[[#This Row],[XP]]*Table245[[#This Row],[entity_spawned (AVG)]])*(Table245[[#This Row],[activating_chance]]/100),0)</f>
        <v>38</v>
      </c>
      <c r="H121" s="71" t="str">
        <f ca="1">INDIRECT(ADDRESS(11+(MATCH(RIGHT(Table245[[#This Row],[spawner_sku]],LEN(Table245[[#This Row],[spawner_sku]])-FIND("/",Table245[[#This Row],[spawner_sku]])),Table28[Entity Prefab],0)),24,1,1,"Entities"))</f>
        <v>no</v>
      </c>
      <c r="I121" s="71">
        <v>1</v>
      </c>
      <c r="J121" s="71">
        <v>2</v>
      </c>
      <c r="K121" s="71" t="b">
        <v>0</v>
      </c>
      <c r="M121" t="s">
        <v>243</v>
      </c>
      <c r="N121">
        <v>1</v>
      </c>
      <c r="O121">
        <v>140</v>
      </c>
      <c r="P121">
        <v>100</v>
      </c>
      <c r="Q121" s="74">
        <f ca="1">INDIRECT(ADDRESS(11+(MATCH(RIGHT(Table3[[#This Row],[spawner_sku]],LEN(Table3[[#This Row],[spawner_sku]])-FIND("/",Table3[[#This Row],[spawner_sku]])),Table1[Entity Prefab],0)),10,1,1,"Entities"))</f>
        <v>25</v>
      </c>
      <c r="R121" s="74">
        <f ca="1">ROUND((Table3[[#This Row],[XP]]*Table3[[#This Row],[entity_spawned (AVG)]])*(Table3[[#This Row],[activating_chance]]/100),0)</f>
        <v>25</v>
      </c>
      <c r="S121" t="str">
        <f ca="1">INDIRECT(ADDRESS(11+(MATCH(RIGHT(Table3[[#This Row],[spawner_sku]],LEN(Table3[[#This Row],[spawner_sku]])-FIND("/",Table3[[#This Row],[spawner_sku]])),Table28[Entity Prefab],0)),24,1,1,"Entities"))</f>
        <v>no</v>
      </c>
      <c r="T121">
        <v>1</v>
      </c>
      <c r="U121">
        <v>1</v>
      </c>
      <c r="V121" t="b">
        <v>0</v>
      </c>
      <c r="W121" s="71"/>
      <c r="AI121" t="s">
        <v>216</v>
      </c>
      <c r="AJ121">
        <v>8</v>
      </c>
      <c r="AK121">
        <v>150</v>
      </c>
      <c r="AL121">
        <v>100</v>
      </c>
      <c r="AM121" s="74">
        <f ca="1">INDIRECT(ADDRESS(11+(MATCH(RIGHT(Table2[[#This Row],[spawner_sku]],LEN(Table2[[#This Row],[spawner_sku]])-FIND("/",Table2[[#This Row],[spawner_sku]])),Table1[Entity Prefab],0)),10,1,1,"Entities"))</f>
        <v>25</v>
      </c>
      <c r="AN121" s="74">
        <f ca="1">ROUND((Table2[[#This Row],[XP]]*Table2[[#This Row],[entity_spawned (AVG)]])*(Table2[[#This Row],[activating_chance]]/100),0)</f>
        <v>200</v>
      </c>
      <c r="AO121" s="71" t="str">
        <f ca="1">INDIRECT(ADDRESS(11+(MATCH(RIGHT(Table2[[#This Row],[spawner_sku]],LEN(Table2[[#This Row],[spawner_sku]])-FIND("/",Table2[[#This Row],[spawner_sku]])),Table28[Entity Prefab],0)),24,1,1,"Entities"))</f>
        <v>no</v>
      </c>
      <c r="AP121" s="71">
        <v>6</v>
      </c>
      <c r="AQ121" s="71">
        <v>10</v>
      </c>
      <c r="AR121" s="71" t="b">
        <v>1</v>
      </c>
      <c r="AT121" t="s">
        <v>554</v>
      </c>
      <c r="AU121">
        <v>1</v>
      </c>
      <c r="AV121">
        <v>300</v>
      </c>
      <c r="AW121">
        <v>100</v>
      </c>
      <c r="AX121" s="74">
        <f ca="1">INDIRECT(ADDRESS(11+(MATCH(RIGHT(Table6[[#This Row],[spawner_sku]],LEN(Table6[[#This Row],[spawner_sku]])-FIND("/",Table6[[#This Row],[spawner_sku]])),Table1[Entity Prefab],0)),10,1,1,"Entities"))</f>
        <v>50</v>
      </c>
      <c r="AY121" s="74">
        <f ca="1">ROUND((Table6[[#This Row],[XP]]*Table6[[#This Row],[entity_spawned (AVG)]])*(Table6[[#This Row],[activating_chance]]/100),0)</f>
        <v>50</v>
      </c>
      <c r="AZ121" s="144" t="str">
        <f ca="1">INDIRECT(ADDRESS(11+(MATCH(RIGHT(Table6[[#This Row],[spawner_sku]],LEN(Table6[[#This Row],[spawner_sku]])-FIND("/",Table6[[#This Row],[spawner_sku]])),Table28[Entity Prefab],0)),24,1,1,"Entities"))</f>
        <v>yes</v>
      </c>
      <c r="BA121">
        <v>1</v>
      </c>
      <c r="BB121">
        <v>1</v>
      </c>
      <c r="BC121" t="b">
        <v>0</v>
      </c>
      <c r="BE121" t="s">
        <v>231</v>
      </c>
      <c r="BF121">
        <v>1</v>
      </c>
      <c r="BG121">
        <v>220</v>
      </c>
      <c r="BH121">
        <v>100</v>
      </c>
      <c r="BI121" s="74">
        <f ca="1">INDIRECT(ADDRESS(11+(MATCH(RIGHT(Table610[[#This Row],[spawner_sku]],LEN(Table610[[#This Row],[spawner_sku]])-FIND("/",Table610[[#This Row],[spawner_sku]])),Table1[Entity Prefab],0)),10,1,1,"Entities"))</f>
        <v>25</v>
      </c>
      <c r="BJ121" s="74">
        <f ca="1">ROUND((Table610[[#This Row],[XP]]*Table610[[#This Row],[entity_spawned (AVG)]])*(Table610[[#This Row],[activating_chance]]/100),0)</f>
        <v>25</v>
      </c>
      <c r="BK121" s="71" t="str">
        <f ca="1">INDIRECT(ADDRESS(11+(MATCH(RIGHT(Table610[[#This Row],[spawner_sku]],LEN(Table610[[#This Row],[spawner_sku]])-FIND("/",Table610[[#This Row],[spawner_sku]])),Table28[Entity Prefab],0)),24,1,1,"Entities"))</f>
        <v>yes</v>
      </c>
      <c r="BL121">
        <v>1</v>
      </c>
      <c r="BM121">
        <v>1</v>
      </c>
      <c r="BN121" t="b">
        <v>0</v>
      </c>
      <c r="BP121" t="s">
        <v>320</v>
      </c>
      <c r="BQ121">
        <v>1.5</v>
      </c>
      <c r="BR121">
        <v>250</v>
      </c>
      <c r="BS121">
        <v>100</v>
      </c>
      <c r="BT121" s="74">
        <f ca="1">INDIRECT(ADDRESS(11+(MATCH(RIGHT(Table61011[[#This Row],[spawner_sku]],LEN(Table61011[[#This Row],[spawner_sku]])-FIND("/",Table61011[[#This Row],[spawner_sku]])),Table1[Entity Prefab],0)),10,1,1,"Entities"))</f>
        <v>143</v>
      </c>
      <c r="BU121" s="74">
        <f ca="1">ROUND((Table61011[[#This Row],[XP]]*Table61011[[#This Row],[entity_spawned (AVG)]])*(Table61011[[#This Row],[activating_chance]]/100),0)</f>
        <v>215</v>
      </c>
      <c r="BV121" s="71" t="str">
        <f ca="1">INDIRECT(ADDRESS(11+(MATCH(RIGHT(Table61011[[#This Row],[spawner_sku]],LEN(Table61011[[#This Row],[spawner_sku]])-FIND("/",Table61011[[#This Row],[spawner_sku]])),Table28[Entity Prefab],0)),24,1,1,"Entities"))</f>
        <v>yes</v>
      </c>
      <c r="BW121" s="71">
        <v>1</v>
      </c>
      <c r="BX121" s="71">
        <v>2</v>
      </c>
      <c r="BY121" s="71" t="b">
        <v>0</v>
      </c>
      <c r="BZ121" s="71"/>
      <c r="CA121" s="147" t="s">
        <v>8142</v>
      </c>
      <c r="CB121">
        <v>1</v>
      </c>
      <c r="CC121">
        <v>200</v>
      </c>
      <c r="CD121">
        <v>100</v>
      </c>
      <c r="CE121" s="74">
        <f ca="1">INDIRECT(ADDRESS(11+(MATCH(RIGHT(Table35[[#This Row],[spawner_sku]],LEN(Table35[[#This Row],[spawner_sku]])-FIND("/",Table35[[#This Row],[spawner_sku]])),Table1[Entity Prefab],0)),10,1,1,"Entities"))</f>
        <v>75</v>
      </c>
      <c r="CF121" s="74">
        <f ca="1">ROUND((Table35[[#This Row],[XP]]*Table35[[#This Row],[entity_spawned (AVG)]])*(Table35[[#This Row],[activating_chance]]/100),0)</f>
        <v>75</v>
      </c>
      <c r="CG121" s="144" t="str">
        <f ca="1">INDIRECT(ADDRESS(11+(MATCH(RIGHT(Table35[[#This Row],[spawner_sku]],LEN(Table35[[#This Row],[spawner_sku]])-FIND("/",Table35[[#This Row],[spawner_sku]])),Table28[Entity Prefab],0)),24,1,1,"Entities"))</f>
        <v>no</v>
      </c>
      <c r="CH121">
        <v>1</v>
      </c>
      <c r="CI121">
        <v>1</v>
      </c>
      <c r="CJ121" s="71" t="b">
        <v>0</v>
      </c>
      <c r="CL121" t="s">
        <v>215</v>
      </c>
      <c r="CM121">
        <v>1.5</v>
      </c>
      <c r="CN121">
        <v>180</v>
      </c>
      <c r="CO121">
        <v>80</v>
      </c>
      <c r="CP121" s="74">
        <f ca="1">INDIRECT(ADDRESS(11+(MATCH(RIGHT(Table11[[#This Row],[spawner_sku]],LEN(Table11[[#This Row],[spawner_sku]])-FIND("/",Table11[[#This Row],[spawner_sku]])),Table1[Entity Prefab],0)),10,1,1,"Entities"))</f>
        <v>25</v>
      </c>
      <c r="CQ121">
        <f ca="1">ROUND((Table11[[#This Row],[XP]]*Table11[[#This Row],[entity_spawned (AVG)]])*(Table11[[#This Row],[activating_chance]]/100),0)</f>
        <v>30</v>
      </c>
      <c r="CR121" s="144" t="str">
        <f ca="1">INDIRECT(ADDRESS(11+(MATCH(RIGHT(Table11[[#This Row],[spawner_sku]],LEN(Table11[[#This Row],[spawner_sku]])-FIND("/",Table11[[#This Row],[spawner_sku]])),Table28[Entity Prefab],0)),25,1,1,"Entities"))</f>
        <v>no</v>
      </c>
      <c r="CS121" s="71">
        <v>1</v>
      </c>
      <c r="CT121" s="71">
        <v>2</v>
      </c>
      <c r="CU121" s="71" t="b">
        <v>0</v>
      </c>
      <c r="CW121" t="s">
        <v>496</v>
      </c>
      <c r="CX121">
        <v>1</v>
      </c>
      <c r="CY121">
        <v>260</v>
      </c>
      <c r="CZ121">
        <v>100</v>
      </c>
      <c r="DA121" s="74">
        <f ca="1">INDIRECT(ADDRESS(11+(MATCH(RIGHT(Table12[[#This Row],[spawner_sku]],LEN(Table12[[#This Row],[spawner_sku]])-FIND("/",Table12[[#This Row],[spawner_sku]])),Table1[Entity Prefab],0)),10,1,1,"Entities"))</f>
        <v>50</v>
      </c>
      <c r="DB121" s="74">
        <f ca="1">ROUND((Table12[[#This Row],[XP]]*Table12[[#This Row],[entity_spawned (AVG)]])*(Table12[[#This Row],[activating_chance]]/100),0)</f>
        <v>50</v>
      </c>
      <c r="DC121" s="144" t="str">
        <f ca="1">INDIRECT(ADDRESS(11+(MATCH(RIGHT(Table12[[#This Row],[spawner_sku]],LEN(Table12[[#This Row],[spawner_sku]])-FIND("/",Table12[[#This Row],[spawner_sku]])),Table28[Entity Prefab],0)),25,1,1,"Entities"))</f>
        <v>no</v>
      </c>
      <c r="DD121" s="71">
        <v>1</v>
      </c>
      <c r="DE121" s="71">
        <v>1</v>
      </c>
      <c r="DF121" s="71" t="b">
        <v>0</v>
      </c>
      <c r="DH121" t="s">
        <v>371</v>
      </c>
      <c r="DI121">
        <v>1</v>
      </c>
      <c r="DJ121">
        <v>200</v>
      </c>
      <c r="DK121">
        <v>100</v>
      </c>
      <c r="DL121" s="74">
        <f ca="1">INDIRECT(ADDRESS(11+(MATCH(RIGHT(Table13[[#This Row],[spawner_sku]],LEN(Table13[[#This Row],[spawner_sku]])-FIND("/",Table13[[#This Row],[spawner_sku]])),Table1[Entity Prefab],0)),10,1,1,"Entities"))</f>
        <v>75</v>
      </c>
      <c r="DM121" s="74">
        <f ca="1">ROUND((Table13[[#This Row],[XP]]*Table13[[#This Row],[entity_spawned (AVG)]])*(Table13[[#This Row],[activating_chance]]/100),0)</f>
        <v>75</v>
      </c>
      <c r="DN121" s="144" t="str">
        <f ca="1">INDIRECT(ADDRESS(11+(MATCH(RIGHT(Table13[[#This Row],[spawner_sku]],LEN(Table13[[#This Row],[spawner_sku]])-FIND("/",Table13[[#This Row],[spawner_sku]])),Table28[Entity Prefab],0)),25,1,1,"Entities"))</f>
        <v>yes</v>
      </c>
      <c r="DO121" s="71">
        <v>1</v>
      </c>
      <c r="DP121" s="71">
        <v>1</v>
      </c>
      <c r="DQ121" s="71" t="b">
        <v>0</v>
      </c>
      <c r="DS121" t="s">
        <v>214</v>
      </c>
      <c r="DT121">
        <v>3.5</v>
      </c>
      <c r="DU121">
        <v>100</v>
      </c>
      <c r="DV121">
        <v>100</v>
      </c>
      <c r="DW121" s="74">
        <f ca="1">INDIRECT(ADDRESS(11+(MATCH(RIGHT(Table14[[#This Row],[spawner_sku]],LEN(Table14[[#This Row],[spawner_sku]])-FIND("/",Table14[[#This Row],[spawner_sku]])),Table1[Entity Prefab],0)),10,1,1,"Entities"))</f>
        <v>25</v>
      </c>
      <c r="DX121" s="74">
        <f ca="1">ROUND((Table14[[#This Row],[XP]]*Table14[[#This Row],[entity_spawned (AVG)]])*(Table14[[#This Row],[activating_chance]]/100),0)</f>
        <v>88</v>
      </c>
      <c r="DY121" s="144" t="str">
        <f ca="1">INDIRECT(ADDRESS(11+(MATCH(RIGHT(Table14[[#This Row],[spawner_sku]],LEN(Table14[[#This Row],[spawner_sku]])-FIND("/",Table14[[#This Row],[spawner_sku]])),Table28[Entity Prefab],0)),25,1,1,"Entities"))</f>
        <v>no</v>
      </c>
      <c r="DZ121" s="71">
        <v>3</v>
      </c>
      <c r="EA121" s="71">
        <v>4</v>
      </c>
      <c r="EB121" s="71" t="b">
        <v>0</v>
      </c>
      <c r="EC121" s="71"/>
      <c r="ED121" s="147" t="s">
        <v>3823</v>
      </c>
      <c r="EE121" s="71">
        <v>1</v>
      </c>
      <c r="EF121" s="71">
        <v>240</v>
      </c>
      <c r="EG121" s="71">
        <v>100</v>
      </c>
      <c r="EH121" s="71">
        <f ca="1">INDIRECT(ADDRESS(11+(MATCH(RIGHT(Table36[[#This Row],[spawner_sku]],LEN(Table36[[#This Row],[spawner_sku]])-FIND("/",Table36[[#This Row],[spawner_sku]])),Table1[Entity Prefab],0)),10,1,1,"Entities"))</f>
        <v>10</v>
      </c>
      <c r="EI121" s="71">
        <f ca="1">ROUND((Table36[[#This Row],[XP]]*Table36[[#This Row],[entity_spawned (AVG)]])*(Table36[[#This Row],[activating_chance]]/100),0)</f>
        <v>10</v>
      </c>
      <c r="EJ121" s="71" t="str">
        <f ca="1">INDIRECT(ADDRESS(11+(MATCH(RIGHT(Table36[[#This Row],[spawner_sku]],LEN(Table36[[#This Row],[spawner_sku]])-FIND("/",Table36[[#This Row],[spawner_sku]])),Table28[Entity Prefab],0)),25,1,1,"Entities"))</f>
        <v>no</v>
      </c>
      <c r="EK121" s="71">
        <v>1</v>
      </c>
      <c r="EL121" s="71">
        <v>1</v>
      </c>
      <c r="EM121" s="71" t="b">
        <v>0</v>
      </c>
      <c r="EO121" t="s">
        <v>219</v>
      </c>
      <c r="EP121">
        <v>3.5</v>
      </c>
      <c r="EQ121">
        <v>250</v>
      </c>
      <c r="ER121">
        <v>100</v>
      </c>
      <c r="ES121" s="74">
        <f ca="1">INDIRECT(ADDRESS(11+(MATCH(RIGHT(Table18[[#This Row],[spawner_sku]],LEN(Table18[[#This Row],[spawner_sku]])-FIND("/",Table18[[#This Row],[spawner_sku]])),Table1[Entity Prefab],0)),10,1,1,"Entities"))</f>
        <v>143</v>
      </c>
      <c r="ET121" s="74">
        <f ca="1">ROUND((Table18[[#This Row],[XP]]*Table18[[#This Row],[entity_spawned (AVG)]])*(Table18[[#This Row],[activating_chance]]/100),0)</f>
        <v>501</v>
      </c>
      <c r="EU121" s="74" t="str">
        <f ca="1">INDIRECT(ADDRESS(11+(MATCH(RIGHT(Table18[[#This Row],[spawner_sku]],LEN(Table18[[#This Row],[spawner_sku]])-FIND("/",Table18[[#This Row],[spawner_sku]])),Table28[Entity Prefab],0)),26,1,1,"Entities"))</f>
        <v>yes</v>
      </c>
      <c r="EV121">
        <v>3</v>
      </c>
      <c r="EW121">
        <v>4</v>
      </c>
      <c r="EX121" t="b">
        <v>0</v>
      </c>
      <c r="EZ121" t="s">
        <v>383</v>
      </c>
      <c r="FA121">
        <v>1</v>
      </c>
      <c r="FB121">
        <v>340</v>
      </c>
      <c r="FC121">
        <v>100</v>
      </c>
      <c r="FD121" s="74">
        <f ca="1">INDIRECT(ADDRESS(11+(MATCH(RIGHT(Table1820[[#This Row],[spawner_sku]],LEN(Table1820[[#This Row],[spawner_sku]])-FIND("/",Table1820[[#This Row],[spawner_sku]])),Table1[Entity Prefab],0)),10,1,1,"Entities"))</f>
        <v>263</v>
      </c>
      <c r="FE121" s="74">
        <f ca="1">ROUND((Table1820[[#This Row],[XP]]*Table1820[[#This Row],[entity_spawned (AVG)]])*(Table1820[[#This Row],[activating_chance]]/100),0)</f>
        <v>263</v>
      </c>
      <c r="FF121" s="74" t="str">
        <f ca="1">INDIRECT(ADDRESS(11+(MATCH(RIGHT(Table1820[[#This Row],[spawner_sku]],LEN(Table1820[[#This Row],[spawner_sku]])-FIND("/",Table1820[[#This Row],[spawner_sku]])),Table28[Entity Prefab],0)),26,1,1,"Entities"))</f>
        <v>yes</v>
      </c>
      <c r="FG121">
        <v>1</v>
      </c>
      <c r="FH121">
        <v>1</v>
      </c>
      <c r="FI121" t="b">
        <v>0</v>
      </c>
      <c r="FK121" t="s">
        <v>2693</v>
      </c>
      <c r="FL121">
        <v>1.5</v>
      </c>
      <c r="FM121">
        <v>100</v>
      </c>
      <c r="FN121">
        <v>80</v>
      </c>
      <c r="FO121">
        <f ca="1">INDIRECT(ADDRESS(11+(MATCH(RIGHT(Table182023[[#This Row],[spawner_sku]],LEN(Table182023[[#This Row],[spawner_sku]])-FIND("/",Table182023[[#This Row],[spawner_sku]])),Table1[Entity Prefab],0)),10,1,1,"Entities"))</f>
        <v>130</v>
      </c>
      <c r="FP121">
        <f ca="1">ROUND((Table182023[[#This Row],[XP]]*Table182023[[#This Row],[entity_spawned (AVG)]])*(Table182023[[#This Row],[activating_chance]]/100),0)</f>
        <v>156</v>
      </c>
      <c r="FQ121" t="str">
        <f ca="1">INDIRECT(ADDRESS(11+(MATCH(RIGHT(Table182023[[#This Row],[spawner_sku]],LEN(Table182023[[#This Row],[spawner_sku]])-FIND("/",Table182023[[#This Row],[spawner_sku]])),Table28[Entity Prefab],0)),26,1,1,"Entities"))</f>
        <v>yes</v>
      </c>
      <c r="FR121">
        <v>1</v>
      </c>
      <c r="FS121">
        <v>2</v>
      </c>
      <c r="FT121" t="b">
        <v>0</v>
      </c>
      <c r="FV121" t="s">
        <v>2708</v>
      </c>
      <c r="FW121">
        <v>1</v>
      </c>
      <c r="FX121">
        <v>250</v>
      </c>
      <c r="FY121">
        <v>100</v>
      </c>
      <c r="FZ121" s="74">
        <f ca="1">INDIRECT(ADDRESS(11+(MATCH(RIGHT(Table18202324[[#This Row],[spawner_sku]],LEN(Table18202324[[#This Row],[spawner_sku]])-FIND("/",Table18202324[[#This Row],[spawner_sku]])),Table1[Entity Prefab],0)),10,1,1,"Entities"))</f>
        <v>263</v>
      </c>
      <c r="GA121" s="74">
        <f ca="1">ROUND((Table18202324[[#This Row],[XP]]*Table18202324[[#This Row],[entity_spawned (AVG)]])*(Table18202324[[#This Row],[activating_chance]]/100),0)</f>
        <v>263</v>
      </c>
      <c r="GB121" s="74" t="str">
        <f ca="1">INDIRECT(ADDRESS(11+(MATCH(RIGHT(Table18202324[[#This Row],[spawner_sku]],LEN(Table18202324[[#This Row],[spawner_sku]])-FIND("/",Table18202324[[#This Row],[spawner_sku]])),Table28[Entity Prefab],0)),26,1,1,"Entities"))</f>
        <v>yes</v>
      </c>
      <c r="GC121">
        <v>1</v>
      </c>
      <c r="GD121">
        <v>1</v>
      </c>
      <c r="GE121" t="b">
        <v>0</v>
      </c>
      <c r="GG121" t="s">
        <v>3816</v>
      </c>
      <c r="GH121">
        <v>1</v>
      </c>
      <c r="GI121">
        <v>240</v>
      </c>
      <c r="GJ121">
        <v>100</v>
      </c>
      <c r="GK121">
        <f ca="1">INDIRECT(ADDRESS(11+(MATCH(RIGHT(Table37[[#This Row],[spawner_sku]],LEN(Table37[[#This Row],[spawner_sku]])-FIND("/",Table37[[#This Row],[spawner_sku]])),Table1[Entity Prefab],0)),10,1,1,"Entities"))</f>
        <v>50</v>
      </c>
      <c r="GL121">
        <f ca="1">ROUND((Table37[[#This Row],[XP]]*Table37[[#This Row],[entity_spawned (AVG)]])*(Table37[[#This Row],[activating_chance]]/100),0)</f>
        <v>50</v>
      </c>
      <c r="GM121" t="str">
        <f ca="1">INDIRECT(ADDRESS(11+(MATCH(RIGHT(Table37[[#This Row],[spawner_sku]],LEN(Table37[[#This Row],[spawner_sku]])-FIND("/",Table37[[#This Row],[spawner_sku]])),Table28[Entity Prefab],0)),26,1,1,"Entities"))</f>
        <v>no</v>
      </c>
      <c r="GN121">
        <v>1</v>
      </c>
      <c r="GO121">
        <v>1</v>
      </c>
      <c r="GP121" t="b">
        <v>0</v>
      </c>
    </row>
    <row r="122" spans="2:198" x14ac:dyDescent="0.25">
      <c r="B122" s="72" t="s">
        <v>215</v>
      </c>
      <c r="C122">
        <v>2.5</v>
      </c>
      <c r="D122">
        <v>110</v>
      </c>
      <c r="E122">
        <v>100</v>
      </c>
      <c r="F122" s="74">
        <f ca="1">INDIRECT(ADDRESS(11+(MATCH(RIGHT(Table245[[#This Row],[spawner_sku]],LEN(Table245[[#This Row],[spawner_sku]])-FIND("/",Table245[[#This Row],[spawner_sku]])),Table1[Entity Prefab],0)),10,1,1,"Entities"))</f>
        <v>25</v>
      </c>
      <c r="G122" s="74">
        <f ca="1">ROUND((Table245[[#This Row],[XP]]*Table245[[#This Row],[entity_spawned (AVG)]])*(Table245[[#This Row],[activating_chance]]/100),0)</f>
        <v>63</v>
      </c>
      <c r="H122" s="71" t="str">
        <f ca="1">INDIRECT(ADDRESS(11+(MATCH(RIGHT(Table245[[#This Row],[spawner_sku]],LEN(Table245[[#This Row],[spawner_sku]])-FIND("/",Table245[[#This Row],[spawner_sku]])),Table28[Entity Prefab],0)),24,1,1,"Entities"))</f>
        <v>no</v>
      </c>
      <c r="I122" s="71">
        <v>2</v>
      </c>
      <c r="J122" s="71">
        <v>3</v>
      </c>
      <c r="K122" s="71" t="b">
        <v>0</v>
      </c>
      <c r="M122" t="s">
        <v>243</v>
      </c>
      <c r="N122">
        <v>1</v>
      </c>
      <c r="O122">
        <v>140</v>
      </c>
      <c r="P122">
        <v>100</v>
      </c>
      <c r="Q122" s="74">
        <f ca="1">INDIRECT(ADDRESS(11+(MATCH(RIGHT(Table3[[#This Row],[spawner_sku]],LEN(Table3[[#This Row],[spawner_sku]])-FIND("/",Table3[[#This Row],[spawner_sku]])),Table1[Entity Prefab],0)),10,1,1,"Entities"))</f>
        <v>25</v>
      </c>
      <c r="R122" s="74">
        <f ca="1">ROUND((Table3[[#This Row],[XP]]*Table3[[#This Row],[entity_spawned (AVG)]])*(Table3[[#This Row],[activating_chance]]/100),0)</f>
        <v>25</v>
      </c>
      <c r="S122" t="str">
        <f ca="1">INDIRECT(ADDRESS(11+(MATCH(RIGHT(Table3[[#This Row],[spawner_sku]],LEN(Table3[[#This Row],[spawner_sku]])-FIND("/",Table3[[#This Row],[spawner_sku]])),Table28[Entity Prefab],0)),24,1,1,"Entities"))</f>
        <v>no</v>
      </c>
      <c r="T122">
        <v>1</v>
      </c>
      <c r="U122">
        <v>1</v>
      </c>
      <c r="V122" t="b">
        <v>0</v>
      </c>
      <c r="W122" s="71"/>
      <c r="AI122" t="s">
        <v>216</v>
      </c>
      <c r="AJ122">
        <v>7.5</v>
      </c>
      <c r="AK122">
        <v>170</v>
      </c>
      <c r="AL122">
        <v>80</v>
      </c>
      <c r="AM122" s="74">
        <f ca="1">INDIRECT(ADDRESS(11+(MATCH(RIGHT(Table2[[#This Row],[spawner_sku]],LEN(Table2[[#This Row],[spawner_sku]])-FIND("/",Table2[[#This Row],[spawner_sku]])),Table1[Entity Prefab],0)),10,1,1,"Entities"))</f>
        <v>25</v>
      </c>
      <c r="AN122" s="74">
        <f ca="1">ROUND((Table2[[#This Row],[XP]]*Table2[[#This Row],[entity_spawned (AVG)]])*(Table2[[#This Row],[activating_chance]]/100),0)</f>
        <v>150</v>
      </c>
      <c r="AO122" s="71" t="str">
        <f ca="1">INDIRECT(ADDRESS(11+(MATCH(RIGHT(Table2[[#This Row],[spawner_sku]],LEN(Table2[[#This Row],[spawner_sku]])-FIND("/",Table2[[#This Row],[spawner_sku]])),Table28[Entity Prefab],0)),24,1,1,"Entities"))</f>
        <v>no</v>
      </c>
      <c r="AP122" s="71">
        <v>5</v>
      </c>
      <c r="AQ122" s="71">
        <v>10</v>
      </c>
      <c r="AR122" s="71" t="b">
        <v>1</v>
      </c>
      <c r="AT122" t="s">
        <v>554</v>
      </c>
      <c r="AU122">
        <v>1</v>
      </c>
      <c r="AV122">
        <v>300</v>
      </c>
      <c r="AW122">
        <v>100</v>
      </c>
      <c r="AX122" s="74">
        <f ca="1">INDIRECT(ADDRESS(11+(MATCH(RIGHT(Table6[[#This Row],[spawner_sku]],LEN(Table6[[#This Row],[spawner_sku]])-FIND("/",Table6[[#This Row],[spawner_sku]])),Table1[Entity Prefab],0)),10,1,1,"Entities"))</f>
        <v>50</v>
      </c>
      <c r="AY122" s="74">
        <f ca="1">ROUND((Table6[[#This Row],[XP]]*Table6[[#This Row],[entity_spawned (AVG)]])*(Table6[[#This Row],[activating_chance]]/100),0)</f>
        <v>50</v>
      </c>
      <c r="AZ122" s="144" t="str">
        <f ca="1">INDIRECT(ADDRESS(11+(MATCH(RIGHT(Table6[[#This Row],[spawner_sku]],LEN(Table6[[#This Row],[spawner_sku]])-FIND("/",Table6[[#This Row],[spawner_sku]])),Table28[Entity Prefab],0)),24,1,1,"Entities"))</f>
        <v>yes</v>
      </c>
      <c r="BA122">
        <v>1</v>
      </c>
      <c r="BB122">
        <v>1</v>
      </c>
      <c r="BC122" t="b">
        <v>0</v>
      </c>
      <c r="BE122" t="s">
        <v>231</v>
      </c>
      <c r="BF122">
        <v>1</v>
      </c>
      <c r="BG122">
        <v>220</v>
      </c>
      <c r="BH122">
        <v>100</v>
      </c>
      <c r="BI122" s="74">
        <f ca="1">INDIRECT(ADDRESS(11+(MATCH(RIGHT(Table610[[#This Row],[spawner_sku]],LEN(Table610[[#This Row],[spawner_sku]])-FIND("/",Table610[[#This Row],[spawner_sku]])),Table1[Entity Prefab],0)),10,1,1,"Entities"))</f>
        <v>25</v>
      </c>
      <c r="BJ122" s="74">
        <f ca="1">ROUND((Table610[[#This Row],[XP]]*Table610[[#This Row],[entity_spawned (AVG)]])*(Table610[[#This Row],[activating_chance]]/100),0)</f>
        <v>25</v>
      </c>
      <c r="BK122" s="71" t="str">
        <f ca="1">INDIRECT(ADDRESS(11+(MATCH(RIGHT(Table610[[#This Row],[spawner_sku]],LEN(Table610[[#This Row],[spawner_sku]])-FIND("/",Table610[[#This Row],[spawner_sku]])),Table28[Entity Prefab],0)),24,1,1,"Entities"))</f>
        <v>yes</v>
      </c>
      <c r="BL122">
        <v>1</v>
      </c>
      <c r="BM122">
        <v>1</v>
      </c>
      <c r="BN122" t="b">
        <v>0</v>
      </c>
      <c r="BP122" t="s">
        <v>320</v>
      </c>
      <c r="BQ122">
        <v>1</v>
      </c>
      <c r="BR122">
        <v>250</v>
      </c>
      <c r="BS122">
        <v>100</v>
      </c>
      <c r="BT122" s="74">
        <f ca="1">INDIRECT(ADDRESS(11+(MATCH(RIGHT(Table61011[[#This Row],[spawner_sku]],LEN(Table61011[[#This Row],[spawner_sku]])-FIND("/",Table61011[[#This Row],[spawner_sku]])),Table1[Entity Prefab],0)),10,1,1,"Entities"))</f>
        <v>143</v>
      </c>
      <c r="BU122" s="74">
        <f ca="1">ROUND((Table61011[[#This Row],[XP]]*Table61011[[#This Row],[entity_spawned (AVG)]])*(Table61011[[#This Row],[activating_chance]]/100),0)</f>
        <v>143</v>
      </c>
      <c r="BV122" s="71" t="str">
        <f ca="1">INDIRECT(ADDRESS(11+(MATCH(RIGHT(Table61011[[#This Row],[spawner_sku]],LEN(Table61011[[#This Row],[spawner_sku]])-FIND("/",Table61011[[#This Row],[spawner_sku]])),Table28[Entity Prefab],0)),24,1,1,"Entities"))</f>
        <v>yes</v>
      </c>
      <c r="BW122" s="71">
        <v>1</v>
      </c>
      <c r="BX122" s="71">
        <v>1</v>
      </c>
      <c r="BY122" s="71" t="b">
        <v>0</v>
      </c>
      <c r="BZ122" s="71"/>
      <c r="CA122" s="147" t="s">
        <v>8142</v>
      </c>
      <c r="CB122">
        <v>1</v>
      </c>
      <c r="CC122">
        <v>200</v>
      </c>
      <c r="CD122">
        <v>80</v>
      </c>
      <c r="CE122" s="74">
        <f ca="1">INDIRECT(ADDRESS(11+(MATCH(RIGHT(Table35[[#This Row],[spawner_sku]],LEN(Table35[[#This Row],[spawner_sku]])-FIND("/",Table35[[#This Row],[spawner_sku]])),Table1[Entity Prefab],0)),10,1,1,"Entities"))</f>
        <v>75</v>
      </c>
      <c r="CF122" s="74">
        <f ca="1">ROUND((Table35[[#This Row],[XP]]*Table35[[#This Row],[entity_spawned (AVG)]])*(Table35[[#This Row],[activating_chance]]/100),0)</f>
        <v>60</v>
      </c>
      <c r="CG122" s="144" t="str">
        <f ca="1">INDIRECT(ADDRESS(11+(MATCH(RIGHT(Table35[[#This Row],[spawner_sku]],LEN(Table35[[#This Row],[spawner_sku]])-FIND("/",Table35[[#This Row],[spawner_sku]])),Table28[Entity Prefab],0)),24,1,1,"Entities"))</f>
        <v>no</v>
      </c>
      <c r="CH122">
        <v>1</v>
      </c>
      <c r="CI122">
        <v>1</v>
      </c>
      <c r="CJ122" s="71" t="b">
        <v>0</v>
      </c>
      <c r="CL122" t="s">
        <v>215</v>
      </c>
      <c r="CM122">
        <v>2</v>
      </c>
      <c r="CN122">
        <v>180</v>
      </c>
      <c r="CO122">
        <v>100</v>
      </c>
      <c r="CP122" s="74">
        <f ca="1">INDIRECT(ADDRESS(11+(MATCH(RIGHT(Table11[[#This Row],[spawner_sku]],LEN(Table11[[#This Row],[spawner_sku]])-FIND("/",Table11[[#This Row],[spawner_sku]])),Table1[Entity Prefab],0)),10,1,1,"Entities"))</f>
        <v>25</v>
      </c>
      <c r="CQ122">
        <f ca="1">ROUND((Table11[[#This Row],[XP]]*Table11[[#This Row],[entity_spawned (AVG)]])*(Table11[[#This Row],[activating_chance]]/100),0)</f>
        <v>50</v>
      </c>
      <c r="CR122" s="144" t="str">
        <f ca="1">INDIRECT(ADDRESS(11+(MATCH(RIGHT(Table11[[#This Row],[spawner_sku]],LEN(Table11[[#This Row],[spawner_sku]])-FIND("/",Table11[[#This Row],[spawner_sku]])),Table28[Entity Prefab],0)),25,1,1,"Entities"))</f>
        <v>no</v>
      </c>
      <c r="CS122" s="71">
        <v>2</v>
      </c>
      <c r="CT122" s="71">
        <v>2</v>
      </c>
      <c r="CU122" s="71" t="b">
        <v>0</v>
      </c>
      <c r="CW122" t="s">
        <v>495</v>
      </c>
      <c r="CX122">
        <v>1</v>
      </c>
      <c r="CY122">
        <v>310</v>
      </c>
      <c r="CZ122">
        <v>100</v>
      </c>
      <c r="DA122" s="74">
        <f ca="1">INDIRECT(ADDRESS(11+(MATCH(RIGHT(Table12[[#This Row],[spawner_sku]],LEN(Table12[[#This Row],[spawner_sku]])-FIND("/",Table12[[#This Row],[spawner_sku]])),Table1[Entity Prefab],0)),10,1,1,"Entities"))</f>
        <v>70</v>
      </c>
      <c r="DB122" s="74">
        <f ca="1">ROUND((Table12[[#This Row],[XP]]*Table12[[#This Row],[entity_spawned (AVG)]])*(Table12[[#This Row],[activating_chance]]/100),0)</f>
        <v>70</v>
      </c>
      <c r="DC122" s="144" t="str">
        <f ca="1">INDIRECT(ADDRESS(11+(MATCH(RIGHT(Table12[[#This Row],[spawner_sku]],LEN(Table12[[#This Row],[spawner_sku]])-FIND("/",Table12[[#This Row],[spawner_sku]])),Table28[Entity Prefab],0)),25,1,1,"Entities"))</f>
        <v>yes</v>
      </c>
      <c r="DD122" s="71">
        <v>1</v>
      </c>
      <c r="DE122" s="71">
        <v>1</v>
      </c>
      <c r="DF122" s="71" t="b">
        <v>0</v>
      </c>
      <c r="DH122" t="s">
        <v>368</v>
      </c>
      <c r="DI122">
        <v>1</v>
      </c>
      <c r="DJ122">
        <v>180</v>
      </c>
      <c r="DK122">
        <v>100</v>
      </c>
      <c r="DL122" s="74">
        <f ca="1">INDIRECT(ADDRESS(11+(MATCH(RIGHT(Table13[[#This Row],[spawner_sku]],LEN(Table13[[#This Row],[spawner_sku]])-FIND("/",Table13[[#This Row],[spawner_sku]])),Table1[Entity Prefab],0)),10,1,1,"Entities"))</f>
        <v>75</v>
      </c>
      <c r="DM122" s="74">
        <f ca="1">ROUND((Table13[[#This Row],[XP]]*Table13[[#This Row],[entity_spawned (AVG)]])*(Table13[[#This Row],[activating_chance]]/100),0)</f>
        <v>75</v>
      </c>
      <c r="DN122" s="144" t="str">
        <f ca="1">INDIRECT(ADDRESS(11+(MATCH(RIGHT(Table13[[#This Row],[spawner_sku]],LEN(Table13[[#This Row],[spawner_sku]])-FIND("/",Table13[[#This Row],[spawner_sku]])),Table28[Entity Prefab],0)),25,1,1,"Entities"))</f>
        <v>yes</v>
      </c>
      <c r="DO122" s="71">
        <v>1</v>
      </c>
      <c r="DP122" s="71">
        <v>1</v>
      </c>
      <c r="DQ122" s="71" t="b">
        <v>0</v>
      </c>
      <c r="DS122" t="s">
        <v>214</v>
      </c>
      <c r="DT122">
        <v>3</v>
      </c>
      <c r="DU122">
        <v>120</v>
      </c>
      <c r="DV122">
        <v>100</v>
      </c>
      <c r="DW122" s="74">
        <f ca="1">INDIRECT(ADDRESS(11+(MATCH(RIGHT(Table14[[#This Row],[spawner_sku]],LEN(Table14[[#This Row],[spawner_sku]])-FIND("/",Table14[[#This Row],[spawner_sku]])),Table1[Entity Prefab],0)),10,1,1,"Entities"))</f>
        <v>25</v>
      </c>
      <c r="DX122" s="74">
        <f ca="1">ROUND((Table14[[#This Row],[XP]]*Table14[[#This Row],[entity_spawned (AVG)]])*(Table14[[#This Row],[activating_chance]]/100),0)</f>
        <v>75</v>
      </c>
      <c r="DY122" s="144" t="str">
        <f ca="1">INDIRECT(ADDRESS(11+(MATCH(RIGHT(Table14[[#This Row],[spawner_sku]],LEN(Table14[[#This Row],[spawner_sku]])-FIND("/",Table14[[#This Row],[spawner_sku]])),Table28[Entity Prefab],0)),25,1,1,"Entities"))</f>
        <v>no</v>
      </c>
      <c r="DZ122" s="71">
        <v>2</v>
      </c>
      <c r="EA122" s="71">
        <v>4</v>
      </c>
      <c r="EB122" s="71" t="b">
        <v>0</v>
      </c>
      <c r="EC122" s="71"/>
      <c r="ED122" s="147" t="s">
        <v>3818</v>
      </c>
      <c r="EE122" s="71">
        <v>1</v>
      </c>
      <c r="EF122" s="71">
        <v>240</v>
      </c>
      <c r="EG122" s="71">
        <v>50</v>
      </c>
      <c r="EH122" s="71">
        <f ca="1">INDIRECT(ADDRESS(11+(MATCH(RIGHT(Table36[[#This Row],[spawner_sku]],LEN(Table36[[#This Row],[spawner_sku]])-FIND("/",Table36[[#This Row],[spawner_sku]])),Table1[Entity Prefab],0)),10,1,1,"Entities"))</f>
        <v>10</v>
      </c>
      <c r="EI122" s="71">
        <f ca="1">ROUND((Table36[[#This Row],[XP]]*Table36[[#This Row],[entity_spawned (AVG)]])*(Table36[[#This Row],[activating_chance]]/100),0)</f>
        <v>5</v>
      </c>
      <c r="EJ122" s="71" t="str">
        <f ca="1">INDIRECT(ADDRESS(11+(MATCH(RIGHT(Table36[[#This Row],[spawner_sku]],LEN(Table36[[#This Row],[spawner_sku]])-FIND("/",Table36[[#This Row],[spawner_sku]])),Table28[Entity Prefab],0)),25,1,1,"Entities"))</f>
        <v>no</v>
      </c>
      <c r="EK122" s="71">
        <v>1</v>
      </c>
      <c r="EL122" s="71">
        <v>1</v>
      </c>
      <c r="EM122" s="71" t="b">
        <v>0</v>
      </c>
      <c r="EO122" t="s">
        <v>219</v>
      </c>
      <c r="EP122">
        <v>2</v>
      </c>
      <c r="EQ122">
        <v>250</v>
      </c>
      <c r="ER122">
        <v>100</v>
      </c>
      <c r="ES122" s="74">
        <f ca="1">INDIRECT(ADDRESS(11+(MATCH(RIGHT(Table18[[#This Row],[spawner_sku]],LEN(Table18[[#This Row],[spawner_sku]])-FIND("/",Table18[[#This Row],[spawner_sku]])),Table1[Entity Prefab],0)),10,1,1,"Entities"))</f>
        <v>143</v>
      </c>
      <c r="ET122" s="74">
        <f ca="1">ROUND((Table18[[#This Row],[XP]]*Table18[[#This Row],[entity_spawned (AVG)]])*(Table18[[#This Row],[activating_chance]]/100),0)</f>
        <v>286</v>
      </c>
      <c r="EU122" s="74" t="str">
        <f ca="1">INDIRECT(ADDRESS(11+(MATCH(RIGHT(Table18[[#This Row],[spawner_sku]],LEN(Table18[[#This Row],[spawner_sku]])-FIND("/",Table18[[#This Row],[spawner_sku]])),Table28[Entity Prefab],0)),26,1,1,"Entities"))</f>
        <v>yes</v>
      </c>
      <c r="EV122">
        <v>1</v>
      </c>
      <c r="EW122">
        <v>3</v>
      </c>
      <c r="EX122" t="b">
        <v>0</v>
      </c>
      <c r="EZ122" t="s">
        <v>383</v>
      </c>
      <c r="FA122">
        <v>1</v>
      </c>
      <c r="FB122">
        <v>340</v>
      </c>
      <c r="FC122">
        <v>100</v>
      </c>
      <c r="FD122" s="74">
        <f ca="1">INDIRECT(ADDRESS(11+(MATCH(RIGHT(Table1820[[#This Row],[spawner_sku]],LEN(Table1820[[#This Row],[spawner_sku]])-FIND("/",Table1820[[#This Row],[spawner_sku]])),Table1[Entity Prefab],0)),10,1,1,"Entities"))</f>
        <v>263</v>
      </c>
      <c r="FE122" s="74">
        <f ca="1">ROUND((Table1820[[#This Row],[XP]]*Table1820[[#This Row],[entity_spawned (AVG)]])*(Table1820[[#This Row],[activating_chance]]/100),0)</f>
        <v>263</v>
      </c>
      <c r="FF122" s="74" t="str">
        <f ca="1">INDIRECT(ADDRESS(11+(MATCH(RIGHT(Table1820[[#This Row],[spawner_sku]],LEN(Table1820[[#This Row],[spawner_sku]])-FIND("/",Table1820[[#This Row],[spawner_sku]])),Table28[Entity Prefab],0)),26,1,1,"Entities"))</f>
        <v>yes</v>
      </c>
      <c r="FG122">
        <v>1</v>
      </c>
      <c r="FH122">
        <v>1</v>
      </c>
      <c r="FI122" t="b">
        <v>0</v>
      </c>
      <c r="FK122" t="s">
        <v>2693</v>
      </c>
      <c r="FL122">
        <v>1.5</v>
      </c>
      <c r="FM122">
        <v>100</v>
      </c>
      <c r="FN122">
        <v>100</v>
      </c>
      <c r="FO122">
        <f ca="1">INDIRECT(ADDRESS(11+(MATCH(RIGHT(Table182023[[#This Row],[spawner_sku]],LEN(Table182023[[#This Row],[spawner_sku]])-FIND("/",Table182023[[#This Row],[spawner_sku]])),Table1[Entity Prefab],0)),10,1,1,"Entities"))</f>
        <v>130</v>
      </c>
      <c r="FP122">
        <f ca="1">ROUND((Table182023[[#This Row],[XP]]*Table182023[[#This Row],[entity_spawned (AVG)]])*(Table182023[[#This Row],[activating_chance]]/100),0)</f>
        <v>195</v>
      </c>
      <c r="FQ122" t="str">
        <f ca="1">INDIRECT(ADDRESS(11+(MATCH(RIGHT(Table182023[[#This Row],[spawner_sku]],LEN(Table182023[[#This Row],[spawner_sku]])-FIND("/",Table182023[[#This Row],[spawner_sku]])),Table28[Entity Prefab],0)),26,1,1,"Entities"))</f>
        <v>yes</v>
      </c>
      <c r="FR122">
        <v>1</v>
      </c>
      <c r="FS122">
        <v>2</v>
      </c>
      <c r="FT122" t="b">
        <v>0</v>
      </c>
      <c r="FV122" t="s">
        <v>2691</v>
      </c>
      <c r="FW122">
        <v>1</v>
      </c>
      <c r="FX122">
        <v>85</v>
      </c>
      <c r="FY122">
        <v>30</v>
      </c>
      <c r="FZ122" s="74">
        <f ca="1">INDIRECT(ADDRESS(11+(MATCH(RIGHT(Table18202324[[#This Row],[spawner_sku]],LEN(Table18202324[[#This Row],[spawner_sku]])-FIND("/",Table18202324[[#This Row],[spawner_sku]])),Table1[Entity Prefab],0)),10,1,1,"Entities"))</f>
        <v>105</v>
      </c>
      <c r="GA122" s="74">
        <f ca="1">ROUND((Table18202324[[#This Row],[XP]]*Table18202324[[#This Row],[entity_spawned (AVG)]])*(Table18202324[[#This Row],[activating_chance]]/100),0)</f>
        <v>32</v>
      </c>
      <c r="GB122" s="74" t="str">
        <f ca="1">INDIRECT(ADDRESS(11+(MATCH(RIGHT(Table18202324[[#This Row],[spawner_sku]],LEN(Table18202324[[#This Row],[spawner_sku]])-FIND("/",Table18202324[[#This Row],[spawner_sku]])),Table28[Entity Prefab],0)),26,1,1,"Entities"))</f>
        <v>no</v>
      </c>
      <c r="GC122">
        <v>1</v>
      </c>
      <c r="GD122">
        <v>1</v>
      </c>
      <c r="GE122" t="b">
        <v>0</v>
      </c>
      <c r="GG122" t="s">
        <v>3816</v>
      </c>
      <c r="GH122">
        <v>1</v>
      </c>
      <c r="GI122">
        <v>240</v>
      </c>
      <c r="GJ122">
        <v>100</v>
      </c>
      <c r="GK122">
        <f ca="1">INDIRECT(ADDRESS(11+(MATCH(RIGHT(Table37[[#This Row],[spawner_sku]],LEN(Table37[[#This Row],[spawner_sku]])-FIND("/",Table37[[#This Row],[spawner_sku]])),Table1[Entity Prefab],0)),10,1,1,"Entities"))</f>
        <v>50</v>
      </c>
      <c r="GL122">
        <f ca="1">ROUND((Table37[[#This Row],[XP]]*Table37[[#This Row],[entity_spawned (AVG)]])*(Table37[[#This Row],[activating_chance]]/100),0)</f>
        <v>50</v>
      </c>
      <c r="GM122" t="str">
        <f ca="1">INDIRECT(ADDRESS(11+(MATCH(RIGHT(Table37[[#This Row],[spawner_sku]],LEN(Table37[[#This Row],[spawner_sku]])-FIND("/",Table37[[#This Row],[spawner_sku]])),Table28[Entity Prefab],0)),26,1,1,"Entities"))</f>
        <v>no</v>
      </c>
      <c r="GN122">
        <v>1</v>
      </c>
      <c r="GO122">
        <v>1</v>
      </c>
      <c r="GP122" t="b">
        <v>0</v>
      </c>
    </row>
    <row r="123" spans="2:198" x14ac:dyDescent="0.25">
      <c r="B123" s="72" t="s">
        <v>215</v>
      </c>
      <c r="C123">
        <v>2</v>
      </c>
      <c r="D123">
        <v>160</v>
      </c>
      <c r="E123">
        <v>100</v>
      </c>
      <c r="F123" s="74">
        <f ca="1">INDIRECT(ADDRESS(11+(MATCH(RIGHT(Table245[[#This Row],[spawner_sku]],LEN(Table245[[#This Row],[spawner_sku]])-FIND("/",Table245[[#This Row],[spawner_sku]])),Table1[Entity Prefab],0)),10,1,1,"Entities"))</f>
        <v>25</v>
      </c>
      <c r="G123" s="74">
        <f ca="1">ROUND((Table245[[#This Row],[XP]]*Table245[[#This Row],[entity_spawned (AVG)]])*(Table245[[#This Row],[activating_chance]]/100),0)</f>
        <v>50</v>
      </c>
      <c r="H123" s="71" t="str">
        <f ca="1">INDIRECT(ADDRESS(11+(MATCH(RIGHT(Table245[[#This Row],[spawner_sku]],LEN(Table245[[#This Row],[spawner_sku]])-FIND("/",Table245[[#This Row],[spawner_sku]])),Table28[Entity Prefab],0)),24,1,1,"Entities"))</f>
        <v>no</v>
      </c>
      <c r="I123" s="71">
        <v>2</v>
      </c>
      <c r="J123" s="71">
        <v>2</v>
      </c>
      <c r="K123" s="71" t="b">
        <v>0</v>
      </c>
      <c r="M123" t="s">
        <v>243</v>
      </c>
      <c r="N123">
        <v>1</v>
      </c>
      <c r="O123">
        <v>140</v>
      </c>
      <c r="P123">
        <v>100</v>
      </c>
      <c r="Q123" s="74">
        <f ca="1">INDIRECT(ADDRESS(11+(MATCH(RIGHT(Table3[[#This Row],[spawner_sku]],LEN(Table3[[#This Row],[spawner_sku]])-FIND("/",Table3[[#This Row],[spawner_sku]])),Table1[Entity Prefab],0)),10,1,1,"Entities"))</f>
        <v>25</v>
      </c>
      <c r="R123" s="74">
        <f ca="1">ROUND((Table3[[#This Row],[XP]]*Table3[[#This Row],[entity_spawned (AVG)]])*(Table3[[#This Row],[activating_chance]]/100),0)</f>
        <v>25</v>
      </c>
      <c r="S123" t="str">
        <f ca="1">INDIRECT(ADDRESS(11+(MATCH(RIGHT(Table3[[#This Row],[spawner_sku]],LEN(Table3[[#This Row],[spawner_sku]])-FIND("/",Table3[[#This Row],[spawner_sku]])),Table28[Entity Prefab],0)),24,1,1,"Entities"))</f>
        <v>no</v>
      </c>
      <c r="T123">
        <v>1</v>
      </c>
      <c r="U123">
        <v>1</v>
      </c>
      <c r="V123" t="b">
        <v>0</v>
      </c>
      <c r="W123" s="71"/>
      <c r="AI123" t="s">
        <v>216</v>
      </c>
      <c r="AJ123">
        <v>3</v>
      </c>
      <c r="AK123">
        <v>110</v>
      </c>
      <c r="AL123">
        <v>100</v>
      </c>
      <c r="AM123" s="74">
        <f ca="1">INDIRECT(ADDRESS(11+(MATCH(RIGHT(Table2[[#This Row],[spawner_sku]],LEN(Table2[[#This Row],[spawner_sku]])-FIND("/",Table2[[#This Row],[spawner_sku]])),Table1[Entity Prefab],0)),10,1,1,"Entities"))</f>
        <v>25</v>
      </c>
      <c r="AN123" s="74">
        <f ca="1">ROUND((Table2[[#This Row],[XP]]*Table2[[#This Row],[entity_spawned (AVG)]])*(Table2[[#This Row],[activating_chance]]/100),0)</f>
        <v>75</v>
      </c>
      <c r="AO123" s="71" t="str">
        <f ca="1">INDIRECT(ADDRESS(11+(MATCH(RIGHT(Table2[[#This Row],[spawner_sku]],LEN(Table2[[#This Row],[spawner_sku]])-FIND("/",Table2[[#This Row],[spawner_sku]])),Table28[Entity Prefab],0)),24,1,1,"Entities"))</f>
        <v>no</v>
      </c>
      <c r="AP123" s="71">
        <v>2</v>
      </c>
      <c r="AQ123" s="71">
        <v>4</v>
      </c>
      <c r="AR123" s="71" t="b">
        <v>0</v>
      </c>
      <c r="AT123" t="s">
        <v>554</v>
      </c>
      <c r="AU123">
        <v>1</v>
      </c>
      <c r="AV123">
        <v>300</v>
      </c>
      <c r="AW123">
        <v>100</v>
      </c>
      <c r="AX123" s="74">
        <f ca="1">INDIRECT(ADDRESS(11+(MATCH(RIGHT(Table6[[#This Row],[spawner_sku]],LEN(Table6[[#This Row],[spawner_sku]])-FIND("/",Table6[[#This Row],[spawner_sku]])),Table1[Entity Prefab],0)),10,1,1,"Entities"))</f>
        <v>50</v>
      </c>
      <c r="AY123" s="74">
        <f ca="1">ROUND((Table6[[#This Row],[XP]]*Table6[[#This Row],[entity_spawned (AVG)]])*(Table6[[#This Row],[activating_chance]]/100),0)</f>
        <v>50</v>
      </c>
      <c r="AZ123" s="144" t="str">
        <f ca="1">INDIRECT(ADDRESS(11+(MATCH(RIGHT(Table6[[#This Row],[spawner_sku]],LEN(Table6[[#This Row],[spawner_sku]])-FIND("/",Table6[[#This Row],[spawner_sku]])),Table28[Entity Prefab],0)),24,1,1,"Entities"))</f>
        <v>yes</v>
      </c>
      <c r="BA123">
        <v>1</v>
      </c>
      <c r="BB123">
        <v>1</v>
      </c>
      <c r="BC123" t="b">
        <v>0</v>
      </c>
      <c r="BE123" t="s">
        <v>231</v>
      </c>
      <c r="BF123">
        <v>1</v>
      </c>
      <c r="BG123">
        <v>220</v>
      </c>
      <c r="BH123">
        <v>100</v>
      </c>
      <c r="BI123" s="74">
        <f ca="1">INDIRECT(ADDRESS(11+(MATCH(RIGHT(Table610[[#This Row],[spawner_sku]],LEN(Table610[[#This Row],[spawner_sku]])-FIND("/",Table610[[#This Row],[spawner_sku]])),Table1[Entity Prefab],0)),10,1,1,"Entities"))</f>
        <v>25</v>
      </c>
      <c r="BJ123" s="74">
        <f ca="1">ROUND((Table610[[#This Row],[XP]]*Table610[[#This Row],[entity_spawned (AVG)]])*(Table610[[#This Row],[activating_chance]]/100),0)</f>
        <v>25</v>
      </c>
      <c r="BK123" s="71" t="str">
        <f ca="1">INDIRECT(ADDRESS(11+(MATCH(RIGHT(Table610[[#This Row],[spawner_sku]],LEN(Table610[[#This Row],[spawner_sku]])-FIND("/",Table610[[#This Row],[spawner_sku]])),Table28[Entity Prefab],0)),24,1,1,"Entities"))</f>
        <v>yes</v>
      </c>
      <c r="BL123">
        <v>1</v>
      </c>
      <c r="BM123">
        <v>1</v>
      </c>
      <c r="BN123" t="b">
        <v>0</v>
      </c>
      <c r="BP123" t="s">
        <v>320</v>
      </c>
      <c r="BQ123">
        <v>1</v>
      </c>
      <c r="BR123">
        <v>250</v>
      </c>
      <c r="BS123">
        <v>100</v>
      </c>
      <c r="BT123" s="74">
        <f ca="1">INDIRECT(ADDRESS(11+(MATCH(RIGHT(Table61011[[#This Row],[spawner_sku]],LEN(Table61011[[#This Row],[spawner_sku]])-FIND("/",Table61011[[#This Row],[spawner_sku]])),Table1[Entity Prefab],0)),10,1,1,"Entities"))</f>
        <v>143</v>
      </c>
      <c r="BU123" s="74">
        <f ca="1">ROUND((Table61011[[#This Row],[XP]]*Table61011[[#This Row],[entity_spawned (AVG)]])*(Table61011[[#This Row],[activating_chance]]/100),0)</f>
        <v>143</v>
      </c>
      <c r="BV123" s="71" t="str">
        <f ca="1">INDIRECT(ADDRESS(11+(MATCH(RIGHT(Table61011[[#This Row],[spawner_sku]],LEN(Table61011[[#This Row],[spawner_sku]])-FIND("/",Table61011[[#This Row],[spawner_sku]])),Table28[Entity Prefab],0)),24,1,1,"Entities"))</f>
        <v>yes</v>
      </c>
      <c r="BW123" s="71">
        <v>1</v>
      </c>
      <c r="BX123" s="71">
        <v>1</v>
      </c>
      <c r="BY123" s="71" t="b">
        <v>0</v>
      </c>
      <c r="BZ123" s="71"/>
      <c r="CA123" s="147" t="s">
        <v>8142</v>
      </c>
      <c r="CB123">
        <v>1</v>
      </c>
      <c r="CC123">
        <v>200</v>
      </c>
      <c r="CD123">
        <v>100</v>
      </c>
      <c r="CE123" s="74">
        <f ca="1">INDIRECT(ADDRESS(11+(MATCH(RIGHT(Table35[[#This Row],[spawner_sku]],LEN(Table35[[#This Row],[spawner_sku]])-FIND("/",Table35[[#This Row],[spawner_sku]])),Table1[Entity Prefab],0)),10,1,1,"Entities"))</f>
        <v>75</v>
      </c>
      <c r="CF123" s="74">
        <f ca="1">ROUND((Table35[[#This Row],[XP]]*Table35[[#This Row],[entity_spawned (AVG)]])*(Table35[[#This Row],[activating_chance]]/100),0)</f>
        <v>75</v>
      </c>
      <c r="CG123" s="144" t="str">
        <f ca="1">INDIRECT(ADDRESS(11+(MATCH(RIGHT(Table35[[#This Row],[spawner_sku]],LEN(Table35[[#This Row],[spawner_sku]])-FIND("/",Table35[[#This Row],[spawner_sku]])),Table28[Entity Prefab],0)),24,1,1,"Entities"))</f>
        <v>no</v>
      </c>
      <c r="CH123">
        <v>1</v>
      </c>
      <c r="CI123">
        <v>1</v>
      </c>
      <c r="CJ123" s="71" t="b">
        <v>0</v>
      </c>
      <c r="CL123" t="s">
        <v>215</v>
      </c>
      <c r="CM123">
        <v>7</v>
      </c>
      <c r="CN123">
        <v>180</v>
      </c>
      <c r="CO123">
        <v>100</v>
      </c>
      <c r="CP123" s="74">
        <f ca="1">INDIRECT(ADDRESS(11+(MATCH(RIGHT(Table11[[#This Row],[spawner_sku]],LEN(Table11[[#This Row],[spawner_sku]])-FIND("/",Table11[[#This Row],[spawner_sku]])),Table1[Entity Prefab],0)),10,1,1,"Entities"))</f>
        <v>25</v>
      </c>
      <c r="CQ123">
        <f ca="1">ROUND((Table11[[#This Row],[XP]]*Table11[[#This Row],[entity_spawned (AVG)]])*(Table11[[#This Row],[activating_chance]]/100),0)</f>
        <v>175</v>
      </c>
      <c r="CR123" s="144" t="str">
        <f ca="1">INDIRECT(ADDRESS(11+(MATCH(RIGHT(Table11[[#This Row],[spawner_sku]],LEN(Table11[[#This Row],[spawner_sku]])-FIND("/",Table11[[#This Row],[spawner_sku]])),Table28[Entity Prefab],0)),25,1,1,"Entities"))</f>
        <v>no</v>
      </c>
      <c r="CS123" s="71">
        <v>7</v>
      </c>
      <c r="CT123" s="71">
        <v>7</v>
      </c>
      <c r="CU123" s="71" t="b">
        <v>1</v>
      </c>
      <c r="CW123" t="s">
        <v>495</v>
      </c>
      <c r="CX123">
        <v>1</v>
      </c>
      <c r="CY123">
        <v>310</v>
      </c>
      <c r="CZ123">
        <v>100</v>
      </c>
      <c r="DA123" s="74">
        <f ca="1">INDIRECT(ADDRESS(11+(MATCH(RIGHT(Table12[[#This Row],[spawner_sku]],LEN(Table12[[#This Row],[spawner_sku]])-FIND("/",Table12[[#This Row],[spawner_sku]])),Table1[Entity Prefab],0)),10,1,1,"Entities"))</f>
        <v>70</v>
      </c>
      <c r="DB123" s="74">
        <f ca="1">ROUND((Table12[[#This Row],[XP]]*Table12[[#This Row],[entity_spawned (AVG)]])*(Table12[[#This Row],[activating_chance]]/100),0)</f>
        <v>70</v>
      </c>
      <c r="DC123" s="144" t="str">
        <f ca="1">INDIRECT(ADDRESS(11+(MATCH(RIGHT(Table12[[#This Row],[spawner_sku]],LEN(Table12[[#This Row],[spawner_sku]])-FIND("/",Table12[[#This Row],[spawner_sku]])),Table28[Entity Prefab],0)),25,1,1,"Entities"))</f>
        <v>yes</v>
      </c>
      <c r="DD123" s="71">
        <v>1</v>
      </c>
      <c r="DE123" s="71">
        <v>1</v>
      </c>
      <c r="DF123" s="71" t="b">
        <v>0</v>
      </c>
      <c r="DH123" t="s">
        <v>368</v>
      </c>
      <c r="DI123">
        <v>1</v>
      </c>
      <c r="DJ123">
        <v>180</v>
      </c>
      <c r="DK123">
        <v>100</v>
      </c>
      <c r="DL123" s="74">
        <f ca="1">INDIRECT(ADDRESS(11+(MATCH(RIGHT(Table13[[#This Row],[spawner_sku]],LEN(Table13[[#This Row],[spawner_sku]])-FIND("/",Table13[[#This Row],[spawner_sku]])),Table1[Entity Prefab],0)),10,1,1,"Entities"))</f>
        <v>75</v>
      </c>
      <c r="DM123" s="74">
        <f ca="1">ROUND((Table13[[#This Row],[XP]]*Table13[[#This Row],[entity_spawned (AVG)]])*(Table13[[#This Row],[activating_chance]]/100),0)</f>
        <v>75</v>
      </c>
      <c r="DN123" s="144" t="str">
        <f ca="1">INDIRECT(ADDRESS(11+(MATCH(RIGHT(Table13[[#This Row],[spawner_sku]],LEN(Table13[[#This Row],[spawner_sku]])-FIND("/",Table13[[#This Row],[spawner_sku]])),Table28[Entity Prefab],0)),25,1,1,"Entities"))</f>
        <v>yes</v>
      </c>
      <c r="DO123" s="71">
        <v>1</v>
      </c>
      <c r="DP123" s="71">
        <v>1</v>
      </c>
      <c r="DQ123" s="71" t="b">
        <v>0</v>
      </c>
      <c r="DS123" t="s">
        <v>214</v>
      </c>
      <c r="DT123">
        <v>7</v>
      </c>
      <c r="DU123">
        <v>180</v>
      </c>
      <c r="DV123">
        <v>100</v>
      </c>
      <c r="DW123" s="74">
        <f ca="1">INDIRECT(ADDRESS(11+(MATCH(RIGHT(Table14[[#This Row],[spawner_sku]],LEN(Table14[[#This Row],[spawner_sku]])-FIND("/",Table14[[#This Row],[spawner_sku]])),Table1[Entity Prefab],0)),10,1,1,"Entities"))</f>
        <v>25</v>
      </c>
      <c r="DX123" s="74">
        <f ca="1">ROUND((Table14[[#This Row],[XP]]*Table14[[#This Row],[entity_spawned (AVG)]])*(Table14[[#This Row],[activating_chance]]/100),0)</f>
        <v>175</v>
      </c>
      <c r="DY123" s="144" t="str">
        <f ca="1">INDIRECT(ADDRESS(11+(MATCH(RIGHT(Table14[[#This Row],[spawner_sku]],LEN(Table14[[#This Row],[spawner_sku]])-FIND("/",Table14[[#This Row],[spawner_sku]])),Table28[Entity Prefab],0)),25,1,1,"Entities"))</f>
        <v>no</v>
      </c>
      <c r="DZ123" s="71">
        <v>6</v>
      </c>
      <c r="EA123" s="71">
        <v>8</v>
      </c>
      <c r="EB123" s="71" t="b">
        <v>1</v>
      </c>
      <c r="EC123" s="71"/>
      <c r="ED123" s="147" t="s">
        <v>3818</v>
      </c>
      <c r="EE123" s="71">
        <v>1</v>
      </c>
      <c r="EF123" s="71">
        <v>240</v>
      </c>
      <c r="EG123" s="71">
        <v>100</v>
      </c>
      <c r="EH123" s="71">
        <f ca="1">INDIRECT(ADDRESS(11+(MATCH(RIGHT(Table36[[#This Row],[spawner_sku]],LEN(Table36[[#This Row],[spawner_sku]])-FIND("/",Table36[[#This Row],[spawner_sku]])),Table1[Entity Prefab],0)),10,1,1,"Entities"))</f>
        <v>10</v>
      </c>
      <c r="EI123" s="71">
        <f ca="1">ROUND((Table36[[#This Row],[XP]]*Table36[[#This Row],[entity_spawned (AVG)]])*(Table36[[#This Row],[activating_chance]]/100),0)</f>
        <v>10</v>
      </c>
      <c r="EJ123" s="71" t="str">
        <f ca="1">INDIRECT(ADDRESS(11+(MATCH(RIGHT(Table36[[#This Row],[spawner_sku]],LEN(Table36[[#This Row],[spawner_sku]])-FIND("/",Table36[[#This Row],[spawner_sku]])),Table28[Entity Prefab],0)),25,1,1,"Entities"))</f>
        <v>no</v>
      </c>
      <c r="EK123" s="71">
        <v>1</v>
      </c>
      <c r="EL123" s="71">
        <v>1</v>
      </c>
      <c r="EM123" s="71" t="b">
        <v>0</v>
      </c>
      <c r="EO123" t="s">
        <v>219</v>
      </c>
      <c r="EP123">
        <v>1.5</v>
      </c>
      <c r="EQ123">
        <v>250</v>
      </c>
      <c r="ER123">
        <v>100</v>
      </c>
      <c r="ES123" s="74">
        <f ca="1">INDIRECT(ADDRESS(11+(MATCH(RIGHT(Table18[[#This Row],[spawner_sku]],LEN(Table18[[#This Row],[spawner_sku]])-FIND("/",Table18[[#This Row],[spawner_sku]])),Table1[Entity Prefab],0)),10,1,1,"Entities"))</f>
        <v>143</v>
      </c>
      <c r="ET123" s="74">
        <f ca="1">ROUND((Table18[[#This Row],[XP]]*Table18[[#This Row],[entity_spawned (AVG)]])*(Table18[[#This Row],[activating_chance]]/100),0)</f>
        <v>215</v>
      </c>
      <c r="EU123" s="74" t="str">
        <f ca="1">INDIRECT(ADDRESS(11+(MATCH(RIGHT(Table18[[#This Row],[spawner_sku]],LEN(Table18[[#This Row],[spawner_sku]])-FIND("/",Table18[[#This Row],[spawner_sku]])),Table28[Entity Prefab],0)),26,1,1,"Entities"))</f>
        <v>yes</v>
      </c>
      <c r="EV123">
        <v>1</v>
      </c>
      <c r="EW123">
        <v>2</v>
      </c>
      <c r="EX123" t="b">
        <v>0</v>
      </c>
      <c r="EZ123" t="s">
        <v>383</v>
      </c>
      <c r="FA123">
        <v>1</v>
      </c>
      <c r="FB123">
        <v>340</v>
      </c>
      <c r="FC123">
        <v>100</v>
      </c>
      <c r="FD123" s="74">
        <f ca="1">INDIRECT(ADDRESS(11+(MATCH(RIGHT(Table1820[[#This Row],[spawner_sku]],LEN(Table1820[[#This Row],[spawner_sku]])-FIND("/",Table1820[[#This Row],[spawner_sku]])),Table1[Entity Prefab],0)),10,1,1,"Entities"))</f>
        <v>263</v>
      </c>
      <c r="FE123" s="74">
        <f ca="1">ROUND((Table1820[[#This Row],[XP]]*Table1820[[#This Row],[entity_spawned (AVG)]])*(Table1820[[#This Row],[activating_chance]]/100),0)</f>
        <v>263</v>
      </c>
      <c r="FF123" s="74" t="str">
        <f ca="1">INDIRECT(ADDRESS(11+(MATCH(RIGHT(Table1820[[#This Row],[spawner_sku]],LEN(Table1820[[#This Row],[spawner_sku]])-FIND("/",Table1820[[#This Row],[spawner_sku]])),Table28[Entity Prefab],0)),26,1,1,"Entities"))</f>
        <v>yes</v>
      </c>
      <c r="FG123">
        <v>1</v>
      </c>
      <c r="FH123">
        <v>1</v>
      </c>
      <c r="FI123" t="b">
        <v>0</v>
      </c>
      <c r="FK123" t="s">
        <v>2693</v>
      </c>
      <c r="FL123">
        <v>1</v>
      </c>
      <c r="FM123">
        <v>100</v>
      </c>
      <c r="FN123">
        <v>100</v>
      </c>
      <c r="FO123">
        <f ca="1">INDIRECT(ADDRESS(11+(MATCH(RIGHT(Table182023[[#This Row],[spawner_sku]],LEN(Table182023[[#This Row],[spawner_sku]])-FIND("/",Table182023[[#This Row],[spawner_sku]])),Table1[Entity Prefab],0)),10,1,1,"Entities"))</f>
        <v>130</v>
      </c>
      <c r="FP123">
        <f ca="1">ROUND((Table182023[[#This Row],[XP]]*Table182023[[#This Row],[entity_spawned (AVG)]])*(Table182023[[#This Row],[activating_chance]]/100),0)</f>
        <v>130</v>
      </c>
      <c r="FQ123" t="str">
        <f ca="1">INDIRECT(ADDRESS(11+(MATCH(RIGHT(Table182023[[#This Row],[spawner_sku]],LEN(Table182023[[#This Row],[spawner_sku]])-FIND("/",Table182023[[#This Row],[spawner_sku]])),Table28[Entity Prefab],0)),26,1,1,"Entities"))</f>
        <v>yes</v>
      </c>
      <c r="FR123">
        <v>1</v>
      </c>
      <c r="FS123">
        <v>1</v>
      </c>
      <c r="FT123" t="b">
        <v>0</v>
      </c>
      <c r="FV123" t="s">
        <v>2691</v>
      </c>
      <c r="FW123">
        <v>1</v>
      </c>
      <c r="FX123">
        <v>85</v>
      </c>
      <c r="FY123">
        <v>100</v>
      </c>
      <c r="FZ123" s="74">
        <f ca="1">INDIRECT(ADDRESS(11+(MATCH(RIGHT(Table18202324[[#This Row],[spawner_sku]],LEN(Table18202324[[#This Row],[spawner_sku]])-FIND("/",Table18202324[[#This Row],[spawner_sku]])),Table1[Entity Prefab],0)),10,1,1,"Entities"))</f>
        <v>105</v>
      </c>
      <c r="GA123" s="74">
        <f ca="1">ROUND((Table18202324[[#This Row],[XP]]*Table18202324[[#This Row],[entity_spawned (AVG)]])*(Table18202324[[#This Row],[activating_chance]]/100),0)</f>
        <v>105</v>
      </c>
      <c r="GB123" s="74" t="str">
        <f ca="1">INDIRECT(ADDRESS(11+(MATCH(RIGHT(Table18202324[[#This Row],[spawner_sku]],LEN(Table18202324[[#This Row],[spawner_sku]])-FIND("/",Table18202324[[#This Row],[spawner_sku]])),Table28[Entity Prefab],0)),26,1,1,"Entities"))</f>
        <v>no</v>
      </c>
      <c r="GC123">
        <v>1</v>
      </c>
      <c r="GD123">
        <v>1</v>
      </c>
      <c r="GE123" t="b">
        <v>0</v>
      </c>
      <c r="GG123" t="s">
        <v>3816</v>
      </c>
      <c r="GH123">
        <v>1</v>
      </c>
      <c r="GI123">
        <v>240</v>
      </c>
      <c r="GJ123">
        <v>100</v>
      </c>
      <c r="GK123">
        <f ca="1">INDIRECT(ADDRESS(11+(MATCH(RIGHT(Table37[[#This Row],[spawner_sku]],LEN(Table37[[#This Row],[spawner_sku]])-FIND("/",Table37[[#This Row],[spawner_sku]])),Table1[Entity Prefab],0)),10,1,1,"Entities"))</f>
        <v>50</v>
      </c>
      <c r="GL123">
        <f ca="1">ROUND((Table37[[#This Row],[XP]]*Table37[[#This Row],[entity_spawned (AVG)]])*(Table37[[#This Row],[activating_chance]]/100),0)</f>
        <v>50</v>
      </c>
      <c r="GM123" t="str">
        <f ca="1">INDIRECT(ADDRESS(11+(MATCH(RIGHT(Table37[[#This Row],[spawner_sku]],LEN(Table37[[#This Row],[spawner_sku]])-FIND("/",Table37[[#This Row],[spawner_sku]])),Table28[Entity Prefab],0)),26,1,1,"Entities"))</f>
        <v>no</v>
      </c>
      <c r="GN123">
        <v>1</v>
      </c>
      <c r="GO123">
        <v>1</v>
      </c>
      <c r="GP123" t="b">
        <v>0</v>
      </c>
    </row>
    <row r="124" spans="2:198" x14ac:dyDescent="0.25">
      <c r="B124" s="72" t="s">
        <v>215</v>
      </c>
      <c r="C124">
        <v>2</v>
      </c>
      <c r="D124">
        <v>160</v>
      </c>
      <c r="E124">
        <v>100</v>
      </c>
      <c r="F124" s="74">
        <f ca="1">INDIRECT(ADDRESS(11+(MATCH(RIGHT(Table245[[#This Row],[spawner_sku]],LEN(Table245[[#This Row],[spawner_sku]])-FIND("/",Table245[[#This Row],[spawner_sku]])),Table1[Entity Prefab],0)),10,1,1,"Entities"))</f>
        <v>25</v>
      </c>
      <c r="G124" s="74">
        <f ca="1">ROUND((Table245[[#This Row],[XP]]*Table245[[#This Row],[entity_spawned (AVG)]])*(Table245[[#This Row],[activating_chance]]/100),0)</f>
        <v>50</v>
      </c>
      <c r="H124" s="71" t="str">
        <f ca="1">INDIRECT(ADDRESS(11+(MATCH(RIGHT(Table245[[#This Row],[spawner_sku]],LEN(Table245[[#This Row],[spawner_sku]])-FIND("/",Table245[[#This Row],[spawner_sku]])),Table28[Entity Prefab],0)),24,1,1,"Entities"))</f>
        <v>no</v>
      </c>
      <c r="I124" s="71">
        <v>2</v>
      </c>
      <c r="J124" s="71">
        <v>2</v>
      </c>
      <c r="K124" s="71" t="b">
        <v>0</v>
      </c>
      <c r="M124" t="s">
        <v>243</v>
      </c>
      <c r="N124">
        <v>1</v>
      </c>
      <c r="O124">
        <v>140</v>
      </c>
      <c r="P124">
        <v>100</v>
      </c>
      <c r="Q124" s="74">
        <f ca="1">INDIRECT(ADDRESS(11+(MATCH(RIGHT(Table3[[#This Row],[spawner_sku]],LEN(Table3[[#This Row],[spawner_sku]])-FIND("/",Table3[[#This Row],[spawner_sku]])),Table1[Entity Prefab],0)),10,1,1,"Entities"))</f>
        <v>25</v>
      </c>
      <c r="R124" s="74">
        <f ca="1">ROUND((Table3[[#This Row],[XP]]*Table3[[#This Row],[entity_spawned (AVG)]])*(Table3[[#This Row],[activating_chance]]/100),0)</f>
        <v>25</v>
      </c>
      <c r="S124" t="str">
        <f ca="1">INDIRECT(ADDRESS(11+(MATCH(RIGHT(Table3[[#This Row],[spawner_sku]],LEN(Table3[[#This Row],[spawner_sku]])-FIND("/",Table3[[#This Row],[spawner_sku]])),Table28[Entity Prefab],0)),24,1,1,"Entities"))</f>
        <v>no</v>
      </c>
      <c r="T124">
        <v>1</v>
      </c>
      <c r="U124">
        <v>1</v>
      </c>
      <c r="V124" t="b">
        <v>0</v>
      </c>
      <c r="W124" s="71"/>
      <c r="AI124" t="s">
        <v>216</v>
      </c>
      <c r="AJ124">
        <v>2</v>
      </c>
      <c r="AK124">
        <v>100</v>
      </c>
      <c r="AL124">
        <v>100</v>
      </c>
      <c r="AM124" s="74">
        <f ca="1">INDIRECT(ADDRESS(11+(MATCH(RIGHT(Table2[[#This Row],[spawner_sku]],LEN(Table2[[#This Row],[spawner_sku]])-FIND("/",Table2[[#This Row],[spawner_sku]])),Table1[Entity Prefab],0)),10,1,1,"Entities"))</f>
        <v>25</v>
      </c>
      <c r="AN124" s="74">
        <f ca="1">ROUND((Table2[[#This Row],[XP]]*Table2[[#This Row],[entity_spawned (AVG)]])*(Table2[[#This Row],[activating_chance]]/100),0)</f>
        <v>50</v>
      </c>
      <c r="AO124" s="71" t="str">
        <f ca="1">INDIRECT(ADDRESS(11+(MATCH(RIGHT(Table2[[#This Row],[spawner_sku]],LEN(Table2[[#This Row],[spawner_sku]])-FIND("/",Table2[[#This Row],[spawner_sku]])),Table28[Entity Prefab],0)),24,1,1,"Entities"))</f>
        <v>no</v>
      </c>
      <c r="AP124" s="71">
        <v>1</v>
      </c>
      <c r="AQ124" s="71">
        <v>3</v>
      </c>
      <c r="AR124" s="71" t="b">
        <v>0</v>
      </c>
      <c r="AT124" t="s">
        <v>555</v>
      </c>
      <c r="AU124">
        <v>1</v>
      </c>
      <c r="AV124">
        <v>280</v>
      </c>
      <c r="AW124">
        <v>100</v>
      </c>
      <c r="AX124" s="74">
        <f ca="1">INDIRECT(ADDRESS(11+(MATCH(RIGHT(Table6[[#This Row],[spawner_sku]],LEN(Table6[[#This Row],[spawner_sku]])-FIND("/",Table6[[#This Row],[spawner_sku]])),Table1[Entity Prefab],0)),10,1,1,"Entities"))</f>
        <v>50</v>
      </c>
      <c r="AY124" s="74">
        <f ca="1">ROUND((Table6[[#This Row],[XP]]*Table6[[#This Row],[entity_spawned (AVG)]])*(Table6[[#This Row],[activating_chance]]/100),0)</f>
        <v>50</v>
      </c>
      <c r="AZ124" s="144" t="str">
        <f ca="1">INDIRECT(ADDRESS(11+(MATCH(RIGHT(Table6[[#This Row],[spawner_sku]],LEN(Table6[[#This Row],[spawner_sku]])-FIND("/",Table6[[#This Row],[spawner_sku]])),Table28[Entity Prefab],0)),24,1,1,"Entities"))</f>
        <v>yes</v>
      </c>
      <c r="BA124">
        <v>1</v>
      </c>
      <c r="BB124">
        <v>1</v>
      </c>
      <c r="BC124" t="b">
        <v>0</v>
      </c>
      <c r="BE124" t="s">
        <v>231</v>
      </c>
      <c r="BF124">
        <v>1</v>
      </c>
      <c r="BG124">
        <v>220</v>
      </c>
      <c r="BH124">
        <v>100</v>
      </c>
      <c r="BI124" s="74">
        <f ca="1">INDIRECT(ADDRESS(11+(MATCH(RIGHT(Table610[[#This Row],[spawner_sku]],LEN(Table610[[#This Row],[spawner_sku]])-FIND("/",Table610[[#This Row],[spawner_sku]])),Table1[Entity Prefab],0)),10,1,1,"Entities"))</f>
        <v>25</v>
      </c>
      <c r="BJ124" s="74">
        <f ca="1">ROUND((Table610[[#This Row],[XP]]*Table610[[#This Row],[entity_spawned (AVG)]])*(Table610[[#This Row],[activating_chance]]/100),0)</f>
        <v>25</v>
      </c>
      <c r="BK124" s="71" t="str">
        <f ca="1">INDIRECT(ADDRESS(11+(MATCH(RIGHT(Table610[[#This Row],[spawner_sku]],LEN(Table610[[#This Row],[spawner_sku]])-FIND("/",Table610[[#This Row],[spawner_sku]])),Table28[Entity Prefab],0)),24,1,1,"Entities"))</f>
        <v>yes</v>
      </c>
      <c r="BL124">
        <v>1</v>
      </c>
      <c r="BM124">
        <v>1</v>
      </c>
      <c r="BN124" t="b">
        <v>0</v>
      </c>
      <c r="BP124" t="s">
        <v>320</v>
      </c>
      <c r="BQ124">
        <v>1.5</v>
      </c>
      <c r="BR124">
        <v>250</v>
      </c>
      <c r="BS124">
        <v>100</v>
      </c>
      <c r="BT124" s="74">
        <f ca="1">INDIRECT(ADDRESS(11+(MATCH(RIGHT(Table61011[[#This Row],[spawner_sku]],LEN(Table61011[[#This Row],[spawner_sku]])-FIND("/",Table61011[[#This Row],[spawner_sku]])),Table1[Entity Prefab],0)),10,1,1,"Entities"))</f>
        <v>143</v>
      </c>
      <c r="BU124" s="74">
        <f ca="1">ROUND((Table61011[[#This Row],[XP]]*Table61011[[#This Row],[entity_spawned (AVG)]])*(Table61011[[#This Row],[activating_chance]]/100),0)</f>
        <v>215</v>
      </c>
      <c r="BV124" s="71" t="str">
        <f ca="1">INDIRECT(ADDRESS(11+(MATCH(RIGHT(Table61011[[#This Row],[spawner_sku]],LEN(Table61011[[#This Row],[spawner_sku]])-FIND("/",Table61011[[#This Row],[spawner_sku]])),Table28[Entity Prefab],0)),24,1,1,"Entities"))</f>
        <v>yes</v>
      </c>
      <c r="BW124" s="71">
        <v>1</v>
      </c>
      <c r="BX124" s="71">
        <v>2</v>
      </c>
      <c r="BY124" s="71" t="b">
        <v>0</v>
      </c>
      <c r="BZ124" s="71"/>
      <c r="CA124" s="147" t="s">
        <v>8142</v>
      </c>
      <c r="CB124">
        <v>1</v>
      </c>
      <c r="CC124">
        <v>200</v>
      </c>
      <c r="CD124">
        <v>80</v>
      </c>
      <c r="CE124" s="74">
        <f ca="1">INDIRECT(ADDRESS(11+(MATCH(RIGHT(Table35[[#This Row],[spawner_sku]],LEN(Table35[[#This Row],[spawner_sku]])-FIND("/",Table35[[#This Row],[spawner_sku]])),Table1[Entity Prefab],0)),10,1,1,"Entities"))</f>
        <v>75</v>
      </c>
      <c r="CF124" s="74">
        <f ca="1">ROUND((Table35[[#This Row],[XP]]*Table35[[#This Row],[entity_spawned (AVG)]])*(Table35[[#This Row],[activating_chance]]/100),0)</f>
        <v>60</v>
      </c>
      <c r="CG124" s="144" t="str">
        <f ca="1">INDIRECT(ADDRESS(11+(MATCH(RIGHT(Table35[[#This Row],[spawner_sku]],LEN(Table35[[#This Row],[spawner_sku]])-FIND("/",Table35[[#This Row],[spawner_sku]])),Table28[Entity Prefab],0)),24,1,1,"Entities"))</f>
        <v>no</v>
      </c>
      <c r="CH124">
        <v>1</v>
      </c>
      <c r="CI124">
        <v>1</v>
      </c>
      <c r="CJ124" s="71" t="b">
        <v>0</v>
      </c>
      <c r="CL124" t="s">
        <v>215</v>
      </c>
      <c r="CM124">
        <v>3.5</v>
      </c>
      <c r="CN124">
        <v>180</v>
      </c>
      <c r="CO124">
        <v>100</v>
      </c>
      <c r="CP124" s="74">
        <f ca="1">INDIRECT(ADDRESS(11+(MATCH(RIGHT(Table11[[#This Row],[spawner_sku]],LEN(Table11[[#This Row],[spawner_sku]])-FIND("/",Table11[[#This Row],[spawner_sku]])),Table1[Entity Prefab],0)),10,1,1,"Entities"))</f>
        <v>25</v>
      </c>
      <c r="CQ124">
        <f ca="1">ROUND((Table11[[#This Row],[XP]]*Table11[[#This Row],[entity_spawned (AVG)]])*(Table11[[#This Row],[activating_chance]]/100),0)</f>
        <v>88</v>
      </c>
      <c r="CR124" s="144" t="str">
        <f ca="1">INDIRECT(ADDRESS(11+(MATCH(RIGHT(Table11[[#This Row],[spawner_sku]],LEN(Table11[[#This Row],[spawner_sku]])-FIND("/",Table11[[#This Row],[spawner_sku]])),Table28[Entity Prefab],0)),25,1,1,"Entities"))</f>
        <v>no</v>
      </c>
      <c r="CS124" s="71">
        <v>3</v>
      </c>
      <c r="CT124" s="71">
        <v>4</v>
      </c>
      <c r="CU124" s="71" t="b">
        <v>0</v>
      </c>
      <c r="CW124" t="s">
        <v>240</v>
      </c>
      <c r="CX124">
        <v>1</v>
      </c>
      <c r="CY124">
        <v>170</v>
      </c>
      <c r="CZ124">
        <v>100</v>
      </c>
      <c r="DA124" s="74">
        <f ca="1">INDIRECT(ADDRESS(11+(MATCH(RIGHT(Table12[[#This Row],[spawner_sku]],LEN(Table12[[#This Row],[spawner_sku]])-FIND("/",Table12[[#This Row],[spawner_sku]])),Table1[Entity Prefab],0)),10,1,1,"Entities"))</f>
        <v>70</v>
      </c>
      <c r="DB124" s="74">
        <f ca="1">ROUND((Table12[[#This Row],[XP]]*Table12[[#This Row],[entity_spawned (AVG)]])*(Table12[[#This Row],[activating_chance]]/100),0)</f>
        <v>70</v>
      </c>
      <c r="DC124" s="144" t="str">
        <f ca="1">INDIRECT(ADDRESS(11+(MATCH(RIGHT(Table12[[#This Row],[spawner_sku]],LEN(Table12[[#This Row],[spawner_sku]])-FIND("/",Table12[[#This Row],[spawner_sku]])),Table28[Entity Prefab],0)),25,1,1,"Entities"))</f>
        <v>yes</v>
      </c>
      <c r="DD124" s="71">
        <v>1</v>
      </c>
      <c r="DE124" s="71">
        <v>1</v>
      </c>
      <c r="DF124" s="71" t="b">
        <v>0</v>
      </c>
      <c r="DH124" t="s">
        <v>368</v>
      </c>
      <c r="DI124">
        <v>1</v>
      </c>
      <c r="DJ124">
        <v>180</v>
      </c>
      <c r="DK124">
        <v>80</v>
      </c>
      <c r="DL124" s="74">
        <f ca="1">INDIRECT(ADDRESS(11+(MATCH(RIGHT(Table13[[#This Row],[spawner_sku]],LEN(Table13[[#This Row],[spawner_sku]])-FIND("/",Table13[[#This Row],[spawner_sku]])),Table1[Entity Prefab],0)),10,1,1,"Entities"))</f>
        <v>75</v>
      </c>
      <c r="DM124" s="74">
        <f ca="1">ROUND((Table13[[#This Row],[XP]]*Table13[[#This Row],[entity_spawned (AVG)]])*(Table13[[#This Row],[activating_chance]]/100),0)</f>
        <v>60</v>
      </c>
      <c r="DN124" s="144" t="str">
        <f ca="1">INDIRECT(ADDRESS(11+(MATCH(RIGHT(Table13[[#This Row],[spawner_sku]],LEN(Table13[[#This Row],[spawner_sku]])-FIND("/",Table13[[#This Row],[spawner_sku]])),Table28[Entity Prefab],0)),25,1,1,"Entities"))</f>
        <v>yes</v>
      </c>
      <c r="DO124" s="71">
        <v>1</v>
      </c>
      <c r="DP124" s="71">
        <v>1</v>
      </c>
      <c r="DQ124" s="71" t="b">
        <v>0</v>
      </c>
      <c r="DS124" t="s">
        <v>214</v>
      </c>
      <c r="DT124">
        <v>2.5</v>
      </c>
      <c r="DU124">
        <v>120</v>
      </c>
      <c r="DV124">
        <v>100</v>
      </c>
      <c r="DW124" s="74">
        <f ca="1">INDIRECT(ADDRESS(11+(MATCH(RIGHT(Table14[[#This Row],[spawner_sku]],LEN(Table14[[#This Row],[spawner_sku]])-FIND("/",Table14[[#This Row],[spawner_sku]])),Table1[Entity Prefab],0)),10,1,1,"Entities"))</f>
        <v>25</v>
      </c>
      <c r="DX124" s="74">
        <f ca="1">ROUND((Table14[[#This Row],[XP]]*Table14[[#This Row],[entity_spawned (AVG)]])*(Table14[[#This Row],[activating_chance]]/100),0)</f>
        <v>63</v>
      </c>
      <c r="DY124" s="144" t="str">
        <f ca="1">INDIRECT(ADDRESS(11+(MATCH(RIGHT(Table14[[#This Row],[spawner_sku]],LEN(Table14[[#This Row],[spawner_sku]])-FIND("/",Table14[[#This Row],[spawner_sku]])),Table28[Entity Prefab],0)),25,1,1,"Entities"))</f>
        <v>no</v>
      </c>
      <c r="DZ124" s="71">
        <v>2</v>
      </c>
      <c r="EA124" s="71">
        <v>3</v>
      </c>
      <c r="EB124" s="71" t="b">
        <v>0</v>
      </c>
      <c r="EC124" s="71"/>
      <c r="ED124" s="147" t="s">
        <v>3818</v>
      </c>
      <c r="EE124" s="71">
        <v>1</v>
      </c>
      <c r="EF124" s="71">
        <v>240</v>
      </c>
      <c r="EG124" s="71">
        <v>100</v>
      </c>
      <c r="EH124" s="71">
        <f ca="1">INDIRECT(ADDRESS(11+(MATCH(RIGHT(Table36[[#This Row],[spawner_sku]],LEN(Table36[[#This Row],[spawner_sku]])-FIND("/",Table36[[#This Row],[spawner_sku]])),Table1[Entity Prefab],0)),10,1,1,"Entities"))</f>
        <v>10</v>
      </c>
      <c r="EI124" s="71">
        <f ca="1">ROUND((Table36[[#This Row],[XP]]*Table36[[#This Row],[entity_spawned (AVG)]])*(Table36[[#This Row],[activating_chance]]/100),0)</f>
        <v>10</v>
      </c>
      <c r="EJ124" s="71" t="str">
        <f ca="1">INDIRECT(ADDRESS(11+(MATCH(RIGHT(Table36[[#This Row],[spawner_sku]],LEN(Table36[[#This Row],[spawner_sku]])-FIND("/",Table36[[#This Row],[spawner_sku]])),Table28[Entity Prefab],0)),25,1,1,"Entities"))</f>
        <v>no</v>
      </c>
      <c r="EK124" s="71">
        <v>1</v>
      </c>
      <c r="EL124" s="71">
        <v>1</v>
      </c>
      <c r="EM124" s="71" t="b">
        <v>0</v>
      </c>
      <c r="EO124" t="s">
        <v>219</v>
      </c>
      <c r="EP124">
        <v>2</v>
      </c>
      <c r="EQ124">
        <v>250</v>
      </c>
      <c r="ER124">
        <v>100</v>
      </c>
      <c r="ES124" s="74">
        <f ca="1">INDIRECT(ADDRESS(11+(MATCH(RIGHT(Table18[[#This Row],[spawner_sku]],LEN(Table18[[#This Row],[spawner_sku]])-FIND("/",Table18[[#This Row],[spawner_sku]])),Table1[Entity Prefab],0)),10,1,1,"Entities"))</f>
        <v>143</v>
      </c>
      <c r="ET124" s="74">
        <f ca="1">ROUND((Table18[[#This Row],[XP]]*Table18[[#This Row],[entity_spawned (AVG)]])*(Table18[[#This Row],[activating_chance]]/100),0)</f>
        <v>286</v>
      </c>
      <c r="EU124" s="74" t="str">
        <f ca="1">INDIRECT(ADDRESS(11+(MATCH(RIGHT(Table18[[#This Row],[spawner_sku]],LEN(Table18[[#This Row],[spawner_sku]])-FIND("/",Table18[[#This Row],[spawner_sku]])),Table28[Entity Prefab],0)),26,1,1,"Entities"))</f>
        <v>yes</v>
      </c>
      <c r="EV124">
        <v>1</v>
      </c>
      <c r="EW124">
        <v>3</v>
      </c>
      <c r="EX124" t="b">
        <v>0</v>
      </c>
      <c r="EZ124" t="s">
        <v>383</v>
      </c>
      <c r="FA124">
        <v>1</v>
      </c>
      <c r="FB124">
        <v>340</v>
      </c>
      <c r="FC124">
        <v>100</v>
      </c>
      <c r="FD124" s="74">
        <f ca="1">INDIRECT(ADDRESS(11+(MATCH(RIGHT(Table1820[[#This Row],[spawner_sku]],LEN(Table1820[[#This Row],[spawner_sku]])-FIND("/",Table1820[[#This Row],[spawner_sku]])),Table1[Entity Prefab],0)),10,1,1,"Entities"))</f>
        <v>263</v>
      </c>
      <c r="FE124" s="74">
        <f ca="1">ROUND((Table1820[[#This Row],[XP]]*Table1820[[#This Row],[entity_spawned (AVG)]])*(Table1820[[#This Row],[activating_chance]]/100),0)</f>
        <v>263</v>
      </c>
      <c r="FF124" s="74" t="str">
        <f ca="1">INDIRECT(ADDRESS(11+(MATCH(RIGHT(Table1820[[#This Row],[spawner_sku]],LEN(Table1820[[#This Row],[spawner_sku]])-FIND("/",Table1820[[#This Row],[spawner_sku]])),Table28[Entity Prefab],0)),26,1,1,"Entities"))</f>
        <v>yes</v>
      </c>
      <c r="FG124">
        <v>1</v>
      </c>
      <c r="FH124">
        <v>1</v>
      </c>
      <c r="FI124" t="b">
        <v>0</v>
      </c>
      <c r="FK124" t="s">
        <v>2692</v>
      </c>
      <c r="FL124">
        <v>1</v>
      </c>
      <c r="FM124">
        <v>120</v>
      </c>
      <c r="FN124">
        <v>100</v>
      </c>
      <c r="FO124">
        <f ca="1">INDIRECT(ADDRESS(11+(MATCH(RIGHT(Table182023[[#This Row],[spawner_sku]],LEN(Table182023[[#This Row],[spawner_sku]])-FIND("/",Table182023[[#This Row],[spawner_sku]])),Table1[Entity Prefab],0)),10,1,1,"Entities"))</f>
        <v>263</v>
      </c>
      <c r="FP124">
        <f ca="1">ROUND((Table182023[[#This Row],[XP]]*Table182023[[#This Row],[entity_spawned (AVG)]])*(Table182023[[#This Row],[activating_chance]]/100),0)</f>
        <v>263</v>
      </c>
      <c r="FQ124" t="str">
        <f ca="1">INDIRECT(ADDRESS(11+(MATCH(RIGHT(Table182023[[#This Row],[spawner_sku]],LEN(Table182023[[#This Row],[spawner_sku]])-FIND("/",Table182023[[#This Row],[spawner_sku]])),Table28[Entity Prefab],0)),26,1,1,"Entities"))</f>
        <v>yes</v>
      </c>
      <c r="FR124">
        <v>1</v>
      </c>
      <c r="FS124">
        <v>1</v>
      </c>
      <c r="FT124" t="b">
        <v>0</v>
      </c>
      <c r="FV124" t="s">
        <v>2691</v>
      </c>
      <c r="FW124">
        <v>1</v>
      </c>
      <c r="FX124">
        <v>90</v>
      </c>
      <c r="FY124">
        <v>100</v>
      </c>
      <c r="FZ124" s="74">
        <f ca="1">INDIRECT(ADDRESS(11+(MATCH(RIGHT(Table18202324[[#This Row],[spawner_sku]],LEN(Table18202324[[#This Row],[spawner_sku]])-FIND("/",Table18202324[[#This Row],[spawner_sku]])),Table1[Entity Prefab],0)),10,1,1,"Entities"))</f>
        <v>105</v>
      </c>
      <c r="GA124" s="74">
        <f ca="1">ROUND((Table18202324[[#This Row],[XP]]*Table18202324[[#This Row],[entity_spawned (AVG)]])*(Table18202324[[#This Row],[activating_chance]]/100),0)</f>
        <v>105</v>
      </c>
      <c r="GB124" s="74" t="str">
        <f ca="1">INDIRECT(ADDRESS(11+(MATCH(RIGHT(Table18202324[[#This Row],[spawner_sku]],LEN(Table18202324[[#This Row],[spawner_sku]])-FIND("/",Table18202324[[#This Row],[spawner_sku]])),Table28[Entity Prefab],0)),26,1,1,"Entities"))</f>
        <v>no</v>
      </c>
      <c r="GC124">
        <v>1</v>
      </c>
      <c r="GD124">
        <v>1</v>
      </c>
      <c r="GE124" t="b">
        <v>0</v>
      </c>
      <c r="GG124" t="s">
        <v>3816</v>
      </c>
      <c r="GH124">
        <v>1</v>
      </c>
      <c r="GI124">
        <v>240</v>
      </c>
      <c r="GJ124">
        <v>100</v>
      </c>
      <c r="GK124">
        <f ca="1">INDIRECT(ADDRESS(11+(MATCH(RIGHT(Table37[[#This Row],[spawner_sku]],LEN(Table37[[#This Row],[spawner_sku]])-FIND("/",Table37[[#This Row],[spawner_sku]])),Table1[Entity Prefab],0)),10,1,1,"Entities"))</f>
        <v>50</v>
      </c>
      <c r="GL124">
        <f ca="1">ROUND((Table37[[#This Row],[XP]]*Table37[[#This Row],[entity_spawned (AVG)]])*(Table37[[#This Row],[activating_chance]]/100),0)</f>
        <v>50</v>
      </c>
      <c r="GM124" t="str">
        <f ca="1">INDIRECT(ADDRESS(11+(MATCH(RIGHT(Table37[[#This Row],[spawner_sku]],LEN(Table37[[#This Row],[spawner_sku]])-FIND("/",Table37[[#This Row],[spawner_sku]])),Table28[Entity Prefab],0)),26,1,1,"Entities"))</f>
        <v>no</v>
      </c>
      <c r="GN124">
        <v>1</v>
      </c>
      <c r="GO124">
        <v>1</v>
      </c>
      <c r="GP124" t="b">
        <v>0</v>
      </c>
    </row>
    <row r="125" spans="2:198" x14ac:dyDescent="0.25">
      <c r="B125" s="72" t="s">
        <v>215</v>
      </c>
      <c r="C125">
        <v>1</v>
      </c>
      <c r="D125">
        <v>90</v>
      </c>
      <c r="E125">
        <v>100</v>
      </c>
      <c r="F125" s="74">
        <f ca="1">INDIRECT(ADDRESS(11+(MATCH(RIGHT(Table245[[#This Row],[spawner_sku]],LEN(Table245[[#This Row],[spawner_sku]])-FIND("/",Table245[[#This Row],[spawner_sku]])),Table1[Entity Prefab],0)),10,1,1,"Entities"))</f>
        <v>25</v>
      </c>
      <c r="G125" s="74">
        <f ca="1">ROUND((Table245[[#This Row],[XP]]*Table245[[#This Row],[entity_spawned (AVG)]])*(Table245[[#This Row],[activating_chance]]/100),0)</f>
        <v>25</v>
      </c>
      <c r="H125" s="71" t="str">
        <f ca="1">INDIRECT(ADDRESS(11+(MATCH(RIGHT(Table245[[#This Row],[spawner_sku]],LEN(Table245[[#This Row],[spawner_sku]])-FIND("/",Table245[[#This Row],[spawner_sku]])),Table28[Entity Prefab],0)),24,1,1,"Entities"))</f>
        <v>no</v>
      </c>
      <c r="I125" s="71">
        <v>1</v>
      </c>
      <c r="J125" s="71">
        <v>1</v>
      </c>
      <c r="K125" s="71" t="b">
        <v>0</v>
      </c>
      <c r="M125" t="s">
        <v>243</v>
      </c>
      <c r="N125">
        <v>1</v>
      </c>
      <c r="O125">
        <v>140</v>
      </c>
      <c r="P125">
        <v>100</v>
      </c>
      <c r="Q125" s="74">
        <f ca="1">INDIRECT(ADDRESS(11+(MATCH(RIGHT(Table3[[#This Row],[spawner_sku]],LEN(Table3[[#This Row],[spawner_sku]])-FIND("/",Table3[[#This Row],[spawner_sku]])),Table1[Entity Prefab],0)),10,1,1,"Entities"))</f>
        <v>25</v>
      </c>
      <c r="R125" s="74">
        <f ca="1">ROUND((Table3[[#This Row],[XP]]*Table3[[#This Row],[entity_spawned (AVG)]])*(Table3[[#This Row],[activating_chance]]/100),0)</f>
        <v>25</v>
      </c>
      <c r="S125" t="str">
        <f ca="1">INDIRECT(ADDRESS(11+(MATCH(RIGHT(Table3[[#This Row],[spawner_sku]],LEN(Table3[[#This Row],[spawner_sku]])-FIND("/",Table3[[#This Row],[spawner_sku]])),Table28[Entity Prefab],0)),24,1,1,"Entities"))</f>
        <v>no</v>
      </c>
      <c r="T125">
        <v>1</v>
      </c>
      <c r="U125">
        <v>1</v>
      </c>
      <c r="V125" t="b">
        <v>0</v>
      </c>
      <c r="W125" s="71"/>
      <c r="AI125" t="s">
        <v>216</v>
      </c>
      <c r="AJ125">
        <v>2</v>
      </c>
      <c r="AK125">
        <v>120</v>
      </c>
      <c r="AL125">
        <v>100</v>
      </c>
      <c r="AM125" s="74">
        <f ca="1">INDIRECT(ADDRESS(11+(MATCH(RIGHT(Table2[[#This Row],[spawner_sku]],LEN(Table2[[#This Row],[spawner_sku]])-FIND("/",Table2[[#This Row],[spawner_sku]])),Table1[Entity Prefab],0)),10,1,1,"Entities"))</f>
        <v>25</v>
      </c>
      <c r="AN125" s="74">
        <f ca="1">ROUND((Table2[[#This Row],[XP]]*Table2[[#This Row],[entity_spawned (AVG)]])*(Table2[[#This Row],[activating_chance]]/100),0)</f>
        <v>50</v>
      </c>
      <c r="AO125" s="71" t="str">
        <f ca="1">INDIRECT(ADDRESS(11+(MATCH(RIGHT(Table2[[#This Row],[spawner_sku]],LEN(Table2[[#This Row],[spawner_sku]])-FIND("/",Table2[[#This Row],[spawner_sku]])),Table28[Entity Prefab],0)),24,1,1,"Entities"))</f>
        <v>no</v>
      </c>
      <c r="AP125" s="71">
        <v>1</v>
      </c>
      <c r="AQ125" s="71">
        <v>3</v>
      </c>
      <c r="AR125" s="71" t="b">
        <v>0</v>
      </c>
      <c r="AT125" t="s">
        <v>556</v>
      </c>
      <c r="AU125">
        <v>1</v>
      </c>
      <c r="AV125">
        <v>130</v>
      </c>
      <c r="AW125">
        <v>100</v>
      </c>
      <c r="AX125" s="74">
        <f ca="1">INDIRECT(ADDRESS(11+(MATCH(RIGHT(Table6[[#This Row],[spawner_sku]],LEN(Table6[[#This Row],[spawner_sku]])-FIND("/",Table6[[#This Row],[spawner_sku]])),Table1[Entity Prefab],0)),10,1,1,"Entities"))</f>
        <v>25</v>
      </c>
      <c r="AY125" s="74">
        <f ca="1">ROUND((Table6[[#This Row],[XP]]*Table6[[#This Row],[entity_spawned (AVG)]])*(Table6[[#This Row],[activating_chance]]/100),0)</f>
        <v>25</v>
      </c>
      <c r="AZ125" s="144" t="str">
        <f ca="1">INDIRECT(ADDRESS(11+(MATCH(RIGHT(Table6[[#This Row],[spawner_sku]],LEN(Table6[[#This Row],[spawner_sku]])-FIND("/",Table6[[#This Row],[spawner_sku]])),Table28[Entity Prefab],0)),24,1,1,"Entities"))</f>
        <v>no</v>
      </c>
      <c r="BA125">
        <v>1</v>
      </c>
      <c r="BB125">
        <v>1</v>
      </c>
      <c r="BC125" t="b">
        <v>0</v>
      </c>
      <c r="BE125" t="s">
        <v>231</v>
      </c>
      <c r="BF125">
        <v>1</v>
      </c>
      <c r="BG125">
        <v>220</v>
      </c>
      <c r="BH125">
        <v>100</v>
      </c>
      <c r="BI125" s="74">
        <f ca="1">INDIRECT(ADDRESS(11+(MATCH(RIGHT(Table610[[#This Row],[spawner_sku]],LEN(Table610[[#This Row],[spawner_sku]])-FIND("/",Table610[[#This Row],[spawner_sku]])),Table1[Entity Prefab],0)),10,1,1,"Entities"))</f>
        <v>25</v>
      </c>
      <c r="BJ125" s="74">
        <f ca="1">ROUND((Table610[[#This Row],[XP]]*Table610[[#This Row],[entity_spawned (AVG)]])*(Table610[[#This Row],[activating_chance]]/100),0)</f>
        <v>25</v>
      </c>
      <c r="BK125" s="71" t="str">
        <f ca="1">INDIRECT(ADDRESS(11+(MATCH(RIGHT(Table610[[#This Row],[spawner_sku]],LEN(Table610[[#This Row],[spawner_sku]])-FIND("/",Table610[[#This Row],[spawner_sku]])),Table28[Entity Prefab],0)),24,1,1,"Entities"))</f>
        <v>yes</v>
      </c>
      <c r="BL125">
        <v>1</v>
      </c>
      <c r="BM125">
        <v>1</v>
      </c>
      <c r="BN125" t="b">
        <v>0</v>
      </c>
      <c r="BP125" t="s">
        <v>320</v>
      </c>
      <c r="BQ125">
        <v>1</v>
      </c>
      <c r="BR125">
        <v>250</v>
      </c>
      <c r="BS125">
        <v>100</v>
      </c>
      <c r="BT125" s="74">
        <f ca="1">INDIRECT(ADDRESS(11+(MATCH(RIGHT(Table61011[[#This Row],[spawner_sku]],LEN(Table61011[[#This Row],[spawner_sku]])-FIND("/",Table61011[[#This Row],[spawner_sku]])),Table1[Entity Prefab],0)),10,1,1,"Entities"))</f>
        <v>143</v>
      </c>
      <c r="BU125" s="74">
        <f ca="1">ROUND((Table61011[[#This Row],[XP]]*Table61011[[#This Row],[entity_spawned (AVG)]])*(Table61011[[#This Row],[activating_chance]]/100),0)</f>
        <v>143</v>
      </c>
      <c r="BV125" s="71" t="str">
        <f ca="1">INDIRECT(ADDRESS(11+(MATCH(RIGHT(Table61011[[#This Row],[spawner_sku]],LEN(Table61011[[#This Row],[spawner_sku]])-FIND("/",Table61011[[#This Row],[spawner_sku]])),Table28[Entity Prefab],0)),24,1,1,"Entities"))</f>
        <v>yes</v>
      </c>
      <c r="BW125" s="71">
        <v>1</v>
      </c>
      <c r="BX125" s="71">
        <v>1</v>
      </c>
      <c r="BY125" s="71" t="b">
        <v>0</v>
      </c>
      <c r="BZ125" s="71"/>
      <c r="CA125" s="147" t="s">
        <v>8142</v>
      </c>
      <c r="CB125">
        <v>1</v>
      </c>
      <c r="CC125">
        <v>200</v>
      </c>
      <c r="CD125">
        <v>100</v>
      </c>
      <c r="CE125" s="74">
        <f ca="1">INDIRECT(ADDRESS(11+(MATCH(RIGHT(Table35[[#This Row],[spawner_sku]],LEN(Table35[[#This Row],[spawner_sku]])-FIND("/",Table35[[#This Row],[spawner_sku]])),Table1[Entity Prefab],0)),10,1,1,"Entities"))</f>
        <v>75</v>
      </c>
      <c r="CF125" s="74">
        <f ca="1">ROUND((Table35[[#This Row],[XP]]*Table35[[#This Row],[entity_spawned (AVG)]])*(Table35[[#This Row],[activating_chance]]/100),0)</f>
        <v>75</v>
      </c>
      <c r="CG125" s="144" t="str">
        <f ca="1">INDIRECT(ADDRESS(11+(MATCH(RIGHT(Table35[[#This Row],[spawner_sku]],LEN(Table35[[#This Row],[spawner_sku]])-FIND("/",Table35[[#This Row],[spawner_sku]])),Table28[Entity Prefab],0)),24,1,1,"Entities"))</f>
        <v>no</v>
      </c>
      <c r="CH125">
        <v>1</v>
      </c>
      <c r="CI125">
        <v>1</v>
      </c>
      <c r="CJ125" s="71" t="b">
        <v>0</v>
      </c>
      <c r="CL125" t="s">
        <v>215</v>
      </c>
      <c r="CM125">
        <v>4</v>
      </c>
      <c r="CN125">
        <v>180</v>
      </c>
      <c r="CO125">
        <v>100</v>
      </c>
      <c r="CP125" s="74">
        <f ca="1">INDIRECT(ADDRESS(11+(MATCH(RIGHT(Table11[[#This Row],[spawner_sku]],LEN(Table11[[#This Row],[spawner_sku]])-FIND("/",Table11[[#This Row],[spawner_sku]])),Table1[Entity Prefab],0)),10,1,1,"Entities"))</f>
        <v>25</v>
      </c>
      <c r="CQ125">
        <f ca="1">ROUND((Table11[[#This Row],[XP]]*Table11[[#This Row],[entity_spawned (AVG)]])*(Table11[[#This Row],[activating_chance]]/100),0)</f>
        <v>100</v>
      </c>
      <c r="CR125" s="144" t="str">
        <f ca="1">INDIRECT(ADDRESS(11+(MATCH(RIGHT(Table11[[#This Row],[spawner_sku]],LEN(Table11[[#This Row],[spawner_sku]])-FIND("/",Table11[[#This Row],[spawner_sku]])),Table28[Entity Prefab],0)),25,1,1,"Entities"))</f>
        <v>no</v>
      </c>
      <c r="CS125" s="71">
        <v>4</v>
      </c>
      <c r="CT125" s="71">
        <v>4</v>
      </c>
      <c r="CU125" s="71" t="b">
        <v>0</v>
      </c>
      <c r="CW125" t="s">
        <v>240</v>
      </c>
      <c r="CX125">
        <v>1</v>
      </c>
      <c r="CY125">
        <v>170</v>
      </c>
      <c r="CZ125">
        <v>30</v>
      </c>
      <c r="DA125" s="74">
        <f ca="1">INDIRECT(ADDRESS(11+(MATCH(RIGHT(Table12[[#This Row],[spawner_sku]],LEN(Table12[[#This Row],[spawner_sku]])-FIND("/",Table12[[#This Row],[spawner_sku]])),Table1[Entity Prefab],0)),10,1,1,"Entities"))</f>
        <v>70</v>
      </c>
      <c r="DB125" s="74">
        <f ca="1">ROUND((Table12[[#This Row],[XP]]*Table12[[#This Row],[entity_spawned (AVG)]])*(Table12[[#This Row],[activating_chance]]/100),0)</f>
        <v>21</v>
      </c>
      <c r="DC125" s="144" t="str">
        <f ca="1">INDIRECT(ADDRESS(11+(MATCH(RIGHT(Table12[[#This Row],[spawner_sku]],LEN(Table12[[#This Row],[spawner_sku]])-FIND("/",Table12[[#This Row],[spawner_sku]])),Table28[Entity Prefab],0)),25,1,1,"Entities"))</f>
        <v>yes</v>
      </c>
      <c r="DD125" s="71">
        <v>1</v>
      </c>
      <c r="DE125" s="71">
        <v>1</v>
      </c>
      <c r="DF125" s="71" t="b">
        <v>0</v>
      </c>
      <c r="DH125" t="s">
        <v>368</v>
      </c>
      <c r="DI125">
        <v>1</v>
      </c>
      <c r="DJ125">
        <v>180</v>
      </c>
      <c r="DK125">
        <v>100</v>
      </c>
      <c r="DL125" s="74">
        <f ca="1">INDIRECT(ADDRESS(11+(MATCH(RIGHT(Table13[[#This Row],[spawner_sku]],LEN(Table13[[#This Row],[spawner_sku]])-FIND("/",Table13[[#This Row],[spawner_sku]])),Table1[Entity Prefab],0)),10,1,1,"Entities"))</f>
        <v>75</v>
      </c>
      <c r="DM125" s="74">
        <f ca="1">ROUND((Table13[[#This Row],[XP]]*Table13[[#This Row],[entity_spawned (AVG)]])*(Table13[[#This Row],[activating_chance]]/100),0)</f>
        <v>75</v>
      </c>
      <c r="DN125" s="144" t="str">
        <f ca="1">INDIRECT(ADDRESS(11+(MATCH(RIGHT(Table13[[#This Row],[spawner_sku]],LEN(Table13[[#This Row],[spawner_sku]])-FIND("/",Table13[[#This Row],[spawner_sku]])),Table28[Entity Prefab],0)),25,1,1,"Entities"))</f>
        <v>yes</v>
      </c>
      <c r="DO125" s="71">
        <v>1</v>
      </c>
      <c r="DP125" s="71">
        <v>1</v>
      </c>
      <c r="DQ125" s="71" t="b">
        <v>0</v>
      </c>
      <c r="DS125" t="s">
        <v>214</v>
      </c>
      <c r="DT125">
        <v>9</v>
      </c>
      <c r="DU125">
        <v>180</v>
      </c>
      <c r="DV125">
        <v>100</v>
      </c>
      <c r="DW125" s="74">
        <f ca="1">INDIRECT(ADDRESS(11+(MATCH(RIGHT(Table14[[#This Row],[spawner_sku]],LEN(Table14[[#This Row],[spawner_sku]])-FIND("/",Table14[[#This Row],[spawner_sku]])),Table1[Entity Prefab],0)),10,1,1,"Entities"))</f>
        <v>25</v>
      </c>
      <c r="DX125" s="74">
        <f ca="1">ROUND((Table14[[#This Row],[XP]]*Table14[[#This Row],[entity_spawned (AVG)]])*(Table14[[#This Row],[activating_chance]]/100),0)</f>
        <v>225</v>
      </c>
      <c r="DY125" s="144" t="str">
        <f ca="1">INDIRECT(ADDRESS(11+(MATCH(RIGHT(Table14[[#This Row],[spawner_sku]],LEN(Table14[[#This Row],[spawner_sku]])-FIND("/",Table14[[#This Row],[spawner_sku]])),Table28[Entity Prefab],0)),25,1,1,"Entities"))</f>
        <v>no</v>
      </c>
      <c r="DZ125" s="71">
        <v>8</v>
      </c>
      <c r="EA125" s="71">
        <v>10</v>
      </c>
      <c r="EB125" s="71" t="b">
        <v>1</v>
      </c>
      <c r="EC125" s="71"/>
      <c r="ED125" s="147" t="s">
        <v>3818</v>
      </c>
      <c r="EE125" s="71">
        <v>1</v>
      </c>
      <c r="EF125" s="71">
        <v>240</v>
      </c>
      <c r="EG125" s="71">
        <v>50</v>
      </c>
      <c r="EH125" s="71">
        <f ca="1">INDIRECT(ADDRESS(11+(MATCH(RIGHT(Table36[[#This Row],[spawner_sku]],LEN(Table36[[#This Row],[spawner_sku]])-FIND("/",Table36[[#This Row],[spawner_sku]])),Table1[Entity Prefab],0)),10,1,1,"Entities"))</f>
        <v>10</v>
      </c>
      <c r="EI125" s="71">
        <f ca="1">ROUND((Table36[[#This Row],[XP]]*Table36[[#This Row],[entity_spawned (AVG)]])*(Table36[[#This Row],[activating_chance]]/100),0)</f>
        <v>5</v>
      </c>
      <c r="EJ125" s="71" t="str">
        <f ca="1">INDIRECT(ADDRESS(11+(MATCH(RIGHT(Table36[[#This Row],[spawner_sku]],LEN(Table36[[#This Row],[spawner_sku]])-FIND("/",Table36[[#This Row],[spawner_sku]])),Table28[Entity Prefab],0)),25,1,1,"Entities"))</f>
        <v>no</v>
      </c>
      <c r="EK125" s="71">
        <v>1</v>
      </c>
      <c r="EL125" s="71">
        <v>1</v>
      </c>
      <c r="EM125" s="71" t="b">
        <v>0</v>
      </c>
      <c r="EO125" t="s">
        <v>219</v>
      </c>
      <c r="EP125">
        <v>3</v>
      </c>
      <c r="EQ125">
        <v>250</v>
      </c>
      <c r="ER125">
        <v>100</v>
      </c>
      <c r="ES125" s="74">
        <f ca="1">INDIRECT(ADDRESS(11+(MATCH(RIGHT(Table18[[#This Row],[spawner_sku]],LEN(Table18[[#This Row],[spawner_sku]])-FIND("/",Table18[[#This Row],[spawner_sku]])),Table1[Entity Prefab],0)),10,1,1,"Entities"))</f>
        <v>143</v>
      </c>
      <c r="ET125" s="74">
        <f ca="1">ROUND((Table18[[#This Row],[XP]]*Table18[[#This Row],[entity_spawned (AVG)]])*(Table18[[#This Row],[activating_chance]]/100),0)</f>
        <v>429</v>
      </c>
      <c r="EU125" s="74" t="str">
        <f ca="1">INDIRECT(ADDRESS(11+(MATCH(RIGHT(Table18[[#This Row],[spawner_sku]],LEN(Table18[[#This Row],[spawner_sku]])-FIND("/",Table18[[#This Row],[spawner_sku]])),Table28[Entity Prefab],0)),26,1,1,"Entities"))</f>
        <v>yes</v>
      </c>
      <c r="EV125">
        <v>2</v>
      </c>
      <c r="EW125">
        <v>4</v>
      </c>
      <c r="EX125" t="b">
        <v>0</v>
      </c>
      <c r="EZ125" t="s">
        <v>383</v>
      </c>
      <c r="FA125">
        <v>1</v>
      </c>
      <c r="FB125">
        <v>340</v>
      </c>
      <c r="FC125">
        <v>100</v>
      </c>
      <c r="FD125" s="74">
        <f ca="1">INDIRECT(ADDRESS(11+(MATCH(RIGHT(Table1820[[#This Row],[spawner_sku]],LEN(Table1820[[#This Row],[spawner_sku]])-FIND("/",Table1820[[#This Row],[spawner_sku]])),Table1[Entity Prefab],0)),10,1,1,"Entities"))</f>
        <v>263</v>
      </c>
      <c r="FE125" s="74">
        <f ca="1">ROUND((Table1820[[#This Row],[XP]]*Table1820[[#This Row],[entity_spawned (AVG)]])*(Table1820[[#This Row],[activating_chance]]/100),0)</f>
        <v>263</v>
      </c>
      <c r="FF125" s="74" t="str">
        <f ca="1">INDIRECT(ADDRESS(11+(MATCH(RIGHT(Table1820[[#This Row],[spawner_sku]],LEN(Table1820[[#This Row],[spawner_sku]])-FIND("/",Table1820[[#This Row],[spawner_sku]])),Table28[Entity Prefab],0)),26,1,1,"Entities"))</f>
        <v>yes</v>
      </c>
      <c r="FG125">
        <v>1</v>
      </c>
      <c r="FH125">
        <v>1</v>
      </c>
      <c r="FI125" t="b">
        <v>0</v>
      </c>
      <c r="FK125" t="s">
        <v>2692</v>
      </c>
      <c r="FL125">
        <v>2</v>
      </c>
      <c r="FM125">
        <v>120</v>
      </c>
      <c r="FN125">
        <v>100</v>
      </c>
      <c r="FO125">
        <f ca="1">INDIRECT(ADDRESS(11+(MATCH(RIGHT(Table182023[[#This Row],[spawner_sku]],LEN(Table182023[[#This Row],[spawner_sku]])-FIND("/",Table182023[[#This Row],[spawner_sku]])),Table1[Entity Prefab],0)),10,1,1,"Entities"))</f>
        <v>263</v>
      </c>
      <c r="FP125">
        <f ca="1">ROUND((Table182023[[#This Row],[XP]]*Table182023[[#This Row],[entity_spawned (AVG)]])*(Table182023[[#This Row],[activating_chance]]/100),0)</f>
        <v>526</v>
      </c>
      <c r="FQ125" t="str">
        <f ca="1">INDIRECT(ADDRESS(11+(MATCH(RIGHT(Table182023[[#This Row],[spawner_sku]],LEN(Table182023[[#This Row],[spawner_sku]])-FIND("/",Table182023[[#This Row],[spawner_sku]])),Table28[Entity Prefab],0)),26,1,1,"Entities"))</f>
        <v>yes</v>
      </c>
      <c r="FR125">
        <v>1</v>
      </c>
      <c r="FS125">
        <v>3</v>
      </c>
      <c r="FT125" t="b">
        <v>0</v>
      </c>
      <c r="FV125" t="s">
        <v>2691</v>
      </c>
      <c r="FW125">
        <v>1</v>
      </c>
      <c r="FX125">
        <v>100</v>
      </c>
      <c r="FY125">
        <v>80</v>
      </c>
      <c r="FZ125" s="74">
        <f ca="1">INDIRECT(ADDRESS(11+(MATCH(RIGHT(Table18202324[[#This Row],[spawner_sku]],LEN(Table18202324[[#This Row],[spawner_sku]])-FIND("/",Table18202324[[#This Row],[spawner_sku]])),Table1[Entity Prefab],0)),10,1,1,"Entities"))</f>
        <v>105</v>
      </c>
      <c r="GA125" s="74">
        <f ca="1">ROUND((Table18202324[[#This Row],[XP]]*Table18202324[[#This Row],[entity_spawned (AVG)]])*(Table18202324[[#This Row],[activating_chance]]/100),0)</f>
        <v>84</v>
      </c>
      <c r="GB125" s="74" t="str">
        <f ca="1">INDIRECT(ADDRESS(11+(MATCH(RIGHT(Table18202324[[#This Row],[spawner_sku]],LEN(Table18202324[[#This Row],[spawner_sku]])-FIND("/",Table18202324[[#This Row],[spawner_sku]])),Table28[Entity Prefab],0)),26,1,1,"Entities"))</f>
        <v>no</v>
      </c>
      <c r="GC125">
        <v>1</v>
      </c>
      <c r="GD125">
        <v>1</v>
      </c>
      <c r="GE125" t="b">
        <v>0</v>
      </c>
      <c r="GG125" t="s">
        <v>3816</v>
      </c>
      <c r="GH125">
        <v>1</v>
      </c>
      <c r="GI125">
        <v>240</v>
      </c>
      <c r="GJ125">
        <v>100</v>
      </c>
      <c r="GK125">
        <f ca="1">INDIRECT(ADDRESS(11+(MATCH(RIGHT(Table37[[#This Row],[spawner_sku]],LEN(Table37[[#This Row],[spawner_sku]])-FIND("/",Table37[[#This Row],[spawner_sku]])),Table1[Entity Prefab],0)),10,1,1,"Entities"))</f>
        <v>50</v>
      </c>
      <c r="GL125">
        <f ca="1">ROUND((Table37[[#This Row],[XP]]*Table37[[#This Row],[entity_spawned (AVG)]])*(Table37[[#This Row],[activating_chance]]/100),0)</f>
        <v>50</v>
      </c>
      <c r="GM125" t="str">
        <f ca="1">INDIRECT(ADDRESS(11+(MATCH(RIGHT(Table37[[#This Row],[spawner_sku]],LEN(Table37[[#This Row],[spawner_sku]])-FIND("/",Table37[[#This Row],[spawner_sku]])),Table28[Entity Prefab],0)),26,1,1,"Entities"))</f>
        <v>no</v>
      </c>
      <c r="GN125">
        <v>1</v>
      </c>
      <c r="GO125">
        <v>1</v>
      </c>
      <c r="GP125" t="b">
        <v>0</v>
      </c>
    </row>
    <row r="126" spans="2:198" x14ac:dyDescent="0.25">
      <c r="B126" s="72" t="s">
        <v>215</v>
      </c>
      <c r="C126">
        <v>2</v>
      </c>
      <c r="D126">
        <v>160</v>
      </c>
      <c r="E126">
        <v>100</v>
      </c>
      <c r="F126" s="74">
        <f ca="1">INDIRECT(ADDRESS(11+(MATCH(RIGHT(Table245[[#This Row],[spawner_sku]],LEN(Table245[[#This Row],[spawner_sku]])-FIND("/",Table245[[#This Row],[spawner_sku]])),Table1[Entity Prefab],0)),10,1,1,"Entities"))</f>
        <v>25</v>
      </c>
      <c r="G126" s="74">
        <f ca="1">ROUND((Table245[[#This Row],[XP]]*Table245[[#This Row],[entity_spawned (AVG)]])*(Table245[[#This Row],[activating_chance]]/100),0)</f>
        <v>50</v>
      </c>
      <c r="H126" s="71" t="str">
        <f ca="1">INDIRECT(ADDRESS(11+(MATCH(RIGHT(Table245[[#This Row],[spawner_sku]],LEN(Table245[[#This Row],[spawner_sku]])-FIND("/",Table245[[#This Row],[spawner_sku]])),Table28[Entity Prefab],0)),24,1,1,"Entities"))</f>
        <v>no</v>
      </c>
      <c r="I126" s="71">
        <v>2</v>
      </c>
      <c r="J126" s="71">
        <v>2</v>
      </c>
      <c r="K126" s="71" t="b">
        <v>0</v>
      </c>
      <c r="M126" t="s">
        <v>243</v>
      </c>
      <c r="N126">
        <v>1</v>
      </c>
      <c r="O126">
        <v>140</v>
      </c>
      <c r="P126">
        <v>100</v>
      </c>
      <c r="Q126" s="74">
        <f ca="1">INDIRECT(ADDRESS(11+(MATCH(RIGHT(Table3[[#This Row],[spawner_sku]],LEN(Table3[[#This Row],[spawner_sku]])-FIND("/",Table3[[#This Row],[spawner_sku]])),Table1[Entity Prefab],0)),10,1,1,"Entities"))</f>
        <v>25</v>
      </c>
      <c r="R126" s="74">
        <f ca="1">ROUND((Table3[[#This Row],[XP]]*Table3[[#This Row],[entity_spawned (AVG)]])*(Table3[[#This Row],[activating_chance]]/100),0)</f>
        <v>25</v>
      </c>
      <c r="S126" t="str">
        <f ca="1">INDIRECT(ADDRESS(11+(MATCH(RIGHT(Table3[[#This Row],[spawner_sku]],LEN(Table3[[#This Row],[spawner_sku]])-FIND("/",Table3[[#This Row],[spawner_sku]])),Table28[Entity Prefab],0)),24,1,1,"Entities"))</f>
        <v>no</v>
      </c>
      <c r="T126">
        <v>1</v>
      </c>
      <c r="U126">
        <v>1</v>
      </c>
      <c r="V126" t="b">
        <v>0</v>
      </c>
      <c r="W126" s="71"/>
      <c r="AI126" t="s">
        <v>216</v>
      </c>
      <c r="AJ126">
        <v>7.5</v>
      </c>
      <c r="AK126">
        <v>150</v>
      </c>
      <c r="AL126">
        <v>100</v>
      </c>
      <c r="AM126" s="74">
        <f ca="1">INDIRECT(ADDRESS(11+(MATCH(RIGHT(Table2[[#This Row],[spawner_sku]],LEN(Table2[[#This Row],[spawner_sku]])-FIND("/",Table2[[#This Row],[spawner_sku]])),Table1[Entity Prefab],0)),10,1,1,"Entities"))</f>
        <v>25</v>
      </c>
      <c r="AN126" s="74">
        <f ca="1">ROUND((Table2[[#This Row],[XP]]*Table2[[#This Row],[entity_spawned (AVG)]])*(Table2[[#This Row],[activating_chance]]/100),0)</f>
        <v>188</v>
      </c>
      <c r="AO126" s="71" t="str">
        <f ca="1">INDIRECT(ADDRESS(11+(MATCH(RIGHT(Table2[[#This Row],[spawner_sku]],LEN(Table2[[#This Row],[spawner_sku]])-FIND("/",Table2[[#This Row],[spawner_sku]])),Table28[Entity Prefab],0)),24,1,1,"Entities"))</f>
        <v>no</v>
      </c>
      <c r="AP126" s="71">
        <v>5</v>
      </c>
      <c r="AQ126" s="71">
        <v>10</v>
      </c>
      <c r="AR126" s="71" t="b">
        <v>1</v>
      </c>
      <c r="AT126" t="s">
        <v>556</v>
      </c>
      <c r="AU126">
        <v>1</v>
      </c>
      <c r="AV126">
        <v>120</v>
      </c>
      <c r="AW126">
        <v>100</v>
      </c>
      <c r="AX126" s="74">
        <f ca="1">INDIRECT(ADDRESS(11+(MATCH(RIGHT(Table6[[#This Row],[spawner_sku]],LEN(Table6[[#This Row],[spawner_sku]])-FIND("/",Table6[[#This Row],[spawner_sku]])),Table1[Entity Prefab],0)),10,1,1,"Entities"))</f>
        <v>25</v>
      </c>
      <c r="AY126" s="74">
        <f ca="1">ROUND((Table6[[#This Row],[XP]]*Table6[[#This Row],[entity_spawned (AVG)]])*(Table6[[#This Row],[activating_chance]]/100),0)</f>
        <v>25</v>
      </c>
      <c r="AZ126" s="144" t="str">
        <f ca="1">INDIRECT(ADDRESS(11+(MATCH(RIGHT(Table6[[#This Row],[spawner_sku]],LEN(Table6[[#This Row],[spawner_sku]])-FIND("/",Table6[[#This Row],[spawner_sku]])),Table28[Entity Prefab],0)),24,1,1,"Entities"))</f>
        <v>no</v>
      </c>
      <c r="BA126">
        <v>1</v>
      </c>
      <c r="BB126">
        <v>1</v>
      </c>
      <c r="BC126" t="b">
        <v>0</v>
      </c>
      <c r="BE126" t="s">
        <v>231</v>
      </c>
      <c r="BF126">
        <v>1</v>
      </c>
      <c r="BG126">
        <v>220</v>
      </c>
      <c r="BH126">
        <v>100</v>
      </c>
      <c r="BI126" s="74">
        <f ca="1">INDIRECT(ADDRESS(11+(MATCH(RIGHT(Table610[[#This Row],[spawner_sku]],LEN(Table610[[#This Row],[spawner_sku]])-FIND("/",Table610[[#This Row],[spawner_sku]])),Table1[Entity Prefab],0)),10,1,1,"Entities"))</f>
        <v>25</v>
      </c>
      <c r="BJ126" s="74">
        <f ca="1">ROUND((Table610[[#This Row],[XP]]*Table610[[#This Row],[entity_spawned (AVG)]])*(Table610[[#This Row],[activating_chance]]/100),0)</f>
        <v>25</v>
      </c>
      <c r="BK126" s="71" t="str">
        <f ca="1">INDIRECT(ADDRESS(11+(MATCH(RIGHT(Table610[[#This Row],[spawner_sku]],LEN(Table610[[#This Row],[spawner_sku]])-FIND("/",Table610[[#This Row],[spawner_sku]])),Table28[Entity Prefab],0)),24,1,1,"Entities"))</f>
        <v>yes</v>
      </c>
      <c r="BL126">
        <v>1</v>
      </c>
      <c r="BM126">
        <v>1</v>
      </c>
      <c r="BN126" t="b">
        <v>0</v>
      </c>
      <c r="BP126" t="s">
        <v>320</v>
      </c>
      <c r="BQ126">
        <v>1.5</v>
      </c>
      <c r="BR126">
        <v>250</v>
      </c>
      <c r="BS126">
        <v>100</v>
      </c>
      <c r="BT126" s="74">
        <f ca="1">INDIRECT(ADDRESS(11+(MATCH(RIGHT(Table61011[[#This Row],[spawner_sku]],LEN(Table61011[[#This Row],[spawner_sku]])-FIND("/",Table61011[[#This Row],[spawner_sku]])),Table1[Entity Prefab],0)),10,1,1,"Entities"))</f>
        <v>143</v>
      </c>
      <c r="BU126" s="74">
        <f ca="1">ROUND((Table61011[[#This Row],[XP]]*Table61011[[#This Row],[entity_spawned (AVG)]])*(Table61011[[#This Row],[activating_chance]]/100),0)</f>
        <v>215</v>
      </c>
      <c r="BV126" s="71" t="str">
        <f ca="1">INDIRECT(ADDRESS(11+(MATCH(RIGHT(Table61011[[#This Row],[spawner_sku]],LEN(Table61011[[#This Row],[spawner_sku]])-FIND("/",Table61011[[#This Row],[spawner_sku]])),Table28[Entity Prefab],0)),24,1,1,"Entities"))</f>
        <v>yes</v>
      </c>
      <c r="BW126" s="71">
        <v>1</v>
      </c>
      <c r="BX126" s="71">
        <v>2</v>
      </c>
      <c r="BY126" s="71" t="b">
        <v>0</v>
      </c>
      <c r="BZ126" s="71"/>
      <c r="CA126" s="147" t="s">
        <v>8142</v>
      </c>
      <c r="CB126">
        <v>1</v>
      </c>
      <c r="CC126">
        <v>200</v>
      </c>
      <c r="CD126">
        <v>80</v>
      </c>
      <c r="CE126" s="74">
        <f ca="1">INDIRECT(ADDRESS(11+(MATCH(RIGHT(Table35[[#This Row],[spawner_sku]],LEN(Table35[[#This Row],[spawner_sku]])-FIND("/",Table35[[#This Row],[spawner_sku]])),Table1[Entity Prefab],0)),10,1,1,"Entities"))</f>
        <v>75</v>
      </c>
      <c r="CF126" s="74">
        <f ca="1">ROUND((Table35[[#This Row],[XP]]*Table35[[#This Row],[entity_spawned (AVG)]])*(Table35[[#This Row],[activating_chance]]/100),0)</f>
        <v>60</v>
      </c>
      <c r="CG126" s="144" t="str">
        <f ca="1">INDIRECT(ADDRESS(11+(MATCH(RIGHT(Table35[[#This Row],[spawner_sku]],LEN(Table35[[#This Row],[spawner_sku]])-FIND("/",Table35[[#This Row],[spawner_sku]])),Table28[Entity Prefab],0)),24,1,1,"Entities"))</f>
        <v>no</v>
      </c>
      <c r="CH126">
        <v>1</v>
      </c>
      <c r="CI126">
        <v>1</v>
      </c>
      <c r="CJ126" s="71" t="b">
        <v>0</v>
      </c>
      <c r="CL126" t="s">
        <v>215</v>
      </c>
      <c r="CM126">
        <v>1.5</v>
      </c>
      <c r="CN126">
        <v>165</v>
      </c>
      <c r="CO126">
        <v>30</v>
      </c>
      <c r="CP126" s="74">
        <f ca="1">INDIRECT(ADDRESS(11+(MATCH(RIGHT(Table11[[#This Row],[spawner_sku]],LEN(Table11[[#This Row],[spawner_sku]])-FIND("/",Table11[[#This Row],[spawner_sku]])),Table1[Entity Prefab],0)),10,1,1,"Entities"))</f>
        <v>25</v>
      </c>
      <c r="CQ126">
        <f ca="1">ROUND((Table11[[#This Row],[XP]]*Table11[[#This Row],[entity_spawned (AVG)]])*(Table11[[#This Row],[activating_chance]]/100),0)</f>
        <v>11</v>
      </c>
      <c r="CR126" s="144" t="str">
        <f ca="1">INDIRECT(ADDRESS(11+(MATCH(RIGHT(Table11[[#This Row],[spawner_sku]],LEN(Table11[[#This Row],[spawner_sku]])-FIND("/",Table11[[#This Row],[spawner_sku]])),Table28[Entity Prefab],0)),25,1,1,"Entities"))</f>
        <v>no</v>
      </c>
      <c r="CS126" s="71">
        <v>1</v>
      </c>
      <c r="CT126" s="71">
        <v>2</v>
      </c>
      <c r="CU126" s="71" t="b">
        <v>0</v>
      </c>
      <c r="CW126" t="s">
        <v>240</v>
      </c>
      <c r="CX126">
        <v>1</v>
      </c>
      <c r="CY126">
        <v>170</v>
      </c>
      <c r="CZ126">
        <v>100</v>
      </c>
      <c r="DA126" s="74">
        <f ca="1">INDIRECT(ADDRESS(11+(MATCH(RIGHT(Table12[[#This Row],[spawner_sku]],LEN(Table12[[#This Row],[spawner_sku]])-FIND("/",Table12[[#This Row],[spawner_sku]])),Table1[Entity Prefab],0)),10,1,1,"Entities"))</f>
        <v>70</v>
      </c>
      <c r="DB126" s="74">
        <f ca="1">ROUND((Table12[[#This Row],[XP]]*Table12[[#This Row],[entity_spawned (AVG)]])*(Table12[[#This Row],[activating_chance]]/100),0)</f>
        <v>70</v>
      </c>
      <c r="DC126" s="144" t="str">
        <f ca="1">INDIRECT(ADDRESS(11+(MATCH(RIGHT(Table12[[#This Row],[spawner_sku]],LEN(Table12[[#This Row],[spawner_sku]])-FIND("/",Table12[[#This Row],[spawner_sku]])),Table28[Entity Prefab],0)),25,1,1,"Entities"))</f>
        <v>yes</v>
      </c>
      <c r="DD126" s="71">
        <v>1</v>
      </c>
      <c r="DE126" s="71">
        <v>1</v>
      </c>
      <c r="DF126" s="71" t="b">
        <v>0</v>
      </c>
      <c r="DH126" t="s">
        <v>368</v>
      </c>
      <c r="DI126">
        <v>1</v>
      </c>
      <c r="DJ126">
        <v>180</v>
      </c>
      <c r="DK126">
        <v>100</v>
      </c>
      <c r="DL126" s="74">
        <f ca="1">INDIRECT(ADDRESS(11+(MATCH(RIGHT(Table13[[#This Row],[spawner_sku]],LEN(Table13[[#This Row],[spawner_sku]])-FIND("/",Table13[[#This Row],[spawner_sku]])),Table1[Entity Prefab],0)),10,1,1,"Entities"))</f>
        <v>75</v>
      </c>
      <c r="DM126" s="74">
        <f ca="1">ROUND((Table13[[#This Row],[XP]]*Table13[[#This Row],[entity_spawned (AVG)]])*(Table13[[#This Row],[activating_chance]]/100),0)</f>
        <v>75</v>
      </c>
      <c r="DN126" s="144" t="str">
        <f ca="1">INDIRECT(ADDRESS(11+(MATCH(RIGHT(Table13[[#This Row],[spawner_sku]],LEN(Table13[[#This Row],[spawner_sku]])-FIND("/",Table13[[#This Row],[spawner_sku]])),Table28[Entity Prefab],0)),25,1,1,"Entities"))</f>
        <v>yes</v>
      </c>
      <c r="DO126" s="71">
        <v>1</v>
      </c>
      <c r="DP126" s="71">
        <v>1</v>
      </c>
      <c r="DQ126" s="71" t="b">
        <v>0</v>
      </c>
      <c r="DS126" t="s">
        <v>214</v>
      </c>
      <c r="DT126">
        <v>6</v>
      </c>
      <c r="DU126">
        <v>180</v>
      </c>
      <c r="DV126">
        <v>100</v>
      </c>
      <c r="DW126" s="74">
        <f ca="1">INDIRECT(ADDRESS(11+(MATCH(RIGHT(Table14[[#This Row],[spawner_sku]],LEN(Table14[[#This Row],[spawner_sku]])-FIND("/",Table14[[#This Row],[spawner_sku]])),Table1[Entity Prefab],0)),10,1,1,"Entities"))</f>
        <v>25</v>
      </c>
      <c r="DX126" s="74">
        <f ca="1">ROUND((Table14[[#This Row],[XP]]*Table14[[#This Row],[entity_spawned (AVG)]])*(Table14[[#This Row],[activating_chance]]/100),0)</f>
        <v>150</v>
      </c>
      <c r="DY126" s="144" t="str">
        <f ca="1">INDIRECT(ADDRESS(11+(MATCH(RIGHT(Table14[[#This Row],[spawner_sku]],LEN(Table14[[#This Row],[spawner_sku]])-FIND("/",Table14[[#This Row],[spawner_sku]])),Table28[Entity Prefab],0)),25,1,1,"Entities"))</f>
        <v>no</v>
      </c>
      <c r="DZ126" s="71">
        <v>6</v>
      </c>
      <c r="EA126" s="71">
        <v>6</v>
      </c>
      <c r="EB126" s="71" t="b">
        <v>1</v>
      </c>
      <c r="EC126" s="71"/>
      <c r="ED126" s="147" t="s">
        <v>3818</v>
      </c>
      <c r="EE126" s="71">
        <v>1</v>
      </c>
      <c r="EF126" s="71">
        <v>240</v>
      </c>
      <c r="EG126" s="71">
        <v>50</v>
      </c>
      <c r="EH126" s="71">
        <f ca="1">INDIRECT(ADDRESS(11+(MATCH(RIGHT(Table36[[#This Row],[spawner_sku]],LEN(Table36[[#This Row],[spawner_sku]])-FIND("/",Table36[[#This Row],[spawner_sku]])),Table1[Entity Prefab],0)),10,1,1,"Entities"))</f>
        <v>10</v>
      </c>
      <c r="EI126" s="71">
        <f ca="1">ROUND((Table36[[#This Row],[XP]]*Table36[[#This Row],[entity_spawned (AVG)]])*(Table36[[#This Row],[activating_chance]]/100),0)</f>
        <v>5</v>
      </c>
      <c r="EJ126" s="71" t="str">
        <f ca="1">INDIRECT(ADDRESS(11+(MATCH(RIGHT(Table36[[#This Row],[spawner_sku]],LEN(Table36[[#This Row],[spawner_sku]])-FIND("/",Table36[[#This Row],[spawner_sku]])),Table28[Entity Prefab],0)),25,1,1,"Entities"))</f>
        <v>no</v>
      </c>
      <c r="EK126" s="71">
        <v>1</v>
      </c>
      <c r="EL126" s="71">
        <v>1</v>
      </c>
      <c r="EM126" s="71" t="b">
        <v>0</v>
      </c>
      <c r="EO126" t="s">
        <v>219</v>
      </c>
      <c r="EP126">
        <v>1.5</v>
      </c>
      <c r="EQ126">
        <v>250</v>
      </c>
      <c r="ER126">
        <v>100</v>
      </c>
      <c r="ES126" s="74">
        <f ca="1">INDIRECT(ADDRESS(11+(MATCH(RIGHT(Table18[[#This Row],[spawner_sku]],LEN(Table18[[#This Row],[spawner_sku]])-FIND("/",Table18[[#This Row],[spawner_sku]])),Table1[Entity Prefab],0)),10,1,1,"Entities"))</f>
        <v>143</v>
      </c>
      <c r="ET126" s="74">
        <f ca="1">ROUND((Table18[[#This Row],[XP]]*Table18[[#This Row],[entity_spawned (AVG)]])*(Table18[[#This Row],[activating_chance]]/100),0)</f>
        <v>215</v>
      </c>
      <c r="EU126" s="74" t="str">
        <f ca="1">INDIRECT(ADDRESS(11+(MATCH(RIGHT(Table18[[#This Row],[spawner_sku]],LEN(Table18[[#This Row],[spawner_sku]])-FIND("/",Table18[[#This Row],[spawner_sku]])),Table28[Entity Prefab],0)),26,1,1,"Entities"))</f>
        <v>yes</v>
      </c>
      <c r="EV126">
        <v>1</v>
      </c>
      <c r="EW126">
        <v>2</v>
      </c>
      <c r="EX126" t="b">
        <v>0</v>
      </c>
      <c r="EZ126" t="s">
        <v>383</v>
      </c>
      <c r="FA126">
        <v>1</v>
      </c>
      <c r="FB126">
        <v>340</v>
      </c>
      <c r="FC126">
        <v>100</v>
      </c>
      <c r="FD126" s="74">
        <f ca="1">INDIRECT(ADDRESS(11+(MATCH(RIGHT(Table1820[[#This Row],[spawner_sku]],LEN(Table1820[[#This Row],[spawner_sku]])-FIND("/",Table1820[[#This Row],[spawner_sku]])),Table1[Entity Prefab],0)),10,1,1,"Entities"))</f>
        <v>263</v>
      </c>
      <c r="FE126" s="74">
        <f ca="1">ROUND((Table1820[[#This Row],[XP]]*Table1820[[#This Row],[entity_spawned (AVG)]])*(Table1820[[#This Row],[activating_chance]]/100),0)</f>
        <v>263</v>
      </c>
      <c r="FF126" s="74" t="str">
        <f ca="1">INDIRECT(ADDRESS(11+(MATCH(RIGHT(Table1820[[#This Row],[spawner_sku]],LEN(Table1820[[#This Row],[spawner_sku]])-FIND("/",Table1820[[#This Row],[spawner_sku]])),Table28[Entity Prefab],0)),26,1,1,"Entities"))</f>
        <v>yes</v>
      </c>
      <c r="FG126">
        <v>1</v>
      </c>
      <c r="FH126">
        <v>1</v>
      </c>
      <c r="FI126" t="b">
        <v>0</v>
      </c>
      <c r="FK126" t="s">
        <v>2692</v>
      </c>
      <c r="FL126">
        <v>1.5</v>
      </c>
      <c r="FM126">
        <v>120</v>
      </c>
      <c r="FN126">
        <v>100</v>
      </c>
      <c r="FO126">
        <f ca="1">INDIRECT(ADDRESS(11+(MATCH(RIGHT(Table182023[[#This Row],[spawner_sku]],LEN(Table182023[[#This Row],[spawner_sku]])-FIND("/",Table182023[[#This Row],[spawner_sku]])),Table1[Entity Prefab],0)),10,1,1,"Entities"))</f>
        <v>263</v>
      </c>
      <c r="FP126">
        <f ca="1">ROUND((Table182023[[#This Row],[XP]]*Table182023[[#This Row],[entity_spawned (AVG)]])*(Table182023[[#This Row],[activating_chance]]/100),0)</f>
        <v>395</v>
      </c>
      <c r="FQ126" t="str">
        <f ca="1">INDIRECT(ADDRESS(11+(MATCH(RIGHT(Table182023[[#This Row],[spawner_sku]],LEN(Table182023[[#This Row],[spawner_sku]])-FIND("/",Table182023[[#This Row],[spawner_sku]])),Table28[Entity Prefab],0)),26,1,1,"Entities"))</f>
        <v>yes</v>
      </c>
      <c r="FR126">
        <v>1</v>
      </c>
      <c r="FS126">
        <v>2</v>
      </c>
      <c r="FT126" t="b">
        <v>0</v>
      </c>
      <c r="FV126" t="s">
        <v>2691</v>
      </c>
      <c r="FW126">
        <v>1</v>
      </c>
      <c r="FX126">
        <v>85</v>
      </c>
      <c r="FY126">
        <v>30</v>
      </c>
      <c r="FZ126" s="74">
        <f ca="1">INDIRECT(ADDRESS(11+(MATCH(RIGHT(Table18202324[[#This Row],[spawner_sku]],LEN(Table18202324[[#This Row],[spawner_sku]])-FIND("/",Table18202324[[#This Row],[spawner_sku]])),Table1[Entity Prefab],0)),10,1,1,"Entities"))</f>
        <v>105</v>
      </c>
      <c r="GA126" s="74">
        <f ca="1">ROUND((Table18202324[[#This Row],[XP]]*Table18202324[[#This Row],[entity_spawned (AVG)]])*(Table18202324[[#This Row],[activating_chance]]/100),0)</f>
        <v>32</v>
      </c>
      <c r="GB126" s="74" t="str">
        <f ca="1">INDIRECT(ADDRESS(11+(MATCH(RIGHT(Table18202324[[#This Row],[spawner_sku]],LEN(Table18202324[[#This Row],[spawner_sku]])-FIND("/",Table18202324[[#This Row],[spawner_sku]])),Table28[Entity Prefab],0)),26,1,1,"Entities"))</f>
        <v>no</v>
      </c>
      <c r="GC126">
        <v>1</v>
      </c>
      <c r="GD126">
        <v>1</v>
      </c>
      <c r="GE126" t="b">
        <v>0</v>
      </c>
      <c r="GG126" t="s">
        <v>3816</v>
      </c>
      <c r="GH126">
        <v>1</v>
      </c>
      <c r="GI126">
        <v>240</v>
      </c>
      <c r="GJ126">
        <v>100</v>
      </c>
      <c r="GK126">
        <f ca="1">INDIRECT(ADDRESS(11+(MATCH(RIGHT(Table37[[#This Row],[spawner_sku]],LEN(Table37[[#This Row],[spawner_sku]])-FIND("/",Table37[[#This Row],[spawner_sku]])),Table1[Entity Prefab],0)),10,1,1,"Entities"))</f>
        <v>50</v>
      </c>
      <c r="GL126">
        <f ca="1">ROUND((Table37[[#This Row],[XP]]*Table37[[#This Row],[entity_spawned (AVG)]])*(Table37[[#This Row],[activating_chance]]/100),0)</f>
        <v>50</v>
      </c>
      <c r="GM126" t="str">
        <f ca="1">INDIRECT(ADDRESS(11+(MATCH(RIGHT(Table37[[#This Row],[spawner_sku]],LEN(Table37[[#This Row],[spawner_sku]])-FIND("/",Table37[[#This Row],[spawner_sku]])),Table28[Entity Prefab],0)),26,1,1,"Entities"))</f>
        <v>no</v>
      </c>
      <c r="GN126">
        <v>1</v>
      </c>
      <c r="GO126">
        <v>1</v>
      </c>
      <c r="GP126" t="b">
        <v>0</v>
      </c>
    </row>
    <row r="127" spans="2:198" x14ac:dyDescent="0.25">
      <c r="B127" s="72" t="s">
        <v>215</v>
      </c>
      <c r="C127">
        <v>1</v>
      </c>
      <c r="D127">
        <v>80</v>
      </c>
      <c r="E127">
        <v>60</v>
      </c>
      <c r="F127" s="74">
        <f ca="1">INDIRECT(ADDRESS(11+(MATCH(RIGHT(Table245[[#This Row],[spawner_sku]],LEN(Table245[[#This Row],[spawner_sku]])-FIND("/",Table245[[#This Row],[spawner_sku]])),Table1[Entity Prefab],0)),10,1,1,"Entities"))</f>
        <v>25</v>
      </c>
      <c r="G127" s="74">
        <f ca="1">ROUND((Table245[[#This Row],[XP]]*Table245[[#This Row],[entity_spawned (AVG)]])*(Table245[[#This Row],[activating_chance]]/100),0)</f>
        <v>15</v>
      </c>
      <c r="H127" s="71" t="str">
        <f ca="1">INDIRECT(ADDRESS(11+(MATCH(RIGHT(Table245[[#This Row],[spawner_sku]],LEN(Table245[[#This Row],[spawner_sku]])-FIND("/",Table245[[#This Row],[spawner_sku]])),Table28[Entity Prefab],0)),24,1,1,"Entities"))</f>
        <v>no</v>
      </c>
      <c r="I127" s="71">
        <v>1</v>
      </c>
      <c r="J127" s="71">
        <v>1</v>
      </c>
      <c r="K127" s="71" t="b">
        <v>0</v>
      </c>
      <c r="M127" t="s">
        <v>243</v>
      </c>
      <c r="N127">
        <v>1</v>
      </c>
      <c r="O127">
        <v>140</v>
      </c>
      <c r="P127">
        <v>100</v>
      </c>
      <c r="Q127" s="74">
        <f ca="1">INDIRECT(ADDRESS(11+(MATCH(RIGHT(Table3[[#This Row],[spawner_sku]],LEN(Table3[[#This Row],[spawner_sku]])-FIND("/",Table3[[#This Row],[spawner_sku]])),Table1[Entity Prefab],0)),10,1,1,"Entities"))</f>
        <v>25</v>
      </c>
      <c r="R127" s="74">
        <f ca="1">ROUND((Table3[[#This Row],[XP]]*Table3[[#This Row],[entity_spawned (AVG)]])*(Table3[[#This Row],[activating_chance]]/100),0)</f>
        <v>25</v>
      </c>
      <c r="S127" t="str">
        <f ca="1">INDIRECT(ADDRESS(11+(MATCH(RIGHT(Table3[[#This Row],[spawner_sku]],LEN(Table3[[#This Row],[spawner_sku]])-FIND("/",Table3[[#This Row],[spawner_sku]])),Table28[Entity Prefab],0)),24,1,1,"Entities"))</f>
        <v>no</v>
      </c>
      <c r="T127">
        <v>1</v>
      </c>
      <c r="U127">
        <v>1</v>
      </c>
      <c r="V127" t="b">
        <v>0</v>
      </c>
      <c r="W127" s="71"/>
      <c r="AI127" t="s">
        <v>216</v>
      </c>
      <c r="AJ127">
        <v>2</v>
      </c>
      <c r="AK127">
        <v>100</v>
      </c>
      <c r="AL127">
        <v>100</v>
      </c>
      <c r="AM127" s="74">
        <f ca="1">INDIRECT(ADDRESS(11+(MATCH(RIGHT(Table2[[#This Row],[spawner_sku]],LEN(Table2[[#This Row],[spawner_sku]])-FIND("/",Table2[[#This Row],[spawner_sku]])),Table1[Entity Prefab],0)),10,1,1,"Entities"))</f>
        <v>25</v>
      </c>
      <c r="AN127" s="74">
        <f ca="1">ROUND((Table2[[#This Row],[XP]]*Table2[[#This Row],[entity_spawned (AVG)]])*(Table2[[#This Row],[activating_chance]]/100),0)</f>
        <v>50</v>
      </c>
      <c r="AO127" s="71" t="str">
        <f ca="1">INDIRECT(ADDRESS(11+(MATCH(RIGHT(Table2[[#This Row],[spawner_sku]],LEN(Table2[[#This Row],[spawner_sku]])-FIND("/",Table2[[#This Row],[spawner_sku]])),Table28[Entity Prefab],0)),24,1,1,"Entities"))</f>
        <v>no</v>
      </c>
      <c r="AP127" s="71">
        <v>1</v>
      </c>
      <c r="AQ127" s="71">
        <v>3</v>
      </c>
      <c r="AR127" s="71" t="b">
        <v>0</v>
      </c>
      <c r="AT127" t="s">
        <v>556</v>
      </c>
      <c r="AU127">
        <v>1</v>
      </c>
      <c r="AV127">
        <v>130</v>
      </c>
      <c r="AW127">
        <v>100</v>
      </c>
      <c r="AX127" s="74">
        <f ca="1">INDIRECT(ADDRESS(11+(MATCH(RIGHT(Table6[[#This Row],[spawner_sku]],LEN(Table6[[#This Row],[spawner_sku]])-FIND("/",Table6[[#This Row],[spawner_sku]])),Table1[Entity Prefab],0)),10,1,1,"Entities"))</f>
        <v>25</v>
      </c>
      <c r="AY127" s="74">
        <f ca="1">ROUND((Table6[[#This Row],[XP]]*Table6[[#This Row],[entity_spawned (AVG)]])*(Table6[[#This Row],[activating_chance]]/100),0)</f>
        <v>25</v>
      </c>
      <c r="AZ127" s="144" t="str">
        <f ca="1">INDIRECT(ADDRESS(11+(MATCH(RIGHT(Table6[[#This Row],[spawner_sku]],LEN(Table6[[#This Row],[spawner_sku]])-FIND("/",Table6[[#This Row],[spawner_sku]])),Table28[Entity Prefab],0)),24,1,1,"Entities"))</f>
        <v>no</v>
      </c>
      <c r="BA127">
        <v>1</v>
      </c>
      <c r="BB127">
        <v>1</v>
      </c>
      <c r="BC127" t="b">
        <v>0</v>
      </c>
      <c r="BE127" t="s">
        <v>231</v>
      </c>
      <c r="BF127">
        <v>2.5</v>
      </c>
      <c r="BG127">
        <v>220</v>
      </c>
      <c r="BH127">
        <v>100</v>
      </c>
      <c r="BI127" s="74">
        <f ca="1">INDIRECT(ADDRESS(11+(MATCH(RIGHT(Table610[[#This Row],[spawner_sku]],LEN(Table610[[#This Row],[spawner_sku]])-FIND("/",Table610[[#This Row],[spawner_sku]])),Table1[Entity Prefab],0)),10,1,1,"Entities"))</f>
        <v>25</v>
      </c>
      <c r="BJ127" s="74">
        <f ca="1">ROUND((Table610[[#This Row],[XP]]*Table610[[#This Row],[entity_spawned (AVG)]])*(Table610[[#This Row],[activating_chance]]/100),0)</f>
        <v>63</v>
      </c>
      <c r="BK127" s="71" t="str">
        <f ca="1">INDIRECT(ADDRESS(11+(MATCH(RIGHT(Table610[[#This Row],[spawner_sku]],LEN(Table610[[#This Row],[spawner_sku]])-FIND("/",Table610[[#This Row],[spawner_sku]])),Table28[Entity Prefab],0)),24,1,1,"Entities"))</f>
        <v>yes</v>
      </c>
      <c r="BL127">
        <v>2</v>
      </c>
      <c r="BM127">
        <v>3</v>
      </c>
      <c r="BN127" t="b">
        <v>0</v>
      </c>
      <c r="BP127" t="s">
        <v>320</v>
      </c>
      <c r="BQ127">
        <v>2</v>
      </c>
      <c r="BR127">
        <v>250</v>
      </c>
      <c r="BS127">
        <v>100</v>
      </c>
      <c r="BT127" s="74">
        <f ca="1">INDIRECT(ADDRESS(11+(MATCH(RIGHT(Table61011[[#This Row],[spawner_sku]],LEN(Table61011[[#This Row],[spawner_sku]])-FIND("/",Table61011[[#This Row],[spawner_sku]])),Table1[Entity Prefab],0)),10,1,1,"Entities"))</f>
        <v>143</v>
      </c>
      <c r="BU127" s="74">
        <f ca="1">ROUND((Table61011[[#This Row],[XP]]*Table61011[[#This Row],[entity_spawned (AVG)]])*(Table61011[[#This Row],[activating_chance]]/100),0)</f>
        <v>286</v>
      </c>
      <c r="BV127" s="71" t="str">
        <f ca="1">INDIRECT(ADDRESS(11+(MATCH(RIGHT(Table61011[[#This Row],[spawner_sku]],LEN(Table61011[[#This Row],[spawner_sku]])-FIND("/",Table61011[[#This Row],[spawner_sku]])),Table28[Entity Prefab],0)),24,1,1,"Entities"))</f>
        <v>yes</v>
      </c>
      <c r="BW127" s="71">
        <v>2</v>
      </c>
      <c r="BX127" s="71">
        <v>2</v>
      </c>
      <c r="BY127" s="71" t="b">
        <v>0</v>
      </c>
      <c r="BZ127" s="71"/>
      <c r="CA127" s="147" t="s">
        <v>8142</v>
      </c>
      <c r="CB127">
        <v>1</v>
      </c>
      <c r="CC127">
        <v>200</v>
      </c>
      <c r="CD127">
        <v>100</v>
      </c>
      <c r="CE127" s="74">
        <f ca="1">INDIRECT(ADDRESS(11+(MATCH(RIGHT(Table35[[#This Row],[spawner_sku]],LEN(Table35[[#This Row],[spawner_sku]])-FIND("/",Table35[[#This Row],[spawner_sku]])),Table1[Entity Prefab],0)),10,1,1,"Entities"))</f>
        <v>75</v>
      </c>
      <c r="CF127" s="74">
        <f ca="1">ROUND((Table35[[#This Row],[XP]]*Table35[[#This Row],[entity_spawned (AVG)]])*(Table35[[#This Row],[activating_chance]]/100),0)</f>
        <v>75</v>
      </c>
      <c r="CG127" s="144" t="str">
        <f ca="1">INDIRECT(ADDRESS(11+(MATCH(RIGHT(Table35[[#This Row],[spawner_sku]],LEN(Table35[[#This Row],[spawner_sku]])-FIND("/",Table35[[#This Row],[spawner_sku]])),Table28[Entity Prefab],0)),24,1,1,"Entities"))</f>
        <v>no</v>
      </c>
      <c r="CH127">
        <v>1</v>
      </c>
      <c r="CI127">
        <v>1</v>
      </c>
      <c r="CJ127" s="71" t="b">
        <v>0</v>
      </c>
      <c r="CL127" t="s">
        <v>215</v>
      </c>
      <c r="CM127">
        <v>5.5</v>
      </c>
      <c r="CN127">
        <v>180</v>
      </c>
      <c r="CO127">
        <v>80</v>
      </c>
      <c r="CP127" s="74">
        <f ca="1">INDIRECT(ADDRESS(11+(MATCH(RIGHT(Table11[[#This Row],[spawner_sku]],LEN(Table11[[#This Row],[spawner_sku]])-FIND("/",Table11[[#This Row],[spawner_sku]])),Table1[Entity Prefab],0)),10,1,1,"Entities"))</f>
        <v>25</v>
      </c>
      <c r="CQ127">
        <f ca="1">ROUND((Table11[[#This Row],[XP]]*Table11[[#This Row],[entity_spawned (AVG)]])*(Table11[[#This Row],[activating_chance]]/100),0)</f>
        <v>110</v>
      </c>
      <c r="CR127" s="144" t="str">
        <f ca="1">INDIRECT(ADDRESS(11+(MATCH(RIGHT(Table11[[#This Row],[spawner_sku]],LEN(Table11[[#This Row],[spawner_sku]])-FIND("/",Table11[[#This Row],[spawner_sku]])),Table28[Entity Prefab],0)),25,1,1,"Entities"))</f>
        <v>no</v>
      </c>
      <c r="CS127" s="71">
        <v>5</v>
      </c>
      <c r="CT127" s="71">
        <v>6</v>
      </c>
      <c r="CU127" s="71" t="b">
        <v>1</v>
      </c>
      <c r="CW127" t="s">
        <v>240</v>
      </c>
      <c r="CX127">
        <v>1</v>
      </c>
      <c r="CY127">
        <v>170</v>
      </c>
      <c r="CZ127">
        <v>100</v>
      </c>
      <c r="DA127" s="74">
        <f ca="1">INDIRECT(ADDRESS(11+(MATCH(RIGHT(Table12[[#This Row],[spawner_sku]],LEN(Table12[[#This Row],[spawner_sku]])-FIND("/",Table12[[#This Row],[spawner_sku]])),Table1[Entity Prefab],0)),10,1,1,"Entities"))</f>
        <v>70</v>
      </c>
      <c r="DB127" s="74">
        <f ca="1">ROUND((Table12[[#This Row],[XP]]*Table12[[#This Row],[entity_spawned (AVG)]])*(Table12[[#This Row],[activating_chance]]/100),0)</f>
        <v>70</v>
      </c>
      <c r="DC127" s="144" t="str">
        <f ca="1">INDIRECT(ADDRESS(11+(MATCH(RIGHT(Table12[[#This Row],[spawner_sku]],LEN(Table12[[#This Row],[spawner_sku]])-FIND("/",Table12[[#This Row],[spawner_sku]])),Table28[Entity Prefab],0)),25,1,1,"Entities"))</f>
        <v>yes</v>
      </c>
      <c r="DD127" s="71">
        <v>1</v>
      </c>
      <c r="DE127" s="71">
        <v>1</v>
      </c>
      <c r="DF127" s="71" t="b">
        <v>0</v>
      </c>
      <c r="DH127" t="s">
        <v>367</v>
      </c>
      <c r="DI127">
        <v>1</v>
      </c>
      <c r="DJ127">
        <v>200</v>
      </c>
      <c r="DK127">
        <v>100</v>
      </c>
      <c r="DL127" s="74">
        <f ca="1">INDIRECT(ADDRESS(11+(MATCH(RIGHT(Table13[[#This Row],[spawner_sku]],LEN(Table13[[#This Row],[spawner_sku]])-FIND("/",Table13[[#This Row],[spawner_sku]])),Table1[Entity Prefab],0)),10,1,1,"Entities"))</f>
        <v>75</v>
      </c>
      <c r="DM127" s="74">
        <f ca="1">ROUND((Table13[[#This Row],[XP]]*Table13[[#This Row],[entity_spawned (AVG)]])*(Table13[[#This Row],[activating_chance]]/100),0)</f>
        <v>75</v>
      </c>
      <c r="DN127" s="144" t="str">
        <f ca="1">INDIRECT(ADDRESS(11+(MATCH(RIGHT(Table13[[#This Row],[spawner_sku]],LEN(Table13[[#This Row],[spawner_sku]])-FIND("/",Table13[[#This Row],[spawner_sku]])),Table28[Entity Prefab],0)),25,1,1,"Entities"))</f>
        <v>no</v>
      </c>
      <c r="DO127" s="71">
        <v>1</v>
      </c>
      <c r="DP127" s="71">
        <v>1</v>
      </c>
      <c r="DQ127" s="71" t="b">
        <v>0</v>
      </c>
      <c r="DS127" t="s">
        <v>214</v>
      </c>
      <c r="DT127">
        <v>3.5</v>
      </c>
      <c r="DU127">
        <v>120</v>
      </c>
      <c r="DV127">
        <v>80</v>
      </c>
      <c r="DW127" s="74">
        <f ca="1">INDIRECT(ADDRESS(11+(MATCH(RIGHT(Table14[[#This Row],[spawner_sku]],LEN(Table14[[#This Row],[spawner_sku]])-FIND("/",Table14[[#This Row],[spawner_sku]])),Table1[Entity Prefab],0)),10,1,1,"Entities"))</f>
        <v>25</v>
      </c>
      <c r="DX127" s="74">
        <f ca="1">ROUND((Table14[[#This Row],[XP]]*Table14[[#This Row],[entity_spawned (AVG)]])*(Table14[[#This Row],[activating_chance]]/100),0)</f>
        <v>70</v>
      </c>
      <c r="DY127" s="144" t="str">
        <f ca="1">INDIRECT(ADDRESS(11+(MATCH(RIGHT(Table14[[#This Row],[spawner_sku]],LEN(Table14[[#This Row],[spawner_sku]])-FIND("/",Table14[[#This Row],[spawner_sku]])),Table28[Entity Prefab],0)),25,1,1,"Entities"))</f>
        <v>no</v>
      </c>
      <c r="DZ127" s="71">
        <v>3</v>
      </c>
      <c r="EA127" s="71">
        <v>4</v>
      </c>
      <c r="EB127" s="71" t="b">
        <v>0</v>
      </c>
      <c r="EC127" s="71"/>
      <c r="ED127" s="147" t="s">
        <v>3818</v>
      </c>
      <c r="EE127" s="71">
        <v>1</v>
      </c>
      <c r="EF127" s="71">
        <v>240</v>
      </c>
      <c r="EG127" s="71">
        <v>100</v>
      </c>
      <c r="EH127" s="71">
        <f ca="1">INDIRECT(ADDRESS(11+(MATCH(RIGHT(Table36[[#This Row],[spawner_sku]],LEN(Table36[[#This Row],[spawner_sku]])-FIND("/",Table36[[#This Row],[spawner_sku]])),Table1[Entity Prefab],0)),10,1,1,"Entities"))</f>
        <v>10</v>
      </c>
      <c r="EI127" s="71">
        <f ca="1">ROUND((Table36[[#This Row],[XP]]*Table36[[#This Row],[entity_spawned (AVG)]])*(Table36[[#This Row],[activating_chance]]/100),0)</f>
        <v>10</v>
      </c>
      <c r="EJ127" s="71" t="str">
        <f ca="1">INDIRECT(ADDRESS(11+(MATCH(RIGHT(Table36[[#This Row],[spawner_sku]],LEN(Table36[[#This Row],[spawner_sku]])-FIND("/",Table36[[#This Row],[spawner_sku]])),Table28[Entity Prefab],0)),25,1,1,"Entities"))</f>
        <v>no</v>
      </c>
      <c r="EK127" s="71">
        <v>1</v>
      </c>
      <c r="EL127" s="71">
        <v>1</v>
      </c>
      <c r="EM127" s="71" t="b">
        <v>0</v>
      </c>
      <c r="EO127" t="s">
        <v>219</v>
      </c>
      <c r="EP127">
        <v>2.5</v>
      </c>
      <c r="EQ127">
        <v>250</v>
      </c>
      <c r="ER127">
        <v>100</v>
      </c>
      <c r="ES127" s="74">
        <f ca="1">INDIRECT(ADDRESS(11+(MATCH(RIGHT(Table18[[#This Row],[spawner_sku]],LEN(Table18[[#This Row],[spawner_sku]])-FIND("/",Table18[[#This Row],[spawner_sku]])),Table1[Entity Prefab],0)),10,1,1,"Entities"))</f>
        <v>143</v>
      </c>
      <c r="ET127" s="74">
        <f ca="1">ROUND((Table18[[#This Row],[XP]]*Table18[[#This Row],[entity_spawned (AVG)]])*(Table18[[#This Row],[activating_chance]]/100),0)</f>
        <v>358</v>
      </c>
      <c r="EU127" s="74" t="str">
        <f ca="1">INDIRECT(ADDRESS(11+(MATCH(RIGHT(Table18[[#This Row],[spawner_sku]],LEN(Table18[[#This Row],[spawner_sku]])-FIND("/",Table18[[#This Row],[spawner_sku]])),Table28[Entity Prefab],0)),26,1,1,"Entities"))</f>
        <v>yes</v>
      </c>
      <c r="EV127">
        <v>2</v>
      </c>
      <c r="EW127">
        <v>3</v>
      </c>
      <c r="EX127" t="b">
        <v>0</v>
      </c>
      <c r="EZ127" t="s">
        <v>383</v>
      </c>
      <c r="FA127">
        <v>1</v>
      </c>
      <c r="FB127">
        <v>340</v>
      </c>
      <c r="FC127">
        <v>100</v>
      </c>
      <c r="FD127" s="74">
        <f ca="1">INDIRECT(ADDRESS(11+(MATCH(RIGHT(Table1820[[#This Row],[spawner_sku]],LEN(Table1820[[#This Row],[spawner_sku]])-FIND("/",Table1820[[#This Row],[spawner_sku]])),Table1[Entity Prefab],0)),10,1,1,"Entities"))</f>
        <v>263</v>
      </c>
      <c r="FE127" s="74">
        <f ca="1">ROUND((Table1820[[#This Row],[XP]]*Table1820[[#This Row],[entity_spawned (AVG)]])*(Table1820[[#This Row],[activating_chance]]/100),0)</f>
        <v>263</v>
      </c>
      <c r="FF127" s="74" t="str">
        <f ca="1">INDIRECT(ADDRESS(11+(MATCH(RIGHT(Table1820[[#This Row],[spawner_sku]],LEN(Table1820[[#This Row],[spawner_sku]])-FIND("/",Table1820[[#This Row],[spawner_sku]])),Table28[Entity Prefab],0)),26,1,1,"Entities"))</f>
        <v>yes</v>
      </c>
      <c r="FG127">
        <v>1</v>
      </c>
      <c r="FH127">
        <v>1</v>
      </c>
      <c r="FI127" t="b">
        <v>0</v>
      </c>
      <c r="FK127" t="s">
        <v>2692</v>
      </c>
      <c r="FL127">
        <v>1</v>
      </c>
      <c r="FM127">
        <v>120</v>
      </c>
      <c r="FN127">
        <v>100</v>
      </c>
      <c r="FO127">
        <f ca="1">INDIRECT(ADDRESS(11+(MATCH(RIGHT(Table182023[[#This Row],[spawner_sku]],LEN(Table182023[[#This Row],[spawner_sku]])-FIND("/",Table182023[[#This Row],[spawner_sku]])),Table1[Entity Prefab],0)),10,1,1,"Entities"))</f>
        <v>263</v>
      </c>
      <c r="FP127">
        <f ca="1">ROUND((Table182023[[#This Row],[XP]]*Table182023[[#This Row],[entity_spawned (AVG)]])*(Table182023[[#This Row],[activating_chance]]/100),0)</f>
        <v>263</v>
      </c>
      <c r="FQ127" t="str">
        <f ca="1">INDIRECT(ADDRESS(11+(MATCH(RIGHT(Table182023[[#This Row],[spawner_sku]],LEN(Table182023[[#This Row],[spawner_sku]])-FIND("/",Table182023[[#This Row],[spawner_sku]])),Table28[Entity Prefab],0)),26,1,1,"Entities"))</f>
        <v>yes</v>
      </c>
      <c r="FR127">
        <v>1</v>
      </c>
      <c r="FS127">
        <v>1</v>
      </c>
      <c r="FT127" t="b">
        <v>0</v>
      </c>
      <c r="FV127" t="s">
        <v>2691</v>
      </c>
      <c r="FW127">
        <v>1</v>
      </c>
      <c r="FX127">
        <v>70</v>
      </c>
      <c r="FY127">
        <v>100</v>
      </c>
      <c r="FZ127" s="74">
        <f ca="1">INDIRECT(ADDRESS(11+(MATCH(RIGHT(Table18202324[[#This Row],[spawner_sku]],LEN(Table18202324[[#This Row],[spawner_sku]])-FIND("/",Table18202324[[#This Row],[spawner_sku]])),Table1[Entity Prefab],0)),10,1,1,"Entities"))</f>
        <v>105</v>
      </c>
      <c r="GA127" s="74">
        <f ca="1">ROUND((Table18202324[[#This Row],[XP]]*Table18202324[[#This Row],[entity_spawned (AVG)]])*(Table18202324[[#This Row],[activating_chance]]/100),0)</f>
        <v>105</v>
      </c>
      <c r="GB127" s="74" t="str">
        <f ca="1">INDIRECT(ADDRESS(11+(MATCH(RIGHT(Table18202324[[#This Row],[spawner_sku]],LEN(Table18202324[[#This Row],[spawner_sku]])-FIND("/",Table18202324[[#This Row],[spawner_sku]])),Table28[Entity Prefab],0)),26,1,1,"Entities"))</f>
        <v>no</v>
      </c>
      <c r="GC127">
        <v>1</v>
      </c>
      <c r="GD127">
        <v>1</v>
      </c>
      <c r="GE127" t="b">
        <v>0</v>
      </c>
      <c r="GG127" t="s">
        <v>3816</v>
      </c>
      <c r="GH127">
        <v>1</v>
      </c>
      <c r="GI127">
        <v>240</v>
      </c>
      <c r="GJ127">
        <v>100</v>
      </c>
      <c r="GK127">
        <f ca="1">INDIRECT(ADDRESS(11+(MATCH(RIGHT(Table37[[#This Row],[spawner_sku]],LEN(Table37[[#This Row],[spawner_sku]])-FIND("/",Table37[[#This Row],[spawner_sku]])),Table1[Entity Prefab],0)),10,1,1,"Entities"))</f>
        <v>50</v>
      </c>
      <c r="GL127">
        <f ca="1">ROUND((Table37[[#This Row],[XP]]*Table37[[#This Row],[entity_spawned (AVG)]])*(Table37[[#This Row],[activating_chance]]/100),0)</f>
        <v>50</v>
      </c>
      <c r="GM127" t="str">
        <f ca="1">INDIRECT(ADDRESS(11+(MATCH(RIGHT(Table37[[#This Row],[spawner_sku]],LEN(Table37[[#This Row],[spawner_sku]])-FIND("/",Table37[[#This Row],[spawner_sku]])),Table28[Entity Prefab],0)),26,1,1,"Entities"))</f>
        <v>no</v>
      </c>
      <c r="GN127">
        <v>1</v>
      </c>
      <c r="GO127">
        <v>1</v>
      </c>
      <c r="GP127" t="b">
        <v>0</v>
      </c>
    </row>
    <row r="128" spans="2:198" x14ac:dyDescent="0.25">
      <c r="B128" s="72" t="s">
        <v>215</v>
      </c>
      <c r="C128">
        <v>3</v>
      </c>
      <c r="D128">
        <v>160</v>
      </c>
      <c r="E128">
        <v>100</v>
      </c>
      <c r="F128" s="74">
        <f ca="1">INDIRECT(ADDRESS(11+(MATCH(RIGHT(Table245[[#This Row],[spawner_sku]],LEN(Table245[[#This Row],[spawner_sku]])-FIND("/",Table245[[#This Row],[spawner_sku]])),Table1[Entity Prefab],0)),10,1,1,"Entities"))</f>
        <v>25</v>
      </c>
      <c r="G128" s="74">
        <f ca="1">ROUND((Table245[[#This Row],[XP]]*Table245[[#This Row],[entity_spawned (AVG)]])*(Table245[[#This Row],[activating_chance]]/100),0)</f>
        <v>75</v>
      </c>
      <c r="H128" s="71" t="str">
        <f ca="1">INDIRECT(ADDRESS(11+(MATCH(RIGHT(Table245[[#This Row],[spawner_sku]],LEN(Table245[[#This Row],[spawner_sku]])-FIND("/",Table245[[#This Row],[spawner_sku]])),Table28[Entity Prefab],0)),24,1,1,"Entities"))</f>
        <v>no</v>
      </c>
      <c r="I128" s="71">
        <v>3</v>
      </c>
      <c r="J128" s="71">
        <v>3</v>
      </c>
      <c r="K128" s="71" t="b">
        <v>0</v>
      </c>
      <c r="M128" t="s">
        <v>243</v>
      </c>
      <c r="N128">
        <v>1</v>
      </c>
      <c r="O128">
        <v>140</v>
      </c>
      <c r="P128">
        <v>100</v>
      </c>
      <c r="Q128" s="74">
        <f ca="1">INDIRECT(ADDRESS(11+(MATCH(RIGHT(Table3[[#This Row],[spawner_sku]],LEN(Table3[[#This Row],[spawner_sku]])-FIND("/",Table3[[#This Row],[spawner_sku]])),Table1[Entity Prefab],0)),10,1,1,"Entities"))</f>
        <v>25</v>
      </c>
      <c r="R128" s="74">
        <f ca="1">ROUND((Table3[[#This Row],[XP]]*Table3[[#This Row],[entity_spawned (AVG)]])*(Table3[[#This Row],[activating_chance]]/100),0)</f>
        <v>25</v>
      </c>
      <c r="S128" t="str">
        <f ca="1">INDIRECT(ADDRESS(11+(MATCH(RIGHT(Table3[[#This Row],[spawner_sku]],LEN(Table3[[#This Row],[spawner_sku]])-FIND("/",Table3[[#This Row],[spawner_sku]])),Table28[Entity Prefab],0)),24,1,1,"Entities"))</f>
        <v>no</v>
      </c>
      <c r="T128">
        <v>1</v>
      </c>
      <c r="U128">
        <v>1</v>
      </c>
      <c r="V128" t="b">
        <v>0</v>
      </c>
      <c r="W128" s="71"/>
      <c r="AI128" t="s">
        <v>216</v>
      </c>
      <c r="AJ128">
        <v>2</v>
      </c>
      <c r="AK128">
        <v>100</v>
      </c>
      <c r="AL128">
        <v>100</v>
      </c>
      <c r="AM128" s="74">
        <f ca="1">INDIRECT(ADDRESS(11+(MATCH(RIGHT(Table2[[#This Row],[spawner_sku]],LEN(Table2[[#This Row],[spawner_sku]])-FIND("/",Table2[[#This Row],[spawner_sku]])),Table1[Entity Prefab],0)),10,1,1,"Entities"))</f>
        <v>25</v>
      </c>
      <c r="AN128" s="74">
        <f ca="1">ROUND((Table2[[#This Row],[XP]]*Table2[[#This Row],[entity_spawned (AVG)]])*(Table2[[#This Row],[activating_chance]]/100),0)</f>
        <v>50</v>
      </c>
      <c r="AO128" s="71" t="str">
        <f ca="1">INDIRECT(ADDRESS(11+(MATCH(RIGHT(Table2[[#This Row],[spawner_sku]],LEN(Table2[[#This Row],[spawner_sku]])-FIND("/",Table2[[#This Row],[spawner_sku]])),Table28[Entity Prefab],0)),24,1,1,"Entities"))</f>
        <v>no</v>
      </c>
      <c r="AP128" s="71">
        <v>1</v>
      </c>
      <c r="AQ128" s="71">
        <v>3</v>
      </c>
      <c r="AR128" s="71" t="b">
        <v>0</v>
      </c>
      <c r="AT128" t="s">
        <v>556</v>
      </c>
      <c r="AU128">
        <v>1</v>
      </c>
      <c r="AV128">
        <v>120</v>
      </c>
      <c r="AW128">
        <v>100</v>
      </c>
      <c r="AX128" s="74">
        <f ca="1">INDIRECT(ADDRESS(11+(MATCH(RIGHT(Table6[[#This Row],[spawner_sku]],LEN(Table6[[#This Row],[spawner_sku]])-FIND("/",Table6[[#This Row],[spawner_sku]])),Table1[Entity Prefab],0)),10,1,1,"Entities"))</f>
        <v>25</v>
      </c>
      <c r="AY128" s="74">
        <f ca="1">ROUND((Table6[[#This Row],[XP]]*Table6[[#This Row],[entity_spawned (AVG)]])*(Table6[[#This Row],[activating_chance]]/100),0)</f>
        <v>25</v>
      </c>
      <c r="AZ128" s="144" t="str">
        <f ca="1">INDIRECT(ADDRESS(11+(MATCH(RIGHT(Table6[[#This Row],[spawner_sku]],LEN(Table6[[#This Row],[spawner_sku]])-FIND("/",Table6[[#This Row],[spawner_sku]])),Table28[Entity Prefab],0)),24,1,1,"Entities"))</f>
        <v>no</v>
      </c>
      <c r="BA128">
        <v>1</v>
      </c>
      <c r="BB128">
        <v>1</v>
      </c>
      <c r="BC128" t="b">
        <v>0</v>
      </c>
      <c r="BE128" t="s">
        <v>231</v>
      </c>
      <c r="BF128">
        <v>1</v>
      </c>
      <c r="BG128">
        <v>220</v>
      </c>
      <c r="BH128">
        <v>100</v>
      </c>
      <c r="BI128" s="74">
        <f ca="1">INDIRECT(ADDRESS(11+(MATCH(RIGHT(Table610[[#This Row],[spawner_sku]],LEN(Table610[[#This Row],[spawner_sku]])-FIND("/",Table610[[#This Row],[spawner_sku]])),Table1[Entity Prefab],0)),10,1,1,"Entities"))</f>
        <v>25</v>
      </c>
      <c r="BJ128" s="74">
        <f ca="1">ROUND((Table610[[#This Row],[XP]]*Table610[[#This Row],[entity_spawned (AVG)]])*(Table610[[#This Row],[activating_chance]]/100),0)</f>
        <v>25</v>
      </c>
      <c r="BK128" s="71" t="str">
        <f ca="1">INDIRECT(ADDRESS(11+(MATCH(RIGHT(Table610[[#This Row],[spawner_sku]],LEN(Table610[[#This Row],[spawner_sku]])-FIND("/",Table610[[#This Row],[spawner_sku]])),Table28[Entity Prefab],0)),24,1,1,"Entities"))</f>
        <v>yes</v>
      </c>
      <c r="BL128">
        <v>1</v>
      </c>
      <c r="BM128">
        <v>1</v>
      </c>
      <c r="BN128" t="b">
        <v>0</v>
      </c>
      <c r="BP128" t="s">
        <v>220</v>
      </c>
      <c r="BQ128">
        <v>1</v>
      </c>
      <c r="BR128">
        <v>300</v>
      </c>
      <c r="BS128">
        <v>100</v>
      </c>
      <c r="BT128" s="74">
        <f ca="1">INDIRECT(ADDRESS(11+(MATCH(RIGHT(Table61011[[#This Row],[spawner_sku]],LEN(Table61011[[#This Row],[spawner_sku]])-FIND("/",Table61011[[#This Row],[spawner_sku]])),Table1[Entity Prefab],0)),10,1,1,"Entities"))</f>
        <v>195</v>
      </c>
      <c r="BU128" s="74">
        <f ca="1">ROUND((Table61011[[#This Row],[XP]]*Table61011[[#This Row],[entity_spawned (AVG)]])*(Table61011[[#This Row],[activating_chance]]/100),0)</f>
        <v>195</v>
      </c>
      <c r="BV128" s="71" t="str">
        <f ca="1">INDIRECT(ADDRESS(11+(MATCH(RIGHT(Table61011[[#This Row],[spawner_sku]],LEN(Table61011[[#This Row],[spawner_sku]])-FIND("/",Table61011[[#This Row],[spawner_sku]])),Table28[Entity Prefab],0)),24,1,1,"Entities"))</f>
        <v>yes</v>
      </c>
      <c r="BW128" s="71">
        <v>1</v>
      </c>
      <c r="BX128" s="71">
        <v>1</v>
      </c>
      <c r="BY128" s="71" t="b">
        <v>0</v>
      </c>
      <c r="BZ128" s="71"/>
      <c r="CA128" s="147" t="s">
        <v>8142</v>
      </c>
      <c r="CB128">
        <v>1</v>
      </c>
      <c r="CC128">
        <v>200</v>
      </c>
      <c r="CD128">
        <v>100</v>
      </c>
      <c r="CE128" s="74">
        <f ca="1">INDIRECT(ADDRESS(11+(MATCH(RIGHT(Table35[[#This Row],[spawner_sku]],LEN(Table35[[#This Row],[spawner_sku]])-FIND("/",Table35[[#This Row],[spawner_sku]])),Table1[Entity Prefab],0)),10,1,1,"Entities"))</f>
        <v>75</v>
      </c>
      <c r="CF128" s="74">
        <f ca="1">ROUND((Table35[[#This Row],[XP]]*Table35[[#This Row],[entity_spawned (AVG)]])*(Table35[[#This Row],[activating_chance]]/100),0)</f>
        <v>75</v>
      </c>
      <c r="CG128" s="144" t="str">
        <f ca="1">INDIRECT(ADDRESS(11+(MATCH(RIGHT(Table35[[#This Row],[spawner_sku]],LEN(Table35[[#This Row],[spawner_sku]])-FIND("/",Table35[[#This Row],[spawner_sku]])),Table28[Entity Prefab],0)),24,1,1,"Entities"))</f>
        <v>no</v>
      </c>
      <c r="CH128">
        <v>1</v>
      </c>
      <c r="CI128">
        <v>1</v>
      </c>
      <c r="CJ128" s="71" t="b">
        <v>0</v>
      </c>
      <c r="CL128" t="s">
        <v>215</v>
      </c>
      <c r="CM128">
        <v>1</v>
      </c>
      <c r="CN128">
        <v>180</v>
      </c>
      <c r="CO128">
        <v>100</v>
      </c>
      <c r="CP128" s="74">
        <f ca="1">INDIRECT(ADDRESS(11+(MATCH(RIGHT(Table11[[#This Row],[spawner_sku]],LEN(Table11[[#This Row],[spawner_sku]])-FIND("/",Table11[[#This Row],[spawner_sku]])),Table1[Entity Prefab],0)),10,1,1,"Entities"))</f>
        <v>25</v>
      </c>
      <c r="CQ128">
        <f ca="1">ROUND((Table11[[#This Row],[XP]]*Table11[[#This Row],[entity_spawned (AVG)]])*(Table11[[#This Row],[activating_chance]]/100),0)</f>
        <v>25</v>
      </c>
      <c r="CR128" s="144" t="str">
        <f ca="1">INDIRECT(ADDRESS(11+(MATCH(RIGHT(Table11[[#This Row],[spawner_sku]],LEN(Table11[[#This Row],[spawner_sku]])-FIND("/",Table11[[#This Row],[spawner_sku]])),Table28[Entity Prefab],0)),25,1,1,"Entities"))</f>
        <v>no</v>
      </c>
      <c r="CS128" s="71">
        <v>1</v>
      </c>
      <c r="CT128" s="71">
        <v>1</v>
      </c>
      <c r="CU128" s="71" t="b">
        <v>0</v>
      </c>
      <c r="CW128" t="s">
        <v>240</v>
      </c>
      <c r="CX128">
        <v>1</v>
      </c>
      <c r="CY128">
        <v>170</v>
      </c>
      <c r="CZ128">
        <v>100</v>
      </c>
      <c r="DA128" s="74">
        <f ca="1">INDIRECT(ADDRESS(11+(MATCH(RIGHT(Table12[[#This Row],[spawner_sku]],LEN(Table12[[#This Row],[spawner_sku]])-FIND("/",Table12[[#This Row],[spawner_sku]])),Table1[Entity Prefab],0)),10,1,1,"Entities"))</f>
        <v>70</v>
      </c>
      <c r="DB128" s="74">
        <f ca="1">ROUND((Table12[[#This Row],[XP]]*Table12[[#This Row],[entity_spawned (AVG)]])*(Table12[[#This Row],[activating_chance]]/100),0)</f>
        <v>70</v>
      </c>
      <c r="DC128" s="144" t="str">
        <f ca="1">INDIRECT(ADDRESS(11+(MATCH(RIGHT(Table12[[#This Row],[spawner_sku]],LEN(Table12[[#This Row],[spawner_sku]])-FIND("/",Table12[[#This Row],[spawner_sku]])),Table28[Entity Prefab],0)),25,1,1,"Entities"))</f>
        <v>yes</v>
      </c>
      <c r="DD128" s="71">
        <v>1</v>
      </c>
      <c r="DE128" s="71">
        <v>1</v>
      </c>
      <c r="DF128" s="71" t="b">
        <v>0</v>
      </c>
      <c r="DH128" t="s">
        <v>367</v>
      </c>
      <c r="DI128">
        <v>1</v>
      </c>
      <c r="DJ128">
        <v>200</v>
      </c>
      <c r="DK128">
        <v>100</v>
      </c>
      <c r="DL128" s="74">
        <f ca="1">INDIRECT(ADDRESS(11+(MATCH(RIGHT(Table13[[#This Row],[spawner_sku]],LEN(Table13[[#This Row],[spawner_sku]])-FIND("/",Table13[[#This Row],[spawner_sku]])),Table1[Entity Prefab],0)),10,1,1,"Entities"))</f>
        <v>75</v>
      </c>
      <c r="DM128" s="74">
        <f ca="1">ROUND((Table13[[#This Row],[XP]]*Table13[[#This Row],[entity_spawned (AVG)]])*(Table13[[#This Row],[activating_chance]]/100),0)</f>
        <v>75</v>
      </c>
      <c r="DN128" s="144" t="str">
        <f ca="1">INDIRECT(ADDRESS(11+(MATCH(RIGHT(Table13[[#This Row],[spawner_sku]],LEN(Table13[[#This Row],[spawner_sku]])-FIND("/",Table13[[#This Row],[spawner_sku]])),Table28[Entity Prefab],0)),25,1,1,"Entities"))</f>
        <v>no</v>
      </c>
      <c r="DO128" s="71">
        <v>1</v>
      </c>
      <c r="DP128" s="71">
        <v>1</v>
      </c>
      <c r="DQ128" s="71" t="b">
        <v>0</v>
      </c>
      <c r="DS128" t="s">
        <v>214</v>
      </c>
      <c r="DT128">
        <v>3.5</v>
      </c>
      <c r="DU128">
        <v>100</v>
      </c>
      <c r="DV128">
        <v>100</v>
      </c>
      <c r="DW128" s="74">
        <f ca="1">INDIRECT(ADDRESS(11+(MATCH(RIGHT(Table14[[#This Row],[spawner_sku]],LEN(Table14[[#This Row],[spawner_sku]])-FIND("/",Table14[[#This Row],[spawner_sku]])),Table1[Entity Prefab],0)),10,1,1,"Entities"))</f>
        <v>25</v>
      </c>
      <c r="DX128" s="74">
        <f ca="1">ROUND((Table14[[#This Row],[XP]]*Table14[[#This Row],[entity_spawned (AVG)]])*(Table14[[#This Row],[activating_chance]]/100),0)</f>
        <v>88</v>
      </c>
      <c r="DY128" s="144" t="str">
        <f ca="1">INDIRECT(ADDRESS(11+(MATCH(RIGHT(Table14[[#This Row],[spawner_sku]],LEN(Table14[[#This Row],[spawner_sku]])-FIND("/",Table14[[#This Row],[spawner_sku]])),Table28[Entity Prefab],0)),25,1,1,"Entities"))</f>
        <v>no</v>
      </c>
      <c r="DZ128" s="71">
        <v>3</v>
      </c>
      <c r="EA128" s="71">
        <v>4</v>
      </c>
      <c r="EB128" s="71" t="b">
        <v>0</v>
      </c>
      <c r="EC128" s="71"/>
      <c r="ED128" s="147" t="s">
        <v>3818</v>
      </c>
      <c r="EE128" s="71">
        <v>1</v>
      </c>
      <c r="EF128" s="71">
        <v>240</v>
      </c>
      <c r="EG128" s="71">
        <v>50</v>
      </c>
      <c r="EH128" s="71">
        <f ca="1">INDIRECT(ADDRESS(11+(MATCH(RIGHT(Table36[[#This Row],[spawner_sku]],LEN(Table36[[#This Row],[spawner_sku]])-FIND("/",Table36[[#This Row],[spawner_sku]])),Table1[Entity Prefab],0)),10,1,1,"Entities"))</f>
        <v>10</v>
      </c>
      <c r="EI128" s="71">
        <f ca="1">ROUND((Table36[[#This Row],[XP]]*Table36[[#This Row],[entity_spawned (AVG)]])*(Table36[[#This Row],[activating_chance]]/100),0)</f>
        <v>5</v>
      </c>
      <c r="EJ128" s="71" t="str">
        <f ca="1">INDIRECT(ADDRESS(11+(MATCH(RIGHT(Table36[[#This Row],[spawner_sku]],LEN(Table36[[#This Row],[spawner_sku]])-FIND("/",Table36[[#This Row],[spawner_sku]])),Table28[Entity Prefab],0)),25,1,1,"Entities"))</f>
        <v>no</v>
      </c>
      <c r="EK128" s="71">
        <v>1</v>
      </c>
      <c r="EL128" s="71">
        <v>1</v>
      </c>
      <c r="EM128" s="71" t="b">
        <v>0</v>
      </c>
      <c r="EO128" t="s">
        <v>219</v>
      </c>
      <c r="EP128">
        <v>1.5</v>
      </c>
      <c r="EQ128">
        <v>250</v>
      </c>
      <c r="ER128">
        <v>100</v>
      </c>
      <c r="ES128" s="74">
        <f ca="1">INDIRECT(ADDRESS(11+(MATCH(RIGHT(Table18[[#This Row],[spawner_sku]],LEN(Table18[[#This Row],[spawner_sku]])-FIND("/",Table18[[#This Row],[spawner_sku]])),Table1[Entity Prefab],0)),10,1,1,"Entities"))</f>
        <v>143</v>
      </c>
      <c r="ET128" s="74">
        <f ca="1">ROUND((Table18[[#This Row],[XP]]*Table18[[#This Row],[entity_spawned (AVG)]])*(Table18[[#This Row],[activating_chance]]/100),0)</f>
        <v>215</v>
      </c>
      <c r="EU128" s="74" t="str">
        <f ca="1">INDIRECT(ADDRESS(11+(MATCH(RIGHT(Table18[[#This Row],[spawner_sku]],LEN(Table18[[#This Row],[spawner_sku]])-FIND("/",Table18[[#This Row],[spawner_sku]])),Table28[Entity Prefab],0)),26,1,1,"Entities"))</f>
        <v>yes</v>
      </c>
      <c r="EV128">
        <v>1</v>
      </c>
      <c r="EW128">
        <v>2</v>
      </c>
      <c r="EX128" t="b">
        <v>0</v>
      </c>
      <c r="EZ128" t="s">
        <v>383</v>
      </c>
      <c r="FA128">
        <v>1</v>
      </c>
      <c r="FB128">
        <v>340</v>
      </c>
      <c r="FC128">
        <v>100</v>
      </c>
      <c r="FD128" s="74">
        <f ca="1">INDIRECT(ADDRESS(11+(MATCH(RIGHT(Table1820[[#This Row],[spawner_sku]],LEN(Table1820[[#This Row],[spawner_sku]])-FIND("/",Table1820[[#This Row],[spawner_sku]])),Table1[Entity Prefab],0)),10,1,1,"Entities"))</f>
        <v>263</v>
      </c>
      <c r="FE128" s="74">
        <f ca="1">ROUND((Table1820[[#This Row],[XP]]*Table1820[[#This Row],[entity_spawned (AVG)]])*(Table1820[[#This Row],[activating_chance]]/100),0)</f>
        <v>263</v>
      </c>
      <c r="FF128" s="74" t="str">
        <f ca="1">INDIRECT(ADDRESS(11+(MATCH(RIGHT(Table1820[[#This Row],[spawner_sku]],LEN(Table1820[[#This Row],[spawner_sku]])-FIND("/",Table1820[[#This Row],[spawner_sku]])),Table28[Entity Prefab],0)),26,1,1,"Entities"))</f>
        <v>yes</v>
      </c>
      <c r="FG128">
        <v>1</v>
      </c>
      <c r="FH128">
        <v>1</v>
      </c>
      <c r="FI128" t="b">
        <v>0</v>
      </c>
      <c r="FK128" t="s">
        <v>2692</v>
      </c>
      <c r="FL128">
        <v>1.5</v>
      </c>
      <c r="FM128">
        <v>120</v>
      </c>
      <c r="FN128">
        <v>100</v>
      </c>
      <c r="FO128">
        <f ca="1">INDIRECT(ADDRESS(11+(MATCH(RIGHT(Table182023[[#This Row],[spawner_sku]],LEN(Table182023[[#This Row],[spawner_sku]])-FIND("/",Table182023[[#This Row],[spawner_sku]])),Table1[Entity Prefab],0)),10,1,1,"Entities"))</f>
        <v>263</v>
      </c>
      <c r="FP128">
        <f ca="1">ROUND((Table182023[[#This Row],[XP]]*Table182023[[#This Row],[entity_spawned (AVG)]])*(Table182023[[#This Row],[activating_chance]]/100),0)</f>
        <v>395</v>
      </c>
      <c r="FQ128" t="str">
        <f ca="1">INDIRECT(ADDRESS(11+(MATCH(RIGHT(Table182023[[#This Row],[spawner_sku]],LEN(Table182023[[#This Row],[spawner_sku]])-FIND("/",Table182023[[#This Row],[spawner_sku]])),Table28[Entity Prefab],0)),26,1,1,"Entities"))</f>
        <v>yes</v>
      </c>
      <c r="FR128">
        <v>1</v>
      </c>
      <c r="FS128">
        <v>2</v>
      </c>
      <c r="FT128" t="b">
        <v>0</v>
      </c>
      <c r="FV128" t="s">
        <v>2691</v>
      </c>
      <c r="FW128">
        <v>1</v>
      </c>
      <c r="FX128">
        <v>100</v>
      </c>
      <c r="FY128">
        <v>100</v>
      </c>
      <c r="FZ128" s="74">
        <f ca="1">INDIRECT(ADDRESS(11+(MATCH(RIGHT(Table18202324[[#This Row],[spawner_sku]],LEN(Table18202324[[#This Row],[spawner_sku]])-FIND("/",Table18202324[[#This Row],[spawner_sku]])),Table1[Entity Prefab],0)),10,1,1,"Entities"))</f>
        <v>105</v>
      </c>
      <c r="GA128" s="74">
        <f ca="1">ROUND((Table18202324[[#This Row],[XP]]*Table18202324[[#This Row],[entity_spawned (AVG)]])*(Table18202324[[#This Row],[activating_chance]]/100),0)</f>
        <v>105</v>
      </c>
      <c r="GB128" s="74" t="str">
        <f ca="1">INDIRECT(ADDRESS(11+(MATCH(RIGHT(Table18202324[[#This Row],[spawner_sku]],LEN(Table18202324[[#This Row],[spawner_sku]])-FIND("/",Table18202324[[#This Row],[spawner_sku]])),Table28[Entity Prefab],0)),26,1,1,"Entities"))</f>
        <v>no</v>
      </c>
      <c r="GC128">
        <v>1</v>
      </c>
      <c r="GD128">
        <v>1</v>
      </c>
      <c r="GE128" t="b">
        <v>0</v>
      </c>
      <c r="GG128" t="s">
        <v>3816</v>
      </c>
      <c r="GH128">
        <v>1</v>
      </c>
      <c r="GI128">
        <v>240</v>
      </c>
      <c r="GJ128">
        <v>100</v>
      </c>
      <c r="GK128">
        <f ca="1">INDIRECT(ADDRESS(11+(MATCH(RIGHT(Table37[[#This Row],[spawner_sku]],LEN(Table37[[#This Row],[spawner_sku]])-FIND("/",Table37[[#This Row],[spawner_sku]])),Table1[Entity Prefab],0)),10,1,1,"Entities"))</f>
        <v>50</v>
      </c>
      <c r="GL128">
        <f ca="1">ROUND((Table37[[#This Row],[XP]]*Table37[[#This Row],[entity_spawned (AVG)]])*(Table37[[#This Row],[activating_chance]]/100),0)</f>
        <v>50</v>
      </c>
      <c r="GM128" t="str">
        <f ca="1">INDIRECT(ADDRESS(11+(MATCH(RIGHT(Table37[[#This Row],[spawner_sku]],LEN(Table37[[#This Row],[spawner_sku]])-FIND("/",Table37[[#This Row],[spawner_sku]])),Table28[Entity Prefab],0)),26,1,1,"Entities"))</f>
        <v>no</v>
      </c>
      <c r="GN128">
        <v>1</v>
      </c>
      <c r="GO128">
        <v>1</v>
      </c>
      <c r="GP128" t="b">
        <v>0</v>
      </c>
    </row>
    <row r="129" spans="2:198" x14ac:dyDescent="0.25">
      <c r="B129" s="72" t="s">
        <v>215</v>
      </c>
      <c r="C129">
        <v>9</v>
      </c>
      <c r="D129">
        <v>200</v>
      </c>
      <c r="E129">
        <v>100</v>
      </c>
      <c r="F129" s="74">
        <f ca="1">INDIRECT(ADDRESS(11+(MATCH(RIGHT(Table245[[#This Row],[spawner_sku]],LEN(Table245[[#This Row],[spawner_sku]])-FIND("/",Table245[[#This Row],[spawner_sku]])),Table1[Entity Prefab],0)),10,1,1,"Entities"))</f>
        <v>25</v>
      </c>
      <c r="G129" s="74">
        <f ca="1">ROUND((Table245[[#This Row],[XP]]*Table245[[#This Row],[entity_spawned (AVG)]])*(Table245[[#This Row],[activating_chance]]/100),0)</f>
        <v>225</v>
      </c>
      <c r="H129" s="71" t="str">
        <f ca="1">INDIRECT(ADDRESS(11+(MATCH(RIGHT(Table245[[#This Row],[spawner_sku]],LEN(Table245[[#This Row],[spawner_sku]])-FIND("/",Table245[[#This Row],[spawner_sku]])),Table28[Entity Prefab],0)),24,1,1,"Entities"))</f>
        <v>no</v>
      </c>
      <c r="I129" s="71">
        <v>8</v>
      </c>
      <c r="J129" s="71">
        <v>10</v>
      </c>
      <c r="K129" s="71" t="b">
        <v>1</v>
      </c>
      <c r="M129" t="s">
        <v>243</v>
      </c>
      <c r="N129">
        <v>1</v>
      </c>
      <c r="O129">
        <v>140</v>
      </c>
      <c r="P129">
        <v>100</v>
      </c>
      <c r="Q129" s="74">
        <f ca="1">INDIRECT(ADDRESS(11+(MATCH(RIGHT(Table3[[#This Row],[spawner_sku]],LEN(Table3[[#This Row],[spawner_sku]])-FIND("/",Table3[[#This Row],[spawner_sku]])),Table1[Entity Prefab],0)),10,1,1,"Entities"))</f>
        <v>25</v>
      </c>
      <c r="R129" s="74">
        <f ca="1">ROUND((Table3[[#This Row],[XP]]*Table3[[#This Row],[entity_spawned (AVG)]])*(Table3[[#This Row],[activating_chance]]/100),0)</f>
        <v>25</v>
      </c>
      <c r="S129" t="str">
        <f ca="1">INDIRECT(ADDRESS(11+(MATCH(RIGHT(Table3[[#This Row],[spawner_sku]],LEN(Table3[[#This Row],[spawner_sku]])-FIND("/",Table3[[#This Row],[spawner_sku]])),Table28[Entity Prefab],0)),24,1,1,"Entities"))</f>
        <v>no</v>
      </c>
      <c r="T129">
        <v>1</v>
      </c>
      <c r="U129">
        <v>1</v>
      </c>
      <c r="V129" t="b">
        <v>0</v>
      </c>
      <c r="W129" s="71"/>
      <c r="AI129" t="s">
        <v>216</v>
      </c>
      <c r="AJ129">
        <v>1</v>
      </c>
      <c r="AK129">
        <v>90</v>
      </c>
      <c r="AL129">
        <v>100</v>
      </c>
      <c r="AM129" s="74">
        <f ca="1">INDIRECT(ADDRESS(11+(MATCH(RIGHT(Table2[[#This Row],[spawner_sku]],LEN(Table2[[#This Row],[spawner_sku]])-FIND("/",Table2[[#This Row],[spawner_sku]])),Table1[Entity Prefab],0)),10,1,1,"Entities"))</f>
        <v>25</v>
      </c>
      <c r="AN129" s="74">
        <f ca="1">ROUND((Table2[[#This Row],[XP]]*Table2[[#This Row],[entity_spawned (AVG)]])*(Table2[[#This Row],[activating_chance]]/100),0)</f>
        <v>25</v>
      </c>
      <c r="AO129" s="71" t="str">
        <f ca="1">INDIRECT(ADDRESS(11+(MATCH(RIGHT(Table2[[#This Row],[spawner_sku]],LEN(Table2[[#This Row],[spawner_sku]])-FIND("/",Table2[[#This Row],[spawner_sku]])),Table28[Entity Prefab],0)),24,1,1,"Entities"))</f>
        <v>no</v>
      </c>
      <c r="AP129" s="71">
        <v>1</v>
      </c>
      <c r="AQ129" s="71">
        <v>1</v>
      </c>
      <c r="AR129" s="71" t="b">
        <v>0</v>
      </c>
      <c r="AT129" t="s">
        <v>556</v>
      </c>
      <c r="AU129">
        <v>1</v>
      </c>
      <c r="AV129">
        <v>130</v>
      </c>
      <c r="AW129">
        <v>100</v>
      </c>
      <c r="AX129" s="74">
        <f ca="1">INDIRECT(ADDRESS(11+(MATCH(RIGHT(Table6[[#This Row],[spawner_sku]],LEN(Table6[[#This Row],[spawner_sku]])-FIND("/",Table6[[#This Row],[spawner_sku]])),Table1[Entity Prefab],0)),10,1,1,"Entities"))</f>
        <v>25</v>
      </c>
      <c r="AY129" s="74">
        <f ca="1">ROUND((Table6[[#This Row],[XP]]*Table6[[#This Row],[entity_spawned (AVG)]])*(Table6[[#This Row],[activating_chance]]/100),0)</f>
        <v>25</v>
      </c>
      <c r="AZ129" s="144" t="str">
        <f ca="1">INDIRECT(ADDRESS(11+(MATCH(RIGHT(Table6[[#This Row],[spawner_sku]],LEN(Table6[[#This Row],[spawner_sku]])-FIND("/",Table6[[#This Row],[spawner_sku]])),Table28[Entity Prefab],0)),24,1,1,"Entities"))</f>
        <v>no</v>
      </c>
      <c r="BA129">
        <v>1</v>
      </c>
      <c r="BB129">
        <v>1</v>
      </c>
      <c r="BC129" t="b">
        <v>0</v>
      </c>
      <c r="BE129" t="s">
        <v>231</v>
      </c>
      <c r="BF129">
        <v>1</v>
      </c>
      <c r="BG129">
        <v>220</v>
      </c>
      <c r="BH129">
        <v>100</v>
      </c>
      <c r="BI129" s="74">
        <f ca="1">INDIRECT(ADDRESS(11+(MATCH(RIGHT(Table610[[#This Row],[spawner_sku]],LEN(Table610[[#This Row],[spawner_sku]])-FIND("/",Table610[[#This Row],[spawner_sku]])),Table1[Entity Prefab],0)),10,1,1,"Entities"))</f>
        <v>25</v>
      </c>
      <c r="BJ129" s="74">
        <f ca="1">ROUND((Table610[[#This Row],[XP]]*Table610[[#This Row],[entity_spawned (AVG)]])*(Table610[[#This Row],[activating_chance]]/100),0)</f>
        <v>25</v>
      </c>
      <c r="BK129" s="71" t="str">
        <f ca="1">INDIRECT(ADDRESS(11+(MATCH(RIGHT(Table610[[#This Row],[spawner_sku]],LEN(Table610[[#This Row],[spawner_sku]])-FIND("/",Table610[[#This Row],[spawner_sku]])),Table28[Entity Prefab],0)),24,1,1,"Entities"))</f>
        <v>yes</v>
      </c>
      <c r="BL129">
        <v>1</v>
      </c>
      <c r="BM129">
        <v>1</v>
      </c>
      <c r="BN129" t="b">
        <v>0</v>
      </c>
      <c r="BP129" t="s">
        <v>220</v>
      </c>
      <c r="BQ129">
        <v>1</v>
      </c>
      <c r="BR129">
        <v>300</v>
      </c>
      <c r="BS129">
        <v>100</v>
      </c>
      <c r="BT129" s="74">
        <f ca="1">INDIRECT(ADDRESS(11+(MATCH(RIGHT(Table61011[[#This Row],[spawner_sku]],LEN(Table61011[[#This Row],[spawner_sku]])-FIND("/",Table61011[[#This Row],[spawner_sku]])),Table1[Entity Prefab],0)),10,1,1,"Entities"))</f>
        <v>195</v>
      </c>
      <c r="BU129" s="74">
        <f ca="1">ROUND((Table61011[[#This Row],[XP]]*Table61011[[#This Row],[entity_spawned (AVG)]])*(Table61011[[#This Row],[activating_chance]]/100),0)</f>
        <v>195</v>
      </c>
      <c r="BV129" s="71" t="str">
        <f ca="1">INDIRECT(ADDRESS(11+(MATCH(RIGHT(Table61011[[#This Row],[spawner_sku]],LEN(Table61011[[#This Row],[spawner_sku]])-FIND("/",Table61011[[#This Row],[spawner_sku]])),Table28[Entity Prefab],0)),24,1,1,"Entities"))</f>
        <v>yes</v>
      </c>
      <c r="BW129" s="71">
        <v>1</v>
      </c>
      <c r="BX129" s="71">
        <v>1</v>
      </c>
      <c r="BY129" s="71" t="b">
        <v>0</v>
      </c>
      <c r="BZ129" s="71"/>
      <c r="CA129" s="147" t="s">
        <v>8142</v>
      </c>
      <c r="CB129">
        <v>1</v>
      </c>
      <c r="CC129">
        <v>200</v>
      </c>
      <c r="CD129">
        <v>50</v>
      </c>
      <c r="CE129" s="74">
        <f ca="1">INDIRECT(ADDRESS(11+(MATCH(RIGHT(Table35[[#This Row],[spawner_sku]],LEN(Table35[[#This Row],[spawner_sku]])-FIND("/",Table35[[#This Row],[spawner_sku]])),Table1[Entity Prefab],0)),10,1,1,"Entities"))</f>
        <v>75</v>
      </c>
      <c r="CF129" s="74">
        <f ca="1">ROUND((Table35[[#This Row],[XP]]*Table35[[#This Row],[entity_spawned (AVG)]])*(Table35[[#This Row],[activating_chance]]/100),0)</f>
        <v>38</v>
      </c>
      <c r="CG129" s="144" t="str">
        <f ca="1">INDIRECT(ADDRESS(11+(MATCH(RIGHT(Table35[[#This Row],[spawner_sku]],LEN(Table35[[#This Row],[spawner_sku]])-FIND("/",Table35[[#This Row],[spawner_sku]])),Table28[Entity Prefab],0)),24,1,1,"Entities"))</f>
        <v>no</v>
      </c>
      <c r="CH129">
        <v>1</v>
      </c>
      <c r="CI129">
        <v>1</v>
      </c>
      <c r="CJ129" s="71" t="b">
        <v>0</v>
      </c>
      <c r="CL129" t="s">
        <v>215</v>
      </c>
      <c r="CM129">
        <v>4</v>
      </c>
      <c r="CN129">
        <v>180</v>
      </c>
      <c r="CO129">
        <v>100</v>
      </c>
      <c r="CP129" s="74">
        <f ca="1">INDIRECT(ADDRESS(11+(MATCH(RIGHT(Table11[[#This Row],[spawner_sku]],LEN(Table11[[#This Row],[spawner_sku]])-FIND("/",Table11[[#This Row],[spawner_sku]])),Table1[Entity Prefab],0)),10,1,1,"Entities"))</f>
        <v>25</v>
      </c>
      <c r="CQ129">
        <f ca="1">ROUND((Table11[[#This Row],[XP]]*Table11[[#This Row],[entity_spawned (AVG)]])*(Table11[[#This Row],[activating_chance]]/100),0)</f>
        <v>100</v>
      </c>
      <c r="CR129" s="144" t="str">
        <f ca="1">INDIRECT(ADDRESS(11+(MATCH(RIGHT(Table11[[#This Row],[spawner_sku]],LEN(Table11[[#This Row],[spawner_sku]])-FIND("/",Table11[[#This Row],[spawner_sku]])),Table28[Entity Prefab],0)),25,1,1,"Entities"))</f>
        <v>no</v>
      </c>
      <c r="CS129" s="71">
        <v>4</v>
      </c>
      <c r="CT129" s="71">
        <v>4</v>
      </c>
      <c r="CU129" s="71" t="b">
        <v>0</v>
      </c>
      <c r="CW129" t="s">
        <v>240</v>
      </c>
      <c r="CX129">
        <v>1</v>
      </c>
      <c r="CY129">
        <v>170</v>
      </c>
      <c r="CZ129">
        <v>100</v>
      </c>
      <c r="DA129" s="74">
        <f ca="1">INDIRECT(ADDRESS(11+(MATCH(RIGHT(Table12[[#This Row],[spawner_sku]],LEN(Table12[[#This Row],[spawner_sku]])-FIND("/",Table12[[#This Row],[spawner_sku]])),Table1[Entity Prefab],0)),10,1,1,"Entities"))</f>
        <v>70</v>
      </c>
      <c r="DB129" s="74">
        <f ca="1">ROUND((Table12[[#This Row],[XP]]*Table12[[#This Row],[entity_spawned (AVG)]])*(Table12[[#This Row],[activating_chance]]/100),0)</f>
        <v>70</v>
      </c>
      <c r="DC129" s="144" t="str">
        <f ca="1">INDIRECT(ADDRESS(11+(MATCH(RIGHT(Table12[[#This Row],[spawner_sku]],LEN(Table12[[#This Row],[spawner_sku]])-FIND("/",Table12[[#This Row],[spawner_sku]])),Table28[Entity Prefab],0)),25,1,1,"Entities"))</f>
        <v>yes</v>
      </c>
      <c r="DD129" s="71">
        <v>1</v>
      </c>
      <c r="DE129" s="71">
        <v>1</v>
      </c>
      <c r="DF129" s="71" t="b">
        <v>0</v>
      </c>
      <c r="DH129" t="s">
        <v>367</v>
      </c>
      <c r="DI129">
        <v>1.5</v>
      </c>
      <c r="DJ129">
        <v>200</v>
      </c>
      <c r="DK129">
        <v>100</v>
      </c>
      <c r="DL129" s="74">
        <f ca="1">INDIRECT(ADDRESS(11+(MATCH(RIGHT(Table13[[#This Row],[spawner_sku]],LEN(Table13[[#This Row],[spawner_sku]])-FIND("/",Table13[[#This Row],[spawner_sku]])),Table1[Entity Prefab],0)),10,1,1,"Entities"))</f>
        <v>75</v>
      </c>
      <c r="DM129" s="74">
        <f ca="1">ROUND((Table13[[#This Row],[XP]]*Table13[[#This Row],[entity_spawned (AVG)]])*(Table13[[#This Row],[activating_chance]]/100),0)</f>
        <v>113</v>
      </c>
      <c r="DN129" s="144" t="str">
        <f ca="1">INDIRECT(ADDRESS(11+(MATCH(RIGHT(Table13[[#This Row],[spawner_sku]],LEN(Table13[[#This Row],[spawner_sku]])-FIND("/",Table13[[#This Row],[spawner_sku]])),Table28[Entity Prefab],0)),25,1,1,"Entities"))</f>
        <v>no</v>
      </c>
      <c r="DO129" s="71">
        <v>1</v>
      </c>
      <c r="DP129" s="71">
        <v>2</v>
      </c>
      <c r="DQ129" s="71" t="b">
        <v>0</v>
      </c>
      <c r="DS129" t="s">
        <v>214</v>
      </c>
      <c r="DT129">
        <v>9</v>
      </c>
      <c r="DU129">
        <v>200</v>
      </c>
      <c r="DV129">
        <v>80</v>
      </c>
      <c r="DW129" s="74">
        <f ca="1">INDIRECT(ADDRESS(11+(MATCH(RIGHT(Table14[[#This Row],[spawner_sku]],LEN(Table14[[#This Row],[spawner_sku]])-FIND("/",Table14[[#This Row],[spawner_sku]])),Table1[Entity Prefab],0)),10,1,1,"Entities"))</f>
        <v>25</v>
      </c>
      <c r="DX129" s="74">
        <f ca="1">ROUND((Table14[[#This Row],[XP]]*Table14[[#This Row],[entity_spawned (AVG)]])*(Table14[[#This Row],[activating_chance]]/100),0)</f>
        <v>180</v>
      </c>
      <c r="DY129" s="144" t="str">
        <f ca="1">INDIRECT(ADDRESS(11+(MATCH(RIGHT(Table14[[#This Row],[spawner_sku]],LEN(Table14[[#This Row],[spawner_sku]])-FIND("/",Table14[[#This Row],[spawner_sku]])),Table28[Entity Prefab],0)),25,1,1,"Entities"))</f>
        <v>no</v>
      </c>
      <c r="DZ129" s="71">
        <v>8</v>
      </c>
      <c r="EA129" s="71">
        <v>10</v>
      </c>
      <c r="EB129" s="71" t="b">
        <v>1</v>
      </c>
      <c r="EC129" s="71"/>
      <c r="ED129" s="147" t="s">
        <v>3818</v>
      </c>
      <c r="EE129" s="71">
        <v>1</v>
      </c>
      <c r="EF129" s="71">
        <v>240</v>
      </c>
      <c r="EG129" s="71">
        <v>100</v>
      </c>
      <c r="EH129" s="71">
        <f ca="1">INDIRECT(ADDRESS(11+(MATCH(RIGHT(Table36[[#This Row],[spawner_sku]],LEN(Table36[[#This Row],[spawner_sku]])-FIND("/",Table36[[#This Row],[spawner_sku]])),Table1[Entity Prefab],0)),10,1,1,"Entities"))</f>
        <v>10</v>
      </c>
      <c r="EI129" s="71">
        <f ca="1">ROUND((Table36[[#This Row],[XP]]*Table36[[#This Row],[entity_spawned (AVG)]])*(Table36[[#This Row],[activating_chance]]/100),0)</f>
        <v>10</v>
      </c>
      <c r="EJ129" s="71" t="str">
        <f ca="1">INDIRECT(ADDRESS(11+(MATCH(RIGHT(Table36[[#This Row],[spawner_sku]],LEN(Table36[[#This Row],[spawner_sku]])-FIND("/",Table36[[#This Row],[spawner_sku]])),Table28[Entity Prefab],0)),25,1,1,"Entities"))</f>
        <v>no</v>
      </c>
      <c r="EK129" s="71">
        <v>1</v>
      </c>
      <c r="EL129" s="71">
        <v>1</v>
      </c>
      <c r="EM129" s="71" t="b">
        <v>0</v>
      </c>
      <c r="EO129" t="s">
        <v>219</v>
      </c>
      <c r="EP129">
        <v>3</v>
      </c>
      <c r="EQ129">
        <v>250</v>
      </c>
      <c r="ER129">
        <v>100</v>
      </c>
      <c r="ES129" s="74">
        <f ca="1">INDIRECT(ADDRESS(11+(MATCH(RIGHT(Table18[[#This Row],[spawner_sku]],LEN(Table18[[#This Row],[spawner_sku]])-FIND("/",Table18[[#This Row],[spawner_sku]])),Table1[Entity Prefab],0)),10,1,1,"Entities"))</f>
        <v>143</v>
      </c>
      <c r="ET129" s="74">
        <f ca="1">ROUND((Table18[[#This Row],[XP]]*Table18[[#This Row],[entity_spawned (AVG)]])*(Table18[[#This Row],[activating_chance]]/100),0)</f>
        <v>429</v>
      </c>
      <c r="EU129" s="74" t="str">
        <f ca="1">INDIRECT(ADDRESS(11+(MATCH(RIGHT(Table18[[#This Row],[spawner_sku]],LEN(Table18[[#This Row],[spawner_sku]])-FIND("/",Table18[[#This Row],[spawner_sku]])),Table28[Entity Prefab],0)),26,1,1,"Entities"))</f>
        <v>yes</v>
      </c>
      <c r="EV129">
        <v>2</v>
      </c>
      <c r="EW129">
        <v>4</v>
      </c>
      <c r="EX129" t="b">
        <v>0</v>
      </c>
      <c r="EZ129" t="s">
        <v>383</v>
      </c>
      <c r="FA129">
        <v>1</v>
      </c>
      <c r="FB129">
        <v>340</v>
      </c>
      <c r="FC129">
        <v>100</v>
      </c>
      <c r="FD129" s="74">
        <f ca="1">INDIRECT(ADDRESS(11+(MATCH(RIGHT(Table1820[[#This Row],[spawner_sku]],LEN(Table1820[[#This Row],[spawner_sku]])-FIND("/",Table1820[[#This Row],[spawner_sku]])),Table1[Entity Prefab],0)),10,1,1,"Entities"))</f>
        <v>263</v>
      </c>
      <c r="FE129" s="74">
        <f ca="1">ROUND((Table1820[[#This Row],[XP]]*Table1820[[#This Row],[entity_spawned (AVG)]])*(Table1820[[#This Row],[activating_chance]]/100),0)</f>
        <v>263</v>
      </c>
      <c r="FF129" s="74" t="str">
        <f ca="1">INDIRECT(ADDRESS(11+(MATCH(RIGHT(Table1820[[#This Row],[spawner_sku]],LEN(Table1820[[#This Row],[spawner_sku]])-FIND("/",Table1820[[#This Row],[spawner_sku]])),Table28[Entity Prefab],0)),26,1,1,"Entities"))</f>
        <v>yes</v>
      </c>
      <c r="FG129">
        <v>1</v>
      </c>
      <c r="FH129">
        <v>1</v>
      </c>
      <c r="FI129" t="b">
        <v>0</v>
      </c>
      <c r="FK129" t="s">
        <v>2692</v>
      </c>
      <c r="FL129">
        <v>2</v>
      </c>
      <c r="FM129">
        <v>120</v>
      </c>
      <c r="FN129">
        <v>100</v>
      </c>
      <c r="FO129">
        <f ca="1">INDIRECT(ADDRESS(11+(MATCH(RIGHT(Table182023[[#This Row],[spawner_sku]],LEN(Table182023[[#This Row],[spawner_sku]])-FIND("/",Table182023[[#This Row],[spawner_sku]])),Table1[Entity Prefab],0)),10,1,1,"Entities"))</f>
        <v>263</v>
      </c>
      <c r="FP129">
        <f ca="1">ROUND((Table182023[[#This Row],[XP]]*Table182023[[#This Row],[entity_spawned (AVG)]])*(Table182023[[#This Row],[activating_chance]]/100),0)</f>
        <v>526</v>
      </c>
      <c r="FQ129" t="str">
        <f ca="1">INDIRECT(ADDRESS(11+(MATCH(RIGHT(Table182023[[#This Row],[spawner_sku]],LEN(Table182023[[#This Row],[spawner_sku]])-FIND("/",Table182023[[#This Row],[spawner_sku]])),Table28[Entity Prefab],0)),26,1,1,"Entities"))</f>
        <v>yes</v>
      </c>
      <c r="FR129">
        <v>1</v>
      </c>
      <c r="FS129">
        <v>3</v>
      </c>
      <c r="FT129" t="b">
        <v>0</v>
      </c>
      <c r="FV129" t="s">
        <v>2691</v>
      </c>
      <c r="FW129">
        <v>1</v>
      </c>
      <c r="FX129">
        <v>90</v>
      </c>
      <c r="FY129">
        <v>100</v>
      </c>
      <c r="FZ129" s="74">
        <f ca="1">INDIRECT(ADDRESS(11+(MATCH(RIGHT(Table18202324[[#This Row],[spawner_sku]],LEN(Table18202324[[#This Row],[spawner_sku]])-FIND("/",Table18202324[[#This Row],[spawner_sku]])),Table1[Entity Prefab],0)),10,1,1,"Entities"))</f>
        <v>105</v>
      </c>
      <c r="GA129" s="74">
        <f ca="1">ROUND((Table18202324[[#This Row],[XP]]*Table18202324[[#This Row],[entity_spawned (AVG)]])*(Table18202324[[#This Row],[activating_chance]]/100),0)</f>
        <v>105</v>
      </c>
      <c r="GB129" s="74" t="str">
        <f ca="1">INDIRECT(ADDRESS(11+(MATCH(RIGHT(Table18202324[[#This Row],[spawner_sku]],LEN(Table18202324[[#This Row],[spawner_sku]])-FIND("/",Table18202324[[#This Row],[spawner_sku]])),Table28[Entity Prefab],0)),26,1,1,"Entities"))</f>
        <v>no</v>
      </c>
      <c r="GC129">
        <v>1</v>
      </c>
      <c r="GD129">
        <v>1</v>
      </c>
      <c r="GE129" t="b">
        <v>0</v>
      </c>
      <c r="GG129" t="s">
        <v>3816</v>
      </c>
      <c r="GH129">
        <v>1</v>
      </c>
      <c r="GI129">
        <v>240</v>
      </c>
      <c r="GJ129">
        <v>100</v>
      </c>
      <c r="GK129">
        <f ca="1">INDIRECT(ADDRESS(11+(MATCH(RIGHT(Table37[[#This Row],[spawner_sku]],LEN(Table37[[#This Row],[spawner_sku]])-FIND("/",Table37[[#This Row],[spawner_sku]])),Table1[Entity Prefab],0)),10,1,1,"Entities"))</f>
        <v>50</v>
      </c>
      <c r="GL129">
        <f ca="1">ROUND((Table37[[#This Row],[XP]]*Table37[[#This Row],[entity_spawned (AVG)]])*(Table37[[#This Row],[activating_chance]]/100),0)</f>
        <v>50</v>
      </c>
      <c r="GM129" t="str">
        <f ca="1">INDIRECT(ADDRESS(11+(MATCH(RIGHT(Table37[[#This Row],[spawner_sku]],LEN(Table37[[#This Row],[spawner_sku]])-FIND("/",Table37[[#This Row],[spawner_sku]])),Table28[Entity Prefab],0)),26,1,1,"Entities"))</f>
        <v>no</v>
      </c>
      <c r="GN129">
        <v>1</v>
      </c>
      <c r="GO129">
        <v>1</v>
      </c>
      <c r="GP129" t="b">
        <v>0</v>
      </c>
    </row>
    <row r="130" spans="2:198" x14ac:dyDescent="0.25">
      <c r="B130" s="72" t="s">
        <v>215</v>
      </c>
      <c r="C130">
        <v>2</v>
      </c>
      <c r="D130">
        <v>100</v>
      </c>
      <c r="E130">
        <v>85</v>
      </c>
      <c r="F130" s="74">
        <f ca="1">INDIRECT(ADDRESS(11+(MATCH(RIGHT(Table245[[#This Row],[spawner_sku]],LEN(Table245[[#This Row],[spawner_sku]])-FIND("/",Table245[[#This Row],[spawner_sku]])),Table1[Entity Prefab],0)),10,1,1,"Entities"))</f>
        <v>25</v>
      </c>
      <c r="G130" s="74">
        <f ca="1">ROUND((Table245[[#This Row],[XP]]*Table245[[#This Row],[entity_spawned (AVG)]])*(Table245[[#This Row],[activating_chance]]/100),0)</f>
        <v>43</v>
      </c>
      <c r="H130" s="71" t="str">
        <f ca="1">INDIRECT(ADDRESS(11+(MATCH(RIGHT(Table245[[#This Row],[spawner_sku]],LEN(Table245[[#This Row],[spawner_sku]])-FIND("/",Table245[[#This Row],[spawner_sku]])),Table28[Entity Prefab],0)),24,1,1,"Entities"))</f>
        <v>no</v>
      </c>
      <c r="I130" s="71">
        <v>2</v>
      </c>
      <c r="J130" s="71">
        <v>2</v>
      </c>
      <c r="K130" s="71" t="b">
        <v>0</v>
      </c>
      <c r="M130" t="s">
        <v>244</v>
      </c>
      <c r="N130">
        <v>1</v>
      </c>
      <c r="O130">
        <v>240</v>
      </c>
      <c r="P130">
        <v>100</v>
      </c>
      <c r="Q130" s="74">
        <f ca="1">INDIRECT(ADDRESS(11+(MATCH(RIGHT(Table3[[#This Row],[spawner_sku]],LEN(Table3[[#This Row],[spawner_sku]])-FIND("/",Table3[[#This Row],[spawner_sku]])),Table1[Entity Prefab],0)),10,1,1,"Entities"))</f>
        <v>50</v>
      </c>
      <c r="R130" s="74">
        <f ca="1">ROUND((Table3[[#This Row],[XP]]*Table3[[#This Row],[entity_spawned (AVG)]])*(Table3[[#This Row],[activating_chance]]/100),0)</f>
        <v>50</v>
      </c>
      <c r="S130" t="str">
        <f ca="1">INDIRECT(ADDRESS(11+(MATCH(RIGHT(Table3[[#This Row],[spawner_sku]],LEN(Table3[[#This Row],[spawner_sku]])-FIND("/",Table3[[#This Row],[spawner_sku]])),Table28[Entity Prefab],0)),24,1,1,"Entities"))</f>
        <v>no</v>
      </c>
      <c r="T130">
        <v>1</v>
      </c>
      <c r="U130">
        <v>1</v>
      </c>
      <c r="V130" t="b">
        <v>0</v>
      </c>
      <c r="W130" s="71"/>
      <c r="AI130" t="s">
        <v>217</v>
      </c>
      <c r="AJ130">
        <v>3</v>
      </c>
      <c r="AK130">
        <v>100</v>
      </c>
      <c r="AL130">
        <v>100</v>
      </c>
      <c r="AM130" s="74">
        <f ca="1">INDIRECT(ADDRESS(11+(MATCH(RIGHT(Table2[[#This Row],[spawner_sku]],LEN(Table2[[#This Row],[spawner_sku]])-FIND("/",Table2[[#This Row],[spawner_sku]])),Table1[Entity Prefab],0)),10,1,1,"Entities"))</f>
        <v>25</v>
      </c>
      <c r="AN130" s="74">
        <f ca="1">ROUND((Table2[[#This Row],[XP]]*Table2[[#This Row],[entity_spawned (AVG)]])*(Table2[[#This Row],[activating_chance]]/100),0)</f>
        <v>75</v>
      </c>
      <c r="AO130" s="71" t="str">
        <f ca="1">INDIRECT(ADDRESS(11+(MATCH(RIGHT(Table2[[#This Row],[spawner_sku]],LEN(Table2[[#This Row],[spawner_sku]])-FIND("/",Table2[[#This Row],[spawner_sku]])),Table28[Entity Prefab],0)),24,1,1,"Entities"))</f>
        <v>no</v>
      </c>
      <c r="AP130" s="71">
        <v>2</v>
      </c>
      <c r="AQ130" s="71">
        <v>4</v>
      </c>
      <c r="AR130" s="71" t="b">
        <v>0</v>
      </c>
      <c r="AT130" t="s">
        <v>381</v>
      </c>
      <c r="AU130">
        <v>1</v>
      </c>
      <c r="AV130">
        <v>200</v>
      </c>
      <c r="AW130">
        <v>100</v>
      </c>
      <c r="AX130" s="74">
        <f ca="1">INDIRECT(ADDRESS(11+(MATCH(RIGHT(Table6[[#This Row],[spawner_sku]],LEN(Table6[[#This Row],[spawner_sku]])-FIND("/",Table6[[#This Row],[spawner_sku]])),Table1[Entity Prefab],0)),10,1,1,"Entities"))</f>
        <v>75</v>
      </c>
      <c r="AY130" s="74">
        <f ca="1">ROUND((Table6[[#This Row],[XP]]*Table6[[#This Row],[entity_spawned (AVG)]])*(Table6[[#This Row],[activating_chance]]/100),0)</f>
        <v>75</v>
      </c>
      <c r="AZ130" s="144" t="str">
        <f ca="1">INDIRECT(ADDRESS(11+(MATCH(RIGHT(Table6[[#This Row],[spawner_sku]],LEN(Table6[[#This Row],[spawner_sku]])-FIND("/",Table6[[#This Row],[spawner_sku]])),Table28[Entity Prefab],0)),24,1,1,"Entities"))</f>
        <v>yes</v>
      </c>
      <c r="BA130">
        <v>1</v>
      </c>
      <c r="BB130">
        <v>1</v>
      </c>
      <c r="BC130" t="b">
        <v>0</v>
      </c>
      <c r="BE130" t="s">
        <v>428</v>
      </c>
      <c r="BF130">
        <v>1</v>
      </c>
      <c r="BG130">
        <v>180</v>
      </c>
      <c r="BH130">
        <v>100</v>
      </c>
      <c r="BI130" s="74">
        <f ca="1">INDIRECT(ADDRESS(11+(MATCH(RIGHT(Table610[[#This Row],[spawner_sku]],LEN(Table610[[#This Row],[spawner_sku]])-FIND("/",Table610[[#This Row],[spawner_sku]])),Table1[Entity Prefab],0)),10,1,1,"Entities"))</f>
        <v>70</v>
      </c>
      <c r="BJ130" s="74">
        <f ca="1">ROUND((Table610[[#This Row],[XP]]*Table610[[#This Row],[entity_spawned (AVG)]])*(Table610[[#This Row],[activating_chance]]/100),0)</f>
        <v>70</v>
      </c>
      <c r="BK130" s="71" t="str">
        <f ca="1">INDIRECT(ADDRESS(11+(MATCH(RIGHT(Table610[[#This Row],[spawner_sku]],LEN(Table610[[#This Row],[spawner_sku]])-FIND("/",Table610[[#This Row],[spawner_sku]])),Table28[Entity Prefab],0)),24,1,1,"Entities"))</f>
        <v>yes</v>
      </c>
      <c r="BL130">
        <v>1</v>
      </c>
      <c r="BM130">
        <v>1</v>
      </c>
      <c r="BN130" t="b">
        <v>0</v>
      </c>
      <c r="BP130" t="s">
        <v>220</v>
      </c>
      <c r="BQ130">
        <v>1</v>
      </c>
      <c r="BR130">
        <v>300</v>
      </c>
      <c r="BS130">
        <v>100</v>
      </c>
      <c r="BT130" s="74">
        <f ca="1">INDIRECT(ADDRESS(11+(MATCH(RIGHT(Table61011[[#This Row],[spawner_sku]],LEN(Table61011[[#This Row],[spawner_sku]])-FIND("/",Table61011[[#This Row],[spawner_sku]])),Table1[Entity Prefab],0)),10,1,1,"Entities"))</f>
        <v>195</v>
      </c>
      <c r="BU130" s="74">
        <f ca="1">ROUND((Table61011[[#This Row],[XP]]*Table61011[[#This Row],[entity_spawned (AVG)]])*(Table61011[[#This Row],[activating_chance]]/100),0)</f>
        <v>195</v>
      </c>
      <c r="BV130" s="71" t="str">
        <f ca="1">INDIRECT(ADDRESS(11+(MATCH(RIGHT(Table61011[[#This Row],[spawner_sku]],LEN(Table61011[[#This Row],[spawner_sku]])-FIND("/",Table61011[[#This Row],[spawner_sku]])),Table28[Entity Prefab],0)),24,1,1,"Entities"))</f>
        <v>yes</v>
      </c>
      <c r="BW130" s="71">
        <v>1</v>
      </c>
      <c r="BX130" s="71">
        <v>1</v>
      </c>
      <c r="BY130" s="71" t="b">
        <v>0</v>
      </c>
      <c r="BZ130" s="71"/>
      <c r="CA130" s="147" t="s">
        <v>8142</v>
      </c>
      <c r="CB130">
        <v>1</v>
      </c>
      <c r="CC130">
        <v>200</v>
      </c>
      <c r="CD130">
        <v>100</v>
      </c>
      <c r="CE130" s="74">
        <f ca="1">INDIRECT(ADDRESS(11+(MATCH(RIGHT(Table35[[#This Row],[spawner_sku]],LEN(Table35[[#This Row],[spawner_sku]])-FIND("/",Table35[[#This Row],[spawner_sku]])),Table1[Entity Prefab],0)),10,1,1,"Entities"))</f>
        <v>75</v>
      </c>
      <c r="CF130" s="74">
        <f ca="1">ROUND((Table35[[#This Row],[XP]]*Table35[[#This Row],[entity_spawned (AVG)]])*(Table35[[#This Row],[activating_chance]]/100),0)</f>
        <v>75</v>
      </c>
      <c r="CG130" s="144" t="str">
        <f ca="1">INDIRECT(ADDRESS(11+(MATCH(RIGHT(Table35[[#This Row],[spawner_sku]],LEN(Table35[[#This Row],[spawner_sku]])-FIND("/",Table35[[#This Row],[spawner_sku]])),Table28[Entity Prefab],0)),24,1,1,"Entities"))</f>
        <v>no</v>
      </c>
      <c r="CH130">
        <v>1</v>
      </c>
      <c r="CI130">
        <v>1</v>
      </c>
      <c r="CJ130" s="71" t="b">
        <v>0</v>
      </c>
      <c r="CL130" t="s">
        <v>376</v>
      </c>
      <c r="CM130">
        <v>3</v>
      </c>
      <c r="CN130">
        <v>200</v>
      </c>
      <c r="CO130">
        <v>100</v>
      </c>
      <c r="CP130" s="74">
        <f ca="1">INDIRECT(ADDRESS(11+(MATCH(RIGHT(Table11[[#This Row],[spawner_sku]],LEN(Table11[[#This Row],[spawner_sku]])-FIND("/",Table11[[#This Row],[spawner_sku]])),Table1[Entity Prefab],0)),10,1,1,"Entities"))</f>
        <v>25</v>
      </c>
      <c r="CQ130">
        <f ca="1">ROUND((Table11[[#This Row],[XP]]*Table11[[#This Row],[entity_spawned (AVG)]])*(Table11[[#This Row],[activating_chance]]/100),0)</f>
        <v>75</v>
      </c>
      <c r="CR130" s="144" t="str">
        <f ca="1">INDIRECT(ADDRESS(11+(MATCH(RIGHT(Table11[[#This Row],[spawner_sku]],LEN(Table11[[#This Row],[spawner_sku]])-FIND("/",Table11[[#This Row],[spawner_sku]])),Table28[Entity Prefab],0)),25,1,1,"Entities"))</f>
        <v>no</v>
      </c>
      <c r="CS130" s="71">
        <v>2</v>
      </c>
      <c r="CT130" s="71">
        <v>4</v>
      </c>
      <c r="CU130" s="71" t="b">
        <v>0</v>
      </c>
      <c r="CW130" t="s">
        <v>241</v>
      </c>
      <c r="CX130">
        <v>1</v>
      </c>
      <c r="CY130">
        <v>170</v>
      </c>
      <c r="CZ130">
        <v>100</v>
      </c>
      <c r="DA130" s="74">
        <f ca="1">INDIRECT(ADDRESS(11+(MATCH(RIGHT(Table12[[#This Row],[spawner_sku]],LEN(Table12[[#This Row],[spawner_sku]])-FIND("/",Table12[[#This Row],[spawner_sku]])),Table1[Entity Prefab],0)),10,1,1,"Entities"))</f>
        <v>70</v>
      </c>
      <c r="DB130" s="74">
        <f ca="1">ROUND((Table12[[#This Row],[XP]]*Table12[[#This Row],[entity_spawned (AVG)]])*(Table12[[#This Row],[activating_chance]]/100),0)</f>
        <v>70</v>
      </c>
      <c r="DC130" s="144" t="str">
        <f ca="1">INDIRECT(ADDRESS(11+(MATCH(RIGHT(Table12[[#This Row],[spawner_sku]],LEN(Table12[[#This Row],[spawner_sku]])-FIND("/",Table12[[#This Row],[spawner_sku]])),Table28[Entity Prefab],0)),25,1,1,"Entities"))</f>
        <v>yes</v>
      </c>
      <c r="DD130" s="71">
        <v>1</v>
      </c>
      <c r="DE130" s="71">
        <v>1</v>
      </c>
      <c r="DF130" s="71" t="b">
        <v>0</v>
      </c>
      <c r="DH130" t="s">
        <v>367</v>
      </c>
      <c r="DI130">
        <v>1</v>
      </c>
      <c r="DJ130">
        <v>200</v>
      </c>
      <c r="DK130">
        <v>100</v>
      </c>
      <c r="DL130" s="74">
        <f ca="1">INDIRECT(ADDRESS(11+(MATCH(RIGHT(Table13[[#This Row],[spawner_sku]],LEN(Table13[[#This Row],[spawner_sku]])-FIND("/",Table13[[#This Row],[spawner_sku]])),Table1[Entity Prefab],0)),10,1,1,"Entities"))</f>
        <v>75</v>
      </c>
      <c r="DM130" s="74">
        <f ca="1">ROUND((Table13[[#This Row],[XP]]*Table13[[#This Row],[entity_spawned (AVG)]])*(Table13[[#This Row],[activating_chance]]/100),0)</f>
        <v>75</v>
      </c>
      <c r="DN130" s="144" t="str">
        <f ca="1">INDIRECT(ADDRESS(11+(MATCH(RIGHT(Table13[[#This Row],[spawner_sku]],LEN(Table13[[#This Row],[spawner_sku]])-FIND("/",Table13[[#This Row],[spawner_sku]])),Table28[Entity Prefab],0)),25,1,1,"Entities"))</f>
        <v>no</v>
      </c>
      <c r="DO130" s="71">
        <v>1</v>
      </c>
      <c r="DP130" s="71">
        <v>1</v>
      </c>
      <c r="DQ130" s="71" t="b">
        <v>0</v>
      </c>
      <c r="DS130" t="s">
        <v>425</v>
      </c>
      <c r="DT130">
        <v>5</v>
      </c>
      <c r="DU130">
        <v>5000</v>
      </c>
      <c r="DV130">
        <v>100</v>
      </c>
      <c r="DW130" s="74">
        <f ca="1">INDIRECT(ADDRESS(11+(MATCH(RIGHT(Table14[[#This Row],[spawner_sku]],LEN(Table14[[#This Row],[spawner_sku]])-FIND("/",Table14[[#This Row],[spawner_sku]])),Table1[Entity Prefab],0)),10,1,1,"Entities"))</f>
        <v>25</v>
      </c>
      <c r="DX130" s="74">
        <f ca="1">ROUND((Table14[[#This Row],[XP]]*Table14[[#This Row],[entity_spawned (AVG)]])*(Table14[[#This Row],[activating_chance]]/100),0)</f>
        <v>125</v>
      </c>
      <c r="DY130" s="144" t="str">
        <f ca="1">INDIRECT(ADDRESS(11+(MATCH(RIGHT(Table14[[#This Row],[spawner_sku]],LEN(Table14[[#This Row],[spawner_sku]])-FIND("/",Table14[[#This Row],[spawner_sku]])),Table28[Entity Prefab],0)),25,1,1,"Entities"))</f>
        <v>no</v>
      </c>
      <c r="DZ130" s="71">
        <v>5</v>
      </c>
      <c r="EA130" s="71">
        <v>5</v>
      </c>
      <c r="EB130" s="71" t="b">
        <v>1</v>
      </c>
      <c r="EC130" s="71"/>
      <c r="ED130" s="147" t="s">
        <v>3818</v>
      </c>
      <c r="EE130" s="71">
        <v>1</v>
      </c>
      <c r="EF130" s="71">
        <v>240</v>
      </c>
      <c r="EG130" s="71">
        <v>50</v>
      </c>
      <c r="EH130" s="71">
        <f ca="1">INDIRECT(ADDRESS(11+(MATCH(RIGHT(Table36[[#This Row],[spawner_sku]],LEN(Table36[[#This Row],[spawner_sku]])-FIND("/",Table36[[#This Row],[spawner_sku]])),Table1[Entity Prefab],0)),10,1,1,"Entities"))</f>
        <v>10</v>
      </c>
      <c r="EI130" s="71">
        <f ca="1">ROUND((Table36[[#This Row],[XP]]*Table36[[#This Row],[entity_spawned (AVG)]])*(Table36[[#This Row],[activating_chance]]/100),0)</f>
        <v>5</v>
      </c>
      <c r="EJ130" s="71" t="str">
        <f ca="1">INDIRECT(ADDRESS(11+(MATCH(RIGHT(Table36[[#This Row],[spawner_sku]],LEN(Table36[[#This Row],[spawner_sku]])-FIND("/",Table36[[#This Row],[spawner_sku]])),Table28[Entity Prefab],0)),25,1,1,"Entities"))</f>
        <v>no</v>
      </c>
      <c r="EK130" s="71">
        <v>1</v>
      </c>
      <c r="EL130" s="71">
        <v>1</v>
      </c>
      <c r="EM130" s="71" t="b">
        <v>0</v>
      </c>
      <c r="EO130" t="s">
        <v>219</v>
      </c>
      <c r="EP130">
        <v>3.5</v>
      </c>
      <c r="EQ130">
        <v>250</v>
      </c>
      <c r="ER130">
        <v>100</v>
      </c>
      <c r="ES130" s="74">
        <f ca="1">INDIRECT(ADDRESS(11+(MATCH(RIGHT(Table18[[#This Row],[spawner_sku]],LEN(Table18[[#This Row],[spawner_sku]])-FIND("/",Table18[[#This Row],[spawner_sku]])),Table1[Entity Prefab],0)),10,1,1,"Entities"))</f>
        <v>143</v>
      </c>
      <c r="ET130" s="74">
        <f ca="1">ROUND((Table18[[#This Row],[XP]]*Table18[[#This Row],[entity_spawned (AVG)]])*(Table18[[#This Row],[activating_chance]]/100),0)</f>
        <v>501</v>
      </c>
      <c r="EU130" s="74" t="str">
        <f ca="1">INDIRECT(ADDRESS(11+(MATCH(RIGHT(Table18[[#This Row],[spawner_sku]],LEN(Table18[[#This Row],[spawner_sku]])-FIND("/",Table18[[#This Row],[spawner_sku]])),Table28[Entity Prefab],0)),26,1,1,"Entities"))</f>
        <v>yes</v>
      </c>
      <c r="EV130">
        <v>3</v>
      </c>
      <c r="EW130">
        <v>4</v>
      </c>
      <c r="EX130" t="b">
        <v>0</v>
      </c>
      <c r="EZ130" t="s">
        <v>3832</v>
      </c>
      <c r="FA130">
        <v>1</v>
      </c>
      <c r="FB130">
        <v>150</v>
      </c>
      <c r="FC130">
        <v>100</v>
      </c>
      <c r="FD130" s="74">
        <f ca="1">INDIRECT(ADDRESS(11+(MATCH(RIGHT(Table1820[[#This Row],[spawner_sku]],LEN(Table1820[[#This Row],[spawner_sku]])-FIND("/",Table1820[[#This Row],[spawner_sku]])),Table1[Entity Prefab],0)),10,1,1,"Entities"))</f>
        <v>50</v>
      </c>
      <c r="FE130" s="74">
        <f ca="1">ROUND((Table1820[[#This Row],[XP]]*Table1820[[#This Row],[entity_spawned (AVG)]])*(Table1820[[#This Row],[activating_chance]]/100),0)</f>
        <v>50</v>
      </c>
      <c r="FF130" s="74" t="str">
        <f ca="1">INDIRECT(ADDRESS(11+(MATCH(RIGHT(Table1820[[#This Row],[spawner_sku]],LEN(Table1820[[#This Row],[spawner_sku]])-FIND("/",Table1820[[#This Row],[spawner_sku]])),Table28[Entity Prefab],0)),26,1,1,"Entities"))</f>
        <v>no</v>
      </c>
      <c r="FG130">
        <v>1</v>
      </c>
      <c r="FH130">
        <v>1</v>
      </c>
      <c r="FI130" t="b">
        <v>0</v>
      </c>
      <c r="FK130" t="s">
        <v>2692</v>
      </c>
      <c r="FL130">
        <v>1.5</v>
      </c>
      <c r="FM130">
        <v>120</v>
      </c>
      <c r="FN130">
        <v>100</v>
      </c>
      <c r="FO130">
        <f ca="1">INDIRECT(ADDRESS(11+(MATCH(RIGHT(Table182023[[#This Row],[spawner_sku]],LEN(Table182023[[#This Row],[spawner_sku]])-FIND("/",Table182023[[#This Row],[spawner_sku]])),Table1[Entity Prefab],0)),10,1,1,"Entities"))</f>
        <v>263</v>
      </c>
      <c r="FP130">
        <f ca="1">ROUND((Table182023[[#This Row],[XP]]*Table182023[[#This Row],[entity_spawned (AVG)]])*(Table182023[[#This Row],[activating_chance]]/100),0)</f>
        <v>395</v>
      </c>
      <c r="FQ130" t="str">
        <f ca="1">INDIRECT(ADDRESS(11+(MATCH(RIGHT(Table182023[[#This Row],[spawner_sku]],LEN(Table182023[[#This Row],[spawner_sku]])-FIND("/",Table182023[[#This Row],[spawner_sku]])),Table28[Entity Prefab],0)),26,1,1,"Entities"))</f>
        <v>yes</v>
      </c>
      <c r="FR130">
        <v>1</v>
      </c>
      <c r="FS130">
        <v>2</v>
      </c>
      <c r="FT130" t="b">
        <v>0</v>
      </c>
      <c r="FV130" t="s">
        <v>2689</v>
      </c>
      <c r="FW130">
        <v>1</v>
      </c>
      <c r="FX130">
        <v>90</v>
      </c>
      <c r="FY130">
        <v>100</v>
      </c>
      <c r="FZ130" s="74">
        <f ca="1">INDIRECT(ADDRESS(11+(MATCH(RIGHT(Table18202324[[#This Row],[spawner_sku]],LEN(Table18202324[[#This Row],[spawner_sku]])-FIND("/",Table18202324[[#This Row],[spawner_sku]])),Table1[Entity Prefab],0)),10,1,1,"Entities"))</f>
        <v>25</v>
      </c>
      <c r="GA130" s="74">
        <f ca="1">ROUND((Table18202324[[#This Row],[XP]]*Table18202324[[#This Row],[entity_spawned (AVG)]])*(Table18202324[[#This Row],[activating_chance]]/100),0)</f>
        <v>25</v>
      </c>
      <c r="GB130" s="74" t="str">
        <f ca="1">INDIRECT(ADDRESS(11+(MATCH(RIGHT(Table18202324[[#This Row],[spawner_sku]],LEN(Table18202324[[#This Row],[spawner_sku]])-FIND("/",Table18202324[[#This Row],[spawner_sku]])),Table28[Entity Prefab],0)),26,1,1,"Entities"))</f>
        <v>no</v>
      </c>
      <c r="GC130">
        <v>1</v>
      </c>
      <c r="GD130">
        <v>1</v>
      </c>
      <c r="GE130" t="b">
        <v>0</v>
      </c>
      <c r="GG130" t="s">
        <v>3816</v>
      </c>
      <c r="GH130">
        <v>1</v>
      </c>
      <c r="GI130">
        <v>240</v>
      </c>
      <c r="GJ130">
        <v>100</v>
      </c>
      <c r="GK130">
        <f ca="1">INDIRECT(ADDRESS(11+(MATCH(RIGHT(Table37[[#This Row],[spawner_sku]],LEN(Table37[[#This Row],[spawner_sku]])-FIND("/",Table37[[#This Row],[spawner_sku]])),Table1[Entity Prefab],0)),10,1,1,"Entities"))</f>
        <v>50</v>
      </c>
      <c r="GL130">
        <f ca="1">ROUND((Table37[[#This Row],[XP]]*Table37[[#This Row],[entity_spawned (AVG)]])*(Table37[[#This Row],[activating_chance]]/100),0)</f>
        <v>50</v>
      </c>
      <c r="GM130" t="str">
        <f ca="1">INDIRECT(ADDRESS(11+(MATCH(RIGHT(Table37[[#This Row],[spawner_sku]],LEN(Table37[[#This Row],[spawner_sku]])-FIND("/",Table37[[#This Row],[spawner_sku]])),Table28[Entity Prefab],0)),26,1,1,"Entities"))</f>
        <v>no</v>
      </c>
      <c r="GN130">
        <v>1</v>
      </c>
      <c r="GO130">
        <v>1</v>
      </c>
      <c r="GP130" t="b">
        <v>0</v>
      </c>
    </row>
    <row r="131" spans="2:198" x14ac:dyDescent="0.25">
      <c r="B131" s="72" t="s">
        <v>215</v>
      </c>
      <c r="C131">
        <v>5.5</v>
      </c>
      <c r="D131">
        <v>140</v>
      </c>
      <c r="E131">
        <v>20</v>
      </c>
      <c r="F131" s="74">
        <f ca="1">INDIRECT(ADDRESS(11+(MATCH(RIGHT(Table245[[#This Row],[spawner_sku]],LEN(Table245[[#This Row],[spawner_sku]])-FIND("/",Table245[[#This Row],[spawner_sku]])),Table1[Entity Prefab],0)),10,1,1,"Entities"))</f>
        <v>25</v>
      </c>
      <c r="G131" s="74">
        <f ca="1">ROUND((Table245[[#This Row],[XP]]*Table245[[#This Row],[entity_spawned (AVG)]])*(Table245[[#This Row],[activating_chance]]/100),0)</f>
        <v>28</v>
      </c>
      <c r="H131" s="71" t="str">
        <f ca="1">INDIRECT(ADDRESS(11+(MATCH(RIGHT(Table245[[#This Row],[spawner_sku]],LEN(Table245[[#This Row],[spawner_sku]])-FIND("/",Table245[[#This Row],[spawner_sku]])),Table28[Entity Prefab],0)),24,1,1,"Entities"))</f>
        <v>no</v>
      </c>
      <c r="I131" s="71">
        <v>5</v>
      </c>
      <c r="J131" s="71">
        <v>6</v>
      </c>
      <c r="K131" s="71" t="b">
        <v>1</v>
      </c>
      <c r="M131" t="s">
        <v>244</v>
      </c>
      <c r="N131">
        <v>1</v>
      </c>
      <c r="O131">
        <v>220</v>
      </c>
      <c r="P131">
        <v>100</v>
      </c>
      <c r="Q131" s="74">
        <f ca="1">INDIRECT(ADDRESS(11+(MATCH(RIGHT(Table3[[#This Row],[spawner_sku]],LEN(Table3[[#This Row],[spawner_sku]])-FIND("/",Table3[[#This Row],[spawner_sku]])),Table1[Entity Prefab],0)),10,1,1,"Entities"))</f>
        <v>50</v>
      </c>
      <c r="R131" s="74">
        <f ca="1">ROUND((Table3[[#This Row],[XP]]*Table3[[#This Row],[entity_spawned (AVG)]])*(Table3[[#This Row],[activating_chance]]/100),0)</f>
        <v>50</v>
      </c>
      <c r="S131" t="str">
        <f ca="1">INDIRECT(ADDRESS(11+(MATCH(RIGHT(Table3[[#This Row],[spawner_sku]],LEN(Table3[[#This Row],[spawner_sku]])-FIND("/",Table3[[#This Row],[spawner_sku]])),Table28[Entity Prefab],0)),24,1,1,"Entities"))</f>
        <v>no</v>
      </c>
      <c r="T131">
        <v>1</v>
      </c>
      <c r="U131">
        <v>1</v>
      </c>
      <c r="V131" t="b">
        <v>0</v>
      </c>
      <c r="W131" s="71"/>
      <c r="AI131" t="s">
        <v>217</v>
      </c>
      <c r="AJ131">
        <v>3</v>
      </c>
      <c r="AK131">
        <v>170</v>
      </c>
      <c r="AL131">
        <v>100</v>
      </c>
      <c r="AM131" s="74">
        <f ca="1">INDIRECT(ADDRESS(11+(MATCH(RIGHT(Table2[[#This Row],[spawner_sku]],LEN(Table2[[#This Row],[spawner_sku]])-FIND("/",Table2[[#This Row],[spawner_sku]])),Table1[Entity Prefab],0)),10,1,1,"Entities"))</f>
        <v>25</v>
      </c>
      <c r="AN131" s="74">
        <f ca="1">ROUND((Table2[[#This Row],[XP]]*Table2[[#This Row],[entity_spawned (AVG)]])*(Table2[[#This Row],[activating_chance]]/100),0)</f>
        <v>75</v>
      </c>
      <c r="AO131" s="71" t="str">
        <f ca="1">INDIRECT(ADDRESS(11+(MATCH(RIGHT(Table2[[#This Row],[spawner_sku]],LEN(Table2[[#This Row],[spawner_sku]])-FIND("/",Table2[[#This Row],[spawner_sku]])),Table28[Entity Prefab],0)),24,1,1,"Entities"))</f>
        <v>no</v>
      </c>
      <c r="AP131" s="71">
        <v>2</v>
      </c>
      <c r="AQ131" s="71">
        <v>4</v>
      </c>
      <c r="AR131" s="71" t="b">
        <v>0</v>
      </c>
      <c r="AT131" t="s">
        <v>374</v>
      </c>
      <c r="AU131">
        <v>1</v>
      </c>
      <c r="AV131">
        <v>220</v>
      </c>
      <c r="AW131">
        <v>100</v>
      </c>
      <c r="AX131" s="74">
        <f ca="1">INDIRECT(ADDRESS(11+(MATCH(RIGHT(Table6[[#This Row],[spawner_sku]],LEN(Table6[[#This Row],[spawner_sku]])-FIND("/",Table6[[#This Row],[spawner_sku]])),Table1[Entity Prefab],0)),10,1,1,"Entities"))</f>
        <v>83</v>
      </c>
      <c r="AY131" s="74">
        <f ca="1">ROUND((Table6[[#This Row],[XP]]*Table6[[#This Row],[entity_spawned (AVG)]])*(Table6[[#This Row],[activating_chance]]/100),0)</f>
        <v>83</v>
      </c>
      <c r="AZ131" s="144" t="str">
        <f ca="1">INDIRECT(ADDRESS(11+(MATCH(RIGHT(Table6[[#This Row],[spawner_sku]],LEN(Table6[[#This Row],[spawner_sku]])-FIND("/",Table6[[#This Row],[spawner_sku]])),Table28[Entity Prefab],0)),24,1,1,"Entities"))</f>
        <v>no</v>
      </c>
      <c r="BA131">
        <v>1</v>
      </c>
      <c r="BB131">
        <v>1</v>
      </c>
      <c r="BC131" t="b">
        <v>0</v>
      </c>
      <c r="BE131" t="s">
        <v>428</v>
      </c>
      <c r="BF131">
        <v>1</v>
      </c>
      <c r="BG131">
        <v>180</v>
      </c>
      <c r="BH131">
        <v>100</v>
      </c>
      <c r="BI131" s="74">
        <f ca="1">INDIRECT(ADDRESS(11+(MATCH(RIGHT(Table610[[#This Row],[spawner_sku]],LEN(Table610[[#This Row],[spawner_sku]])-FIND("/",Table610[[#This Row],[spawner_sku]])),Table1[Entity Prefab],0)),10,1,1,"Entities"))</f>
        <v>70</v>
      </c>
      <c r="BJ131" s="74">
        <f ca="1">ROUND((Table610[[#This Row],[XP]]*Table610[[#This Row],[entity_spawned (AVG)]])*(Table610[[#This Row],[activating_chance]]/100),0)</f>
        <v>70</v>
      </c>
      <c r="BK131" s="71" t="str">
        <f ca="1">INDIRECT(ADDRESS(11+(MATCH(RIGHT(Table610[[#This Row],[spawner_sku]],LEN(Table610[[#This Row],[spawner_sku]])-FIND("/",Table610[[#This Row],[spawner_sku]])),Table28[Entity Prefab],0)),24,1,1,"Entities"))</f>
        <v>yes</v>
      </c>
      <c r="BL131">
        <v>1</v>
      </c>
      <c r="BM131">
        <v>1</v>
      </c>
      <c r="BN131" t="b">
        <v>0</v>
      </c>
      <c r="BP131" t="s">
        <v>220</v>
      </c>
      <c r="BQ131">
        <v>1</v>
      </c>
      <c r="BR131">
        <v>300</v>
      </c>
      <c r="BS131">
        <v>100</v>
      </c>
      <c r="BT131" s="74">
        <f ca="1">INDIRECT(ADDRESS(11+(MATCH(RIGHT(Table61011[[#This Row],[spawner_sku]],LEN(Table61011[[#This Row],[spawner_sku]])-FIND("/",Table61011[[#This Row],[spawner_sku]])),Table1[Entity Prefab],0)),10,1,1,"Entities"))</f>
        <v>195</v>
      </c>
      <c r="BU131" s="74">
        <f ca="1">ROUND((Table61011[[#This Row],[XP]]*Table61011[[#This Row],[entity_spawned (AVG)]])*(Table61011[[#This Row],[activating_chance]]/100),0)</f>
        <v>195</v>
      </c>
      <c r="BV131" s="71" t="str">
        <f ca="1">INDIRECT(ADDRESS(11+(MATCH(RIGHT(Table61011[[#This Row],[spawner_sku]],LEN(Table61011[[#This Row],[spawner_sku]])-FIND("/",Table61011[[#This Row],[spawner_sku]])),Table28[Entity Prefab],0)),24,1,1,"Entities"))</f>
        <v>yes</v>
      </c>
      <c r="BW131" s="71">
        <v>1</v>
      </c>
      <c r="BX131" s="71">
        <v>1</v>
      </c>
      <c r="BY131" s="71" t="b">
        <v>0</v>
      </c>
      <c r="BZ131" s="71"/>
      <c r="CA131" s="147" t="s">
        <v>8142</v>
      </c>
      <c r="CB131">
        <v>1</v>
      </c>
      <c r="CC131">
        <v>200</v>
      </c>
      <c r="CD131">
        <v>100</v>
      </c>
      <c r="CE131" s="74">
        <f ca="1">INDIRECT(ADDRESS(11+(MATCH(RIGHT(Table35[[#This Row],[spawner_sku]],LEN(Table35[[#This Row],[spawner_sku]])-FIND("/",Table35[[#This Row],[spawner_sku]])),Table1[Entity Prefab],0)),10,1,1,"Entities"))</f>
        <v>75</v>
      </c>
      <c r="CF131" s="74">
        <f ca="1">ROUND((Table35[[#This Row],[XP]]*Table35[[#This Row],[entity_spawned (AVG)]])*(Table35[[#This Row],[activating_chance]]/100),0)</f>
        <v>75</v>
      </c>
      <c r="CG131" s="144" t="str">
        <f ca="1">INDIRECT(ADDRESS(11+(MATCH(RIGHT(Table35[[#This Row],[spawner_sku]],LEN(Table35[[#This Row],[spawner_sku]])-FIND("/",Table35[[#This Row],[spawner_sku]])),Table28[Entity Prefab],0)),24,1,1,"Entities"))</f>
        <v>no</v>
      </c>
      <c r="CH131">
        <v>1</v>
      </c>
      <c r="CI131">
        <v>1</v>
      </c>
      <c r="CJ131" s="71" t="b">
        <v>0</v>
      </c>
      <c r="CL131" t="s">
        <v>376</v>
      </c>
      <c r="CM131">
        <v>2</v>
      </c>
      <c r="CN131">
        <v>190</v>
      </c>
      <c r="CO131">
        <v>100</v>
      </c>
      <c r="CP131" s="74">
        <f ca="1">INDIRECT(ADDRESS(11+(MATCH(RIGHT(Table11[[#This Row],[spawner_sku]],LEN(Table11[[#This Row],[spawner_sku]])-FIND("/",Table11[[#This Row],[spawner_sku]])),Table1[Entity Prefab],0)),10,1,1,"Entities"))</f>
        <v>25</v>
      </c>
      <c r="CQ131">
        <f ca="1">ROUND((Table11[[#This Row],[XP]]*Table11[[#This Row],[entity_spawned (AVG)]])*(Table11[[#This Row],[activating_chance]]/100),0)</f>
        <v>50</v>
      </c>
      <c r="CR131" s="144" t="str">
        <f ca="1">INDIRECT(ADDRESS(11+(MATCH(RIGHT(Table11[[#This Row],[spawner_sku]],LEN(Table11[[#This Row],[spawner_sku]])-FIND("/",Table11[[#This Row],[spawner_sku]])),Table28[Entity Prefab],0)),25,1,1,"Entities"))</f>
        <v>no</v>
      </c>
      <c r="CS131" s="71">
        <v>2</v>
      </c>
      <c r="CT131" s="71">
        <v>2</v>
      </c>
      <c r="CU131" s="71" t="b">
        <v>0</v>
      </c>
      <c r="CW131" t="s">
        <v>241</v>
      </c>
      <c r="CX131">
        <v>1.5</v>
      </c>
      <c r="CY131">
        <v>170</v>
      </c>
      <c r="CZ131">
        <v>80</v>
      </c>
      <c r="DA131" s="74">
        <f ca="1">INDIRECT(ADDRESS(11+(MATCH(RIGHT(Table12[[#This Row],[spawner_sku]],LEN(Table12[[#This Row],[spawner_sku]])-FIND("/",Table12[[#This Row],[spawner_sku]])),Table1[Entity Prefab],0)),10,1,1,"Entities"))</f>
        <v>70</v>
      </c>
      <c r="DB131" s="74">
        <f ca="1">ROUND((Table12[[#This Row],[XP]]*Table12[[#This Row],[entity_spawned (AVG)]])*(Table12[[#This Row],[activating_chance]]/100),0)</f>
        <v>84</v>
      </c>
      <c r="DC131" s="144" t="str">
        <f ca="1">INDIRECT(ADDRESS(11+(MATCH(RIGHT(Table12[[#This Row],[spawner_sku]],LEN(Table12[[#This Row],[spawner_sku]])-FIND("/",Table12[[#This Row],[spawner_sku]])),Table28[Entity Prefab],0)),25,1,1,"Entities"))</f>
        <v>yes</v>
      </c>
      <c r="DD131" s="71">
        <v>1</v>
      </c>
      <c r="DE131" s="71">
        <v>2</v>
      </c>
      <c r="DF131" s="71" t="b">
        <v>0</v>
      </c>
      <c r="DH131" t="s">
        <v>367</v>
      </c>
      <c r="DI131">
        <v>1</v>
      </c>
      <c r="DJ131">
        <v>200</v>
      </c>
      <c r="DK131">
        <v>100</v>
      </c>
      <c r="DL131" s="74">
        <f ca="1">INDIRECT(ADDRESS(11+(MATCH(RIGHT(Table13[[#This Row],[spawner_sku]],LEN(Table13[[#This Row],[spawner_sku]])-FIND("/",Table13[[#This Row],[spawner_sku]])),Table1[Entity Prefab],0)),10,1,1,"Entities"))</f>
        <v>75</v>
      </c>
      <c r="DM131" s="74">
        <f ca="1">ROUND((Table13[[#This Row],[XP]]*Table13[[#This Row],[entity_spawned (AVG)]])*(Table13[[#This Row],[activating_chance]]/100),0)</f>
        <v>75</v>
      </c>
      <c r="DN131" s="144" t="str">
        <f ca="1">INDIRECT(ADDRESS(11+(MATCH(RIGHT(Table13[[#This Row],[spawner_sku]],LEN(Table13[[#This Row],[spawner_sku]])-FIND("/",Table13[[#This Row],[spawner_sku]])),Table28[Entity Prefab],0)),25,1,1,"Entities"))</f>
        <v>no</v>
      </c>
      <c r="DO131" s="71">
        <v>1</v>
      </c>
      <c r="DP131" s="71">
        <v>1</v>
      </c>
      <c r="DQ131" s="71" t="b">
        <v>0</v>
      </c>
      <c r="DS131" t="s">
        <v>425</v>
      </c>
      <c r="DT131">
        <v>5</v>
      </c>
      <c r="DU131">
        <v>5000</v>
      </c>
      <c r="DV131">
        <v>100</v>
      </c>
      <c r="DW131" s="74">
        <f ca="1">INDIRECT(ADDRESS(11+(MATCH(RIGHT(Table14[[#This Row],[spawner_sku]],LEN(Table14[[#This Row],[spawner_sku]])-FIND("/",Table14[[#This Row],[spawner_sku]])),Table1[Entity Prefab],0)),10,1,1,"Entities"))</f>
        <v>25</v>
      </c>
      <c r="DX131" s="74">
        <f ca="1">ROUND((Table14[[#This Row],[XP]]*Table14[[#This Row],[entity_spawned (AVG)]])*(Table14[[#This Row],[activating_chance]]/100),0)</f>
        <v>125</v>
      </c>
      <c r="DY131" s="144" t="str">
        <f ca="1">INDIRECT(ADDRESS(11+(MATCH(RIGHT(Table14[[#This Row],[spawner_sku]],LEN(Table14[[#This Row],[spawner_sku]])-FIND("/",Table14[[#This Row],[spawner_sku]])),Table28[Entity Prefab],0)),25,1,1,"Entities"))</f>
        <v>no</v>
      </c>
      <c r="DZ131" s="71">
        <v>5</v>
      </c>
      <c r="EA131" s="71">
        <v>5</v>
      </c>
      <c r="EB131" s="71" t="b">
        <v>1</v>
      </c>
      <c r="EC131" s="71"/>
      <c r="ED131" s="147" t="s">
        <v>3818</v>
      </c>
      <c r="EE131" s="71">
        <v>1</v>
      </c>
      <c r="EF131" s="71">
        <v>240</v>
      </c>
      <c r="EG131" s="71">
        <v>100</v>
      </c>
      <c r="EH131" s="71">
        <f ca="1">INDIRECT(ADDRESS(11+(MATCH(RIGHT(Table36[[#This Row],[spawner_sku]],LEN(Table36[[#This Row],[spawner_sku]])-FIND("/",Table36[[#This Row],[spawner_sku]])),Table1[Entity Prefab],0)),10,1,1,"Entities"))</f>
        <v>10</v>
      </c>
      <c r="EI131" s="71">
        <f ca="1">ROUND((Table36[[#This Row],[XP]]*Table36[[#This Row],[entity_spawned (AVG)]])*(Table36[[#This Row],[activating_chance]]/100),0)</f>
        <v>10</v>
      </c>
      <c r="EJ131" s="71" t="str">
        <f ca="1">INDIRECT(ADDRESS(11+(MATCH(RIGHT(Table36[[#This Row],[spawner_sku]],LEN(Table36[[#This Row],[spawner_sku]])-FIND("/",Table36[[#This Row],[spawner_sku]])),Table28[Entity Prefab],0)),25,1,1,"Entities"))</f>
        <v>no</v>
      </c>
      <c r="EK131" s="71">
        <v>1</v>
      </c>
      <c r="EL131" s="71">
        <v>1</v>
      </c>
      <c r="EM131" s="71" t="b">
        <v>0</v>
      </c>
      <c r="EO131" t="s">
        <v>219</v>
      </c>
      <c r="EP131">
        <v>2</v>
      </c>
      <c r="EQ131">
        <v>250</v>
      </c>
      <c r="ER131">
        <v>80</v>
      </c>
      <c r="ES131" s="74">
        <f ca="1">INDIRECT(ADDRESS(11+(MATCH(RIGHT(Table18[[#This Row],[spawner_sku]],LEN(Table18[[#This Row],[spawner_sku]])-FIND("/",Table18[[#This Row],[spawner_sku]])),Table1[Entity Prefab],0)),10,1,1,"Entities"))</f>
        <v>143</v>
      </c>
      <c r="ET131" s="74">
        <f ca="1">ROUND((Table18[[#This Row],[XP]]*Table18[[#This Row],[entity_spawned (AVG)]])*(Table18[[#This Row],[activating_chance]]/100),0)</f>
        <v>229</v>
      </c>
      <c r="EU131" s="74" t="str">
        <f ca="1">INDIRECT(ADDRESS(11+(MATCH(RIGHT(Table18[[#This Row],[spawner_sku]],LEN(Table18[[#This Row],[spawner_sku]])-FIND("/",Table18[[#This Row],[spawner_sku]])),Table28[Entity Prefab],0)),26,1,1,"Entities"))</f>
        <v>yes</v>
      </c>
      <c r="EV131">
        <v>2</v>
      </c>
      <c r="EW131">
        <v>2</v>
      </c>
      <c r="EX131" t="b">
        <v>0</v>
      </c>
      <c r="EZ131" t="s">
        <v>428</v>
      </c>
      <c r="FA131">
        <v>1.5</v>
      </c>
      <c r="FB131">
        <v>130</v>
      </c>
      <c r="FC131">
        <v>10</v>
      </c>
      <c r="FD131" s="74">
        <f ca="1">INDIRECT(ADDRESS(11+(MATCH(RIGHT(Table1820[[#This Row],[spawner_sku]],LEN(Table1820[[#This Row],[spawner_sku]])-FIND("/",Table1820[[#This Row],[spawner_sku]])),Table1[Entity Prefab],0)),10,1,1,"Entities"))</f>
        <v>70</v>
      </c>
      <c r="FE131" s="74">
        <f ca="1">ROUND((Table1820[[#This Row],[XP]]*Table1820[[#This Row],[entity_spawned (AVG)]])*(Table1820[[#This Row],[activating_chance]]/100),0)</f>
        <v>11</v>
      </c>
      <c r="FF131" s="74" t="str">
        <f ca="1">INDIRECT(ADDRESS(11+(MATCH(RIGHT(Table1820[[#This Row],[spawner_sku]],LEN(Table1820[[#This Row],[spawner_sku]])-FIND("/",Table1820[[#This Row],[spawner_sku]])),Table28[Entity Prefab],0)),26,1,1,"Entities"))</f>
        <v>yes</v>
      </c>
      <c r="FG131">
        <v>1</v>
      </c>
      <c r="FH131">
        <v>2</v>
      </c>
      <c r="FI131" t="b">
        <v>0</v>
      </c>
      <c r="FK131" t="s">
        <v>2692</v>
      </c>
      <c r="FL131">
        <v>2</v>
      </c>
      <c r="FM131">
        <v>120</v>
      </c>
      <c r="FN131">
        <v>80</v>
      </c>
      <c r="FO131">
        <f ca="1">INDIRECT(ADDRESS(11+(MATCH(RIGHT(Table182023[[#This Row],[spawner_sku]],LEN(Table182023[[#This Row],[spawner_sku]])-FIND("/",Table182023[[#This Row],[spawner_sku]])),Table1[Entity Prefab],0)),10,1,1,"Entities"))</f>
        <v>263</v>
      </c>
      <c r="FP131">
        <f ca="1">ROUND((Table182023[[#This Row],[XP]]*Table182023[[#This Row],[entity_spawned (AVG)]])*(Table182023[[#This Row],[activating_chance]]/100),0)</f>
        <v>421</v>
      </c>
      <c r="FQ131" t="str">
        <f ca="1">INDIRECT(ADDRESS(11+(MATCH(RIGHT(Table182023[[#This Row],[spawner_sku]],LEN(Table182023[[#This Row],[spawner_sku]])-FIND("/",Table182023[[#This Row],[spawner_sku]])),Table28[Entity Prefab],0)),26,1,1,"Entities"))</f>
        <v>yes</v>
      </c>
      <c r="FR131">
        <v>1</v>
      </c>
      <c r="FS131">
        <v>3</v>
      </c>
      <c r="FT131" t="b">
        <v>0</v>
      </c>
      <c r="FV131" t="s">
        <v>2689</v>
      </c>
      <c r="FW131">
        <v>1</v>
      </c>
      <c r="FX131">
        <v>90</v>
      </c>
      <c r="FY131">
        <v>100</v>
      </c>
      <c r="FZ131" s="74">
        <f ca="1">INDIRECT(ADDRESS(11+(MATCH(RIGHT(Table18202324[[#This Row],[spawner_sku]],LEN(Table18202324[[#This Row],[spawner_sku]])-FIND("/",Table18202324[[#This Row],[spawner_sku]])),Table1[Entity Prefab],0)),10,1,1,"Entities"))</f>
        <v>25</v>
      </c>
      <c r="GA131" s="74">
        <f ca="1">ROUND((Table18202324[[#This Row],[XP]]*Table18202324[[#This Row],[entity_spawned (AVG)]])*(Table18202324[[#This Row],[activating_chance]]/100),0)</f>
        <v>25</v>
      </c>
      <c r="GB131" s="74" t="str">
        <f ca="1">INDIRECT(ADDRESS(11+(MATCH(RIGHT(Table18202324[[#This Row],[spawner_sku]],LEN(Table18202324[[#This Row],[spawner_sku]])-FIND("/",Table18202324[[#This Row],[spawner_sku]])),Table28[Entity Prefab],0)),26,1,1,"Entities"))</f>
        <v>no</v>
      </c>
      <c r="GC131">
        <v>1</v>
      </c>
      <c r="GD131">
        <v>1</v>
      </c>
      <c r="GE131" t="b">
        <v>0</v>
      </c>
      <c r="GG131" t="s">
        <v>3816</v>
      </c>
      <c r="GH131">
        <v>1</v>
      </c>
      <c r="GI131">
        <v>240</v>
      </c>
      <c r="GJ131">
        <v>100</v>
      </c>
      <c r="GK131">
        <f ca="1">INDIRECT(ADDRESS(11+(MATCH(RIGHT(Table37[[#This Row],[spawner_sku]],LEN(Table37[[#This Row],[spawner_sku]])-FIND("/",Table37[[#This Row],[spawner_sku]])),Table1[Entity Prefab],0)),10,1,1,"Entities"))</f>
        <v>50</v>
      </c>
      <c r="GL131">
        <f ca="1">ROUND((Table37[[#This Row],[XP]]*Table37[[#This Row],[entity_spawned (AVG)]])*(Table37[[#This Row],[activating_chance]]/100),0)</f>
        <v>50</v>
      </c>
      <c r="GM131" t="str">
        <f ca="1">INDIRECT(ADDRESS(11+(MATCH(RIGHT(Table37[[#This Row],[spawner_sku]],LEN(Table37[[#This Row],[spawner_sku]])-FIND("/",Table37[[#This Row],[spawner_sku]])),Table28[Entity Prefab],0)),26,1,1,"Entities"))</f>
        <v>no</v>
      </c>
      <c r="GN131">
        <v>1</v>
      </c>
      <c r="GO131">
        <v>1</v>
      </c>
      <c r="GP131" t="b">
        <v>0</v>
      </c>
    </row>
    <row r="132" spans="2:198" x14ac:dyDescent="0.25">
      <c r="B132" s="72" t="s">
        <v>215</v>
      </c>
      <c r="C132">
        <v>5.5</v>
      </c>
      <c r="D132">
        <v>160</v>
      </c>
      <c r="E132">
        <v>100</v>
      </c>
      <c r="F132" s="74">
        <f ca="1">INDIRECT(ADDRESS(11+(MATCH(RIGHT(Table245[[#This Row],[spawner_sku]],LEN(Table245[[#This Row],[spawner_sku]])-FIND("/",Table245[[#This Row],[spawner_sku]])),Table1[Entity Prefab],0)),10,1,1,"Entities"))</f>
        <v>25</v>
      </c>
      <c r="G132" s="74">
        <f ca="1">ROUND((Table245[[#This Row],[XP]]*Table245[[#This Row],[entity_spawned (AVG)]])*(Table245[[#This Row],[activating_chance]]/100),0)</f>
        <v>138</v>
      </c>
      <c r="H132" s="71" t="str">
        <f ca="1">INDIRECT(ADDRESS(11+(MATCH(RIGHT(Table245[[#This Row],[spawner_sku]],LEN(Table245[[#This Row],[spawner_sku]])-FIND("/",Table245[[#This Row],[spawner_sku]])),Table28[Entity Prefab],0)),24,1,1,"Entities"))</f>
        <v>no</v>
      </c>
      <c r="I132" s="71">
        <v>5</v>
      </c>
      <c r="J132" s="71">
        <v>6</v>
      </c>
      <c r="K132" s="71" t="b">
        <v>1</v>
      </c>
      <c r="M132" t="s">
        <v>244</v>
      </c>
      <c r="N132">
        <v>1</v>
      </c>
      <c r="O132">
        <v>250</v>
      </c>
      <c r="P132">
        <v>100</v>
      </c>
      <c r="Q132" s="74">
        <f ca="1">INDIRECT(ADDRESS(11+(MATCH(RIGHT(Table3[[#This Row],[spawner_sku]],LEN(Table3[[#This Row],[spawner_sku]])-FIND("/",Table3[[#This Row],[spawner_sku]])),Table1[Entity Prefab],0)),10,1,1,"Entities"))</f>
        <v>50</v>
      </c>
      <c r="R132" s="74">
        <f ca="1">ROUND((Table3[[#This Row],[XP]]*Table3[[#This Row],[entity_spawned (AVG)]])*(Table3[[#This Row],[activating_chance]]/100),0)</f>
        <v>50</v>
      </c>
      <c r="S132" t="str">
        <f ca="1">INDIRECT(ADDRESS(11+(MATCH(RIGHT(Table3[[#This Row],[spawner_sku]],LEN(Table3[[#This Row],[spawner_sku]])-FIND("/",Table3[[#This Row],[spawner_sku]])),Table28[Entity Prefab],0)),24,1,1,"Entities"))</f>
        <v>no</v>
      </c>
      <c r="T132">
        <v>1</v>
      </c>
      <c r="U132">
        <v>1</v>
      </c>
      <c r="V132" t="b">
        <v>0</v>
      </c>
      <c r="W132" s="71"/>
      <c r="AI132" t="s">
        <v>372</v>
      </c>
      <c r="AJ132">
        <v>3</v>
      </c>
      <c r="AK132">
        <v>120</v>
      </c>
      <c r="AL132">
        <v>100</v>
      </c>
      <c r="AM132" s="74">
        <f ca="1">INDIRECT(ADDRESS(11+(MATCH(RIGHT(Table2[[#This Row],[spawner_sku]],LEN(Table2[[#This Row],[spawner_sku]])-FIND("/",Table2[[#This Row],[spawner_sku]])),Table1[Entity Prefab],0)),10,1,1,"Entities"))</f>
        <v>25</v>
      </c>
      <c r="AN132" s="74">
        <f ca="1">ROUND((Table2[[#This Row],[XP]]*Table2[[#This Row],[entity_spawned (AVG)]])*(Table2[[#This Row],[activating_chance]]/100),0)</f>
        <v>75</v>
      </c>
      <c r="AO132" s="71" t="str">
        <f ca="1">INDIRECT(ADDRESS(11+(MATCH(RIGHT(Table2[[#This Row],[spawner_sku]],LEN(Table2[[#This Row],[spawner_sku]])-FIND("/",Table2[[#This Row],[spawner_sku]])),Table28[Entity Prefab],0)),24,1,1,"Entities"))</f>
        <v>no</v>
      </c>
      <c r="AP132" s="71">
        <v>2</v>
      </c>
      <c r="AQ132" s="71">
        <v>4</v>
      </c>
      <c r="AR132" s="71" t="b">
        <v>0</v>
      </c>
      <c r="AT132" t="s">
        <v>377</v>
      </c>
      <c r="AU132">
        <v>1</v>
      </c>
      <c r="AV132">
        <v>120</v>
      </c>
      <c r="AW132">
        <v>50</v>
      </c>
      <c r="AX132" s="74">
        <f ca="1">INDIRECT(ADDRESS(11+(MATCH(RIGHT(Table6[[#This Row],[spawner_sku]],LEN(Table6[[#This Row],[spawner_sku]])-FIND("/",Table6[[#This Row],[spawner_sku]])),Table1[Entity Prefab],0)),10,1,1,"Entities"))</f>
        <v>25</v>
      </c>
      <c r="AY132" s="74">
        <f ca="1">ROUND((Table6[[#This Row],[XP]]*Table6[[#This Row],[entity_spawned (AVG)]])*(Table6[[#This Row],[activating_chance]]/100),0)</f>
        <v>13</v>
      </c>
      <c r="AZ132" s="144" t="str">
        <f ca="1">INDIRECT(ADDRESS(11+(MATCH(RIGHT(Table6[[#This Row],[spawner_sku]],LEN(Table6[[#This Row],[spawner_sku]])-FIND("/",Table6[[#This Row],[spawner_sku]])),Table28[Entity Prefab],0)),24,1,1,"Entities"))</f>
        <v>no</v>
      </c>
      <c r="BA132">
        <v>1</v>
      </c>
      <c r="BB132">
        <v>1</v>
      </c>
      <c r="BC132" t="b">
        <v>0</v>
      </c>
      <c r="BE132" t="s">
        <v>428</v>
      </c>
      <c r="BF132">
        <v>1</v>
      </c>
      <c r="BG132">
        <v>100</v>
      </c>
      <c r="BH132">
        <v>100</v>
      </c>
      <c r="BI132" s="74">
        <f ca="1">INDIRECT(ADDRESS(11+(MATCH(RIGHT(Table610[[#This Row],[spawner_sku]],LEN(Table610[[#This Row],[spawner_sku]])-FIND("/",Table610[[#This Row],[spawner_sku]])),Table1[Entity Prefab],0)),10,1,1,"Entities"))</f>
        <v>70</v>
      </c>
      <c r="BJ132" s="74">
        <f ca="1">ROUND((Table610[[#This Row],[XP]]*Table610[[#This Row],[entity_spawned (AVG)]])*(Table610[[#This Row],[activating_chance]]/100),0)</f>
        <v>70</v>
      </c>
      <c r="BK132" s="71" t="str">
        <f ca="1">INDIRECT(ADDRESS(11+(MATCH(RIGHT(Table610[[#This Row],[spawner_sku]],LEN(Table610[[#This Row],[spawner_sku]])-FIND("/",Table610[[#This Row],[spawner_sku]])),Table28[Entity Prefab],0)),24,1,1,"Entities"))</f>
        <v>yes</v>
      </c>
      <c r="BL132">
        <v>1</v>
      </c>
      <c r="BM132">
        <v>1</v>
      </c>
      <c r="BN132" t="b">
        <v>0</v>
      </c>
      <c r="BP132" t="s">
        <v>220</v>
      </c>
      <c r="BQ132">
        <v>1</v>
      </c>
      <c r="BR132">
        <v>300</v>
      </c>
      <c r="BS132">
        <v>100</v>
      </c>
      <c r="BT132" s="74">
        <f ca="1">INDIRECT(ADDRESS(11+(MATCH(RIGHT(Table61011[[#This Row],[spawner_sku]],LEN(Table61011[[#This Row],[spawner_sku]])-FIND("/",Table61011[[#This Row],[spawner_sku]])),Table1[Entity Prefab],0)),10,1,1,"Entities"))</f>
        <v>195</v>
      </c>
      <c r="BU132" s="74">
        <f ca="1">ROUND((Table61011[[#This Row],[XP]]*Table61011[[#This Row],[entity_spawned (AVG)]])*(Table61011[[#This Row],[activating_chance]]/100),0)</f>
        <v>195</v>
      </c>
      <c r="BV132" s="71" t="str">
        <f ca="1">INDIRECT(ADDRESS(11+(MATCH(RIGHT(Table61011[[#This Row],[spawner_sku]],LEN(Table61011[[#This Row],[spawner_sku]])-FIND("/",Table61011[[#This Row],[spawner_sku]])),Table28[Entity Prefab],0)),24,1,1,"Entities"))</f>
        <v>yes</v>
      </c>
      <c r="BW132" s="71">
        <v>1</v>
      </c>
      <c r="BX132" s="71">
        <v>1</v>
      </c>
      <c r="BY132" s="71" t="b">
        <v>0</v>
      </c>
      <c r="BZ132" s="71"/>
      <c r="CA132" s="147" t="s">
        <v>8142</v>
      </c>
      <c r="CB132">
        <v>1</v>
      </c>
      <c r="CC132">
        <v>200</v>
      </c>
      <c r="CD132">
        <v>100</v>
      </c>
      <c r="CE132" s="74">
        <f ca="1">INDIRECT(ADDRESS(11+(MATCH(RIGHT(Table35[[#This Row],[spawner_sku]],LEN(Table35[[#This Row],[spawner_sku]])-FIND("/",Table35[[#This Row],[spawner_sku]])),Table1[Entity Prefab],0)),10,1,1,"Entities"))</f>
        <v>75</v>
      </c>
      <c r="CF132" s="74">
        <f ca="1">ROUND((Table35[[#This Row],[XP]]*Table35[[#This Row],[entity_spawned (AVG)]])*(Table35[[#This Row],[activating_chance]]/100),0)</f>
        <v>75</v>
      </c>
      <c r="CG132" s="144" t="str">
        <f ca="1">INDIRECT(ADDRESS(11+(MATCH(RIGHT(Table35[[#This Row],[spawner_sku]],LEN(Table35[[#This Row],[spawner_sku]])-FIND("/",Table35[[#This Row],[spawner_sku]])),Table28[Entity Prefab],0)),24,1,1,"Entities"))</f>
        <v>no</v>
      </c>
      <c r="CH132">
        <v>1</v>
      </c>
      <c r="CI132">
        <v>1</v>
      </c>
      <c r="CJ132" s="71" t="b">
        <v>0</v>
      </c>
      <c r="CL132" t="s">
        <v>376</v>
      </c>
      <c r="CM132">
        <v>7</v>
      </c>
      <c r="CN132">
        <v>200</v>
      </c>
      <c r="CO132">
        <v>100</v>
      </c>
      <c r="CP132" s="74">
        <f ca="1">INDIRECT(ADDRESS(11+(MATCH(RIGHT(Table11[[#This Row],[spawner_sku]],LEN(Table11[[#This Row],[spawner_sku]])-FIND("/",Table11[[#This Row],[spawner_sku]])),Table1[Entity Prefab],0)),10,1,1,"Entities"))</f>
        <v>25</v>
      </c>
      <c r="CQ132">
        <f ca="1">ROUND((Table11[[#This Row],[XP]]*Table11[[#This Row],[entity_spawned (AVG)]])*(Table11[[#This Row],[activating_chance]]/100),0)</f>
        <v>175</v>
      </c>
      <c r="CR132" s="144" t="str">
        <f ca="1">INDIRECT(ADDRESS(11+(MATCH(RIGHT(Table11[[#This Row],[spawner_sku]],LEN(Table11[[#This Row],[spawner_sku]])-FIND("/",Table11[[#This Row],[spawner_sku]])),Table28[Entity Prefab],0)),25,1,1,"Entities"))</f>
        <v>no</v>
      </c>
      <c r="CS132" s="71">
        <v>6</v>
      </c>
      <c r="CT132" s="71">
        <v>8</v>
      </c>
      <c r="CU132" s="71" t="b">
        <v>1</v>
      </c>
      <c r="CW132" t="s">
        <v>241</v>
      </c>
      <c r="CX132">
        <v>1</v>
      </c>
      <c r="CY132">
        <v>170</v>
      </c>
      <c r="CZ132">
        <v>100</v>
      </c>
      <c r="DA132" s="74">
        <f ca="1">INDIRECT(ADDRESS(11+(MATCH(RIGHT(Table12[[#This Row],[spawner_sku]],LEN(Table12[[#This Row],[spawner_sku]])-FIND("/",Table12[[#This Row],[spawner_sku]])),Table1[Entity Prefab],0)),10,1,1,"Entities"))</f>
        <v>70</v>
      </c>
      <c r="DB132" s="74">
        <f ca="1">ROUND((Table12[[#This Row],[XP]]*Table12[[#This Row],[entity_spawned (AVG)]])*(Table12[[#This Row],[activating_chance]]/100),0)</f>
        <v>70</v>
      </c>
      <c r="DC132" s="144" t="str">
        <f ca="1">INDIRECT(ADDRESS(11+(MATCH(RIGHT(Table12[[#This Row],[spawner_sku]],LEN(Table12[[#This Row],[spawner_sku]])-FIND("/",Table12[[#This Row],[spawner_sku]])),Table28[Entity Prefab],0)),25,1,1,"Entities"))</f>
        <v>yes</v>
      </c>
      <c r="DD132" s="71">
        <v>1</v>
      </c>
      <c r="DE132" s="71">
        <v>1</v>
      </c>
      <c r="DF132" s="71" t="b">
        <v>0</v>
      </c>
      <c r="DH132" t="s">
        <v>367</v>
      </c>
      <c r="DI132">
        <v>1</v>
      </c>
      <c r="DJ132">
        <v>200</v>
      </c>
      <c r="DK132">
        <v>100</v>
      </c>
      <c r="DL132" s="74">
        <f ca="1">INDIRECT(ADDRESS(11+(MATCH(RIGHT(Table13[[#This Row],[spawner_sku]],LEN(Table13[[#This Row],[spawner_sku]])-FIND("/",Table13[[#This Row],[spawner_sku]])),Table1[Entity Prefab],0)),10,1,1,"Entities"))</f>
        <v>75</v>
      </c>
      <c r="DM132" s="74">
        <f ca="1">ROUND((Table13[[#This Row],[XP]]*Table13[[#This Row],[entity_spawned (AVG)]])*(Table13[[#This Row],[activating_chance]]/100),0)</f>
        <v>75</v>
      </c>
      <c r="DN132" s="144" t="str">
        <f ca="1">INDIRECT(ADDRESS(11+(MATCH(RIGHT(Table13[[#This Row],[spawner_sku]],LEN(Table13[[#This Row],[spawner_sku]])-FIND("/",Table13[[#This Row],[spawner_sku]])),Table28[Entity Prefab],0)),25,1,1,"Entities"))</f>
        <v>no</v>
      </c>
      <c r="DO132" s="71">
        <v>1</v>
      </c>
      <c r="DP132" s="71">
        <v>1</v>
      </c>
      <c r="DQ132" s="71" t="b">
        <v>0</v>
      </c>
      <c r="DS132" t="s">
        <v>425</v>
      </c>
      <c r="DT132">
        <v>5</v>
      </c>
      <c r="DU132">
        <v>5000</v>
      </c>
      <c r="DV132">
        <v>100</v>
      </c>
      <c r="DW132" s="74">
        <f ca="1">INDIRECT(ADDRESS(11+(MATCH(RIGHT(Table14[[#This Row],[spawner_sku]],LEN(Table14[[#This Row],[spawner_sku]])-FIND("/",Table14[[#This Row],[spawner_sku]])),Table1[Entity Prefab],0)),10,1,1,"Entities"))</f>
        <v>25</v>
      </c>
      <c r="DX132" s="74">
        <f ca="1">ROUND((Table14[[#This Row],[XP]]*Table14[[#This Row],[entity_spawned (AVG)]])*(Table14[[#This Row],[activating_chance]]/100),0)</f>
        <v>125</v>
      </c>
      <c r="DY132" s="144" t="str">
        <f ca="1">INDIRECT(ADDRESS(11+(MATCH(RIGHT(Table14[[#This Row],[spawner_sku]],LEN(Table14[[#This Row],[spawner_sku]])-FIND("/",Table14[[#This Row],[spawner_sku]])),Table28[Entity Prefab],0)),25,1,1,"Entities"))</f>
        <v>no</v>
      </c>
      <c r="DZ132" s="71">
        <v>5</v>
      </c>
      <c r="EA132" s="71">
        <v>5</v>
      </c>
      <c r="EB132" s="71" t="b">
        <v>1</v>
      </c>
      <c r="EC132" s="71"/>
      <c r="ED132" s="147" t="s">
        <v>3818</v>
      </c>
      <c r="EE132" s="71">
        <v>1</v>
      </c>
      <c r="EF132" s="71">
        <v>240</v>
      </c>
      <c r="EG132" s="71">
        <v>100</v>
      </c>
      <c r="EH132" s="71">
        <f ca="1">INDIRECT(ADDRESS(11+(MATCH(RIGHT(Table36[[#This Row],[spawner_sku]],LEN(Table36[[#This Row],[spawner_sku]])-FIND("/",Table36[[#This Row],[spawner_sku]])),Table1[Entity Prefab],0)),10,1,1,"Entities"))</f>
        <v>10</v>
      </c>
      <c r="EI132" s="71">
        <f ca="1">ROUND((Table36[[#This Row],[XP]]*Table36[[#This Row],[entity_spawned (AVG)]])*(Table36[[#This Row],[activating_chance]]/100),0)</f>
        <v>10</v>
      </c>
      <c r="EJ132" s="71" t="str">
        <f ca="1">INDIRECT(ADDRESS(11+(MATCH(RIGHT(Table36[[#This Row],[spawner_sku]],LEN(Table36[[#This Row],[spawner_sku]])-FIND("/",Table36[[#This Row],[spawner_sku]])),Table28[Entity Prefab],0)),25,1,1,"Entities"))</f>
        <v>no</v>
      </c>
      <c r="EK132" s="71">
        <v>1</v>
      </c>
      <c r="EL132" s="71">
        <v>1</v>
      </c>
      <c r="EM132" s="71" t="b">
        <v>0</v>
      </c>
      <c r="EO132" t="s">
        <v>219</v>
      </c>
      <c r="EP132">
        <v>2</v>
      </c>
      <c r="EQ132">
        <v>250</v>
      </c>
      <c r="ER132">
        <v>80</v>
      </c>
      <c r="ES132" s="74">
        <f ca="1">INDIRECT(ADDRESS(11+(MATCH(RIGHT(Table18[[#This Row],[spawner_sku]],LEN(Table18[[#This Row],[spawner_sku]])-FIND("/",Table18[[#This Row],[spawner_sku]])),Table1[Entity Prefab],0)),10,1,1,"Entities"))</f>
        <v>143</v>
      </c>
      <c r="ET132" s="74">
        <f ca="1">ROUND((Table18[[#This Row],[XP]]*Table18[[#This Row],[entity_spawned (AVG)]])*(Table18[[#This Row],[activating_chance]]/100),0)</f>
        <v>229</v>
      </c>
      <c r="EU132" s="74" t="str">
        <f ca="1">INDIRECT(ADDRESS(11+(MATCH(RIGHT(Table18[[#This Row],[spawner_sku]],LEN(Table18[[#This Row],[spawner_sku]])-FIND("/",Table18[[#This Row],[spawner_sku]])),Table28[Entity Prefab],0)),26,1,1,"Entities"))</f>
        <v>yes</v>
      </c>
      <c r="EV132">
        <v>1</v>
      </c>
      <c r="EW132">
        <v>3</v>
      </c>
      <c r="EX132" t="b">
        <v>0</v>
      </c>
      <c r="EZ132" t="s">
        <v>428</v>
      </c>
      <c r="FA132">
        <v>2</v>
      </c>
      <c r="FB132">
        <v>180</v>
      </c>
      <c r="FC132">
        <v>100</v>
      </c>
      <c r="FD132" s="74">
        <f ca="1">INDIRECT(ADDRESS(11+(MATCH(RIGHT(Table1820[[#This Row],[spawner_sku]],LEN(Table1820[[#This Row],[spawner_sku]])-FIND("/",Table1820[[#This Row],[spawner_sku]])),Table1[Entity Prefab],0)),10,1,1,"Entities"))</f>
        <v>70</v>
      </c>
      <c r="FE132" s="74">
        <f ca="1">ROUND((Table1820[[#This Row],[XP]]*Table1820[[#This Row],[entity_spawned (AVG)]])*(Table1820[[#This Row],[activating_chance]]/100),0)</f>
        <v>140</v>
      </c>
      <c r="FF132" s="74" t="str">
        <f ca="1">INDIRECT(ADDRESS(11+(MATCH(RIGHT(Table1820[[#This Row],[spawner_sku]],LEN(Table1820[[#This Row],[spawner_sku]])-FIND("/",Table1820[[#This Row],[spawner_sku]])),Table28[Entity Prefab],0)),26,1,1,"Entities"))</f>
        <v>yes</v>
      </c>
      <c r="FG132">
        <v>1</v>
      </c>
      <c r="FH132">
        <v>3</v>
      </c>
      <c r="FI132" t="b">
        <v>0</v>
      </c>
      <c r="FK132" t="s">
        <v>2692</v>
      </c>
      <c r="FL132">
        <v>1</v>
      </c>
      <c r="FM132">
        <v>120</v>
      </c>
      <c r="FN132">
        <v>100</v>
      </c>
      <c r="FO132">
        <f ca="1">INDIRECT(ADDRESS(11+(MATCH(RIGHT(Table182023[[#This Row],[spawner_sku]],LEN(Table182023[[#This Row],[spawner_sku]])-FIND("/",Table182023[[#This Row],[spawner_sku]])),Table1[Entity Prefab],0)),10,1,1,"Entities"))</f>
        <v>263</v>
      </c>
      <c r="FP132">
        <f ca="1">ROUND((Table182023[[#This Row],[XP]]*Table182023[[#This Row],[entity_spawned (AVG)]])*(Table182023[[#This Row],[activating_chance]]/100),0)</f>
        <v>263</v>
      </c>
      <c r="FQ132" t="str">
        <f ca="1">INDIRECT(ADDRESS(11+(MATCH(RIGHT(Table182023[[#This Row],[spawner_sku]],LEN(Table182023[[#This Row],[spawner_sku]])-FIND("/",Table182023[[#This Row],[spawner_sku]])),Table28[Entity Prefab],0)),26,1,1,"Entities"))</f>
        <v>yes</v>
      </c>
      <c r="FR132">
        <v>1</v>
      </c>
      <c r="FS132">
        <v>1</v>
      </c>
      <c r="FT132" t="b">
        <v>0</v>
      </c>
      <c r="FV132" t="s">
        <v>2689</v>
      </c>
      <c r="FW132">
        <v>1</v>
      </c>
      <c r="FX132">
        <v>90</v>
      </c>
      <c r="FY132">
        <v>100</v>
      </c>
      <c r="FZ132" s="74">
        <f ca="1">INDIRECT(ADDRESS(11+(MATCH(RIGHT(Table18202324[[#This Row],[spawner_sku]],LEN(Table18202324[[#This Row],[spawner_sku]])-FIND("/",Table18202324[[#This Row],[spawner_sku]])),Table1[Entity Prefab],0)),10,1,1,"Entities"))</f>
        <v>25</v>
      </c>
      <c r="GA132" s="74">
        <f ca="1">ROUND((Table18202324[[#This Row],[XP]]*Table18202324[[#This Row],[entity_spawned (AVG)]])*(Table18202324[[#This Row],[activating_chance]]/100),0)</f>
        <v>25</v>
      </c>
      <c r="GB132" s="74" t="str">
        <f ca="1">INDIRECT(ADDRESS(11+(MATCH(RIGHT(Table18202324[[#This Row],[spawner_sku]],LEN(Table18202324[[#This Row],[spawner_sku]])-FIND("/",Table18202324[[#This Row],[spawner_sku]])),Table28[Entity Prefab],0)),26,1,1,"Entities"))</f>
        <v>no</v>
      </c>
      <c r="GC132">
        <v>1</v>
      </c>
      <c r="GD132">
        <v>1</v>
      </c>
      <c r="GE132" t="b">
        <v>0</v>
      </c>
      <c r="GG132" t="s">
        <v>3816</v>
      </c>
      <c r="GH132">
        <v>1</v>
      </c>
      <c r="GI132">
        <v>240</v>
      </c>
      <c r="GJ132">
        <v>100</v>
      </c>
      <c r="GK132">
        <f ca="1">INDIRECT(ADDRESS(11+(MATCH(RIGHT(Table37[[#This Row],[spawner_sku]],LEN(Table37[[#This Row],[spawner_sku]])-FIND("/",Table37[[#This Row],[spawner_sku]])),Table1[Entity Prefab],0)),10,1,1,"Entities"))</f>
        <v>50</v>
      </c>
      <c r="GL132">
        <f ca="1">ROUND((Table37[[#This Row],[XP]]*Table37[[#This Row],[entity_spawned (AVG)]])*(Table37[[#This Row],[activating_chance]]/100),0)</f>
        <v>50</v>
      </c>
      <c r="GM132" t="str">
        <f ca="1">INDIRECT(ADDRESS(11+(MATCH(RIGHT(Table37[[#This Row],[spawner_sku]],LEN(Table37[[#This Row],[spawner_sku]])-FIND("/",Table37[[#This Row],[spawner_sku]])),Table28[Entity Prefab],0)),26,1,1,"Entities"))</f>
        <v>no</v>
      </c>
      <c r="GN132">
        <v>1</v>
      </c>
      <c r="GO132">
        <v>1</v>
      </c>
      <c r="GP132" t="b">
        <v>0</v>
      </c>
    </row>
    <row r="133" spans="2:198" x14ac:dyDescent="0.25">
      <c r="B133" s="72" t="s">
        <v>215</v>
      </c>
      <c r="C133">
        <v>2.5</v>
      </c>
      <c r="D133">
        <v>110</v>
      </c>
      <c r="E133">
        <v>100</v>
      </c>
      <c r="F133" s="74">
        <f ca="1">INDIRECT(ADDRESS(11+(MATCH(RIGHT(Table245[[#This Row],[spawner_sku]],LEN(Table245[[#This Row],[spawner_sku]])-FIND("/",Table245[[#This Row],[spawner_sku]])),Table1[Entity Prefab],0)),10,1,1,"Entities"))</f>
        <v>25</v>
      </c>
      <c r="G133" s="74">
        <f ca="1">ROUND((Table245[[#This Row],[XP]]*Table245[[#This Row],[entity_spawned (AVG)]])*(Table245[[#This Row],[activating_chance]]/100),0)</f>
        <v>63</v>
      </c>
      <c r="H133" s="71" t="str">
        <f ca="1">INDIRECT(ADDRESS(11+(MATCH(RIGHT(Table245[[#This Row],[spawner_sku]],LEN(Table245[[#This Row],[spawner_sku]])-FIND("/",Table245[[#This Row],[spawner_sku]])),Table28[Entity Prefab],0)),24,1,1,"Entities"))</f>
        <v>no</v>
      </c>
      <c r="I133" s="71">
        <v>2</v>
      </c>
      <c r="J133" s="71">
        <v>3</v>
      </c>
      <c r="K133" s="71" t="b">
        <v>0</v>
      </c>
      <c r="M133" t="s">
        <v>244</v>
      </c>
      <c r="N133">
        <v>1</v>
      </c>
      <c r="O133">
        <v>220</v>
      </c>
      <c r="P133">
        <v>100</v>
      </c>
      <c r="Q133" s="74">
        <f ca="1">INDIRECT(ADDRESS(11+(MATCH(RIGHT(Table3[[#This Row],[spawner_sku]],LEN(Table3[[#This Row],[spawner_sku]])-FIND("/",Table3[[#This Row],[spawner_sku]])),Table1[Entity Prefab],0)),10,1,1,"Entities"))</f>
        <v>50</v>
      </c>
      <c r="R133" s="74">
        <f ca="1">ROUND((Table3[[#This Row],[XP]]*Table3[[#This Row],[entity_spawned (AVG)]])*(Table3[[#This Row],[activating_chance]]/100),0)</f>
        <v>50</v>
      </c>
      <c r="S133" t="str">
        <f ca="1">INDIRECT(ADDRESS(11+(MATCH(RIGHT(Table3[[#This Row],[spawner_sku]],LEN(Table3[[#This Row],[spawner_sku]])-FIND("/",Table3[[#This Row],[spawner_sku]])),Table28[Entity Prefab],0)),24,1,1,"Entities"))</f>
        <v>no</v>
      </c>
      <c r="T133">
        <v>1</v>
      </c>
      <c r="U133">
        <v>1</v>
      </c>
      <c r="V133" t="b">
        <v>0</v>
      </c>
      <c r="W133" s="71"/>
      <c r="AI133" t="s">
        <v>218</v>
      </c>
      <c r="AJ133">
        <v>1</v>
      </c>
      <c r="AK133">
        <v>5000</v>
      </c>
      <c r="AL133">
        <v>40</v>
      </c>
      <c r="AM133" s="74">
        <f ca="1">INDIRECT(ADDRESS(11+(MATCH(RIGHT(Table2[[#This Row],[spawner_sku]],LEN(Table2[[#This Row],[spawner_sku]])-FIND("/",Table2[[#This Row],[spawner_sku]])),Table1[Entity Prefab],0)),10,1,1,"Entities"))</f>
        <v>75</v>
      </c>
      <c r="AN133" s="74">
        <f ca="1">ROUND((Table2[[#This Row],[XP]]*Table2[[#This Row],[entity_spawned (AVG)]])*(Table2[[#This Row],[activating_chance]]/100),0)</f>
        <v>30</v>
      </c>
      <c r="AO133" s="71" t="str">
        <f ca="1">INDIRECT(ADDRESS(11+(MATCH(RIGHT(Table2[[#This Row],[spawner_sku]],LEN(Table2[[#This Row],[spawner_sku]])-FIND("/",Table2[[#This Row],[spawner_sku]])),Table28[Entity Prefab],0)),24,1,1,"Entities"))</f>
        <v>no</v>
      </c>
      <c r="AP133" s="71">
        <v>1</v>
      </c>
      <c r="AQ133" s="71">
        <v>1</v>
      </c>
      <c r="AR133" s="71" t="b">
        <v>0</v>
      </c>
      <c r="AT133" t="s">
        <v>377</v>
      </c>
      <c r="AU133">
        <v>1</v>
      </c>
      <c r="AV133">
        <v>120</v>
      </c>
      <c r="AW133">
        <v>50</v>
      </c>
      <c r="AX133" s="74">
        <f ca="1">INDIRECT(ADDRESS(11+(MATCH(RIGHT(Table6[[#This Row],[spawner_sku]],LEN(Table6[[#This Row],[spawner_sku]])-FIND("/",Table6[[#This Row],[spawner_sku]])),Table1[Entity Prefab],0)),10,1,1,"Entities"))</f>
        <v>25</v>
      </c>
      <c r="AY133" s="74">
        <f ca="1">ROUND((Table6[[#This Row],[XP]]*Table6[[#This Row],[entity_spawned (AVG)]])*(Table6[[#This Row],[activating_chance]]/100),0)</f>
        <v>13</v>
      </c>
      <c r="AZ133" s="144" t="str">
        <f ca="1">INDIRECT(ADDRESS(11+(MATCH(RIGHT(Table6[[#This Row],[spawner_sku]],LEN(Table6[[#This Row],[spawner_sku]])-FIND("/",Table6[[#This Row],[spawner_sku]])),Table28[Entity Prefab],0)),24,1,1,"Entities"))</f>
        <v>no</v>
      </c>
      <c r="BA133">
        <v>1</v>
      </c>
      <c r="BB133">
        <v>1</v>
      </c>
      <c r="BC133" t="b">
        <v>0</v>
      </c>
      <c r="BE133" t="s">
        <v>428</v>
      </c>
      <c r="BF133">
        <v>1</v>
      </c>
      <c r="BG133">
        <v>180</v>
      </c>
      <c r="BH133">
        <v>100</v>
      </c>
      <c r="BI133" s="74">
        <f ca="1">INDIRECT(ADDRESS(11+(MATCH(RIGHT(Table610[[#This Row],[spawner_sku]],LEN(Table610[[#This Row],[spawner_sku]])-FIND("/",Table610[[#This Row],[spawner_sku]])),Table1[Entity Prefab],0)),10,1,1,"Entities"))</f>
        <v>70</v>
      </c>
      <c r="BJ133" s="74">
        <f ca="1">ROUND((Table610[[#This Row],[XP]]*Table610[[#This Row],[entity_spawned (AVG)]])*(Table610[[#This Row],[activating_chance]]/100),0)</f>
        <v>70</v>
      </c>
      <c r="BK133" s="71" t="str">
        <f ca="1">INDIRECT(ADDRESS(11+(MATCH(RIGHT(Table610[[#This Row],[spawner_sku]],LEN(Table610[[#This Row],[spawner_sku]])-FIND("/",Table610[[#This Row],[spawner_sku]])),Table28[Entity Prefab],0)),24,1,1,"Entities"))</f>
        <v>yes</v>
      </c>
      <c r="BL133">
        <v>1</v>
      </c>
      <c r="BM133">
        <v>1</v>
      </c>
      <c r="BN133" t="b">
        <v>0</v>
      </c>
      <c r="BP133" t="s">
        <v>220</v>
      </c>
      <c r="BQ133">
        <v>1</v>
      </c>
      <c r="BR133">
        <v>300</v>
      </c>
      <c r="BS133">
        <v>100</v>
      </c>
      <c r="BT133" s="74">
        <f ca="1">INDIRECT(ADDRESS(11+(MATCH(RIGHT(Table61011[[#This Row],[spawner_sku]],LEN(Table61011[[#This Row],[spawner_sku]])-FIND("/",Table61011[[#This Row],[spawner_sku]])),Table1[Entity Prefab],0)),10,1,1,"Entities"))</f>
        <v>195</v>
      </c>
      <c r="BU133" s="74">
        <f ca="1">ROUND((Table61011[[#This Row],[XP]]*Table61011[[#This Row],[entity_spawned (AVG)]])*(Table61011[[#This Row],[activating_chance]]/100),0)</f>
        <v>195</v>
      </c>
      <c r="BV133" s="71" t="str">
        <f ca="1">INDIRECT(ADDRESS(11+(MATCH(RIGHT(Table61011[[#This Row],[spawner_sku]],LEN(Table61011[[#This Row],[spawner_sku]])-FIND("/",Table61011[[#This Row],[spawner_sku]])),Table28[Entity Prefab],0)),24,1,1,"Entities"))</f>
        <v>yes</v>
      </c>
      <c r="BW133" s="71">
        <v>1</v>
      </c>
      <c r="BX133" s="71">
        <v>1</v>
      </c>
      <c r="BY133" s="71" t="b">
        <v>0</v>
      </c>
      <c r="BZ133" s="71"/>
      <c r="CA133" s="147" t="s">
        <v>8142</v>
      </c>
      <c r="CB133">
        <v>1</v>
      </c>
      <c r="CC133">
        <v>200</v>
      </c>
      <c r="CD133">
        <v>100</v>
      </c>
      <c r="CE133" s="74">
        <f ca="1">INDIRECT(ADDRESS(11+(MATCH(RIGHT(Table35[[#This Row],[spawner_sku]],LEN(Table35[[#This Row],[spawner_sku]])-FIND("/",Table35[[#This Row],[spawner_sku]])),Table1[Entity Prefab],0)),10,1,1,"Entities"))</f>
        <v>75</v>
      </c>
      <c r="CF133" s="74">
        <f ca="1">ROUND((Table35[[#This Row],[XP]]*Table35[[#This Row],[entity_spawned (AVG)]])*(Table35[[#This Row],[activating_chance]]/100),0)</f>
        <v>75</v>
      </c>
      <c r="CG133" s="144" t="str">
        <f ca="1">INDIRECT(ADDRESS(11+(MATCH(RIGHT(Table35[[#This Row],[spawner_sku]],LEN(Table35[[#This Row],[spawner_sku]])-FIND("/",Table35[[#This Row],[spawner_sku]])),Table28[Entity Prefab],0)),24,1,1,"Entities"))</f>
        <v>no</v>
      </c>
      <c r="CH133">
        <v>1</v>
      </c>
      <c r="CI133">
        <v>1</v>
      </c>
      <c r="CJ133" s="71" t="b">
        <v>0</v>
      </c>
      <c r="CL133" t="s">
        <v>376</v>
      </c>
      <c r="CM133">
        <v>2</v>
      </c>
      <c r="CN133">
        <v>200</v>
      </c>
      <c r="CO133">
        <v>70</v>
      </c>
      <c r="CP133" s="74">
        <f ca="1">INDIRECT(ADDRESS(11+(MATCH(RIGHT(Table11[[#This Row],[spawner_sku]],LEN(Table11[[#This Row],[spawner_sku]])-FIND("/",Table11[[#This Row],[spawner_sku]])),Table1[Entity Prefab],0)),10,1,1,"Entities"))</f>
        <v>25</v>
      </c>
      <c r="CQ133">
        <f ca="1">ROUND((Table11[[#This Row],[XP]]*Table11[[#This Row],[entity_spawned (AVG)]])*(Table11[[#This Row],[activating_chance]]/100),0)</f>
        <v>35</v>
      </c>
      <c r="CR133" s="144" t="str">
        <f ca="1">INDIRECT(ADDRESS(11+(MATCH(RIGHT(Table11[[#This Row],[spawner_sku]],LEN(Table11[[#This Row],[spawner_sku]])-FIND("/",Table11[[#This Row],[spawner_sku]])),Table28[Entity Prefab],0)),25,1,1,"Entities"))</f>
        <v>no</v>
      </c>
      <c r="CS133" s="71">
        <v>2</v>
      </c>
      <c r="CT133" s="71">
        <v>2</v>
      </c>
      <c r="CU133" s="71" t="b">
        <v>0</v>
      </c>
      <c r="CW133" t="s">
        <v>241</v>
      </c>
      <c r="CX133">
        <v>1</v>
      </c>
      <c r="CY133">
        <v>170</v>
      </c>
      <c r="CZ133">
        <v>100</v>
      </c>
      <c r="DA133" s="74">
        <f ca="1">INDIRECT(ADDRESS(11+(MATCH(RIGHT(Table12[[#This Row],[spawner_sku]],LEN(Table12[[#This Row],[spawner_sku]])-FIND("/",Table12[[#This Row],[spawner_sku]])),Table1[Entity Prefab],0)),10,1,1,"Entities"))</f>
        <v>70</v>
      </c>
      <c r="DB133" s="74">
        <f ca="1">ROUND((Table12[[#This Row],[XP]]*Table12[[#This Row],[entity_spawned (AVG)]])*(Table12[[#This Row],[activating_chance]]/100),0)</f>
        <v>70</v>
      </c>
      <c r="DC133" s="144" t="str">
        <f ca="1">INDIRECT(ADDRESS(11+(MATCH(RIGHT(Table12[[#This Row],[spawner_sku]],LEN(Table12[[#This Row],[spawner_sku]])-FIND("/",Table12[[#This Row],[spawner_sku]])),Table28[Entity Prefab],0)),25,1,1,"Entities"))</f>
        <v>yes</v>
      </c>
      <c r="DD133" s="71">
        <v>1</v>
      </c>
      <c r="DE133" s="71">
        <v>1</v>
      </c>
      <c r="DF133" s="71" t="b">
        <v>0</v>
      </c>
      <c r="DH133" t="s">
        <v>367</v>
      </c>
      <c r="DI133">
        <v>1</v>
      </c>
      <c r="DJ133">
        <v>200</v>
      </c>
      <c r="DK133">
        <v>100</v>
      </c>
      <c r="DL133" s="74">
        <f ca="1">INDIRECT(ADDRESS(11+(MATCH(RIGHT(Table13[[#This Row],[spawner_sku]],LEN(Table13[[#This Row],[spawner_sku]])-FIND("/",Table13[[#This Row],[spawner_sku]])),Table1[Entity Prefab],0)),10,1,1,"Entities"))</f>
        <v>75</v>
      </c>
      <c r="DM133" s="74">
        <f ca="1">ROUND((Table13[[#This Row],[XP]]*Table13[[#This Row],[entity_spawned (AVG)]])*(Table13[[#This Row],[activating_chance]]/100),0)</f>
        <v>75</v>
      </c>
      <c r="DN133" s="144" t="str">
        <f ca="1">INDIRECT(ADDRESS(11+(MATCH(RIGHT(Table13[[#This Row],[spawner_sku]],LEN(Table13[[#This Row],[spawner_sku]])-FIND("/",Table13[[#This Row],[spawner_sku]])),Table28[Entity Prefab],0)),25,1,1,"Entities"))</f>
        <v>no</v>
      </c>
      <c r="DO133" s="71">
        <v>1</v>
      </c>
      <c r="DP133" s="71">
        <v>1</v>
      </c>
      <c r="DQ133" s="71" t="b">
        <v>0</v>
      </c>
      <c r="DS133" t="s">
        <v>425</v>
      </c>
      <c r="DT133">
        <v>5</v>
      </c>
      <c r="DU133">
        <v>5000</v>
      </c>
      <c r="DV133">
        <v>100</v>
      </c>
      <c r="DW133" s="74">
        <f ca="1">INDIRECT(ADDRESS(11+(MATCH(RIGHT(Table14[[#This Row],[spawner_sku]],LEN(Table14[[#This Row],[spawner_sku]])-FIND("/",Table14[[#This Row],[spawner_sku]])),Table1[Entity Prefab],0)),10,1,1,"Entities"))</f>
        <v>25</v>
      </c>
      <c r="DX133" s="74">
        <f ca="1">ROUND((Table14[[#This Row],[XP]]*Table14[[#This Row],[entity_spawned (AVG)]])*(Table14[[#This Row],[activating_chance]]/100),0)</f>
        <v>125</v>
      </c>
      <c r="DY133" s="144" t="str">
        <f ca="1">INDIRECT(ADDRESS(11+(MATCH(RIGHT(Table14[[#This Row],[spawner_sku]],LEN(Table14[[#This Row],[spawner_sku]])-FIND("/",Table14[[#This Row],[spawner_sku]])),Table28[Entity Prefab],0)),25,1,1,"Entities"))</f>
        <v>no</v>
      </c>
      <c r="DZ133" s="71">
        <v>5</v>
      </c>
      <c r="EA133" s="71">
        <v>5</v>
      </c>
      <c r="EB133" s="71" t="b">
        <v>1</v>
      </c>
      <c r="EC133" s="71"/>
      <c r="ED133" s="147" t="s">
        <v>3818</v>
      </c>
      <c r="EE133" s="71">
        <v>1</v>
      </c>
      <c r="EF133" s="71">
        <v>240</v>
      </c>
      <c r="EG133" s="71">
        <v>100</v>
      </c>
      <c r="EH133" s="71">
        <f ca="1">INDIRECT(ADDRESS(11+(MATCH(RIGHT(Table36[[#This Row],[spawner_sku]],LEN(Table36[[#This Row],[spawner_sku]])-FIND("/",Table36[[#This Row],[spawner_sku]])),Table1[Entity Prefab],0)),10,1,1,"Entities"))</f>
        <v>10</v>
      </c>
      <c r="EI133" s="71">
        <f ca="1">ROUND((Table36[[#This Row],[XP]]*Table36[[#This Row],[entity_spawned (AVG)]])*(Table36[[#This Row],[activating_chance]]/100),0)</f>
        <v>10</v>
      </c>
      <c r="EJ133" s="71" t="str">
        <f ca="1">INDIRECT(ADDRESS(11+(MATCH(RIGHT(Table36[[#This Row],[spawner_sku]],LEN(Table36[[#This Row],[spawner_sku]])-FIND("/",Table36[[#This Row],[spawner_sku]])),Table28[Entity Prefab],0)),25,1,1,"Entities"))</f>
        <v>no</v>
      </c>
      <c r="EK133" s="71">
        <v>1</v>
      </c>
      <c r="EL133" s="71">
        <v>1</v>
      </c>
      <c r="EM133" s="71" t="b">
        <v>0</v>
      </c>
      <c r="EO133" t="s">
        <v>320</v>
      </c>
      <c r="EP133">
        <v>2</v>
      </c>
      <c r="EQ133">
        <v>250</v>
      </c>
      <c r="ER133">
        <v>100</v>
      </c>
      <c r="ES133" s="74">
        <f ca="1">INDIRECT(ADDRESS(11+(MATCH(RIGHT(Table18[[#This Row],[spawner_sku]],LEN(Table18[[#This Row],[spawner_sku]])-FIND("/",Table18[[#This Row],[spawner_sku]])),Table1[Entity Prefab],0)),10,1,1,"Entities"))</f>
        <v>143</v>
      </c>
      <c r="ET133" s="74">
        <f ca="1">ROUND((Table18[[#This Row],[XP]]*Table18[[#This Row],[entity_spawned (AVG)]])*(Table18[[#This Row],[activating_chance]]/100),0)</f>
        <v>286</v>
      </c>
      <c r="EU133" s="74" t="str">
        <f ca="1">INDIRECT(ADDRESS(11+(MATCH(RIGHT(Table18[[#This Row],[spawner_sku]],LEN(Table18[[#This Row],[spawner_sku]])-FIND("/",Table18[[#This Row],[spawner_sku]])),Table28[Entity Prefab],0)),26,1,1,"Entities"))</f>
        <v>yes</v>
      </c>
      <c r="EV133">
        <v>2</v>
      </c>
      <c r="EW133">
        <v>2</v>
      </c>
      <c r="EX133" t="b">
        <v>0</v>
      </c>
      <c r="EZ133" t="s">
        <v>428</v>
      </c>
      <c r="FA133">
        <v>1.5</v>
      </c>
      <c r="FB133">
        <v>180</v>
      </c>
      <c r="FC133">
        <v>100</v>
      </c>
      <c r="FD133" s="74">
        <f ca="1">INDIRECT(ADDRESS(11+(MATCH(RIGHT(Table1820[[#This Row],[spawner_sku]],LEN(Table1820[[#This Row],[spawner_sku]])-FIND("/",Table1820[[#This Row],[spawner_sku]])),Table1[Entity Prefab],0)),10,1,1,"Entities"))</f>
        <v>70</v>
      </c>
      <c r="FE133" s="74">
        <f ca="1">ROUND((Table1820[[#This Row],[XP]]*Table1820[[#This Row],[entity_spawned (AVG)]])*(Table1820[[#This Row],[activating_chance]]/100),0)</f>
        <v>105</v>
      </c>
      <c r="FF133" s="74" t="str">
        <f ca="1">INDIRECT(ADDRESS(11+(MATCH(RIGHT(Table1820[[#This Row],[spawner_sku]],LEN(Table1820[[#This Row],[spawner_sku]])-FIND("/",Table1820[[#This Row],[spawner_sku]])),Table28[Entity Prefab],0)),26,1,1,"Entities"))</f>
        <v>yes</v>
      </c>
      <c r="FG133">
        <v>1</v>
      </c>
      <c r="FH133">
        <v>2</v>
      </c>
      <c r="FI133" t="b">
        <v>0</v>
      </c>
      <c r="FK133" t="s">
        <v>2692</v>
      </c>
      <c r="FL133">
        <v>1</v>
      </c>
      <c r="FM133">
        <v>120</v>
      </c>
      <c r="FN133">
        <v>100</v>
      </c>
      <c r="FO133">
        <f ca="1">INDIRECT(ADDRESS(11+(MATCH(RIGHT(Table182023[[#This Row],[spawner_sku]],LEN(Table182023[[#This Row],[spawner_sku]])-FIND("/",Table182023[[#This Row],[spawner_sku]])),Table1[Entity Prefab],0)),10,1,1,"Entities"))</f>
        <v>263</v>
      </c>
      <c r="FP133">
        <f ca="1">ROUND((Table182023[[#This Row],[XP]]*Table182023[[#This Row],[entity_spawned (AVG)]])*(Table182023[[#This Row],[activating_chance]]/100),0)</f>
        <v>263</v>
      </c>
      <c r="FQ133" t="str">
        <f ca="1">INDIRECT(ADDRESS(11+(MATCH(RIGHT(Table182023[[#This Row],[spawner_sku]],LEN(Table182023[[#This Row],[spawner_sku]])-FIND("/",Table182023[[#This Row],[spawner_sku]])),Table28[Entity Prefab],0)),26,1,1,"Entities"))</f>
        <v>yes</v>
      </c>
      <c r="FR133">
        <v>1</v>
      </c>
      <c r="FS133">
        <v>1</v>
      </c>
      <c r="FT133" t="b">
        <v>0</v>
      </c>
      <c r="FV133" t="s">
        <v>2689</v>
      </c>
      <c r="FW133">
        <v>1</v>
      </c>
      <c r="FX133">
        <v>90</v>
      </c>
      <c r="FY133">
        <v>100</v>
      </c>
      <c r="FZ133" s="74">
        <f ca="1">INDIRECT(ADDRESS(11+(MATCH(RIGHT(Table18202324[[#This Row],[spawner_sku]],LEN(Table18202324[[#This Row],[spawner_sku]])-FIND("/",Table18202324[[#This Row],[spawner_sku]])),Table1[Entity Prefab],0)),10,1,1,"Entities"))</f>
        <v>25</v>
      </c>
      <c r="GA133" s="74">
        <f ca="1">ROUND((Table18202324[[#This Row],[XP]]*Table18202324[[#This Row],[entity_spawned (AVG)]])*(Table18202324[[#This Row],[activating_chance]]/100),0)</f>
        <v>25</v>
      </c>
      <c r="GB133" s="74" t="str">
        <f ca="1">INDIRECT(ADDRESS(11+(MATCH(RIGHT(Table18202324[[#This Row],[spawner_sku]],LEN(Table18202324[[#This Row],[spawner_sku]])-FIND("/",Table18202324[[#This Row],[spawner_sku]])),Table28[Entity Prefab],0)),26,1,1,"Entities"))</f>
        <v>no</v>
      </c>
      <c r="GC133">
        <v>1</v>
      </c>
      <c r="GD133">
        <v>1</v>
      </c>
      <c r="GE133" t="b">
        <v>0</v>
      </c>
      <c r="GG133" t="s">
        <v>3816</v>
      </c>
      <c r="GH133">
        <v>1</v>
      </c>
      <c r="GI133">
        <v>240</v>
      </c>
      <c r="GJ133">
        <v>100</v>
      </c>
      <c r="GK133">
        <f ca="1">INDIRECT(ADDRESS(11+(MATCH(RIGHT(Table37[[#This Row],[spawner_sku]],LEN(Table37[[#This Row],[spawner_sku]])-FIND("/",Table37[[#This Row],[spawner_sku]])),Table1[Entity Prefab],0)),10,1,1,"Entities"))</f>
        <v>50</v>
      </c>
      <c r="GL133">
        <f ca="1">ROUND((Table37[[#This Row],[XP]]*Table37[[#This Row],[entity_spawned (AVG)]])*(Table37[[#This Row],[activating_chance]]/100),0)</f>
        <v>50</v>
      </c>
      <c r="GM133" t="str">
        <f ca="1">INDIRECT(ADDRESS(11+(MATCH(RIGHT(Table37[[#This Row],[spawner_sku]],LEN(Table37[[#This Row],[spawner_sku]])-FIND("/",Table37[[#This Row],[spawner_sku]])),Table28[Entity Prefab],0)),26,1,1,"Entities"))</f>
        <v>no</v>
      </c>
      <c r="GN133">
        <v>1</v>
      </c>
      <c r="GO133">
        <v>1</v>
      </c>
      <c r="GP133" t="b">
        <v>0</v>
      </c>
    </row>
    <row r="134" spans="2:198" x14ac:dyDescent="0.25">
      <c r="B134" s="72" t="s">
        <v>215</v>
      </c>
      <c r="C134">
        <v>1</v>
      </c>
      <c r="D134">
        <v>60</v>
      </c>
      <c r="E134">
        <v>100</v>
      </c>
      <c r="F134" s="74">
        <f ca="1">INDIRECT(ADDRESS(11+(MATCH(RIGHT(Table245[[#This Row],[spawner_sku]],LEN(Table245[[#This Row],[spawner_sku]])-FIND("/",Table245[[#This Row],[spawner_sku]])),Table1[Entity Prefab],0)),10,1,1,"Entities"))</f>
        <v>25</v>
      </c>
      <c r="G134" s="74">
        <f ca="1">ROUND((Table245[[#This Row],[XP]]*Table245[[#This Row],[entity_spawned (AVG)]])*(Table245[[#This Row],[activating_chance]]/100),0)</f>
        <v>25</v>
      </c>
      <c r="H134" s="71" t="str">
        <f ca="1">INDIRECT(ADDRESS(11+(MATCH(RIGHT(Table245[[#This Row],[spawner_sku]],LEN(Table245[[#This Row],[spawner_sku]])-FIND("/",Table245[[#This Row],[spawner_sku]])),Table28[Entity Prefab],0)),24,1,1,"Entities"))</f>
        <v>no</v>
      </c>
      <c r="I134" s="71">
        <v>1</v>
      </c>
      <c r="J134" s="71">
        <v>1</v>
      </c>
      <c r="K134" s="71" t="b">
        <v>0</v>
      </c>
      <c r="M134" t="s">
        <v>375</v>
      </c>
      <c r="N134">
        <v>1</v>
      </c>
      <c r="O134">
        <v>220</v>
      </c>
      <c r="P134">
        <v>100</v>
      </c>
      <c r="Q134" s="74">
        <f ca="1">INDIRECT(ADDRESS(11+(MATCH(RIGHT(Table3[[#This Row],[spawner_sku]],LEN(Table3[[#This Row],[spawner_sku]])-FIND("/",Table3[[#This Row],[spawner_sku]])),Table1[Entity Prefab],0)),10,1,1,"Entities"))</f>
        <v>50</v>
      </c>
      <c r="R134" s="74">
        <f ca="1">ROUND((Table3[[#This Row],[XP]]*Table3[[#This Row],[entity_spawned (AVG)]])*(Table3[[#This Row],[activating_chance]]/100),0)</f>
        <v>50</v>
      </c>
      <c r="S134" t="str">
        <f ca="1">INDIRECT(ADDRESS(11+(MATCH(RIGHT(Table3[[#This Row],[spawner_sku]],LEN(Table3[[#This Row],[spawner_sku]])-FIND("/",Table3[[#This Row],[spawner_sku]])),Table28[Entity Prefab],0)),24,1,1,"Entities"))</f>
        <v>no</v>
      </c>
      <c r="T134">
        <v>1</v>
      </c>
      <c r="U134">
        <v>1</v>
      </c>
      <c r="V134" t="b">
        <v>0</v>
      </c>
      <c r="W134" s="71"/>
      <c r="AI134" t="s">
        <v>218</v>
      </c>
      <c r="AJ134">
        <v>1</v>
      </c>
      <c r="AK134">
        <v>5000</v>
      </c>
      <c r="AL134">
        <v>75</v>
      </c>
      <c r="AM134" s="74">
        <f ca="1">INDIRECT(ADDRESS(11+(MATCH(RIGHT(Table2[[#This Row],[spawner_sku]],LEN(Table2[[#This Row],[spawner_sku]])-FIND("/",Table2[[#This Row],[spawner_sku]])),Table1[Entity Prefab],0)),10,1,1,"Entities"))</f>
        <v>75</v>
      </c>
      <c r="AN134" s="74">
        <f ca="1">ROUND((Table2[[#This Row],[XP]]*Table2[[#This Row],[entity_spawned (AVG)]])*(Table2[[#This Row],[activating_chance]]/100),0)</f>
        <v>56</v>
      </c>
      <c r="AO134" s="71" t="str">
        <f ca="1">INDIRECT(ADDRESS(11+(MATCH(RIGHT(Table2[[#This Row],[spawner_sku]],LEN(Table2[[#This Row],[spawner_sku]])-FIND("/",Table2[[#This Row],[spawner_sku]])),Table28[Entity Prefab],0)),24,1,1,"Entities"))</f>
        <v>no</v>
      </c>
      <c r="AP134" s="71">
        <v>1</v>
      </c>
      <c r="AQ134" s="71">
        <v>1</v>
      </c>
      <c r="AR134" s="71" t="b">
        <v>0</v>
      </c>
      <c r="AT134" t="s">
        <v>377</v>
      </c>
      <c r="AU134">
        <v>1</v>
      </c>
      <c r="AV134">
        <v>120</v>
      </c>
      <c r="AW134">
        <v>50</v>
      </c>
      <c r="AX134" s="74">
        <f ca="1">INDIRECT(ADDRESS(11+(MATCH(RIGHT(Table6[[#This Row],[spawner_sku]],LEN(Table6[[#This Row],[spawner_sku]])-FIND("/",Table6[[#This Row],[spawner_sku]])),Table1[Entity Prefab],0)),10,1,1,"Entities"))</f>
        <v>25</v>
      </c>
      <c r="AY134" s="74">
        <f ca="1">ROUND((Table6[[#This Row],[XP]]*Table6[[#This Row],[entity_spawned (AVG)]])*(Table6[[#This Row],[activating_chance]]/100),0)</f>
        <v>13</v>
      </c>
      <c r="AZ134" s="144" t="str">
        <f ca="1">INDIRECT(ADDRESS(11+(MATCH(RIGHT(Table6[[#This Row],[spawner_sku]],LEN(Table6[[#This Row],[spawner_sku]])-FIND("/",Table6[[#This Row],[spawner_sku]])),Table28[Entity Prefab],0)),24,1,1,"Entities"))</f>
        <v>no</v>
      </c>
      <c r="BA134">
        <v>1</v>
      </c>
      <c r="BB134">
        <v>1</v>
      </c>
      <c r="BC134" t="b">
        <v>0</v>
      </c>
      <c r="BE134" t="s">
        <v>428</v>
      </c>
      <c r="BF134">
        <v>1</v>
      </c>
      <c r="BG134">
        <v>100</v>
      </c>
      <c r="BH134">
        <v>100</v>
      </c>
      <c r="BI134" s="74">
        <f ca="1">INDIRECT(ADDRESS(11+(MATCH(RIGHT(Table610[[#This Row],[spawner_sku]],LEN(Table610[[#This Row],[spawner_sku]])-FIND("/",Table610[[#This Row],[spawner_sku]])),Table1[Entity Prefab],0)),10,1,1,"Entities"))</f>
        <v>70</v>
      </c>
      <c r="BJ134" s="74">
        <f ca="1">ROUND((Table610[[#This Row],[XP]]*Table610[[#This Row],[entity_spawned (AVG)]])*(Table610[[#This Row],[activating_chance]]/100),0)</f>
        <v>70</v>
      </c>
      <c r="BK134" s="71" t="str">
        <f ca="1">INDIRECT(ADDRESS(11+(MATCH(RIGHT(Table610[[#This Row],[spawner_sku]],LEN(Table610[[#This Row],[spawner_sku]])-FIND("/",Table610[[#This Row],[spawner_sku]])),Table28[Entity Prefab],0)),24,1,1,"Entities"))</f>
        <v>yes</v>
      </c>
      <c r="BL134">
        <v>1</v>
      </c>
      <c r="BM134">
        <v>1</v>
      </c>
      <c r="BN134" t="b">
        <v>0</v>
      </c>
      <c r="BP134" t="s">
        <v>220</v>
      </c>
      <c r="BQ134">
        <v>1</v>
      </c>
      <c r="BR134">
        <v>300</v>
      </c>
      <c r="BS134">
        <v>100</v>
      </c>
      <c r="BT134" s="74">
        <f ca="1">INDIRECT(ADDRESS(11+(MATCH(RIGHT(Table61011[[#This Row],[spawner_sku]],LEN(Table61011[[#This Row],[spawner_sku]])-FIND("/",Table61011[[#This Row],[spawner_sku]])),Table1[Entity Prefab],0)),10,1,1,"Entities"))</f>
        <v>195</v>
      </c>
      <c r="BU134" s="74">
        <f ca="1">ROUND((Table61011[[#This Row],[XP]]*Table61011[[#This Row],[entity_spawned (AVG)]])*(Table61011[[#This Row],[activating_chance]]/100),0)</f>
        <v>195</v>
      </c>
      <c r="BV134" s="71" t="str">
        <f ca="1">INDIRECT(ADDRESS(11+(MATCH(RIGHT(Table61011[[#This Row],[spawner_sku]],LEN(Table61011[[#This Row],[spawner_sku]])-FIND("/",Table61011[[#This Row],[spawner_sku]])),Table28[Entity Prefab],0)),24,1,1,"Entities"))</f>
        <v>yes</v>
      </c>
      <c r="BW134" s="71">
        <v>1</v>
      </c>
      <c r="BX134" s="71">
        <v>1</v>
      </c>
      <c r="BY134" s="71" t="b">
        <v>0</v>
      </c>
      <c r="BZ134" s="71"/>
      <c r="CA134" s="147" t="s">
        <v>8142</v>
      </c>
      <c r="CB134">
        <v>1</v>
      </c>
      <c r="CC134">
        <v>200</v>
      </c>
      <c r="CD134">
        <v>100</v>
      </c>
      <c r="CE134" s="74">
        <f ca="1">INDIRECT(ADDRESS(11+(MATCH(RIGHT(Table35[[#This Row],[spawner_sku]],LEN(Table35[[#This Row],[spawner_sku]])-FIND("/",Table35[[#This Row],[spawner_sku]])),Table1[Entity Prefab],0)),10,1,1,"Entities"))</f>
        <v>75</v>
      </c>
      <c r="CF134" s="74">
        <f ca="1">ROUND((Table35[[#This Row],[XP]]*Table35[[#This Row],[entity_spawned (AVG)]])*(Table35[[#This Row],[activating_chance]]/100),0)</f>
        <v>75</v>
      </c>
      <c r="CG134" s="144" t="str">
        <f ca="1">INDIRECT(ADDRESS(11+(MATCH(RIGHT(Table35[[#This Row],[spawner_sku]],LEN(Table35[[#This Row],[spawner_sku]])-FIND("/",Table35[[#This Row],[spawner_sku]])),Table28[Entity Prefab],0)),24,1,1,"Entities"))</f>
        <v>no</v>
      </c>
      <c r="CH134">
        <v>1</v>
      </c>
      <c r="CI134">
        <v>1</v>
      </c>
      <c r="CJ134" s="71" t="b">
        <v>0</v>
      </c>
      <c r="CL134" t="s">
        <v>376</v>
      </c>
      <c r="CM134">
        <v>5.5</v>
      </c>
      <c r="CN134">
        <v>215</v>
      </c>
      <c r="CO134">
        <v>100</v>
      </c>
      <c r="CP134" s="74">
        <f ca="1">INDIRECT(ADDRESS(11+(MATCH(RIGHT(Table11[[#This Row],[spawner_sku]],LEN(Table11[[#This Row],[spawner_sku]])-FIND("/",Table11[[#This Row],[spawner_sku]])),Table1[Entity Prefab],0)),10,1,1,"Entities"))</f>
        <v>25</v>
      </c>
      <c r="CQ134">
        <f ca="1">ROUND((Table11[[#This Row],[XP]]*Table11[[#This Row],[entity_spawned (AVG)]])*(Table11[[#This Row],[activating_chance]]/100),0)</f>
        <v>138</v>
      </c>
      <c r="CR134" s="144" t="str">
        <f ca="1">INDIRECT(ADDRESS(11+(MATCH(RIGHT(Table11[[#This Row],[spawner_sku]],LEN(Table11[[#This Row],[spawner_sku]])-FIND("/",Table11[[#This Row],[spawner_sku]])),Table28[Entity Prefab],0)),25,1,1,"Entities"))</f>
        <v>no</v>
      </c>
      <c r="CS134" s="71">
        <v>5</v>
      </c>
      <c r="CT134" s="71">
        <v>6</v>
      </c>
      <c r="CU134" s="71" t="b">
        <v>1</v>
      </c>
      <c r="CW134" t="s">
        <v>241</v>
      </c>
      <c r="CX134">
        <v>1</v>
      </c>
      <c r="CY134">
        <v>170</v>
      </c>
      <c r="CZ134">
        <v>100</v>
      </c>
      <c r="DA134" s="74">
        <f ca="1">INDIRECT(ADDRESS(11+(MATCH(RIGHT(Table12[[#This Row],[spawner_sku]],LEN(Table12[[#This Row],[spawner_sku]])-FIND("/",Table12[[#This Row],[spawner_sku]])),Table1[Entity Prefab],0)),10,1,1,"Entities"))</f>
        <v>70</v>
      </c>
      <c r="DB134" s="74">
        <f ca="1">ROUND((Table12[[#This Row],[XP]]*Table12[[#This Row],[entity_spawned (AVG)]])*(Table12[[#This Row],[activating_chance]]/100),0)</f>
        <v>70</v>
      </c>
      <c r="DC134" s="144" t="str">
        <f ca="1">INDIRECT(ADDRESS(11+(MATCH(RIGHT(Table12[[#This Row],[spawner_sku]],LEN(Table12[[#This Row],[spawner_sku]])-FIND("/",Table12[[#This Row],[spawner_sku]])),Table28[Entity Prefab],0)),25,1,1,"Entities"))</f>
        <v>yes</v>
      </c>
      <c r="DD134" s="71">
        <v>1</v>
      </c>
      <c r="DE134" s="71">
        <v>1</v>
      </c>
      <c r="DF134" s="71" t="b">
        <v>0</v>
      </c>
      <c r="DH134" t="s">
        <v>367</v>
      </c>
      <c r="DI134">
        <v>2</v>
      </c>
      <c r="DJ134">
        <v>200</v>
      </c>
      <c r="DK134">
        <v>100</v>
      </c>
      <c r="DL134" s="74">
        <f ca="1">INDIRECT(ADDRESS(11+(MATCH(RIGHT(Table13[[#This Row],[spawner_sku]],LEN(Table13[[#This Row],[spawner_sku]])-FIND("/",Table13[[#This Row],[spawner_sku]])),Table1[Entity Prefab],0)),10,1,1,"Entities"))</f>
        <v>75</v>
      </c>
      <c r="DM134" s="74">
        <f ca="1">ROUND((Table13[[#This Row],[XP]]*Table13[[#This Row],[entity_spawned (AVG)]])*(Table13[[#This Row],[activating_chance]]/100),0)</f>
        <v>150</v>
      </c>
      <c r="DN134" s="144" t="str">
        <f ca="1">INDIRECT(ADDRESS(11+(MATCH(RIGHT(Table13[[#This Row],[spawner_sku]],LEN(Table13[[#This Row],[spawner_sku]])-FIND("/",Table13[[#This Row],[spawner_sku]])),Table28[Entity Prefab],0)),25,1,1,"Entities"))</f>
        <v>no</v>
      </c>
      <c r="DO134" s="71">
        <v>2</v>
      </c>
      <c r="DP134" s="71">
        <v>2</v>
      </c>
      <c r="DQ134" s="71" t="b">
        <v>0</v>
      </c>
      <c r="DS134" t="s">
        <v>425</v>
      </c>
      <c r="DT134">
        <v>5</v>
      </c>
      <c r="DU134">
        <v>5000</v>
      </c>
      <c r="DV134">
        <v>100</v>
      </c>
      <c r="DW134" s="74">
        <f ca="1">INDIRECT(ADDRESS(11+(MATCH(RIGHT(Table14[[#This Row],[spawner_sku]],LEN(Table14[[#This Row],[spawner_sku]])-FIND("/",Table14[[#This Row],[spawner_sku]])),Table1[Entity Prefab],0)),10,1,1,"Entities"))</f>
        <v>25</v>
      </c>
      <c r="DX134" s="74">
        <f ca="1">ROUND((Table14[[#This Row],[XP]]*Table14[[#This Row],[entity_spawned (AVG)]])*(Table14[[#This Row],[activating_chance]]/100),0)</f>
        <v>125</v>
      </c>
      <c r="DY134" s="144" t="str">
        <f ca="1">INDIRECT(ADDRESS(11+(MATCH(RIGHT(Table14[[#This Row],[spawner_sku]],LEN(Table14[[#This Row],[spawner_sku]])-FIND("/",Table14[[#This Row],[spawner_sku]])),Table28[Entity Prefab],0)),25,1,1,"Entities"))</f>
        <v>no</v>
      </c>
      <c r="DZ134" s="71">
        <v>5</v>
      </c>
      <c r="EA134" s="71">
        <v>5</v>
      </c>
      <c r="EB134" s="71" t="b">
        <v>1</v>
      </c>
      <c r="EC134" s="71"/>
      <c r="ED134" s="147" t="s">
        <v>3818</v>
      </c>
      <c r="EE134" s="71">
        <v>1</v>
      </c>
      <c r="EF134" s="71">
        <v>240</v>
      </c>
      <c r="EG134" s="71">
        <v>100</v>
      </c>
      <c r="EH134" s="71">
        <f ca="1">INDIRECT(ADDRESS(11+(MATCH(RIGHT(Table36[[#This Row],[spawner_sku]],LEN(Table36[[#This Row],[spawner_sku]])-FIND("/",Table36[[#This Row],[spawner_sku]])),Table1[Entity Prefab],0)),10,1,1,"Entities"))</f>
        <v>10</v>
      </c>
      <c r="EI134" s="71">
        <f ca="1">ROUND((Table36[[#This Row],[XP]]*Table36[[#This Row],[entity_spawned (AVG)]])*(Table36[[#This Row],[activating_chance]]/100),0)</f>
        <v>10</v>
      </c>
      <c r="EJ134" s="71" t="str">
        <f ca="1">INDIRECT(ADDRESS(11+(MATCH(RIGHT(Table36[[#This Row],[spawner_sku]],LEN(Table36[[#This Row],[spawner_sku]])-FIND("/",Table36[[#This Row],[spawner_sku]])),Table28[Entity Prefab],0)),25,1,1,"Entities"))</f>
        <v>no</v>
      </c>
      <c r="EK134" s="71">
        <v>1</v>
      </c>
      <c r="EL134" s="71">
        <v>1</v>
      </c>
      <c r="EM134" s="71" t="b">
        <v>0</v>
      </c>
      <c r="EO134" t="s">
        <v>320</v>
      </c>
      <c r="EP134">
        <v>3</v>
      </c>
      <c r="EQ134">
        <v>250</v>
      </c>
      <c r="ER134">
        <v>100</v>
      </c>
      <c r="ES134" s="74">
        <f ca="1">INDIRECT(ADDRESS(11+(MATCH(RIGHT(Table18[[#This Row],[spawner_sku]],LEN(Table18[[#This Row],[spawner_sku]])-FIND("/",Table18[[#This Row],[spawner_sku]])),Table1[Entity Prefab],0)),10,1,1,"Entities"))</f>
        <v>143</v>
      </c>
      <c r="ET134" s="74">
        <f ca="1">ROUND((Table18[[#This Row],[XP]]*Table18[[#This Row],[entity_spawned (AVG)]])*(Table18[[#This Row],[activating_chance]]/100),0)</f>
        <v>429</v>
      </c>
      <c r="EU134" s="74" t="str">
        <f ca="1">INDIRECT(ADDRESS(11+(MATCH(RIGHT(Table18[[#This Row],[spawner_sku]],LEN(Table18[[#This Row],[spawner_sku]])-FIND("/",Table18[[#This Row],[spawner_sku]])),Table28[Entity Prefab],0)),26,1,1,"Entities"))</f>
        <v>yes</v>
      </c>
      <c r="EV134">
        <v>2</v>
      </c>
      <c r="EW134">
        <v>4</v>
      </c>
      <c r="EX134" t="b">
        <v>0</v>
      </c>
      <c r="EZ134" t="s">
        <v>493</v>
      </c>
      <c r="FA134">
        <v>2</v>
      </c>
      <c r="FB134">
        <v>120</v>
      </c>
      <c r="FC134">
        <v>100</v>
      </c>
      <c r="FD134" s="74">
        <f ca="1">INDIRECT(ADDRESS(11+(MATCH(RIGHT(Table1820[[#This Row],[spawner_sku]],LEN(Table1820[[#This Row],[spawner_sku]])-FIND("/",Table1820[[#This Row],[spawner_sku]])),Table1[Entity Prefab],0)),10,1,1,"Entities"))</f>
        <v>35</v>
      </c>
      <c r="FE134" s="74">
        <f ca="1">ROUND((Table1820[[#This Row],[XP]]*Table1820[[#This Row],[entity_spawned (AVG)]])*(Table1820[[#This Row],[activating_chance]]/100),0)</f>
        <v>70</v>
      </c>
      <c r="FF134" s="74" t="str">
        <f ca="1">INDIRECT(ADDRESS(11+(MATCH(RIGHT(Table1820[[#This Row],[spawner_sku]],LEN(Table1820[[#This Row],[spawner_sku]])-FIND("/",Table1820[[#This Row],[spawner_sku]])),Table28[Entity Prefab],0)),26,1,1,"Entities"))</f>
        <v>no</v>
      </c>
      <c r="FG134">
        <v>2</v>
      </c>
      <c r="FH134">
        <v>2</v>
      </c>
      <c r="FI134" t="b">
        <v>0</v>
      </c>
      <c r="FK134" t="s">
        <v>2692</v>
      </c>
      <c r="FL134">
        <v>1.5</v>
      </c>
      <c r="FM134">
        <v>120</v>
      </c>
      <c r="FN134">
        <v>100</v>
      </c>
      <c r="FO134">
        <f ca="1">INDIRECT(ADDRESS(11+(MATCH(RIGHT(Table182023[[#This Row],[spawner_sku]],LEN(Table182023[[#This Row],[spawner_sku]])-FIND("/",Table182023[[#This Row],[spawner_sku]])),Table1[Entity Prefab],0)),10,1,1,"Entities"))</f>
        <v>263</v>
      </c>
      <c r="FP134">
        <f ca="1">ROUND((Table182023[[#This Row],[XP]]*Table182023[[#This Row],[entity_spawned (AVG)]])*(Table182023[[#This Row],[activating_chance]]/100),0)</f>
        <v>395</v>
      </c>
      <c r="FQ134" t="str">
        <f ca="1">INDIRECT(ADDRESS(11+(MATCH(RIGHT(Table182023[[#This Row],[spawner_sku]],LEN(Table182023[[#This Row],[spawner_sku]])-FIND("/",Table182023[[#This Row],[spawner_sku]])),Table28[Entity Prefab],0)),26,1,1,"Entities"))</f>
        <v>yes</v>
      </c>
      <c r="FR134">
        <v>1</v>
      </c>
      <c r="FS134">
        <v>2</v>
      </c>
      <c r="FT134" t="b">
        <v>0</v>
      </c>
      <c r="FV134" t="s">
        <v>2689</v>
      </c>
      <c r="FW134">
        <v>1</v>
      </c>
      <c r="FX134">
        <v>80</v>
      </c>
      <c r="FY134">
        <v>100</v>
      </c>
      <c r="FZ134" s="74">
        <f ca="1">INDIRECT(ADDRESS(11+(MATCH(RIGHT(Table18202324[[#This Row],[spawner_sku]],LEN(Table18202324[[#This Row],[spawner_sku]])-FIND("/",Table18202324[[#This Row],[spawner_sku]])),Table1[Entity Prefab],0)),10,1,1,"Entities"))</f>
        <v>25</v>
      </c>
      <c r="GA134" s="74">
        <f ca="1">ROUND((Table18202324[[#This Row],[XP]]*Table18202324[[#This Row],[entity_spawned (AVG)]])*(Table18202324[[#This Row],[activating_chance]]/100),0)</f>
        <v>25</v>
      </c>
      <c r="GB134" s="74" t="str">
        <f ca="1">INDIRECT(ADDRESS(11+(MATCH(RIGHT(Table18202324[[#This Row],[spawner_sku]],LEN(Table18202324[[#This Row],[spawner_sku]])-FIND("/",Table18202324[[#This Row],[spawner_sku]])),Table28[Entity Prefab],0)),26,1,1,"Entities"))</f>
        <v>no</v>
      </c>
      <c r="GC134">
        <v>1</v>
      </c>
      <c r="GD134">
        <v>1</v>
      </c>
      <c r="GE134" t="b">
        <v>0</v>
      </c>
      <c r="GG134" t="s">
        <v>3816</v>
      </c>
      <c r="GH134">
        <v>1</v>
      </c>
      <c r="GI134">
        <v>240</v>
      </c>
      <c r="GJ134">
        <v>100</v>
      </c>
      <c r="GK134">
        <f ca="1">INDIRECT(ADDRESS(11+(MATCH(RIGHT(Table37[[#This Row],[spawner_sku]],LEN(Table37[[#This Row],[spawner_sku]])-FIND("/",Table37[[#This Row],[spawner_sku]])),Table1[Entity Prefab],0)),10,1,1,"Entities"))</f>
        <v>50</v>
      </c>
      <c r="GL134">
        <f ca="1">ROUND((Table37[[#This Row],[XP]]*Table37[[#This Row],[entity_spawned (AVG)]])*(Table37[[#This Row],[activating_chance]]/100),0)</f>
        <v>50</v>
      </c>
      <c r="GM134" t="str">
        <f ca="1">INDIRECT(ADDRESS(11+(MATCH(RIGHT(Table37[[#This Row],[spawner_sku]],LEN(Table37[[#This Row],[spawner_sku]])-FIND("/",Table37[[#This Row],[spawner_sku]])),Table28[Entity Prefab],0)),26,1,1,"Entities"))</f>
        <v>no</v>
      </c>
      <c r="GN134">
        <v>1</v>
      </c>
      <c r="GO134">
        <v>1</v>
      </c>
      <c r="GP134" t="b">
        <v>0</v>
      </c>
    </row>
    <row r="135" spans="2:198" x14ac:dyDescent="0.25">
      <c r="B135" s="72" t="s">
        <v>215</v>
      </c>
      <c r="C135">
        <v>3</v>
      </c>
      <c r="D135">
        <v>160</v>
      </c>
      <c r="E135">
        <v>100</v>
      </c>
      <c r="F135" s="74">
        <f ca="1">INDIRECT(ADDRESS(11+(MATCH(RIGHT(Table245[[#This Row],[spawner_sku]],LEN(Table245[[#This Row],[spawner_sku]])-FIND("/",Table245[[#This Row],[spawner_sku]])),Table1[Entity Prefab],0)),10,1,1,"Entities"))</f>
        <v>25</v>
      </c>
      <c r="G135" s="74">
        <f ca="1">ROUND((Table245[[#This Row],[XP]]*Table245[[#This Row],[entity_spawned (AVG)]])*(Table245[[#This Row],[activating_chance]]/100),0)</f>
        <v>75</v>
      </c>
      <c r="H135" s="71" t="str">
        <f ca="1">INDIRECT(ADDRESS(11+(MATCH(RIGHT(Table245[[#This Row],[spawner_sku]],LEN(Table245[[#This Row],[spawner_sku]])-FIND("/",Table245[[#This Row],[spawner_sku]])),Table28[Entity Prefab],0)),24,1,1,"Entities"))</f>
        <v>no</v>
      </c>
      <c r="I135" s="71">
        <v>2</v>
      </c>
      <c r="J135" s="71">
        <v>4</v>
      </c>
      <c r="K135" s="71" t="b">
        <v>0</v>
      </c>
      <c r="M135" t="s">
        <v>375</v>
      </c>
      <c r="N135">
        <v>1</v>
      </c>
      <c r="O135">
        <v>240</v>
      </c>
      <c r="P135">
        <v>100</v>
      </c>
      <c r="Q135" s="74">
        <f ca="1">INDIRECT(ADDRESS(11+(MATCH(RIGHT(Table3[[#This Row],[spawner_sku]],LEN(Table3[[#This Row],[spawner_sku]])-FIND("/",Table3[[#This Row],[spawner_sku]])),Table1[Entity Prefab],0)),10,1,1,"Entities"))</f>
        <v>50</v>
      </c>
      <c r="R135" s="74">
        <f ca="1">ROUND((Table3[[#This Row],[XP]]*Table3[[#This Row],[entity_spawned (AVG)]])*(Table3[[#This Row],[activating_chance]]/100),0)</f>
        <v>50</v>
      </c>
      <c r="S135" t="str">
        <f ca="1">INDIRECT(ADDRESS(11+(MATCH(RIGHT(Table3[[#This Row],[spawner_sku]],LEN(Table3[[#This Row],[spawner_sku]])-FIND("/",Table3[[#This Row],[spawner_sku]])),Table28[Entity Prefab],0)),24,1,1,"Entities"))</f>
        <v>no</v>
      </c>
      <c r="T135">
        <v>1</v>
      </c>
      <c r="U135">
        <v>1</v>
      </c>
      <c r="V135" t="b">
        <v>0</v>
      </c>
      <c r="W135" s="71"/>
      <c r="AI135" t="s">
        <v>218</v>
      </c>
      <c r="AJ135">
        <v>1</v>
      </c>
      <c r="AK135">
        <v>5000</v>
      </c>
      <c r="AL135">
        <v>40</v>
      </c>
      <c r="AM135" s="74">
        <f ca="1">INDIRECT(ADDRESS(11+(MATCH(RIGHT(Table2[[#This Row],[spawner_sku]],LEN(Table2[[#This Row],[spawner_sku]])-FIND("/",Table2[[#This Row],[spawner_sku]])),Table1[Entity Prefab],0)),10,1,1,"Entities"))</f>
        <v>75</v>
      </c>
      <c r="AN135" s="74">
        <f ca="1">ROUND((Table2[[#This Row],[XP]]*Table2[[#This Row],[entity_spawned (AVG)]])*(Table2[[#This Row],[activating_chance]]/100),0)</f>
        <v>30</v>
      </c>
      <c r="AO135" s="71" t="str">
        <f ca="1">INDIRECT(ADDRESS(11+(MATCH(RIGHT(Table2[[#This Row],[spawner_sku]],LEN(Table2[[#This Row],[spawner_sku]])-FIND("/",Table2[[#This Row],[spawner_sku]])),Table28[Entity Prefab],0)),24,1,1,"Entities"))</f>
        <v>no</v>
      </c>
      <c r="AP135" s="71">
        <v>1</v>
      </c>
      <c r="AQ135" s="71">
        <v>1</v>
      </c>
      <c r="AR135" s="71" t="b">
        <v>0</v>
      </c>
      <c r="AT135" t="s">
        <v>377</v>
      </c>
      <c r="AU135">
        <v>3</v>
      </c>
      <c r="AV135">
        <v>120</v>
      </c>
      <c r="AW135">
        <v>100</v>
      </c>
      <c r="AX135" s="74">
        <f ca="1">INDIRECT(ADDRESS(11+(MATCH(RIGHT(Table6[[#This Row],[spawner_sku]],LEN(Table6[[#This Row],[spawner_sku]])-FIND("/",Table6[[#This Row],[spawner_sku]])),Table1[Entity Prefab],0)),10,1,1,"Entities"))</f>
        <v>25</v>
      </c>
      <c r="AY135" s="74">
        <f ca="1">ROUND((Table6[[#This Row],[XP]]*Table6[[#This Row],[entity_spawned (AVG)]])*(Table6[[#This Row],[activating_chance]]/100),0)</f>
        <v>75</v>
      </c>
      <c r="AZ135" s="144" t="str">
        <f ca="1">INDIRECT(ADDRESS(11+(MATCH(RIGHT(Table6[[#This Row],[spawner_sku]],LEN(Table6[[#This Row],[spawner_sku]])-FIND("/",Table6[[#This Row],[spawner_sku]])),Table28[Entity Prefab],0)),24,1,1,"Entities"))</f>
        <v>no</v>
      </c>
      <c r="BA135">
        <v>2</v>
      </c>
      <c r="BB135">
        <v>4</v>
      </c>
      <c r="BC135" t="b">
        <v>0</v>
      </c>
      <c r="BE135" t="s">
        <v>428</v>
      </c>
      <c r="BF135">
        <v>1</v>
      </c>
      <c r="BG135">
        <v>180</v>
      </c>
      <c r="BH135">
        <v>100</v>
      </c>
      <c r="BI135" s="74">
        <f ca="1">INDIRECT(ADDRESS(11+(MATCH(RIGHT(Table610[[#This Row],[spawner_sku]],LEN(Table610[[#This Row],[spawner_sku]])-FIND("/",Table610[[#This Row],[spawner_sku]])),Table1[Entity Prefab],0)),10,1,1,"Entities"))</f>
        <v>70</v>
      </c>
      <c r="BJ135" s="74">
        <f ca="1">ROUND((Table610[[#This Row],[XP]]*Table610[[#This Row],[entity_spawned (AVG)]])*(Table610[[#This Row],[activating_chance]]/100),0)</f>
        <v>70</v>
      </c>
      <c r="BK135" s="71" t="str">
        <f ca="1">INDIRECT(ADDRESS(11+(MATCH(RIGHT(Table610[[#This Row],[spawner_sku]],LEN(Table610[[#This Row],[spawner_sku]])-FIND("/",Table610[[#This Row],[spawner_sku]])),Table28[Entity Prefab],0)),24,1,1,"Entities"))</f>
        <v>yes</v>
      </c>
      <c r="BL135">
        <v>1</v>
      </c>
      <c r="BM135">
        <v>1</v>
      </c>
      <c r="BN135" t="b">
        <v>0</v>
      </c>
      <c r="BP135" t="s">
        <v>321</v>
      </c>
      <c r="BQ135">
        <v>1</v>
      </c>
      <c r="BR135">
        <v>300</v>
      </c>
      <c r="BS135">
        <v>100</v>
      </c>
      <c r="BT135" s="74">
        <f ca="1">INDIRECT(ADDRESS(11+(MATCH(RIGHT(Table61011[[#This Row],[spawner_sku]],LEN(Table61011[[#This Row],[spawner_sku]])-FIND("/",Table61011[[#This Row],[spawner_sku]])),Table1[Entity Prefab],0)),10,1,1,"Entities"))</f>
        <v>195</v>
      </c>
      <c r="BU135" s="74">
        <f ca="1">ROUND((Table61011[[#This Row],[XP]]*Table61011[[#This Row],[entity_spawned (AVG)]])*(Table61011[[#This Row],[activating_chance]]/100),0)</f>
        <v>195</v>
      </c>
      <c r="BV135" s="71" t="str">
        <f ca="1">INDIRECT(ADDRESS(11+(MATCH(RIGHT(Table61011[[#This Row],[spawner_sku]],LEN(Table61011[[#This Row],[spawner_sku]])-FIND("/",Table61011[[#This Row],[spawner_sku]])),Table28[Entity Prefab],0)),24,1,1,"Entities"))</f>
        <v>yes</v>
      </c>
      <c r="BW135" s="71">
        <v>1</v>
      </c>
      <c r="BX135" s="71">
        <v>1</v>
      </c>
      <c r="BY135" s="71" t="b">
        <v>0</v>
      </c>
      <c r="BZ135" s="71"/>
      <c r="CA135" s="147" t="s">
        <v>8142</v>
      </c>
      <c r="CB135">
        <v>1</v>
      </c>
      <c r="CC135">
        <v>200</v>
      </c>
      <c r="CD135">
        <v>100</v>
      </c>
      <c r="CE135" s="74">
        <f ca="1">INDIRECT(ADDRESS(11+(MATCH(RIGHT(Table35[[#This Row],[spawner_sku]],LEN(Table35[[#This Row],[spawner_sku]])-FIND("/",Table35[[#This Row],[spawner_sku]])),Table1[Entity Prefab],0)),10,1,1,"Entities"))</f>
        <v>75</v>
      </c>
      <c r="CF135" s="74">
        <f ca="1">ROUND((Table35[[#This Row],[XP]]*Table35[[#This Row],[entity_spawned (AVG)]])*(Table35[[#This Row],[activating_chance]]/100),0)</f>
        <v>75</v>
      </c>
      <c r="CG135" s="144" t="str">
        <f ca="1">INDIRECT(ADDRESS(11+(MATCH(RIGHT(Table35[[#This Row],[spawner_sku]],LEN(Table35[[#This Row],[spawner_sku]])-FIND("/",Table35[[#This Row],[spawner_sku]])),Table28[Entity Prefab],0)),24,1,1,"Entities"))</f>
        <v>no</v>
      </c>
      <c r="CH135">
        <v>1</v>
      </c>
      <c r="CI135">
        <v>1</v>
      </c>
      <c r="CJ135" s="71" t="b">
        <v>0</v>
      </c>
      <c r="CL135" t="s">
        <v>376</v>
      </c>
      <c r="CM135">
        <v>5.5</v>
      </c>
      <c r="CN135">
        <v>200</v>
      </c>
      <c r="CO135">
        <v>100</v>
      </c>
      <c r="CP135" s="74">
        <f ca="1">INDIRECT(ADDRESS(11+(MATCH(RIGHT(Table11[[#This Row],[spawner_sku]],LEN(Table11[[#This Row],[spawner_sku]])-FIND("/",Table11[[#This Row],[spawner_sku]])),Table1[Entity Prefab],0)),10,1,1,"Entities"))</f>
        <v>25</v>
      </c>
      <c r="CQ135">
        <f ca="1">ROUND((Table11[[#This Row],[XP]]*Table11[[#This Row],[entity_spawned (AVG)]])*(Table11[[#This Row],[activating_chance]]/100),0)</f>
        <v>138</v>
      </c>
      <c r="CR135" s="144" t="str">
        <f ca="1">INDIRECT(ADDRESS(11+(MATCH(RIGHT(Table11[[#This Row],[spawner_sku]],LEN(Table11[[#This Row],[spawner_sku]])-FIND("/",Table11[[#This Row],[spawner_sku]])),Table28[Entity Prefab],0)),25,1,1,"Entities"))</f>
        <v>no</v>
      </c>
      <c r="CS135" s="71">
        <v>5</v>
      </c>
      <c r="CT135" s="71">
        <v>6</v>
      </c>
      <c r="CU135" s="71" t="b">
        <v>1</v>
      </c>
      <c r="CW135" t="s">
        <v>241</v>
      </c>
      <c r="CX135">
        <v>1</v>
      </c>
      <c r="CY135">
        <v>170</v>
      </c>
      <c r="CZ135">
        <v>100</v>
      </c>
      <c r="DA135" s="74">
        <f ca="1">INDIRECT(ADDRESS(11+(MATCH(RIGHT(Table12[[#This Row],[spawner_sku]],LEN(Table12[[#This Row],[spawner_sku]])-FIND("/",Table12[[#This Row],[spawner_sku]])),Table1[Entity Prefab],0)),10,1,1,"Entities"))</f>
        <v>70</v>
      </c>
      <c r="DB135" s="74">
        <f ca="1">ROUND((Table12[[#This Row],[XP]]*Table12[[#This Row],[entity_spawned (AVG)]])*(Table12[[#This Row],[activating_chance]]/100),0)</f>
        <v>70</v>
      </c>
      <c r="DC135" s="144" t="str">
        <f ca="1">INDIRECT(ADDRESS(11+(MATCH(RIGHT(Table12[[#This Row],[spawner_sku]],LEN(Table12[[#This Row],[spawner_sku]])-FIND("/",Table12[[#This Row],[spawner_sku]])),Table28[Entity Prefab],0)),25,1,1,"Entities"))</f>
        <v>yes</v>
      </c>
      <c r="DD135" s="71">
        <v>1</v>
      </c>
      <c r="DE135" s="71">
        <v>1</v>
      </c>
      <c r="DF135" s="71" t="b">
        <v>0</v>
      </c>
      <c r="DH135" t="s">
        <v>367</v>
      </c>
      <c r="DI135">
        <v>2</v>
      </c>
      <c r="DJ135">
        <v>200</v>
      </c>
      <c r="DK135">
        <v>100</v>
      </c>
      <c r="DL135" s="74">
        <f ca="1">INDIRECT(ADDRESS(11+(MATCH(RIGHT(Table13[[#This Row],[spawner_sku]],LEN(Table13[[#This Row],[spawner_sku]])-FIND("/",Table13[[#This Row],[spawner_sku]])),Table1[Entity Prefab],0)),10,1,1,"Entities"))</f>
        <v>75</v>
      </c>
      <c r="DM135" s="74">
        <f ca="1">ROUND((Table13[[#This Row],[XP]]*Table13[[#This Row],[entity_spawned (AVG)]])*(Table13[[#This Row],[activating_chance]]/100),0)</f>
        <v>150</v>
      </c>
      <c r="DN135" s="144" t="str">
        <f ca="1">INDIRECT(ADDRESS(11+(MATCH(RIGHT(Table13[[#This Row],[spawner_sku]],LEN(Table13[[#This Row],[spawner_sku]])-FIND("/",Table13[[#This Row],[spawner_sku]])),Table28[Entity Prefab],0)),25,1,1,"Entities"))</f>
        <v>no</v>
      </c>
      <c r="DO135" s="71">
        <v>2</v>
      </c>
      <c r="DP135" s="71">
        <v>2</v>
      </c>
      <c r="DQ135" s="71" t="b">
        <v>0</v>
      </c>
      <c r="DS135" t="s">
        <v>218</v>
      </c>
      <c r="DT135">
        <v>1</v>
      </c>
      <c r="DU135">
        <v>5000</v>
      </c>
      <c r="DV135">
        <v>75</v>
      </c>
      <c r="DW135" s="74">
        <f ca="1">INDIRECT(ADDRESS(11+(MATCH(RIGHT(Table14[[#This Row],[spawner_sku]],LEN(Table14[[#This Row],[spawner_sku]])-FIND("/",Table14[[#This Row],[spawner_sku]])),Table1[Entity Prefab],0)),10,1,1,"Entities"))</f>
        <v>75</v>
      </c>
      <c r="DX135" s="74">
        <f ca="1">ROUND((Table14[[#This Row],[XP]]*Table14[[#This Row],[entity_spawned (AVG)]])*(Table14[[#This Row],[activating_chance]]/100),0)</f>
        <v>56</v>
      </c>
      <c r="DY135" s="144" t="str">
        <f ca="1">INDIRECT(ADDRESS(11+(MATCH(RIGHT(Table14[[#This Row],[spawner_sku]],LEN(Table14[[#This Row],[spawner_sku]])-FIND("/",Table14[[#This Row],[spawner_sku]])),Table28[Entity Prefab],0)),25,1,1,"Entities"))</f>
        <v>no</v>
      </c>
      <c r="DZ135" s="71">
        <v>1</v>
      </c>
      <c r="EA135" s="71">
        <v>1</v>
      </c>
      <c r="EB135" s="71" t="b">
        <v>0</v>
      </c>
      <c r="EC135" s="71"/>
      <c r="ED135" s="147" t="s">
        <v>3818</v>
      </c>
      <c r="EE135" s="71">
        <v>1</v>
      </c>
      <c r="EF135" s="71">
        <v>240</v>
      </c>
      <c r="EG135" s="71">
        <v>50</v>
      </c>
      <c r="EH135" s="71">
        <f ca="1">INDIRECT(ADDRESS(11+(MATCH(RIGHT(Table36[[#This Row],[spawner_sku]],LEN(Table36[[#This Row],[spawner_sku]])-FIND("/",Table36[[#This Row],[spawner_sku]])),Table1[Entity Prefab],0)),10,1,1,"Entities"))</f>
        <v>10</v>
      </c>
      <c r="EI135" s="71">
        <f ca="1">ROUND((Table36[[#This Row],[XP]]*Table36[[#This Row],[entity_spawned (AVG)]])*(Table36[[#This Row],[activating_chance]]/100),0)</f>
        <v>5</v>
      </c>
      <c r="EJ135" s="71" t="str">
        <f ca="1">INDIRECT(ADDRESS(11+(MATCH(RIGHT(Table36[[#This Row],[spawner_sku]],LEN(Table36[[#This Row],[spawner_sku]])-FIND("/",Table36[[#This Row],[spawner_sku]])),Table28[Entity Prefab],0)),25,1,1,"Entities"))</f>
        <v>no</v>
      </c>
      <c r="EK135" s="71">
        <v>1</v>
      </c>
      <c r="EL135" s="71">
        <v>1</v>
      </c>
      <c r="EM135" s="71" t="b">
        <v>0</v>
      </c>
      <c r="EO135" t="s">
        <v>320</v>
      </c>
      <c r="EP135">
        <v>3</v>
      </c>
      <c r="EQ135">
        <v>250</v>
      </c>
      <c r="ER135">
        <v>100</v>
      </c>
      <c r="ES135" s="74">
        <f ca="1">INDIRECT(ADDRESS(11+(MATCH(RIGHT(Table18[[#This Row],[spawner_sku]],LEN(Table18[[#This Row],[spawner_sku]])-FIND("/",Table18[[#This Row],[spawner_sku]])),Table1[Entity Prefab],0)),10,1,1,"Entities"))</f>
        <v>143</v>
      </c>
      <c r="ET135" s="74">
        <f ca="1">ROUND((Table18[[#This Row],[XP]]*Table18[[#This Row],[entity_spawned (AVG)]])*(Table18[[#This Row],[activating_chance]]/100),0)</f>
        <v>429</v>
      </c>
      <c r="EU135" s="74" t="str">
        <f ca="1">INDIRECT(ADDRESS(11+(MATCH(RIGHT(Table18[[#This Row],[spawner_sku]],LEN(Table18[[#This Row],[spawner_sku]])-FIND("/",Table18[[#This Row],[spawner_sku]])),Table28[Entity Prefab],0)),26,1,1,"Entities"))</f>
        <v>yes</v>
      </c>
      <c r="EV135">
        <v>2</v>
      </c>
      <c r="EW135">
        <v>4</v>
      </c>
      <c r="EX135" t="b">
        <v>0</v>
      </c>
      <c r="EZ135" t="s">
        <v>493</v>
      </c>
      <c r="FA135">
        <v>1.5</v>
      </c>
      <c r="FB135">
        <v>120</v>
      </c>
      <c r="FC135">
        <v>100</v>
      </c>
      <c r="FD135" s="74">
        <f ca="1">INDIRECT(ADDRESS(11+(MATCH(RIGHT(Table1820[[#This Row],[spawner_sku]],LEN(Table1820[[#This Row],[spawner_sku]])-FIND("/",Table1820[[#This Row],[spawner_sku]])),Table1[Entity Prefab],0)),10,1,1,"Entities"))</f>
        <v>35</v>
      </c>
      <c r="FE135" s="74">
        <f ca="1">ROUND((Table1820[[#This Row],[XP]]*Table1820[[#This Row],[entity_spawned (AVG)]])*(Table1820[[#This Row],[activating_chance]]/100),0)</f>
        <v>53</v>
      </c>
      <c r="FF135" s="74" t="str">
        <f ca="1">INDIRECT(ADDRESS(11+(MATCH(RIGHT(Table1820[[#This Row],[spawner_sku]],LEN(Table1820[[#This Row],[spawner_sku]])-FIND("/",Table1820[[#This Row],[spawner_sku]])),Table28[Entity Prefab],0)),26,1,1,"Entities"))</f>
        <v>no</v>
      </c>
      <c r="FG135">
        <v>1</v>
      </c>
      <c r="FH135">
        <v>2</v>
      </c>
      <c r="FI135" t="b">
        <v>0</v>
      </c>
      <c r="FK135" t="s">
        <v>2692</v>
      </c>
      <c r="FL135">
        <v>1</v>
      </c>
      <c r="FM135">
        <v>120</v>
      </c>
      <c r="FN135">
        <v>100</v>
      </c>
      <c r="FO135">
        <f ca="1">INDIRECT(ADDRESS(11+(MATCH(RIGHT(Table182023[[#This Row],[spawner_sku]],LEN(Table182023[[#This Row],[spawner_sku]])-FIND("/",Table182023[[#This Row],[spawner_sku]])),Table1[Entity Prefab],0)),10,1,1,"Entities"))</f>
        <v>263</v>
      </c>
      <c r="FP135">
        <f ca="1">ROUND((Table182023[[#This Row],[XP]]*Table182023[[#This Row],[entity_spawned (AVG)]])*(Table182023[[#This Row],[activating_chance]]/100),0)</f>
        <v>263</v>
      </c>
      <c r="FQ135" t="str">
        <f ca="1">INDIRECT(ADDRESS(11+(MATCH(RIGHT(Table182023[[#This Row],[spawner_sku]],LEN(Table182023[[#This Row],[spawner_sku]])-FIND("/",Table182023[[#This Row],[spawner_sku]])),Table28[Entity Prefab],0)),26,1,1,"Entities"))</f>
        <v>yes</v>
      </c>
      <c r="FR135">
        <v>1</v>
      </c>
      <c r="FS135">
        <v>1</v>
      </c>
      <c r="FT135" t="b">
        <v>0</v>
      </c>
      <c r="FV135" t="s">
        <v>2689</v>
      </c>
      <c r="FW135">
        <v>1</v>
      </c>
      <c r="FX135">
        <v>80</v>
      </c>
      <c r="FY135">
        <v>100</v>
      </c>
      <c r="FZ135" s="74">
        <f ca="1">INDIRECT(ADDRESS(11+(MATCH(RIGHT(Table18202324[[#This Row],[spawner_sku]],LEN(Table18202324[[#This Row],[spawner_sku]])-FIND("/",Table18202324[[#This Row],[spawner_sku]])),Table1[Entity Prefab],0)),10,1,1,"Entities"))</f>
        <v>25</v>
      </c>
      <c r="GA135" s="74">
        <f ca="1">ROUND((Table18202324[[#This Row],[XP]]*Table18202324[[#This Row],[entity_spawned (AVG)]])*(Table18202324[[#This Row],[activating_chance]]/100),0)</f>
        <v>25</v>
      </c>
      <c r="GB135" s="74" t="str">
        <f ca="1">INDIRECT(ADDRESS(11+(MATCH(RIGHT(Table18202324[[#This Row],[spawner_sku]],LEN(Table18202324[[#This Row],[spawner_sku]])-FIND("/",Table18202324[[#This Row],[spawner_sku]])),Table28[Entity Prefab],0)),26,1,1,"Entities"))</f>
        <v>no</v>
      </c>
      <c r="GC135">
        <v>1</v>
      </c>
      <c r="GD135">
        <v>1</v>
      </c>
      <c r="GE135" t="b">
        <v>0</v>
      </c>
      <c r="GG135" t="s">
        <v>3816</v>
      </c>
      <c r="GH135">
        <v>1</v>
      </c>
      <c r="GI135">
        <v>240</v>
      </c>
      <c r="GJ135">
        <v>100</v>
      </c>
      <c r="GK135">
        <f ca="1">INDIRECT(ADDRESS(11+(MATCH(RIGHT(Table37[[#This Row],[spawner_sku]],LEN(Table37[[#This Row],[spawner_sku]])-FIND("/",Table37[[#This Row],[spawner_sku]])),Table1[Entity Prefab],0)),10,1,1,"Entities"))</f>
        <v>50</v>
      </c>
      <c r="GL135">
        <f ca="1">ROUND((Table37[[#This Row],[XP]]*Table37[[#This Row],[entity_spawned (AVG)]])*(Table37[[#This Row],[activating_chance]]/100),0)</f>
        <v>50</v>
      </c>
      <c r="GM135" t="str">
        <f ca="1">INDIRECT(ADDRESS(11+(MATCH(RIGHT(Table37[[#This Row],[spawner_sku]],LEN(Table37[[#This Row],[spawner_sku]])-FIND("/",Table37[[#This Row],[spawner_sku]])),Table28[Entity Prefab],0)),26,1,1,"Entities"))</f>
        <v>no</v>
      </c>
      <c r="GN135">
        <v>1</v>
      </c>
      <c r="GO135">
        <v>1</v>
      </c>
      <c r="GP135" t="b">
        <v>0</v>
      </c>
    </row>
    <row r="136" spans="2:198" x14ac:dyDescent="0.25">
      <c r="B136" s="72" t="s">
        <v>215</v>
      </c>
      <c r="C136">
        <v>3</v>
      </c>
      <c r="D136">
        <v>80</v>
      </c>
      <c r="E136">
        <v>80</v>
      </c>
      <c r="F136" s="74">
        <f ca="1">INDIRECT(ADDRESS(11+(MATCH(RIGHT(Table245[[#This Row],[spawner_sku]],LEN(Table245[[#This Row],[spawner_sku]])-FIND("/",Table245[[#This Row],[spawner_sku]])),Table1[Entity Prefab],0)),10,1,1,"Entities"))</f>
        <v>25</v>
      </c>
      <c r="G136" s="74">
        <f ca="1">ROUND((Table245[[#This Row],[XP]]*Table245[[#This Row],[entity_spawned (AVG)]])*(Table245[[#This Row],[activating_chance]]/100),0)</f>
        <v>60</v>
      </c>
      <c r="H136" s="71" t="str">
        <f ca="1">INDIRECT(ADDRESS(11+(MATCH(RIGHT(Table245[[#This Row],[spawner_sku]],LEN(Table245[[#This Row],[spawner_sku]])-FIND("/",Table245[[#This Row],[spawner_sku]])),Table28[Entity Prefab],0)),24,1,1,"Entities"))</f>
        <v>no</v>
      </c>
      <c r="I136" s="71">
        <v>3</v>
      </c>
      <c r="J136" s="71">
        <v>3</v>
      </c>
      <c r="K136" s="71" t="b">
        <v>0</v>
      </c>
      <c r="M136" t="s">
        <v>375</v>
      </c>
      <c r="N136">
        <v>1</v>
      </c>
      <c r="O136">
        <v>240</v>
      </c>
      <c r="P136">
        <v>100</v>
      </c>
      <c r="Q136" s="74">
        <f ca="1">INDIRECT(ADDRESS(11+(MATCH(RIGHT(Table3[[#This Row],[spawner_sku]],LEN(Table3[[#This Row],[spawner_sku]])-FIND("/",Table3[[#This Row],[spawner_sku]])),Table1[Entity Prefab],0)),10,1,1,"Entities"))</f>
        <v>50</v>
      </c>
      <c r="R136" s="74">
        <f ca="1">ROUND((Table3[[#This Row],[XP]]*Table3[[#This Row],[entity_spawned (AVG)]])*(Table3[[#This Row],[activating_chance]]/100),0)</f>
        <v>50</v>
      </c>
      <c r="S136" t="str">
        <f ca="1">INDIRECT(ADDRESS(11+(MATCH(RIGHT(Table3[[#This Row],[spawner_sku]],LEN(Table3[[#This Row],[spawner_sku]])-FIND("/",Table3[[#This Row],[spawner_sku]])),Table28[Entity Prefab],0)),24,1,1,"Entities"))</f>
        <v>no</v>
      </c>
      <c r="T136">
        <v>1</v>
      </c>
      <c r="U136">
        <v>1</v>
      </c>
      <c r="V136" t="b">
        <v>0</v>
      </c>
      <c r="W136" s="71"/>
      <c r="AI136" t="s">
        <v>218</v>
      </c>
      <c r="AJ136">
        <v>1</v>
      </c>
      <c r="AK136">
        <v>5000</v>
      </c>
      <c r="AL136">
        <v>40</v>
      </c>
      <c r="AM136" s="74">
        <f ca="1">INDIRECT(ADDRESS(11+(MATCH(RIGHT(Table2[[#This Row],[spawner_sku]],LEN(Table2[[#This Row],[spawner_sku]])-FIND("/",Table2[[#This Row],[spawner_sku]])),Table1[Entity Prefab],0)),10,1,1,"Entities"))</f>
        <v>75</v>
      </c>
      <c r="AN136" s="74">
        <f ca="1">ROUND((Table2[[#This Row],[XP]]*Table2[[#This Row],[entity_spawned (AVG)]])*(Table2[[#This Row],[activating_chance]]/100),0)</f>
        <v>30</v>
      </c>
      <c r="AO136" s="71" t="str">
        <f ca="1">INDIRECT(ADDRESS(11+(MATCH(RIGHT(Table2[[#This Row],[spawner_sku]],LEN(Table2[[#This Row],[spawner_sku]])-FIND("/",Table2[[#This Row],[spawner_sku]])),Table28[Entity Prefab],0)),24,1,1,"Entities"))</f>
        <v>no</v>
      </c>
      <c r="AP136" s="71">
        <v>1</v>
      </c>
      <c r="AQ136" s="71">
        <v>1</v>
      </c>
      <c r="AR136" s="71" t="b">
        <v>0</v>
      </c>
      <c r="AT136" t="s">
        <v>377</v>
      </c>
      <c r="AU136">
        <v>1</v>
      </c>
      <c r="AV136">
        <v>120</v>
      </c>
      <c r="AW136">
        <v>50</v>
      </c>
      <c r="AX136" s="74">
        <f ca="1">INDIRECT(ADDRESS(11+(MATCH(RIGHT(Table6[[#This Row],[spawner_sku]],LEN(Table6[[#This Row],[spawner_sku]])-FIND("/",Table6[[#This Row],[spawner_sku]])),Table1[Entity Prefab],0)),10,1,1,"Entities"))</f>
        <v>25</v>
      </c>
      <c r="AY136" s="74">
        <f ca="1">ROUND((Table6[[#This Row],[XP]]*Table6[[#This Row],[entity_spawned (AVG)]])*(Table6[[#This Row],[activating_chance]]/100),0)</f>
        <v>13</v>
      </c>
      <c r="AZ136" s="144" t="str">
        <f ca="1">INDIRECT(ADDRESS(11+(MATCH(RIGHT(Table6[[#This Row],[spawner_sku]],LEN(Table6[[#This Row],[spawner_sku]])-FIND("/",Table6[[#This Row],[spawner_sku]])),Table28[Entity Prefab],0)),24,1,1,"Entities"))</f>
        <v>no</v>
      </c>
      <c r="BA136">
        <v>1</v>
      </c>
      <c r="BB136">
        <v>1</v>
      </c>
      <c r="BC136" t="b">
        <v>0</v>
      </c>
      <c r="BE136" t="s">
        <v>428</v>
      </c>
      <c r="BF136">
        <v>1</v>
      </c>
      <c r="BG136">
        <v>180</v>
      </c>
      <c r="BH136">
        <v>100</v>
      </c>
      <c r="BI136" s="74">
        <f ca="1">INDIRECT(ADDRESS(11+(MATCH(RIGHT(Table610[[#This Row],[spawner_sku]],LEN(Table610[[#This Row],[spawner_sku]])-FIND("/",Table610[[#This Row],[spawner_sku]])),Table1[Entity Prefab],0)),10,1,1,"Entities"))</f>
        <v>70</v>
      </c>
      <c r="BJ136" s="74">
        <f ca="1">ROUND((Table610[[#This Row],[XP]]*Table610[[#This Row],[entity_spawned (AVG)]])*(Table610[[#This Row],[activating_chance]]/100),0)</f>
        <v>70</v>
      </c>
      <c r="BK136" s="71" t="str">
        <f ca="1">INDIRECT(ADDRESS(11+(MATCH(RIGHT(Table610[[#This Row],[spawner_sku]],LEN(Table610[[#This Row],[spawner_sku]])-FIND("/",Table610[[#This Row],[spawner_sku]])),Table28[Entity Prefab],0)),24,1,1,"Entities"))</f>
        <v>yes</v>
      </c>
      <c r="BL136">
        <v>1</v>
      </c>
      <c r="BM136">
        <v>1</v>
      </c>
      <c r="BN136" t="b">
        <v>0</v>
      </c>
      <c r="BP136" t="s">
        <v>321</v>
      </c>
      <c r="BQ136">
        <v>2</v>
      </c>
      <c r="BR136">
        <v>300</v>
      </c>
      <c r="BS136">
        <v>100</v>
      </c>
      <c r="BT136" s="74">
        <f ca="1">INDIRECT(ADDRESS(11+(MATCH(RIGHT(Table61011[[#This Row],[spawner_sku]],LEN(Table61011[[#This Row],[spawner_sku]])-FIND("/",Table61011[[#This Row],[spawner_sku]])),Table1[Entity Prefab],0)),10,1,1,"Entities"))</f>
        <v>195</v>
      </c>
      <c r="BU136" s="74">
        <f ca="1">ROUND((Table61011[[#This Row],[XP]]*Table61011[[#This Row],[entity_spawned (AVG)]])*(Table61011[[#This Row],[activating_chance]]/100),0)</f>
        <v>390</v>
      </c>
      <c r="BV136" s="71" t="str">
        <f ca="1">INDIRECT(ADDRESS(11+(MATCH(RIGHT(Table61011[[#This Row],[spawner_sku]],LEN(Table61011[[#This Row],[spawner_sku]])-FIND("/",Table61011[[#This Row],[spawner_sku]])),Table28[Entity Prefab],0)),24,1,1,"Entities"))</f>
        <v>yes</v>
      </c>
      <c r="BW136" s="71">
        <v>2</v>
      </c>
      <c r="BX136" s="71">
        <v>2</v>
      </c>
      <c r="BY136" s="71" t="b">
        <v>0</v>
      </c>
      <c r="BZ136" s="71"/>
      <c r="CA136" s="147" t="s">
        <v>8142</v>
      </c>
      <c r="CB136">
        <v>1</v>
      </c>
      <c r="CC136">
        <v>200</v>
      </c>
      <c r="CD136">
        <v>100</v>
      </c>
      <c r="CE136" s="74">
        <f ca="1">INDIRECT(ADDRESS(11+(MATCH(RIGHT(Table35[[#This Row],[spawner_sku]],LEN(Table35[[#This Row],[spawner_sku]])-FIND("/",Table35[[#This Row],[spawner_sku]])),Table1[Entity Prefab],0)),10,1,1,"Entities"))</f>
        <v>75</v>
      </c>
      <c r="CF136" s="74">
        <f ca="1">ROUND((Table35[[#This Row],[XP]]*Table35[[#This Row],[entity_spawned (AVG)]])*(Table35[[#This Row],[activating_chance]]/100),0)</f>
        <v>75</v>
      </c>
      <c r="CG136" s="144" t="str">
        <f ca="1">INDIRECT(ADDRESS(11+(MATCH(RIGHT(Table35[[#This Row],[spawner_sku]],LEN(Table35[[#This Row],[spawner_sku]])-FIND("/",Table35[[#This Row],[spawner_sku]])),Table28[Entity Prefab],0)),24,1,1,"Entities"))</f>
        <v>no</v>
      </c>
      <c r="CH136">
        <v>1</v>
      </c>
      <c r="CI136">
        <v>1</v>
      </c>
      <c r="CJ136" s="71" t="b">
        <v>0</v>
      </c>
      <c r="CL136" t="s">
        <v>376</v>
      </c>
      <c r="CM136">
        <v>2</v>
      </c>
      <c r="CN136">
        <v>200</v>
      </c>
      <c r="CO136">
        <v>100</v>
      </c>
      <c r="CP136" s="74">
        <f ca="1">INDIRECT(ADDRESS(11+(MATCH(RIGHT(Table11[[#This Row],[spawner_sku]],LEN(Table11[[#This Row],[spawner_sku]])-FIND("/",Table11[[#This Row],[spawner_sku]])),Table1[Entity Prefab],0)),10,1,1,"Entities"))</f>
        <v>25</v>
      </c>
      <c r="CQ136">
        <f ca="1">ROUND((Table11[[#This Row],[XP]]*Table11[[#This Row],[entity_spawned (AVG)]])*(Table11[[#This Row],[activating_chance]]/100),0)</f>
        <v>50</v>
      </c>
      <c r="CR136" s="144" t="str">
        <f ca="1">INDIRECT(ADDRESS(11+(MATCH(RIGHT(Table11[[#This Row],[spawner_sku]],LEN(Table11[[#This Row],[spawner_sku]])-FIND("/",Table11[[#This Row],[spawner_sku]])),Table28[Entity Prefab],0)),25,1,1,"Entities"))</f>
        <v>no</v>
      </c>
      <c r="CS136" s="71">
        <v>2</v>
      </c>
      <c r="CT136" s="71">
        <v>2</v>
      </c>
      <c r="CU136" s="71" t="b">
        <v>0</v>
      </c>
      <c r="CW136" t="s">
        <v>241</v>
      </c>
      <c r="CX136">
        <v>1.5</v>
      </c>
      <c r="CY136">
        <v>170</v>
      </c>
      <c r="CZ136">
        <v>100</v>
      </c>
      <c r="DA136" s="74">
        <f ca="1">INDIRECT(ADDRESS(11+(MATCH(RIGHT(Table12[[#This Row],[spawner_sku]],LEN(Table12[[#This Row],[spawner_sku]])-FIND("/",Table12[[#This Row],[spawner_sku]])),Table1[Entity Prefab],0)),10,1,1,"Entities"))</f>
        <v>70</v>
      </c>
      <c r="DB136" s="74">
        <f ca="1">ROUND((Table12[[#This Row],[XP]]*Table12[[#This Row],[entity_spawned (AVG)]])*(Table12[[#This Row],[activating_chance]]/100),0)</f>
        <v>105</v>
      </c>
      <c r="DC136" s="144" t="str">
        <f ca="1">INDIRECT(ADDRESS(11+(MATCH(RIGHT(Table12[[#This Row],[spawner_sku]],LEN(Table12[[#This Row],[spawner_sku]])-FIND("/",Table12[[#This Row],[spawner_sku]])),Table28[Entity Prefab],0)),25,1,1,"Entities"))</f>
        <v>yes</v>
      </c>
      <c r="DD136" s="71">
        <v>1</v>
      </c>
      <c r="DE136" s="71">
        <v>2</v>
      </c>
      <c r="DF136" s="71" t="b">
        <v>0</v>
      </c>
      <c r="DH136" t="s">
        <v>367</v>
      </c>
      <c r="DI136">
        <v>2</v>
      </c>
      <c r="DJ136">
        <v>90</v>
      </c>
      <c r="DK136">
        <v>100</v>
      </c>
      <c r="DL136" s="74">
        <f ca="1">INDIRECT(ADDRESS(11+(MATCH(RIGHT(Table13[[#This Row],[spawner_sku]],LEN(Table13[[#This Row],[spawner_sku]])-FIND("/",Table13[[#This Row],[spawner_sku]])),Table1[Entity Prefab],0)),10,1,1,"Entities"))</f>
        <v>75</v>
      </c>
      <c r="DM136" s="74">
        <f ca="1">ROUND((Table13[[#This Row],[XP]]*Table13[[#This Row],[entity_spawned (AVG)]])*(Table13[[#This Row],[activating_chance]]/100),0)</f>
        <v>150</v>
      </c>
      <c r="DN136" s="144" t="str">
        <f ca="1">INDIRECT(ADDRESS(11+(MATCH(RIGHT(Table13[[#This Row],[spawner_sku]],LEN(Table13[[#This Row],[spawner_sku]])-FIND("/",Table13[[#This Row],[spawner_sku]])),Table28[Entity Prefab],0)),25,1,1,"Entities"))</f>
        <v>no</v>
      </c>
      <c r="DO136" s="71">
        <v>2</v>
      </c>
      <c r="DP136" s="71">
        <v>2</v>
      </c>
      <c r="DQ136" s="71" t="b">
        <v>0</v>
      </c>
      <c r="DS136" t="s">
        <v>218</v>
      </c>
      <c r="DT136">
        <v>1</v>
      </c>
      <c r="DU136">
        <v>5000</v>
      </c>
      <c r="DV136">
        <v>90</v>
      </c>
      <c r="DW136" s="74">
        <f ca="1">INDIRECT(ADDRESS(11+(MATCH(RIGHT(Table14[[#This Row],[spawner_sku]],LEN(Table14[[#This Row],[spawner_sku]])-FIND("/",Table14[[#This Row],[spawner_sku]])),Table1[Entity Prefab],0)),10,1,1,"Entities"))</f>
        <v>75</v>
      </c>
      <c r="DX136" s="74">
        <f ca="1">ROUND((Table14[[#This Row],[XP]]*Table14[[#This Row],[entity_spawned (AVG)]])*(Table14[[#This Row],[activating_chance]]/100),0)</f>
        <v>68</v>
      </c>
      <c r="DY136" s="144" t="str">
        <f ca="1">INDIRECT(ADDRESS(11+(MATCH(RIGHT(Table14[[#This Row],[spawner_sku]],LEN(Table14[[#This Row],[spawner_sku]])-FIND("/",Table14[[#This Row],[spawner_sku]])),Table28[Entity Prefab],0)),25,1,1,"Entities"))</f>
        <v>no</v>
      </c>
      <c r="DZ136" s="71">
        <v>1</v>
      </c>
      <c r="EA136" s="71">
        <v>1</v>
      </c>
      <c r="EB136" s="71" t="b">
        <v>0</v>
      </c>
      <c r="EC136" s="71"/>
      <c r="ED136" s="147" t="s">
        <v>3816</v>
      </c>
      <c r="EE136" s="71">
        <v>1</v>
      </c>
      <c r="EF136" s="71">
        <v>240</v>
      </c>
      <c r="EG136" s="71">
        <v>100</v>
      </c>
      <c r="EH136" s="71">
        <f ca="1">INDIRECT(ADDRESS(11+(MATCH(RIGHT(Table36[[#This Row],[spawner_sku]],LEN(Table36[[#This Row],[spawner_sku]])-FIND("/",Table36[[#This Row],[spawner_sku]])),Table1[Entity Prefab],0)),10,1,1,"Entities"))</f>
        <v>50</v>
      </c>
      <c r="EI136" s="71">
        <f ca="1">ROUND((Table36[[#This Row],[XP]]*Table36[[#This Row],[entity_spawned (AVG)]])*(Table36[[#This Row],[activating_chance]]/100),0)</f>
        <v>50</v>
      </c>
      <c r="EJ136" s="71" t="str">
        <f ca="1">INDIRECT(ADDRESS(11+(MATCH(RIGHT(Table36[[#This Row],[spawner_sku]],LEN(Table36[[#This Row],[spawner_sku]])-FIND("/",Table36[[#This Row],[spawner_sku]])),Table28[Entity Prefab],0)),25,1,1,"Entities"))</f>
        <v>no</v>
      </c>
      <c r="EK136" s="71">
        <v>1</v>
      </c>
      <c r="EL136" s="71">
        <v>1</v>
      </c>
      <c r="EM136" s="71" t="b">
        <v>0</v>
      </c>
      <c r="EO136" t="s">
        <v>320</v>
      </c>
      <c r="EP136">
        <v>2</v>
      </c>
      <c r="EQ136">
        <v>250</v>
      </c>
      <c r="ER136">
        <v>80</v>
      </c>
      <c r="ES136" s="74">
        <f ca="1">INDIRECT(ADDRESS(11+(MATCH(RIGHT(Table18[[#This Row],[spawner_sku]],LEN(Table18[[#This Row],[spawner_sku]])-FIND("/",Table18[[#This Row],[spawner_sku]])),Table1[Entity Prefab],0)),10,1,1,"Entities"))</f>
        <v>143</v>
      </c>
      <c r="ET136" s="74">
        <f ca="1">ROUND((Table18[[#This Row],[XP]]*Table18[[#This Row],[entity_spawned (AVG)]])*(Table18[[#This Row],[activating_chance]]/100),0)</f>
        <v>229</v>
      </c>
      <c r="EU136" s="74" t="str">
        <f ca="1">INDIRECT(ADDRESS(11+(MATCH(RIGHT(Table18[[#This Row],[spawner_sku]],LEN(Table18[[#This Row],[spawner_sku]])-FIND("/",Table18[[#This Row],[spawner_sku]])),Table28[Entity Prefab],0)),26,1,1,"Entities"))</f>
        <v>yes</v>
      </c>
      <c r="EV136">
        <v>1</v>
      </c>
      <c r="EW136">
        <v>3</v>
      </c>
      <c r="EX136" t="b">
        <v>0</v>
      </c>
      <c r="EZ136" t="s">
        <v>493</v>
      </c>
      <c r="FA136">
        <v>1.5</v>
      </c>
      <c r="FB136">
        <v>120</v>
      </c>
      <c r="FC136">
        <v>80</v>
      </c>
      <c r="FD136" s="74">
        <f ca="1">INDIRECT(ADDRESS(11+(MATCH(RIGHT(Table1820[[#This Row],[spawner_sku]],LEN(Table1820[[#This Row],[spawner_sku]])-FIND("/",Table1820[[#This Row],[spawner_sku]])),Table1[Entity Prefab],0)),10,1,1,"Entities"))</f>
        <v>35</v>
      </c>
      <c r="FE136" s="74">
        <f ca="1">ROUND((Table1820[[#This Row],[XP]]*Table1820[[#This Row],[entity_spawned (AVG)]])*(Table1820[[#This Row],[activating_chance]]/100),0)</f>
        <v>42</v>
      </c>
      <c r="FF136" s="74" t="str">
        <f ca="1">INDIRECT(ADDRESS(11+(MATCH(RIGHT(Table1820[[#This Row],[spawner_sku]],LEN(Table1820[[#This Row],[spawner_sku]])-FIND("/",Table1820[[#This Row],[spawner_sku]])),Table28[Entity Prefab],0)),26,1,1,"Entities"))</f>
        <v>no</v>
      </c>
      <c r="FG136">
        <v>1</v>
      </c>
      <c r="FH136">
        <v>2</v>
      </c>
      <c r="FI136" t="b">
        <v>0</v>
      </c>
      <c r="FK136" t="s">
        <v>2692</v>
      </c>
      <c r="FL136">
        <v>1.5</v>
      </c>
      <c r="FM136">
        <v>120</v>
      </c>
      <c r="FN136">
        <v>100</v>
      </c>
      <c r="FO136">
        <f ca="1">INDIRECT(ADDRESS(11+(MATCH(RIGHT(Table182023[[#This Row],[spawner_sku]],LEN(Table182023[[#This Row],[spawner_sku]])-FIND("/",Table182023[[#This Row],[spawner_sku]])),Table1[Entity Prefab],0)),10,1,1,"Entities"))</f>
        <v>263</v>
      </c>
      <c r="FP136">
        <f ca="1">ROUND((Table182023[[#This Row],[XP]]*Table182023[[#This Row],[entity_spawned (AVG)]])*(Table182023[[#This Row],[activating_chance]]/100),0)</f>
        <v>395</v>
      </c>
      <c r="FQ136" t="str">
        <f ca="1">INDIRECT(ADDRESS(11+(MATCH(RIGHT(Table182023[[#This Row],[spawner_sku]],LEN(Table182023[[#This Row],[spawner_sku]])-FIND("/",Table182023[[#This Row],[spawner_sku]])),Table28[Entity Prefab],0)),26,1,1,"Entities"))</f>
        <v>yes</v>
      </c>
      <c r="FR136">
        <v>1</v>
      </c>
      <c r="FS136">
        <v>2</v>
      </c>
      <c r="FT136" t="b">
        <v>0</v>
      </c>
      <c r="FV136" t="s">
        <v>2689</v>
      </c>
      <c r="FW136">
        <v>1</v>
      </c>
      <c r="FX136">
        <v>80</v>
      </c>
      <c r="FY136">
        <v>100</v>
      </c>
      <c r="FZ136" s="74">
        <f ca="1">INDIRECT(ADDRESS(11+(MATCH(RIGHT(Table18202324[[#This Row],[spawner_sku]],LEN(Table18202324[[#This Row],[spawner_sku]])-FIND("/",Table18202324[[#This Row],[spawner_sku]])),Table1[Entity Prefab],0)),10,1,1,"Entities"))</f>
        <v>25</v>
      </c>
      <c r="GA136" s="74">
        <f ca="1">ROUND((Table18202324[[#This Row],[XP]]*Table18202324[[#This Row],[entity_spawned (AVG)]])*(Table18202324[[#This Row],[activating_chance]]/100),0)</f>
        <v>25</v>
      </c>
      <c r="GB136" s="74" t="str">
        <f ca="1">INDIRECT(ADDRESS(11+(MATCH(RIGHT(Table18202324[[#This Row],[spawner_sku]],LEN(Table18202324[[#This Row],[spawner_sku]])-FIND("/",Table18202324[[#This Row],[spawner_sku]])),Table28[Entity Prefab],0)),26,1,1,"Entities"))</f>
        <v>no</v>
      </c>
      <c r="GC136">
        <v>1</v>
      </c>
      <c r="GD136">
        <v>1</v>
      </c>
      <c r="GE136" t="b">
        <v>0</v>
      </c>
      <c r="GG136" t="s">
        <v>3816</v>
      </c>
      <c r="GH136">
        <v>1</v>
      </c>
      <c r="GI136">
        <v>240</v>
      </c>
      <c r="GJ136">
        <v>100</v>
      </c>
      <c r="GK136">
        <f ca="1">INDIRECT(ADDRESS(11+(MATCH(RIGHT(Table37[[#This Row],[spawner_sku]],LEN(Table37[[#This Row],[spawner_sku]])-FIND("/",Table37[[#This Row],[spawner_sku]])),Table1[Entity Prefab],0)),10,1,1,"Entities"))</f>
        <v>50</v>
      </c>
      <c r="GL136">
        <f ca="1">ROUND((Table37[[#This Row],[XP]]*Table37[[#This Row],[entity_spawned (AVG)]])*(Table37[[#This Row],[activating_chance]]/100),0)</f>
        <v>50</v>
      </c>
      <c r="GM136" t="str">
        <f ca="1">INDIRECT(ADDRESS(11+(MATCH(RIGHT(Table37[[#This Row],[spawner_sku]],LEN(Table37[[#This Row],[spawner_sku]])-FIND("/",Table37[[#This Row],[spawner_sku]])),Table28[Entity Prefab],0)),26,1,1,"Entities"))</f>
        <v>no</v>
      </c>
      <c r="GN136">
        <v>1</v>
      </c>
      <c r="GO136">
        <v>1</v>
      </c>
      <c r="GP136" t="b">
        <v>0</v>
      </c>
    </row>
    <row r="137" spans="2:198" x14ac:dyDescent="0.25">
      <c r="B137" s="72" t="s">
        <v>215</v>
      </c>
      <c r="C137">
        <v>3</v>
      </c>
      <c r="D137">
        <v>160</v>
      </c>
      <c r="E137">
        <v>100</v>
      </c>
      <c r="F137" s="74">
        <f ca="1">INDIRECT(ADDRESS(11+(MATCH(RIGHT(Table245[[#This Row],[spawner_sku]],LEN(Table245[[#This Row],[spawner_sku]])-FIND("/",Table245[[#This Row],[spawner_sku]])),Table1[Entity Prefab],0)),10,1,1,"Entities"))</f>
        <v>25</v>
      </c>
      <c r="G137" s="74">
        <f ca="1">ROUND((Table245[[#This Row],[XP]]*Table245[[#This Row],[entity_spawned (AVG)]])*(Table245[[#This Row],[activating_chance]]/100),0)</f>
        <v>75</v>
      </c>
      <c r="H137" s="71" t="str">
        <f ca="1">INDIRECT(ADDRESS(11+(MATCH(RIGHT(Table245[[#This Row],[spawner_sku]],LEN(Table245[[#This Row],[spawner_sku]])-FIND("/",Table245[[#This Row],[spawner_sku]])),Table28[Entity Prefab],0)),24,1,1,"Entities"))</f>
        <v>no</v>
      </c>
      <c r="I137" s="71">
        <v>2</v>
      </c>
      <c r="J137" s="71">
        <v>4</v>
      </c>
      <c r="K137" s="71" t="b">
        <v>0</v>
      </c>
      <c r="M137" t="s">
        <v>375</v>
      </c>
      <c r="N137">
        <v>1</v>
      </c>
      <c r="O137">
        <v>220</v>
      </c>
      <c r="P137">
        <v>100</v>
      </c>
      <c r="Q137" s="74">
        <f ca="1">INDIRECT(ADDRESS(11+(MATCH(RIGHT(Table3[[#This Row],[spawner_sku]],LEN(Table3[[#This Row],[spawner_sku]])-FIND("/",Table3[[#This Row],[spawner_sku]])),Table1[Entity Prefab],0)),10,1,1,"Entities"))</f>
        <v>50</v>
      </c>
      <c r="R137" s="74">
        <f ca="1">ROUND((Table3[[#This Row],[XP]]*Table3[[#This Row],[entity_spawned (AVG)]])*(Table3[[#This Row],[activating_chance]]/100),0)</f>
        <v>50</v>
      </c>
      <c r="S137" t="str">
        <f ca="1">INDIRECT(ADDRESS(11+(MATCH(RIGHT(Table3[[#This Row],[spawner_sku]],LEN(Table3[[#This Row],[spawner_sku]])-FIND("/",Table3[[#This Row],[spawner_sku]])),Table28[Entity Prefab],0)),24,1,1,"Entities"))</f>
        <v>no</v>
      </c>
      <c r="T137">
        <v>1</v>
      </c>
      <c r="U137">
        <v>1</v>
      </c>
      <c r="V137" t="b">
        <v>0</v>
      </c>
      <c r="W137" s="71"/>
      <c r="AI137" t="s">
        <v>218</v>
      </c>
      <c r="AJ137">
        <v>1</v>
      </c>
      <c r="AK137">
        <v>5000</v>
      </c>
      <c r="AL137">
        <v>40</v>
      </c>
      <c r="AM137" s="74">
        <f ca="1">INDIRECT(ADDRESS(11+(MATCH(RIGHT(Table2[[#This Row],[spawner_sku]],LEN(Table2[[#This Row],[spawner_sku]])-FIND("/",Table2[[#This Row],[spawner_sku]])),Table1[Entity Prefab],0)),10,1,1,"Entities"))</f>
        <v>75</v>
      </c>
      <c r="AN137" s="74">
        <f ca="1">ROUND((Table2[[#This Row],[XP]]*Table2[[#This Row],[entity_spawned (AVG)]])*(Table2[[#This Row],[activating_chance]]/100),0)</f>
        <v>30</v>
      </c>
      <c r="AO137" s="71" t="str">
        <f ca="1">INDIRECT(ADDRESS(11+(MATCH(RIGHT(Table2[[#This Row],[spawner_sku]],LEN(Table2[[#This Row],[spawner_sku]])-FIND("/",Table2[[#This Row],[spawner_sku]])),Table28[Entity Prefab],0)),24,1,1,"Entities"))</f>
        <v>no</v>
      </c>
      <c r="AP137" s="71">
        <v>1</v>
      </c>
      <c r="AQ137" s="71">
        <v>1</v>
      </c>
      <c r="AR137" s="71" t="b">
        <v>0</v>
      </c>
      <c r="AT137" t="s">
        <v>377</v>
      </c>
      <c r="AU137">
        <v>1</v>
      </c>
      <c r="AV137">
        <v>120</v>
      </c>
      <c r="AW137">
        <v>100</v>
      </c>
      <c r="AX137" s="74">
        <f ca="1">INDIRECT(ADDRESS(11+(MATCH(RIGHT(Table6[[#This Row],[spawner_sku]],LEN(Table6[[#This Row],[spawner_sku]])-FIND("/",Table6[[#This Row],[spawner_sku]])),Table1[Entity Prefab],0)),10,1,1,"Entities"))</f>
        <v>25</v>
      </c>
      <c r="AY137" s="74">
        <f ca="1">ROUND((Table6[[#This Row],[XP]]*Table6[[#This Row],[entity_spawned (AVG)]])*(Table6[[#This Row],[activating_chance]]/100),0)</f>
        <v>25</v>
      </c>
      <c r="AZ137" s="144" t="str">
        <f ca="1">INDIRECT(ADDRESS(11+(MATCH(RIGHT(Table6[[#This Row],[spawner_sku]],LEN(Table6[[#This Row],[spawner_sku]])-FIND("/",Table6[[#This Row],[spawner_sku]])),Table28[Entity Prefab],0)),24,1,1,"Entities"))</f>
        <v>no</v>
      </c>
      <c r="BA137">
        <v>1</v>
      </c>
      <c r="BB137">
        <v>1</v>
      </c>
      <c r="BC137" t="b">
        <v>0</v>
      </c>
      <c r="BE137" t="s">
        <v>428</v>
      </c>
      <c r="BF137">
        <v>1</v>
      </c>
      <c r="BG137">
        <v>100</v>
      </c>
      <c r="BH137">
        <v>100</v>
      </c>
      <c r="BI137" s="74">
        <f ca="1">INDIRECT(ADDRESS(11+(MATCH(RIGHT(Table610[[#This Row],[spawner_sku]],LEN(Table610[[#This Row],[spawner_sku]])-FIND("/",Table610[[#This Row],[spawner_sku]])),Table1[Entity Prefab],0)),10,1,1,"Entities"))</f>
        <v>70</v>
      </c>
      <c r="BJ137" s="74">
        <f ca="1">ROUND((Table610[[#This Row],[XP]]*Table610[[#This Row],[entity_spawned (AVG)]])*(Table610[[#This Row],[activating_chance]]/100),0)</f>
        <v>70</v>
      </c>
      <c r="BK137" s="71" t="str">
        <f ca="1">INDIRECT(ADDRESS(11+(MATCH(RIGHT(Table610[[#This Row],[spawner_sku]],LEN(Table610[[#This Row],[spawner_sku]])-FIND("/",Table610[[#This Row],[spawner_sku]])),Table28[Entity Prefab],0)),24,1,1,"Entities"))</f>
        <v>yes</v>
      </c>
      <c r="BL137">
        <v>1</v>
      </c>
      <c r="BM137">
        <v>1</v>
      </c>
      <c r="BN137" t="b">
        <v>0</v>
      </c>
      <c r="BP137" t="s">
        <v>321</v>
      </c>
      <c r="BQ137">
        <v>2</v>
      </c>
      <c r="BR137">
        <v>300</v>
      </c>
      <c r="BS137">
        <v>100</v>
      </c>
      <c r="BT137" s="74">
        <f ca="1">INDIRECT(ADDRESS(11+(MATCH(RIGHT(Table61011[[#This Row],[spawner_sku]],LEN(Table61011[[#This Row],[spawner_sku]])-FIND("/",Table61011[[#This Row],[spawner_sku]])),Table1[Entity Prefab],0)),10,1,1,"Entities"))</f>
        <v>195</v>
      </c>
      <c r="BU137" s="74">
        <f ca="1">ROUND((Table61011[[#This Row],[XP]]*Table61011[[#This Row],[entity_spawned (AVG)]])*(Table61011[[#This Row],[activating_chance]]/100),0)</f>
        <v>390</v>
      </c>
      <c r="BV137" s="71" t="str">
        <f ca="1">INDIRECT(ADDRESS(11+(MATCH(RIGHT(Table61011[[#This Row],[spawner_sku]],LEN(Table61011[[#This Row],[spawner_sku]])-FIND("/",Table61011[[#This Row],[spawner_sku]])),Table28[Entity Prefab],0)),24,1,1,"Entities"))</f>
        <v>yes</v>
      </c>
      <c r="BW137" s="71">
        <v>2</v>
      </c>
      <c r="BX137" s="71">
        <v>2</v>
      </c>
      <c r="BY137" s="71" t="b">
        <v>0</v>
      </c>
      <c r="BZ137" s="71"/>
      <c r="CA137" s="147" t="s">
        <v>8142</v>
      </c>
      <c r="CB137">
        <v>1</v>
      </c>
      <c r="CC137">
        <v>200</v>
      </c>
      <c r="CD137">
        <v>100</v>
      </c>
      <c r="CE137" s="74">
        <f ca="1">INDIRECT(ADDRESS(11+(MATCH(RIGHT(Table35[[#This Row],[spawner_sku]],LEN(Table35[[#This Row],[spawner_sku]])-FIND("/",Table35[[#This Row],[spawner_sku]])),Table1[Entity Prefab],0)),10,1,1,"Entities"))</f>
        <v>75</v>
      </c>
      <c r="CF137" s="74">
        <f ca="1">ROUND((Table35[[#This Row],[XP]]*Table35[[#This Row],[entity_spawned (AVG)]])*(Table35[[#This Row],[activating_chance]]/100),0)</f>
        <v>75</v>
      </c>
      <c r="CG137" s="144" t="str">
        <f ca="1">INDIRECT(ADDRESS(11+(MATCH(RIGHT(Table35[[#This Row],[spawner_sku]],LEN(Table35[[#This Row],[spawner_sku]])-FIND("/",Table35[[#This Row],[spawner_sku]])),Table28[Entity Prefab],0)),24,1,1,"Entities"))</f>
        <v>no</v>
      </c>
      <c r="CH137">
        <v>1</v>
      </c>
      <c r="CI137">
        <v>1</v>
      </c>
      <c r="CJ137" s="71" t="b">
        <v>0</v>
      </c>
      <c r="CL137" t="s">
        <v>376</v>
      </c>
      <c r="CM137">
        <v>5.5</v>
      </c>
      <c r="CN137">
        <v>190</v>
      </c>
      <c r="CO137">
        <v>100</v>
      </c>
      <c r="CP137" s="74">
        <f ca="1">INDIRECT(ADDRESS(11+(MATCH(RIGHT(Table11[[#This Row],[spawner_sku]],LEN(Table11[[#This Row],[spawner_sku]])-FIND("/",Table11[[#This Row],[spawner_sku]])),Table1[Entity Prefab],0)),10,1,1,"Entities"))</f>
        <v>25</v>
      </c>
      <c r="CQ137">
        <f ca="1">ROUND((Table11[[#This Row],[XP]]*Table11[[#This Row],[entity_spawned (AVG)]])*(Table11[[#This Row],[activating_chance]]/100),0)</f>
        <v>138</v>
      </c>
      <c r="CR137" s="144" t="str">
        <f ca="1">INDIRECT(ADDRESS(11+(MATCH(RIGHT(Table11[[#This Row],[spawner_sku]],LEN(Table11[[#This Row],[spawner_sku]])-FIND("/",Table11[[#This Row],[spawner_sku]])),Table28[Entity Prefab],0)),25,1,1,"Entities"))</f>
        <v>no</v>
      </c>
      <c r="CS137" s="71">
        <v>5</v>
      </c>
      <c r="CT137" s="71">
        <v>6</v>
      </c>
      <c r="CU137" s="71" t="b">
        <v>1</v>
      </c>
      <c r="CW137" t="s">
        <v>241</v>
      </c>
      <c r="CX137">
        <v>1</v>
      </c>
      <c r="CY137">
        <v>170</v>
      </c>
      <c r="CZ137">
        <v>100</v>
      </c>
      <c r="DA137" s="74">
        <f ca="1">INDIRECT(ADDRESS(11+(MATCH(RIGHT(Table12[[#This Row],[spawner_sku]],LEN(Table12[[#This Row],[spawner_sku]])-FIND("/",Table12[[#This Row],[spawner_sku]])),Table1[Entity Prefab],0)),10,1,1,"Entities"))</f>
        <v>70</v>
      </c>
      <c r="DB137" s="74">
        <f ca="1">ROUND((Table12[[#This Row],[XP]]*Table12[[#This Row],[entity_spawned (AVG)]])*(Table12[[#This Row],[activating_chance]]/100),0)</f>
        <v>70</v>
      </c>
      <c r="DC137" s="144" t="str">
        <f ca="1">INDIRECT(ADDRESS(11+(MATCH(RIGHT(Table12[[#This Row],[spawner_sku]],LEN(Table12[[#This Row],[spawner_sku]])-FIND("/",Table12[[#This Row],[spawner_sku]])),Table28[Entity Prefab],0)),25,1,1,"Entities"))</f>
        <v>yes</v>
      </c>
      <c r="DD137" s="71">
        <v>1</v>
      </c>
      <c r="DE137" s="71">
        <v>1</v>
      </c>
      <c r="DF137" s="71" t="b">
        <v>0</v>
      </c>
      <c r="DH137" t="s">
        <v>367</v>
      </c>
      <c r="DI137">
        <v>1</v>
      </c>
      <c r="DJ137">
        <v>200</v>
      </c>
      <c r="DK137">
        <v>100</v>
      </c>
      <c r="DL137" s="74">
        <f ca="1">INDIRECT(ADDRESS(11+(MATCH(RIGHT(Table13[[#This Row],[spawner_sku]],LEN(Table13[[#This Row],[spawner_sku]])-FIND("/",Table13[[#This Row],[spawner_sku]])),Table1[Entity Prefab],0)),10,1,1,"Entities"))</f>
        <v>75</v>
      </c>
      <c r="DM137" s="74">
        <f ca="1">ROUND((Table13[[#This Row],[XP]]*Table13[[#This Row],[entity_spawned (AVG)]])*(Table13[[#This Row],[activating_chance]]/100),0)</f>
        <v>75</v>
      </c>
      <c r="DN137" s="144" t="str">
        <f ca="1">INDIRECT(ADDRESS(11+(MATCH(RIGHT(Table13[[#This Row],[spawner_sku]],LEN(Table13[[#This Row],[spawner_sku]])-FIND("/",Table13[[#This Row],[spawner_sku]])),Table28[Entity Prefab],0)),25,1,1,"Entities"))</f>
        <v>no</v>
      </c>
      <c r="DO137" s="71">
        <v>1</v>
      </c>
      <c r="DP137" s="71">
        <v>1</v>
      </c>
      <c r="DQ137" s="71" t="b">
        <v>0</v>
      </c>
      <c r="DS137" t="s">
        <v>218</v>
      </c>
      <c r="DT137">
        <v>1</v>
      </c>
      <c r="DU137">
        <v>5000</v>
      </c>
      <c r="DV137">
        <v>90</v>
      </c>
      <c r="DW137" s="74">
        <f ca="1">INDIRECT(ADDRESS(11+(MATCH(RIGHT(Table14[[#This Row],[spawner_sku]],LEN(Table14[[#This Row],[spawner_sku]])-FIND("/",Table14[[#This Row],[spawner_sku]])),Table1[Entity Prefab],0)),10,1,1,"Entities"))</f>
        <v>75</v>
      </c>
      <c r="DX137" s="74">
        <f ca="1">ROUND((Table14[[#This Row],[XP]]*Table14[[#This Row],[entity_spawned (AVG)]])*(Table14[[#This Row],[activating_chance]]/100),0)</f>
        <v>68</v>
      </c>
      <c r="DY137" s="144" t="str">
        <f ca="1">INDIRECT(ADDRESS(11+(MATCH(RIGHT(Table14[[#This Row],[spawner_sku]],LEN(Table14[[#This Row],[spawner_sku]])-FIND("/",Table14[[#This Row],[spawner_sku]])),Table28[Entity Prefab],0)),25,1,1,"Entities"))</f>
        <v>no</v>
      </c>
      <c r="DZ137" s="71">
        <v>1</v>
      </c>
      <c r="EA137" s="71">
        <v>1</v>
      </c>
      <c r="EB137" s="71" t="b">
        <v>0</v>
      </c>
      <c r="EC137" s="71"/>
      <c r="ED137" s="147" t="s">
        <v>3816</v>
      </c>
      <c r="EE137" s="71">
        <v>1</v>
      </c>
      <c r="EF137" s="71">
        <v>240</v>
      </c>
      <c r="EG137" s="71">
        <v>100</v>
      </c>
      <c r="EH137" s="71">
        <f ca="1">INDIRECT(ADDRESS(11+(MATCH(RIGHT(Table36[[#This Row],[spawner_sku]],LEN(Table36[[#This Row],[spawner_sku]])-FIND("/",Table36[[#This Row],[spawner_sku]])),Table1[Entity Prefab],0)),10,1,1,"Entities"))</f>
        <v>50</v>
      </c>
      <c r="EI137" s="71">
        <f ca="1">ROUND((Table36[[#This Row],[XP]]*Table36[[#This Row],[entity_spawned (AVG)]])*(Table36[[#This Row],[activating_chance]]/100),0)</f>
        <v>50</v>
      </c>
      <c r="EJ137" s="71" t="str">
        <f ca="1">INDIRECT(ADDRESS(11+(MATCH(RIGHT(Table36[[#This Row],[spawner_sku]],LEN(Table36[[#This Row],[spawner_sku]])-FIND("/",Table36[[#This Row],[spawner_sku]])),Table28[Entity Prefab],0)),25,1,1,"Entities"))</f>
        <v>no</v>
      </c>
      <c r="EK137" s="71">
        <v>1</v>
      </c>
      <c r="EL137" s="71">
        <v>1</v>
      </c>
      <c r="EM137" s="71" t="b">
        <v>0</v>
      </c>
      <c r="EO137" t="s">
        <v>320</v>
      </c>
      <c r="EP137">
        <v>1.5</v>
      </c>
      <c r="EQ137">
        <v>250</v>
      </c>
      <c r="ER137">
        <v>100</v>
      </c>
      <c r="ES137" s="74">
        <f ca="1">INDIRECT(ADDRESS(11+(MATCH(RIGHT(Table18[[#This Row],[spawner_sku]],LEN(Table18[[#This Row],[spawner_sku]])-FIND("/",Table18[[#This Row],[spawner_sku]])),Table1[Entity Prefab],0)),10,1,1,"Entities"))</f>
        <v>143</v>
      </c>
      <c r="ET137" s="74">
        <f ca="1">ROUND((Table18[[#This Row],[XP]]*Table18[[#This Row],[entity_spawned (AVG)]])*(Table18[[#This Row],[activating_chance]]/100),0)</f>
        <v>215</v>
      </c>
      <c r="EU137" s="74" t="str">
        <f ca="1">INDIRECT(ADDRESS(11+(MATCH(RIGHT(Table18[[#This Row],[spawner_sku]],LEN(Table18[[#This Row],[spawner_sku]])-FIND("/",Table18[[#This Row],[spawner_sku]])),Table28[Entity Prefab],0)),26,1,1,"Entities"))</f>
        <v>yes</v>
      </c>
      <c r="EV137">
        <v>1</v>
      </c>
      <c r="EW137">
        <v>2</v>
      </c>
      <c r="EX137" t="b">
        <v>0</v>
      </c>
      <c r="EZ137" t="s">
        <v>493</v>
      </c>
      <c r="FA137">
        <v>1.5</v>
      </c>
      <c r="FB137">
        <v>120</v>
      </c>
      <c r="FC137">
        <v>100</v>
      </c>
      <c r="FD137" s="74">
        <f ca="1">INDIRECT(ADDRESS(11+(MATCH(RIGHT(Table1820[[#This Row],[spawner_sku]],LEN(Table1820[[#This Row],[spawner_sku]])-FIND("/",Table1820[[#This Row],[spawner_sku]])),Table1[Entity Prefab],0)),10,1,1,"Entities"))</f>
        <v>35</v>
      </c>
      <c r="FE137" s="74">
        <f ca="1">ROUND((Table1820[[#This Row],[XP]]*Table1820[[#This Row],[entity_spawned (AVG)]])*(Table1820[[#This Row],[activating_chance]]/100),0)</f>
        <v>53</v>
      </c>
      <c r="FF137" s="74" t="str">
        <f ca="1">INDIRECT(ADDRESS(11+(MATCH(RIGHT(Table1820[[#This Row],[spawner_sku]],LEN(Table1820[[#This Row],[spawner_sku]])-FIND("/",Table1820[[#This Row],[spawner_sku]])),Table28[Entity Prefab],0)),26,1,1,"Entities"))</f>
        <v>no</v>
      </c>
      <c r="FG137">
        <v>1</v>
      </c>
      <c r="FH137">
        <v>2</v>
      </c>
      <c r="FI137" t="b">
        <v>0</v>
      </c>
      <c r="FK137" t="s">
        <v>2692</v>
      </c>
      <c r="FL137">
        <v>1.5</v>
      </c>
      <c r="FM137">
        <v>120</v>
      </c>
      <c r="FN137">
        <v>100</v>
      </c>
      <c r="FO137">
        <f ca="1">INDIRECT(ADDRESS(11+(MATCH(RIGHT(Table182023[[#This Row],[spawner_sku]],LEN(Table182023[[#This Row],[spawner_sku]])-FIND("/",Table182023[[#This Row],[spawner_sku]])),Table1[Entity Prefab],0)),10,1,1,"Entities"))</f>
        <v>263</v>
      </c>
      <c r="FP137">
        <f ca="1">ROUND((Table182023[[#This Row],[XP]]*Table182023[[#This Row],[entity_spawned (AVG)]])*(Table182023[[#This Row],[activating_chance]]/100),0)</f>
        <v>395</v>
      </c>
      <c r="FQ137" t="str">
        <f ca="1">INDIRECT(ADDRESS(11+(MATCH(RIGHT(Table182023[[#This Row],[spawner_sku]],LEN(Table182023[[#This Row],[spawner_sku]])-FIND("/",Table182023[[#This Row],[spawner_sku]])),Table28[Entity Prefab],0)),26,1,1,"Entities"))</f>
        <v>yes</v>
      </c>
      <c r="FR137">
        <v>1</v>
      </c>
      <c r="FS137">
        <v>2</v>
      </c>
      <c r="FT137" t="b">
        <v>0</v>
      </c>
      <c r="FV137" t="s">
        <v>2689</v>
      </c>
      <c r="FW137">
        <v>1</v>
      </c>
      <c r="FX137">
        <v>80</v>
      </c>
      <c r="FY137">
        <v>100</v>
      </c>
      <c r="FZ137" s="74">
        <f ca="1">INDIRECT(ADDRESS(11+(MATCH(RIGHT(Table18202324[[#This Row],[spawner_sku]],LEN(Table18202324[[#This Row],[spawner_sku]])-FIND("/",Table18202324[[#This Row],[spawner_sku]])),Table1[Entity Prefab],0)),10,1,1,"Entities"))</f>
        <v>25</v>
      </c>
      <c r="GA137" s="74">
        <f ca="1">ROUND((Table18202324[[#This Row],[XP]]*Table18202324[[#This Row],[entity_spawned (AVG)]])*(Table18202324[[#This Row],[activating_chance]]/100),0)</f>
        <v>25</v>
      </c>
      <c r="GB137" s="74" t="str">
        <f ca="1">INDIRECT(ADDRESS(11+(MATCH(RIGHT(Table18202324[[#This Row],[spawner_sku]],LEN(Table18202324[[#This Row],[spawner_sku]])-FIND("/",Table18202324[[#This Row],[spawner_sku]])),Table28[Entity Prefab],0)),26,1,1,"Entities"))</f>
        <v>no</v>
      </c>
      <c r="GC137">
        <v>1</v>
      </c>
      <c r="GD137">
        <v>1</v>
      </c>
      <c r="GE137" t="b">
        <v>0</v>
      </c>
      <c r="GG137" t="s">
        <v>3816</v>
      </c>
      <c r="GH137">
        <v>1</v>
      </c>
      <c r="GI137">
        <v>240</v>
      </c>
      <c r="GJ137">
        <v>100</v>
      </c>
      <c r="GK137">
        <f ca="1">INDIRECT(ADDRESS(11+(MATCH(RIGHT(Table37[[#This Row],[spawner_sku]],LEN(Table37[[#This Row],[spawner_sku]])-FIND("/",Table37[[#This Row],[spawner_sku]])),Table1[Entity Prefab],0)),10,1,1,"Entities"))</f>
        <v>50</v>
      </c>
      <c r="GL137">
        <f ca="1">ROUND((Table37[[#This Row],[XP]]*Table37[[#This Row],[entity_spawned (AVG)]])*(Table37[[#This Row],[activating_chance]]/100),0)</f>
        <v>50</v>
      </c>
      <c r="GM137" t="str">
        <f ca="1">INDIRECT(ADDRESS(11+(MATCH(RIGHT(Table37[[#This Row],[spawner_sku]],LEN(Table37[[#This Row],[spawner_sku]])-FIND("/",Table37[[#This Row],[spawner_sku]])),Table28[Entity Prefab],0)),26,1,1,"Entities"))</f>
        <v>no</v>
      </c>
      <c r="GN137">
        <v>1</v>
      </c>
      <c r="GO137">
        <v>1</v>
      </c>
      <c r="GP137" t="b">
        <v>0</v>
      </c>
    </row>
    <row r="138" spans="2:198" x14ac:dyDescent="0.25">
      <c r="B138" s="72" t="s">
        <v>215</v>
      </c>
      <c r="C138">
        <v>3</v>
      </c>
      <c r="D138">
        <v>110</v>
      </c>
      <c r="E138">
        <v>100</v>
      </c>
      <c r="F138" s="74">
        <f ca="1">INDIRECT(ADDRESS(11+(MATCH(RIGHT(Table245[[#This Row],[spawner_sku]],LEN(Table245[[#This Row],[spawner_sku]])-FIND("/",Table245[[#This Row],[spawner_sku]])),Table1[Entity Prefab],0)),10,1,1,"Entities"))</f>
        <v>25</v>
      </c>
      <c r="G138" s="74">
        <f ca="1">ROUND((Table245[[#This Row],[XP]]*Table245[[#This Row],[entity_spawned (AVG)]])*(Table245[[#This Row],[activating_chance]]/100),0)</f>
        <v>75</v>
      </c>
      <c r="H138" s="71" t="str">
        <f ca="1">INDIRECT(ADDRESS(11+(MATCH(RIGHT(Table245[[#This Row],[spawner_sku]],LEN(Table245[[#This Row],[spawner_sku]])-FIND("/",Table245[[#This Row],[spawner_sku]])),Table28[Entity Prefab],0)),24,1,1,"Entities"))</f>
        <v>no</v>
      </c>
      <c r="I138" s="71">
        <v>3</v>
      </c>
      <c r="J138" s="71">
        <v>3</v>
      </c>
      <c r="K138" s="71" t="b">
        <v>0</v>
      </c>
      <c r="M138" t="s">
        <v>375</v>
      </c>
      <c r="N138">
        <v>1</v>
      </c>
      <c r="O138">
        <v>260</v>
      </c>
      <c r="P138">
        <v>100</v>
      </c>
      <c r="Q138" s="74">
        <f ca="1">INDIRECT(ADDRESS(11+(MATCH(RIGHT(Table3[[#This Row],[spawner_sku]],LEN(Table3[[#This Row],[spawner_sku]])-FIND("/",Table3[[#This Row],[spawner_sku]])),Table1[Entity Prefab],0)),10,1,1,"Entities"))</f>
        <v>50</v>
      </c>
      <c r="R138" s="74">
        <f ca="1">ROUND((Table3[[#This Row],[XP]]*Table3[[#This Row],[entity_spawned (AVG)]])*(Table3[[#This Row],[activating_chance]]/100),0)</f>
        <v>50</v>
      </c>
      <c r="S138" t="str">
        <f ca="1">INDIRECT(ADDRESS(11+(MATCH(RIGHT(Table3[[#This Row],[spawner_sku]],LEN(Table3[[#This Row],[spawner_sku]])-FIND("/",Table3[[#This Row],[spawner_sku]])),Table28[Entity Prefab],0)),24,1,1,"Entities"))</f>
        <v>no</v>
      </c>
      <c r="T138">
        <v>1</v>
      </c>
      <c r="U138">
        <v>1</v>
      </c>
      <c r="V138" t="b">
        <v>0</v>
      </c>
      <c r="W138" s="71"/>
      <c r="AI138" t="s">
        <v>218</v>
      </c>
      <c r="AJ138">
        <v>1</v>
      </c>
      <c r="AK138">
        <v>5000</v>
      </c>
      <c r="AL138">
        <v>75</v>
      </c>
      <c r="AM138" s="74">
        <f ca="1">INDIRECT(ADDRESS(11+(MATCH(RIGHT(Table2[[#This Row],[spawner_sku]],LEN(Table2[[#This Row],[spawner_sku]])-FIND("/",Table2[[#This Row],[spawner_sku]])),Table1[Entity Prefab],0)),10,1,1,"Entities"))</f>
        <v>75</v>
      </c>
      <c r="AN138" s="74">
        <f ca="1">ROUND((Table2[[#This Row],[XP]]*Table2[[#This Row],[entity_spawned (AVG)]])*(Table2[[#This Row],[activating_chance]]/100),0)</f>
        <v>56</v>
      </c>
      <c r="AO138" s="71" t="str">
        <f ca="1">INDIRECT(ADDRESS(11+(MATCH(RIGHT(Table2[[#This Row],[spawner_sku]],LEN(Table2[[#This Row],[spawner_sku]])-FIND("/",Table2[[#This Row],[spawner_sku]])),Table28[Entity Prefab],0)),24,1,1,"Entities"))</f>
        <v>no</v>
      </c>
      <c r="AP138" s="71">
        <v>1</v>
      </c>
      <c r="AQ138" s="71">
        <v>1</v>
      </c>
      <c r="AR138" s="71" t="b">
        <v>0</v>
      </c>
      <c r="AT138" t="s">
        <v>377</v>
      </c>
      <c r="AU138">
        <v>3</v>
      </c>
      <c r="AV138">
        <v>120</v>
      </c>
      <c r="AW138">
        <v>100</v>
      </c>
      <c r="AX138" s="74">
        <f ca="1">INDIRECT(ADDRESS(11+(MATCH(RIGHT(Table6[[#This Row],[spawner_sku]],LEN(Table6[[#This Row],[spawner_sku]])-FIND("/",Table6[[#This Row],[spawner_sku]])),Table1[Entity Prefab],0)),10,1,1,"Entities"))</f>
        <v>25</v>
      </c>
      <c r="AY138" s="74">
        <f ca="1">ROUND((Table6[[#This Row],[XP]]*Table6[[#This Row],[entity_spawned (AVG)]])*(Table6[[#This Row],[activating_chance]]/100),0)</f>
        <v>75</v>
      </c>
      <c r="AZ138" s="144" t="str">
        <f ca="1">INDIRECT(ADDRESS(11+(MATCH(RIGHT(Table6[[#This Row],[spawner_sku]],LEN(Table6[[#This Row],[spawner_sku]])-FIND("/",Table6[[#This Row],[spawner_sku]])),Table28[Entity Prefab],0)),24,1,1,"Entities"))</f>
        <v>no</v>
      </c>
      <c r="BA138">
        <v>2</v>
      </c>
      <c r="BB138">
        <v>4</v>
      </c>
      <c r="BC138" t="b">
        <v>0</v>
      </c>
      <c r="BE138" t="s">
        <v>428</v>
      </c>
      <c r="BF138">
        <v>1</v>
      </c>
      <c r="BG138">
        <v>180</v>
      </c>
      <c r="BH138">
        <v>100</v>
      </c>
      <c r="BI138" s="74">
        <f ca="1">INDIRECT(ADDRESS(11+(MATCH(RIGHT(Table610[[#This Row],[spawner_sku]],LEN(Table610[[#This Row],[spawner_sku]])-FIND("/",Table610[[#This Row],[spawner_sku]])),Table1[Entity Prefab],0)),10,1,1,"Entities"))</f>
        <v>70</v>
      </c>
      <c r="BJ138" s="74">
        <f ca="1">ROUND((Table610[[#This Row],[XP]]*Table610[[#This Row],[entity_spawned (AVG)]])*(Table610[[#This Row],[activating_chance]]/100),0)</f>
        <v>70</v>
      </c>
      <c r="BK138" s="71" t="str">
        <f ca="1">INDIRECT(ADDRESS(11+(MATCH(RIGHT(Table610[[#This Row],[spawner_sku]],LEN(Table610[[#This Row],[spawner_sku]])-FIND("/",Table610[[#This Row],[spawner_sku]])),Table28[Entity Prefab],0)),24,1,1,"Entities"))</f>
        <v>yes</v>
      </c>
      <c r="BL138">
        <v>1</v>
      </c>
      <c r="BM138">
        <v>1</v>
      </c>
      <c r="BN138" t="b">
        <v>0</v>
      </c>
      <c r="BP138" t="s">
        <v>321</v>
      </c>
      <c r="BQ138">
        <v>1</v>
      </c>
      <c r="BR138">
        <v>300</v>
      </c>
      <c r="BS138">
        <v>100</v>
      </c>
      <c r="BT138" s="74">
        <f ca="1">INDIRECT(ADDRESS(11+(MATCH(RIGHT(Table61011[[#This Row],[spawner_sku]],LEN(Table61011[[#This Row],[spawner_sku]])-FIND("/",Table61011[[#This Row],[spawner_sku]])),Table1[Entity Prefab],0)),10,1,1,"Entities"))</f>
        <v>195</v>
      </c>
      <c r="BU138" s="74">
        <f ca="1">ROUND((Table61011[[#This Row],[XP]]*Table61011[[#This Row],[entity_spawned (AVG)]])*(Table61011[[#This Row],[activating_chance]]/100),0)</f>
        <v>195</v>
      </c>
      <c r="BV138" s="71" t="str">
        <f ca="1">INDIRECT(ADDRESS(11+(MATCH(RIGHT(Table61011[[#This Row],[spawner_sku]],LEN(Table61011[[#This Row],[spawner_sku]])-FIND("/",Table61011[[#This Row],[spawner_sku]])),Table28[Entity Prefab],0)),24,1,1,"Entities"))</f>
        <v>yes</v>
      </c>
      <c r="BW138" s="71">
        <v>1</v>
      </c>
      <c r="BX138" s="71">
        <v>1</v>
      </c>
      <c r="BY138" s="71" t="b">
        <v>0</v>
      </c>
      <c r="BZ138" s="71"/>
      <c r="CA138" s="147" t="s">
        <v>8142</v>
      </c>
      <c r="CB138">
        <v>1</v>
      </c>
      <c r="CC138">
        <v>200</v>
      </c>
      <c r="CD138">
        <v>100</v>
      </c>
      <c r="CE138" s="74">
        <f ca="1">INDIRECT(ADDRESS(11+(MATCH(RIGHT(Table35[[#This Row],[spawner_sku]],LEN(Table35[[#This Row],[spawner_sku]])-FIND("/",Table35[[#This Row],[spawner_sku]])),Table1[Entity Prefab],0)),10,1,1,"Entities"))</f>
        <v>75</v>
      </c>
      <c r="CF138" s="74">
        <f ca="1">ROUND((Table35[[#This Row],[XP]]*Table35[[#This Row],[entity_spawned (AVG)]])*(Table35[[#This Row],[activating_chance]]/100),0)</f>
        <v>75</v>
      </c>
      <c r="CG138" s="144" t="str">
        <f ca="1">INDIRECT(ADDRESS(11+(MATCH(RIGHT(Table35[[#This Row],[spawner_sku]],LEN(Table35[[#This Row],[spawner_sku]])-FIND("/",Table35[[#This Row],[spawner_sku]])),Table28[Entity Prefab],0)),24,1,1,"Entities"))</f>
        <v>no</v>
      </c>
      <c r="CH138">
        <v>1</v>
      </c>
      <c r="CI138">
        <v>1</v>
      </c>
      <c r="CJ138" s="71" t="b">
        <v>0</v>
      </c>
      <c r="CL138" t="s">
        <v>376</v>
      </c>
      <c r="CM138">
        <v>2</v>
      </c>
      <c r="CN138">
        <v>200</v>
      </c>
      <c r="CO138">
        <v>100</v>
      </c>
      <c r="CP138" s="74">
        <f ca="1">INDIRECT(ADDRESS(11+(MATCH(RIGHT(Table11[[#This Row],[spawner_sku]],LEN(Table11[[#This Row],[spawner_sku]])-FIND("/",Table11[[#This Row],[spawner_sku]])),Table1[Entity Prefab],0)),10,1,1,"Entities"))</f>
        <v>25</v>
      </c>
      <c r="CQ138">
        <f ca="1">ROUND((Table11[[#This Row],[XP]]*Table11[[#This Row],[entity_spawned (AVG)]])*(Table11[[#This Row],[activating_chance]]/100),0)</f>
        <v>50</v>
      </c>
      <c r="CR138" s="144" t="str">
        <f ca="1">INDIRECT(ADDRESS(11+(MATCH(RIGHT(Table11[[#This Row],[spawner_sku]],LEN(Table11[[#This Row],[spawner_sku]])-FIND("/",Table11[[#This Row],[spawner_sku]])),Table28[Entity Prefab],0)),25,1,1,"Entities"))</f>
        <v>no</v>
      </c>
      <c r="CS138" s="71">
        <v>2</v>
      </c>
      <c r="CT138" s="71">
        <v>2</v>
      </c>
      <c r="CU138" s="71" t="b">
        <v>0</v>
      </c>
      <c r="CW138" t="s">
        <v>241</v>
      </c>
      <c r="CX138">
        <v>1</v>
      </c>
      <c r="CY138">
        <v>170</v>
      </c>
      <c r="CZ138">
        <v>30</v>
      </c>
      <c r="DA138" s="74">
        <f ca="1">INDIRECT(ADDRESS(11+(MATCH(RIGHT(Table12[[#This Row],[spawner_sku]],LEN(Table12[[#This Row],[spawner_sku]])-FIND("/",Table12[[#This Row],[spawner_sku]])),Table1[Entity Prefab],0)),10,1,1,"Entities"))</f>
        <v>70</v>
      </c>
      <c r="DB138" s="74">
        <f ca="1">ROUND((Table12[[#This Row],[XP]]*Table12[[#This Row],[entity_spawned (AVG)]])*(Table12[[#This Row],[activating_chance]]/100),0)</f>
        <v>21</v>
      </c>
      <c r="DC138" s="144" t="str">
        <f ca="1">INDIRECT(ADDRESS(11+(MATCH(RIGHT(Table12[[#This Row],[spawner_sku]],LEN(Table12[[#This Row],[spawner_sku]])-FIND("/",Table12[[#This Row],[spawner_sku]])),Table28[Entity Prefab],0)),25,1,1,"Entities"))</f>
        <v>yes</v>
      </c>
      <c r="DD138" s="71">
        <v>1</v>
      </c>
      <c r="DE138" s="71">
        <v>1</v>
      </c>
      <c r="DF138" s="71" t="b">
        <v>0</v>
      </c>
      <c r="DH138" t="s">
        <v>367</v>
      </c>
      <c r="DI138">
        <v>1</v>
      </c>
      <c r="DJ138">
        <v>200</v>
      </c>
      <c r="DK138">
        <v>100</v>
      </c>
      <c r="DL138" s="74">
        <f ca="1">INDIRECT(ADDRESS(11+(MATCH(RIGHT(Table13[[#This Row],[spawner_sku]],LEN(Table13[[#This Row],[spawner_sku]])-FIND("/",Table13[[#This Row],[spawner_sku]])),Table1[Entity Prefab],0)),10,1,1,"Entities"))</f>
        <v>75</v>
      </c>
      <c r="DM138" s="74">
        <f ca="1">ROUND((Table13[[#This Row],[XP]]*Table13[[#This Row],[entity_spawned (AVG)]])*(Table13[[#This Row],[activating_chance]]/100),0)</f>
        <v>75</v>
      </c>
      <c r="DN138" s="144" t="str">
        <f ca="1">INDIRECT(ADDRESS(11+(MATCH(RIGHT(Table13[[#This Row],[spawner_sku]],LEN(Table13[[#This Row],[spawner_sku]])-FIND("/",Table13[[#This Row],[spawner_sku]])),Table28[Entity Prefab],0)),25,1,1,"Entities"))</f>
        <v>no</v>
      </c>
      <c r="DO138" s="71">
        <v>1</v>
      </c>
      <c r="DP138" s="71">
        <v>1</v>
      </c>
      <c r="DQ138" s="71" t="b">
        <v>0</v>
      </c>
      <c r="DS138" t="s">
        <v>218</v>
      </c>
      <c r="DT138">
        <v>1</v>
      </c>
      <c r="DU138">
        <v>5000</v>
      </c>
      <c r="DV138">
        <v>75</v>
      </c>
      <c r="DW138" s="74">
        <f ca="1">INDIRECT(ADDRESS(11+(MATCH(RIGHT(Table14[[#This Row],[spawner_sku]],LEN(Table14[[#This Row],[spawner_sku]])-FIND("/",Table14[[#This Row],[spawner_sku]])),Table1[Entity Prefab],0)),10,1,1,"Entities"))</f>
        <v>75</v>
      </c>
      <c r="DX138" s="74">
        <f ca="1">ROUND((Table14[[#This Row],[XP]]*Table14[[#This Row],[entity_spawned (AVG)]])*(Table14[[#This Row],[activating_chance]]/100),0)</f>
        <v>56</v>
      </c>
      <c r="DY138" s="144" t="str">
        <f ca="1">INDIRECT(ADDRESS(11+(MATCH(RIGHT(Table14[[#This Row],[spawner_sku]],LEN(Table14[[#This Row],[spawner_sku]])-FIND("/",Table14[[#This Row],[spawner_sku]])),Table28[Entity Prefab],0)),25,1,1,"Entities"))</f>
        <v>no</v>
      </c>
      <c r="DZ138" s="71">
        <v>1</v>
      </c>
      <c r="EA138" s="71">
        <v>1</v>
      </c>
      <c r="EB138" s="71" t="b">
        <v>0</v>
      </c>
      <c r="EC138" s="71"/>
      <c r="ED138" s="147" t="s">
        <v>3816</v>
      </c>
      <c r="EE138" s="71">
        <v>1</v>
      </c>
      <c r="EF138" s="71">
        <v>240</v>
      </c>
      <c r="EG138" s="71">
        <v>100</v>
      </c>
      <c r="EH138" s="71">
        <f ca="1">INDIRECT(ADDRESS(11+(MATCH(RIGHT(Table36[[#This Row],[spawner_sku]],LEN(Table36[[#This Row],[spawner_sku]])-FIND("/",Table36[[#This Row],[spawner_sku]])),Table1[Entity Prefab],0)),10,1,1,"Entities"))</f>
        <v>50</v>
      </c>
      <c r="EI138" s="71">
        <f ca="1">ROUND((Table36[[#This Row],[XP]]*Table36[[#This Row],[entity_spawned (AVG)]])*(Table36[[#This Row],[activating_chance]]/100),0)</f>
        <v>50</v>
      </c>
      <c r="EJ138" s="71" t="str">
        <f ca="1">INDIRECT(ADDRESS(11+(MATCH(RIGHT(Table36[[#This Row],[spawner_sku]],LEN(Table36[[#This Row],[spawner_sku]])-FIND("/",Table36[[#This Row],[spawner_sku]])),Table28[Entity Prefab],0)),25,1,1,"Entities"))</f>
        <v>no</v>
      </c>
      <c r="EK138" s="71">
        <v>1</v>
      </c>
      <c r="EL138" s="71">
        <v>1</v>
      </c>
      <c r="EM138" s="71" t="b">
        <v>0</v>
      </c>
      <c r="EO138" t="s">
        <v>320</v>
      </c>
      <c r="EP138">
        <v>2</v>
      </c>
      <c r="EQ138">
        <v>250</v>
      </c>
      <c r="ER138">
        <v>60</v>
      </c>
      <c r="ES138" s="74">
        <f ca="1">INDIRECT(ADDRESS(11+(MATCH(RIGHT(Table18[[#This Row],[spawner_sku]],LEN(Table18[[#This Row],[spawner_sku]])-FIND("/",Table18[[#This Row],[spawner_sku]])),Table1[Entity Prefab],0)),10,1,1,"Entities"))</f>
        <v>143</v>
      </c>
      <c r="ET138" s="74">
        <f ca="1">ROUND((Table18[[#This Row],[XP]]*Table18[[#This Row],[entity_spawned (AVG)]])*(Table18[[#This Row],[activating_chance]]/100),0)</f>
        <v>172</v>
      </c>
      <c r="EU138" s="74" t="str">
        <f ca="1">INDIRECT(ADDRESS(11+(MATCH(RIGHT(Table18[[#This Row],[spawner_sku]],LEN(Table18[[#This Row],[spawner_sku]])-FIND("/",Table18[[#This Row],[spawner_sku]])),Table28[Entity Prefab],0)),26,1,1,"Entities"))</f>
        <v>yes</v>
      </c>
      <c r="EV138">
        <v>1</v>
      </c>
      <c r="EW138">
        <v>3</v>
      </c>
      <c r="EX138" t="b">
        <v>0</v>
      </c>
      <c r="EZ138" t="s">
        <v>493</v>
      </c>
      <c r="FA138">
        <v>1.5</v>
      </c>
      <c r="FB138">
        <v>120</v>
      </c>
      <c r="FC138">
        <v>100</v>
      </c>
      <c r="FD138" s="74">
        <f ca="1">INDIRECT(ADDRESS(11+(MATCH(RIGHT(Table1820[[#This Row],[spawner_sku]],LEN(Table1820[[#This Row],[spawner_sku]])-FIND("/",Table1820[[#This Row],[spawner_sku]])),Table1[Entity Prefab],0)),10,1,1,"Entities"))</f>
        <v>35</v>
      </c>
      <c r="FE138" s="74">
        <f ca="1">ROUND((Table1820[[#This Row],[XP]]*Table1820[[#This Row],[entity_spawned (AVG)]])*(Table1820[[#This Row],[activating_chance]]/100),0)</f>
        <v>53</v>
      </c>
      <c r="FF138" s="74" t="str">
        <f ca="1">INDIRECT(ADDRESS(11+(MATCH(RIGHT(Table1820[[#This Row],[spawner_sku]],LEN(Table1820[[#This Row],[spawner_sku]])-FIND("/",Table1820[[#This Row],[spawner_sku]])),Table28[Entity Prefab],0)),26,1,1,"Entities"))</f>
        <v>no</v>
      </c>
      <c r="FG138">
        <v>1</v>
      </c>
      <c r="FH138">
        <v>2</v>
      </c>
      <c r="FI138" t="b">
        <v>0</v>
      </c>
      <c r="FK138" t="s">
        <v>3833</v>
      </c>
      <c r="FL138">
        <v>1</v>
      </c>
      <c r="FM138">
        <v>210</v>
      </c>
      <c r="FN138">
        <v>100</v>
      </c>
      <c r="FO138">
        <f ca="1">INDIRECT(ADDRESS(11+(MATCH(RIGHT(Table182023[[#This Row],[spawner_sku]],LEN(Table182023[[#This Row],[spawner_sku]])-FIND("/",Table182023[[#This Row],[spawner_sku]])),Table1[Entity Prefab],0)),10,1,1,"Entities"))</f>
        <v>65</v>
      </c>
      <c r="FP138">
        <f ca="1">ROUND((Table182023[[#This Row],[XP]]*Table182023[[#This Row],[entity_spawned (AVG)]])*(Table182023[[#This Row],[activating_chance]]/100),0)</f>
        <v>65</v>
      </c>
      <c r="FQ138" t="str">
        <f ca="1">INDIRECT(ADDRESS(11+(MATCH(RIGHT(Table182023[[#This Row],[spawner_sku]],LEN(Table182023[[#This Row],[spawner_sku]])-FIND("/",Table182023[[#This Row],[spawner_sku]])),Table28[Entity Prefab],0)),26,1,1,"Entities"))</f>
        <v>yes</v>
      </c>
      <c r="FR138">
        <v>1</v>
      </c>
      <c r="FS138">
        <v>1</v>
      </c>
      <c r="FT138" t="b">
        <v>0</v>
      </c>
      <c r="FV138" t="s">
        <v>2689</v>
      </c>
      <c r="FW138">
        <v>1</v>
      </c>
      <c r="FX138">
        <v>90</v>
      </c>
      <c r="FY138">
        <v>100</v>
      </c>
      <c r="FZ138" s="74">
        <f ca="1">INDIRECT(ADDRESS(11+(MATCH(RIGHT(Table18202324[[#This Row],[spawner_sku]],LEN(Table18202324[[#This Row],[spawner_sku]])-FIND("/",Table18202324[[#This Row],[spawner_sku]])),Table1[Entity Prefab],0)),10,1,1,"Entities"))</f>
        <v>25</v>
      </c>
      <c r="GA138" s="74">
        <f ca="1">ROUND((Table18202324[[#This Row],[XP]]*Table18202324[[#This Row],[entity_spawned (AVG)]])*(Table18202324[[#This Row],[activating_chance]]/100),0)</f>
        <v>25</v>
      </c>
      <c r="GB138" s="74" t="str">
        <f ca="1">INDIRECT(ADDRESS(11+(MATCH(RIGHT(Table18202324[[#This Row],[spawner_sku]],LEN(Table18202324[[#This Row],[spawner_sku]])-FIND("/",Table18202324[[#This Row],[spawner_sku]])),Table28[Entity Prefab],0)),26,1,1,"Entities"))</f>
        <v>no</v>
      </c>
      <c r="GC138">
        <v>1</v>
      </c>
      <c r="GD138">
        <v>1</v>
      </c>
      <c r="GE138" t="b">
        <v>0</v>
      </c>
      <c r="GG138" t="s">
        <v>3816</v>
      </c>
      <c r="GH138">
        <v>1</v>
      </c>
      <c r="GI138">
        <v>240</v>
      </c>
      <c r="GJ138">
        <v>100</v>
      </c>
      <c r="GK138">
        <f ca="1">INDIRECT(ADDRESS(11+(MATCH(RIGHT(Table37[[#This Row],[spawner_sku]],LEN(Table37[[#This Row],[spawner_sku]])-FIND("/",Table37[[#This Row],[spawner_sku]])),Table1[Entity Prefab],0)),10,1,1,"Entities"))</f>
        <v>50</v>
      </c>
      <c r="GL138">
        <f ca="1">ROUND((Table37[[#This Row],[XP]]*Table37[[#This Row],[entity_spawned (AVG)]])*(Table37[[#This Row],[activating_chance]]/100),0)</f>
        <v>50</v>
      </c>
      <c r="GM138" t="str">
        <f ca="1">INDIRECT(ADDRESS(11+(MATCH(RIGHT(Table37[[#This Row],[spawner_sku]],LEN(Table37[[#This Row],[spawner_sku]])-FIND("/",Table37[[#This Row],[spawner_sku]])),Table28[Entity Prefab],0)),26,1,1,"Entities"))</f>
        <v>no</v>
      </c>
      <c r="GN138">
        <v>1</v>
      </c>
      <c r="GO138">
        <v>1</v>
      </c>
      <c r="GP138" t="b">
        <v>0</v>
      </c>
    </row>
    <row r="139" spans="2:198" x14ac:dyDescent="0.25">
      <c r="B139" s="72" t="s">
        <v>215</v>
      </c>
      <c r="C139">
        <v>1.5</v>
      </c>
      <c r="D139">
        <v>110</v>
      </c>
      <c r="E139">
        <v>100</v>
      </c>
      <c r="F139" s="74">
        <f ca="1">INDIRECT(ADDRESS(11+(MATCH(RIGHT(Table245[[#This Row],[spawner_sku]],LEN(Table245[[#This Row],[spawner_sku]])-FIND("/",Table245[[#This Row],[spawner_sku]])),Table1[Entity Prefab],0)),10,1,1,"Entities"))</f>
        <v>25</v>
      </c>
      <c r="G139" s="74">
        <f ca="1">ROUND((Table245[[#This Row],[XP]]*Table245[[#This Row],[entity_spawned (AVG)]])*(Table245[[#This Row],[activating_chance]]/100),0)</f>
        <v>38</v>
      </c>
      <c r="H139" s="71" t="str">
        <f ca="1">INDIRECT(ADDRESS(11+(MATCH(RIGHT(Table245[[#This Row],[spawner_sku]],LEN(Table245[[#This Row],[spawner_sku]])-FIND("/",Table245[[#This Row],[spawner_sku]])),Table28[Entity Prefab],0)),24,1,1,"Entities"))</f>
        <v>no</v>
      </c>
      <c r="I139" s="71">
        <v>1</v>
      </c>
      <c r="J139" s="71">
        <v>2</v>
      </c>
      <c r="K139" s="71" t="b">
        <v>0</v>
      </c>
      <c r="M139" t="s">
        <v>3811</v>
      </c>
      <c r="N139">
        <v>1</v>
      </c>
      <c r="O139">
        <v>220</v>
      </c>
      <c r="P139">
        <v>100</v>
      </c>
      <c r="Q139" s="74">
        <f ca="1">INDIRECT(ADDRESS(11+(MATCH(RIGHT(Table3[[#This Row],[spawner_sku]],LEN(Table3[[#This Row],[spawner_sku]])-FIND("/",Table3[[#This Row],[spawner_sku]])),Table1[Entity Prefab],0)),10,1,1,"Entities"))</f>
        <v>0</v>
      </c>
      <c r="R139" s="74">
        <f ca="1">ROUND((Table3[[#This Row],[XP]]*Table3[[#This Row],[entity_spawned (AVG)]])*(Table3[[#This Row],[activating_chance]]/100),0)</f>
        <v>0</v>
      </c>
      <c r="S139" t="str">
        <f ca="1">INDIRECT(ADDRESS(11+(MATCH(RIGHT(Table3[[#This Row],[spawner_sku]],LEN(Table3[[#This Row],[spawner_sku]])-FIND("/",Table3[[#This Row],[spawner_sku]])),Table28[Entity Prefab],0)),24,1,1,"Entities"))</f>
        <v>no</v>
      </c>
      <c r="T139">
        <v>1</v>
      </c>
      <c r="U139">
        <v>1</v>
      </c>
      <c r="V139" t="b">
        <v>0</v>
      </c>
      <c r="W139" s="71"/>
      <c r="AI139" t="s">
        <v>218</v>
      </c>
      <c r="AJ139">
        <v>1</v>
      </c>
      <c r="AK139">
        <v>5000</v>
      </c>
      <c r="AL139">
        <v>75</v>
      </c>
      <c r="AM139" s="74">
        <f ca="1">INDIRECT(ADDRESS(11+(MATCH(RIGHT(Table2[[#This Row],[spawner_sku]],LEN(Table2[[#This Row],[spawner_sku]])-FIND("/",Table2[[#This Row],[spawner_sku]])),Table1[Entity Prefab],0)),10,1,1,"Entities"))</f>
        <v>75</v>
      </c>
      <c r="AN139" s="74">
        <f ca="1">ROUND((Table2[[#This Row],[XP]]*Table2[[#This Row],[entity_spawned (AVG)]])*(Table2[[#This Row],[activating_chance]]/100),0)</f>
        <v>56</v>
      </c>
      <c r="AO139" s="71" t="str">
        <f ca="1">INDIRECT(ADDRESS(11+(MATCH(RIGHT(Table2[[#This Row],[spawner_sku]],LEN(Table2[[#This Row],[spawner_sku]])-FIND("/",Table2[[#This Row],[spawner_sku]])),Table28[Entity Prefab],0)),24,1,1,"Entities"))</f>
        <v>no</v>
      </c>
      <c r="AP139" s="71">
        <v>1</v>
      </c>
      <c r="AQ139" s="71">
        <v>1</v>
      </c>
      <c r="AR139" s="71" t="b">
        <v>0</v>
      </c>
      <c r="AT139" t="s">
        <v>377</v>
      </c>
      <c r="AU139">
        <v>5</v>
      </c>
      <c r="AV139">
        <v>120</v>
      </c>
      <c r="AW139">
        <v>100</v>
      </c>
      <c r="AX139" s="74">
        <f ca="1">INDIRECT(ADDRESS(11+(MATCH(RIGHT(Table6[[#This Row],[spawner_sku]],LEN(Table6[[#This Row],[spawner_sku]])-FIND("/",Table6[[#This Row],[spawner_sku]])),Table1[Entity Prefab],0)),10,1,1,"Entities"))</f>
        <v>25</v>
      </c>
      <c r="AY139" s="74">
        <f ca="1">ROUND((Table6[[#This Row],[XP]]*Table6[[#This Row],[entity_spawned (AVG)]])*(Table6[[#This Row],[activating_chance]]/100),0)</f>
        <v>125</v>
      </c>
      <c r="AZ139" s="144" t="str">
        <f ca="1">INDIRECT(ADDRESS(11+(MATCH(RIGHT(Table6[[#This Row],[spawner_sku]],LEN(Table6[[#This Row],[spawner_sku]])-FIND("/",Table6[[#This Row],[spawner_sku]])),Table28[Entity Prefab],0)),24,1,1,"Entities"))</f>
        <v>no</v>
      </c>
      <c r="BA139">
        <v>5</v>
      </c>
      <c r="BB139">
        <v>5</v>
      </c>
      <c r="BC139" t="b">
        <v>1</v>
      </c>
      <c r="BE139" t="s">
        <v>428</v>
      </c>
      <c r="BF139">
        <v>1</v>
      </c>
      <c r="BG139">
        <v>100</v>
      </c>
      <c r="BH139">
        <v>100</v>
      </c>
      <c r="BI139" s="74">
        <f ca="1">INDIRECT(ADDRESS(11+(MATCH(RIGHT(Table610[[#This Row],[spawner_sku]],LEN(Table610[[#This Row],[spawner_sku]])-FIND("/",Table610[[#This Row],[spawner_sku]])),Table1[Entity Prefab],0)),10,1,1,"Entities"))</f>
        <v>70</v>
      </c>
      <c r="BJ139" s="74">
        <f ca="1">ROUND((Table610[[#This Row],[XP]]*Table610[[#This Row],[entity_spawned (AVG)]])*(Table610[[#This Row],[activating_chance]]/100),0)</f>
        <v>70</v>
      </c>
      <c r="BK139" s="71" t="str">
        <f ca="1">INDIRECT(ADDRESS(11+(MATCH(RIGHT(Table610[[#This Row],[spawner_sku]],LEN(Table610[[#This Row],[spawner_sku]])-FIND("/",Table610[[#This Row],[spawner_sku]])),Table28[Entity Prefab],0)),24,1,1,"Entities"))</f>
        <v>yes</v>
      </c>
      <c r="BL139">
        <v>1</v>
      </c>
      <c r="BM139">
        <v>1</v>
      </c>
      <c r="BN139" t="b">
        <v>0</v>
      </c>
      <c r="BP139" t="s">
        <v>321</v>
      </c>
      <c r="BQ139">
        <v>1</v>
      </c>
      <c r="BR139">
        <v>300</v>
      </c>
      <c r="BS139">
        <v>100</v>
      </c>
      <c r="BT139" s="74">
        <f ca="1">INDIRECT(ADDRESS(11+(MATCH(RIGHT(Table61011[[#This Row],[spawner_sku]],LEN(Table61011[[#This Row],[spawner_sku]])-FIND("/",Table61011[[#This Row],[spawner_sku]])),Table1[Entity Prefab],0)),10,1,1,"Entities"))</f>
        <v>195</v>
      </c>
      <c r="BU139" s="74">
        <f ca="1">ROUND((Table61011[[#This Row],[XP]]*Table61011[[#This Row],[entity_spawned (AVG)]])*(Table61011[[#This Row],[activating_chance]]/100),0)</f>
        <v>195</v>
      </c>
      <c r="BV139" s="71" t="str">
        <f ca="1">INDIRECT(ADDRESS(11+(MATCH(RIGHT(Table61011[[#This Row],[spawner_sku]],LEN(Table61011[[#This Row],[spawner_sku]])-FIND("/",Table61011[[#This Row],[spawner_sku]])),Table28[Entity Prefab],0)),24,1,1,"Entities"))</f>
        <v>yes</v>
      </c>
      <c r="BW139" s="71">
        <v>1</v>
      </c>
      <c r="BX139" s="71">
        <v>1</v>
      </c>
      <c r="BY139" s="71" t="b">
        <v>0</v>
      </c>
      <c r="BZ139" s="71"/>
      <c r="CA139" s="147" t="s">
        <v>8142</v>
      </c>
      <c r="CB139">
        <v>1</v>
      </c>
      <c r="CC139">
        <v>200</v>
      </c>
      <c r="CD139">
        <v>100</v>
      </c>
      <c r="CE139" s="74">
        <f ca="1">INDIRECT(ADDRESS(11+(MATCH(RIGHT(Table35[[#This Row],[spawner_sku]],LEN(Table35[[#This Row],[spawner_sku]])-FIND("/",Table35[[#This Row],[spawner_sku]])),Table1[Entity Prefab],0)),10,1,1,"Entities"))</f>
        <v>75</v>
      </c>
      <c r="CF139" s="74">
        <f ca="1">ROUND((Table35[[#This Row],[XP]]*Table35[[#This Row],[entity_spawned (AVG)]])*(Table35[[#This Row],[activating_chance]]/100),0)</f>
        <v>75</v>
      </c>
      <c r="CG139" s="144" t="str">
        <f ca="1">INDIRECT(ADDRESS(11+(MATCH(RIGHT(Table35[[#This Row],[spawner_sku]],LEN(Table35[[#This Row],[spawner_sku]])-FIND("/",Table35[[#This Row],[spawner_sku]])),Table28[Entity Prefab],0)),24,1,1,"Entities"))</f>
        <v>no</v>
      </c>
      <c r="CH139">
        <v>1</v>
      </c>
      <c r="CI139">
        <v>1</v>
      </c>
      <c r="CJ139" s="71" t="b">
        <v>0</v>
      </c>
      <c r="CL139" t="s">
        <v>376</v>
      </c>
      <c r="CM139">
        <v>2</v>
      </c>
      <c r="CN139">
        <v>200</v>
      </c>
      <c r="CO139">
        <v>100</v>
      </c>
      <c r="CP139" s="74">
        <f ca="1">INDIRECT(ADDRESS(11+(MATCH(RIGHT(Table11[[#This Row],[spawner_sku]],LEN(Table11[[#This Row],[spawner_sku]])-FIND("/",Table11[[#This Row],[spawner_sku]])),Table1[Entity Prefab],0)),10,1,1,"Entities"))</f>
        <v>25</v>
      </c>
      <c r="CQ139">
        <f ca="1">ROUND((Table11[[#This Row],[XP]]*Table11[[#This Row],[entity_spawned (AVG)]])*(Table11[[#This Row],[activating_chance]]/100),0)</f>
        <v>50</v>
      </c>
      <c r="CR139" s="144" t="str">
        <f ca="1">INDIRECT(ADDRESS(11+(MATCH(RIGHT(Table11[[#This Row],[spawner_sku]],LEN(Table11[[#This Row],[spawner_sku]])-FIND("/",Table11[[#This Row],[spawner_sku]])),Table28[Entity Prefab],0)),25,1,1,"Entities"))</f>
        <v>no</v>
      </c>
      <c r="CS139" s="71">
        <v>2</v>
      </c>
      <c r="CT139" s="71">
        <v>2</v>
      </c>
      <c r="CU139" s="71" t="b">
        <v>0</v>
      </c>
      <c r="CW139" t="s">
        <v>241</v>
      </c>
      <c r="CX139">
        <v>1</v>
      </c>
      <c r="CY139">
        <v>170</v>
      </c>
      <c r="CZ139">
        <v>100</v>
      </c>
      <c r="DA139" s="74">
        <f ca="1">INDIRECT(ADDRESS(11+(MATCH(RIGHT(Table12[[#This Row],[spawner_sku]],LEN(Table12[[#This Row],[spawner_sku]])-FIND("/",Table12[[#This Row],[spawner_sku]])),Table1[Entity Prefab],0)),10,1,1,"Entities"))</f>
        <v>70</v>
      </c>
      <c r="DB139" s="74">
        <f ca="1">ROUND((Table12[[#This Row],[XP]]*Table12[[#This Row],[entity_spawned (AVG)]])*(Table12[[#This Row],[activating_chance]]/100),0)</f>
        <v>70</v>
      </c>
      <c r="DC139" s="144" t="str">
        <f ca="1">INDIRECT(ADDRESS(11+(MATCH(RIGHT(Table12[[#This Row],[spawner_sku]],LEN(Table12[[#This Row],[spawner_sku]])-FIND("/",Table12[[#This Row],[spawner_sku]])),Table28[Entity Prefab],0)),25,1,1,"Entities"))</f>
        <v>yes</v>
      </c>
      <c r="DD139" s="71">
        <v>1</v>
      </c>
      <c r="DE139" s="71">
        <v>1</v>
      </c>
      <c r="DF139" s="71" t="b">
        <v>0</v>
      </c>
      <c r="DH139" t="s">
        <v>367</v>
      </c>
      <c r="DI139">
        <v>1</v>
      </c>
      <c r="DJ139">
        <v>200</v>
      </c>
      <c r="DK139">
        <v>100</v>
      </c>
      <c r="DL139" s="74">
        <f ca="1">INDIRECT(ADDRESS(11+(MATCH(RIGHT(Table13[[#This Row],[spawner_sku]],LEN(Table13[[#This Row],[spawner_sku]])-FIND("/",Table13[[#This Row],[spawner_sku]])),Table1[Entity Prefab],0)),10,1,1,"Entities"))</f>
        <v>75</v>
      </c>
      <c r="DM139" s="74">
        <f ca="1">ROUND((Table13[[#This Row],[XP]]*Table13[[#This Row],[entity_spawned (AVG)]])*(Table13[[#This Row],[activating_chance]]/100),0)</f>
        <v>75</v>
      </c>
      <c r="DN139" s="144" t="str">
        <f ca="1">INDIRECT(ADDRESS(11+(MATCH(RIGHT(Table13[[#This Row],[spawner_sku]],LEN(Table13[[#This Row],[spawner_sku]])-FIND("/",Table13[[#This Row],[spawner_sku]])),Table28[Entity Prefab],0)),25,1,1,"Entities"))</f>
        <v>no</v>
      </c>
      <c r="DO139" s="71">
        <v>1</v>
      </c>
      <c r="DP139" s="71">
        <v>1</v>
      </c>
      <c r="DQ139" s="71" t="b">
        <v>0</v>
      </c>
      <c r="DS139" t="s">
        <v>218</v>
      </c>
      <c r="DT139">
        <v>1</v>
      </c>
      <c r="DU139">
        <v>5000</v>
      </c>
      <c r="DV139">
        <v>75</v>
      </c>
      <c r="DW139" s="74">
        <f ca="1">INDIRECT(ADDRESS(11+(MATCH(RIGHT(Table14[[#This Row],[spawner_sku]],LEN(Table14[[#This Row],[spawner_sku]])-FIND("/",Table14[[#This Row],[spawner_sku]])),Table1[Entity Prefab],0)),10,1,1,"Entities"))</f>
        <v>75</v>
      </c>
      <c r="DX139" s="74">
        <f ca="1">ROUND((Table14[[#This Row],[XP]]*Table14[[#This Row],[entity_spawned (AVG)]])*(Table14[[#This Row],[activating_chance]]/100),0)</f>
        <v>56</v>
      </c>
      <c r="DY139" s="144" t="str">
        <f ca="1">INDIRECT(ADDRESS(11+(MATCH(RIGHT(Table14[[#This Row],[spawner_sku]],LEN(Table14[[#This Row],[spawner_sku]])-FIND("/",Table14[[#This Row],[spawner_sku]])),Table28[Entity Prefab],0)),25,1,1,"Entities"))</f>
        <v>no</v>
      </c>
      <c r="DZ139" s="71">
        <v>1</v>
      </c>
      <c r="EA139" s="71">
        <v>1</v>
      </c>
      <c r="EB139" s="71" t="b">
        <v>0</v>
      </c>
      <c r="EC139" s="71"/>
      <c r="ED139" s="147" t="s">
        <v>3816</v>
      </c>
      <c r="EE139" s="71">
        <v>1</v>
      </c>
      <c r="EF139" s="71">
        <v>240</v>
      </c>
      <c r="EG139" s="71">
        <v>100</v>
      </c>
      <c r="EH139" s="71">
        <f ca="1">INDIRECT(ADDRESS(11+(MATCH(RIGHT(Table36[[#This Row],[spawner_sku]],LEN(Table36[[#This Row],[spawner_sku]])-FIND("/",Table36[[#This Row],[spawner_sku]])),Table1[Entity Prefab],0)),10,1,1,"Entities"))</f>
        <v>50</v>
      </c>
      <c r="EI139" s="71">
        <f ca="1">ROUND((Table36[[#This Row],[XP]]*Table36[[#This Row],[entity_spawned (AVG)]])*(Table36[[#This Row],[activating_chance]]/100),0)</f>
        <v>50</v>
      </c>
      <c r="EJ139" s="71" t="str">
        <f ca="1">INDIRECT(ADDRESS(11+(MATCH(RIGHT(Table36[[#This Row],[spawner_sku]],LEN(Table36[[#This Row],[spawner_sku]])-FIND("/",Table36[[#This Row],[spawner_sku]])),Table28[Entity Prefab],0)),25,1,1,"Entities"))</f>
        <v>no</v>
      </c>
      <c r="EK139" s="71">
        <v>1</v>
      </c>
      <c r="EL139" s="71">
        <v>1</v>
      </c>
      <c r="EM139" s="71" t="b">
        <v>0</v>
      </c>
      <c r="EO139" t="s">
        <v>320</v>
      </c>
      <c r="EP139">
        <v>2</v>
      </c>
      <c r="EQ139">
        <v>250</v>
      </c>
      <c r="ER139">
        <v>90</v>
      </c>
      <c r="ES139" s="74">
        <f ca="1">INDIRECT(ADDRESS(11+(MATCH(RIGHT(Table18[[#This Row],[spawner_sku]],LEN(Table18[[#This Row],[spawner_sku]])-FIND("/",Table18[[#This Row],[spawner_sku]])),Table1[Entity Prefab],0)),10,1,1,"Entities"))</f>
        <v>143</v>
      </c>
      <c r="ET139" s="74">
        <f ca="1">ROUND((Table18[[#This Row],[XP]]*Table18[[#This Row],[entity_spawned (AVG)]])*(Table18[[#This Row],[activating_chance]]/100),0)</f>
        <v>257</v>
      </c>
      <c r="EU139" s="74" t="str">
        <f ca="1">INDIRECT(ADDRESS(11+(MATCH(RIGHT(Table18[[#This Row],[spawner_sku]],LEN(Table18[[#This Row],[spawner_sku]])-FIND("/",Table18[[#This Row],[spawner_sku]])),Table28[Entity Prefab],0)),26,1,1,"Entities"))</f>
        <v>yes</v>
      </c>
      <c r="EV139">
        <v>2</v>
      </c>
      <c r="EW139">
        <v>2</v>
      </c>
      <c r="EX139" t="b">
        <v>0</v>
      </c>
      <c r="EZ139" t="s">
        <v>493</v>
      </c>
      <c r="FA139">
        <v>1.5</v>
      </c>
      <c r="FB139">
        <v>120</v>
      </c>
      <c r="FC139">
        <v>80</v>
      </c>
      <c r="FD139" s="74">
        <f ca="1">INDIRECT(ADDRESS(11+(MATCH(RIGHT(Table1820[[#This Row],[spawner_sku]],LEN(Table1820[[#This Row],[spawner_sku]])-FIND("/",Table1820[[#This Row],[spawner_sku]])),Table1[Entity Prefab],0)),10,1,1,"Entities"))</f>
        <v>35</v>
      </c>
      <c r="FE139" s="74">
        <f ca="1">ROUND((Table1820[[#This Row],[XP]]*Table1820[[#This Row],[entity_spawned (AVG)]])*(Table1820[[#This Row],[activating_chance]]/100),0)</f>
        <v>42</v>
      </c>
      <c r="FF139" s="74" t="str">
        <f ca="1">INDIRECT(ADDRESS(11+(MATCH(RIGHT(Table1820[[#This Row],[spawner_sku]],LEN(Table1820[[#This Row],[spawner_sku]])-FIND("/",Table1820[[#This Row],[spawner_sku]])),Table28[Entity Prefab],0)),26,1,1,"Entities"))</f>
        <v>no</v>
      </c>
      <c r="FG139">
        <v>1</v>
      </c>
      <c r="FH139">
        <v>2</v>
      </c>
      <c r="FI139" t="b">
        <v>0</v>
      </c>
      <c r="FK139" t="s">
        <v>3833</v>
      </c>
      <c r="FL139">
        <v>1</v>
      </c>
      <c r="FM139">
        <v>210</v>
      </c>
      <c r="FN139">
        <v>80</v>
      </c>
      <c r="FO139">
        <f ca="1">INDIRECT(ADDRESS(11+(MATCH(RIGHT(Table182023[[#This Row],[spawner_sku]],LEN(Table182023[[#This Row],[spawner_sku]])-FIND("/",Table182023[[#This Row],[spawner_sku]])),Table1[Entity Prefab],0)),10,1,1,"Entities"))</f>
        <v>65</v>
      </c>
      <c r="FP139">
        <f ca="1">ROUND((Table182023[[#This Row],[XP]]*Table182023[[#This Row],[entity_spawned (AVG)]])*(Table182023[[#This Row],[activating_chance]]/100),0)</f>
        <v>52</v>
      </c>
      <c r="FQ139" t="str">
        <f ca="1">INDIRECT(ADDRESS(11+(MATCH(RIGHT(Table182023[[#This Row],[spawner_sku]],LEN(Table182023[[#This Row],[spawner_sku]])-FIND("/",Table182023[[#This Row],[spawner_sku]])),Table28[Entity Prefab],0)),26,1,1,"Entities"))</f>
        <v>yes</v>
      </c>
      <c r="FR139">
        <v>1</v>
      </c>
      <c r="FS139">
        <v>1</v>
      </c>
      <c r="FT139" t="b">
        <v>0</v>
      </c>
      <c r="FV139" t="s">
        <v>2689</v>
      </c>
      <c r="FW139">
        <v>1</v>
      </c>
      <c r="FX139">
        <v>80</v>
      </c>
      <c r="FY139">
        <v>100</v>
      </c>
      <c r="FZ139" s="74">
        <f ca="1">INDIRECT(ADDRESS(11+(MATCH(RIGHT(Table18202324[[#This Row],[spawner_sku]],LEN(Table18202324[[#This Row],[spawner_sku]])-FIND("/",Table18202324[[#This Row],[spawner_sku]])),Table1[Entity Prefab],0)),10,1,1,"Entities"))</f>
        <v>25</v>
      </c>
      <c r="GA139" s="74">
        <f ca="1">ROUND((Table18202324[[#This Row],[XP]]*Table18202324[[#This Row],[entity_spawned (AVG)]])*(Table18202324[[#This Row],[activating_chance]]/100),0)</f>
        <v>25</v>
      </c>
      <c r="GB139" s="74" t="str">
        <f ca="1">INDIRECT(ADDRESS(11+(MATCH(RIGHT(Table18202324[[#This Row],[spawner_sku]],LEN(Table18202324[[#This Row],[spawner_sku]])-FIND("/",Table18202324[[#This Row],[spawner_sku]])),Table28[Entity Prefab],0)),26,1,1,"Entities"))</f>
        <v>no</v>
      </c>
      <c r="GC139">
        <v>1</v>
      </c>
      <c r="GD139">
        <v>1</v>
      </c>
      <c r="GE139" t="b">
        <v>0</v>
      </c>
      <c r="GG139" t="s">
        <v>3816</v>
      </c>
      <c r="GH139">
        <v>1</v>
      </c>
      <c r="GI139">
        <v>240</v>
      </c>
      <c r="GJ139">
        <v>100</v>
      </c>
      <c r="GK139">
        <f ca="1">INDIRECT(ADDRESS(11+(MATCH(RIGHT(Table37[[#This Row],[spawner_sku]],LEN(Table37[[#This Row],[spawner_sku]])-FIND("/",Table37[[#This Row],[spawner_sku]])),Table1[Entity Prefab],0)),10,1,1,"Entities"))</f>
        <v>50</v>
      </c>
      <c r="GL139">
        <f ca="1">ROUND((Table37[[#This Row],[XP]]*Table37[[#This Row],[entity_spawned (AVG)]])*(Table37[[#This Row],[activating_chance]]/100),0)</f>
        <v>50</v>
      </c>
      <c r="GM139" t="str">
        <f ca="1">INDIRECT(ADDRESS(11+(MATCH(RIGHT(Table37[[#This Row],[spawner_sku]],LEN(Table37[[#This Row],[spawner_sku]])-FIND("/",Table37[[#This Row],[spawner_sku]])),Table28[Entity Prefab],0)),26,1,1,"Entities"))</f>
        <v>no</v>
      </c>
      <c r="GN139">
        <v>1</v>
      </c>
      <c r="GO139">
        <v>1</v>
      </c>
      <c r="GP139" t="b">
        <v>0</v>
      </c>
    </row>
    <row r="140" spans="2:198" x14ac:dyDescent="0.25">
      <c r="B140" s="72" t="s">
        <v>215</v>
      </c>
      <c r="C140">
        <v>1.5</v>
      </c>
      <c r="D140">
        <v>160</v>
      </c>
      <c r="E140">
        <v>100</v>
      </c>
      <c r="F140" s="74">
        <f ca="1">INDIRECT(ADDRESS(11+(MATCH(RIGHT(Table245[[#This Row],[spawner_sku]],LEN(Table245[[#This Row],[spawner_sku]])-FIND("/",Table245[[#This Row],[spawner_sku]])),Table1[Entity Prefab],0)),10,1,1,"Entities"))</f>
        <v>25</v>
      </c>
      <c r="G140" s="74">
        <f ca="1">ROUND((Table245[[#This Row],[XP]]*Table245[[#This Row],[entity_spawned (AVG)]])*(Table245[[#This Row],[activating_chance]]/100),0)</f>
        <v>38</v>
      </c>
      <c r="H140" s="71" t="str">
        <f ca="1">INDIRECT(ADDRESS(11+(MATCH(RIGHT(Table245[[#This Row],[spawner_sku]],LEN(Table245[[#This Row],[spawner_sku]])-FIND("/",Table245[[#This Row],[spawner_sku]])),Table28[Entity Prefab],0)),24,1,1,"Entities"))</f>
        <v>no</v>
      </c>
      <c r="I140" s="71">
        <v>1</v>
      </c>
      <c r="J140" s="71">
        <v>2</v>
      </c>
      <c r="K140" s="71" t="b">
        <v>0</v>
      </c>
      <c r="M140" t="s">
        <v>485</v>
      </c>
      <c r="N140">
        <v>1</v>
      </c>
      <c r="O140">
        <v>220</v>
      </c>
      <c r="P140">
        <v>100</v>
      </c>
      <c r="Q140" s="74">
        <f ca="1">INDIRECT(ADDRESS(11+(MATCH(RIGHT(Table3[[#This Row],[spawner_sku]],LEN(Table3[[#This Row],[spawner_sku]])-FIND("/",Table3[[#This Row],[spawner_sku]])),Table1[Entity Prefab],0)),10,1,1,"Entities"))</f>
        <v>0</v>
      </c>
      <c r="R140" s="74">
        <f ca="1">ROUND((Table3[[#This Row],[XP]]*Table3[[#This Row],[entity_spawned (AVG)]])*(Table3[[#This Row],[activating_chance]]/100),0)</f>
        <v>0</v>
      </c>
      <c r="S140" t="str">
        <f ca="1">INDIRECT(ADDRESS(11+(MATCH(RIGHT(Table3[[#This Row],[spawner_sku]],LEN(Table3[[#This Row],[spawner_sku]])-FIND("/",Table3[[#This Row],[spawner_sku]])),Table28[Entity Prefab],0)),24,1,1,"Entities"))</f>
        <v>no</v>
      </c>
      <c r="T140">
        <v>1</v>
      </c>
      <c r="U140">
        <v>1</v>
      </c>
      <c r="V140" t="b">
        <v>0</v>
      </c>
      <c r="W140" s="71"/>
      <c r="AI140" t="s">
        <v>218</v>
      </c>
      <c r="AJ140">
        <v>1</v>
      </c>
      <c r="AK140">
        <v>5000</v>
      </c>
      <c r="AL140">
        <v>75</v>
      </c>
      <c r="AM140" s="74">
        <f ca="1">INDIRECT(ADDRESS(11+(MATCH(RIGHT(Table2[[#This Row],[spawner_sku]],LEN(Table2[[#This Row],[spawner_sku]])-FIND("/",Table2[[#This Row],[spawner_sku]])),Table1[Entity Prefab],0)),10,1,1,"Entities"))</f>
        <v>75</v>
      </c>
      <c r="AN140" s="74">
        <f ca="1">ROUND((Table2[[#This Row],[XP]]*Table2[[#This Row],[entity_spawned (AVG)]])*(Table2[[#This Row],[activating_chance]]/100),0)</f>
        <v>56</v>
      </c>
      <c r="AO140" s="71" t="str">
        <f ca="1">INDIRECT(ADDRESS(11+(MATCH(RIGHT(Table2[[#This Row],[spawner_sku]],LEN(Table2[[#This Row],[spawner_sku]])-FIND("/",Table2[[#This Row],[spawner_sku]])),Table28[Entity Prefab],0)),24,1,1,"Entities"))</f>
        <v>no</v>
      </c>
      <c r="AP140" s="71">
        <v>1</v>
      </c>
      <c r="AQ140" s="71">
        <v>1</v>
      </c>
      <c r="AR140" s="71" t="b">
        <v>0</v>
      </c>
      <c r="AT140" t="s">
        <v>427</v>
      </c>
      <c r="AU140">
        <v>1</v>
      </c>
      <c r="AV140">
        <v>120</v>
      </c>
      <c r="AW140">
        <v>50</v>
      </c>
      <c r="AX140" s="74">
        <f ca="1">INDIRECT(ADDRESS(11+(MATCH(RIGHT(Table6[[#This Row],[spawner_sku]],LEN(Table6[[#This Row],[spawner_sku]])-FIND("/",Table6[[#This Row],[spawner_sku]])),Table1[Entity Prefab],0)),10,1,1,"Entities"))</f>
        <v>25</v>
      </c>
      <c r="AY140" s="74">
        <f ca="1">ROUND((Table6[[#This Row],[XP]]*Table6[[#This Row],[entity_spawned (AVG)]])*(Table6[[#This Row],[activating_chance]]/100),0)</f>
        <v>13</v>
      </c>
      <c r="AZ140" s="144" t="str">
        <f ca="1">INDIRECT(ADDRESS(11+(MATCH(RIGHT(Table6[[#This Row],[spawner_sku]],LEN(Table6[[#This Row],[spawner_sku]])-FIND("/",Table6[[#This Row],[spawner_sku]])),Table28[Entity Prefab],0)),24,1,1,"Entities"))</f>
        <v>no</v>
      </c>
      <c r="BA140">
        <v>1</v>
      </c>
      <c r="BB140">
        <v>1</v>
      </c>
      <c r="BC140" t="b">
        <v>0</v>
      </c>
      <c r="BE140" t="s">
        <v>428</v>
      </c>
      <c r="BF140">
        <v>1</v>
      </c>
      <c r="BG140">
        <v>180</v>
      </c>
      <c r="BH140">
        <v>100</v>
      </c>
      <c r="BI140" s="74">
        <f ca="1">INDIRECT(ADDRESS(11+(MATCH(RIGHT(Table610[[#This Row],[spawner_sku]],LEN(Table610[[#This Row],[spawner_sku]])-FIND("/",Table610[[#This Row],[spawner_sku]])),Table1[Entity Prefab],0)),10,1,1,"Entities"))</f>
        <v>70</v>
      </c>
      <c r="BJ140" s="74">
        <f ca="1">ROUND((Table610[[#This Row],[XP]]*Table610[[#This Row],[entity_spawned (AVG)]])*(Table610[[#This Row],[activating_chance]]/100),0)</f>
        <v>70</v>
      </c>
      <c r="BK140" s="71" t="str">
        <f ca="1">INDIRECT(ADDRESS(11+(MATCH(RIGHT(Table610[[#This Row],[spawner_sku]],LEN(Table610[[#This Row],[spawner_sku]])-FIND("/",Table610[[#This Row],[spawner_sku]])),Table28[Entity Prefab],0)),24,1,1,"Entities"))</f>
        <v>yes</v>
      </c>
      <c r="BL140">
        <v>1</v>
      </c>
      <c r="BM140">
        <v>1</v>
      </c>
      <c r="BN140" t="b">
        <v>0</v>
      </c>
      <c r="BP140" t="s">
        <v>321</v>
      </c>
      <c r="BQ140">
        <v>1</v>
      </c>
      <c r="BR140">
        <v>300</v>
      </c>
      <c r="BS140">
        <v>100</v>
      </c>
      <c r="BT140" s="74">
        <f ca="1">INDIRECT(ADDRESS(11+(MATCH(RIGHT(Table61011[[#This Row],[spawner_sku]],LEN(Table61011[[#This Row],[spawner_sku]])-FIND("/",Table61011[[#This Row],[spawner_sku]])),Table1[Entity Prefab],0)),10,1,1,"Entities"))</f>
        <v>195</v>
      </c>
      <c r="BU140" s="74">
        <f ca="1">ROUND((Table61011[[#This Row],[XP]]*Table61011[[#This Row],[entity_spawned (AVG)]])*(Table61011[[#This Row],[activating_chance]]/100),0)</f>
        <v>195</v>
      </c>
      <c r="BV140" s="71" t="str">
        <f ca="1">INDIRECT(ADDRESS(11+(MATCH(RIGHT(Table61011[[#This Row],[spawner_sku]],LEN(Table61011[[#This Row],[spawner_sku]])-FIND("/",Table61011[[#This Row],[spawner_sku]])),Table28[Entity Prefab],0)),24,1,1,"Entities"))</f>
        <v>yes</v>
      </c>
      <c r="BW140" s="71">
        <v>1</v>
      </c>
      <c r="BX140" s="71">
        <v>1</v>
      </c>
      <c r="BY140" s="71" t="b">
        <v>0</v>
      </c>
      <c r="BZ140" s="71"/>
      <c r="CA140" s="147" t="s">
        <v>8142</v>
      </c>
      <c r="CB140">
        <v>1</v>
      </c>
      <c r="CC140">
        <v>200</v>
      </c>
      <c r="CD140">
        <v>100</v>
      </c>
      <c r="CE140" s="74">
        <f ca="1">INDIRECT(ADDRESS(11+(MATCH(RIGHT(Table35[[#This Row],[spawner_sku]],LEN(Table35[[#This Row],[spawner_sku]])-FIND("/",Table35[[#This Row],[spawner_sku]])),Table1[Entity Prefab],0)),10,1,1,"Entities"))</f>
        <v>75</v>
      </c>
      <c r="CF140" s="74">
        <f ca="1">ROUND((Table35[[#This Row],[XP]]*Table35[[#This Row],[entity_spawned (AVG)]])*(Table35[[#This Row],[activating_chance]]/100),0)</f>
        <v>75</v>
      </c>
      <c r="CG140" s="144" t="str">
        <f ca="1">INDIRECT(ADDRESS(11+(MATCH(RIGHT(Table35[[#This Row],[spawner_sku]],LEN(Table35[[#This Row],[spawner_sku]])-FIND("/",Table35[[#This Row],[spawner_sku]])),Table28[Entity Prefab],0)),24,1,1,"Entities"))</f>
        <v>no</v>
      </c>
      <c r="CH140">
        <v>1</v>
      </c>
      <c r="CI140">
        <v>1</v>
      </c>
      <c r="CJ140" s="71" t="b">
        <v>0</v>
      </c>
      <c r="CL140" t="s">
        <v>376</v>
      </c>
      <c r="CM140">
        <v>1.5</v>
      </c>
      <c r="CN140">
        <v>200</v>
      </c>
      <c r="CO140">
        <v>100</v>
      </c>
      <c r="CP140" s="74">
        <f ca="1">INDIRECT(ADDRESS(11+(MATCH(RIGHT(Table11[[#This Row],[spawner_sku]],LEN(Table11[[#This Row],[spawner_sku]])-FIND("/",Table11[[#This Row],[spawner_sku]])),Table1[Entity Prefab],0)),10,1,1,"Entities"))</f>
        <v>25</v>
      </c>
      <c r="CQ140">
        <f ca="1">ROUND((Table11[[#This Row],[XP]]*Table11[[#This Row],[entity_spawned (AVG)]])*(Table11[[#This Row],[activating_chance]]/100),0)</f>
        <v>38</v>
      </c>
      <c r="CR140" s="144" t="str">
        <f ca="1">INDIRECT(ADDRESS(11+(MATCH(RIGHT(Table11[[#This Row],[spawner_sku]],LEN(Table11[[#This Row],[spawner_sku]])-FIND("/",Table11[[#This Row],[spawner_sku]])),Table28[Entity Prefab],0)),25,1,1,"Entities"))</f>
        <v>no</v>
      </c>
      <c r="CS140" s="71">
        <v>1</v>
      </c>
      <c r="CT140" s="71">
        <v>2</v>
      </c>
      <c r="CU140" s="71" t="b">
        <v>0</v>
      </c>
      <c r="CW140" t="s">
        <v>242</v>
      </c>
      <c r="CX140">
        <v>1</v>
      </c>
      <c r="CY140">
        <v>150</v>
      </c>
      <c r="CZ140">
        <v>100</v>
      </c>
      <c r="DA140" s="74">
        <f ca="1">INDIRECT(ADDRESS(11+(MATCH(RIGHT(Table12[[#This Row],[spawner_sku]],LEN(Table12[[#This Row],[spawner_sku]])-FIND("/",Table12[[#This Row],[spawner_sku]])),Table1[Entity Prefab],0)),10,1,1,"Entities"))</f>
        <v>25</v>
      </c>
      <c r="DB140" s="74">
        <f ca="1">ROUND((Table12[[#This Row],[XP]]*Table12[[#This Row],[entity_spawned (AVG)]])*(Table12[[#This Row],[activating_chance]]/100),0)</f>
        <v>25</v>
      </c>
      <c r="DC140" s="144" t="str">
        <f ca="1">INDIRECT(ADDRESS(11+(MATCH(RIGHT(Table12[[#This Row],[spawner_sku]],LEN(Table12[[#This Row],[spawner_sku]])-FIND("/",Table12[[#This Row],[spawner_sku]])),Table28[Entity Prefab],0)),25,1,1,"Entities"))</f>
        <v>no</v>
      </c>
      <c r="DD140" s="71">
        <v>1</v>
      </c>
      <c r="DE140" s="71">
        <v>1</v>
      </c>
      <c r="DF140" s="71" t="b">
        <v>0</v>
      </c>
      <c r="DH140" t="s">
        <v>367</v>
      </c>
      <c r="DI140">
        <v>1</v>
      </c>
      <c r="DJ140">
        <v>200</v>
      </c>
      <c r="DK140">
        <v>100</v>
      </c>
      <c r="DL140" s="74">
        <f ca="1">INDIRECT(ADDRESS(11+(MATCH(RIGHT(Table13[[#This Row],[spawner_sku]],LEN(Table13[[#This Row],[spawner_sku]])-FIND("/",Table13[[#This Row],[spawner_sku]])),Table1[Entity Prefab],0)),10,1,1,"Entities"))</f>
        <v>75</v>
      </c>
      <c r="DM140" s="74">
        <f ca="1">ROUND((Table13[[#This Row],[XP]]*Table13[[#This Row],[entity_spawned (AVG)]])*(Table13[[#This Row],[activating_chance]]/100),0)</f>
        <v>75</v>
      </c>
      <c r="DN140" s="144" t="str">
        <f ca="1">INDIRECT(ADDRESS(11+(MATCH(RIGHT(Table13[[#This Row],[spawner_sku]],LEN(Table13[[#This Row],[spawner_sku]])-FIND("/",Table13[[#This Row],[spawner_sku]])),Table28[Entity Prefab],0)),25,1,1,"Entities"))</f>
        <v>no</v>
      </c>
      <c r="DO140" s="71">
        <v>1</v>
      </c>
      <c r="DP140" s="71">
        <v>1</v>
      </c>
      <c r="DQ140" s="71" t="b">
        <v>0</v>
      </c>
      <c r="DS140" t="s">
        <v>218</v>
      </c>
      <c r="DT140">
        <v>1</v>
      </c>
      <c r="DU140">
        <v>5000</v>
      </c>
      <c r="DV140">
        <v>75</v>
      </c>
      <c r="DW140" s="74">
        <f ca="1">INDIRECT(ADDRESS(11+(MATCH(RIGHT(Table14[[#This Row],[spawner_sku]],LEN(Table14[[#This Row],[spawner_sku]])-FIND("/",Table14[[#This Row],[spawner_sku]])),Table1[Entity Prefab],0)),10,1,1,"Entities"))</f>
        <v>75</v>
      </c>
      <c r="DX140" s="74">
        <f ca="1">ROUND((Table14[[#This Row],[XP]]*Table14[[#This Row],[entity_spawned (AVG)]])*(Table14[[#This Row],[activating_chance]]/100),0)</f>
        <v>56</v>
      </c>
      <c r="DY140" s="144" t="str">
        <f ca="1">INDIRECT(ADDRESS(11+(MATCH(RIGHT(Table14[[#This Row],[spawner_sku]],LEN(Table14[[#This Row],[spawner_sku]])-FIND("/",Table14[[#This Row],[spawner_sku]])),Table28[Entity Prefab],0)),25,1,1,"Entities"))</f>
        <v>no</v>
      </c>
      <c r="DZ140" s="71">
        <v>1</v>
      </c>
      <c r="EA140" s="71">
        <v>1</v>
      </c>
      <c r="EB140" s="71" t="b">
        <v>0</v>
      </c>
      <c r="EC140" s="71"/>
      <c r="ED140" s="147" t="s">
        <v>3816</v>
      </c>
      <c r="EE140" s="71">
        <v>1</v>
      </c>
      <c r="EF140" s="71">
        <v>240</v>
      </c>
      <c r="EG140" s="71">
        <v>100</v>
      </c>
      <c r="EH140" s="71">
        <f ca="1">INDIRECT(ADDRESS(11+(MATCH(RIGHT(Table36[[#This Row],[spawner_sku]],LEN(Table36[[#This Row],[spawner_sku]])-FIND("/",Table36[[#This Row],[spawner_sku]])),Table1[Entity Prefab],0)),10,1,1,"Entities"))</f>
        <v>50</v>
      </c>
      <c r="EI140" s="71">
        <f ca="1">ROUND((Table36[[#This Row],[XP]]*Table36[[#This Row],[entity_spawned (AVG)]])*(Table36[[#This Row],[activating_chance]]/100),0)</f>
        <v>50</v>
      </c>
      <c r="EJ140" s="71" t="str">
        <f ca="1">INDIRECT(ADDRESS(11+(MATCH(RIGHT(Table36[[#This Row],[spawner_sku]],LEN(Table36[[#This Row],[spawner_sku]])-FIND("/",Table36[[#This Row],[spawner_sku]])),Table28[Entity Prefab],0)),25,1,1,"Entities"))</f>
        <v>no</v>
      </c>
      <c r="EK140" s="71">
        <v>1</v>
      </c>
      <c r="EL140" s="71">
        <v>1</v>
      </c>
      <c r="EM140" s="71" t="b">
        <v>0</v>
      </c>
      <c r="EO140" t="s">
        <v>220</v>
      </c>
      <c r="EP140">
        <v>1</v>
      </c>
      <c r="EQ140">
        <v>200</v>
      </c>
      <c r="ER140">
        <v>80</v>
      </c>
      <c r="ES140" s="74">
        <f ca="1">INDIRECT(ADDRESS(11+(MATCH(RIGHT(Table18[[#This Row],[spawner_sku]],LEN(Table18[[#This Row],[spawner_sku]])-FIND("/",Table18[[#This Row],[spawner_sku]])),Table1[Entity Prefab],0)),10,1,1,"Entities"))</f>
        <v>195</v>
      </c>
      <c r="ET140" s="74">
        <f ca="1">ROUND((Table18[[#This Row],[XP]]*Table18[[#This Row],[entity_spawned (AVG)]])*(Table18[[#This Row],[activating_chance]]/100),0)</f>
        <v>156</v>
      </c>
      <c r="EU140" s="74" t="str">
        <f ca="1">INDIRECT(ADDRESS(11+(MATCH(RIGHT(Table18[[#This Row],[spawner_sku]],LEN(Table18[[#This Row],[spawner_sku]])-FIND("/",Table18[[#This Row],[spawner_sku]])),Table28[Entity Prefab],0)),26,1,1,"Entities"))</f>
        <v>yes</v>
      </c>
      <c r="EV140">
        <v>1</v>
      </c>
      <c r="EW140">
        <v>1</v>
      </c>
      <c r="EX140" t="b">
        <v>0</v>
      </c>
      <c r="EZ140" t="s">
        <v>493</v>
      </c>
      <c r="FA140">
        <v>1</v>
      </c>
      <c r="FB140">
        <v>120</v>
      </c>
      <c r="FC140">
        <v>30</v>
      </c>
      <c r="FD140" s="74">
        <f ca="1">INDIRECT(ADDRESS(11+(MATCH(RIGHT(Table1820[[#This Row],[spawner_sku]],LEN(Table1820[[#This Row],[spawner_sku]])-FIND("/",Table1820[[#This Row],[spawner_sku]])),Table1[Entity Prefab],0)),10,1,1,"Entities"))</f>
        <v>35</v>
      </c>
      <c r="FE140" s="74">
        <f ca="1">ROUND((Table1820[[#This Row],[XP]]*Table1820[[#This Row],[entity_spawned (AVG)]])*(Table1820[[#This Row],[activating_chance]]/100),0)</f>
        <v>11</v>
      </c>
      <c r="FF140" s="74" t="str">
        <f ca="1">INDIRECT(ADDRESS(11+(MATCH(RIGHT(Table1820[[#This Row],[spawner_sku]],LEN(Table1820[[#This Row],[spawner_sku]])-FIND("/",Table1820[[#This Row],[spawner_sku]])),Table28[Entity Prefab],0)),26,1,1,"Entities"))</f>
        <v>no</v>
      </c>
      <c r="FG140">
        <v>1</v>
      </c>
      <c r="FH140">
        <v>1</v>
      </c>
      <c r="FI140" t="b">
        <v>0</v>
      </c>
      <c r="FK140" t="s">
        <v>3833</v>
      </c>
      <c r="FL140">
        <v>1</v>
      </c>
      <c r="FM140">
        <v>210</v>
      </c>
      <c r="FN140">
        <v>100</v>
      </c>
      <c r="FO140">
        <f ca="1">INDIRECT(ADDRESS(11+(MATCH(RIGHT(Table182023[[#This Row],[spawner_sku]],LEN(Table182023[[#This Row],[spawner_sku]])-FIND("/",Table182023[[#This Row],[spawner_sku]])),Table1[Entity Prefab],0)),10,1,1,"Entities"))</f>
        <v>65</v>
      </c>
      <c r="FP140">
        <f ca="1">ROUND((Table182023[[#This Row],[XP]]*Table182023[[#This Row],[entity_spawned (AVG)]])*(Table182023[[#This Row],[activating_chance]]/100),0)</f>
        <v>65</v>
      </c>
      <c r="FQ140" t="str">
        <f ca="1">INDIRECT(ADDRESS(11+(MATCH(RIGHT(Table182023[[#This Row],[spawner_sku]],LEN(Table182023[[#This Row],[spawner_sku]])-FIND("/",Table182023[[#This Row],[spawner_sku]])),Table28[Entity Prefab],0)),26,1,1,"Entities"))</f>
        <v>yes</v>
      </c>
      <c r="FR140">
        <v>1</v>
      </c>
      <c r="FS140">
        <v>1</v>
      </c>
      <c r="FT140" t="b">
        <v>0</v>
      </c>
      <c r="FV140" t="s">
        <v>2689</v>
      </c>
      <c r="FW140">
        <v>1</v>
      </c>
      <c r="FX140">
        <v>80</v>
      </c>
      <c r="FY140">
        <v>100</v>
      </c>
      <c r="FZ140" s="74">
        <f ca="1">INDIRECT(ADDRESS(11+(MATCH(RIGHT(Table18202324[[#This Row],[spawner_sku]],LEN(Table18202324[[#This Row],[spawner_sku]])-FIND("/",Table18202324[[#This Row],[spawner_sku]])),Table1[Entity Prefab],0)),10,1,1,"Entities"))</f>
        <v>25</v>
      </c>
      <c r="GA140" s="74">
        <f ca="1">ROUND((Table18202324[[#This Row],[XP]]*Table18202324[[#This Row],[entity_spawned (AVG)]])*(Table18202324[[#This Row],[activating_chance]]/100),0)</f>
        <v>25</v>
      </c>
      <c r="GB140" s="74" t="str">
        <f ca="1">INDIRECT(ADDRESS(11+(MATCH(RIGHT(Table18202324[[#This Row],[spawner_sku]],LEN(Table18202324[[#This Row],[spawner_sku]])-FIND("/",Table18202324[[#This Row],[spawner_sku]])),Table28[Entity Prefab],0)),26,1,1,"Entities"))</f>
        <v>no</v>
      </c>
      <c r="GC140">
        <v>1</v>
      </c>
      <c r="GD140">
        <v>1</v>
      </c>
      <c r="GE140" t="b">
        <v>0</v>
      </c>
      <c r="GG140" t="s">
        <v>3816</v>
      </c>
      <c r="GH140">
        <v>1</v>
      </c>
      <c r="GI140">
        <v>240</v>
      </c>
      <c r="GJ140">
        <v>100</v>
      </c>
      <c r="GK140">
        <f ca="1">INDIRECT(ADDRESS(11+(MATCH(RIGHT(Table37[[#This Row],[spawner_sku]],LEN(Table37[[#This Row],[spawner_sku]])-FIND("/",Table37[[#This Row],[spawner_sku]])),Table1[Entity Prefab],0)),10,1,1,"Entities"))</f>
        <v>50</v>
      </c>
      <c r="GL140">
        <f ca="1">ROUND((Table37[[#This Row],[XP]]*Table37[[#This Row],[entity_spawned (AVG)]])*(Table37[[#This Row],[activating_chance]]/100),0)</f>
        <v>50</v>
      </c>
      <c r="GM140" t="str">
        <f ca="1">INDIRECT(ADDRESS(11+(MATCH(RIGHT(Table37[[#This Row],[spawner_sku]],LEN(Table37[[#This Row],[spawner_sku]])-FIND("/",Table37[[#This Row],[spawner_sku]])),Table28[Entity Prefab],0)),26,1,1,"Entities"))</f>
        <v>no</v>
      </c>
      <c r="GN140">
        <v>1</v>
      </c>
      <c r="GO140">
        <v>1</v>
      </c>
      <c r="GP140" t="b">
        <v>0</v>
      </c>
    </row>
    <row r="141" spans="2:198" x14ac:dyDescent="0.25">
      <c r="B141" s="72" t="s">
        <v>215</v>
      </c>
      <c r="C141">
        <v>1</v>
      </c>
      <c r="D141">
        <v>80</v>
      </c>
      <c r="E141">
        <v>100</v>
      </c>
      <c r="F141" s="74">
        <f ca="1">INDIRECT(ADDRESS(11+(MATCH(RIGHT(Table245[[#This Row],[spawner_sku]],LEN(Table245[[#This Row],[spawner_sku]])-FIND("/",Table245[[#This Row],[spawner_sku]])),Table1[Entity Prefab],0)),10,1,1,"Entities"))</f>
        <v>25</v>
      </c>
      <c r="G141" s="74">
        <f ca="1">ROUND((Table245[[#This Row],[XP]]*Table245[[#This Row],[entity_spawned (AVG)]])*(Table245[[#This Row],[activating_chance]]/100),0)</f>
        <v>25</v>
      </c>
      <c r="H141" s="71" t="str">
        <f ca="1">INDIRECT(ADDRESS(11+(MATCH(RIGHT(Table245[[#This Row],[spawner_sku]],LEN(Table245[[#This Row],[spawner_sku]])-FIND("/",Table245[[#This Row],[spawner_sku]])),Table28[Entity Prefab],0)),24,1,1,"Entities"))</f>
        <v>no</v>
      </c>
      <c r="I141" s="71">
        <v>1</v>
      </c>
      <c r="J141" s="71">
        <v>1</v>
      </c>
      <c r="K141" s="71" t="b">
        <v>0</v>
      </c>
      <c r="M141" t="s">
        <v>485</v>
      </c>
      <c r="N141">
        <v>1</v>
      </c>
      <c r="O141">
        <v>220</v>
      </c>
      <c r="P141">
        <v>100</v>
      </c>
      <c r="Q141" s="74">
        <f ca="1">INDIRECT(ADDRESS(11+(MATCH(RIGHT(Table3[[#This Row],[spawner_sku]],LEN(Table3[[#This Row],[spawner_sku]])-FIND("/",Table3[[#This Row],[spawner_sku]])),Table1[Entity Prefab],0)),10,1,1,"Entities"))</f>
        <v>0</v>
      </c>
      <c r="R141" s="74">
        <f ca="1">ROUND((Table3[[#This Row],[XP]]*Table3[[#This Row],[entity_spawned (AVG)]])*(Table3[[#This Row],[activating_chance]]/100),0)</f>
        <v>0</v>
      </c>
      <c r="S141" t="str">
        <f ca="1">INDIRECT(ADDRESS(11+(MATCH(RIGHT(Table3[[#This Row],[spawner_sku]],LEN(Table3[[#This Row],[spawner_sku]])-FIND("/",Table3[[#This Row],[spawner_sku]])),Table28[Entity Prefab],0)),24,1,1,"Entities"))</f>
        <v>no</v>
      </c>
      <c r="T141">
        <v>1</v>
      </c>
      <c r="U141">
        <v>1</v>
      </c>
      <c r="V141" t="b">
        <v>0</v>
      </c>
      <c r="W141" s="71"/>
      <c r="AI141" t="s">
        <v>218</v>
      </c>
      <c r="AJ141">
        <v>1</v>
      </c>
      <c r="AK141">
        <v>5000</v>
      </c>
      <c r="AL141">
        <v>40</v>
      </c>
      <c r="AM141" s="74">
        <f ca="1">INDIRECT(ADDRESS(11+(MATCH(RIGHT(Table2[[#This Row],[spawner_sku]],LEN(Table2[[#This Row],[spawner_sku]])-FIND("/",Table2[[#This Row],[spawner_sku]])),Table1[Entity Prefab],0)),10,1,1,"Entities"))</f>
        <v>75</v>
      </c>
      <c r="AN141" s="74">
        <f ca="1">ROUND((Table2[[#This Row],[XP]]*Table2[[#This Row],[entity_spawned (AVG)]])*(Table2[[#This Row],[activating_chance]]/100),0)</f>
        <v>30</v>
      </c>
      <c r="AO141" s="71" t="str">
        <f ca="1">INDIRECT(ADDRESS(11+(MATCH(RIGHT(Table2[[#This Row],[spawner_sku]],LEN(Table2[[#This Row],[spawner_sku]])-FIND("/",Table2[[#This Row],[spawner_sku]])),Table28[Entity Prefab],0)),24,1,1,"Entities"))</f>
        <v>no</v>
      </c>
      <c r="AP141" s="71">
        <v>1</v>
      </c>
      <c r="AQ141" s="71">
        <v>1</v>
      </c>
      <c r="AR141" s="71" t="b">
        <v>0</v>
      </c>
      <c r="AT141" t="s">
        <v>427</v>
      </c>
      <c r="AU141">
        <v>1</v>
      </c>
      <c r="AV141">
        <v>120</v>
      </c>
      <c r="AW141">
        <v>100</v>
      </c>
      <c r="AX141" s="74">
        <f ca="1">INDIRECT(ADDRESS(11+(MATCH(RIGHT(Table6[[#This Row],[spawner_sku]],LEN(Table6[[#This Row],[spawner_sku]])-FIND("/",Table6[[#This Row],[spawner_sku]])),Table1[Entity Prefab],0)),10,1,1,"Entities"))</f>
        <v>25</v>
      </c>
      <c r="AY141" s="74">
        <f ca="1">ROUND((Table6[[#This Row],[XP]]*Table6[[#This Row],[entity_spawned (AVG)]])*(Table6[[#This Row],[activating_chance]]/100),0)</f>
        <v>25</v>
      </c>
      <c r="AZ141" s="144" t="str">
        <f ca="1">INDIRECT(ADDRESS(11+(MATCH(RIGHT(Table6[[#This Row],[spawner_sku]],LEN(Table6[[#This Row],[spawner_sku]])-FIND("/",Table6[[#This Row],[spawner_sku]])),Table28[Entity Prefab],0)),24,1,1,"Entities"))</f>
        <v>no</v>
      </c>
      <c r="BA141">
        <v>1</v>
      </c>
      <c r="BB141">
        <v>1</v>
      </c>
      <c r="BC141" t="b">
        <v>0</v>
      </c>
      <c r="BE141" t="s">
        <v>428</v>
      </c>
      <c r="BF141">
        <v>1</v>
      </c>
      <c r="BG141">
        <v>180</v>
      </c>
      <c r="BH141">
        <v>100</v>
      </c>
      <c r="BI141" s="74">
        <f ca="1">INDIRECT(ADDRESS(11+(MATCH(RIGHT(Table610[[#This Row],[spawner_sku]],LEN(Table610[[#This Row],[spawner_sku]])-FIND("/",Table610[[#This Row],[spawner_sku]])),Table1[Entity Prefab],0)),10,1,1,"Entities"))</f>
        <v>70</v>
      </c>
      <c r="BJ141" s="74">
        <f ca="1">ROUND((Table610[[#This Row],[XP]]*Table610[[#This Row],[entity_spawned (AVG)]])*(Table610[[#This Row],[activating_chance]]/100),0)</f>
        <v>70</v>
      </c>
      <c r="BK141" s="71" t="str">
        <f ca="1">INDIRECT(ADDRESS(11+(MATCH(RIGHT(Table610[[#This Row],[spawner_sku]],LEN(Table610[[#This Row],[spawner_sku]])-FIND("/",Table610[[#This Row],[spawner_sku]])),Table28[Entity Prefab],0)),24,1,1,"Entities"))</f>
        <v>yes</v>
      </c>
      <c r="BL141">
        <v>1</v>
      </c>
      <c r="BM141">
        <v>1</v>
      </c>
      <c r="BN141" t="b">
        <v>0</v>
      </c>
      <c r="BP141" t="s">
        <v>321</v>
      </c>
      <c r="BQ141">
        <v>1</v>
      </c>
      <c r="BR141">
        <v>300</v>
      </c>
      <c r="BS141">
        <v>100</v>
      </c>
      <c r="BT141" s="74">
        <f ca="1">INDIRECT(ADDRESS(11+(MATCH(RIGHT(Table61011[[#This Row],[spawner_sku]],LEN(Table61011[[#This Row],[spawner_sku]])-FIND("/",Table61011[[#This Row],[spawner_sku]])),Table1[Entity Prefab],0)),10,1,1,"Entities"))</f>
        <v>195</v>
      </c>
      <c r="BU141" s="74">
        <f ca="1">ROUND((Table61011[[#This Row],[XP]]*Table61011[[#This Row],[entity_spawned (AVG)]])*(Table61011[[#This Row],[activating_chance]]/100),0)</f>
        <v>195</v>
      </c>
      <c r="BV141" s="71" t="str">
        <f ca="1">INDIRECT(ADDRESS(11+(MATCH(RIGHT(Table61011[[#This Row],[spawner_sku]],LEN(Table61011[[#This Row],[spawner_sku]])-FIND("/",Table61011[[#This Row],[spawner_sku]])),Table28[Entity Prefab],0)),24,1,1,"Entities"))</f>
        <v>yes</v>
      </c>
      <c r="BW141" s="71">
        <v>1</v>
      </c>
      <c r="BX141" s="71">
        <v>1</v>
      </c>
      <c r="BY141" s="71" t="b">
        <v>0</v>
      </c>
      <c r="BZ141" s="71"/>
      <c r="CA141" s="147" t="s">
        <v>8142</v>
      </c>
      <c r="CB141">
        <v>1</v>
      </c>
      <c r="CC141">
        <v>200</v>
      </c>
      <c r="CD141">
        <v>80</v>
      </c>
      <c r="CE141" s="74">
        <f ca="1">INDIRECT(ADDRESS(11+(MATCH(RIGHT(Table35[[#This Row],[spawner_sku]],LEN(Table35[[#This Row],[spawner_sku]])-FIND("/",Table35[[#This Row],[spawner_sku]])),Table1[Entity Prefab],0)),10,1,1,"Entities"))</f>
        <v>75</v>
      </c>
      <c r="CF141" s="74">
        <f ca="1">ROUND((Table35[[#This Row],[XP]]*Table35[[#This Row],[entity_spawned (AVG)]])*(Table35[[#This Row],[activating_chance]]/100),0)</f>
        <v>60</v>
      </c>
      <c r="CG141" s="144" t="str">
        <f ca="1">INDIRECT(ADDRESS(11+(MATCH(RIGHT(Table35[[#This Row],[spawner_sku]],LEN(Table35[[#This Row],[spawner_sku]])-FIND("/",Table35[[#This Row],[spawner_sku]])),Table28[Entity Prefab],0)),24,1,1,"Entities"))</f>
        <v>no</v>
      </c>
      <c r="CH141">
        <v>1</v>
      </c>
      <c r="CI141">
        <v>1</v>
      </c>
      <c r="CJ141" s="71" t="b">
        <v>0</v>
      </c>
      <c r="CL141" t="s">
        <v>376</v>
      </c>
      <c r="CM141">
        <v>2</v>
      </c>
      <c r="CN141">
        <v>215</v>
      </c>
      <c r="CO141">
        <v>100</v>
      </c>
      <c r="CP141" s="74">
        <f ca="1">INDIRECT(ADDRESS(11+(MATCH(RIGHT(Table11[[#This Row],[spawner_sku]],LEN(Table11[[#This Row],[spawner_sku]])-FIND("/",Table11[[#This Row],[spawner_sku]])),Table1[Entity Prefab],0)),10,1,1,"Entities"))</f>
        <v>25</v>
      </c>
      <c r="CQ141">
        <f ca="1">ROUND((Table11[[#This Row],[XP]]*Table11[[#This Row],[entity_spawned (AVG)]])*(Table11[[#This Row],[activating_chance]]/100),0)</f>
        <v>50</v>
      </c>
      <c r="CR141" s="144" t="str">
        <f ca="1">INDIRECT(ADDRESS(11+(MATCH(RIGHT(Table11[[#This Row],[spawner_sku]],LEN(Table11[[#This Row],[spawner_sku]])-FIND("/",Table11[[#This Row],[spawner_sku]])),Table28[Entity Prefab],0)),25,1,1,"Entities"))</f>
        <v>no</v>
      </c>
      <c r="CS141" s="71">
        <v>2</v>
      </c>
      <c r="CT141" s="71">
        <v>2</v>
      </c>
      <c r="CU141" s="71" t="b">
        <v>0</v>
      </c>
      <c r="CW141" t="s">
        <v>242</v>
      </c>
      <c r="CX141">
        <v>1</v>
      </c>
      <c r="CY141">
        <v>150</v>
      </c>
      <c r="CZ141">
        <v>30</v>
      </c>
      <c r="DA141" s="74">
        <f ca="1">INDIRECT(ADDRESS(11+(MATCH(RIGHT(Table12[[#This Row],[spawner_sku]],LEN(Table12[[#This Row],[spawner_sku]])-FIND("/",Table12[[#This Row],[spawner_sku]])),Table1[Entity Prefab],0)),10,1,1,"Entities"))</f>
        <v>25</v>
      </c>
      <c r="DB141" s="74">
        <f ca="1">ROUND((Table12[[#This Row],[XP]]*Table12[[#This Row],[entity_spawned (AVG)]])*(Table12[[#This Row],[activating_chance]]/100),0)</f>
        <v>8</v>
      </c>
      <c r="DC141" s="144" t="str">
        <f ca="1">INDIRECT(ADDRESS(11+(MATCH(RIGHT(Table12[[#This Row],[spawner_sku]],LEN(Table12[[#This Row],[spawner_sku]])-FIND("/",Table12[[#This Row],[spawner_sku]])),Table28[Entity Prefab],0)),25,1,1,"Entities"))</f>
        <v>no</v>
      </c>
      <c r="DD141" s="71">
        <v>1</v>
      </c>
      <c r="DE141" s="71">
        <v>1</v>
      </c>
      <c r="DF141" s="71" t="b">
        <v>0</v>
      </c>
      <c r="DH141" t="s">
        <v>233</v>
      </c>
      <c r="DI141">
        <v>1</v>
      </c>
      <c r="DJ141">
        <v>500</v>
      </c>
      <c r="DK141">
        <v>100</v>
      </c>
      <c r="DL141" s="74">
        <f ca="1">INDIRECT(ADDRESS(11+(MATCH(RIGHT(Table13[[#This Row],[spawner_sku]],LEN(Table13[[#This Row],[spawner_sku]])-FIND("/",Table13[[#This Row],[spawner_sku]])),Table1[Entity Prefab],0)),10,1,1,"Entities"))</f>
        <v>25</v>
      </c>
      <c r="DM141" s="74">
        <f ca="1">ROUND((Table13[[#This Row],[XP]]*Table13[[#This Row],[entity_spawned (AVG)]])*(Table13[[#This Row],[activating_chance]]/100),0)</f>
        <v>25</v>
      </c>
      <c r="DN141" s="144" t="str">
        <f ca="1">INDIRECT(ADDRESS(11+(MATCH(RIGHT(Table13[[#This Row],[spawner_sku]],LEN(Table13[[#This Row],[spawner_sku]])-FIND("/",Table13[[#This Row],[spawner_sku]])),Table28[Entity Prefab],0)),25,1,1,"Entities"))</f>
        <v>no</v>
      </c>
      <c r="DO141" s="71">
        <v>1</v>
      </c>
      <c r="DP141" s="71">
        <v>1</v>
      </c>
      <c r="DQ141" s="71" t="b">
        <v>0</v>
      </c>
      <c r="DS141" t="s">
        <v>218</v>
      </c>
      <c r="DT141">
        <v>1</v>
      </c>
      <c r="DU141">
        <v>5000</v>
      </c>
      <c r="DV141">
        <v>75</v>
      </c>
      <c r="DW141" s="74">
        <f ca="1">INDIRECT(ADDRESS(11+(MATCH(RIGHT(Table14[[#This Row],[spawner_sku]],LEN(Table14[[#This Row],[spawner_sku]])-FIND("/",Table14[[#This Row],[spawner_sku]])),Table1[Entity Prefab],0)),10,1,1,"Entities"))</f>
        <v>75</v>
      </c>
      <c r="DX141" s="74">
        <f ca="1">ROUND((Table14[[#This Row],[XP]]*Table14[[#This Row],[entity_spawned (AVG)]])*(Table14[[#This Row],[activating_chance]]/100),0)</f>
        <v>56</v>
      </c>
      <c r="DY141" s="144" t="str">
        <f ca="1">INDIRECT(ADDRESS(11+(MATCH(RIGHT(Table14[[#This Row],[spawner_sku]],LEN(Table14[[#This Row],[spawner_sku]])-FIND("/",Table14[[#This Row],[spawner_sku]])),Table28[Entity Prefab],0)),25,1,1,"Entities"))</f>
        <v>no</v>
      </c>
      <c r="DZ141" s="71">
        <v>1</v>
      </c>
      <c r="EA141" s="71">
        <v>1</v>
      </c>
      <c r="EB141" s="71" t="b">
        <v>0</v>
      </c>
      <c r="EC141" s="71"/>
      <c r="ED141" s="147" t="s">
        <v>3816</v>
      </c>
      <c r="EE141" s="71">
        <v>1</v>
      </c>
      <c r="EF141" s="71">
        <v>240</v>
      </c>
      <c r="EG141" s="71">
        <v>50</v>
      </c>
      <c r="EH141" s="71">
        <f ca="1">INDIRECT(ADDRESS(11+(MATCH(RIGHT(Table36[[#This Row],[spawner_sku]],LEN(Table36[[#This Row],[spawner_sku]])-FIND("/",Table36[[#This Row],[spawner_sku]])),Table1[Entity Prefab],0)),10,1,1,"Entities"))</f>
        <v>50</v>
      </c>
      <c r="EI141" s="71">
        <f ca="1">ROUND((Table36[[#This Row],[XP]]*Table36[[#This Row],[entity_spawned (AVG)]])*(Table36[[#This Row],[activating_chance]]/100),0)</f>
        <v>25</v>
      </c>
      <c r="EJ141" s="71" t="str">
        <f ca="1">INDIRECT(ADDRESS(11+(MATCH(RIGHT(Table36[[#This Row],[spawner_sku]],LEN(Table36[[#This Row],[spawner_sku]])-FIND("/",Table36[[#This Row],[spawner_sku]])),Table28[Entity Prefab],0)),25,1,1,"Entities"))</f>
        <v>no</v>
      </c>
      <c r="EK141" s="71">
        <v>1</v>
      </c>
      <c r="EL141" s="71">
        <v>1</v>
      </c>
      <c r="EM141" s="71" t="b">
        <v>0</v>
      </c>
      <c r="EO141" t="s">
        <v>220</v>
      </c>
      <c r="EP141">
        <v>2.5</v>
      </c>
      <c r="EQ141">
        <v>200</v>
      </c>
      <c r="ER141">
        <v>100</v>
      </c>
      <c r="ES141" s="74">
        <f ca="1">INDIRECT(ADDRESS(11+(MATCH(RIGHT(Table18[[#This Row],[spawner_sku]],LEN(Table18[[#This Row],[spawner_sku]])-FIND("/",Table18[[#This Row],[spawner_sku]])),Table1[Entity Prefab],0)),10,1,1,"Entities"))</f>
        <v>195</v>
      </c>
      <c r="ET141" s="74">
        <f ca="1">ROUND((Table18[[#This Row],[XP]]*Table18[[#This Row],[entity_spawned (AVG)]])*(Table18[[#This Row],[activating_chance]]/100),0)</f>
        <v>488</v>
      </c>
      <c r="EU141" s="74" t="str">
        <f ca="1">INDIRECT(ADDRESS(11+(MATCH(RIGHT(Table18[[#This Row],[spawner_sku]],LEN(Table18[[#This Row],[spawner_sku]])-FIND("/",Table18[[#This Row],[spawner_sku]])),Table28[Entity Prefab],0)),26,1,1,"Entities"))</f>
        <v>yes</v>
      </c>
      <c r="EV141">
        <v>2</v>
      </c>
      <c r="EW141">
        <v>3</v>
      </c>
      <c r="EX141" t="b">
        <v>0</v>
      </c>
      <c r="EZ141" t="s">
        <v>493</v>
      </c>
      <c r="FA141">
        <v>2.5</v>
      </c>
      <c r="FB141">
        <v>120</v>
      </c>
      <c r="FC141">
        <v>100</v>
      </c>
      <c r="FD141" s="74">
        <f ca="1">INDIRECT(ADDRESS(11+(MATCH(RIGHT(Table1820[[#This Row],[spawner_sku]],LEN(Table1820[[#This Row],[spawner_sku]])-FIND("/",Table1820[[#This Row],[spawner_sku]])),Table1[Entity Prefab],0)),10,1,1,"Entities"))</f>
        <v>35</v>
      </c>
      <c r="FE141" s="74">
        <f ca="1">ROUND((Table1820[[#This Row],[XP]]*Table1820[[#This Row],[entity_spawned (AVG)]])*(Table1820[[#This Row],[activating_chance]]/100),0)</f>
        <v>88</v>
      </c>
      <c r="FF141" s="74" t="str">
        <f ca="1">INDIRECT(ADDRESS(11+(MATCH(RIGHT(Table1820[[#This Row],[spawner_sku]],LEN(Table1820[[#This Row],[spawner_sku]])-FIND("/",Table1820[[#This Row],[spawner_sku]])),Table28[Entity Prefab],0)),26,1,1,"Entities"))</f>
        <v>no</v>
      </c>
      <c r="FG141">
        <v>2</v>
      </c>
      <c r="FH141">
        <v>3</v>
      </c>
      <c r="FI141" t="b">
        <v>0</v>
      </c>
      <c r="FK141" t="s">
        <v>2700</v>
      </c>
      <c r="FL141">
        <v>1.5</v>
      </c>
      <c r="FM141">
        <v>60</v>
      </c>
      <c r="FN141">
        <v>100</v>
      </c>
      <c r="FO141">
        <f ca="1">INDIRECT(ADDRESS(11+(MATCH(RIGHT(Table182023[[#This Row],[spawner_sku]],LEN(Table182023[[#This Row],[spawner_sku]])-FIND("/",Table182023[[#This Row],[spawner_sku]])),Table1[Entity Prefab],0)),10,1,1,"Entities"))</f>
        <v>50</v>
      </c>
      <c r="FP141">
        <f ca="1">ROUND((Table182023[[#This Row],[XP]]*Table182023[[#This Row],[entity_spawned (AVG)]])*(Table182023[[#This Row],[activating_chance]]/100),0)</f>
        <v>75</v>
      </c>
      <c r="FQ141" t="str">
        <f ca="1">INDIRECT(ADDRESS(11+(MATCH(RIGHT(Table182023[[#This Row],[spawner_sku]],LEN(Table182023[[#This Row],[spawner_sku]])-FIND("/",Table182023[[#This Row],[spawner_sku]])),Table28[Entity Prefab],0)),26,1,1,"Entities"))</f>
        <v>no</v>
      </c>
      <c r="FR141">
        <v>1</v>
      </c>
      <c r="FS141">
        <v>2</v>
      </c>
      <c r="FT141" t="b">
        <v>0</v>
      </c>
      <c r="FV141" t="s">
        <v>2689</v>
      </c>
      <c r="FW141">
        <v>1</v>
      </c>
      <c r="FX141">
        <v>80</v>
      </c>
      <c r="FY141">
        <v>100</v>
      </c>
      <c r="FZ141" s="74">
        <f ca="1">INDIRECT(ADDRESS(11+(MATCH(RIGHT(Table18202324[[#This Row],[spawner_sku]],LEN(Table18202324[[#This Row],[spawner_sku]])-FIND("/",Table18202324[[#This Row],[spawner_sku]])),Table1[Entity Prefab],0)),10,1,1,"Entities"))</f>
        <v>25</v>
      </c>
      <c r="GA141" s="74">
        <f ca="1">ROUND((Table18202324[[#This Row],[XP]]*Table18202324[[#This Row],[entity_spawned (AVG)]])*(Table18202324[[#This Row],[activating_chance]]/100),0)</f>
        <v>25</v>
      </c>
      <c r="GB141" s="74" t="str">
        <f ca="1">INDIRECT(ADDRESS(11+(MATCH(RIGHT(Table18202324[[#This Row],[spawner_sku]],LEN(Table18202324[[#This Row],[spawner_sku]])-FIND("/",Table18202324[[#This Row],[spawner_sku]])),Table28[Entity Prefab],0)),26,1,1,"Entities"))</f>
        <v>no</v>
      </c>
      <c r="GC141">
        <v>1</v>
      </c>
      <c r="GD141">
        <v>1</v>
      </c>
      <c r="GE141" t="b">
        <v>0</v>
      </c>
      <c r="GG141" t="s">
        <v>3816</v>
      </c>
      <c r="GH141">
        <v>1</v>
      </c>
      <c r="GI141">
        <v>240</v>
      </c>
      <c r="GJ141">
        <v>100</v>
      </c>
      <c r="GK141">
        <f ca="1">INDIRECT(ADDRESS(11+(MATCH(RIGHT(Table37[[#This Row],[spawner_sku]],LEN(Table37[[#This Row],[spawner_sku]])-FIND("/",Table37[[#This Row],[spawner_sku]])),Table1[Entity Prefab],0)),10,1,1,"Entities"))</f>
        <v>50</v>
      </c>
      <c r="GL141">
        <f ca="1">ROUND((Table37[[#This Row],[XP]]*Table37[[#This Row],[entity_spawned (AVG)]])*(Table37[[#This Row],[activating_chance]]/100),0)</f>
        <v>50</v>
      </c>
      <c r="GM141" t="str">
        <f ca="1">INDIRECT(ADDRESS(11+(MATCH(RIGHT(Table37[[#This Row],[spawner_sku]],LEN(Table37[[#This Row],[spawner_sku]])-FIND("/",Table37[[#This Row],[spawner_sku]])),Table28[Entity Prefab],0)),26,1,1,"Entities"))</f>
        <v>no</v>
      </c>
      <c r="GN141">
        <v>1</v>
      </c>
      <c r="GO141">
        <v>1</v>
      </c>
      <c r="GP141" t="b">
        <v>0</v>
      </c>
    </row>
    <row r="142" spans="2:198" x14ac:dyDescent="0.25">
      <c r="B142" s="72" t="s">
        <v>215</v>
      </c>
      <c r="C142">
        <v>7.5</v>
      </c>
      <c r="D142">
        <v>170</v>
      </c>
      <c r="E142">
        <v>100</v>
      </c>
      <c r="F142" s="74">
        <f ca="1">INDIRECT(ADDRESS(11+(MATCH(RIGHT(Table245[[#This Row],[spawner_sku]],LEN(Table245[[#This Row],[spawner_sku]])-FIND("/",Table245[[#This Row],[spawner_sku]])),Table1[Entity Prefab],0)),10,1,1,"Entities"))</f>
        <v>25</v>
      </c>
      <c r="G142" s="74">
        <f ca="1">ROUND((Table245[[#This Row],[XP]]*Table245[[#This Row],[entity_spawned (AVG)]])*(Table245[[#This Row],[activating_chance]]/100),0)</f>
        <v>188</v>
      </c>
      <c r="H142" s="71" t="str">
        <f ca="1">INDIRECT(ADDRESS(11+(MATCH(RIGHT(Table245[[#This Row],[spawner_sku]],LEN(Table245[[#This Row],[spawner_sku]])-FIND("/",Table245[[#This Row],[spawner_sku]])),Table28[Entity Prefab],0)),24,1,1,"Entities"))</f>
        <v>no</v>
      </c>
      <c r="I142" s="71">
        <v>5</v>
      </c>
      <c r="J142" s="71">
        <v>10</v>
      </c>
      <c r="K142" s="71" t="b">
        <v>1</v>
      </c>
      <c r="M142" t="s">
        <v>485</v>
      </c>
      <c r="N142">
        <v>1</v>
      </c>
      <c r="O142">
        <v>220</v>
      </c>
      <c r="P142">
        <v>100</v>
      </c>
      <c r="Q142" s="74">
        <f ca="1">INDIRECT(ADDRESS(11+(MATCH(RIGHT(Table3[[#This Row],[spawner_sku]],LEN(Table3[[#This Row],[spawner_sku]])-FIND("/",Table3[[#This Row],[spawner_sku]])),Table1[Entity Prefab],0)),10,1,1,"Entities"))</f>
        <v>0</v>
      </c>
      <c r="R142" s="74">
        <f ca="1">ROUND((Table3[[#This Row],[XP]]*Table3[[#This Row],[entity_spawned (AVG)]])*(Table3[[#This Row],[activating_chance]]/100),0)</f>
        <v>0</v>
      </c>
      <c r="S142" t="str">
        <f ca="1">INDIRECT(ADDRESS(11+(MATCH(RIGHT(Table3[[#This Row],[spawner_sku]],LEN(Table3[[#This Row],[spawner_sku]])-FIND("/",Table3[[#This Row],[spawner_sku]])),Table28[Entity Prefab],0)),24,1,1,"Entities"))</f>
        <v>no</v>
      </c>
      <c r="T142">
        <v>1</v>
      </c>
      <c r="U142">
        <v>1</v>
      </c>
      <c r="V142" t="b">
        <v>0</v>
      </c>
      <c r="W142" s="71"/>
      <c r="AI142" t="s">
        <v>218</v>
      </c>
      <c r="AJ142">
        <v>1</v>
      </c>
      <c r="AK142">
        <v>5000</v>
      </c>
      <c r="AL142">
        <v>75</v>
      </c>
      <c r="AM142" s="74">
        <f ca="1">INDIRECT(ADDRESS(11+(MATCH(RIGHT(Table2[[#This Row],[spawner_sku]],LEN(Table2[[#This Row],[spawner_sku]])-FIND("/",Table2[[#This Row],[spawner_sku]])),Table1[Entity Prefab],0)),10,1,1,"Entities"))</f>
        <v>75</v>
      </c>
      <c r="AN142" s="74">
        <f ca="1">ROUND((Table2[[#This Row],[XP]]*Table2[[#This Row],[entity_spawned (AVG)]])*(Table2[[#This Row],[activating_chance]]/100),0)</f>
        <v>56</v>
      </c>
      <c r="AO142" s="71" t="str">
        <f ca="1">INDIRECT(ADDRESS(11+(MATCH(RIGHT(Table2[[#This Row],[spawner_sku]],LEN(Table2[[#This Row],[spawner_sku]])-FIND("/",Table2[[#This Row],[spawner_sku]])),Table28[Entity Prefab],0)),24,1,1,"Entities"))</f>
        <v>no</v>
      </c>
      <c r="AP142" s="71">
        <v>1</v>
      </c>
      <c r="AQ142" s="71">
        <v>1</v>
      </c>
      <c r="AR142" s="71" t="b">
        <v>0</v>
      </c>
      <c r="AT142" t="s">
        <v>427</v>
      </c>
      <c r="AU142">
        <v>1</v>
      </c>
      <c r="AV142">
        <v>120</v>
      </c>
      <c r="AW142">
        <v>50</v>
      </c>
      <c r="AX142" s="74">
        <f ca="1">INDIRECT(ADDRESS(11+(MATCH(RIGHT(Table6[[#This Row],[spawner_sku]],LEN(Table6[[#This Row],[spawner_sku]])-FIND("/",Table6[[#This Row],[spawner_sku]])),Table1[Entity Prefab],0)),10,1,1,"Entities"))</f>
        <v>25</v>
      </c>
      <c r="AY142" s="74">
        <f ca="1">ROUND((Table6[[#This Row],[XP]]*Table6[[#This Row],[entity_spawned (AVG)]])*(Table6[[#This Row],[activating_chance]]/100),0)</f>
        <v>13</v>
      </c>
      <c r="AZ142" s="144" t="str">
        <f ca="1">INDIRECT(ADDRESS(11+(MATCH(RIGHT(Table6[[#This Row],[spawner_sku]],LEN(Table6[[#This Row],[spawner_sku]])-FIND("/",Table6[[#This Row],[spawner_sku]])),Table28[Entity Prefab],0)),24,1,1,"Entities"))</f>
        <v>no</v>
      </c>
      <c r="BA142">
        <v>1</v>
      </c>
      <c r="BB142">
        <v>1</v>
      </c>
      <c r="BC142" t="b">
        <v>0</v>
      </c>
      <c r="BE142" t="s">
        <v>2631</v>
      </c>
      <c r="BF142">
        <v>1</v>
      </c>
      <c r="BG142">
        <v>180</v>
      </c>
      <c r="BH142">
        <v>100</v>
      </c>
      <c r="BI142" s="74">
        <f ca="1">INDIRECT(ADDRESS(11+(MATCH(RIGHT(Table610[[#This Row],[spawner_sku]],LEN(Table610[[#This Row],[spawner_sku]])-FIND("/",Table610[[#This Row],[spawner_sku]])),Table1[Entity Prefab],0)),10,1,1,"Entities"))</f>
        <v>75</v>
      </c>
      <c r="BJ142" s="74">
        <f ca="1">ROUND((Table610[[#This Row],[XP]]*Table610[[#This Row],[entity_spawned (AVG)]])*(Table610[[#This Row],[activating_chance]]/100),0)</f>
        <v>75</v>
      </c>
      <c r="BK142" s="71" t="str">
        <f ca="1">INDIRECT(ADDRESS(11+(MATCH(RIGHT(Table610[[#This Row],[spawner_sku]],LEN(Table610[[#This Row],[spawner_sku]])-FIND("/",Table610[[#This Row],[spawner_sku]])),Table28[Entity Prefab],0)),24,1,1,"Entities"))</f>
        <v>no</v>
      </c>
      <c r="BL142">
        <v>1</v>
      </c>
      <c r="BM142">
        <v>1</v>
      </c>
      <c r="BN142" t="b">
        <v>0</v>
      </c>
      <c r="BP142" t="s">
        <v>321</v>
      </c>
      <c r="BQ142">
        <v>1</v>
      </c>
      <c r="BR142">
        <v>300</v>
      </c>
      <c r="BS142">
        <v>100</v>
      </c>
      <c r="BT142" s="74">
        <f ca="1">INDIRECT(ADDRESS(11+(MATCH(RIGHT(Table61011[[#This Row],[spawner_sku]],LEN(Table61011[[#This Row],[spawner_sku]])-FIND("/",Table61011[[#This Row],[spawner_sku]])),Table1[Entity Prefab],0)),10,1,1,"Entities"))</f>
        <v>195</v>
      </c>
      <c r="BU142" s="74">
        <f ca="1">ROUND((Table61011[[#This Row],[XP]]*Table61011[[#This Row],[entity_spawned (AVG)]])*(Table61011[[#This Row],[activating_chance]]/100),0)</f>
        <v>195</v>
      </c>
      <c r="BV142" s="71" t="str">
        <f ca="1">INDIRECT(ADDRESS(11+(MATCH(RIGHT(Table61011[[#This Row],[spawner_sku]],LEN(Table61011[[#This Row],[spawner_sku]])-FIND("/",Table61011[[#This Row],[spawner_sku]])),Table28[Entity Prefab],0)),24,1,1,"Entities"))</f>
        <v>yes</v>
      </c>
      <c r="BW142" s="71">
        <v>1</v>
      </c>
      <c r="BX142" s="71">
        <v>1</v>
      </c>
      <c r="BY142" s="71" t="b">
        <v>0</v>
      </c>
      <c r="BZ142" s="71"/>
      <c r="CA142" s="147" t="s">
        <v>8142</v>
      </c>
      <c r="CB142">
        <v>1</v>
      </c>
      <c r="CC142">
        <v>200</v>
      </c>
      <c r="CD142">
        <v>100</v>
      </c>
      <c r="CE142" s="74">
        <f ca="1">INDIRECT(ADDRESS(11+(MATCH(RIGHT(Table35[[#This Row],[spawner_sku]],LEN(Table35[[#This Row],[spawner_sku]])-FIND("/",Table35[[#This Row],[spawner_sku]])),Table1[Entity Prefab],0)),10,1,1,"Entities"))</f>
        <v>75</v>
      </c>
      <c r="CF142" s="74">
        <f ca="1">ROUND((Table35[[#This Row],[XP]]*Table35[[#This Row],[entity_spawned (AVG)]])*(Table35[[#This Row],[activating_chance]]/100),0)</f>
        <v>75</v>
      </c>
      <c r="CG142" s="144" t="str">
        <f ca="1">INDIRECT(ADDRESS(11+(MATCH(RIGHT(Table35[[#This Row],[spawner_sku]],LEN(Table35[[#This Row],[spawner_sku]])-FIND("/",Table35[[#This Row],[spawner_sku]])),Table28[Entity Prefab],0)),24,1,1,"Entities"))</f>
        <v>no</v>
      </c>
      <c r="CH142">
        <v>1</v>
      </c>
      <c r="CI142">
        <v>1</v>
      </c>
      <c r="CJ142" s="71" t="b">
        <v>0</v>
      </c>
      <c r="CL142" t="s">
        <v>376</v>
      </c>
      <c r="CM142">
        <v>2</v>
      </c>
      <c r="CN142">
        <v>200</v>
      </c>
      <c r="CO142">
        <v>100</v>
      </c>
      <c r="CP142" s="74">
        <f ca="1">INDIRECT(ADDRESS(11+(MATCH(RIGHT(Table11[[#This Row],[spawner_sku]],LEN(Table11[[#This Row],[spawner_sku]])-FIND("/",Table11[[#This Row],[spawner_sku]])),Table1[Entity Prefab],0)),10,1,1,"Entities"))</f>
        <v>25</v>
      </c>
      <c r="CQ142">
        <f ca="1">ROUND((Table11[[#This Row],[XP]]*Table11[[#This Row],[entity_spawned (AVG)]])*(Table11[[#This Row],[activating_chance]]/100),0)</f>
        <v>50</v>
      </c>
      <c r="CR142" s="144" t="str">
        <f ca="1">INDIRECT(ADDRESS(11+(MATCH(RIGHT(Table11[[#This Row],[spawner_sku]],LEN(Table11[[#This Row],[spawner_sku]])-FIND("/",Table11[[#This Row],[spawner_sku]])),Table28[Entity Prefab],0)),25,1,1,"Entities"))</f>
        <v>no</v>
      </c>
      <c r="CS142" s="71">
        <v>2</v>
      </c>
      <c r="CT142" s="71">
        <v>2</v>
      </c>
      <c r="CU142" s="71" t="b">
        <v>0</v>
      </c>
      <c r="CW142" t="s">
        <v>242</v>
      </c>
      <c r="CX142">
        <v>1</v>
      </c>
      <c r="CY142">
        <v>150</v>
      </c>
      <c r="CZ142">
        <v>100</v>
      </c>
      <c r="DA142" s="74">
        <f ca="1">INDIRECT(ADDRESS(11+(MATCH(RIGHT(Table12[[#This Row],[spawner_sku]],LEN(Table12[[#This Row],[spawner_sku]])-FIND("/",Table12[[#This Row],[spawner_sku]])),Table1[Entity Prefab],0)),10,1,1,"Entities"))</f>
        <v>25</v>
      </c>
      <c r="DB142" s="74">
        <f ca="1">ROUND((Table12[[#This Row],[XP]]*Table12[[#This Row],[entity_spawned (AVG)]])*(Table12[[#This Row],[activating_chance]]/100),0)</f>
        <v>25</v>
      </c>
      <c r="DC142" s="144" t="str">
        <f ca="1">INDIRECT(ADDRESS(11+(MATCH(RIGHT(Table12[[#This Row],[spawner_sku]],LEN(Table12[[#This Row],[spawner_sku]])-FIND("/",Table12[[#This Row],[spawner_sku]])),Table28[Entity Prefab],0)),25,1,1,"Entities"))</f>
        <v>no</v>
      </c>
      <c r="DD142" s="71">
        <v>1</v>
      </c>
      <c r="DE142" s="71">
        <v>1</v>
      </c>
      <c r="DF142" s="71" t="b">
        <v>0</v>
      </c>
      <c r="DH142" t="s">
        <v>233</v>
      </c>
      <c r="DI142">
        <v>1</v>
      </c>
      <c r="DJ142">
        <v>500</v>
      </c>
      <c r="DK142">
        <v>100</v>
      </c>
      <c r="DL142" s="74">
        <f ca="1">INDIRECT(ADDRESS(11+(MATCH(RIGHT(Table13[[#This Row],[spawner_sku]],LEN(Table13[[#This Row],[spawner_sku]])-FIND("/",Table13[[#This Row],[spawner_sku]])),Table1[Entity Prefab],0)),10,1,1,"Entities"))</f>
        <v>25</v>
      </c>
      <c r="DM142" s="74">
        <f ca="1">ROUND((Table13[[#This Row],[XP]]*Table13[[#This Row],[entity_spawned (AVG)]])*(Table13[[#This Row],[activating_chance]]/100),0)</f>
        <v>25</v>
      </c>
      <c r="DN142" s="144" t="str">
        <f ca="1">INDIRECT(ADDRESS(11+(MATCH(RIGHT(Table13[[#This Row],[spawner_sku]],LEN(Table13[[#This Row],[spawner_sku]])-FIND("/",Table13[[#This Row],[spawner_sku]])),Table28[Entity Prefab],0)),25,1,1,"Entities"))</f>
        <v>no</v>
      </c>
      <c r="DO142" s="71">
        <v>1</v>
      </c>
      <c r="DP142" s="71">
        <v>1</v>
      </c>
      <c r="DQ142" s="71" t="b">
        <v>0</v>
      </c>
      <c r="DS142" t="s">
        <v>218</v>
      </c>
      <c r="DT142">
        <v>1</v>
      </c>
      <c r="DU142">
        <v>5000</v>
      </c>
      <c r="DV142">
        <v>75</v>
      </c>
      <c r="DW142" s="74">
        <f ca="1">INDIRECT(ADDRESS(11+(MATCH(RIGHT(Table14[[#This Row],[spawner_sku]],LEN(Table14[[#This Row],[spawner_sku]])-FIND("/",Table14[[#This Row],[spawner_sku]])),Table1[Entity Prefab],0)),10,1,1,"Entities"))</f>
        <v>75</v>
      </c>
      <c r="DX142" s="74">
        <f ca="1">ROUND((Table14[[#This Row],[XP]]*Table14[[#This Row],[entity_spawned (AVG)]])*(Table14[[#This Row],[activating_chance]]/100),0)</f>
        <v>56</v>
      </c>
      <c r="DY142" s="144" t="str">
        <f ca="1">INDIRECT(ADDRESS(11+(MATCH(RIGHT(Table14[[#This Row],[spawner_sku]],LEN(Table14[[#This Row],[spawner_sku]])-FIND("/",Table14[[#This Row],[spawner_sku]])),Table28[Entity Prefab],0)),25,1,1,"Entities"))</f>
        <v>no</v>
      </c>
      <c r="DZ142" s="71">
        <v>1</v>
      </c>
      <c r="EA142" s="71">
        <v>1</v>
      </c>
      <c r="EB142" s="71" t="b">
        <v>0</v>
      </c>
      <c r="EC142" s="71"/>
      <c r="ED142" s="147" t="s">
        <v>3816</v>
      </c>
      <c r="EE142" s="71">
        <v>1</v>
      </c>
      <c r="EF142" s="71">
        <v>240</v>
      </c>
      <c r="EG142" s="71">
        <v>100</v>
      </c>
      <c r="EH142" s="71">
        <f ca="1">INDIRECT(ADDRESS(11+(MATCH(RIGHT(Table36[[#This Row],[spawner_sku]],LEN(Table36[[#This Row],[spawner_sku]])-FIND("/",Table36[[#This Row],[spawner_sku]])),Table1[Entity Prefab],0)),10,1,1,"Entities"))</f>
        <v>50</v>
      </c>
      <c r="EI142" s="71">
        <f ca="1">ROUND((Table36[[#This Row],[XP]]*Table36[[#This Row],[entity_spawned (AVG)]])*(Table36[[#This Row],[activating_chance]]/100),0)</f>
        <v>50</v>
      </c>
      <c r="EJ142" s="71" t="str">
        <f ca="1">INDIRECT(ADDRESS(11+(MATCH(RIGHT(Table36[[#This Row],[spawner_sku]],LEN(Table36[[#This Row],[spawner_sku]])-FIND("/",Table36[[#This Row],[spawner_sku]])),Table28[Entity Prefab],0)),25,1,1,"Entities"))</f>
        <v>no</v>
      </c>
      <c r="EK142" s="71">
        <v>1</v>
      </c>
      <c r="EL142" s="71">
        <v>1</v>
      </c>
      <c r="EM142" s="71" t="b">
        <v>0</v>
      </c>
      <c r="EO142" t="s">
        <v>220</v>
      </c>
      <c r="EP142">
        <v>2</v>
      </c>
      <c r="EQ142">
        <v>200</v>
      </c>
      <c r="ER142">
        <v>100</v>
      </c>
      <c r="ES142" s="74">
        <f ca="1">INDIRECT(ADDRESS(11+(MATCH(RIGHT(Table18[[#This Row],[spawner_sku]],LEN(Table18[[#This Row],[spawner_sku]])-FIND("/",Table18[[#This Row],[spawner_sku]])),Table1[Entity Prefab],0)),10,1,1,"Entities"))</f>
        <v>195</v>
      </c>
      <c r="ET142" s="74">
        <f ca="1">ROUND((Table18[[#This Row],[XP]]*Table18[[#This Row],[entity_spawned (AVG)]])*(Table18[[#This Row],[activating_chance]]/100),0)</f>
        <v>390</v>
      </c>
      <c r="EU142" s="74" t="str">
        <f ca="1">INDIRECT(ADDRESS(11+(MATCH(RIGHT(Table18[[#This Row],[spawner_sku]],LEN(Table18[[#This Row],[spawner_sku]])-FIND("/",Table18[[#This Row],[spawner_sku]])),Table28[Entity Prefab],0)),26,1,1,"Entities"))</f>
        <v>yes</v>
      </c>
      <c r="EV142">
        <v>2</v>
      </c>
      <c r="EW142">
        <v>2</v>
      </c>
      <c r="EX142" t="b">
        <v>0</v>
      </c>
      <c r="EZ142" t="s">
        <v>493</v>
      </c>
      <c r="FA142">
        <v>3</v>
      </c>
      <c r="FB142">
        <v>120</v>
      </c>
      <c r="FC142">
        <v>100</v>
      </c>
      <c r="FD142" s="74">
        <f ca="1">INDIRECT(ADDRESS(11+(MATCH(RIGHT(Table1820[[#This Row],[spawner_sku]],LEN(Table1820[[#This Row],[spawner_sku]])-FIND("/",Table1820[[#This Row],[spawner_sku]])),Table1[Entity Prefab],0)),10,1,1,"Entities"))</f>
        <v>35</v>
      </c>
      <c r="FE142" s="74">
        <f ca="1">ROUND((Table1820[[#This Row],[XP]]*Table1820[[#This Row],[entity_spawned (AVG)]])*(Table1820[[#This Row],[activating_chance]]/100),0)</f>
        <v>105</v>
      </c>
      <c r="FF142" s="74" t="str">
        <f ca="1">INDIRECT(ADDRESS(11+(MATCH(RIGHT(Table1820[[#This Row],[spawner_sku]],LEN(Table1820[[#This Row],[spawner_sku]])-FIND("/",Table1820[[#This Row],[spawner_sku]])),Table28[Entity Prefab],0)),26,1,1,"Entities"))</f>
        <v>no</v>
      </c>
      <c r="FG142">
        <v>3</v>
      </c>
      <c r="FH142">
        <v>3</v>
      </c>
      <c r="FI142" t="b">
        <v>0</v>
      </c>
      <c r="FK142" t="s">
        <v>2700</v>
      </c>
      <c r="FL142">
        <v>2.5</v>
      </c>
      <c r="FM142">
        <v>100</v>
      </c>
      <c r="FN142">
        <v>100</v>
      </c>
      <c r="FO142">
        <f ca="1">INDIRECT(ADDRESS(11+(MATCH(RIGHT(Table182023[[#This Row],[spawner_sku]],LEN(Table182023[[#This Row],[spawner_sku]])-FIND("/",Table182023[[#This Row],[spawner_sku]])),Table1[Entity Prefab],0)),10,1,1,"Entities"))</f>
        <v>50</v>
      </c>
      <c r="FP142">
        <f ca="1">ROUND((Table182023[[#This Row],[XP]]*Table182023[[#This Row],[entity_spawned (AVG)]])*(Table182023[[#This Row],[activating_chance]]/100),0)</f>
        <v>125</v>
      </c>
      <c r="FQ142" t="str">
        <f ca="1">INDIRECT(ADDRESS(11+(MATCH(RIGHT(Table182023[[#This Row],[spawner_sku]],LEN(Table182023[[#This Row],[spawner_sku]])-FIND("/",Table182023[[#This Row],[spawner_sku]])),Table28[Entity Prefab],0)),26,1,1,"Entities"))</f>
        <v>no</v>
      </c>
      <c r="FR142">
        <v>2</v>
      </c>
      <c r="FS142">
        <v>3</v>
      </c>
      <c r="FT142" t="b">
        <v>0</v>
      </c>
      <c r="FV142" t="s">
        <v>2689</v>
      </c>
      <c r="FW142">
        <v>1</v>
      </c>
      <c r="FX142">
        <v>80</v>
      </c>
      <c r="FY142">
        <v>100</v>
      </c>
      <c r="FZ142" s="74">
        <f ca="1">INDIRECT(ADDRESS(11+(MATCH(RIGHT(Table18202324[[#This Row],[spawner_sku]],LEN(Table18202324[[#This Row],[spawner_sku]])-FIND("/",Table18202324[[#This Row],[spawner_sku]])),Table1[Entity Prefab],0)),10,1,1,"Entities"))</f>
        <v>25</v>
      </c>
      <c r="GA142" s="74">
        <f ca="1">ROUND((Table18202324[[#This Row],[XP]]*Table18202324[[#This Row],[entity_spawned (AVG)]])*(Table18202324[[#This Row],[activating_chance]]/100),0)</f>
        <v>25</v>
      </c>
      <c r="GB142" s="74" t="str">
        <f ca="1">INDIRECT(ADDRESS(11+(MATCH(RIGHT(Table18202324[[#This Row],[spawner_sku]],LEN(Table18202324[[#This Row],[spawner_sku]])-FIND("/",Table18202324[[#This Row],[spawner_sku]])),Table28[Entity Prefab],0)),26,1,1,"Entities"))</f>
        <v>no</v>
      </c>
      <c r="GC142">
        <v>1</v>
      </c>
      <c r="GD142">
        <v>1</v>
      </c>
      <c r="GE142" t="b">
        <v>0</v>
      </c>
      <c r="GG142" t="s">
        <v>3816</v>
      </c>
      <c r="GH142">
        <v>1</v>
      </c>
      <c r="GI142">
        <v>240</v>
      </c>
      <c r="GJ142">
        <v>100</v>
      </c>
      <c r="GK142">
        <f ca="1">INDIRECT(ADDRESS(11+(MATCH(RIGHT(Table37[[#This Row],[spawner_sku]],LEN(Table37[[#This Row],[spawner_sku]])-FIND("/",Table37[[#This Row],[spawner_sku]])),Table1[Entity Prefab],0)),10,1,1,"Entities"))</f>
        <v>50</v>
      </c>
      <c r="GL142">
        <f ca="1">ROUND((Table37[[#This Row],[XP]]*Table37[[#This Row],[entity_spawned (AVG)]])*(Table37[[#This Row],[activating_chance]]/100),0)</f>
        <v>50</v>
      </c>
      <c r="GM142" t="str">
        <f ca="1">INDIRECT(ADDRESS(11+(MATCH(RIGHT(Table37[[#This Row],[spawner_sku]],LEN(Table37[[#This Row],[spawner_sku]])-FIND("/",Table37[[#This Row],[spawner_sku]])),Table28[Entity Prefab],0)),26,1,1,"Entities"))</f>
        <v>no</v>
      </c>
      <c r="GN142">
        <v>1</v>
      </c>
      <c r="GO142">
        <v>1</v>
      </c>
      <c r="GP142" t="b">
        <v>0</v>
      </c>
    </row>
    <row r="143" spans="2:198" x14ac:dyDescent="0.25">
      <c r="B143" s="72" t="s">
        <v>215</v>
      </c>
      <c r="C143">
        <v>3</v>
      </c>
      <c r="D143">
        <v>110</v>
      </c>
      <c r="E143">
        <v>100</v>
      </c>
      <c r="F143" s="74">
        <f ca="1">INDIRECT(ADDRESS(11+(MATCH(RIGHT(Table245[[#This Row],[spawner_sku]],LEN(Table245[[#This Row],[spawner_sku]])-FIND("/",Table245[[#This Row],[spawner_sku]])),Table1[Entity Prefab],0)),10,1,1,"Entities"))</f>
        <v>25</v>
      </c>
      <c r="G143" s="74">
        <f ca="1">ROUND((Table245[[#This Row],[XP]]*Table245[[#This Row],[entity_spawned (AVG)]])*(Table245[[#This Row],[activating_chance]]/100),0)</f>
        <v>75</v>
      </c>
      <c r="H143" s="71" t="str">
        <f ca="1">INDIRECT(ADDRESS(11+(MATCH(RIGHT(Table245[[#This Row],[spawner_sku]],LEN(Table245[[#This Row],[spawner_sku]])-FIND("/",Table245[[#This Row],[spawner_sku]])),Table28[Entity Prefab],0)),24,1,1,"Entities"))</f>
        <v>no</v>
      </c>
      <c r="I143" s="71">
        <v>3</v>
      </c>
      <c r="J143" s="71">
        <v>3</v>
      </c>
      <c r="K143" s="71" t="b">
        <v>0</v>
      </c>
      <c r="M143" t="s">
        <v>485</v>
      </c>
      <c r="N143">
        <v>1</v>
      </c>
      <c r="O143">
        <v>220</v>
      </c>
      <c r="P143">
        <v>100</v>
      </c>
      <c r="Q143" s="74">
        <f ca="1">INDIRECT(ADDRESS(11+(MATCH(RIGHT(Table3[[#This Row],[spawner_sku]],LEN(Table3[[#This Row],[spawner_sku]])-FIND("/",Table3[[#This Row],[spawner_sku]])),Table1[Entity Prefab],0)),10,1,1,"Entities"))</f>
        <v>0</v>
      </c>
      <c r="R143" s="74">
        <f ca="1">ROUND((Table3[[#This Row],[XP]]*Table3[[#This Row],[entity_spawned (AVG)]])*(Table3[[#This Row],[activating_chance]]/100),0)</f>
        <v>0</v>
      </c>
      <c r="S143" t="str">
        <f ca="1">INDIRECT(ADDRESS(11+(MATCH(RIGHT(Table3[[#This Row],[spawner_sku]],LEN(Table3[[#This Row],[spawner_sku]])-FIND("/",Table3[[#This Row],[spawner_sku]])),Table28[Entity Prefab],0)),24,1,1,"Entities"))</f>
        <v>no</v>
      </c>
      <c r="T143">
        <v>1</v>
      </c>
      <c r="U143">
        <v>1</v>
      </c>
      <c r="V143" t="b">
        <v>0</v>
      </c>
      <c r="W143" s="71"/>
      <c r="AI143" t="s">
        <v>219</v>
      </c>
      <c r="AJ143">
        <v>1</v>
      </c>
      <c r="AK143">
        <v>250</v>
      </c>
      <c r="AL143">
        <v>100</v>
      </c>
      <c r="AM143" s="74">
        <f ca="1">INDIRECT(ADDRESS(11+(MATCH(RIGHT(Table2[[#This Row],[spawner_sku]],LEN(Table2[[#This Row],[spawner_sku]])-FIND("/",Table2[[#This Row],[spawner_sku]])),Table1[Entity Prefab],0)),10,1,1,"Entities"))</f>
        <v>143</v>
      </c>
      <c r="AN143" s="74">
        <f ca="1">ROUND((Table2[[#This Row],[XP]]*Table2[[#This Row],[entity_spawned (AVG)]])*(Table2[[#This Row],[activating_chance]]/100),0)</f>
        <v>143</v>
      </c>
      <c r="AO143" s="71" t="str">
        <f ca="1">INDIRECT(ADDRESS(11+(MATCH(RIGHT(Table2[[#This Row],[spawner_sku]],LEN(Table2[[#This Row],[spawner_sku]])-FIND("/",Table2[[#This Row],[spawner_sku]])),Table28[Entity Prefab],0)),24,1,1,"Entities"))</f>
        <v>yes</v>
      </c>
      <c r="AP143" s="71">
        <v>1</v>
      </c>
      <c r="AQ143" s="71">
        <v>1</v>
      </c>
      <c r="AR143" s="71" t="b">
        <v>0</v>
      </c>
      <c r="AT143" t="s">
        <v>427</v>
      </c>
      <c r="AU143">
        <v>1</v>
      </c>
      <c r="AV143">
        <v>120</v>
      </c>
      <c r="AW143">
        <v>100</v>
      </c>
      <c r="AX143" s="74">
        <f ca="1">INDIRECT(ADDRESS(11+(MATCH(RIGHT(Table6[[#This Row],[spawner_sku]],LEN(Table6[[#This Row],[spawner_sku]])-FIND("/",Table6[[#This Row],[spawner_sku]])),Table1[Entity Prefab],0)),10,1,1,"Entities"))</f>
        <v>25</v>
      </c>
      <c r="AY143" s="74">
        <f ca="1">ROUND((Table6[[#This Row],[XP]]*Table6[[#This Row],[entity_spawned (AVG)]])*(Table6[[#This Row],[activating_chance]]/100),0)</f>
        <v>25</v>
      </c>
      <c r="AZ143" s="144" t="str">
        <f ca="1">INDIRECT(ADDRESS(11+(MATCH(RIGHT(Table6[[#This Row],[spawner_sku]],LEN(Table6[[#This Row],[spawner_sku]])-FIND("/",Table6[[#This Row],[spawner_sku]])),Table28[Entity Prefab],0)),24,1,1,"Entities"))</f>
        <v>no</v>
      </c>
      <c r="BA143">
        <v>1</v>
      </c>
      <c r="BB143">
        <v>1</v>
      </c>
      <c r="BC143" t="b">
        <v>0</v>
      </c>
      <c r="BE143" t="s">
        <v>2631</v>
      </c>
      <c r="BF143">
        <v>1</v>
      </c>
      <c r="BG143">
        <v>100</v>
      </c>
      <c r="BH143">
        <v>100</v>
      </c>
      <c r="BI143" s="74">
        <f ca="1">INDIRECT(ADDRESS(11+(MATCH(RIGHT(Table610[[#This Row],[spawner_sku]],LEN(Table610[[#This Row],[spawner_sku]])-FIND("/",Table610[[#This Row],[spawner_sku]])),Table1[Entity Prefab],0)),10,1,1,"Entities"))</f>
        <v>75</v>
      </c>
      <c r="BJ143" s="74">
        <f ca="1">ROUND((Table610[[#This Row],[XP]]*Table610[[#This Row],[entity_spawned (AVG)]])*(Table610[[#This Row],[activating_chance]]/100),0)</f>
        <v>75</v>
      </c>
      <c r="BK143" s="71" t="str">
        <f ca="1">INDIRECT(ADDRESS(11+(MATCH(RIGHT(Table610[[#This Row],[spawner_sku]],LEN(Table610[[#This Row],[spawner_sku]])-FIND("/",Table610[[#This Row],[spawner_sku]])),Table28[Entity Prefab],0)),24,1,1,"Entities"))</f>
        <v>no</v>
      </c>
      <c r="BL143">
        <v>1</v>
      </c>
      <c r="BM143">
        <v>1</v>
      </c>
      <c r="BN143" t="b">
        <v>0</v>
      </c>
      <c r="BP143" t="s">
        <v>321</v>
      </c>
      <c r="BQ143">
        <v>1</v>
      </c>
      <c r="BR143">
        <v>300</v>
      </c>
      <c r="BS143">
        <v>100</v>
      </c>
      <c r="BT143" s="74">
        <f ca="1">INDIRECT(ADDRESS(11+(MATCH(RIGHT(Table61011[[#This Row],[spawner_sku]],LEN(Table61011[[#This Row],[spawner_sku]])-FIND("/",Table61011[[#This Row],[spawner_sku]])),Table1[Entity Prefab],0)),10,1,1,"Entities"))</f>
        <v>195</v>
      </c>
      <c r="BU143" s="74">
        <f ca="1">ROUND((Table61011[[#This Row],[XP]]*Table61011[[#This Row],[entity_spawned (AVG)]])*(Table61011[[#This Row],[activating_chance]]/100),0)</f>
        <v>195</v>
      </c>
      <c r="BV143" s="71" t="str">
        <f ca="1">INDIRECT(ADDRESS(11+(MATCH(RIGHT(Table61011[[#This Row],[spawner_sku]],LEN(Table61011[[#This Row],[spawner_sku]])-FIND("/",Table61011[[#This Row],[spawner_sku]])),Table28[Entity Prefab],0)),24,1,1,"Entities"))</f>
        <v>yes</v>
      </c>
      <c r="BW143" s="71">
        <v>1</v>
      </c>
      <c r="BX143" s="71">
        <v>1</v>
      </c>
      <c r="BY143" s="71" t="b">
        <v>0</v>
      </c>
      <c r="BZ143" s="71"/>
      <c r="CA143" s="147" t="s">
        <v>8142</v>
      </c>
      <c r="CB143">
        <v>1</v>
      </c>
      <c r="CC143">
        <v>200</v>
      </c>
      <c r="CD143">
        <v>80</v>
      </c>
      <c r="CE143" s="74">
        <f ca="1">INDIRECT(ADDRESS(11+(MATCH(RIGHT(Table35[[#This Row],[spawner_sku]],LEN(Table35[[#This Row],[spawner_sku]])-FIND("/",Table35[[#This Row],[spawner_sku]])),Table1[Entity Prefab],0)),10,1,1,"Entities"))</f>
        <v>75</v>
      </c>
      <c r="CF143" s="74">
        <f ca="1">ROUND((Table35[[#This Row],[XP]]*Table35[[#This Row],[entity_spawned (AVG)]])*(Table35[[#This Row],[activating_chance]]/100),0)</f>
        <v>60</v>
      </c>
      <c r="CG143" s="144" t="str">
        <f ca="1">INDIRECT(ADDRESS(11+(MATCH(RIGHT(Table35[[#This Row],[spawner_sku]],LEN(Table35[[#This Row],[spawner_sku]])-FIND("/",Table35[[#This Row],[spawner_sku]])),Table28[Entity Prefab],0)),24,1,1,"Entities"))</f>
        <v>no</v>
      </c>
      <c r="CH143">
        <v>1</v>
      </c>
      <c r="CI143">
        <v>1</v>
      </c>
      <c r="CJ143" s="71" t="b">
        <v>0</v>
      </c>
      <c r="CL143" t="s">
        <v>376</v>
      </c>
      <c r="CM143">
        <v>2</v>
      </c>
      <c r="CN143">
        <v>200</v>
      </c>
      <c r="CO143">
        <v>100</v>
      </c>
      <c r="CP143" s="74">
        <f ca="1">INDIRECT(ADDRESS(11+(MATCH(RIGHT(Table11[[#This Row],[spawner_sku]],LEN(Table11[[#This Row],[spawner_sku]])-FIND("/",Table11[[#This Row],[spawner_sku]])),Table1[Entity Prefab],0)),10,1,1,"Entities"))</f>
        <v>25</v>
      </c>
      <c r="CQ143">
        <f ca="1">ROUND((Table11[[#This Row],[XP]]*Table11[[#This Row],[entity_spawned (AVG)]])*(Table11[[#This Row],[activating_chance]]/100),0)</f>
        <v>50</v>
      </c>
      <c r="CR143" s="144" t="str">
        <f ca="1">INDIRECT(ADDRESS(11+(MATCH(RIGHT(Table11[[#This Row],[spawner_sku]],LEN(Table11[[#This Row],[spawner_sku]])-FIND("/",Table11[[#This Row],[spawner_sku]])),Table28[Entity Prefab],0)),25,1,1,"Entities"))</f>
        <v>no</v>
      </c>
      <c r="CS143" s="71">
        <v>2</v>
      </c>
      <c r="CT143" s="71">
        <v>2</v>
      </c>
      <c r="CU143" s="71" t="b">
        <v>0</v>
      </c>
      <c r="CW143" t="s">
        <v>242</v>
      </c>
      <c r="CX143">
        <v>1</v>
      </c>
      <c r="CY143">
        <v>150</v>
      </c>
      <c r="CZ143">
        <v>100</v>
      </c>
      <c r="DA143" s="74">
        <f ca="1">INDIRECT(ADDRESS(11+(MATCH(RIGHT(Table12[[#This Row],[spawner_sku]],LEN(Table12[[#This Row],[spawner_sku]])-FIND("/",Table12[[#This Row],[spawner_sku]])),Table1[Entity Prefab],0)),10,1,1,"Entities"))</f>
        <v>25</v>
      </c>
      <c r="DB143" s="74">
        <f ca="1">ROUND((Table12[[#This Row],[XP]]*Table12[[#This Row],[entity_spawned (AVG)]])*(Table12[[#This Row],[activating_chance]]/100),0)</f>
        <v>25</v>
      </c>
      <c r="DC143" s="144" t="str">
        <f ca="1">INDIRECT(ADDRESS(11+(MATCH(RIGHT(Table12[[#This Row],[spawner_sku]],LEN(Table12[[#This Row],[spawner_sku]])-FIND("/",Table12[[#This Row],[spawner_sku]])),Table28[Entity Prefab],0)),25,1,1,"Entities"))</f>
        <v>no</v>
      </c>
      <c r="DD143" s="71">
        <v>1</v>
      </c>
      <c r="DE143" s="71">
        <v>1</v>
      </c>
      <c r="DF143" s="71" t="b">
        <v>0</v>
      </c>
      <c r="DH143" t="s">
        <v>233</v>
      </c>
      <c r="DI143">
        <v>1</v>
      </c>
      <c r="DJ143">
        <v>500</v>
      </c>
      <c r="DK143">
        <v>70</v>
      </c>
      <c r="DL143" s="74">
        <f ca="1">INDIRECT(ADDRESS(11+(MATCH(RIGHT(Table13[[#This Row],[spawner_sku]],LEN(Table13[[#This Row],[spawner_sku]])-FIND("/",Table13[[#This Row],[spawner_sku]])),Table1[Entity Prefab],0)),10,1,1,"Entities"))</f>
        <v>25</v>
      </c>
      <c r="DM143" s="74">
        <f ca="1">ROUND((Table13[[#This Row],[XP]]*Table13[[#This Row],[entity_spawned (AVG)]])*(Table13[[#This Row],[activating_chance]]/100),0)</f>
        <v>18</v>
      </c>
      <c r="DN143" s="144" t="str">
        <f ca="1">INDIRECT(ADDRESS(11+(MATCH(RIGHT(Table13[[#This Row],[spawner_sku]],LEN(Table13[[#This Row],[spawner_sku]])-FIND("/",Table13[[#This Row],[spawner_sku]])),Table28[Entity Prefab],0)),25,1,1,"Entities"))</f>
        <v>no</v>
      </c>
      <c r="DO143" s="71">
        <v>1</v>
      </c>
      <c r="DP143" s="71">
        <v>1</v>
      </c>
      <c r="DQ143" s="71" t="b">
        <v>0</v>
      </c>
      <c r="DS143" t="s">
        <v>218</v>
      </c>
      <c r="DT143">
        <v>1</v>
      </c>
      <c r="DU143">
        <v>5000</v>
      </c>
      <c r="DV143">
        <v>75</v>
      </c>
      <c r="DW143" s="74">
        <f ca="1">INDIRECT(ADDRESS(11+(MATCH(RIGHT(Table14[[#This Row],[spawner_sku]],LEN(Table14[[#This Row],[spawner_sku]])-FIND("/",Table14[[#This Row],[spawner_sku]])),Table1[Entity Prefab],0)),10,1,1,"Entities"))</f>
        <v>75</v>
      </c>
      <c r="DX143" s="74">
        <f ca="1">ROUND((Table14[[#This Row],[XP]]*Table14[[#This Row],[entity_spawned (AVG)]])*(Table14[[#This Row],[activating_chance]]/100),0)</f>
        <v>56</v>
      </c>
      <c r="DY143" s="144" t="str">
        <f ca="1">INDIRECT(ADDRESS(11+(MATCH(RIGHT(Table14[[#This Row],[spawner_sku]],LEN(Table14[[#This Row],[spawner_sku]])-FIND("/",Table14[[#This Row],[spawner_sku]])),Table28[Entity Prefab],0)),25,1,1,"Entities"))</f>
        <v>no</v>
      </c>
      <c r="DZ143" s="71">
        <v>1</v>
      </c>
      <c r="EA143" s="71">
        <v>1</v>
      </c>
      <c r="EB143" s="71" t="b">
        <v>0</v>
      </c>
      <c r="EC143" s="71"/>
      <c r="ED143" s="147" t="s">
        <v>3816</v>
      </c>
      <c r="EE143" s="71">
        <v>1</v>
      </c>
      <c r="EF143" s="71">
        <v>240</v>
      </c>
      <c r="EG143" s="71">
        <v>100</v>
      </c>
      <c r="EH143" s="71">
        <f ca="1">INDIRECT(ADDRESS(11+(MATCH(RIGHT(Table36[[#This Row],[spawner_sku]],LEN(Table36[[#This Row],[spawner_sku]])-FIND("/",Table36[[#This Row],[spawner_sku]])),Table1[Entity Prefab],0)),10,1,1,"Entities"))</f>
        <v>50</v>
      </c>
      <c r="EI143" s="71">
        <f ca="1">ROUND((Table36[[#This Row],[XP]]*Table36[[#This Row],[entity_spawned (AVG)]])*(Table36[[#This Row],[activating_chance]]/100),0)</f>
        <v>50</v>
      </c>
      <c r="EJ143" s="71" t="str">
        <f ca="1">INDIRECT(ADDRESS(11+(MATCH(RIGHT(Table36[[#This Row],[spawner_sku]],LEN(Table36[[#This Row],[spawner_sku]])-FIND("/",Table36[[#This Row],[spawner_sku]])),Table28[Entity Prefab],0)),25,1,1,"Entities"))</f>
        <v>no</v>
      </c>
      <c r="EK143" s="71">
        <v>1</v>
      </c>
      <c r="EL143" s="71">
        <v>1</v>
      </c>
      <c r="EM143" s="71" t="b">
        <v>0</v>
      </c>
      <c r="EO143" t="s">
        <v>220</v>
      </c>
      <c r="EP143">
        <v>1.5</v>
      </c>
      <c r="EQ143">
        <v>200</v>
      </c>
      <c r="ER143">
        <v>100</v>
      </c>
      <c r="ES143" s="74">
        <f ca="1">INDIRECT(ADDRESS(11+(MATCH(RIGHT(Table18[[#This Row],[spawner_sku]],LEN(Table18[[#This Row],[spawner_sku]])-FIND("/",Table18[[#This Row],[spawner_sku]])),Table1[Entity Prefab],0)),10,1,1,"Entities"))</f>
        <v>195</v>
      </c>
      <c r="ET143" s="74">
        <f ca="1">ROUND((Table18[[#This Row],[XP]]*Table18[[#This Row],[entity_spawned (AVG)]])*(Table18[[#This Row],[activating_chance]]/100),0)</f>
        <v>293</v>
      </c>
      <c r="EU143" s="74" t="str">
        <f ca="1">INDIRECT(ADDRESS(11+(MATCH(RIGHT(Table18[[#This Row],[spawner_sku]],LEN(Table18[[#This Row],[spawner_sku]])-FIND("/",Table18[[#This Row],[spawner_sku]])),Table28[Entity Prefab],0)),26,1,1,"Entities"))</f>
        <v>yes</v>
      </c>
      <c r="EV143">
        <v>1</v>
      </c>
      <c r="EW143">
        <v>2</v>
      </c>
      <c r="EX143" t="b">
        <v>0</v>
      </c>
      <c r="EZ143" t="s">
        <v>493</v>
      </c>
      <c r="FA143">
        <v>2</v>
      </c>
      <c r="FB143">
        <v>120</v>
      </c>
      <c r="FC143">
        <v>100</v>
      </c>
      <c r="FD143" s="74">
        <f ca="1">INDIRECT(ADDRESS(11+(MATCH(RIGHT(Table1820[[#This Row],[spawner_sku]],LEN(Table1820[[#This Row],[spawner_sku]])-FIND("/",Table1820[[#This Row],[spawner_sku]])),Table1[Entity Prefab],0)),10,1,1,"Entities"))</f>
        <v>35</v>
      </c>
      <c r="FE143" s="74">
        <f ca="1">ROUND((Table1820[[#This Row],[XP]]*Table1820[[#This Row],[entity_spawned (AVG)]])*(Table1820[[#This Row],[activating_chance]]/100),0)</f>
        <v>70</v>
      </c>
      <c r="FF143" s="74" t="str">
        <f ca="1">INDIRECT(ADDRESS(11+(MATCH(RIGHT(Table1820[[#This Row],[spawner_sku]],LEN(Table1820[[#This Row],[spawner_sku]])-FIND("/",Table1820[[#This Row],[spawner_sku]])),Table28[Entity Prefab],0)),26,1,1,"Entities"))</f>
        <v>no</v>
      </c>
      <c r="FG143">
        <v>2</v>
      </c>
      <c r="FH143">
        <v>2</v>
      </c>
      <c r="FI143" t="b">
        <v>0</v>
      </c>
      <c r="FK143" t="s">
        <v>2700</v>
      </c>
      <c r="FL143">
        <v>3</v>
      </c>
      <c r="FM143">
        <v>90</v>
      </c>
      <c r="FN143">
        <v>100</v>
      </c>
      <c r="FO143">
        <f ca="1">INDIRECT(ADDRESS(11+(MATCH(RIGHT(Table182023[[#This Row],[spawner_sku]],LEN(Table182023[[#This Row],[spawner_sku]])-FIND("/",Table182023[[#This Row],[spawner_sku]])),Table1[Entity Prefab],0)),10,1,1,"Entities"))</f>
        <v>50</v>
      </c>
      <c r="FP143">
        <f ca="1">ROUND((Table182023[[#This Row],[XP]]*Table182023[[#This Row],[entity_spawned (AVG)]])*(Table182023[[#This Row],[activating_chance]]/100),0)</f>
        <v>150</v>
      </c>
      <c r="FQ143" t="str">
        <f ca="1">INDIRECT(ADDRESS(11+(MATCH(RIGHT(Table182023[[#This Row],[spawner_sku]],LEN(Table182023[[#This Row],[spawner_sku]])-FIND("/",Table182023[[#This Row],[spawner_sku]])),Table28[Entity Prefab],0)),26,1,1,"Entities"))</f>
        <v>no</v>
      </c>
      <c r="FR143">
        <v>3</v>
      </c>
      <c r="FS143">
        <v>3</v>
      </c>
      <c r="FT143" t="b">
        <v>0</v>
      </c>
      <c r="FV143" t="s">
        <v>2697</v>
      </c>
      <c r="FW143">
        <v>1.5</v>
      </c>
      <c r="FX143">
        <v>80</v>
      </c>
      <c r="FY143">
        <v>100</v>
      </c>
      <c r="FZ143" s="74">
        <f ca="1">INDIRECT(ADDRESS(11+(MATCH(RIGHT(Table18202324[[#This Row],[spawner_sku]],LEN(Table18202324[[#This Row],[spawner_sku]])-FIND("/",Table18202324[[#This Row],[spawner_sku]])),Table1[Entity Prefab],0)),10,1,1,"Entities"))</f>
        <v>25</v>
      </c>
      <c r="GA143" s="74">
        <f ca="1">ROUND((Table18202324[[#This Row],[XP]]*Table18202324[[#This Row],[entity_spawned (AVG)]])*(Table18202324[[#This Row],[activating_chance]]/100),0)</f>
        <v>38</v>
      </c>
      <c r="GB143" s="74" t="str">
        <f ca="1">INDIRECT(ADDRESS(11+(MATCH(RIGHT(Table18202324[[#This Row],[spawner_sku]],LEN(Table18202324[[#This Row],[spawner_sku]])-FIND("/",Table18202324[[#This Row],[spawner_sku]])),Table28[Entity Prefab],0)),26,1,1,"Entities"))</f>
        <v>no</v>
      </c>
      <c r="GC143">
        <v>1</v>
      </c>
      <c r="GD143">
        <v>2</v>
      </c>
      <c r="GE143" t="b">
        <v>0</v>
      </c>
      <c r="GG143" t="s">
        <v>3816</v>
      </c>
      <c r="GH143">
        <v>1</v>
      </c>
      <c r="GI143">
        <v>240</v>
      </c>
      <c r="GJ143">
        <v>100</v>
      </c>
      <c r="GK143">
        <f ca="1">INDIRECT(ADDRESS(11+(MATCH(RIGHT(Table37[[#This Row],[spawner_sku]],LEN(Table37[[#This Row],[spawner_sku]])-FIND("/",Table37[[#This Row],[spawner_sku]])),Table1[Entity Prefab],0)),10,1,1,"Entities"))</f>
        <v>50</v>
      </c>
      <c r="GL143">
        <f ca="1">ROUND((Table37[[#This Row],[XP]]*Table37[[#This Row],[entity_spawned (AVG)]])*(Table37[[#This Row],[activating_chance]]/100),0)</f>
        <v>50</v>
      </c>
      <c r="GM143" t="str">
        <f ca="1">INDIRECT(ADDRESS(11+(MATCH(RIGHT(Table37[[#This Row],[spawner_sku]],LEN(Table37[[#This Row],[spawner_sku]])-FIND("/",Table37[[#This Row],[spawner_sku]])),Table28[Entity Prefab],0)),26,1,1,"Entities"))</f>
        <v>no</v>
      </c>
      <c r="GN143">
        <v>1</v>
      </c>
      <c r="GO143">
        <v>1</v>
      </c>
      <c r="GP143" t="b">
        <v>0</v>
      </c>
    </row>
    <row r="144" spans="2:198" x14ac:dyDescent="0.25">
      <c r="B144" s="72" t="s">
        <v>215</v>
      </c>
      <c r="C144">
        <v>8</v>
      </c>
      <c r="D144">
        <v>190</v>
      </c>
      <c r="E144">
        <v>100</v>
      </c>
      <c r="F144" s="74">
        <f ca="1">INDIRECT(ADDRESS(11+(MATCH(RIGHT(Table245[[#This Row],[spawner_sku]],LEN(Table245[[#This Row],[spawner_sku]])-FIND("/",Table245[[#This Row],[spawner_sku]])),Table1[Entity Prefab],0)),10,1,1,"Entities"))</f>
        <v>25</v>
      </c>
      <c r="G144" s="74">
        <f ca="1">ROUND((Table245[[#This Row],[XP]]*Table245[[#This Row],[entity_spawned (AVG)]])*(Table245[[#This Row],[activating_chance]]/100),0)</f>
        <v>200</v>
      </c>
      <c r="H144" s="71" t="str">
        <f ca="1">INDIRECT(ADDRESS(11+(MATCH(RIGHT(Table245[[#This Row],[spawner_sku]],LEN(Table245[[#This Row],[spawner_sku]])-FIND("/",Table245[[#This Row],[spawner_sku]])),Table28[Entity Prefab],0)),24,1,1,"Entities"))</f>
        <v>no</v>
      </c>
      <c r="I144" s="71">
        <v>8</v>
      </c>
      <c r="J144" s="71">
        <v>8</v>
      </c>
      <c r="K144" s="71" t="b">
        <v>1</v>
      </c>
      <c r="M144" t="s">
        <v>485</v>
      </c>
      <c r="N144">
        <v>1</v>
      </c>
      <c r="O144">
        <v>220</v>
      </c>
      <c r="P144">
        <v>100</v>
      </c>
      <c r="Q144" s="74">
        <f ca="1">INDIRECT(ADDRESS(11+(MATCH(RIGHT(Table3[[#This Row],[spawner_sku]],LEN(Table3[[#This Row],[spawner_sku]])-FIND("/",Table3[[#This Row],[spawner_sku]])),Table1[Entity Prefab],0)),10,1,1,"Entities"))</f>
        <v>0</v>
      </c>
      <c r="R144" s="74">
        <f ca="1">ROUND((Table3[[#This Row],[XP]]*Table3[[#This Row],[entity_spawned (AVG)]])*(Table3[[#This Row],[activating_chance]]/100),0)</f>
        <v>0</v>
      </c>
      <c r="S144" t="str">
        <f ca="1">INDIRECT(ADDRESS(11+(MATCH(RIGHT(Table3[[#This Row],[spawner_sku]],LEN(Table3[[#This Row],[spawner_sku]])-FIND("/",Table3[[#This Row],[spawner_sku]])),Table28[Entity Prefab],0)),24,1,1,"Entities"))</f>
        <v>no</v>
      </c>
      <c r="T144">
        <v>1</v>
      </c>
      <c r="U144">
        <v>1</v>
      </c>
      <c r="V144" t="b">
        <v>0</v>
      </c>
      <c r="W144" s="71"/>
      <c r="AI144" t="s">
        <v>219</v>
      </c>
      <c r="AJ144">
        <v>1</v>
      </c>
      <c r="AK144">
        <v>250</v>
      </c>
      <c r="AL144">
        <v>100</v>
      </c>
      <c r="AM144" s="74">
        <f ca="1">INDIRECT(ADDRESS(11+(MATCH(RIGHT(Table2[[#This Row],[spawner_sku]],LEN(Table2[[#This Row],[spawner_sku]])-FIND("/",Table2[[#This Row],[spawner_sku]])),Table1[Entity Prefab],0)),10,1,1,"Entities"))</f>
        <v>143</v>
      </c>
      <c r="AN144" s="74">
        <f ca="1">ROUND((Table2[[#This Row],[XP]]*Table2[[#This Row],[entity_spawned (AVG)]])*(Table2[[#This Row],[activating_chance]]/100),0)</f>
        <v>143</v>
      </c>
      <c r="AO144" s="71" t="str">
        <f ca="1">INDIRECT(ADDRESS(11+(MATCH(RIGHT(Table2[[#This Row],[spawner_sku]],LEN(Table2[[#This Row],[spawner_sku]])-FIND("/",Table2[[#This Row],[spawner_sku]])),Table28[Entity Prefab],0)),24,1,1,"Entities"))</f>
        <v>yes</v>
      </c>
      <c r="AP144" s="71">
        <v>1</v>
      </c>
      <c r="AQ144" s="71">
        <v>1</v>
      </c>
      <c r="AR144" s="71" t="b">
        <v>0</v>
      </c>
      <c r="AT144" t="s">
        <v>427</v>
      </c>
      <c r="AU144">
        <v>3</v>
      </c>
      <c r="AV144">
        <v>120</v>
      </c>
      <c r="AW144">
        <v>100</v>
      </c>
      <c r="AX144" s="74">
        <f ca="1">INDIRECT(ADDRESS(11+(MATCH(RIGHT(Table6[[#This Row],[spawner_sku]],LEN(Table6[[#This Row],[spawner_sku]])-FIND("/",Table6[[#This Row],[spawner_sku]])),Table1[Entity Prefab],0)),10,1,1,"Entities"))</f>
        <v>25</v>
      </c>
      <c r="AY144" s="74">
        <f ca="1">ROUND((Table6[[#This Row],[XP]]*Table6[[#This Row],[entity_spawned (AVG)]])*(Table6[[#This Row],[activating_chance]]/100),0)</f>
        <v>75</v>
      </c>
      <c r="AZ144" s="144" t="str">
        <f ca="1">INDIRECT(ADDRESS(11+(MATCH(RIGHT(Table6[[#This Row],[spawner_sku]],LEN(Table6[[#This Row],[spawner_sku]])-FIND("/",Table6[[#This Row],[spawner_sku]])),Table28[Entity Prefab],0)),24,1,1,"Entities"))</f>
        <v>no</v>
      </c>
      <c r="BA144">
        <v>3</v>
      </c>
      <c r="BB144">
        <v>3</v>
      </c>
      <c r="BC144" t="b">
        <v>0</v>
      </c>
      <c r="BE144" t="s">
        <v>2631</v>
      </c>
      <c r="BF144">
        <v>1</v>
      </c>
      <c r="BG144">
        <v>100</v>
      </c>
      <c r="BH144">
        <v>100</v>
      </c>
      <c r="BI144" s="74">
        <f ca="1">INDIRECT(ADDRESS(11+(MATCH(RIGHT(Table610[[#This Row],[spawner_sku]],LEN(Table610[[#This Row],[spawner_sku]])-FIND("/",Table610[[#This Row],[spawner_sku]])),Table1[Entity Prefab],0)),10,1,1,"Entities"))</f>
        <v>75</v>
      </c>
      <c r="BJ144" s="74">
        <f ca="1">ROUND((Table610[[#This Row],[XP]]*Table610[[#This Row],[entity_spawned (AVG)]])*(Table610[[#This Row],[activating_chance]]/100),0)</f>
        <v>75</v>
      </c>
      <c r="BK144" s="71" t="str">
        <f ca="1">INDIRECT(ADDRESS(11+(MATCH(RIGHT(Table610[[#This Row],[spawner_sku]],LEN(Table610[[#This Row],[spawner_sku]])-FIND("/",Table610[[#This Row],[spawner_sku]])),Table28[Entity Prefab],0)),24,1,1,"Entities"))</f>
        <v>no</v>
      </c>
      <c r="BL144">
        <v>1</v>
      </c>
      <c r="BM144">
        <v>1</v>
      </c>
      <c r="BN144" t="b">
        <v>0</v>
      </c>
      <c r="BP144" t="s">
        <v>321</v>
      </c>
      <c r="BQ144">
        <v>1</v>
      </c>
      <c r="BR144">
        <v>300</v>
      </c>
      <c r="BS144">
        <v>100</v>
      </c>
      <c r="BT144" s="74">
        <f ca="1">INDIRECT(ADDRESS(11+(MATCH(RIGHT(Table61011[[#This Row],[spawner_sku]],LEN(Table61011[[#This Row],[spawner_sku]])-FIND("/",Table61011[[#This Row],[spawner_sku]])),Table1[Entity Prefab],0)),10,1,1,"Entities"))</f>
        <v>195</v>
      </c>
      <c r="BU144" s="74">
        <f ca="1">ROUND((Table61011[[#This Row],[XP]]*Table61011[[#This Row],[entity_spawned (AVG)]])*(Table61011[[#This Row],[activating_chance]]/100),0)</f>
        <v>195</v>
      </c>
      <c r="BV144" s="71" t="str">
        <f ca="1">INDIRECT(ADDRESS(11+(MATCH(RIGHT(Table61011[[#This Row],[spawner_sku]],LEN(Table61011[[#This Row],[spawner_sku]])-FIND("/",Table61011[[#This Row],[spawner_sku]])),Table28[Entity Prefab],0)),24,1,1,"Entities"))</f>
        <v>yes</v>
      </c>
      <c r="BW144" s="71">
        <v>1</v>
      </c>
      <c r="BX144" s="71">
        <v>1</v>
      </c>
      <c r="BY144" s="71" t="b">
        <v>0</v>
      </c>
      <c r="BZ144" s="71"/>
      <c r="CA144" s="147" t="s">
        <v>8142</v>
      </c>
      <c r="CB144">
        <v>1</v>
      </c>
      <c r="CC144">
        <v>200</v>
      </c>
      <c r="CD144">
        <v>80</v>
      </c>
      <c r="CE144" s="74">
        <f ca="1">INDIRECT(ADDRESS(11+(MATCH(RIGHT(Table35[[#This Row],[spawner_sku]],LEN(Table35[[#This Row],[spawner_sku]])-FIND("/",Table35[[#This Row],[spawner_sku]])),Table1[Entity Prefab],0)),10,1,1,"Entities"))</f>
        <v>75</v>
      </c>
      <c r="CF144" s="74">
        <f ca="1">ROUND((Table35[[#This Row],[XP]]*Table35[[#This Row],[entity_spawned (AVG)]])*(Table35[[#This Row],[activating_chance]]/100),0)</f>
        <v>60</v>
      </c>
      <c r="CG144" s="144" t="str">
        <f ca="1">INDIRECT(ADDRESS(11+(MATCH(RIGHT(Table35[[#This Row],[spawner_sku]],LEN(Table35[[#This Row],[spawner_sku]])-FIND("/",Table35[[#This Row],[spawner_sku]])),Table28[Entity Prefab],0)),24,1,1,"Entities"))</f>
        <v>no</v>
      </c>
      <c r="CH144">
        <v>1</v>
      </c>
      <c r="CI144">
        <v>1</v>
      </c>
      <c r="CJ144" s="71" t="b">
        <v>0</v>
      </c>
      <c r="CL144" t="s">
        <v>376</v>
      </c>
      <c r="CM144">
        <v>5.5</v>
      </c>
      <c r="CN144">
        <v>200</v>
      </c>
      <c r="CO144">
        <v>100</v>
      </c>
      <c r="CP144" s="74">
        <f ca="1">INDIRECT(ADDRESS(11+(MATCH(RIGHT(Table11[[#This Row],[spawner_sku]],LEN(Table11[[#This Row],[spawner_sku]])-FIND("/",Table11[[#This Row],[spawner_sku]])),Table1[Entity Prefab],0)),10,1,1,"Entities"))</f>
        <v>25</v>
      </c>
      <c r="CQ144">
        <f ca="1">ROUND((Table11[[#This Row],[XP]]*Table11[[#This Row],[entity_spawned (AVG)]])*(Table11[[#This Row],[activating_chance]]/100),0)</f>
        <v>138</v>
      </c>
      <c r="CR144" s="144" t="str">
        <f ca="1">INDIRECT(ADDRESS(11+(MATCH(RIGHT(Table11[[#This Row],[spawner_sku]],LEN(Table11[[#This Row],[spawner_sku]])-FIND("/",Table11[[#This Row],[spawner_sku]])),Table28[Entity Prefab],0)),25,1,1,"Entities"))</f>
        <v>no</v>
      </c>
      <c r="CS144" s="71">
        <v>5</v>
      </c>
      <c r="CT144" s="71">
        <v>6</v>
      </c>
      <c r="CU144" s="71" t="b">
        <v>1</v>
      </c>
      <c r="CW144" t="s">
        <v>242</v>
      </c>
      <c r="CX144">
        <v>1</v>
      </c>
      <c r="CY144">
        <v>150</v>
      </c>
      <c r="CZ144">
        <v>100</v>
      </c>
      <c r="DA144" s="74">
        <f ca="1">INDIRECT(ADDRESS(11+(MATCH(RIGHT(Table12[[#This Row],[spawner_sku]],LEN(Table12[[#This Row],[spawner_sku]])-FIND("/",Table12[[#This Row],[spawner_sku]])),Table1[Entity Prefab],0)),10,1,1,"Entities"))</f>
        <v>25</v>
      </c>
      <c r="DB144" s="74">
        <f ca="1">ROUND((Table12[[#This Row],[XP]]*Table12[[#This Row],[entity_spawned (AVG)]])*(Table12[[#This Row],[activating_chance]]/100),0)</f>
        <v>25</v>
      </c>
      <c r="DC144" s="144" t="str">
        <f ca="1">INDIRECT(ADDRESS(11+(MATCH(RIGHT(Table12[[#This Row],[spawner_sku]],LEN(Table12[[#This Row],[spawner_sku]])-FIND("/",Table12[[#This Row],[spawner_sku]])),Table28[Entity Prefab],0)),25,1,1,"Entities"))</f>
        <v>no</v>
      </c>
      <c r="DD144" s="71">
        <v>1</v>
      </c>
      <c r="DE144" s="71">
        <v>1</v>
      </c>
      <c r="DF144" s="71" t="b">
        <v>0</v>
      </c>
      <c r="DH144" t="s">
        <v>233</v>
      </c>
      <c r="DI144">
        <v>1</v>
      </c>
      <c r="DJ144">
        <v>500</v>
      </c>
      <c r="DK144">
        <v>100</v>
      </c>
      <c r="DL144" s="74">
        <f ca="1">INDIRECT(ADDRESS(11+(MATCH(RIGHT(Table13[[#This Row],[spawner_sku]],LEN(Table13[[#This Row],[spawner_sku]])-FIND("/",Table13[[#This Row],[spawner_sku]])),Table1[Entity Prefab],0)),10,1,1,"Entities"))</f>
        <v>25</v>
      </c>
      <c r="DM144" s="74">
        <f ca="1">ROUND((Table13[[#This Row],[XP]]*Table13[[#This Row],[entity_spawned (AVG)]])*(Table13[[#This Row],[activating_chance]]/100),0)</f>
        <v>25</v>
      </c>
      <c r="DN144" s="144" t="str">
        <f ca="1">INDIRECT(ADDRESS(11+(MATCH(RIGHT(Table13[[#This Row],[spawner_sku]],LEN(Table13[[#This Row],[spawner_sku]])-FIND("/",Table13[[#This Row],[spawner_sku]])),Table28[Entity Prefab],0)),25,1,1,"Entities"))</f>
        <v>no</v>
      </c>
      <c r="DO144" s="71">
        <v>1</v>
      </c>
      <c r="DP144" s="71">
        <v>1</v>
      </c>
      <c r="DQ144" s="71" t="b">
        <v>0</v>
      </c>
      <c r="DS144" t="s">
        <v>218</v>
      </c>
      <c r="DT144">
        <v>1</v>
      </c>
      <c r="DU144">
        <v>5000</v>
      </c>
      <c r="DV144">
        <v>75</v>
      </c>
      <c r="DW144" s="74">
        <f ca="1">INDIRECT(ADDRESS(11+(MATCH(RIGHT(Table14[[#This Row],[spawner_sku]],LEN(Table14[[#This Row],[spawner_sku]])-FIND("/",Table14[[#This Row],[spawner_sku]])),Table1[Entity Prefab],0)),10,1,1,"Entities"))</f>
        <v>75</v>
      </c>
      <c r="DX144" s="74">
        <f ca="1">ROUND((Table14[[#This Row],[XP]]*Table14[[#This Row],[entity_spawned (AVG)]])*(Table14[[#This Row],[activating_chance]]/100),0)</f>
        <v>56</v>
      </c>
      <c r="DY144" s="144" t="str">
        <f ca="1">INDIRECT(ADDRESS(11+(MATCH(RIGHT(Table14[[#This Row],[spawner_sku]],LEN(Table14[[#This Row],[spawner_sku]])-FIND("/",Table14[[#This Row],[spawner_sku]])),Table28[Entity Prefab],0)),25,1,1,"Entities"))</f>
        <v>no</v>
      </c>
      <c r="DZ144" s="71">
        <v>1</v>
      </c>
      <c r="EA144" s="71">
        <v>1</v>
      </c>
      <c r="EB144" s="71" t="b">
        <v>0</v>
      </c>
      <c r="EC144" s="71"/>
      <c r="ED144" s="147" t="s">
        <v>3816</v>
      </c>
      <c r="EE144" s="71">
        <v>1</v>
      </c>
      <c r="EF144" s="71">
        <v>240</v>
      </c>
      <c r="EG144" s="71">
        <v>100</v>
      </c>
      <c r="EH144" s="71">
        <f ca="1">INDIRECT(ADDRESS(11+(MATCH(RIGHT(Table36[[#This Row],[spawner_sku]],LEN(Table36[[#This Row],[spawner_sku]])-FIND("/",Table36[[#This Row],[spawner_sku]])),Table1[Entity Prefab],0)),10,1,1,"Entities"))</f>
        <v>50</v>
      </c>
      <c r="EI144" s="71">
        <f ca="1">ROUND((Table36[[#This Row],[XP]]*Table36[[#This Row],[entity_spawned (AVG)]])*(Table36[[#This Row],[activating_chance]]/100),0)</f>
        <v>50</v>
      </c>
      <c r="EJ144" s="71" t="str">
        <f ca="1">INDIRECT(ADDRESS(11+(MATCH(RIGHT(Table36[[#This Row],[spawner_sku]],LEN(Table36[[#This Row],[spawner_sku]])-FIND("/",Table36[[#This Row],[spawner_sku]])),Table28[Entity Prefab],0)),25,1,1,"Entities"))</f>
        <v>no</v>
      </c>
      <c r="EK144" s="71">
        <v>1</v>
      </c>
      <c r="EL144" s="71">
        <v>1</v>
      </c>
      <c r="EM144" s="71" t="b">
        <v>0</v>
      </c>
      <c r="EO144" t="s">
        <v>220</v>
      </c>
      <c r="EP144">
        <v>1.5</v>
      </c>
      <c r="EQ144">
        <v>300</v>
      </c>
      <c r="ER144">
        <v>100</v>
      </c>
      <c r="ES144" s="74">
        <f ca="1">INDIRECT(ADDRESS(11+(MATCH(RIGHT(Table18[[#This Row],[spawner_sku]],LEN(Table18[[#This Row],[spawner_sku]])-FIND("/",Table18[[#This Row],[spawner_sku]])),Table1[Entity Prefab],0)),10,1,1,"Entities"))</f>
        <v>195</v>
      </c>
      <c r="ET144" s="74">
        <f ca="1">ROUND((Table18[[#This Row],[XP]]*Table18[[#This Row],[entity_spawned (AVG)]])*(Table18[[#This Row],[activating_chance]]/100),0)</f>
        <v>293</v>
      </c>
      <c r="EU144" s="74" t="str">
        <f ca="1">INDIRECT(ADDRESS(11+(MATCH(RIGHT(Table18[[#This Row],[spawner_sku]],LEN(Table18[[#This Row],[spawner_sku]])-FIND("/",Table18[[#This Row],[spawner_sku]])),Table28[Entity Prefab],0)),26,1,1,"Entities"))</f>
        <v>yes</v>
      </c>
      <c r="EV144">
        <v>1</v>
      </c>
      <c r="EW144">
        <v>2</v>
      </c>
      <c r="EX144" t="b">
        <v>0</v>
      </c>
      <c r="EZ144" t="s">
        <v>493</v>
      </c>
      <c r="FA144">
        <v>1</v>
      </c>
      <c r="FB144">
        <v>120</v>
      </c>
      <c r="FC144">
        <v>100</v>
      </c>
      <c r="FD144" s="74">
        <f ca="1">INDIRECT(ADDRESS(11+(MATCH(RIGHT(Table1820[[#This Row],[spawner_sku]],LEN(Table1820[[#This Row],[spawner_sku]])-FIND("/",Table1820[[#This Row],[spawner_sku]])),Table1[Entity Prefab],0)),10,1,1,"Entities"))</f>
        <v>35</v>
      </c>
      <c r="FE144" s="74">
        <f ca="1">ROUND((Table1820[[#This Row],[XP]]*Table1820[[#This Row],[entity_spawned (AVG)]])*(Table1820[[#This Row],[activating_chance]]/100),0)</f>
        <v>35</v>
      </c>
      <c r="FF144" s="74" t="str">
        <f ca="1">INDIRECT(ADDRESS(11+(MATCH(RIGHT(Table1820[[#This Row],[spawner_sku]],LEN(Table1820[[#This Row],[spawner_sku]])-FIND("/",Table1820[[#This Row],[spawner_sku]])),Table28[Entity Prefab],0)),26,1,1,"Entities"))</f>
        <v>no</v>
      </c>
      <c r="FG144">
        <v>1</v>
      </c>
      <c r="FH144">
        <v>1</v>
      </c>
      <c r="FI144" t="b">
        <v>0</v>
      </c>
      <c r="FK144" t="s">
        <v>2691</v>
      </c>
      <c r="FL144">
        <v>1</v>
      </c>
      <c r="FM144">
        <v>100</v>
      </c>
      <c r="FN144">
        <v>100</v>
      </c>
      <c r="FO144">
        <f ca="1">INDIRECT(ADDRESS(11+(MATCH(RIGHT(Table182023[[#This Row],[spawner_sku]],LEN(Table182023[[#This Row],[spawner_sku]])-FIND("/",Table182023[[#This Row],[spawner_sku]])),Table1[Entity Prefab],0)),10,1,1,"Entities"))</f>
        <v>105</v>
      </c>
      <c r="FP144">
        <f ca="1">ROUND((Table182023[[#This Row],[XP]]*Table182023[[#This Row],[entity_spawned (AVG)]])*(Table182023[[#This Row],[activating_chance]]/100),0)</f>
        <v>105</v>
      </c>
      <c r="FQ144" t="str">
        <f ca="1">INDIRECT(ADDRESS(11+(MATCH(RIGHT(Table182023[[#This Row],[spawner_sku]],LEN(Table182023[[#This Row],[spawner_sku]])-FIND("/",Table182023[[#This Row],[spawner_sku]])),Table28[Entity Prefab],0)),26,1,1,"Entities"))</f>
        <v>no</v>
      </c>
      <c r="FR144">
        <v>1</v>
      </c>
      <c r="FS144">
        <v>1</v>
      </c>
      <c r="FT144" t="b">
        <v>0</v>
      </c>
      <c r="FV144" t="s">
        <v>2697</v>
      </c>
      <c r="FW144">
        <v>1.5</v>
      </c>
      <c r="FX144">
        <v>70</v>
      </c>
      <c r="FY144">
        <v>100</v>
      </c>
      <c r="FZ144" s="74">
        <f ca="1">INDIRECT(ADDRESS(11+(MATCH(RIGHT(Table18202324[[#This Row],[spawner_sku]],LEN(Table18202324[[#This Row],[spawner_sku]])-FIND("/",Table18202324[[#This Row],[spawner_sku]])),Table1[Entity Prefab],0)),10,1,1,"Entities"))</f>
        <v>25</v>
      </c>
      <c r="GA144" s="74">
        <f ca="1">ROUND((Table18202324[[#This Row],[XP]]*Table18202324[[#This Row],[entity_spawned (AVG)]])*(Table18202324[[#This Row],[activating_chance]]/100),0)</f>
        <v>38</v>
      </c>
      <c r="GB144" s="74" t="str">
        <f ca="1">INDIRECT(ADDRESS(11+(MATCH(RIGHT(Table18202324[[#This Row],[spawner_sku]],LEN(Table18202324[[#This Row],[spawner_sku]])-FIND("/",Table18202324[[#This Row],[spawner_sku]])),Table28[Entity Prefab],0)),26,1,1,"Entities"))</f>
        <v>no</v>
      </c>
      <c r="GC144">
        <v>1</v>
      </c>
      <c r="GD144">
        <v>2</v>
      </c>
      <c r="GE144" t="b">
        <v>0</v>
      </c>
      <c r="GG144" t="s">
        <v>3816</v>
      </c>
      <c r="GH144">
        <v>1</v>
      </c>
      <c r="GI144">
        <v>240</v>
      </c>
      <c r="GJ144">
        <v>100</v>
      </c>
      <c r="GK144">
        <f ca="1">INDIRECT(ADDRESS(11+(MATCH(RIGHT(Table37[[#This Row],[spawner_sku]],LEN(Table37[[#This Row],[spawner_sku]])-FIND("/",Table37[[#This Row],[spawner_sku]])),Table1[Entity Prefab],0)),10,1,1,"Entities"))</f>
        <v>50</v>
      </c>
      <c r="GL144">
        <f ca="1">ROUND((Table37[[#This Row],[XP]]*Table37[[#This Row],[entity_spawned (AVG)]])*(Table37[[#This Row],[activating_chance]]/100),0)</f>
        <v>50</v>
      </c>
      <c r="GM144" t="str">
        <f ca="1">INDIRECT(ADDRESS(11+(MATCH(RIGHT(Table37[[#This Row],[spawner_sku]],LEN(Table37[[#This Row],[spawner_sku]])-FIND("/",Table37[[#This Row],[spawner_sku]])),Table28[Entity Prefab],0)),26,1,1,"Entities"))</f>
        <v>no</v>
      </c>
      <c r="GN144">
        <v>1</v>
      </c>
      <c r="GO144">
        <v>1</v>
      </c>
      <c r="GP144" t="b">
        <v>0</v>
      </c>
    </row>
    <row r="145" spans="2:198" x14ac:dyDescent="0.25">
      <c r="B145" s="72" t="s">
        <v>215</v>
      </c>
      <c r="C145">
        <v>1</v>
      </c>
      <c r="D145">
        <v>80</v>
      </c>
      <c r="E145">
        <v>100</v>
      </c>
      <c r="F145" s="74">
        <f ca="1">INDIRECT(ADDRESS(11+(MATCH(RIGHT(Table245[[#This Row],[spawner_sku]],LEN(Table245[[#This Row],[spawner_sku]])-FIND("/",Table245[[#This Row],[spawner_sku]])),Table1[Entity Prefab],0)),10,1,1,"Entities"))</f>
        <v>25</v>
      </c>
      <c r="G145" s="74">
        <f ca="1">ROUND((Table245[[#This Row],[XP]]*Table245[[#This Row],[entity_spawned (AVG)]])*(Table245[[#This Row],[activating_chance]]/100),0)</f>
        <v>25</v>
      </c>
      <c r="H145" s="71" t="str">
        <f ca="1">INDIRECT(ADDRESS(11+(MATCH(RIGHT(Table245[[#This Row],[spawner_sku]],LEN(Table245[[#This Row],[spawner_sku]])-FIND("/",Table245[[#This Row],[spawner_sku]])),Table28[Entity Prefab],0)),24,1,1,"Entities"))</f>
        <v>no</v>
      </c>
      <c r="I145" s="71">
        <v>1</v>
      </c>
      <c r="J145" s="71">
        <v>1</v>
      </c>
      <c r="K145" s="71" t="b">
        <v>0</v>
      </c>
      <c r="M145" t="s">
        <v>242</v>
      </c>
      <c r="N145">
        <v>1</v>
      </c>
      <c r="O145">
        <v>170</v>
      </c>
      <c r="P145">
        <v>100</v>
      </c>
      <c r="Q145" s="74">
        <f ca="1">INDIRECT(ADDRESS(11+(MATCH(RIGHT(Table3[[#This Row],[spawner_sku]],LEN(Table3[[#This Row],[spawner_sku]])-FIND("/",Table3[[#This Row],[spawner_sku]])),Table1[Entity Prefab],0)),10,1,1,"Entities"))</f>
        <v>25</v>
      </c>
      <c r="R145" s="74">
        <f ca="1">ROUND((Table3[[#This Row],[XP]]*Table3[[#This Row],[entity_spawned (AVG)]])*(Table3[[#This Row],[activating_chance]]/100),0)</f>
        <v>25</v>
      </c>
      <c r="S145" t="str">
        <f ca="1">INDIRECT(ADDRESS(11+(MATCH(RIGHT(Table3[[#This Row],[spawner_sku]],LEN(Table3[[#This Row],[spawner_sku]])-FIND("/",Table3[[#This Row],[spawner_sku]])),Table28[Entity Prefab],0)),24,1,1,"Entities"))</f>
        <v>no</v>
      </c>
      <c r="T145">
        <v>1</v>
      </c>
      <c r="U145">
        <v>1</v>
      </c>
      <c r="V145" t="b">
        <v>0</v>
      </c>
      <c r="W145" s="71"/>
      <c r="AI145" t="s">
        <v>219</v>
      </c>
      <c r="AJ145">
        <v>1</v>
      </c>
      <c r="AK145">
        <v>250</v>
      </c>
      <c r="AL145">
        <v>100</v>
      </c>
      <c r="AM145" s="74">
        <f ca="1">INDIRECT(ADDRESS(11+(MATCH(RIGHT(Table2[[#This Row],[spawner_sku]],LEN(Table2[[#This Row],[spawner_sku]])-FIND("/",Table2[[#This Row],[spawner_sku]])),Table1[Entity Prefab],0)),10,1,1,"Entities"))</f>
        <v>143</v>
      </c>
      <c r="AN145" s="74">
        <f ca="1">ROUND((Table2[[#This Row],[XP]]*Table2[[#This Row],[entity_spawned (AVG)]])*(Table2[[#This Row],[activating_chance]]/100),0)</f>
        <v>143</v>
      </c>
      <c r="AO145" s="71" t="str">
        <f ca="1">INDIRECT(ADDRESS(11+(MATCH(RIGHT(Table2[[#This Row],[spawner_sku]],LEN(Table2[[#This Row],[spawner_sku]])-FIND("/",Table2[[#This Row],[spawner_sku]])),Table28[Entity Prefab],0)),24,1,1,"Entities"))</f>
        <v>yes</v>
      </c>
      <c r="AP145" s="71">
        <v>1</v>
      </c>
      <c r="AQ145" s="71">
        <v>1</v>
      </c>
      <c r="AR145" s="71" t="b">
        <v>0</v>
      </c>
      <c r="AT145" t="s">
        <v>427</v>
      </c>
      <c r="AU145">
        <v>4</v>
      </c>
      <c r="AV145">
        <v>120</v>
      </c>
      <c r="AW145">
        <v>100</v>
      </c>
      <c r="AX145" s="74">
        <f ca="1">INDIRECT(ADDRESS(11+(MATCH(RIGHT(Table6[[#This Row],[spawner_sku]],LEN(Table6[[#This Row],[spawner_sku]])-FIND("/",Table6[[#This Row],[spawner_sku]])),Table1[Entity Prefab],0)),10,1,1,"Entities"))</f>
        <v>25</v>
      </c>
      <c r="AY145" s="74">
        <f ca="1">ROUND((Table6[[#This Row],[XP]]*Table6[[#This Row],[entity_spawned (AVG)]])*(Table6[[#This Row],[activating_chance]]/100),0)</f>
        <v>100</v>
      </c>
      <c r="AZ145" s="144" t="str">
        <f ca="1">INDIRECT(ADDRESS(11+(MATCH(RIGHT(Table6[[#This Row],[spawner_sku]],LEN(Table6[[#This Row],[spawner_sku]])-FIND("/",Table6[[#This Row],[spawner_sku]])),Table28[Entity Prefab],0)),24,1,1,"Entities"))</f>
        <v>no</v>
      </c>
      <c r="BA145">
        <v>4</v>
      </c>
      <c r="BB145">
        <v>4</v>
      </c>
      <c r="BC145" t="b">
        <v>0</v>
      </c>
      <c r="BE145" t="s">
        <v>2631</v>
      </c>
      <c r="BF145">
        <v>1</v>
      </c>
      <c r="BG145">
        <v>180</v>
      </c>
      <c r="BH145">
        <v>100</v>
      </c>
      <c r="BI145" s="74">
        <f ca="1">INDIRECT(ADDRESS(11+(MATCH(RIGHT(Table610[[#This Row],[spawner_sku]],LEN(Table610[[#This Row],[spawner_sku]])-FIND("/",Table610[[#This Row],[spawner_sku]])),Table1[Entity Prefab],0)),10,1,1,"Entities"))</f>
        <v>75</v>
      </c>
      <c r="BJ145" s="74">
        <f ca="1">ROUND((Table610[[#This Row],[XP]]*Table610[[#This Row],[entity_spawned (AVG)]])*(Table610[[#This Row],[activating_chance]]/100),0)</f>
        <v>75</v>
      </c>
      <c r="BK145" s="71" t="str">
        <f ca="1">INDIRECT(ADDRESS(11+(MATCH(RIGHT(Table610[[#This Row],[spawner_sku]],LEN(Table610[[#This Row],[spawner_sku]])-FIND("/",Table610[[#This Row],[spawner_sku]])),Table28[Entity Prefab],0)),24,1,1,"Entities"))</f>
        <v>no</v>
      </c>
      <c r="BL145">
        <v>1</v>
      </c>
      <c r="BM145">
        <v>1</v>
      </c>
      <c r="BN145" t="b">
        <v>0</v>
      </c>
      <c r="BP145" t="s">
        <v>321</v>
      </c>
      <c r="BQ145">
        <v>1</v>
      </c>
      <c r="BR145">
        <v>300</v>
      </c>
      <c r="BS145">
        <v>100</v>
      </c>
      <c r="BT145" s="74">
        <f ca="1">INDIRECT(ADDRESS(11+(MATCH(RIGHT(Table61011[[#This Row],[spawner_sku]],LEN(Table61011[[#This Row],[spawner_sku]])-FIND("/",Table61011[[#This Row],[spawner_sku]])),Table1[Entity Prefab],0)),10,1,1,"Entities"))</f>
        <v>195</v>
      </c>
      <c r="BU145" s="74">
        <f ca="1">ROUND((Table61011[[#This Row],[XP]]*Table61011[[#This Row],[entity_spawned (AVG)]])*(Table61011[[#This Row],[activating_chance]]/100),0)</f>
        <v>195</v>
      </c>
      <c r="BV145" s="71" t="str">
        <f ca="1">INDIRECT(ADDRESS(11+(MATCH(RIGHT(Table61011[[#This Row],[spawner_sku]],LEN(Table61011[[#This Row],[spawner_sku]])-FIND("/",Table61011[[#This Row],[spawner_sku]])),Table28[Entity Prefab],0)),24,1,1,"Entities"))</f>
        <v>yes</v>
      </c>
      <c r="BW145" s="71">
        <v>1</v>
      </c>
      <c r="BX145" s="71">
        <v>1</v>
      </c>
      <c r="BY145" s="71" t="b">
        <v>0</v>
      </c>
      <c r="BZ145" s="71"/>
      <c r="CA145" s="147" t="s">
        <v>8142</v>
      </c>
      <c r="CB145">
        <v>1</v>
      </c>
      <c r="CC145">
        <v>200</v>
      </c>
      <c r="CD145">
        <v>100</v>
      </c>
      <c r="CE145" s="74">
        <f ca="1">INDIRECT(ADDRESS(11+(MATCH(RIGHT(Table35[[#This Row],[spawner_sku]],LEN(Table35[[#This Row],[spawner_sku]])-FIND("/",Table35[[#This Row],[spawner_sku]])),Table1[Entity Prefab],0)),10,1,1,"Entities"))</f>
        <v>75</v>
      </c>
      <c r="CF145" s="74">
        <f ca="1">ROUND((Table35[[#This Row],[XP]]*Table35[[#This Row],[entity_spawned (AVG)]])*(Table35[[#This Row],[activating_chance]]/100),0)</f>
        <v>75</v>
      </c>
      <c r="CG145" s="144" t="str">
        <f ca="1">INDIRECT(ADDRESS(11+(MATCH(RIGHT(Table35[[#This Row],[spawner_sku]],LEN(Table35[[#This Row],[spawner_sku]])-FIND("/",Table35[[#This Row],[spawner_sku]])),Table28[Entity Prefab],0)),24,1,1,"Entities"))</f>
        <v>no</v>
      </c>
      <c r="CH145">
        <v>1</v>
      </c>
      <c r="CI145">
        <v>1</v>
      </c>
      <c r="CJ145" s="71" t="b">
        <v>0</v>
      </c>
      <c r="CL145" t="s">
        <v>376</v>
      </c>
      <c r="CM145">
        <v>2</v>
      </c>
      <c r="CN145">
        <v>215</v>
      </c>
      <c r="CO145">
        <v>100</v>
      </c>
      <c r="CP145" s="74">
        <f ca="1">INDIRECT(ADDRESS(11+(MATCH(RIGHT(Table11[[#This Row],[spawner_sku]],LEN(Table11[[#This Row],[spawner_sku]])-FIND("/",Table11[[#This Row],[spawner_sku]])),Table1[Entity Prefab],0)),10,1,1,"Entities"))</f>
        <v>25</v>
      </c>
      <c r="CQ145">
        <f ca="1">ROUND((Table11[[#This Row],[XP]]*Table11[[#This Row],[entity_spawned (AVG)]])*(Table11[[#This Row],[activating_chance]]/100),0)</f>
        <v>50</v>
      </c>
      <c r="CR145" s="144" t="str">
        <f ca="1">INDIRECT(ADDRESS(11+(MATCH(RIGHT(Table11[[#This Row],[spawner_sku]],LEN(Table11[[#This Row],[spawner_sku]])-FIND("/",Table11[[#This Row],[spawner_sku]])),Table28[Entity Prefab],0)),25,1,1,"Entities"))</f>
        <v>no</v>
      </c>
      <c r="CS145" s="71">
        <v>2</v>
      </c>
      <c r="CT145" s="71">
        <v>2</v>
      </c>
      <c r="CU145" s="71" t="b">
        <v>0</v>
      </c>
      <c r="CW145" t="s">
        <v>242</v>
      </c>
      <c r="CX145">
        <v>1</v>
      </c>
      <c r="CY145">
        <v>150</v>
      </c>
      <c r="CZ145">
        <v>100</v>
      </c>
      <c r="DA145" s="74">
        <f ca="1">INDIRECT(ADDRESS(11+(MATCH(RIGHT(Table12[[#This Row],[spawner_sku]],LEN(Table12[[#This Row],[spawner_sku]])-FIND("/",Table12[[#This Row],[spawner_sku]])),Table1[Entity Prefab],0)),10,1,1,"Entities"))</f>
        <v>25</v>
      </c>
      <c r="DB145" s="74">
        <f ca="1">ROUND((Table12[[#This Row],[XP]]*Table12[[#This Row],[entity_spawned (AVG)]])*(Table12[[#This Row],[activating_chance]]/100),0)</f>
        <v>25</v>
      </c>
      <c r="DC145" s="144" t="str">
        <f ca="1">INDIRECT(ADDRESS(11+(MATCH(RIGHT(Table12[[#This Row],[spawner_sku]],LEN(Table12[[#This Row],[spawner_sku]])-FIND("/",Table12[[#This Row],[spawner_sku]])),Table28[Entity Prefab],0)),25,1,1,"Entities"))</f>
        <v>no</v>
      </c>
      <c r="DD145" s="71">
        <v>1</v>
      </c>
      <c r="DE145" s="71">
        <v>1</v>
      </c>
      <c r="DF145" s="71" t="b">
        <v>0</v>
      </c>
      <c r="DH145" t="s">
        <v>233</v>
      </c>
      <c r="DI145">
        <v>1</v>
      </c>
      <c r="DJ145">
        <v>500</v>
      </c>
      <c r="DK145">
        <v>100</v>
      </c>
      <c r="DL145" s="74">
        <f ca="1">INDIRECT(ADDRESS(11+(MATCH(RIGHT(Table13[[#This Row],[spawner_sku]],LEN(Table13[[#This Row],[spawner_sku]])-FIND("/",Table13[[#This Row],[spawner_sku]])),Table1[Entity Prefab],0)),10,1,1,"Entities"))</f>
        <v>25</v>
      </c>
      <c r="DM145" s="74">
        <f ca="1">ROUND((Table13[[#This Row],[XP]]*Table13[[#This Row],[entity_spawned (AVG)]])*(Table13[[#This Row],[activating_chance]]/100),0)</f>
        <v>25</v>
      </c>
      <c r="DN145" s="144" t="str">
        <f ca="1">INDIRECT(ADDRESS(11+(MATCH(RIGHT(Table13[[#This Row],[spawner_sku]],LEN(Table13[[#This Row],[spawner_sku]])-FIND("/",Table13[[#This Row],[spawner_sku]])),Table28[Entity Prefab],0)),25,1,1,"Entities"))</f>
        <v>no</v>
      </c>
      <c r="DO145" s="71">
        <v>1</v>
      </c>
      <c r="DP145" s="71">
        <v>1</v>
      </c>
      <c r="DQ145" s="71" t="b">
        <v>0</v>
      </c>
      <c r="DS145" t="s">
        <v>218</v>
      </c>
      <c r="DT145">
        <v>1</v>
      </c>
      <c r="DU145">
        <v>5000</v>
      </c>
      <c r="DV145">
        <v>75</v>
      </c>
      <c r="DW145" s="74">
        <f ca="1">INDIRECT(ADDRESS(11+(MATCH(RIGHT(Table14[[#This Row],[spawner_sku]],LEN(Table14[[#This Row],[spawner_sku]])-FIND("/",Table14[[#This Row],[spawner_sku]])),Table1[Entity Prefab],0)),10,1,1,"Entities"))</f>
        <v>75</v>
      </c>
      <c r="DX145" s="74">
        <f ca="1">ROUND((Table14[[#This Row],[XP]]*Table14[[#This Row],[entity_spawned (AVG)]])*(Table14[[#This Row],[activating_chance]]/100),0)</f>
        <v>56</v>
      </c>
      <c r="DY145" s="144" t="str">
        <f ca="1">INDIRECT(ADDRESS(11+(MATCH(RIGHT(Table14[[#This Row],[spawner_sku]],LEN(Table14[[#This Row],[spawner_sku]])-FIND("/",Table14[[#This Row],[spawner_sku]])),Table28[Entity Prefab],0)),25,1,1,"Entities"))</f>
        <v>no</v>
      </c>
      <c r="DZ145" s="71">
        <v>1</v>
      </c>
      <c r="EA145" s="71">
        <v>1</v>
      </c>
      <c r="EB145" s="71" t="b">
        <v>0</v>
      </c>
      <c r="EC145" s="71"/>
      <c r="ED145" s="147" t="s">
        <v>3816</v>
      </c>
      <c r="EE145" s="71">
        <v>1</v>
      </c>
      <c r="EF145" s="71">
        <v>240</v>
      </c>
      <c r="EG145" s="71">
        <v>100</v>
      </c>
      <c r="EH145" s="71">
        <f ca="1">INDIRECT(ADDRESS(11+(MATCH(RIGHT(Table36[[#This Row],[spawner_sku]],LEN(Table36[[#This Row],[spawner_sku]])-FIND("/",Table36[[#This Row],[spawner_sku]])),Table1[Entity Prefab],0)),10,1,1,"Entities"))</f>
        <v>50</v>
      </c>
      <c r="EI145" s="71">
        <f ca="1">ROUND((Table36[[#This Row],[XP]]*Table36[[#This Row],[entity_spawned (AVG)]])*(Table36[[#This Row],[activating_chance]]/100),0)</f>
        <v>50</v>
      </c>
      <c r="EJ145" s="71" t="str">
        <f ca="1">INDIRECT(ADDRESS(11+(MATCH(RIGHT(Table36[[#This Row],[spawner_sku]],LEN(Table36[[#This Row],[spawner_sku]])-FIND("/",Table36[[#This Row],[spawner_sku]])),Table28[Entity Prefab],0)),25,1,1,"Entities"))</f>
        <v>no</v>
      </c>
      <c r="EK145" s="71">
        <v>1</v>
      </c>
      <c r="EL145" s="71">
        <v>1</v>
      </c>
      <c r="EM145" s="71" t="b">
        <v>0</v>
      </c>
      <c r="EO145" t="s">
        <v>220</v>
      </c>
      <c r="EP145">
        <v>1.5</v>
      </c>
      <c r="EQ145">
        <v>200</v>
      </c>
      <c r="ER145">
        <v>100</v>
      </c>
      <c r="ES145" s="74">
        <f ca="1">INDIRECT(ADDRESS(11+(MATCH(RIGHT(Table18[[#This Row],[spawner_sku]],LEN(Table18[[#This Row],[spawner_sku]])-FIND("/",Table18[[#This Row],[spawner_sku]])),Table1[Entity Prefab],0)),10,1,1,"Entities"))</f>
        <v>195</v>
      </c>
      <c r="ET145" s="74">
        <f ca="1">ROUND((Table18[[#This Row],[XP]]*Table18[[#This Row],[entity_spawned (AVG)]])*(Table18[[#This Row],[activating_chance]]/100),0)</f>
        <v>293</v>
      </c>
      <c r="EU145" s="74" t="str">
        <f ca="1">INDIRECT(ADDRESS(11+(MATCH(RIGHT(Table18[[#This Row],[spawner_sku]],LEN(Table18[[#This Row],[spawner_sku]])-FIND("/",Table18[[#This Row],[spawner_sku]])),Table28[Entity Prefab],0)),26,1,1,"Entities"))</f>
        <v>yes</v>
      </c>
      <c r="EV145">
        <v>1</v>
      </c>
      <c r="EW145">
        <v>2</v>
      </c>
      <c r="EX145" t="b">
        <v>0</v>
      </c>
      <c r="EZ145" t="s">
        <v>493</v>
      </c>
      <c r="FA145">
        <v>2</v>
      </c>
      <c r="FB145">
        <v>120</v>
      </c>
      <c r="FC145">
        <v>100</v>
      </c>
      <c r="FD145" s="74">
        <f ca="1">INDIRECT(ADDRESS(11+(MATCH(RIGHT(Table1820[[#This Row],[spawner_sku]],LEN(Table1820[[#This Row],[spawner_sku]])-FIND("/",Table1820[[#This Row],[spawner_sku]])),Table1[Entity Prefab],0)),10,1,1,"Entities"))</f>
        <v>35</v>
      </c>
      <c r="FE145" s="74">
        <f ca="1">ROUND((Table1820[[#This Row],[XP]]*Table1820[[#This Row],[entity_spawned (AVG)]])*(Table1820[[#This Row],[activating_chance]]/100),0)</f>
        <v>70</v>
      </c>
      <c r="FF145" s="74" t="str">
        <f ca="1">INDIRECT(ADDRESS(11+(MATCH(RIGHT(Table1820[[#This Row],[spawner_sku]],LEN(Table1820[[#This Row],[spawner_sku]])-FIND("/",Table1820[[#This Row],[spawner_sku]])),Table28[Entity Prefab],0)),26,1,1,"Entities"))</f>
        <v>no</v>
      </c>
      <c r="FG145">
        <v>2</v>
      </c>
      <c r="FH145">
        <v>2</v>
      </c>
      <c r="FI145" t="b">
        <v>0</v>
      </c>
      <c r="FK145" t="s">
        <v>2691</v>
      </c>
      <c r="FL145">
        <v>1</v>
      </c>
      <c r="FM145">
        <v>80</v>
      </c>
      <c r="FN145">
        <v>100</v>
      </c>
      <c r="FO145">
        <f ca="1">INDIRECT(ADDRESS(11+(MATCH(RIGHT(Table182023[[#This Row],[spawner_sku]],LEN(Table182023[[#This Row],[spawner_sku]])-FIND("/",Table182023[[#This Row],[spawner_sku]])),Table1[Entity Prefab],0)),10,1,1,"Entities"))</f>
        <v>105</v>
      </c>
      <c r="FP145">
        <f ca="1">ROUND((Table182023[[#This Row],[XP]]*Table182023[[#This Row],[entity_spawned (AVG)]])*(Table182023[[#This Row],[activating_chance]]/100),0)</f>
        <v>105</v>
      </c>
      <c r="FQ145" t="str">
        <f ca="1">INDIRECT(ADDRESS(11+(MATCH(RIGHT(Table182023[[#This Row],[spawner_sku]],LEN(Table182023[[#This Row],[spawner_sku]])-FIND("/",Table182023[[#This Row],[spawner_sku]])),Table28[Entity Prefab],0)),26,1,1,"Entities"))</f>
        <v>no</v>
      </c>
      <c r="FR145">
        <v>1</v>
      </c>
      <c r="FS145">
        <v>1</v>
      </c>
      <c r="FT145" t="b">
        <v>0</v>
      </c>
      <c r="FV145" t="s">
        <v>2697</v>
      </c>
      <c r="FW145">
        <v>3</v>
      </c>
      <c r="FX145">
        <v>70</v>
      </c>
      <c r="FY145">
        <v>100</v>
      </c>
      <c r="FZ145" s="74">
        <f ca="1">INDIRECT(ADDRESS(11+(MATCH(RIGHT(Table18202324[[#This Row],[spawner_sku]],LEN(Table18202324[[#This Row],[spawner_sku]])-FIND("/",Table18202324[[#This Row],[spawner_sku]])),Table1[Entity Prefab],0)),10,1,1,"Entities"))</f>
        <v>25</v>
      </c>
      <c r="GA145" s="74">
        <f ca="1">ROUND((Table18202324[[#This Row],[XP]]*Table18202324[[#This Row],[entity_spawned (AVG)]])*(Table18202324[[#This Row],[activating_chance]]/100),0)</f>
        <v>75</v>
      </c>
      <c r="GB145" s="74" t="str">
        <f ca="1">INDIRECT(ADDRESS(11+(MATCH(RIGHT(Table18202324[[#This Row],[spawner_sku]],LEN(Table18202324[[#This Row],[spawner_sku]])-FIND("/",Table18202324[[#This Row],[spawner_sku]])),Table28[Entity Prefab],0)),26,1,1,"Entities"))</f>
        <v>no</v>
      </c>
      <c r="GC145">
        <v>2</v>
      </c>
      <c r="GD145">
        <v>4</v>
      </c>
      <c r="GE145" t="b">
        <v>0</v>
      </c>
      <c r="GG145" t="s">
        <v>3816</v>
      </c>
      <c r="GH145">
        <v>1</v>
      </c>
      <c r="GI145">
        <v>240</v>
      </c>
      <c r="GJ145">
        <v>100</v>
      </c>
      <c r="GK145">
        <f ca="1">INDIRECT(ADDRESS(11+(MATCH(RIGHT(Table37[[#This Row],[spawner_sku]],LEN(Table37[[#This Row],[spawner_sku]])-FIND("/",Table37[[#This Row],[spawner_sku]])),Table1[Entity Prefab],0)),10,1,1,"Entities"))</f>
        <v>50</v>
      </c>
      <c r="GL145">
        <f ca="1">ROUND((Table37[[#This Row],[XP]]*Table37[[#This Row],[entity_spawned (AVG)]])*(Table37[[#This Row],[activating_chance]]/100),0)</f>
        <v>50</v>
      </c>
      <c r="GM145" t="str">
        <f ca="1">INDIRECT(ADDRESS(11+(MATCH(RIGHT(Table37[[#This Row],[spawner_sku]],LEN(Table37[[#This Row],[spawner_sku]])-FIND("/",Table37[[#This Row],[spawner_sku]])),Table28[Entity Prefab],0)),26,1,1,"Entities"))</f>
        <v>no</v>
      </c>
      <c r="GN145">
        <v>1</v>
      </c>
      <c r="GO145">
        <v>1</v>
      </c>
      <c r="GP145" t="b">
        <v>0</v>
      </c>
    </row>
    <row r="146" spans="2:198" x14ac:dyDescent="0.25">
      <c r="B146" s="72" t="s">
        <v>215</v>
      </c>
      <c r="C146">
        <v>3</v>
      </c>
      <c r="D146">
        <v>110</v>
      </c>
      <c r="E146">
        <v>30</v>
      </c>
      <c r="F146" s="74">
        <f ca="1">INDIRECT(ADDRESS(11+(MATCH(RIGHT(Table245[[#This Row],[spawner_sku]],LEN(Table245[[#This Row],[spawner_sku]])-FIND("/",Table245[[#This Row],[spawner_sku]])),Table1[Entity Prefab],0)),10,1,1,"Entities"))</f>
        <v>25</v>
      </c>
      <c r="G146" s="74">
        <f ca="1">ROUND((Table245[[#This Row],[XP]]*Table245[[#This Row],[entity_spawned (AVG)]])*(Table245[[#This Row],[activating_chance]]/100),0)</f>
        <v>23</v>
      </c>
      <c r="H146" s="71" t="str">
        <f ca="1">INDIRECT(ADDRESS(11+(MATCH(RIGHT(Table245[[#This Row],[spawner_sku]],LEN(Table245[[#This Row],[spawner_sku]])-FIND("/",Table245[[#This Row],[spawner_sku]])),Table28[Entity Prefab],0)),24,1,1,"Entities"))</f>
        <v>no</v>
      </c>
      <c r="I146" s="71">
        <v>2</v>
      </c>
      <c r="J146" s="71">
        <v>4</v>
      </c>
      <c r="K146" s="71" t="b">
        <v>0</v>
      </c>
      <c r="M146" t="s">
        <v>366</v>
      </c>
      <c r="N146">
        <v>5</v>
      </c>
      <c r="O146">
        <v>100</v>
      </c>
      <c r="P146">
        <v>100</v>
      </c>
      <c r="Q146" s="74">
        <f ca="1">INDIRECT(ADDRESS(11+(MATCH(RIGHT(Table3[[#This Row],[spawner_sku]],LEN(Table3[[#This Row],[spawner_sku]])-FIND("/",Table3[[#This Row],[spawner_sku]])),Table1[Entity Prefab],0)),10,1,1,"Entities"))</f>
        <v>25</v>
      </c>
      <c r="R146" s="74">
        <f ca="1">ROUND((Table3[[#This Row],[XP]]*Table3[[#This Row],[entity_spawned (AVG)]])*(Table3[[#This Row],[activating_chance]]/100),0)</f>
        <v>125</v>
      </c>
      <c r="S146" t="str">
        <f ca="1">INDIRECT(ADDRESS(11+(MATCH(RIGHT(Table3[[#This Row],[spawner_sku]],LEN(Table3[[#This Row],[spawner_sku]])-FIND("/",Table3[[#This Row],[spawner_sku]])),Table28[Entity Prefab],0)),24,1,1,"Entities"))</f>
        <v>no</v>
      </c>
      <c r="T146">
        <v>5</v>
      </c>
      <c r="U146">
        <v>5</v>
      </c>
      <c r="V146" t="b">
        <v>1</v>
      </c>
      <c r="W146" s="71"/>
      <c r="AI146" t="s">
        <v>219</v>
      </c>
      <c r="AJ146">
        <v>1</v>
      </c>
      <c r="AK146">
        <v>250</v>
      </c>
      <c r="AL146">
        <v>100</v>
      </c>
      <c r="AM146" s="74">
        <f ca="1">INDIRECT(ADDRESS(11+(MATCH(RIGHT(Table2[[#This Row],[spawner_sku]],LEN(Table2[[#This Row],[spawner_sku]])-FIND("/",Table2[[#This Row],[spawner_sku]])),Table1[Entity Prefab],0)),10,1,1,"Entities"))</f>
        <v>143</v>
      </c>
      <c r="AN146" s="74">
        <f ca="1">ROUND((Table2[[#This Row],[XP]]*Table2[[#This Row],[entity_spawned (AVG)]])*(Table2[[#This Row],[activating_chance]]/100),0)</f>
        <v>143</v>
      </c>
      <c r="AO146" s="71" t="str">
        <f ca="1">INDIRECT(ADDRESS(11+(MATCH(RIGHT(Table2[[#This Row],[spawner_sku]],LEN(Table2[[#This Row],[spawner_sku]])-FIND("/",Table2[[#This Row],[spawner_sku]])),Table28[Entity Prefab],0)),24,1,1,"Entities"))</f>
        <v>yes</v>
      </c>
      <c r="AP146" s="71">
        <v>1</v>
      </c>
      <c r="AQ146" s="71">
        <v>1</v>
      </c>
      <c r="AR146" s="71" t="b">
        <v>0</v>
      </c>
      <c r="AT146" t="s">
        <v>427</v>
      </c>
      <c r="AU146">
        <v>3</v>
      </c>
      <c r="AV146">
        <v>90</v>
      </c>
      <c r="AW146">
        <v>100</v>
      </c>
      <c r="AX146" s="74">
        <f ca="1">INDIRECT(ADDRESS(11+(MATCH(RIGHT(Table6[[#This Row],[spawner_sku]],LEN(Table6[[#This Row],[spawner_sku]])-FIND("/",Table6[[#This Row],[spawner_sku]])),Table1[Entity Prefab],0)),10,1,1,"Entities"))</f>
        <v>25</v>
      </c>
      <c r="AY146" s="74">
        <f ca="1">ROUND((Table6[[#This Row],[XP]]*Table6[[#This Row],[entity_spawned (AVG)]])*(Table6[[#This Row],[activating_chance]]/100),0)</f>
        <v>75</v>
      </c>
      <c r="AZ146" s="144" t="str">
        <f ca="1">INDIRECT(ADDRESS(11+(MATCH(RIGHT(Table6[[#This Row],[spawner_sku]],LEN(Table6[[#This Row],[spawner_sku]])-FIND("/",Table6[[#This Row],[spawner_sku]])),Table28[Entity Prefab],0)),24,1,1,"Entities"))</f>
        <v>no</v>
      </c>
      <c r="BA146">
        <v>3</v>
      </c>
      <c r="BB146">
        <v>3</v>
      </c>
      <c r="BC146" t="b">
        <v>0</v>
      </c>
      <c r="BE146" t="s">
        <v>2631</v>
      </c>
      <c r="BF146">
        <v>1</v>
      </c>
      <c r="BG146">
        <v>180</v>
      </c>
      <c r="BH146">
        <v>100</v>
      </c>
      <c r="BI146" s="74">
        <f ca="1">INDIRECT(ADDRESS(11+(MATCH(RIGHT(Table610[[#This Row],[spawner_sku]],LEN(Table610[[#This Row],[spawner_sku]])-FIND("/",Table610[[#This Row],[spawner_sku]])),Table1[Entity Prefab],0)),10,1,1,"Entities"))</f>
        <v>75</v>
      </c>
      <c r="BJ146" s="74">
        <f ca="1">ROUND((Table610[[#This Row],[XP]]*Table610[[#This Row],[entity_spawned (AVG)]])*(Table610[[#This Row],[activating_chance]]/100),0)</f>
        <v>75</v>
      </c>
      <c r="BK146" s="71" t="str">
        <f ca="1">INDIRECT(ADDRESS(11+(MATCH(RIGHT(Table610[[#This Row],[spawner_sku]],LEN(Table610[[#This Row],[spawner_sku]])-FIND("/",Table610[[#This Row],[spawner_sku]])),Table28[Entity Prefab],0)),24,1,1,"Entities"))</f>
        <v>no</v>
      </c>
      <c r="BL146">
        <v>1</v>
      </c>
      <c r="BM146">
        <v>1</v>
      </c>
      <c r="BN146" t="b">
        <v>0</v>
      </c>
      <c r="BP146" t="s">
        <v>321</v>
      </c>
      <c r="BQ146">
        <v>1</v>
      </c>
      <c r="BR146">
        <v>300</v>
      </c>
      <c r="BS146">
        <v>100</v>
      </c>
      <c r="BT146" s="74">
        <f ca="1">INDIRECT(ADDRESS(11+(MATCH(RIGHT(Table61011[[#This Row],[spawner_sku]],LEN(Table61011[[#This Row],[spawner_sku]])-FIND("/",Table61011[[#This Row],[spawner_sku]])),Table1[Entity Prefab],0)),10,1,1,"Entities"))</f>
        <v>195</v>
      </c>
      <c r="BU146" s="74">
        <f ca="1">ROUND((Table61011[[#This Row],[XP]]*Table61011[[#This Row],[entity_spawned (AVG)]])*(Table61011[[#This Row],[activating_chance]]/100),0)</f>
        <v>195</v>
      </c>
      <c r="BV146" s="71" t="str">
        <f ca="1">INDIRECT(ADDRESS(11+(MATCH(RIGHT(Table61011[[#This Row],[spawner_sku]],LEN(Table61011[[#This Row],[spawner_sku]])-FIND("/",Table61011[[#This Row],[spawner_sku]])),Table28[Entity Prefab],0)),24,1,1,"Entities"))</f>
        <v>yes</v>
      </c>
      <c r="BW146" s="71">
        <v>1</v>
      </c>
      <c r="BX146" s="71">
        <v>1</v>
      </c>
      <c r="BY146" s="71" t="b">
        <v>0</v>
      </c>
      <c r="BZ146" s="71"/>
      <c r="CA146" s="147" t="s">
        <v>8142</v>
      </c>
      <c r="CB146">
        <v>1</v>
      </c>
      <c r="CC146">
        <v>200</v>
      </c>
      <c r="CD146">
        <v>100</v>
      </c>
      <c r="CE146" s="74">
        <f ca="1">INDIRECT(ADDRESS(11+(MATCH(RIGHT(Table35[[#This Row],[spawner_sku]],LEN(Table35[[#This Row],[spawner_sku]])-FIND("/",Table35[[#This Row],[spawner_sku]])),Table1[Entity Prefab],0)),10,1,1,"Entities"))</f>
        <v>75</v>
      </c>
      <c r="CF146" s="74">
        <f ca="1">ROUND((Table35[[#This Row],[XP]]*Table35[[#This Row],[entity_spawned (AVG)]])*(Table35[[#This Row],[activating_chance]]/100),0)</f>
        <v>75</v>
      </c>
      <c r="CG146" s="144" t="str">
        <f ca="1">INDIRECT(ADDRESS(11+(MATCH(RIGHT(Table35[[#This Row],[spawner_sku]],LEN(Table35[[#This Row],[spawner_sku]])-FIND("/",Table35[[#This Row],[spawner_sku]])),Table28[Entity Prefab],0)),24,1,1,"Entities"))</f>
        <v>no</v>
      </c>
      <c r="CH146">
        <v>1</v>
      </c>
      <c r="CI146">
        <v>1</v>
      </c>
      <c r="CJ146" s="71" t="b">
        <v>0</v>
      </c>
      <c r="CL146" t="s">
        <v>376</v>
      </c>
      <c r="CM146">
        <v>2</v>
      </c>
      <c r="CN146">
        <v>215</v>
      </c>
      <c r="CO146">
        <v>100</v>
      </c>
      <c r="CP146" s="74">
        <f ca="1">INDIRECT(ADDRESS(11+(MATCH(RIGHT(Table11[[#This Row],[spawner_sku]],LEN(Table11[[#This Row],[spawner_sku]])-FIND("/",Table11[[#This Row],[spawner_sku]])),Table1[Entity Prefab],0)),10,1,1,"Entities"))</f>
        <v>25</v>
      </c>
      <c r="CQ146">
        <f ca="1">ROUND((Table11[[#This Row],[XP]]*Table11[[#This Row],[entity_spawned (AVG)]])*(Table11[[#This Row],[activating_chance]]/100),0)</f>
        <v>50</v>
      </c>
      <c r="CR146" s="144" t="str">
        <f ca="1">INDIRECT(ADDRESS(11+(MATCH(RIGHT(Table11[[#This Row],[spawner_sku]],LEN(Table11[[#This Row],[spawner_sku]])-FIND("/",Table11[[#This Row],[spawner_sku]])),Table28[Entity Prefab],0)),25,1,1,"Entities"))</f>
        <v>no</v>
      </c>
      <c r="CS146" s="71">
        <v>2</v>
      </c>
      <c r="CT146" s="71">
        <v>2</v>
      </c>
      <c r="CU146" s="71" t="b">
        <v>0</v>
      </c>
      <c r="CW146" t="s">
        <v>242</v>
      </c>
      <c r="CX146">
        <v>1</v>
      </c>
      <c r="CY146">
        <v>150</v>
      </c>
      <c r="CZ146">
        <v>0</v>
      </c>
      <c r="DA146" s="74">
        <f ca="1">INDIRECT(ADDRESS(11+(MATCH(RIGHT(Table12[[#This Row],[spawner_sku]],LEN(Table12[[#This Row],[spawner_sku]])-FIND("/",Table12[[#This Row],[spawner_sku]])),Table1[Entity Prefab],0)),10,1,1,"Entities"))</f>
        <v>25</v>
      </c>
      <c r="DB146" s="74">
        <f ca="1">ROUND((Table12[[#This Row],[XP]]*Table12[[#This Row],[entity_spawned (AVG)]])*(Table12[[#This Row],[activating_chance]]/100),0)</f>
        <v>0</v>
      </c>
      <c r="DC146" s="144" t="str">
        <f ca="1">INDIRECT(ADDRESS(11+(MATCH(RIGHT(Table12[[#This Row],[spawner_sku]],LEN(Table12[[#This Row],[spawner_sku]])-FIND("/",Table12[[#This Row],[spawner_sku]])),Table28[Entity Prefab],0)),25,1,1,"Entities"))</f>
        <v>no</v>
      </c>
      <c r="DD146" s="71">
        <v>1</v>
      </c>
      <c r="DE146" s="71">
        <v>1</v>
      </c>
      <c r="DF146" s="71" t="b">
        <v>0</v>
      </c>
      <c r="DH146" t="s">
        <v>233</v>
      </c>
      <c r="DI146">
        <v>1</v>
      </c>
      <c r="DJ146">
        <v>500</v>
      </c>
      <c r="DK146">
        <v>85</v>
      </c>
      <c r="DL146" s="74">
        <f ca="1">INDIRECT(ADDRESS(11+(MATCH(RIGHT(Table13[[#This Row],[spawner_sku]],LEN(Table13[[#This Row],[spawner_sku]])-FIND("/",Table13[[#This Row],[spawner_sku]])),Table1[Entity Prefab],0)),10,1,1,"Entities"))</f>
        <v>25</v>
      </c>
      <c r="DM146" s="74">
        <f ca="1">ROUND((Table13[[#This Row],[XP]]*Table13[[#This Row],[entity_spawned (AVG)]])*(Table13[[#This Row],[activating_chance]]/100),0)</f>
        <v>21</v>
      </c>
      <c r="DN146" s="144" t="str">
        <f ca="1">INDIRECT(ADDRESS(11+(MATCH(RIGHT(Table13[[#This Row],[spawner_sku]],LEN(Table13[[#This Row],[spawner_sku]])-FIND("/",Table13[[#This Row],[spawner_sku]])),Table28[Entity Prefab],0)),25,1,1,"Entities"))</f>
        <v>no</v>
      </c>
      <c r="DO146" s="71">
        <v>1</v>
      </c>
      <c r="DP146" s="71">
        <v>1</v>
      </c>
      <c r="DQ146" s="71" t="b">
        <v>0</v>
      </c>
      <c r="DS146" t="s">
        <v>218</v>
      </c>
      <c r="DT146">
        <v>1</v>
      </c>
      <c r="DU146">
        <v>5000</v>
      </c>
      <c r="DV146">
        <v>75</v>
      </c>
      <c r="DW146" s="74">
        <f ca="1">INDIRECT(ADDRESS(11+(MATCH(RIGHT(Table14[[#This Row],[spawner_sku]],LEN(Table14[[#This Row],[spawner_sku]])-FIND("/",Table14[[#This Row],[spawner_sku]])),Table1[Entity Prefab],0)),10,1,1,"Entities"))</f>
        <v>75</v>
      </c>
      <c r="DX146" s="74">
        <f ca="1">ROUND((Table14[[#This Row],[XP]]*Table14[[#This Row],[entity_spawned (AVG)]])*(Table14[[#This Row],[activating_chance]]/100),0)</f>
        <v>56</v>
      </c>
      <c r="DY146" s="144" t="str">
        <f ca="1">INDIRECT(ADDRESS(11+(MATCH(RIGHT(Table14[[#This Row],[spawner_sku]],LEN(Table14[[#This Row],[spawner_sku]])-FIND("/",Table14[[#This Row],[spawner_sku]])),Table28[Entity Prefab],0)),25,1,1,"Entities"))</f>
        <v>no</v>
      </c>
      <c r="DZ146" s="71">
        <v>1</v>
      </c>
      <c r="EA146" s="71">
        <v>1</v>
      </c>
      <c r="EB146" s="71" t="b">
        <v>0</v>
      </c>
      <c r="EC146" s="71"/>
      <c r="ED146" s="147" t="s">
        <v>3816</v>
      </c>
      <c r="EE146" s="71">
        <v>1</v>
      </c>
      <c r="EF146" s="71">
        <v>240</v>
      </c>
      <c r="EG146" s="71">
        <v>100</v>
      </c>
      <c r="EH146" s="71">
        <f ca="1">INDIRECT(ADDRESS(11+(MATCH(RIGHT(Table36[[#This Row],[spawner_sku]],LEN(Table36[[#This Row],[spawner_sku]])-FIND("/",Table36[[#This Row],[spawner_sku]])),Table1[Entity Prefab],0)),10,1,1,"Entities"))</f>
        <v>50</v>
      </c>
      <c r="EI146" s="71">
        <f ca="1">ROUND((Table36[[#This Row],[XP]]*Table36[[#This Row],[entity_spawned (AVG)]])*(Table36[[#This Row],[activating_chance]]/100),0)</f>
        <v>50</v>
      </c>
      <c r="EJ146" s="71" t="str">
        <f ca="1">INDIRECT(ADDRESS(11+(MATCH(RIGHT(Table36[[#This Row],[spawner_sku]],LEN(Table36[[#This Row],[spawner_sku]])-FIND("/",Table36[[#This Row],[spawner_sku]])),Table28[Entity Prefab],0)),25,1,1,"Entities"))</f>
        <v>no</v>
      </c>
      <c r="EK146" s="71">
        <v>1</v>
      </c>
      <c r="EL146" s="71">
        <v>1</v>
      </c>
      <c r="EM146" s="71" t="b">
        <v>0</v>
      </c>
      <c r="EO146" t="s">
        <v>220</v>
      </c>
      <c r="EP146">
        <v>1.5</v>
      </c>
      <c r="EQ146">
        <v>200</v>
      </c>
      <c r="ER146">
        <v>100</v>
      </c>
      <c r="ES146" s="74">
        <f ca="1">INDIRECT(ADDRESS(11+(MATCH(RIGHT(Table18[[#This Row],[spawner_sku]],LEN(Table18[[#This Row],[spawner_sku]])-FIND("/",Table18[[#This Row],[spawner_sku]])),Table1[Entity Prefab],0)),10,1,1,"Entities"))</f>
        <v>195</v>
      </c>
      <c r="ET146" s="74">
        <f ca="1">ROUND((Table18[[#This Row],[XP]]*Table18[[#This Row],[entity_spawned (AVG)]])*(Table18[[#This Row],[activating_chance]]/100),0)</f>
        <v>293</v>
      </c>
      <c r="EU146" s="74" t="str">
        <f ca="1">INDIRECT(ADDRESS(11+(MATCH(RIGHT(Table18[[#This Row],[spawner_sku]],LEN(Table18[[#This Row],[spawner_sku]])-FIND("/",Table18[[#This Row],[spawner_sku]])),Table28[Entity Prefab],0)),26,1,1,"Entities"))</f>
        <v>yes</v>
      </c>
      <c r="EV146">
        <v>1</v>
      </c>
      <c r="EW146">
        <v>2</v>
      </c>
      <c r="EX146" t="b">
        <v>0</v>
      </c>
      <c r="EZ146" t="s">
        <v>493</v>
      </c>
      <c r="FA146">
        <v>2</v>
      </c>
      <c r="FB146">
        <v>120</v>
      </c>
      <c r="FC146">
        <v>100</v>
      </c>
      <c r="FD146" s="74">
        <f ca="1">INDIRECT(ADDRESS(11+(MATCH(RIGHT(Table1820[[#This Row],[spawner_sku]],LEN(Table1820[[#This Row],[spawner_sku]])-FIND("/",Table1820[[#This Row],[spawner_sku]])),Table1[Entity Prefab],0)),10,1,1,"Entities"))</f>
        <v>35</v>
      </c>
      <c r="FE146" s="74">
        <f ca="1">ROUND((Table1820[[#This Row],[XP]]*Table1820[[#This Row],[entity_spawned (AVG)]])*(Table1820[[#This Row],[activating_chance]]/100),0)</f>
        <v>70</v>
      </c>
      <c r="FF146" s="74" t="str">
        <f ca="1">INDIRECT(ADDRESS(11+(MATCH(RIGHT(Table1820[[#This Row],[spawner_sku]],LEN(Table1820[[#This Row],[spawner_sku]])-FIND("/",Table1820[[#This Row],[spawner_sku]])),Table28[Entity Prefab],0)),26,1,1,"Entities"))</f>
        <v>no</v>
      </c>
      <c r="FG146">
        <v>2</v>
      </c>
      <c r="FH146">
        <v>2</v>
      </c>
      <c r="FI146" t="b">
        <v>0</v>
      </c>
      <c r="FK146" t="s">
        <v>2691</v>
      </c>
      <c r="FL146">
        <v>1.5</v>
      </c>
      <c r="FM146">
        <v>80</v>
      </c>
      <c r="FN146">
        <v>100</v>
      </c>
      <c r="FO146">
        <f ca="1">INDIRECT(ADDRESS(11+(MATCH(RIGHT(Table182023[[#This Row],[spawner_sku]],LEN(Table182023[[#This Row],[spawner_sku]])-FIND("/",Table182023[[#This Row],[spawner_sku]])),Table1[Entity Prefab],0)),10,1,1,"Entities"))</f>
        <v>105</v>
      </c>
      <c r="FP146">
        <f ca="1">ROUND((Table182023[[#This Row],[XP]]*Table182023[[#This Row],[entity_spawned (AVG)]])*(Table182023[[#This Row],[activating_chance]]/100),0)</f>
        <v>158</v>
      </c>
      <c r="FQ146" t="str">
        <f ca="1">INDIRECT(ADDRESS(11+(MATCH(RIGHT(Table182023[[#This Row],[spawner_sku]],LEN(Table182023[[#This Row],[spawner_sku]])-FIND("/",Table182023[[#This Row],[spawner_sku]])),Table28[Entity Prefab],0)),26,1,1,"Entities"))</f>
        <v>no</v>
      </c>
      <c r="FR146">
        <v>1</v>
      </c>
      <c r="FS146">
        <v>2</v>
      </c>
      <c r="FT146" t="b">
        <v>0</v>
      </c>
      <c r="FV146" t="s">
        <v>2697</v>
      </c>
      <c r="FW146">
        <v>1.5</v>
      </c>
      <c r="FX146">
        <v>80</v>
      </c>
      <c r="FY146">
        <v>100</v>
      </c>
      <c r="FZ146" s="74">
        <f ca="1">INDIRECT(ADDRESS(11+(MATCH(RIGHT(Table18202324[[#This Row],[spawner_sku]],LEN(Table18202324[[#This Row],[spawner_sku]])-FIND("/",Table18202324[[#This Row],[spawner_sku]])),Table1[Entity Prefab],0)),10,1,1,"Entities"))</f>
        <v>25</v>
      </c>
      <c r="GA146" s="74">
        <f ca="1">ROUND((Table18202324[[#This Row],[XP]]*Table18202324[[#This Row],[entity_spawned (AVG)]])*(Table18202324[[#This Row],[activating_chance]]/100),0)</f>
        <v>38</v>
      </c>
      <c r="GB146" s="74" t="str">
        <f ca="1">INDIRECT(ADDRESS(11+(MATCH(RIGHT(Table18202324[[#This Row],[spawner_sku]],LEN(Table18202324[[#This Row],[spawner_sku]])-FIND("/",Table18202324[[#This Row],[spawner_sku]])),Table28[Entity Prefab],0)),26,1,1,"Entities"))</f>
        <v>no</v>
      </c>
      <c r="GC146">
        <v>1</v>
      </c>
      <c r="GD146">
        <v>2</v>
      </c>
      <c r="GE146" t="b">
        <v>0</v>
      </c>
      <c r="GG146" t="s">
        <v>3816</v>
      </c>
      <c r="GH146">
        <v>1</v>
      </c>
      <c r="GI146">
        <v>240</v>
      </c>
      <c r="GJ146">
        <v>100</v>
      </c>
      <c r="GK146">
        <f ca="1">INDIRECT(ADDRESS(11+(MATCH(RIGHT(Table37[[#This Row],[spawner_sku]],LEN(Table37[[#This Row],[spawner_sku]])-FIND("/",Table37[[#This Row],[spawner_sku]])),Table1[Entity Prefab],0)),10,1,1,"Entities"))</f>
        <v>50</v>
      </c>
      <c r="GL146">
        <f ca="1">ROUND((Table37[[#This Row],[XP]]*Table37[[#This Row],[entity_spawned (AVG)]])*(Table37[[#This Row],[activating_chance]]/100),0)</f>
        <v>50</v>
      </c>
      <c r="GM146" t="str">
        <f ca="1">INDIRECT(ADDRESS(11+(MATCH(RIGHT(Table37[[#This Row],[spawner_sku]],LEN(Table37[[#This Row],[spawner_sku]])-FIND("/",Table37[[#This Row],[spawner_sku]])),Table28[Entity Prefab],0)),26,1,1,"Entities"))</f>
        <v>no</v>
      </c>
      <c r="GN146">
        <v>1</v>
      </c>
      <c r="GO146">
        <v>1</v>
      </c>
      <c r="GP146" t="b">
        <v>0</v>
      </c>
    </row>
    <row r="147" spans="2:198" x14ac:dyDescent="0.25">
      <c r="B147" s="72" t="s">
        <v>215</v>
      </c>
      <c r="C147">
        <v>2</v>
      </c>
      <c r="D147">
        <v>110</v>
      </c>
      <c r="E147">
        <v>100</v>
      </c>
      <c r="F147" s="74">
        <f ca="1">INDIRECT(ADDRESS(11+(MATCH(RIGHT(Table245[[#This Row],[spawner_sku]],LEN(Table245[[#This Row],[spawner_sku]])-FIND("/",Table245[[#This Row],[spawner_sku]])),Table1[Entity Prefab],0)),10,1,1,"Entities"))</f>
        <v>25</v>
      </c>
      <c r="G147" s="74">
        <f ca="1">ROUND((Table245[[#This Row],[XP]]*Table245[[#This Row],[entity_spawned (AVG)]])*(Table245[[#This Row],[activating_chance]]/100),0)</f>
        <v>50</v>
      </c>
      <c r="H147" s="71" t="str">
        <f ca="1">INDIRECT(ADDRESS(11+(MATCH(RIGHT(Table245[[#This Row],[spawner_sku]],LEN(Table245[[#This Row],[spawner_sku]])-FIND("/",Table245[[#This Row],[spawner_sku]])),Table28[Entity Prefab],0)),24,1,1,"Entities"))</f>
        <v>no</v>
      </c>
      <c r="I147" s="71">
        <v>1</v>
      </c>
      <c r="J147" s="71">
        <v>3</v>
      </c>
      <c r="K147" s="71" t="b">
        <v>0</v>
      </c>
      <c r="M147" t="s">
        <v>366</v>
      </c>
      <c r="N147">
        <v>3</v>
      </c>
      <c r="O147">
        <v>100</v>
      </c>
      <c r="P147">
        <v>100</v>
      </c>
      <c r="Q147" s="74">
        <f ca="1">INDIRECT(ADDRESS(11+(MATCH(RIGHT(Table3[[#This Row],[spawner_sku]],LEN(Table3[[#This Row],[spawner_sku]])-FIND("/",Table3[[#This Row],[spawner_sku]])),Table1[Entity Prefab],0)),10,1,1,"Entities"))</f>
        <v>25</v>
      </c>
      <c r="R147" s="74">
        <f ca="1">ROUND((Table3[[#This Row],[XP]]*Table3[[#This Row],[entity_spawned (AVG)]])*(Table3[[#This Row],[activating_chance]]/100),0)</f>
        <v>75</v>
      </c>
      <c r="S147" t="str">
        <f ca="1">INDIRECT(ADDRESS(11+(MATCH(RIGHT(Table3[[#This Row],[spawner_sku]],LEN(Table3[[#This Row],[spawner_sku]])-FIND("/",Table3[[#This Row],[spawner_sku]])),Table28[Entity Prefab],0)),24,1,1,"Entities"))</f>
        <v>no</v>
      </c>
      <c r="T147">
        <v>3</v>
      </c>
      <c r="U147">
        <v>3</v>
      </c>
      <c r="V147" t="b">
        <v>0</v>
      </c>
      <c r="W147" s="71"/>
      <c r="AI147" t="s">
        <v>219</v>
      </c>
      <c r="AJ147">
        <v>1</v>
      </c>
      <c r="AK147">
        <v>250</v>
      </c>
      <c r="AL147">
        <v>100</v>
      </c>
      <c r="AM147" s="74">
        <f ca="1">INDIRECT(ADDRESS(11+(MATCH(RIGHT(Table2[[#This Row],[spawner_sku]],LEN(Table2[[#This Row],[spawner_sku]])-FIND("/",Table2[[#This Row],[spawner_sku]])),Table1[Entity Prefab],0)),10,1,1,"Entities"))</f>
        <v>143</v>
      </c>
      <c r="AN147" s="74">
        <f ca="1">ROUND((Table2[[#This Row],[XP]]*Table2[[#This Row],[entity_spawned (AVG)]])*(Table2[[#This Row],[activating_chance]]/100),0)</f>
        <v>143</v>
      </c>
      <c r="AO147" s="71" t="str">
        <f ca="1">INDIRECT(ADDRESS(11+(MATCH(RIGHT(Table2[[#This Row],[spawner_sku]],LEN(Table2[[#This Row],[spawner_sku]])-FIND("/",Table2[[#This Row],[spawner_sku]])),Table28[Entity Prefab],0)),24,1,1,"Entities"))</f>
        <v>yes</v>
      </c>
      <c r="AP147" s="71">
        <v>1</v>
      </c>
      <c r="AQ147" s="71">
        <v>1</v>
      </c>
      <c r="AR147" s="71" t="b">
        <v>0</v>
      </c>
      <c r="AT147" t="s">
        <v>240</v>
      </c>
      <c r="AU147">
        <v>1</v>
      </c>
      <c r="AV147">
        <v>170</v>
      </c>
      <c r="AW147">
        <v>100</v>
      </c>
      <c r="AX147" s="74">
        <f ca="1">INDIRECT(ADDRESS(11+(MATCH(RIGHT(Table6[[#This Row],[spawner_sku]],LEN(Table6[[#This Row],[spawner_sku]])-FIND("/",Table6[[#This Row],[spawner_sku]])),Table1[Entity Prefab],0)),10,1,1,"Entities"))</f>
        <v>70</v>
      </c>
      <c r="AY147" s="74">
        <f ca="1">ROUND((Table6[[#This Row],[XP]]*Table6[[#This Row],[entity_spawned (AVG)]])*(Table6[[#This Row],[activating_chance]]/100),0)</f>
        <v>70</v>
      </c>
      <c r="AZ147" s="144" t="str">
        <f ca="1">INDIRECT(ADDRESS(11+(MATCH(RIGHT(Table6[[#This Row],[spawner_sku]],LEN(Table6[[#This Row],[spawner_sku]])-FIND("/",Table6[[#This Row],[spawner_sku]])),Table28[Entity Prefab],0)),24,1,1,"Entities"))</f>
        <v>yes</v>
      </c>
      <c r="BA147">
        <v>1</v>
      </c>
      <c r="BB147">
        <v>1</v>
      </c>
      <c r="BC147" t="b">
        <v>0</v>
      </c>
      <c r="BE147" t="s">
        <v>2631</v>
      </c>
      <c r="BF147">
        <v>1</v>
      </c>
      <c r="BG147">
        <v>180</v>
      </c>
      <c r="BH147">
        <v>100</v>
      </c>
      <c r="BI147" s="74">
        <f ca="1">INDIRECT(ADDRESS(11+(MATCH(RIGHT(Table610[[#This Row],[spawner_sku]],LEN(Table610[[#This Row],[spawner_sku]])-FIND("/",Table610[[#This Row],[spawner_sku]])),Table1[Entity Prefab],0)),10,1,1,"Entities"))</f>
        <v>75</v>
      </c>
      <c r="BJ147" s="74">
        <f ca="1">ROUND((Table610[[#This Row],[XP]]*Table610[[#This Row],[entity_spawned (AVG)]])*(Table610[[#This Row],[activating_chance]]/100),0)</f>
        <v>75</v>
      </c>
      <c r="BK147" s="71" t="str">
        <f ca="1">INDIRECT(ADDRESS(11+(MATCH(RIGHT(Table610[[#This Row],[spawner_sku]],LEN(Table610[[#This Row],[spawner_sku]])-FIND("/",Table610[[#This Row],[spawner_sku]])),Table28[Entity Prefab],0)),24,1,1,"Entities"))</f>
        <v>no</v>
      </c>
      <c r="BL147">
        <v>1</v>
      </c>
      <c r="BM147">
        <v>1</v>
      </c>
      <c r="BN147" t="b">
        <v>0</v>
      </c>
      <c r="BP147" t="s">
        <v>321</v>
      </c>
      <c r="BQ147">
        <v>1</v>
      </c>
      <c r="BR147">
        <v>300</v>
      </c>
      <c r="BS147">
        <v>100</v>
      </c>
      <c r="BT147" s="74">
        <f ca="1">INDIRECT(ADDRESS(11+(MATCH(RIGHT(Table61011[[#This Row],[spawner_sku]],LEN(Table61011[[#This Row],[spawner_sku]])-FIND("/",Table61011[[#This Row],[spawner_sku]])),Table1[Entity Prefab],0)),10,1,1,"Entities"))</f>
        <v>195</v>
      </c>
      <c r="BU147" s="74">
        <f ca="1">ROUND((Table61011[[#This Row],[XP]]*Table61011[[#This Row],[entity_spawned (AVG)]])*(Table61011[[#This Row],[activating_chance]]/100),0)</f>
        <v>195</v>
      </c>
      <c r="BV147" s="71" t="str">
        <f ca="1">INDIRECT(ADDRESS(11+(MATCH(RIGHT(Table61011[[#This Row],[spawner_sku]],LEN(Table61011[[#This Row],[spawner_sku]])-FIND("/",Table61011[[#This Row],[spawner_sku]])),Table28[Entity Prefab],0)),24,1,1,"Entities"))</f>
        <v>yes</v>
      </c>
      <c r="BW147" s="71">
        <v>1</v>
      </c>
      <c r="BX147" s="71">
        <v>1</v>
      </c>
      <c r="BY147" s="71" t="b">
        <v>0</v>
      </c>
      <c r="BZ147" s="71"/>
      <c r="CA147" s="147" t="s">
        <v>8142</v>
      </c>
      <c r="CB147">
        <v>1</v>
      </c>
      <c r="CC147">
        <v>200</v>
      </c>
      <c r="CD147">
        <v>100</v>
      </c>
      <c r="CE147" s="74">
        <f ca="1">INDIRECT(ADDRESS(11+(MATCH(RIGHT(Table35[[#This Row],[spawner_sku]],LEN(Table35[[#This Row],[spawner_sku]])-FIND("/",Table35[[#This Row],[spawner_sku]])),Table1[Entity Prefab],0)),10,1,1,"Entities"))</f>
        <v>75</v>
      </c>
      <c r="CF147" s="74">
        <f ca="1">ROUND((Table35[[#This Row],[XP]]*Table35[[#This Row],[entity_spawned (AVG)]])*(Table35[[#This Row],[activating_chance]]/100),0)</f>
        <v>75</v>
      </c>
      <c r="CG147" s="144" t="str">
        <f ca="1">INDIRECT(ADDRESS(11+(MATCH(RIGHT(Table35[[#This Row],[spawner_sku]],LEN(Table35[[#This Row],[spawner_sku]])-FIND("/",Table35[[#This Row],[spawner_sku]])),Table28[Entity Prefab],0)),24,1,1,"Entities"))</f>
        <v>no</v>
      </c>
      <c r="CH147">
        <v>1</v>
      </c>
      <c r="CI147">
        <v>1</v>
      </c>
      <c r="CJ147" s="71" t="b">
        <v>0</v>
      </c>
      <c r="CL147" t="s">
        <v>376</v>
      </c>
      <c r="CM147">
        <v>2</v>
      </c>
      <c r="CN147">
        <v>200</v>
      </c>
      <c r="CO147">
        <v>100</v>
      </c>
      <c r="CP147" s="74">
        <f ca="1">INDIRECT(ADDRESS(11+(MATCH(RIGHT(Table11[[#This Row],[spawner_sku]],LEN(Table11[[#This Row],[spawner_sku]])-FIND("/",Table11[[#This Row],[spawner_sku]])),Table1[Entity Prefab],0)),10,1,1,"Entities"))</f>
        <v>25</v>
      </c>
      <c r="CQ147">
        <f ca="1">ROUND((Table11[[#This Row],[XP]]*Table11[[#This Row],[entity_spawned (AVG)]])*(Table11[[#This Row],[activating_chance]]/100),0)</f>
        <v>50</v>
      </c>
      <c r="CR147" s="144" t="str">
        <f ca="1">INDIRECT(ADDRESS(11+(MATCH(RIGHT(Table11[[#This Row],[spawner_sku]],LEN(Table11[[#This Row],[spawner_sku]])-FIND("/",Table11[[#This Row],[spawner_sku]])),Table28[Entity Prefab],0)),25,1,1,"Entities"))</f>
        <v>no</v>
      </c>
      <c r="CS147" s="71">
        <v>2</v>
      </c>
      <c r="CT147" s="71">
        <v>2</v>
      </c>
      <c r="CU147" s="71" t="b">
        <v>0</v>
      </c>
      <c r="CW147" t="s">
        <v>242</v>
      </c>
      <c r="CX147">
        <v>1</v>
      </c>
      <c r="CY147">
        <v>150</v>
      </c>
      <c r="CZ147">
        <v>100</v>
      </c>
      <c r="DA147" s="74">
        <f ca="1">INDIRECT(ADDRESS(11+(MATCH(RIGHT(Table12[[#This Row],[spawner_sku]],LEN(Table12[[#This Row],[spawner_sku]])-FIND("/",Table12[[#This Row],[spawner_sku]])),Table1[Entity Prefab],0)),10,1,1,"Entities"))</f>
        <v>25</v>
      </c>
      <c r="DB147" s="74">
        <f ca="1">ROUND((Table12[[#This Row],[XP]]*Table12[[#This Row],[entity_spawned (AVG)]])*(Table12[[#This Row],[activating_chance]]/100),0)</f>
        <v>25</v>
      </c>
      <c r="DC147" s="144" t="str">
        <f ca="1">INDIRECT(ADDRESS(11+(MATCH(RIGHT(Table12[[#This Row],[spawner_sku]],LEN(Table12[[#This Row],[spawner_sku]])-FIND("/",Table12[[#This Row],[spawner_sku]])),Table28[Entity Prefab],0)),25,1,1,"Entities"))</f>
        <v>no</v>
      </c>
      <c r="DD147" s="71">
        <v>1</v>
      </c>
      <c r="DE147" s="71">
        <v>1</v>
      </c>
      <c r="DF147" s="71" t="b">
        <v>0</v>
      </c>
      <c r="DH147" t="s">
        <v>233</v>
      </c>
      <c r="DI147">
        <v>1</v>
      </c>
      <c r="DJ147">
        <v>500</v>
      </c>
      <c r="DK147">
        <v>100</v>
      </c>
      <c r="DL147" s="74">
        <f ca="1">INDIRECT(ADDRESS(11+(MATCH(RIGHT(Table13[[#This Row],[spawner_sku]],LEN(Table13[[#This Row],[spawner_sku]])-FIND("/",Table13[[#This Row],[spawner_sku]])),Table1[Entity Prefab],0)),10,1,1,"Entities"))</f>
        <v>25</v>
      </c>
      <c r="DM147" s="74">
        <f ca="1">ROUND((Table13[[#This Row],[XP]]*Table13[[#This Row],[entity_spawned (AVG)]])*(Table13[[#This Row],[activating_chance]]/100),0)</f>
        <v>25</v>
      </c>
      <c r="DN147" s="144" t="str">
        <f ca="1">INDIRECT(ADDRESS(11+(MATCH(RIGHT(Table13[[#This Row],[spawner_sku]],LEN(Table13[[#This Row],[spawner_sku]])-FIND("/",Table13[[#This Row],[spawner_sku]])),Table28[Entity Prefab],0)),25,1,1,"Entities"))</f>
        <v>no</v>
      </c>
      <c r="DO147" s="71">
        <v>1</v>
      </c>
      <c r="DP147" s="71">
        <v>1</v>
      </c>
      <c r="DQ147" s="71" t="b">
        <v>0</v>
      </c>
      <c r="DS147" t="s">
        <v>223</v>
      </c>
      <c r="DT147">
        <v>1.5</v>
      </c>
      <c r="DU147">
        <v>100</v>
      </c>
      <c r="DV147">
        <v>100</v>
      </c>
      <c r="DW147" s="74">
        <f ca="1">INDIRECT(ADDRESS(11+(MATCH(RIGHT(Table14[[#This Row],[spawner_sku]],LEN(Table14[[#This Row],[spawner_sku]])-FIND("/",Table14[[#This Row],[spawner_sku]])),Table1[Entity Prefab],0)),10,1,1,"Entities"))</f>
        <v>70</v>
      </c>
      <c r="DX147" s="74">
        <f ca="1">ROUND((Table14[[#This Row],[XP]]*Table14[[#This Row],[entity_spawned (AVG)]])*(Table14[[#This Row],[activating_chance]]/100),0)</f>
        <v>105</v>
      </c>
      <c r="DY147" s="144" t="str">
        <f ca="1">INDIRECT(ADDRESS(11+(MATCH(RIGHT(Table14[[#This Row],[spawner_sku]],LEN(Table14[[#This Row],[spawner_sku]])-FIND("/",Table14[[#This Row],[spawner_sku]])),Table28[Entity Prefab],0)),25,1,1,"Entities"))</f>
        <v>no</v>
      </c>
      <c r="DZ147" s="71">
        <v>1</v>
      </c>
      <c r="EA147" s="71">
        <v>2</v>
      </c>
      <c r="EB147" s="71" t="b">
        <v>0</v>
      </c>
      <c r="EC147" s="71"/>
      <c r="ED147" s="147" t="s">
        <v>3816</v>
      </c>
      <c r="EE147" s="71">
        <v>1</v>
      </c>
      <c r="EF147" s="71">
        <v>240</v>
      </c>
      <c r="EG147" s="71">
        <v>100</v>
      </c>
      <c r="EH147" s="71">
        <f ca="1">INDIRECT(ADDRESS(11+(MATCH(RIGHT(Table36[[#This Row],[spawner_sku]],LEN(Table36[[#This Row],[spawner_sku]])-FIND("/",Table36[[#This Row],[spawner_sku]])),Table1[Entity Prefab],0)),10,1,1,"Entities"))</f>
        <v>50</v>
      </c>
      <c r="EI147" s="71">
        <f ca="1">ROUND((Table36[[#This Row],[XP]]*Table36[[#This Row],[entity_spawned (AVG)]])*(Table36[[#This Row],[activating_chance]]/100),0)</f>
        <v>50</v>
      </c>
      <c r="EJ147" s="71" t="str">
        <f ca="1">INDIRECT(ADDRESS(11+(MATCH(RIGHT(Table36[[#This Row],[spawner_sku]],LEN(Table36[[#This Row],[spawner_sku]])-FIND("/",Table36[[#This Row],[spawner_sku]])),Table28[Entity Prefab],0)),25,1,1,"Entities"))</f>
        <v>no</v>
      </c>
      <c r="EK147" s="71">
        <v>1</v>
      </c>
      <c r="EL147" s="71">
        <v>1</v>
      </c>
      <c r="EM147" s="71" t="b">
        <v>0</v>
      </c>
      <c r="EO147" t="s">
        <v>220</v>
      </c>
      <c r="EP147">
        <v>1.5</v>
      </c>
      <c r="EQ147">
        <v>200</v>
      </c>
      <c r="ER147">
        <v>100</v>
      </c>
      <c r="ES147" s="74">
        <f ca="1">INDIRECT(ADDRESS(11+(MATCH(RIGHT(Table18[[#This Row],[spawner_sku]],LEN(Table18[[#This Row],[spawner_sku]])-FIND("/",Table18[[#This Row],[spawner_sku]])),Table1[Entity Prefab],0)),10,1,1,"Entities"))</f>
        <v>195</v>
      </c>
      <c r="ET147" s="74">
        <f ca="1">ROUND((Table18[[#This Row],[XP]]*Table18[[#This Row],[entity_spawned (AVG)]])*(Table18[[#This Row],[activating_chance]]/100),0)</f>
        <v>293</v>
      </c>
      <c r="EU147" s="74" t="str">
        <f ca="1">INDIRECT(ADDRESS(11+(MATCH(RIGHT(Table18[[#This Row],[spawner_sku]],LEN(Table18[[#This Row],[spawner_sku]])-FIND("/",Table18[[#This Row],[spawner_sku]])),Table28[Entity Prefab],0)),26,1,1,"Entities"))</f>
        <v>yes</v>
      </c>
      <c r="EV147">
        <v>1</v>
      </c>
      <c r="EW147">
        <v>2</v>
      </c>
      <c r="EX147" t="b">
        <v>0</v>
      </c>
      <c r="EZ147" t="s">
        <v>493</v>
      </c>
      <c r="FA147">
        <v>1.5</v>
      </c>
      <c r="FB147">
        <v>120</v>
      </c>
      <c r="FC147">
        <v>100</v>
      </c>
      <c r="FD147" s="74">
        <f ca="1">INDIRECT(ADDRESS(11+(MATCH(RIGHT(Table1820[[#This Row],[spawner_sku]],LEN(Table1820[[#This Row],[spawner_sku]])-FIND("/",Table1820[[#This Row],[spawner_sku]])),Table1[Entity Prefab],0)),10,1,1,"Entities"))</f>
        <v>35</v>
      </c>
      <c r="FE147" s="74">
        <f ca="1">ROUND((Table1820[[#This Row],[XP]]*Table1820[[#This Row],[entity_spawned (AVG)]])*(Table1820[[#This Row],[activating_chance]]/100),0)</f>
        <v>53</v>
      </c>
      <c r="FF147" s="74" t="str">
        <f ca="1">INDIRECT(ADDRESS(11+(MATCH(RIGHT(Table1820[[#This Row],[spawner_sku]],LEN(Table1820[[#This Row],[spawner_sku]])-FIND("/",Table1820[[#This Row],[spawner_sku]])),Table28[Entity Prefab],0)),26,1,1,"Entities"))</f>
        <v>no</v>
      </c>
      <c r="FG147">
        <v>1</v>
      </c>
      <c r="FH147">
        <v>2</v>
      </c>
      <c r="FI147" t="b">
        <v>0</v>
      </c>
      <c r="FK147" t="s">
        <v>2691</v>
      </c>
      <c r="FL147">
        <v>1</v>
      </c>
      <c r="FM147">
        <v>85</v>
      </c>
      <c r="FN147">
        <v>100</v>
      </c>
      <c r="FO147">
        <f ca="1">INDIRECT(ADDRESS(11+(MATCH(RIGHT(Table182023[[#This Row],[spawner_sku]],LEN(Table182023[[#This Row],[spawner_sku]])-FIND("/",Table182023[[#This Row],[spawner_sku]])),Table1[Entity Prefab],0)),10,1,1,"Entities"))</f>
        <v>105</v>
      </c>
      <c r="FP147">
        <f ca="1">ROUND((Table182023[[#This Row],[XP]]*Table182023[[#This Row],[entity_spawned (AVG)]])*(Table182023[[#This Row],[activating_chance]]/100),0)</f>
        <v>105</v>
      </c>
      <c r="FQ147" t="str">
        <f ca="1">INDIRECT(ADDRESS(11+(MATCH(RIGHT(Table182023[[#This Row],[spawner_sku]],LEN(Table182023[[#This Row],[spawner_sku]])-FIND("/",Table182023[[#This Row],[spawner_sku]])),Table28[Entity Prefab],0)),26,1,1,"Entities"))</f>
        <v>no</v>
      </c>
      <c r="FR147">
        <v>1</v>
      </c>
      <c r="FS147">
        <v>1</v>
      </c>
      <c r="FT147" t="b">
        <v>0</v>
      </c>
      <c r="FV147" t="s">
        <v>2697</v>
      </c>
      <c r="FW147">
        <v>3.5</v>
      </c>
      <c r="FX147">
        <v>70</v>
      </c>
      <c r="FY147">
        <v>100</v>
      </c>
      <c r="FZ147" s="74">
        <f ca="1">INDIRECT(ADDRESS(11+(MATCH(RIGHT(Table18202324[[#This Row],[spawner_sku]],LEN(Table18202324[[#This Row],[spawner_sku]])-FIND("/",Table18202324[[#This Row],[spawner_sku]])),Table1[Entity Prefab],0)),10,1,1,"Entities"))</f>
        <v>25</v>
      </c>
      <c r="GA147" s="74">
        <f ca="1">ROUND((Table18202324[[#This Row],[XP]]*Table18202324[[#This Row],[entity_spawned (AVG)]])*(Table18202324[[#This Row],[activating_chance]]/100),0)</f>
        <v>88</v>
      </c>
      <c r="GB147" s="74" t="str">
        <f ca="1">INDIRECT(ADDRESS(11+(MATCH(RIGHT(Table18202324[[#This Row],[spawner_sku]],LEN(Table18202324[[#This Row],[spawner_sku]])-FIND("/",Table18202324[[#This Row],[spawner_sku]])),Table28[Entity Prefab],0)),26,1,1,"Entities"))</f>
        <v>no</v>
      </c>
      <c r="GC147">
        <v>3</v>
      </c>
      <c r="GD147">
        <v>4</v>
      </c>
      <c r="GE147" t="b">
        <v>0</v>
      </c>
      <c r="GG147" t="s">
        <v>3816</v>
      </c>
      <c r="GH147">
        <v>1</v>
      </c>
      <c r="GI147">
        <v>240</v>
      </c>
      <c r="GJ147">
        <v>100</v>
      </c>
      <c r="GK147">
        <f ca="1">INDIRECT(ADDRESS(11+(MATCH(RIGHT(Table37[[#This Row],[spawner_sku]],LEN(Table37[[#This Row],[spawner_sku]])-FIND("/",Table37[[#This Row],[spawner_sku]])),Table1[Entity Prefab],0)),10,1,1,"Entities"))</f>
        <v>50</v>
      </c>
      <c r="GL147">
        <f ca="1">ROUND((Table37[[#This Row],[XP]]*Table37[[#This Row],[entity_spawned (AVG)]])*(Table37[[#This Row],[activating_chance]]/100),0)</f>
        <v>50</v>
      </c>
      <c r="GM147" t="str">
        <f ca="1">INDIRECT(ADDRESS(11+(MATCH(RIGHT(Table37[[#This Row],[spawner_sku]],LEN(Table37[[#This Row],[spawner_sku]])-FIND("/",Table37[[#This Row],[spawner_sku]])),Table28[Entity Prefab],0)),26,1,1,"Entities"))</f>
        <v>no</v>
      </c>
      <c r="GN147">
        <v>1</v>
      </c>
      <c r="GO147">
        <v>1</v>
      </c>
      <c r="GP147" t="b">
        <v>0</v>
      </c>
    </row>
    <row r="148" spans="2:198" x14ac:dyDescent="0.25">
      <c r="B148" s="72" t="s">
        <v>215</v>
      </c>
      <c r="C148">
        <v>3</v>
      </c>
      <c r="D148">
        <v>160</v>
      </c>
      <c r="E148">
        <v>100</v>
      </c>
      <c r="F148" s="74">
        <f ca="1">INDIRECT(ADDRESS(11+(MATCH(RIGHT(Table245[[#This Row],[spawner_sku]],LEN(Table245[[#This Row],[spawner_sku]])-FIND("/",Table245[[#This Row],[spawner_sku]])),Table1[Entity Prefab],0)),10,1,1,"Entities"))</f>
        <v>25</v>
      </c>
      <c r="G148" s="74">
        <f ca="1">ROUND((Table245[[#This Row],[XP]]*Table245[[#This Row],[entity_spawned (AVG)]])*(Table245[[#This Row],[activating_chance]]/100),0)</f>
        <v>75</v>
      </c>
      <c r="H148" s="71" t="str">
        <f ca="1">INDIRECT(ADDRESS(11+(MATCH(RIGHT(Table245[[#This Row],[spawner_sku]],LEN(Table245[[#This Row],[spawner_sku]])-FIND("/",Table245[[#This Row],[spawner_sku]])),Table28[Entity Prefab],0)),24,1,1,"Entities"))</f>
        <v>no</v>
      </c>
      <c r="I148" s="71">
        <v>2</v>
      </c>
      <c r="J148" s="71">
        <v>4</v>
      </c>
      <c r="K148" s="71" t="b">
        <v>0</v>
      </c>
      <c r="M148" t="s">
        <v>365</v>
      </c>
      <c r="N148">
        <v>1</v>
      </c>
      <c r="O148">
        <v>240</v>
      </c>
      <c r="P148">
        <v>100</v>
      </c>
      <c r="Q148" s="74">
        <f ca="1">INDIRECT(ADDRESS(11+(MATCH(RIGHT(Table3[[#This Row],[spawner_sku]],LEN(Table3[[#This Row],[spawner_sku]])-FIND("/",Table3[[#This Row],[spawner_sku]])),Table1[Entity Prefab],0)),10,1,1,"Entities"))</f>
        <v>28</v>
      </c>
      <c r="R148" s="74">
        <f ca="1">ROUND((Table3[[#This Row],[XP]]*Table3[[#This Row],[entity_spawned (AVG)]])*(Table3[[#This Row],[activating_chance]]/100),0)</f>
        <v>28</v>
      </c>
      <c r="S148" t="str">
        <f ca="1">INDIRECT(ADDRESS(11+(MATCH(RIGHT(Table3[[#This Row],[spawner_sku]],LEN(Table3[[#This Row],[spawner_sku]])-FIND("/",Table3[[#This Row],[spawner_sku]])),Table28[Entity Prefab],0)),24,1,1,"Entities"))</f>
        <v>yes</v>
      </c>
      <c r="T148">
        <v>1</v>
      </c>
      <c r="U148">
        <v>1</v>
      </c>
      <c r="V148" t="b">
        <v>0</v>
      </c>
      <c r="W148" s="71"/>
      <c r="AI148" t="s">
        <v>219</v>
      </c>
      <c r="AJ148">
        <v>2</v>
      </c>
      <c r="AK148">
        <v>250</v>
      </c>
      <c r="AL148">
        <v>100</v>
      </c>
      <c r="AM148" s="74">
        <f ca="1">INDIRECT(ADDRESS(11+(MATCH(RIGHT(Table2[[#This Row],[spawner_sku]],LEN(Table2[[#This Row],[spawner_sku]])-FIND("/",Table2[[#This Row],[spawner_sku]])),Table1[Entity Prefab],0)),10,1,1,"Entities"))</f>
        <v>143</v>
      </c>
      <c r="AN148" s="74">
        <f ca="1">ROUND((Table2[[#This Row],[XP]]*Table2[[#This Row],[entity_spawned (AVG)]])*(Table2[[#This Row],[activating_chance]]/100),0)</f>
        <v>286</v>
      </c>
      <c r="AO148" s="71" t="str">
        <f ca="1">INDIRECT(ADDRESS(11+(MATCH(RIGHT(Table2[[#This Row],[spawner_sku]],LEN(Table2[[#This Row],[spawner_sku]])-FIND("/",Table2[[#This Row],[spawner_sku]])),Table28[Entity Prefab],0)),24,1,1,"Entities"))</f>
        <v>yes</v>
      </c>
      <c r="AP148" s="71">
        <v>2</v>
      </c>
      <c r="AQ148" s="71">
        <v>2</v>
      </c>
      <c r="AR148" s="71" t="b">
        <v>0</v>
      </c>
      <c r="AT148" t="s">
        <v>240</v>
      </c>
      <c r="AU148">
        <v>1</v>
      </c>
      <c r="AV148">
        <v>170</v>
      </c>
      <c r="AW148">
        <v>100</v>
      </c>
      <c r="AX148" s="74">
        <f ca="1">INDIRECT(ADDRESS(11+(MATCH(RIGHT(Table6[[#This Row],[spawner_sku]],LEN(Table6[[#This Row],[spawner_sku]])-FIND("/",Table6[[#This Row],[spawner_sku]])),Table1[Entity Prefab],0)),10,1,1,"Entities"))</f>
        <v>70</v>
      </c>
      <c r="AY148" s="74">
        <f ca="1">ROUND((Table6[[#This Row],[XP]]*Table6[[#This Row],[entity_spawned (AVG)]])*(Table6[[#This Row],[activating_chance]]/100),0)</f>
        <v>70</v>
      </c>
      <c r="AZ148" s="144" t="str">
        <f ca="1">INDIRECT(ADDRESS(11+(MATCH(RIGHT(Table6[[#This Row],[spawner_sku]],LEN(Table6[[#This Row],[spawner_sku]])-FIND("/",Table6[[#This Row],[spawner_sku]])),Table28[Entity Prefab],0)),24,1,1,"Entities"))</f>
        <v>yes</v>
      </c>
      <c r="BA148">
        <v>1</v>
      </c>
      <c r="BB148">
        <v>1</v>
      </c>
      <c r="BC148" t="b">
        <v>0</v>
      </c>
      <c r="BE148" t="s">
        <v>448</v>
      </c>
      <c r="BF148">
        <v>1</v>
      </c>
      <c r="BG148">
        <v>280</v>
      </c>
      <c r="BH148">
        <v>100</v>
      </c>
      <c r="BI148" s="74">
        <f ca="1">INDIRECT(ADDRESS(11+(MATCH(RIGHT(Table610[[#This Row],[spawner_sku]],LEN(Table610[[#This Row],[spawner_sku]])-FIND("/",Table610[[#This Row],[spawner_sku]])),Table1[Entity Prefab],0)),10,1,1,"Entities"))</f>
        <v>143</v>
      </c>
      <c r="BJ148" s="74">
        <f ca="1">ROUND((Table610[[#This Row],[XP]]*Table610[[#This Row],[entity_spawned (AVG)]])*(Table610[[#This Row],[activating_chance]]/100),0)</f>
        <v>143</v>
      </c>
      <c r="BK148" s="71" t="str">
        <f ca="1">INDIRECT(ADDRESS(11+(MATCH(RIGHT(Table610[[#This Row],[spawner_sku]],LEN(Table610[[#This Row],[spawner_sku]])-FIND("/",Table610[[#This Row],[spawner_sku]])),Table28[Entity Prefab],0)),24,1,1,"Entities"))</f>
        <v>yes</v>
      </c>
      <c r="BL148">
        <v>1</v>
      </c>
      <c r="BM148">
        <v>1</v>
      </c>
      <c r="BN148" t="b">
        <v>0</v>
      </c>
      <c r="BP148" t="s">
        <v>321</v>
      </c>
      <c r="BQ148">
        <v>1</v>
      </c>
      <c r="BR148">
        <v>300</v>
      </c>
      <c r="BS148">
        <v>100</v>
      </c>
      <c r="BT148" s="74">
        <f ca="1">INDIRECT(ADDRESS(11+(MATCH(RIGHT(Table61011[[#This Row],[spawner_sku]],LEN(Table61011[[#This Row],[spawner_sku]])-FIND("/",Table61011[[#This Row],[spawner_sku]])),Table1[Entity Prefab],0)),10,1,1,"Entities"))</f>
        <v>195</v>
      </c>
      <c r="BU148" s="74">
        <f ca="1">ROUND((Table61011[[#This Row],[XP]]*Table61011[[#This Row],[entity_spawned (AVG)]])*(Table61011[[#This Row],[activating_chance]]/100),0)</f>
        <v>195</v>
      </c>
      <c r="BV148" s="71" t="str">
        <f ca="1">INDIRECT(ADDRESS(11+(MATCH(RIGHT(Table61011[[#This Row],[spawner_sku]],LEN(Table61011[[#This Row],[spawner_sku]])-FIND("/",Table61011[[#This Row],[spawner_sku]])),Table28[Entity Prefab],0)),24,1,1,"Entities"))</f>
        <v>yes</v>
      </c>
      <c r="BW148" s="71">
        <v>1</v>
      </c>
      <c r="BX148" s="71">
        <v>1</v>
      </c>
      <c r="BY148" s="71" t="b">
        <v>0</v>
      </c>
      <c r="BZ148" s="71"/>
      <c r="CA148" s="147" t="s">
        <v>8142</v>
      </c>
      <c r="CB148">
        <v>1</v>
      </c>
      <c r="CC148">
        <v>200</v>
      </c>
      <c r="CD148">
        <v>100</v>
      </c>
      <c r="CE148" s="74">
        <f ca="1">INDIRECT(ADDRESS(11+(MATCH(RIGHT(Table35[[#This Row],[spawner_sku]],LEN(Table35[[#This Row],[spawner_sku]])-FIND("/",Table35[[#This Row],[spawner_sku]])),Table1[Entity Prefab],0)),10,1,1,"Entities"))</f>
        <v>75</v>
      </c>
      <c r="CF148" s="74">
        <f ca="1">ROUND((Table35[[#This Row],[XP]]*Table35[[#This Row],[entity_spawned (AVG)]])*(Table35[[#This Row],[activating_chance]]/100),0)</f>
        <v>75</v>
      </c>
      <c r="CG148" s="144" t="str">
        <f ca="1">INDIRECT(ADDRESS(11+(MATCH(RIGHT(Table35[[#This Row],[spawner_sku]],LEN(Table35[[#This Row],[spawner_sku]])-FIND("/",Table35[[#This Row],[spawner_sku]])),Table28[Entity Prefab],0)),24,1,1,"Entities"))</f>
        <v>no</v>
      </c>
      <c r="CH148">
        <v>1</v>
      </c>
      <c r="CI148">
        <v>1</v>
      </c>
      <c r="CJ148" s="71" t="b">
        <v>0</v>
      </c>
      <c r="CL148" t="s">
        <v>376</v>
      </c>
      <c r="CM148">
        <v>6</v>
      </c>
      <c r="CN148">
        <v>200</v>
      </c>
      <c r="CO148">
        <v>100</v>
      </c>
      <c r="CP148" s="74">
        <f ca="1">INDIRECT(ADDRESS(11+(MATCH(RIGHT(Table11[[#This Row],[spawner_sku]],LEN(Table11[[#This Row],[spawner_sku]])-FIND("/",Table11[[#This Row],[spawner_sku]])),Table1[Entity Prefab],0)),10,1,1,"Entities"))</f>
        <v>25</v>
      </c>
      <c r="CQ148">
        <f ca="1">ROUND((Table11[[#This Row],[XP]]*Table11[[#This Row],[entity_spawned (AVG)]])*(Table11[[#This Row],[activating_chance]]/100),0)</f>
        <v>150</v>
      </c>
      <c r="CR148" s="144" t="str">
        <f ca="1">INDIRECT(ADDRESS(11+(MATCH(RIGHT(Table11[[#This Row],[spawner_sku]],LEN(Table11[[#This Row],[spawner_sku]])-FIND("/",Table11[[#This Row],[spawner_sku]])),Table28[Entity Prefab],0)),25,1,1,"Entities"))</f>
        <v>no</v>
      </c>
      <c r="CS148" s="71">
        <v>5</v>
      </c>
      <c r="CT148" s="71">
        <v>7</v>
      </c>
      <c r="CU148" s="71" t="b">
        <v>1</v>
      </c>
      <c r="CW148" t="s">
        <v>242</v>
      </c>
      <c r="CX148">
        <v>1</v>
      </c>
      <c r="CY148">
        <v>150</v>
      </c>
      <c r="CZ148">
        <v>80</v>
      </c>
      <c r="DA148" s="74">
        <f ca="1">INDIRECT(ADDRESS(11+(MATCH(RIGHT(Table12[[#This Row],[spawner_sku]],LEN(Table12[[#This Row],[spawner_sku]])-FIND("/",Table12[[#This Row],[spawner_sku]])),Table1[Entity Prefab],0)),10,1,1,"Entities"))</f>
        <v>25</v>
      </c>
      <c r="DB148" s="74">
        <f ca="1">ROUND((Table12[[#This Row],[XP]]*Table12[[#This Row],[entity_spawned (AVG)]])*(Table12[[#This Row],[activating_chance]]/100),0)</f>
        <v>20</v>
      </c>
      <c r="DC148" s="144" t="str">
        <f ca="1">INDIRECT(ADDRESS(11+(MATCH(RIGHT(Table12[[#This Row],[spawner_sku]],LEN(Table12[[#This Row],[spawner_sku]])-FIND("/",Table12[[#This Row],[spawner_sku]])),Table28[Entity Prefab],0)),25,1,1,"Entities"))</f>
        <v>no</v>
      </c>
      <c r="DD148" s="71">
        <v>1</v>
      </c>
      <c r="DE148" s="71">
        <v>1</v>
      </c>
      <c r="DF148" s="71" t="b">
        <v>0</v>
      </c>
      <c r="DH148" t="s">
        <v>233</v>
      </c>
      <c r="DI148">
        <v>1</v>
      </c>
      <c r="DJ148">
        <v>500</v>
      </c>
      <c r="DK148">
        <v>75</v>
      </c>
      <c r="DL148" s="74">
        <f ca="1">INDIRECT(ADDRESS(11+(MATCH(RIGHT(Table13[[#This Row],[spawner_sku]],LEN(Table13[[#This Row],[spawner_sku]])-FIND("/",Table13[[#This Row],[spawner_sku]])),Table1[Entity Prefab],0)),10,1,1,"Entities"))</f>
        <v>25</v>
      </c>
      <c r="DM148" s="74">
        <f ca="1">ROUND((Table13[[#This Row],[XP]]*Table13[[#This Row],[entity_spawned (AVG)]])*(Table13[[#This Row],[activating_chance]]/100),0)</f>
        <v>19</v>
      </c>
      <c r="DN148" s="144" t="str">
        <f ca="1">INDIRECT(ADDRESS(11+(MATCH(RIGHT(Table13[[#This Row],[spawner_sku]],LEN(Table13[[#This Row],[spawner_sku]])-FIND("/",Table13[[#This Row],[spawner_sku]])),Table28[Entity Prefab],0)),25,1,1,"Entities"))</f>
        <v>no</v>
      </c>
      <c r="DO148" s="71">
        <v>1</v>
      </c>
      <c r="DP148" s="71">
        <v>1</v>
      </c>
      <c r="DQ148" s="71" t="b">
        <v>0</v>
      </c>
      <c r="DS148" t="s">
        <v>223</v>
      </c>
      <c r="DT148">
        <v>1</v>
      </c>
      <c r="DU148">
        <v>100</v>
      </c>
      <c r="DV148">
        <v>100</v>
      </c>
      <c r="DW148" s="74">
        <f ca="1">INDIRECT(ADDRESS(11+(MATCH(RIGHT(Table14[[#This Row],[spawner_sku]],LEN(Table14[[#This Row],[spawner_sku]])-FIND("/",Table14[[#This Row],[spawner_sku]])),Table1[Entity Prefab],0)),10,1,1,"Entities"))</f>
        <v>70</v>
      </c>
      <c r="DX148" s="74">
        <f ca="1">ROUND((Table14[[#This Row],[XP]]*Table14[[#This Row],[entity_spawned (AVG)]])*(Table14[[#This Row],[activating_chance]]/100),0)</f>
        <v>70</v>
      </c>
      <c r="DY148" s="144" t="str">
        <f ca="1">INDIRECT(ADDRESS(11+(MATCH(RIGHT(Table14[[#This Row],[spawner_sku]],LEN(Table14[[#This Row],[spawner_sku]])-FIND("/",Table14[[#This Row],[spawner_sku]])),Table28[Entity Prefab],0)),25,1,1,"Entities"))</f>
        <v>no</v>
      </c>
      <c r="DZ148" s="71">
        <v>1</v>
      </c>
      <c r="EA148" s="71">
        <v>1</v>
      </c>
      <c r="EB148" s="71" t="b">
        <v>0</v>
      </c>
      <c r="EC148" s="71"/>
      <c r="ED148" s="147" t="s">
        <v>3816</v>
      </c>
      <c r="EE148" s="71">
        <v>1</v>
      </c>
      <c r="EF148" s="71">
        <v>240</v>
      </c>
      <c r="EG148" s="71">
        <v>100</v>
      </c>
      <c r="EH148" s="71">
        <f ca="1">INDIRECT(ADDRESS(11+(MATCH(RIGHT(Table36[[#This Row],[spawner_sku]],LEN(Table36[[#This Row],[spawner_sku]])-FIND("/",Table36[[#This Row],[spawner_sku]])),Table1[Entity Prefab],0)),10,1,1,"Entities"))</f>
        <v>50</v>
      </c>
      <c r="EI148" s="71">
        <f ca="1">ROUND((Table36[[#This Row],[XP]]*Table36[[#This Row],[entity_spawned (AVG)]])*(Table36[[#This Row],[activating_chance]]/100),0)</f>
        <v>50</v>
      </c>
      <c r="EJ148" s="71" t="str">
        <f ca="1">INDIRECT(ADDRESS(11+(MATCH(RIGHT(Table36[[#This Row],[spawner_sku]],LEN(Table36[[#This Row],[spawner_sku]])-FIND("/",Table36[[#This Row],[spawner_sku]])),Table28[Entity Prefab],0)),25,1,1,"Entities"))</f>
        <v>no</v>
      </c>
      <c r="EK148" s="71">
        <v>1</v>
      </c>
      <c r="EL148" s="71">
        <v>1</v>
      </c>
      <c r="EM148" s="71" t="b">
        <v>0</v>
      </c>
      <c r="EO148" t="s">
        <v>220</v>
      </c>
      <c r="EP148">
        <v>3.5</v>
      </c>
      <c r="EQ148">
        <v>200</v>
      </c>
      <c r="ER148">
        <v>100</v>
      </c>
      <c r="ES148" s="74">
        <f ca="1">INDIRECT(ADDRESS(11+(MATCH(RIGHT(Table18[[#This Row],[spawner_sku]],LEN(Table18[[#This Row],[spawner_sku]])-FIND("/",Table18[[#This Row],[spawner_sku]])),Table1[Entity Prefab],0)),10,1,1,"Entities"))</f>
        <v>195</v>
      </c>
      <c r="ET148" s="74">
        <f ca="1">ROUND((Table18[[#This Row],[XP]]*Table18[[#This Row],[entity_spawned (AVG)]])*(Table18[[#This Row],[activating_chance]]/100),0)</f>
        <v>683</v>
      </c>
      <c r="EU148" s="74" t="str">
        <f ca="1">INDIRECT(ADDRESS(11+(MATCH(RIGHT(Table18[[#This Row],[spawner_sku]],LEN(Table18[[#This Row],[spawner_sku]])-FIND("/",Table18[[#This Row],[spawner_sku]])),Table28[Entity Prefab],0)),26,1,1,"Entities"))</f>
        <v>yes</v>
      </c>
      <c r="EV148">
        <v>3</v>
      </c>
      <c r="EW148">
        <v>4</v>
      </c>
      <c r="EX148" t="b">
        <v>0</v>
      </c>
      <c r="EZ148" t="s">
        <v>370</v>
      </c>
      <c r="FA148">
        <v>1</v>
      </c>
      <c r="FB148">
        <v>450</v>
      </c>
      <c r="FC148">
        <v>100</v>
      </c>
      <c r="FD148" s="74">
        <f ca="1">INDIRECT(ADDRESS(11+(MATCH(RIGHT(Table1820[[#This Row],[spawner_sku]],LEN(Table1820[[#This Row],[spawner_sku]])-FIND("/",Table1820[[#This Row],[spawner_sku]])),Table1[Entity Prefab],0)),10,1,1,"Entities"))</f>
        <v>0</v>
      </c>
      <c r="FE148" s="74">
        <f ca="1">ROUND((Table1820[[#This Row],[XP]]*Table1820[[#This Row],[entity_spawned (AVG)]])*(Table1820[[#This Row],[activating_chance]]/100),0)</f>
        <v>0</v>
      </c>
      <c r="FF148" s="74" t="str">
        <f ca="1">INDIRECT(ADDRESS(11+(MATCH(RIGHT(Table1820[[#This Row],[spawner_sku]],LEN(Table1820[[#This Row],[spawner_sku]])-FIND("/",Table1820[[#This Row],[spawner_sku]])),Table28[Entity Prefab],0)),26,1,1,"Entities"))</f>
        <v>no</v>
      </c>
      <c r="FG148">
        <v>1</v>
      </c>
      <c r="FH148">
        <v>1</v>
      </c>
      <c r="FI148" t="b">
        <v>0</v>
      </c>
      <c r="FK148" t="s">
        <v>2691</v>
      </c>
      <c r="FL148">
        <v>1</v>
      </c>
      <c r="FM148">
        <v>80</v>
      </c>
      <c r="FN148">
        <v>100</v>
      </c>
      <c r="FO148">
        <f ca="1">INDIRECT(ADDRESS(11+(MATCH(RIGHT(Table182023[[#This Row],[spawner_sku]],LEN(Table182023[[#This Row],[spawner_sku]])-FIND("/",Table182023[[#This Row],[spawner_sku]])),Table1[Entity Prefab],0)),10,1,1,"Entities"))</f>
        <v>105</v>
      </c>
      <c r="FP148">
        <f ca="1">ROUND((Table182023[[#This Row],[XP]]*Table182023[[#This Row],[entity_spawned (AVG)]])*(Table182023[[#This Row],[activating_chance]]/100),0)</f>
        <v>105</v>
      </c>
      <c r="FQ148" t="str">
        <f ca="1">INDIRECT(ADDRESS(11+(MATCH(RIGHT(Table182023[[#This Row],[spawner_sku]],LEN(Table182023[[#This Row],[spawner_sku]])-FIND("/",Table182023[[#This Row],[spawner_sku]])),Table28[Entity Prefab],0)),26,1,1,"Entities"))</f>
        <v>no</v>
      </c>
      <c r="FR148">
        <v>1</v>
      </c>
      <c r="FS148">
        <v>1</v>
      </c>
      <c r="FT148" t="b">
        <v>0</v>
      </c>
      <c r="FV148" t="s">
        <v>2697</v>
      </c>
      <c r="FW148">
        <v>1.5</v>
      </c>
      <c r="FX148">
        <v>80</v>
      </c>
      <c r="FY148">
        <v>100</v>
      </c>
      <c r="FZ148" s="74">
        <f ca="1">INDIRECT(ADDRESS(11+(MATCH(RIGHT(Table18202324[[#This Row],[spawner_sku]],LEN(Table18202324[[#This Row],[spawner_sku]])-FIND("/",Table18202324[[#This Row],[spawner_sku]])),Table1[Entity Prefab],0)),10,1,1,"Entities"))</f>
        <v>25</v>
      </c>
      <c r="GA148" s="74">
        <f ca="1">ROUND((Table18202324[[#This Row],[XP]]*Table18202324[[#This Row],[entity_spawned (AVG)]])*(Table18202324[[#This Row],[activating_chance]]/100),0)</f>
        <v>38</v>
      </c>
      <c r="GB148" s="74" t="str">
        <f ca="1">INDIRECT(ADDRESS(11+(MATCH(RIGHT(Table18202324[[#This Row],[spawner_sku]],LEN(Table18202324[[#This Row],[spawner_sku]])-FIND("/",Table18202324[[#This Row],[spawner_sku]])),Table28[Entity Prefab],0)),26,1,1,"Entities"))</f>
        <v>no</v>
      </c>
      <c r="GC148">
        <v>1</v>
      </c>
      <c r="GD148">
        <v>2</v>
      </c>
      <c r="GE148" t="b">
        <v>0</v>
      </c>
      <c r="GG148" t="s">
        <v>3816</v>
      </c>
      <c r="GH148">
        <v>1</v>
      </c>
      <c r="GI148">
        <v>240</v>
      </c>
      <c r="GJ148">
        <v>100</v>
      </c>
      <c r="GK148">
        <f ca="1">INDIRECT(ADDRESS(11+(MATCH(RIGHT(Table37[[#This Row],[spawner_sku]],LEN(Table37[[#This Row],[spawner_sku]])-FIND("/",Table37[[#This Row],[spawner_sku]])),Table1[Entity Prefab],0)),10,1,1,"Entities"))</f>
        <v>50</v>
      </c>
      <c r="GL148">
        <f ca="1">ROUND((Table37[[#This Row],[XP]]*Table37[[#This Row],[entity_spawned (AVG)]])*(Table37[[#This Row],[activating_chance]]/100),0)</f>
        <v>50</v>
      </c>
      <c r="GM148" t="str">
        <f ca="1">INDIRECT(ADDRESS(11+(MATCH(RIGHT(Table37[[#This Row],[spawner_sku]],LEN(Table37[[#This Row],[spawner_sku]])-FIND("/",Table37[[#This Row],[spawner_sku]])),Table28[Entity Prefab],0)),26,1,1,"Entities"))</f>
        <v>no</v>
      </c>
      <c r="GN148">
        <v>1</v>
      </c>
      <c r="GO148">
        <v>1</v>
      </c>
      <c r="GP148" t="b">
        <v>0</v>
      </c>
    </row>
    <row r="149" spans="2:198" x14ac:dyDescent="0.25">
      <c r="B149" s="72" t="s">
        <v>215</v>
      </c>
      <c r="C149">
        <v>6</v>
      </c>
      <c r="D149">
        <v>160</v>
      </c>
      <c r="E149">
        <v>100</v>
      </c>
      <c r="F149" s="74">
        <f ca="1">INDIRECT(ADDRESS(11+(MATCH(RIGHT(Table245[[#This Row],[spawner_sku]],LEN(Table245[[#This Row],[spawner_sku]])-FIND("/",Table245[[#This Row],[spawner_sku]])),Table1[Entity Prefab],0)),10,1,1,"Entities"))</f>
        <v>25</v>
      </c>
      <c r="G149" s="74">
        <f ca="1">ROUND((Table245[[#This Row],[XP]]*Table245[[#This Row],[entity_spawned (AVG)]])*(Table245[[#This Row],[activating_chance]]/100),0)</f>
        <v>150</v>
      </c>
      <c r="H149" s="71" t="str">
        <f ca="1">INDIRECT(ADDRESS(11+(MATCH(RIGHT(Table245[[#This Row],[spawner_sku]],LEN(Table245[[#This Row],[spawner_sku]])-FIND("/",Table245[[#This Row],[spawner_sku]])),Table28[Entity Prefab],0)),24,1,1,"Entities"))</f>
        <v>no</v>
      </c>
      <c r="I149" s="71">
        <v>5</v>
      </c>
      <c r="J149" s="71">
        <v>7</v>
      </c>
      <c r="K149" s="71" t="b">
        <v>1</v>
      </c>
      <c r="M149" t="s">
        <v>366</v>
      </c>
      <c r="N149">
        <v>3</v>
      </c>
      <c r="O149">
        <v>100</v>
      </c>
      <c r="P149">
        <v>100</v>
      </c>
      <c r="Q149" s="74">
        <f ca="1">INDIRECT(ADDRESS(11+(MATCH(RIGHT(Table3[[#This Row],[spawner_sku]],LEN(Table3[[#This Row],[spawner_sku]])-FIND("/",Table3[[#This Row],[spawner_sku]])),Table1[Entity Prefab],0)),10,1,1,"Entities"))</f>
        <v>25</v>
      </c>
      <c r="R149" s="74">
        <f ca="1">ROUND((Table3[[#This Row],[XP]]*Table3[[#This Row],[entity_spawned (AVG)]])*(Table3[[#This Row],[activating_chance]]/100),0)</f>
        <v>75</v>
      </c>
      <c r="S149" t="str">
        <f ca="1">INDIRECT(ADDRESS(11+(MATCH(RIGHT(Table3[[#This Row],[spawner_sku]],LEN(Table3[[#This Row],[spawner_sku]])-FIND("/",Table3[[#This Row],[spawner_sku]])),Table28[Entity Prefab],0)),24,1,1,"Entities"))</f>
        <v>no</v>
      </c>
      <c r="T149">
        <v>3</v>
      </c>
      <c r="U149">
        <v>3</v>
      </c>
      <c r="V149" t="b">
        <v>0</v>
      </c>
      <c r="W149" s="71"/>
      <c r="AI149" t="s">
        <v>219</v>
      </c>
      <c r="AJ149">
        <v>1</v>
      </c>
      <c r="AK149">
        <v>250</v>
      </c>
      <c r="AL149">
        <v>10</v>
      </c>
      <c r="AM149" s="74">
        <f ca="1">INDIRECT(ADDRESS(11+(MATCH(RIGHT(Table2[[#This Row],[spawner_sku]],LEN(Table2[[#This Row],[spawner_sku]])-FIND("/",Table2[[#This Row],[spawner_sku]])),Table1[Entity Prefab],0)),10,1,1,"Entities"))</f>
        <v>143</v>
      </c>
      <c r="AN149" s="74">
        <f ca="1">ROUND((Table2[[#This Row],[XP]]*Table2[[#This Row],[entity_spawned (AVG)]])*(Table2[[#This Row],[activating_chance]]/100),0)</f>
        <v>14</v>
      </c>
      <c r="AO149" s="71" t="str">
        <f ca="1">INDIRECT(ADDRESS(11+(MATCH(RIGHT(Table2[[#This Row],[spawner_sku]],LEN(Table2[[#This Row],[spawner_sku]])-FIND("/",Table2[[#This Row],[spawner_sku]])),Table28[Entity Prefab],0)),24,1,1,"Entities"))</f>
        <v>yes</v>
      </c>
      <c r="AP149" s="71">
        <v>1</v>
      </c>
      <c r="AQ149" s="71">
        <v>1</v>
      </c>
      <c r="AR149" s="71" t="b">
        <v>0</v>
      </c>
      <c r="AT149" t="s">
        <v>240</v>
      </c>
      <c r="AU149">
        <v>1</v>
      </c>
      <c r="AV149">
        <v>170</v>
      </c>
      <c r="AW149">
        <v>100</v>
      </c>
      <c r="AX149" s="74">
        <f ca="1">INDIRECT(ADDRESS(11+(MATCH(RIGHT(Table6[[#This Row],[spawner_sku]],LEN(Table6[[#This Row],[spawner_sku]])-FIND("/",Table6[[#This Row],[spawner_sku]])),Table1[Entity Prefab],0)),10,1,1,"Entities"))</f>
        <v>70</v>
      </c>
      <c r="AY149" s="74">
        <f ca="1">ROUND((Table6[[#This Row],[XP]]*Table6[[#This Row],[entity_spawned (AVG)]])*(Table6[[#This Row],[activating_chance]]/100),0)</f>
        <v>70</v>
      </c>
      <c r="AZ149" s="144" t="str">
        <f ca="1">INDIRECT(ADDRESS(11+(MATCH(RIGHT(Table6[[#This Row],[spawner_sku]],LEN(Table6[[#This Row],[spawner_sku]])-FIND("/",Table6[[#This Row],[spawner_sku]])),Table28[Entity Prefab],0)),24,1,1,"Entities"))</f>
        <v>yes</v>
      </c>
      <c r="BA149">
        <v>1</v>
      </c>
      <c r="BB149">
        <v>1</v>
      </c>
      <c r="BC149" t="b">
        <v>0</v>
      </c>
      <c r="BE149" t="s">
        <v>448</v>
      </c>
      <c r="BF149">
        <v>1</v>
      </c>
      <c r="BG149">
        <v>280</v>
      </c>
      <c r="BH149">
        <v>100</v>
      </c>
      <c r="BI149" s="74">
        <f ca="1">INDIRECT(ADDRESS(11+(MATCH(RIGHT(Table610[[#This Row],[spawner_sku]],LEN(Table610[[#This Row],[spawner_sku]])-FIND("/",Table610[[#This Row],[spawner_sku]])),Table1[Entity Prefab],0)),10,1,1,"Entities"))</f>
        <v>143</v>
      </c>
      <c r="BJ149" s="74">
        <f ca="1">ROUND((Table610[[#This Row],[XP]]*Table610[[#This Row],[entity_spawned (AVG)]])*(Table610[[#This Row],[activating_chance]]/100),0)</f>
        <v>143</v>
      </c>
      <c r="BK149" s="71" t="str">
        <f ca="1">INDIRECT(ADDRESS(11+(MATCH(RIGHT(Table610[[#This Row],[spawner_sku]],LEN(Table610[[#This Row],[spawner_sku]])-FIND("/",Table610[[#This Row],[spawner_sku]])),Table28[Entity Prefab],0)),24,1,1,"Entities"))</f>
        <v>yes</v>
      </c>
      <c r="BL149">
        <v>1</v>
      </c>
      <c r="BM149">
        <v>1</v>
      </c>
      <c r="BN149" t="b">
        <v>0</v>
      </c>
      <c r="BP149" t="s">
        <v>383</v>
      </c>
      <c r="BQ149">
        <v>1</v>
      </c>
      <c r="BR149">
        <v>340</v>
      </c>
      <c r="BS149">
        <v>100</v>
      </c>
      <c r="BT149" s="74">
        <f ca="1">INDIRECT(ADDRESS(11+(MATCH(RIGHT(Table61011[[#This Row],[spawner_sku]],LEN(Table61011[[#This Row],[spawner_sku]])-FIND("/",Table61011[[#This Row],[spawner_sku]])),Table1[Entity Prefab],0)),10,1,1,"Entities"))</f>
        <v>263</v>
      </c>
      <c r="BU149" s="74">
        <f ca="1">ROUND((Table61011[[#This Row],[XP]]*Table61011[[#This Row],[entity_spawned (AVG)]])*(Table61011[[#This Row],[activating_chance]]/100),0)</f>
        <v>263</v>
      </c>
      <c r="BV149" s="71" t="str">
        <f ca="1">INDIRECT(ADDRESS(11+(MATCH(RIGHT(Table61011[[#This Row],[spawner_sku]],LEN(Table61011[[#This Row],[spawner_sku]])-FIND("/",Table61011[[#This Row],[spawner_sku]])),Table28[Entity Prefab],0)),24,1,1,"Entities"))</f>
        <v>yes</v>
      </c>
      <c r="BW149" s="71">
        <v>1</v>
      </c>
      <c r="BX149" s="71">
        <v>1</v>
      </c>
      <c r="BY149" s="71" t="b">
        <v>0</v>
      </c>
      <c r="BZ149" s="71"/>
      <c r="CA149" s="147" t="s">
        <v>8142</v>
      </c>
      <c r="CB149">
        <v>1</v>
      </c>
      <c r="CC149">
        <v>200</v>
      </c>
      <c r="CD149">
        <v>100</v>
      </c>
      <c r="CE149" s="74">
        <f ca="1">INDIRECT(ADDRESS(11+(MATCH(RIGHT(Table35[[#This Row],[spawner_sku]],LEN(Table35[[#This Row],[spawner_sku]])-FIND("/",Table35[[#This Row],[spawner_sku]])),Table1[Entity Prefab],0)),10,1,1,"Entities"))</f>
        <v>75</v>
      </c>
      <c r="CF149" s="74">
        <f ca="1">ROUND((Table35[[#This Row],[XP]]*Table35[[#This Row],[entity_spawned (AVG)]])*(Table35[[#This Row],[activating_chance]]/100),0)</f>
        <v>75</v>
      </c>
      <c r="CG149" s="144" t="str">
        <f ca="1">INDIRECT(ADDRESS(11+(MATCH(RIGHT(Table35[[#This Row],[spawner_sku]],LEN(Table35[[#This Row],[spawner_sku]])-FIND("/",Table35[[#This Row],[spawner_sku]])),Table28[Entity Prefab],0)),24,1,1,"Entities"))</f>
        <v>no</v>
      </c>
      <c r="CH149">
        <v>1</v>
      </c>
      <c r="CI149">
        <v>1</v>
      </c>
      <c r="CJ149" s="71" t="b">
        <v>0</v>
      </c>
      <c r="CL149" t="s">
        <v>376</v>
      </c>
      <c r="CM149">
        <v>2</v>
      </c>
      <c r="CN149">
        <v>200</v>
      </c>
      <c r="CO149">
        <v>100</v>
      </c>
      <c r="CP149" s="74">
        <f ca="1">INDIRECT(ADDRESS(11+(MATCH(RIGHT(Table11[[#This Row],[spawner_sku]],LEN(Table11[[#This Row],[spawner_sku]])-FIND("/",Table11[[#This Row],[spawner_sku]])),Table1[Entity Prefab],0)),10,1,1,"Entities"))</f>
        <v>25</v>
      </c>
      <c r="CQ149">
        <f ca="1">ROUND((Table11[[#This Row],[XP]]*Table11[[#This Row],[entity_spawned (AVG)]])*(Table11[[#This Row],[activating_chance]]/100),0)</f>
        <v>50</v>
      </c>
      <c r="CR149" s="144" t="str">
        <f ca="1">INDIRECT(ADDRESS(11+(MATCH(RIGHT(Table11[[#This Row],[spawner_sku]],LEN(Table11[[#This Row],[spawner_sku]])-FIND("/",Table11[[#This Row],[spawner_sku]])),Table28[Entity Prefab],0)),25,1,1,"Entities"))</f>
        <v>no</v>
      </c>
      <c r="CS149" s="71">
        <v>2</v>
      </c>
      <c r="CT149" s="71">
        <v>2</v>
      </c>
      <c r="CU149" s="71" t="b">
        <v>0</v>
      </c>
      <c r="CW149" t="s">
        <v>242</v>
      </c>
      <c r="CX149">
        <v>2</v>
      </c>
      <c r="CY149">
        <v>100</v>
      </c>
      <c r="CZ149">
        <v>100</v>
      </c>
      <c r="DA149" s="74">
        <f ca="1">INDIRECT(ADDRESS(11+(MATCH(RIGHT(Table12[[#This Row],[spawner_sku]],LEN(Table12[[#This Row],[spawner_sku]])-FIND("/",Table12[[#This Row],[spawner_sku]])),Table1[Entity Prefab],0)),10,1,1,"Entities"))</f>
        <v>25</v>
      </c>
      <c r="DB149" s="74">
        <f ca="1">ROUND((Table12[[#This Row],[XP]]*Table12[[#This Row],[entity_spawned (AVG)]])*(Table12[[#This Row],[activating_chance]]/100),0)</f>
        <v>50</v>
      </c>
      <c r="DC149" s="144" t="str">
        <f ca="1">INDIRECT(ADDRESS(11+(MATCH(RIGHT(Table12[[#This Row],[spawner_sku]],LEN(Table12[[#This Row],[spawner_sku]])-FIND("/",Table12[[#This Row],[spawner_sku]])),Table28[Entity Prefab],0)),25,1,1,"Entities"))</f>
        <v>no</v>
      </c>
      <c r="DD149" s="71">
        <v>2</v>
      </c>
      <c r="DE149" s="71">
        <v>2</v>
      </c>
      <c r="DF149" s="71" t="b">
        <v>0</v>
      </c>
      <c r="DH149" t="s">
        <v>233</v>
      </c>
      <c r="DI149">
        <v>1</v>
      </c>
      <c r="DJ149">
        <v>500</v>
      </c>
      <c r="DK149">
        <v>70</v>
      </c>
      <c r="DL149" s="74">
        <f ca="1">INDIRECT(ADDRESS(11+(MATCH(RIGHT(Table13[[#This Row],[spawner_sku]],LEN(Table13[[#This Row],[spawner_sku]])-FIND("/",Table13[[#This Row],[spawner_sku]])),Table1[Entity Prefab],0)),10,1,1,"Entities"))</f>
        <v>25</v>
      </c>
      <c r="DM149" s="74">
        <f ca="1">ROUND((Table13[[#This Row],[XP]]*Table13[[#This Row],[entity_spawned (AVG)]])*(Table13[[#This Row],[activating_chance]]/100),0)</f>
        <v>18</v>
      </c>
      <c r="DN149" s="144" t="str">
        <f ca="1">INDIRECT(ADDRESS(11+(MATCH(RIGHT(Table13[[#This Row],[spawner_sku]],LEN(Table13[[#This Row],[spawner_sku]])-FIND("/",Table13[[#This Row],[spawner_sku]])),Table28[Entity Prefab],0)),25,1,1,"Entities"))</f>
        <v>no</v>
      </c>
      <c r="DO149" s="71">
        <v>1</v>
      </c>
      <c r="DP149" s="71">
        <v>1</v>
      </c>
      <c r="DQ149" s="71" t="b">
        <v>0</v>
      </c>
      <c r="DS149" t="s">
        <v>223</v>
      </c>
      <c r="DT149">
        <v>1.5</v>
      </c>
      <c r="DU149">
        <v>100</v>
      </c>
      <c r="DV149">
        <v>100</v>
      </c>
      <c r="DW149" s="74">
        <f ca="1">INDIRECT(ADDRESS(11+(MATCH(RIGHT(Table14[[#This Row],[spawner_sku]],LEN(Table14[[#This Row],[spawner_sku]])-FIND("/",Table14[[#This Row],[spawner_sku]])),Table1[Entity Prefab],0)),10,1,1,"Entities"))</f>
        <v>70</v>
      </c>
      <c r="DX149" s="74">
        <f ca="1">ROUND((Table14[[#This Row],[XP]]*Table14[[#This Row],[entity_spawned (AVG)]])*(Table14[[#This Row],[activating_chance]]/100),0)</f>
        <v>105</v>
      </c>
      <c r="DY149" s="144" t="str">
        <f ca="1">INDIRECT(ADDRESS(11+(MATCH(RIGHT(Table14[[#This Row],[spawner_sku]],LEN(Table14[[#This Row],[spawner_sku]])-FIND("/",Table14[[#This Row],[spawner_sku]])),Table28[Entity Prefab],0)),25,1,1,"Entities"))</f>
        <v>no</v>
      </c>
      <c r="DZ149" s="71">
        <v>1</v>
      </c>
      <c r="EA149" s="71">
        <v>2</v>
      </c>
      <c r="EB149" s="71" t="b">
        <v>0</v>
      </c>
      <c r="EC149" s="71"/>
      <c r="ED149" s="147" t="s">
        <v>3816</v>
      </c>
      <c r="EE149" s="71">
        <v>1</v>
      </c>
      <c r="EF149" s="71">
        <v>240</v>
      </c>
      <c r="EG149" s="71">
        <v>100</v>
      </c>
      <c r="EH149" s="71">
        <f ca="1">INDIRECT(ADDRESS(11+(MATCH(RIGHT(Table36[[#This Row],[spawner_sku]],LEN(Table36[[#This Row],[spawner_sku]])-FIND("/",Table36[[#This Row],[spawner_sku]])),Table1[Entity Prefab],0)),10,1,1,"Entities"))</f>
        <v>50</v>
      </c>
      <c r="EI149" s="71">
        <f ca="1">ROUND((Table36[[#This Row],[XP]]*Table36[[#This Row],[entity_spawned (AVG)]])*(Table36[[#This Row],[activating_chance]]/100),0)</f>
        <v>50</v>
      </c>
      <c r="EJ149" s="71" t="str">
        <f ca="1">INDIRECT(ADDRESS(11+(MATCH(RIGHT(Table36[[#This Row],[spawner_sku]],LEN(Table36[[#This Row],[spawner_sku]])-FIND("/",Table36[[#This Row],[spawner_sku]])),Table28[Entity Prefab],0)),25,1,1,"Entities"))</f>
        <v>no</v>
      </c>
      <c r="EK149" s="71">
        <v>1</v>
      </c>
      <c r="EL149" s="71">
        <v>1</v>
      </c>
      <c r="EM149" s="71" t="b">
        <v>0</v>
      </c>
      <c r="EO149" t="s">
        <v>220</v>
      </c>
      <c r="EP149">
        <v>3</v>
      </c>
      <c r="EQ149">
        <v>200</v>
      </c>
      <c r="ER149">
        <v>100</v>
      </c>
      <c r="ES149" s="74">
        <f ca="1">INDIRECT(ADDRESS(11+(MATCH(RIGHT(Table18[[#This Row],[spawner_sku]],LEN(Table18[[#This Row],[spawner_sku]])-FIND("/",Table18[[#This Row],[spawner_sku]])),Table1[Entity Prefab],0)),10,1,1,"Entities"))</f>
        <v>195</v>
      </c>
      <c r="ET149" s="74">
        <f ca="1">ROUND((Table18[[#This Row],[XP]]*Table18[[#This Row],[entity_spawned (AVG)]])*(Table18[[#This Row],[activating_chance]]/100),0)</f>
        <v>585</v>
      </c>
      <c r="EU149" s="74" t="str">
        <f ca="1">INDIRECT(ADDRESS(11+(MATCH(RIGHT(Table18[[#This Row],[spawner_sku]],LEN(Table18[[#This Row],[spawner_sku]])-FIND("/",Table18[[#This Row],[spawner_sku]])),Table28[Entity Prefab],0)),26,1,1,"Entities"))</f>
        <v>yes</v>
      </c>
      <c r="EV149">
        <v>2</v>
      </c>
      <c r="EW149">
        <v>4</v>
      </c>
      <c r="EX149" t="b">
        <v>0</v>
      </c>
      <c r="EZ149" t="s">
        <v>370</v>
      </c>
      <c r="FA149">
        <v>1</v>
      </c>
      <c r="FB149">
        <v>450</v>
      </c>
      <c r="FC149">
        <v>30</v>
      </c>
      <c r="FD149" s="74">
        <f ca="1">INDIRECT(ADDRESS(11+(MATCH(RIGHT(Table1820[[#This Row],[spawner_sku]],LEN(Table1820[[#This Row],[spawner_sku]])-FIND("/",Table1820[[#This Row],[spawner_sku]])),Table1[Entity Prefab],0)),10,1,1,"Entities"))</f>
        <v>0</v>
      </c>
      <c r="FE149" s="74">
        <f ca="1">ROUND((Table1820[[#This Row],[XP]]*Table1820[[#This Row],[entity_spawned (AVG)]])*(Table1820[[#This Row],[activating_chance]]/100),0)</f>
        <v>0</v>
      </c>
      <c r="FF149" s="74" t="str">
        <f ca="1">INDIRECT(ADDRESS(11+(MATCH(RIGHT(Table1820[[#This Row],[spawner_sku]],LEN(Table1820[[#This Row],[spawner_sku]])-FIND("/",Table1820[[#This Row],[spawner_sku]])),Table28[Entity Prefab],0)),26,1,1,"Entities"))</f>
        <v>no</v>
      </c>
      <c r="FG149">
        <v>1</v>
      </c>
      <c r="FH149">
        <v>1</v>
      </c>
      <c r="FI149" t="b">
        <v>0</v>
      </c>
      <c r="FK149" t="s">
        <v>2691</v>
      </c>
      <c r="FL149">
        <v>1</v>
      </c>
      <c r="FM149">
        <v>100</v>
      </c>
      <c r="FN149">
        <v>100</v>
      </c>
      <c r="FO149">
        <f ca="1">INDIRECT(ADDRESS(11+(MATCH(RIGHT(Table182023[[#This Row],[spawner_sku]],LEN(Table182023[[#This Row],[spawner_sku]])-FIND("/",Table182023[[#This Row],[spawner_sku]])),Table1[Entity Prefab],0)),10,1,1,"Entities"))</f>
        <v>105</v>
      </c>
      <c r="FP149">
        <f ca="1">ROUND((Table182023[[#This Row],[XP]]*Table182023[[#This Row],[entity_spawned (AVG)]])*(Table182023[[#This Row],[activating_chance]]/100),0)</f>
        <v>105</v>
      </c>
      <c r="FQ149" t="str">
        <f ca="1">INDIRECT(ADDRESS(11+(MATCH(RIGHT(Table182023[[#This Row],[spawner_sku]],LEN(Table182023[[#This Row],[spawner_sku]])-FIND("/",Table182023[[#This Row],[spawner_sku]])),Table28[Entity Prefab],0)),26,1,1,"Entities"))</f>
        <v>no</v>
      </c>
      <c r="FR149">
        <v>1</v>
      </c>
      <c r="FS149">
        <v>1</v>
      </c>
      <c r="FT149" t="b">
        <v>0</v>
      </c>
      <c r="FV149" t="s">
        <v>2697</v>
      </c>
      <c r="FW149">
        <v>1.5</v>
      </c>
      <c r="FX149">
        <v>70</v>
      </c>
      <c r="FY149">
        <v>100</v>
      </c>
      <c r="FZ149" s="74">
        <f ca="1">INDIRECT(ADDRESS(11+(MATCH(RIGHT(Table18202324[[#This Row],[spawner_sku]],LEN(Table18202324[[#This Row],[spawner_sku]])-FIND("/",Table18202324[[#This Row],[spawner_sku]])),Table1[Entity Prefab],0)),10,1,1,"Entities"))</f>
        <v>25</v>
      </c>
      <c r="GA149" s="74">
        <f ca="1">ROUND((Table18202324[[#This Row],[XP]]*Table18202324[[#This Row],[entity_spawned (AVG)]])*(Table18202324[[#This Row],[activating_chance]]/100),0)</f>
        <v>38</v>
      </c>
      <c r="GB149" s="74" t="str">
        <f ca="1">INDIRECT(ADDRESS(11+(MATCH(RIGHT(Table18202324[[#This Row],[spawner_sku]],LEN(Table18202324[[#This Row],[spawner_sku]])-FIND("/",Table18202324[[#This Row],[spawner_sku]])),Table28[Entity Prefab],0)),26,1,1,"Entities"))</f>
        <v>no</v>
      </c>
      <c r="GC149">
        <v>1</v>
      </c>
      <c r="GD149">
        <v>2</v>
      </c>
      <c r="GE149" t="b">
        <v>0</v>
      </c>
      <c r="GG149" t="s">
        <v>3816</v>
      </c>
      <c r="GH149">
        <v>1</v>
      </c>
      <c r="GI149">
        <v>240</v>
      </c>
      <c r="GJ149">
        <v>100</v>
      </c>
      <c r="GK149">
        <f ca="1">INDIRECT(ADDRESS(11+(MATCH(RIGHT(Table37[[#This Row],[spawner_sku]],LEN(Table37[[#This Row],[spawner_sku]])-FIND("/",Table37[[#This Row],[spawner_sku]])),Table1[Entity Prefab],0)),10,1,1,"Entities"))</f>
        <v>50</v>
      </c>
      <c r="GL149">
        <f ca="1">ROUND((Table37[[#This Row],[XP]]*Table37[[#This Row],[entity_spawned (AVG)]])*(Table37[[#This Row],[activating_chance]]/100),0)</f>
        <v>50</v>
      </c>
      <c r="GM149" t="str">
        <f ca="1">INDIRECT(ADDRESS(11+(MATCH(RIGHT(Table37[[#This Row],[spawner_sku]],LEN(Table37[[#This Row],[spawner_sku]])-FIND("/",Table37[[#This Row],[spawner_sku]])),Table28[Entity Prefab],0)),26,1,1,"Entities"))</f>
        <v>no</v>
      </c>
      <c r="GN149">
        <v>1</v>
      </c>
      <c r="GO149">
        <v>1</v>
      </c>
      <c r="GP149" t="b">
        <v>0</v>
      </c>
    </row>
    <row r="150" spans="2:198" x14ac:dyDescent="0.25">
      <c r="B150" s="72" t="s">
        <v>215</v>
      </c>
      <c r="C150">
        <v>6.5</v>
      </c>
      <c r="D150">
        <v>150</v>
      </c>
      <c r="E150">
        <v>100</v>
      </c>
      <c r="F150" s="74">
        <f ca="1">INDIRECT(ADDRESS(11+(MATCH(RIGHT(Table245[[#This Row],[spawner_sku]],LEN(Table245[[#This Row],[spawner_sku]])-FIND("/",Table245[[#This Row],[spawner_sku]])),Table1[Entity Prefab],0)),10,1,1,"Entities"))</f>
        <v>25</v>
      </c>
      <c r="G150" s="74">
        <f ca="1">ROUND((Table245[[#This Row],[XP]]*Table245[[#This Row],[entity_spawned (AVG)]])*(Table245[[#This Row],[activating_chance]]/100),0)</f>
        <v>163</v>
      </c>
      <c r="H150" s="71" t="str">
        <f ca="1">INDIRECT(ADDRESS(11+(MATCH(RIGHT(Table245[[#This Row],[spawner_sku]],LEN(Table245[[#This Row],[spawner_sku]])-FIND("/",Table245[[#This Row],[spawner_sku]])),Table28[Entity Prefab],0)),24,1,1,"Entities"))</f>
        <v>no</v>
      </c>
      <c r="I150" s="71">
        <v>5</v>
      </c>
      <c r="J150" s="71">
        <v>8</v>
      </c>
      <c r="K150" s="71" t="b">
        <v>1</v>
      </c>
      <c r="M150" t="s">
        <v>366</v>
      </c>
      <c r="N150">
        <v>5</v>
      </c>
      <c r="O150">
        <v>100</v>
      </c>
      <c r="P150">
        <v>100</v>
      </c>
      <c r="Q150" s="74">
        <f ca="1">INDIRECT(ADDRESS(11+(MATCH(RIGHT(Table3[[#This Row],[spawner_sku]],LEN(Table3[[#This Row],[spawner_sku]])-FIND("/",Table3[[#This Row],[spawner_sku]])),Table1[Entity Prefab],0)),10,1,1,"Entities"))</f>
        <v>25</v>
      </c>
      <c r="R150" s="74">
        <f ca="1">ROUND((Table3[[#This Row],[XP]]*Table3[[#This Row],[entity_spawned (AVG)]])*(Table3[[#This Row],[activating_chance]]/100),0)</f>
        <v>125</v>
      </c>
      <c r="S150" t="str">
        <f ca="1">INDIRECT(ADDRESS(11+(MATCH(RIGHT(Table3[[#This Row],[spawner_sku]],LEN(Table3[[#This Row],[spawner_sku]])-FIND("/",Table3[[#This Row],[spawner_sku]])),Table28[Entity Prefab],0)),24,1,1,"Entities"))</f>
        <v>no</v>
      </c>
      <c r="T150">
        <v>5</v>
      </c>
      <c r="U150">
        <v>5</v>
      </c>
      <c r="V150" t="b">
        <v>1</v>
      </c>
      <c r="W150" s="71"/>
      <c r="AI150" t="s">
        <v>219</v>
      </c>
      <c r="AJ150">
        <v>2</v>
      </c>
      <c r="AK150">
        <v>250</v>
      </c>
      <c r="AL150">
        <v>100</v>
      </c>
      <c r="AM150" s="74">
        <f ca="1">INDIRECT(ADDRESS(11+(MATCH(RIGHT(Table2[[#This Row],[spawner_sku]],LEN(Table2[[#This Row],[spawner_sku]])-FIND("/",Table2[[#This Row],[spawner_sku]])),Table1[Entity Prefab],0)),10,1,1,"Entities"))</f>
        <v>143</v>
      </c>
      <c r="AN150" s="74">
        <f ca="1">ROUND((Table2[[#This Row],[XP]]*Table2[[#This Row],[entity_spawned (AVG)]])*(Table2[[#This Row],[activating_chance]]/100),0)</f>
        <v>286</v>
      </c>
      <c r="AO150" s="71" t="str">
        <f ca="1">INDIRECT(ADDRESS(11+(MATCH(RIGHT(Table2[[#This Row],[spawner_sku]],LEN(Table2[[#This Row],[spawner_sku]])-FIND("/",Table2[[#This Row],[spawner_sku]])),Table28[Entity Prefab],0)),24,1,1,"Entities"))</f>
        <v>yes</v>
      </c>
      <c r="AP150" s="71">
        <v>2</v>
      </c>
      <c r="AQ150" s="71">
        <v>2</v>
      </c>
      <c r="AR150" s="71" t="b">
        <v>0</v>
      </c>
      <c r="AT150" t="s">
        <v>240</v>
      </c>
      <c r="AU150">
        <v>1</v>
      </c>
      <c r="AV150">
        <v>170</v>
      </c>
      <c r="AW150">
        <v>100</v>
      </c>
      <c r="AX150" s="74">
        <f ca="1">INDIRECT(ADDRESS(11+(MATCH(RIGHT(Table6[[#This Row],[spawner_sku]],LEN(Table6[[#This Row],[spawner_sku]])-FIND("/",Table6[[#This Row],[spawner_sku]])),Table1[Entity Prefab],0)),10,1,1,"Entities"))</f>
        <v>70</v>
      </c>
      <c r="AY150" s="74">
        <f ca="1">ROUND((Table6[[#This Row],[XP]]*Table6[[#This Row],[entity_spawned (AVG)]])*(Table6[[#This Row],[activating_chance]]/100),0)</f>
        <v>70</v>
      </c>
      <c r="AZ150" s="144" t="str">
        <f ca="1">INDIRECT(ADDRESS(11+(MATCH(RIGHT(Table6[[#This Row],[spawner_sku]],LEN(Table6[[#This Row],[spawner_sku]])-FIND("/",Table6[[#This Row],[spawner_sku]])),Table28[Entity Prefab],0)),24,1,1,"Entities"))</f>
        <v>yes</v>
      </c>
      <c r="BA150">
        <v>1</v>
      </c>
      <c r="BB150">
        <v>1</v>
      </c>
      <c r="BC150" t="b">
        <v>0</v>
      </c>
      <c r="BE150" t="s">
        <v>423</v>
      </c>
      <c r="BF150">
        <v>3.5</v>
      </c>
      <c r="BG150">
        <v>180</v>
      </c>
      <c r="BH150">
        <v>100</v>
      </c>
      <c r="BI150" s="74">
        <f ca="1">INDIRECT(ADDRESS(11+(MATCH(RIGHT(Table610[[#This Row],[spawner_sku]],LEN(Table610[[#This Row],[spawner_sku]])-FIND("/",Table610[[#This Row],[spawner_sku]])),Table1[Entity Prefab],0)),10,1,1,"Entities"))</f>
        <v>0</v>
      </c>
      <c r="BJ150" s="74">
        <f ca="1">ROUND((Table610[[#This Row],[XP]]*Table610[[#This Row],[entity_spawned (AVG)]])*(Table610[[#This Row],[activating_chance]]/100),0)</f>
        <v>0</v>
      </c>
      <c r="BK150" s="71" t="str">
        <f ca="1">INDIRECT(ADDRESS(11+(MATCH(RIGHT(Table610[[#This Row],[spawner_sku]],LEN(Table610[[#This Row],[spawner_sku]])-FIND("/",Table610[[#This Row],[spawner_sku]])),Table28[Entity Prefab],0)),24,1,1,"Entities"))</f>
        <v>yes</v>
      </c>
      <c r="BL150">
        <v>3</v>
      </c>
      <c r="BM150">
        <v>4</v>
      </c>
      <c r="BN150" t="b">
        <v>0</v>
      </c>
      <c r="BP150" t="s">
        <v>383</v>
      </c>
      <c r="BQ150">
        <v>1</v>
      </c>
      <c r="BR150">
        <v>340</v>
      </c>
      <c r="BS150">
        <v>100</v>
      </c>
      <c r="BT150" s="74">
        <f ca="1">INDIRECT(ADDRESS(11+(MATCH(RIGHT(Table61011[[#This Row],[spawner_sku]],LEN(Table61011[[#This Row],[spawner_sku]])-FIND("/",Table61011[[#This Row],[spawner_sku]])),Table1[Entity Prefab],0)),10,1,1,"Entities"))</f>
        <v>263</v>
      </c>
      <c r="BU150" s="74">
        <f ca="1">ROUND((Table61011[[#This Row],[XP]]*Table61011[[#This Row],[entity_spawned (AVG)]])*(Table61011[[#This Row],[activating_chance]]/100),0)</f>
        <v>263</v>
      </c>
      <c r="BV150" s="71" t="str">
        <f ca="1">INDIRECT(ADDRESS(11+(MATCH(RIGHT(Table61011[[#This Row],[spawner_sku]],LEN(Table61011[[#This Row],[spawner_sku]])-FIND("/",Table61011[[#This Row],[spawner_sku]])),Table28[Entity Prefab],0)),24,1,1,"Entities"))</f>
        <v>yes</v>
      </c>
      <c r="BW150" s="71">
        <v>1</v>
      </c>
      <c r="BX150" s="71">
        <v>1</v>
      </c>
      <c r="BY150" s="71" t="b">
        <v>0</v>
      </c>
      <c r="BZ150" s="71"/>
      <c r="CA150" s="147" t="s">
        <v>8142</v>
      </c>
      <c r="CB150">
        <v>1</v>
      </c>
      <c r="CC150">
        <v>200</v>
      </c>
      <c r="CD150">
        <v>100</v>
      </c>
      <c r="CE150" s="74">
        <f ca="1">INDIRECT(ADDRESS(11+(MATCH(RIGHT(Table35[[#This Row],[spawner_sku]],LEN(Table35[[#This Row],[spawner_sku]])-FIND("/",Table35[[#This Row],[spawner_sku]])),Table1[Entity Prefab],0)),10,1,1,"Entities"))</f>
        <v>75</v>
      </c>
      <c r="CF150" s="74">
        <f ca="1">ROUND((Table35[[#This Row],[XP]]*Table35[[#This Row],[entity_spawned (AVG)]])*(Table35[[#This Row],[activating_chance]]/100),0)</f>
        <v>75</v>
      </c>
      <c r="CG150" s="144" t="str">
        <f ca="1">INDIRECT(ADDRESS(11+(MATCH(RIGHT(Table35[[#This Row],[spawner_sku]],LEN(Table35[[#This Row],[spawner_sku]])-FIND("/",Table35[[#This Row],[spawner_sku]])),Table28[Entity Prefab],0)),24,1,1,"Entities"))</f>
        <v>no</v>
      </c>
      <c r="CH150">
        <v>1</v>
      </c>
      <c r="CI150">
        <v>1</v>
      </c>
      <c r="CJ150" s="71" t="b">
        <v>0</v>
      </c>
      <c r="CL150" t="s">
        <v>376</v>
      </c>
      <c r="CM150">
        <v>2</v>
      </c>
      <c r="CN150">
        <v>200</v>
      </c>
      <c r="CO150">
        <v>100</v>
      </c>
      <c r="CP150" s="74">
        <f ca="1">INDIRECT(ADDRESS(11+(MATCH(RIGHT(Table11[[#This Row],[spawner_sku]],LEN(Table11[[#This Row],[spawner_sku]])-FIND("/",Table11[[#This Row],[spawner_sku]])),Table1[Entity Prefab],0)),10,1,1,"Entities"))</f>
        <v>25</v>
      </c>
      <c r="CQ150">
        <f ca="1">ROUND((Table11[[#This Row],[XP]]*Table11[[#This Row],[entity_spawned (AVG)]])*(Table11[[#This Row],[activating_chance]]/100),0)</f>
        <v>50</v>
      </c>
      <c r="CR150" s="144" t="str">
        <f ca="1">INDIRECT(ADDRESS(11+(MATCH(RIGHT(Table11[[#This Row],[spawner_sku]],LEN(Table11[[#This Row],[spawner_sku]])-FIND("/",Table11[[#This Row],[spawner_sku]])),Table28[Entity Prefab],0)),25,1,1,"Entities"))</f>
        <v>no</v>
      </c>
      <c r="CS150" s="71">
        <v>2</v>
      </c>
      <c r="CT150" s="71">
        <v>2</v>
      </c>
      <c r="CU150" s="71" t="b">
        <v>0</v>
      </c>
      <c r="CW150" t="s">
        <v>242</v>
      </c>
      <c r="CX150">
        <v>1</v>
      </c>
      <c r="CY150">
        <v>150</v>
      </c>
      <c r="CZ150">
        <v>100</v>
      </c>
      <c r="DA150" s="74">
        <f ca="1">INDIRECT(ADDRESS(11+(MATCH(RIGHT(Table12[[#This Row],[spawner_sku]],LEN(Table12[[#This Row],[spawner_sku]])-FIND("/",Table12[[#This Row],[spawner_sku]])),Table1[Entity Prefab],0)),10,1,1,"Entities"))</f>
        <v>25</v>
      </c>
      <c r="DB150" s="74">
        <f ca="1">ROUND((Table12[[#This Row],[XP]]*Table12[[#This Row],[entity_spawned (AVG)]])*(Table12[[#This Row],[activating_chance]]/100),0)</f>
        <v>25</v>
      </c>
      <c r="DC150" s="144" t="str">
        <f ca="1">INDIRECT(ADDRESS(11+(MATCH(RIGHT(Table12[[#This Row],[spawner_sku]],LEN(Table12[[#This Row],[spawner_sku]])-FIND("/",Table12[[#This Row],[spawner_sku]])),Table28[Entity Prefab],0)),25,1,1,"Entities"))</f>
        <v>no</v>
      </c>
      <c r="DD150" s="71">
        <v>1</v>
      </c>
      <c r="DE150" s="71">
        <v>1</v>
      </c>
      <c r="DF150" s="71" t="b">
        <v>0</v>
      </c>
      <c r="DH150" t="s">
        <v>233</v>
      </c>
      <c r="DI150">
        <v>1</v>
      </c>
      <c r="DJ150">
        <v>500</v>
      </c>
      <c r="DK150">
        <v>70</v>
      </c>
      <c r="DL150" s="74">
        <f ca="1">INDIRECT(ADDRESS(11+(MATCH(RIGHT(Table13[[#This Row],[spawner_sku]],LEN(Table13[[#This Row],[spawner_sku]])-FIND("/",Table13[[#This Row],[spawner_sku]])),Table1[Entity Prefab],0)),10,1,1,"Entities"))</f>
        <v>25</v>
      </c>
      <c r="DM150" s="74">
        <f ca="1">ROUND((Table13[[#This Row],[XP]]*Table13[[#This Row],[entity_spawned (AVG)]])*(Table13[[#This Row],[activating_chance]]/100),0)</f>
        <v>18</v>
      </c>
      <c r="DN150" s="144" t="str">
        <f ca="1">INDIRECT(ADDRESS(11+(MATCH(RIGHT(Table13[[#This Row],[spawner_sku]],LEN(Table13[[#This Row],[spawner_sku]])-FIND("/",Table13[[#This Row],[spawner_sku]])),Table28[Entity Prefab],0)),25,1,1,"Entities"))</f>
        <v>no</v>
      </c>
      <c r="DO150" s="71">
        <v>1</v>
      </c>
      <c r="DP150" s="71">
        <v>1</v>
      </c>
      <c r="DQ150" s="71" t="b">
        <v>0</v>
      </c>
      <c r="DS150" t="s">
        <v>223</v>
      </c>
      <c r="DT150">
        <v>1</v>
      </c>
      <c r="DU150">
        <v>120</v>
      </c>
      <c r="DV150">
        <v>100</v>
      </c>
      <c r="DW150" s="74">
        <f ca="1">INDIRECT(ADDRESS(11+(MATCH(RIGHT(Table14[[#This Row],[spawner_sku]],LEN(Table14[[#This Row],[spawner_sku]])-FIND("/",Table14[[#This Row],[spawner_sku]])),Table1[Entity Prefab],0)),10,1,1,"Entities"))</f>
        <v>70</v>
      </c>
      <c r="DX150" s="74">
        <f ca="1">ROUND((Table14[[#This Row],[XP]]*Table14[[#This Row],[entity_spawned (AVG)]])*(Table14[[#This Row],[activating_chance]]/100),0)</f>
        <v>70</v>
      </c>
      <c r="DY150" s="144" t="str">
        <f ca="1">INDIRECT(ADDRESS(11+(MATCH(RIGHT(Table14[[#This Row],[spawner_sku]],LEN(Table14[[#This Row],[spawner_sku]])-FIND("/",Table14[[#This Row],[spawner_sku]])),Table28[Entity Prefab],0)),25,1,1,"Entities"))</f>
        <v>no</v>
      </c>
      <c r="DZ150" s="71">
        <v>1</v>
      </c>
      <c r="EA150" s="71">
        <v>1</v>
      </c>
      <c r="EB150" s="71" t="b">
        <v>0</v>
      </c>
      <c r="EC150" s="71"/>
      <c r="ED150" s="147" t="s">
        <v>3816</v>
      </c>
      <c r="EE150" s="71">
        <v>1</v>
      </c>
      <c r="EF150" s="71">
        <v>240</v>
      </c>
      <c r="EG150" s="71">
        <v>100</v>
      </c>
      <c r="EH150" s="71">
        <f ca="1">INDIRECT(ADDRESS(11+(MATCH(RIGHT(Table36[[#This Row],[spawner_sku]],LEN(Table36[[#This Row],[spawner_sku]])-FIND("/",Table36[[#This Row],[spawner_sku]])),Table1[Entity Prefab],0)),10,1,1,"Entities"))</f>
        <v>50</v>
      </c>
      <c r="EI150" s="71">
        <f ca="1">ROUND((Table36[[#This Row],[XP]]*Table36[[#This Row],[entity_spawned (AVG)]])*(Table36[[#This Row],[activating_chance]]/100),0)</f>
        <v>50</v>
      </c>
      <c r="EJ150" s="71" t="str">
        <f ca="1">INDIRECT(ADDRESS(11+(MATCH(RIGHT(Table36[[#This Row],[spawner_sku]],LEN(Table36[[#This Row],[spawner_sku]])-FIND("/",Table36[[#This Row],[spawner_sku]])),Table28[Entity Prefab],0)),25,1,1,"Entities"))</f>
        <v>no</v>
      </c>
      <c r="EK150" s="71">
        <v>1</v>
      </c>
      <c r="EL150" s="71">
        <v>1</v>
      </c>
      <c r="EM150" s="71" t="b">
        <v>0</v>
      </c>
      <c r="EO150" t="s">
        <v>220</v>
      </c>
      <c r="EP150">
        <v>2.5</v>
      </c>
      <c r="EQ150">
        <v>200</v>
      </c>
      <c r="ER150">
        <v>80</v>
      </c>
      <c r="ES150" s="74">
        <f ca="1">INDIRECT(ADDRESS(11+(MATCH(RIGHT(Table18[[#This Row],[spawner_sku]],LEN(Table18[[#This Row],[spawner_sku]])-FIND("/",Table18[[#This Row],[spawner_sku]])),Table1[Entity Prefab],0)),10,1,1,"Entities"))</f>
        <v>195</v>
      </c>
      <c r="ET150" s="74">
        <f ca="1">ROUND((Table18[[#This Row],[XP]]*Table18[[#This Row],[entity_spawned (AVG)]])*(Table18[[#This Row],[activating_chance]]/100),0)</f>
        <v>390</v>
      </c>
      <c r="EU150" s="74" t="str">
        <f ca="1">INDIRECT(ADDRESS(11+(MATCH(RIGHT(Table18[[#This Row],[spawner_sku]],LEN(Table18[[#This Row],[spawner_sku]])-FIND("/",Table18[[#This Row],[spawner_sku]])),Table28[Entity Prefab],0)),26,1,1,"Entities"))</f>
        <v>yes</v>
      </c>
      <c r="EV150">
        <v>2</v>
      </c>
      <c r="EW150">
        <v>3</v>
      </c>
      <c r="EX150" t="b">
        <v>0</v>
      </c>
      <c r="EZ150" t="s">
        <v>370</v>
      </c>
      <c r="FA150">
        <v>1</v>
      </c>
      <c r="FB150">
        <v>450</v>
      </c>
      <c r="FC150">
        <v>100</v>
      </c>
      <c r="FD150" s="74">
        <f ca="1">INDIRECT(ADDRESS(11+(MATCH(RIGHT(Table1820[[#This Row],[spawner_sku]],LEN(Table1820[[#This Row],[spawner_sku]])-FIND("/",Table1820[[#This Row],[spawner_sku]])),Table1[Entity Prefab],0)),10,1,1,"Entities"))</f>
        <v>0</v>
      </c>
      <c r="FE150" s="74">
        <f ca="1">ROUND((Table1820[[#This Row],[XP]]*Table1820[[#This Row],[entity_spawned (AVG)]])*(Table1820[[#This Row],[activating_chance]]/100),0)</f>
        <v>0</v>
      </c>
      <c r="FF150" s="74" t="str">
        <f ca="1">INDIRECT(ADDRESS(11+(MATCH(RIGHT(Table1820[[#This Row],[spawner_sku]],LEN(Table1820[[#This Row],[spawner_sku]])-FIND("/",Table1820[[#This Row],[spawner_sku]])),Table28[Entity Prefab],0)),26,1,1,"Entities"))</f>
        <v>no</v>
      </c>
      <c r="FG150">
        <v>1</v>
      </c>
      <c r="FH150">
        <v>1</v>
      </c>
      <c r="FI150" t="b">
        <v>0</v>
      </c>
      <c r="FK150" t="s">
        <v>2691</v>
      </c>
      <c r="FL150">
        <v>1</v>
      </c>
      <c r="FM150">
        <v>85</v>
      </c>
      <c r="FN150">
        <v>100</v>
      </c>
      <c r="FO150">
        <f ca="1">INDIRECT(ADDRESS(11+(MATCH(RIGHT(Table182023[[#This Row],[spawner_sku]],LEN(Table182023[[#This Row],[spawner_sku]])-FIND("/",Table182023[[#This Row],[spawner_sku]])),Table1[Entity Prefab],0)),10,1,1,"Entities"))</f>
        <v>105</v>
      </c>
      <c r="FP150">
        <f ca="1">ROUND((Table182023[[#This Row],[XP]]*Table182023[[#This Row],[entity_spawned (AVG)]])*(Table182023[[#This Row],[activating_chance]]/100),0)</f>
        <v>105</v>
      </c>
      <c r="FQ150" t="str">
        <f ca="1">INDIRECT(ADDRESS(11+(MATCH(RIGHT(Table182023[[#This Row],[spawner_sku]],LEN(Table182023[[#This Row],[spawner_sku]])-FIND("/",Table182023[[#This Row],[spawner_sku]])),Table28[Entity Prefab],0)),26,1,1,"Entities"))</f>
        <v>no</v>
      </c>
      <c r="FR150">
        <v>1</v>
      </c>
      <c r="FS150">
        <v>1</v>
      </c>
      <c r="FT150" t="b">
        <v>0</v>
      </c>
      <c r="FV150" t="s">
        <v>2697</v>
      </c>
      <c r="FW150">
        <v>3.5</v>
      </c>
      <c r="FX150">
        <v>80</v>
      </c>
      <c r="FY150">
        <v>100</v>
      </c>
      <c r="FZ150" s="74">
        <f ca="1">INDIRECT(ADDRESS(11+(MATCH(RIGHT(Table18202324[[#This Row],[spawner_sku]],LEN(Table18202324[[#This Row],[spawner_sku]])-FIND("/",Table18202324[[#This Row],[spawner_sku]])),Table1[Entity Prefab],0)),10,1,1,"Entities"))</f>
        <v>25</v>
      </c>
      <c r="GA150" s="74">
        <f ca="1">ROUND((Table18202324[[#This Row],[XP]]*Table18202324[[#This Row],[entity_spawned (AVG)]])*(Table18202324[[#This Row],[activating_chance]]/100),0)</f>
        <v>88</v>
      </c>
      <c r="GB150" s="74" t="str">
        <f ca="1">INDIRECT(ADDRESS(11+(MATCH(RIGHT(Table18202324[[#This Row],[spawner_sku]],LEN(Table18202324[[#This Row],[spawner_sku]])-FIND("/",Table18202324[[#This Row],[spawner_sku]])),Table28[Entity Prefab],0)),26,1,1,"Entities"))</f>
        <v>no</v>
      </c>
      <c r="GC150">
        <v>3</v>
      </c>
      <c r="GD150">
        <v>4</v>
      </c>
      <c r="GE150" t="b">
        <v>0</v>
      </c>
      <c r="GG150" t="s">
        <v>3816</v>
      </c>
      <c r="GH150">
        <v>1</v>
      </c>
      <c r="GI150">
        <v>240</v>
      </c>
      <c r="GJ150">
        <v>100</v>
      </c>
      <c r="GK150">
        <f ca="1">INDIRECT(ADDRESS(11+(MATCH(RIGHT(Table37[[#This Row],[spawner_sku]],LEN(Table37[[#This Row],[spawner_sku]])-FIND("/",Table37[[#This Row],[spawner_sku]])),Table1[Entity Prefab],0)),10,1,1,"Entities"))</f>
        <v>50</v>
      </c>
      <c r="GL150">
        <f ca="1">ROUND((Table37[[#This Row],[XP]]*Table37[[#This Row],[entity_spawned (AVG)]])*(Table37[[#This Row],[activating_chance]]/100),0)</f>
        <v>50</v>
      </c>
      <c r="GM150" t="str">
        <f ca="1">INDIRECT(ADDRESS(11+(MATCH(RIGHT(Table37[[#This Row],[spawner_sku]],LEN(Table37[[#This Row],[spawner_sku]])-FIND("/",Table37[[#This Row],[spawner_sku]])),Table28[Entity Prefab],0)),26,1,1,"Entities"))</f>
        <v>no</v>
      </c>
      <c r="GN150">
        <v>1</v>
      </c>
      <c r="GO150">
        <v>1</v>
      </c>
      <c r="GP150" t="b">
        <v>0</v>
      </c>
    </row>
    <row r="151" spans="2:198" x14ac:dyDescent="0.25">
      <c r="B151" s="72" t="s">
        <v>215</v>
      </c>
      <c r="C151">
        <v>4</v>
      </c>
      <c r="D151">
        <v>130</v>
      </c>
      <c r="E151">
        <v>100</v>
      </c>
      <c r="F151" s="74">
        <f ca="1">INDIRECT(ADDRESS(11+(MATCH(RIGHT(Table245[[#This Row],[spawner_sku]],LEN(Table245[[#This Row],[spawner_sku]])-FIND("/",Table245[[#This Row],[spawner_sku]])),Table1[Entity Prefab],0)),10,1,1,"Entities"))</f>
        <v>25</v>
      </c>
      <c r="G151" s="74">
        <f ca="1">ROUND((Table245[[#This Row],[XP]]*Table245[[#This Row],[entity_spawned (AVG)]])*(Table245[[#This Row],[activating_chance]]/100),0)</f>
        <v>100</v>
      </c>
      <c r="H151" s="71" t="str">
        <f ca="1">INDIRECT(ADDRESS(11+(MATCH(RIGHT(Table245[[#This Row],[spawner_sku]],LEN(Table245[[#This Row],[spawner_sku]])-FIND("/",Table245[[#This Row],[spawner_sku]])),Table28[Entity Prefab],0)),24,1,1,"Entities"))</f>
        <v>no</v>
      </c>
      <c r="I151" s="71">
        <v>4</v>
      </c>
      <c r="J151" s="71">
        <v>4</v>
      </c>
      <c r="K151" s="71" t="b">
        <v>0</v>
      </c>
      <c r="M151" t="s">
        <v>242</v>
      </c>
      <c r="N151">
        <v>1</v>
      </c>
      <c r="O151">
        <v>170</v>
      </c>
      <c r="P151">
        <v>100</v>
      </c>
      <c r="Q151" s="74">
        <f ca="1">INDIRECT(ADDRESS(11+(MATCH(RIGHT(Table3[[#This Row],[spawner_sku]],LEN(Table3[[#This Row],[spawner_sku]])-FIND("/",Table3[[#This Row],[spawner_sku]])),Table1[Entity Prefab],0)),10,1,1,"Entities"))</f>
        <v>25</v>
      </c>
      <c r="R151" s="74">
        <f ca="1">ROUND((Table3[[#This Row],[XP]]*Table3[[#This Row],[entity_spawned (AVG)]])*(Table3[[#This Row],[activating_chance]]/100),0)</f>
        <v>25</v>
      </c>
      <c r="S151" t="str">
        <f ca="1">INDIRECT(ADDRESS(11+(MATCH(RIGHT(Table3[[#This Row],[spawner_sku]],LEN(Table3[[#This Row],[spawner_sku]])-FIND("/",Table3[[#This Row],[spawner_sku]])),Table28[Entity Prefab],0)),24,1,1,"Entities"))</f>
        <v>no</v>
      </c>
      <c r="T151">
        <v>1</v>
      </c>
      <c r="U151">
        <v>1</v>
      </c>
      <c r="V151" t="b">
        <v>0</v>
      </c>
      <c r="W151" s="71"/>
      <c r="AI151" t="s">
        <v>219</v>
      </c>
      <c r="AJ151">
        <v>1</v>
      </c>
      <c r="AK151">
        <v>250</v>
      </c>
      <c r="AL151">
        <v>100</v>
      </c>
      <c r="AM151" s="74">
        <f ca="1">INDIRECT(ADDRESS(11+(MATCH(RIGHT(Table2[[#This Row],[spawner_sku]],LEN(Table2[[#This Row],[spawner_sku]])-FIND("/",Table2[[#This Row],[spawner_sku]])),Table1[Entity Prefab],0)),10,1,1,"Entities"))</f>
        <v>143</v>
      </c>
      <c r="AN151" s="74">
        <f ca="1">ROUND((Table2[[#This Row],[XP]]*Table2[[#This Row],[entity_spawned (AVG)]])*(Table2[[#This Row],[activating_chance]]/100),0)</f>
        <v>143</v>
      </c>
      <c r="AO151" s="71" t="str">
        <f ca="1">INDIRECT(ADDRESS(11+(MATCH(RIGHT(Table2[[#This Row],[spawner_sku]],LEN(Table2[[#This Row],[spawner_sku]])-FIND("/",Table2[[#This Row],[spawner_sku]])),Table28[Entity Prefab],0)),24,1,1,"Entities"))</f>
        <v>yes</v>
      </c>
      <c r="AP151" s="71">
        <v>1</v>
      </c>
      <c r="AQ151" s="71">
        <v>1</v>
      </c>
      <c r="AR151" s="71" t="b">
        <v>0</v>
      </c>
      <c r="AT151" t="s">
        <v>240</v>
      </c>
      <c r="AU151">
        <v>1</v>
      </c>
      <c r="AV151">
        <v>170</v>
      </c>
      <c r="AW151">
        <v>100</v>
      </c>
      <c r="AX151" s="74">
        <f ca="1">INDIRECT(ADDRESS(11+(MATCH(RIGHT(Table6[[#This Row],[spawner_sku]],LEN(Table6[[#This Row],[spawner_sku]])-FIND("/",Table6[[#This Row],[spawner_sku]])),Table1[Entity Prefab],0)),10,1,1,"Entities"))</f>
        <v>70</v>
      </c>
      <c r="AY151" s="74">
        <f ca="1">ROUND((Table6[[#This Row],[XP]]*Table6[[#This Row],[entity_spawned (AVG)]])*(Table6[[#This Row],[activating_chance]]/100),0)</f>
        <v>70</v>
      </c>
      <c r="AZ151" s="144" t="str">
        <f ca="1">INDIRECT(ADDRESS(11+(MATCH(RIGHT(Table6[[#This Row],[spawner_sku]],LEN(Table6[[#This Row],[spawner_sku]])-FIND("/",Table6[[#This Row],[spawner_sku]])),Table28[Entity Prefab],0)),24,1,1,"Entities"))</f>
        <v>yes</v>
      </c>
      <c r="BA151">
        <v>1</v>
      </c>
      <c r="BB151">
        <v>1</v>
      </c>
      <c r="BC151" t="b">
        <v>0</v>
      </c>
      <c r="BE151" t="s">
        <v>423</v>
      </c>
      <c r="BF151">
        <v>2.5</v>
      </c>
      <c r="BG151">
        <v>180</v>
      </c>
      <c r="BH151">
        <v>100</v>
      </c>
      <c r="BI151" s="74">
        <f ca="1">INDIRECT(ADDRESS(11+(MATCH(RIGHT(Table610[[#This Row],[spawner_sku]],LEN(Table610[[#This Row],[spawner_sku]])-FIND("/",Table610[[#This Row],[spawner_sku]])),Table1[Entity Prefab],0)),10,1,1,"Entities"))</f>
        <v>0</v>
      </c>
      <c r="BJ151" s="74">
        <f ca="1">ROUND((Table610[[#This Row],[XP]]*Table610[[#This Row],[entity_spawned (AVG)]])*(Table610[[#This Row],[activating_chance]]/100),0)</f>
        <v>0</v>
      </c>
      <c r="BK151" s="71" t="str">
        <f ca="1">INDIRECT(ADDRESS(11+(MATCH(RIGHT(Table610[[#This Row],[spawner_sku]],LEN(Table610[[#This Row],[spawner_sku]])-FIND("/",Table610[[#This Row],[spawner_sku]])),Table28[Entity Prefab],0)),24,1,1,"Entities"))</f>
        <v>yes</v>
      </c>
      <c r="BL151">
        <v>2</v>
      </c>
      <c r="BM151">
        <v>3</v>
      </c>
      <c r="BN151" t="b">
        <v>0</v>
      </c>
      <c r="BP151" t="s">
        <v>383</v>
      </c>
      <c r="BQ151">
        <v>1</v>
      </c>
      <c r="BR151">
        <v>340</v>
      </c>
      <c r="BS151">
        <v>100</v>
      </c>
      <c r="BT151" s="74">
        <f ca="1">INDIRECT(ADDRESS(11+(MATCH(RIGHT(Table61011[[#This Row],[spawner_sku]],LEN(Table61011[[#This Row],[spawner_sku]])-FIND("/",Table61011[[#This Row],[spawner_sku]])),Table1[Entity Prefab],0)),10,1,1,"Entities"))</f>
        <v>263</v>
      </c>
      <c r="BU151" s="74">
        <f ca="1">ROUND((Table61011[[#This Row],[XP]]*Table61011[[#This Row],[entity_spawned (AVG)]])*(Table61011[[#This Row],[activating_chance]]/100),0)</f>
        <v>263</v>
      </c>
      <c r="BV151" s="71" t="str">
        <f ca="1">INDIRECT(ADDRESS(11+(MATCH(RIGHT(Table61011[[#This Row],[spawner_sku]],LEN(Table61011[[#This Row],[spawner_sku]])-FIND("/",Table61011[[#This Row],[spawner_sku]])),Table28[Entity Prefab],0)),24,1,1,"Entities"))</f>
        <v>yes</v>
      </c>
      <c r="BW151" s="71">
        <v>1</v>
      </c>
      <c r="BX151" s="71">
        <v>1</v>
      </c>
      <c r="BY151" s="71" t="b">
        <v>0</v>
      </c>
      <c r="BZ151" s="71"/>
      <c r="CA151" s="147" t="s">
        <v>8142</v>
      </c>
      <c r="CB151">
        <v>1</v>
      </c>
      <c r="CC151">
        <v>200</v>
      </c>
      <c r="CD151">
        <v>50</v>
      </c>
      <c r="CE151" s="74">
        <f ca="1">INDIRECT(ADDRESS(11+(MATCH(RIGHT(Table35[[#This Row],[spawner_sku]],LEN(Table35[[#This Row],[spawner_sku]])-FIND("/",Table35[[#This Row],[spawner_sku]])),Table1[Entity Prefab],0)),10,1,1,"Entities"))</f>
        <v>75</v>
      </c>
      <c r="CF151" s="74">
        <f ca="1">ROUND((Table35[[#This Row],[XP]]*Table35[[#This Row],[entity_spawned (AVG)]])*(Table35[[#This Row],[activating_chance]]/100),0)</f>
        <v>38</v>
      </c>
      <c r="CG151" s="144" t="str">
        <f ca="1">INDIRECT(ADDRESS(11+(MATCH(RIGHT(Table35[[#This Row],[spawner_sku]],LEN(Table35[[#This Row],[spawner_sku]])-FIND("/",Table35[[#This Row],[spawner_sku]])),Table28[Entity Prefab],0)),24,1,1,"Entities"))</f>
        <v>no</v>
      </c>
      <c r="CH151">
        <v>1</v>
      </c>
      <c r="CI151">
        <v>1</v>
      </c>
      <c r="CJ151" s="71" t="b">
        <v>0</v>
      </c>
      <c r="CL151" t="s">
        <v>376</v>
      </c>
      <c r="CM151">
        <v>6</v>
      </c>
      <c r="CN151">
        <v>200</v>
      </c>
      <c r="CO151">
        <v>100</v>
      </c>
      <c r="CP151" s="74">
        <f ca="1">INDIRECT(ADDRESS(11+(MATCH(RIGHT(Table11[[#This Row],[spawner_sku]],LEN(Table11[[#This Row],[spawner_sku]])-FIND("/",Table11[[#This Row],[spawner_sku]])),Table1[Entity Prefab],0)),10,1,1,"Entities"))</f>
        <v>25</v>
      </c>
      <c r="CQ151">
        <f ca="1">ROUND((Table11[[#This Row],[XP]]*Table11[[#This Row],[entity_spawned (AVG)]])*(Table11[[#This Row],[activating_chance]]/100),0)</f>
        <v>150</v>
      </c>
      <c r="CR151" s="144" t="str">
        <f ca="1">INDIRECT(ADDRESS(11+(MATCH(RIGHT(Table11[[#This Row],[spawner_sku]],LEN(Table11[[#This Row],[spawner_sku]])-FIND("/",Table11[[#This Row],[spawner_sku]])),Table28[Entity Prefab],0)),25,1,1,"Entities"))</f>
        <v>no</v>
      </c>
      <c r="CS151" s="71">
        <v>5</v>
      </c>
      <c r="CT151" s="71">
        <v>7</v>
      </c>
      <c r="CU151" s="71" t="b">
        <v>1</v>
      </c>
      <c r="CW151" t="s">
        <v>242</v>
      </c>
      <c r="CX151">
        <v>2.5</v>
      </c>
      <c r="CY151">
        <v>150</v>
      </c>
      <c r="CZ151">
        <v>100</v>
      </c>
      <c r="DA151" s="74">
        <f ca="1">INDIRECT(ADDRESS(11+(MATCH(RIGHT(Table12[[#This Row],[spawner_sku]],LEN(Table12[[#This Row],[spawner_sku]])-FIND("/",Table12[[#This Row],[spawner_sku]])),Table1[Entity Prefab],0)),10,1,1,"Entities"))</f>
        <v>25</v>
      </c>
      <c r="DB151" s="74">
        <f ca="1">ROUND((Table12[[#This Row],[XP]]*Table12[[#This Row],[entity_spawned (AVG)]])*(Table12[[#This Row],[activating_chance]]/100),0)</f>
        <v>63</v>
      </c>
      <c r="DC151" s="144" t="str">
        <f ca="1">INDIRECT(ADDRESS(11+(MATCH(RIGHT(Table12[[#This Row],[spawner_sku]],LEN(Table12[[#This Row],[spawner_sku]])-FIND("/",Table12[[#This Row],[spawner_sku]])),Table28[Entity Prefab],0)),25,1,1,"Entities"))</f>
        <v>no</v>
      </c>
      <c r="DD151" s="71">
        <v>2</v>
      </c>
      <c r="DE151" s="71">
        <v>3</v>
      </c>
      <c r="DF151" s="71" t="b">
        <v>0</v>
      </c>
      <c r="DH151" t="s">
        <v>233</v>
      </c>
      <c r="DI151">
        <v>1</v>
      </c>
      <c r="DJ151">
        <v>500</v>
      </c>
      <c r="DK151">
        <v>100</v>
      </c>
      <c r="DL151" s="74">
        <f ca="1">INDIRECT(ADDRESS(11+(MATCH(RIGHT(Table13[[#This Row],[spawner_sku]],LEN(Table13[[#This Row],[spawner_sku]])-FIND("/",Table13[[#This Row],[spawner_sku]])),Table1[Entity Prefab],0)),10,1,1,"Entities"))</f>
        <v>25</v>
      </c>
      <c r="DM151" s="74">
        <f ca="1">ROUND((Table13[[#This Row],[XP]]*Table13[[#This Row],[entity_spawned (AVG)]])*(Table13[[#This Row],[activating_chance]]/100),0)</f>
        <v>25</v>
      </c>
      <c r="DN151" s="144" t="str">
        <f ca="1">INDIRECT(ADDRESS(11+(MATCH(RIGHT(Table13[[#This Row],[spawner_sku]],LEN(Table13[[#This Row],[spawner_sku]])-FIND("/",Table13[[#This Row],[spawner_sku]])),Table28[Entity Prefab],0)),25,1,1,"Entities"))</f>
        <v>no</v>
      </c>
      <c r="DO151" s="71">
        <v>1</v>
      </c>
      <c r="DP151" s="71">
        <v>1</v>
      </c>
      <c r="DQ151" s="71" t="b">
        <v>0</v>
      </c>
      <c r="DS151" t="s">
        <v>223</v>
      </c>
      <c r="DT151">
        <v>1.5</v>
      </c>
      <c r="DU151">
        <v>120</v>
      </c>
      <c r="DV151">
        <v>100</v>
      </c>
      <c r="DW151" s="74">
        <f ca="1">INDIRECT(ADDRESS(11+(MATCH(RIGHT(Table14[[#This Row],[spawner_sku]],LEN(Table14[[#This Row],[spawner_sku]])-FIND("/",Table14[[#This Row],[spawner_sku]])),Table1[Entity Prefab],0)),10,1,1,"Entities"))</f>
        <v>70</v>
      </c>
      <c r="DX151" s="74">
        <f ca="1">ROUND((Table14[[#This Row],[XP]]*Table14[[#This Row],[entity_spawned (AVG)]])*(Table14[[#This Row],[activating_chance]]/100),0)</f>
        <v>105</v>
      </c>
      <c r="DY151" s="144" t="str">
        <f ca="1">INDIRECT(ADDRESS(11+(MATCH(RIGHT(Table14[[#This Row],[spawner_sku]],LEN(Table14[[#This Row],[spawner_sku]])-FIND("/",Table14[[#This Row],[spawner_sku]])),Table28[Entity Prefab],0)),25,1,1,"Entities"))</f>
        <v>no</v>
      </c>
      <c r="DZ151" s="71">
        <v>1</v>
      </c>
      <c r="EA151" s="71">
        <v>2</v>
      </c>
      <c r="EB151" s="71" t="b">
        <v>0</v>
      </c>
      <c r="EC151" s="71"/>
      <c r="ED151" s="147" t="s">
        <v>3816</v>
      </c>
      <c r="EE151" s="71">
        <v>1</v>
      </c>
      <c r="EF151" s="71">
        <v>240</v>
      </c>
      <c r="EG151" s="71">
        <v>50</v>
      </c>
      <c r="EH151" s="71">
        <f ca="1">INDIRECT(ADDRESS(11+(MATCH(RIGHT(Table36[[#This Row],[spawner_sku]],LEN(Table36[[#This Row],[spawner_sku]])-FIND("/",Table36[[#This Row],[spawner_sku]])),Table1[Entity Prefab],0)),10,1,1,"Entities"))</f>
        <v>50</v>
      </c>
      <c r="EI151" s="71">
        <f ca="1">ROUND((Table36[[#This Row],[XP]]*Table36[[#This Row],[entity_spawned (AVG)]])*(Table36[[#This Row],[activating_chance]]/100),0)</f>
        <v>25</v>
      </c>
      <c r="EJ151" s="71" t="str">
        <f ca="1">INDIRECT(ADDRESS(11+(MATCH(RIGHT(Table36[[#This Row],[spawner_sku]],LEN(Table36[[#This Row],[spawner_sku]])-FIND("/",Table36[[#This Row],[spawner_sku]])),Table28[Entity Prefab],0)),25,1,1,"Entities"))</f>
        <v>no</v>
      </c>
      <c r="EK151" s="71">
        <v>1</v>
      </c>
      <c r="EL151" s="71">
        <v>1</v>
      </c>
      <c r="EM151" s="71" t="b">
        <v>0</v>
      </c>
      <c r="EO151" t="s">
        <v>321</v>
      </c>
      <c r="EP151">
        <v>3</v>
      </c>
      <c r="EQ151">
        <v>300</v>
      </c>
      <c r="ER151">
        <v>100</v>
      </c>
      <c r="ES151" s="74">
        <f ca="1">INDIRECT(ADDRESS(11+(MATCH(RIGHT(Table18[[#This Row],[spawner_sku]],LEN(Table18[[#This Row],[spawner_sku]])-FIND("/",Table18[[#This Row],[spawner_sku]])),Table1[Entity Prefab],0)),10,1,1,"Entities"))</f>
        <v>195</v>
      </c>
      <c r="ET151" s="74">
        <f ca="1">ROUND((Table18[[#This Row],[XP]]*Table18[[#This Row],[entity_spawned (AVG)]])*(Table18[[#This Row],[activating_chance]]/100),0)</f>
        <v>585</v>
      </c>
      <c r="EU151" s="74" t="str">
        <f ca="1">INDIRECT(ADDRESS(11+(MATCH(RIGHT(Table18[[#This Row],[spawner_sku]],LEN(Table18[[#This Row],[spawner_sku]])-FIND("/",Table18[[#This Row],[spawner_sku]])),Table28[Entity Prefab],0)),26,1,1,"Entities"))</f>
        <v>yes</v>
      </c>
      <c r="EV151">
        <v>2</v>
      </c>
      <c r="EW151">
        <v>4</v>
      </c>
      <c r="EX151" t="b">
        <v>0</v>
      </c>
      <c r="EZ151" t="s">
        <v>370</v>
      </c>
      <c r="FA151">
        <v>1</v>
      </c>
      <c r="FB151">
        <v>450</v>
      </c>
      <c r="FC151">
        <v>10</v>
      </c>
      <c r="FD151" s="74">
        <f ca="1">INDIRECT(ADDRESS(11+(MATCH(RIGHT(Table1820[[#This Row],[spawner_sku]],LEN(Table1820[[#This Row],[spawner_sku]])-FIND("/",Table1820[[#This Row],[spawner_sku]])),Table1[Entity Prefab],0)),10,1,1,"Entities"))</f>
        <v>0</v>
      </c>
      <c r="FE151" s="74">
        <f ca="1">ROUND((Table1820[[#This Row],[XP]]*Table1820[[#This Row],[entity_spawned (AVG)]])*(Table1820[[#This Row],[activating_chance]]/100),0)</f>
        <v>0</v>
      </c>
      <c r="FF151" s="74" t="str">
        <f ca="1">INDIRECT(ADDRESS(11+(MATCH(RIGHT(Table1820[[#This Row],[spawner_sku]],LEN(Table1820[[#This Row],[spawner_sku]])-FIND("/",Table1820[[#This Row],[spawner_sku]])),Table28[Entity Prefab],0)),26,1,1,"Entities"))</f>
        <v>no</v>
      </c>
      <c r="FG151">
        <v>1</v>
      </c>
      <c r="FH151">
        <v>1</v>
      </c>
      <c r="FI151" t="b">
        <v>0</v>
      </c>
      <c r="FK151" t="s">
        <v>2689</v>
      </c>
      <c r="FL151">
        <v>1</v>
      </c>
      <c r="FM151">
        <v>80</v>
      </c>
      <c r="FN151">
        <v>100</v>
      </c>
      <c r="FO151">
        <f ca="1">INDIRECT(ADDRESS(11+(MATCH(RIGHT(Table182023[[#This Row],[spawner_sku]],LEN(Table182023[[#This Row],[spawner_sku]])-FIND("/",Table182023[[#This Row],[spawner_sku]])),Table1[Entity Prefab],0)),10,1,1,"Entities"))</f>
        <v>25</v>
      </c>
      <c r="FP151">
        <f ca="1">ROUND((Table182023[[#This Row],[XP]]*Table182023[[#This Row],[entity_spawned (AVG)]])*(Table182023[[#This Row],[activating_chance]]/100),0)</f>
        <v>25</v>
      </c>
      <c r="FQ151" t="str">
        <f ca="1">INDIRECT(ADDRESS(11+(MATCH(RIGHT(Table182023[[#This Row],[spawner_sku]],LEN(Table182023[[#This Row],[spawner_sku]])-FIND("/",Table182023[[#This Row],[spawner_sku]])),Table28[Entity Prefab],0)),26,1,1,"Entities"))</f>
        <v>no</v>
      </c>
      <c r="FR151">
        <v>1</v>
      </c>
      <c r="FS151">
        <v>1</v>
      </c>
      <c r="FT151" t="b">
        <v>0</v>
      </c>
      <c r="FV151" t="s">
        <v>2697</v>
      </c>
      <c r="FW151">
        <v>1</v>
      </c>
      <c r="FX151">
        <v>80</v>
      </c>
      <c r="FY151">
        <v>100</v>
      </c>
      <c r="FZ151" s="74">
        <f ca="1">INDIRECT(ADDRESS(11+(MATCH(RIGHT(Table18202324[[#This Row],[spawner_sku]],LEN(Table18202324[[#This Row],[spawner_sku]])-FIND("/",Table18202324[[#This Row],[spawner_sku]])),Table1[Entity Prefab],0)),10,1,1,"Entities"))</f>
        <v>25</v>
      </c>
      <c r="GA151" s="74">
        <f ca="1">ROUND((Table18202324[[#This Row],[XP]]*Table18202324[[#This Row],[entity_spawned (AVG)]])*(Table18202324[[#This Row],[activating_chance]]/100),0)</f>
        <v>25</v>
      </c>
      <c r="GB151" s="74" t="str">
        <f ca="1">INDIRECT(ADDRESS(11+(MATCH(RIGHT(Table18202324[[#This Row],[spawner_sku]],LEN(Table18202324[[#This Row],[spawner_sku]])-FIND("/",Table18202324[[#This Row],[spawner_sku]])),Table28[Entity Prefab],0)),26,1,1,"Entities"))</f>
        <v>no</v>
      </c>
      <c r="GC151">
        <v>1</v>
      </c>
      <c r="GD151">
        <v>1</v>
      </c>
      <c r="GE151" t="b">
        <v>0</v>
      </c>
      <c r="GG151" t="s">
        <v>3816</v>
      </c>
      <c r="GH151">
        <v>1</v>
      </c>
      <c r="GI151">
        <v>240</v>
      </c>
      <c r="GJ151">
        <v>100</v>
      </c>
      <c r="GK151">
        <f ca="1">INDIRECT(ADDRESS(11+(MATCH(RIGHT(Table37[[#This Row],[spawner_sku]],LEN(Table37[[#This Row],[spawner_sku]])-FIND("/",Table37[[#This Row],[spawner_sku]])),Table1[Entity Prefab],0)),10,1,1,"Entities"))</f>
        <v>50</v>
      </c>
      <c r="GL151">
        <f ca="1">ROUND((Table37[[#This Row],[XP]]*Table37[[#This Row],[entity_spawned (AVG)]])*(Table37[[#This Row],[activating_chance]]/100),0)</f>
        <v>50</v>
      </c>
      <c r="GM151" t="str">
        <f ca="1">INDIRECT(ADDRESS(11+(MATCH(RIGHT(Table37[[#This Row],[spawner_sku]],LEN(Table37[[#This Row],[spawner_sku]])-FIND("/",Table37[[#This Row],[spawner_sku]])),Table28[Entity Prefab],0)),26,1,1,"Entities"))</f>
        <v>no</v>
      </c>
      <c r="GN151">
        <v>1</v>
      </c>
      <c r="GO151">
        <v>1</v>
      </c>
      <c r="GP151" t="b">
        <v>0</v>
      </c>
    </row>
    <row r="152" spans="2:198" x14ac:dyDescent="0.25">
      <c r="B152" s="72" t="s">
        <v>215</v>
      </c>
      <c r="C152">
        <v>3</v>
      </c>
      <c r="D152">
        <v>160</v>
      </c>
      <c r="E152">
        <v>100</v>
      </c>
      <c r="F152" s="74">
        <f ca="1">INDIRECT(ADDRESS(11+(MATCH(RIGHT(Table245[[#This Row],[spawner_sku]],LEN(Table245[[#This Row],[spawner_sku]])-FIND("/",Table245[[#This Row],[spawner_sku]])),Table1[Entity Prefab],0)),10,1,1,"Entities"))</f>
        <v>25</v>
      </c>
      <c r="G152" s="74">
        <f ca="1">ROUND((Table245[[#This Row],[XP]]*Table245[[#This Row],[entity_spawned (AVG)]])*(Table245[[#This Row],[activating_chance]]/100),0)</f>
        <v>75</v>
      </c>
      <c r="H152" s="71" t="str">
        <f ca="1">INDIRECT(ADDRESS(11+(MATCH(RIGHT(Table245[[#This Row],[spawner_sku]],LEN(Table245[[#This Row],[spawner_sku]])-FIND("/",Table245[[#This Row],[spawner_sku]])),Table28[Entity Prefab],0)),24,1,1,"Entities"))</f>
        <v>no</v>
      </c>
      <c r="I152" s="71">
        <v>2</v>
      </c>
      <c r="J152" s="71">
        <v>4</v>
      </c>
      <c r="K152" s="71" t="b">
        <v>0</v>
      </c>
      <c r="M152" t="s">
        <v>365</v>
      </c>
      <c r="N152">
        <v>1</v>
      </c>
      <c r="O152">
        <v>275</v>
      </c>
      <c r="P152">
        <v>100</v>
      </c>
      <c r="Q152" s="74">
        <f ca="1">INDIRECT(ADDRESS(11+(MATCH(RIGHT(Table3[[#This Row],[spawner_sku]],LEN(Table3[[#This Row],[spawner_sku]])-FIND("/",Table3[[#This Row],[spawner_sku]])),Table1[Entity Prefab],0)),10,1,1,"Entities"))</f>
        <v>28</v>
      </c>
      <c r="R152" s="74">
        <f ca="1">ROUND((Table3[[#This Row],[XP]]*Table3[[#This Row],[entity_spawned (AVG)]])*(Table3[[#This Row],[activating_chance]]/100),0)</f>
        <v>28</v>
      </c>
      <c r="S152" t="str">
        <f ca="1">INDIRECT(ADDRESS(11+(MATCH(RIGHT(Table3[[#This Row],[spawner_sku]],LEN(Table3[[#This Row],[spawner_sku]])-FIND("/",Table3[[#This Row],[spawner_sku]])),Table28[Entity Prefab],0)),24,1,1,"Entities"))</f>
        <v>yes</v>
      </c>
      <c r="T152">
        <v>1</v>
      </c>
      <c r="U152">
        <v>1</v>
      </c>
      <c r="V152" t="b">
        <v>0</v>
      </c>
      <c r="W152" s="71"/>
      <c r="AI152" t="s">
        <v>219</v>
      </c>
      <c r="AJ152">
        <v>1</v>
      </c>
      <c r="AK152">
        <v>250</v>
      </c>
      <c r="AL152">
        <v>20</v>
      </c>
      <c r="AM152" s="74">
        <f ca="1">INDIRECT(ADDRESS(11+(MATCH(RIGHT(Table2[[#This Row],[spawner_sku]],LEN(Table2[[#This Row],[spawner_sku]])-FIND("/",Table2[[#This Row],[spawner_sku]])),Table1[Entity Prefab],0)),10,1,1,"Entities"))</f>
        <v>143</v>
      </c>
      <c r="AN152" s="74">
        <f ca="1">ROUND((Table2[[#This Row],[XP]]*Table2[[#This Row],[entity_spawned (AVG)]])*(Table2[[#This Row],[activating_chance]]/100),0)</f>
        <v>29</v>
      </c>
      <c r="AO152" s="71" t="str">
        <f ca="1">INDIRECT(ADDRESS(11+(MATCH(RIGHT(Table2[[#This Row],[spawner_sku]],LEN(Table2[[#This Row],[spawner_sku]])-FIND("/",Table2[[#This Row],[spawner_sku]])),Table28[Entity Prefab],0)),24,1,1,"Entities"))</f>
        <v>yes</v>
      </c>
      <c r="AP152" s="71">
        <v>1</v>
      </c>
      <c r="AQ152" s="71">
        <v>1</v>
      </c>
      <c r="AR152" s="71" t="b">
        <v>0</v>
      </c>
      <c r="AT152" t="s">
        <v>240</v>
      </c>
      <c r="AU152">
        <v>1</v>
      </c>
      <c r="AV152">
        <v>170</v>
      </c>
      <c r="AW152">
        <v>30</v>
      </c>
      <c r="AX152" s="74">
        <f ca="1">INDIRECT(ADDRESS(11+(MATCH(RIGHT(Table6[[#This Row],[spawner_sku]],LEN(Table6[[#This Row],[spawner_sku]])-FIND("/",Table6[[#This Row],[spawner_sku]])),Table1[Entity Prefab],0)),10,1,1,"Entities"))</f>
        <v>70</v>
      </c>
      <c r="AY152" s="74">
        <f ca="1">ROUND((Table6[[#This Row],[XP]]*Table6[[#This Row],[entity_spawned (AVG)]])*(Table6[[#This Row],[activating_chance]]/100),0)</f>
        <v>21</v>
      </c>
      <c r="AZ152" s="144" t="str">
        <f ca="1">INDIRECT(ADDRESS(11+(MATCH(RIGHT(Table6[[#This Row],[spawner_sku]],LEN(Table6[[#This Row],[spawner_sku]])-FIND("/",Table6[[#This Row],[spawner_sku]])),Table28[Entity Prefab],0)),24,1,1,"Entities"))</f>
        <v>yes</v>
      </c>
      <c r="BA152">
        <v>1</v>
      </c>
      <c r="BB152">
        <v>1</v>
      </c>
      <c r="BC152" t="b">
        <v>0</v>
      </c>
      <c r="BE152" t="s">
        <v>423</v>
      </c>
      <c r="BF152">
        <v>1</v>
      </c>
      <c r="BG152">
        <v>180</v>
      </c>
      <c r="BH152">
        <v>100</v>
      </c>
      <c r="BI152" s="74">
        <f ca="1">INDIRECT(ADDRESS(11+(MATCH(RIGHT(Table610[[#This Row],[spawner_sku]],LEN(Table610[[#This Row],[spawner_sku]])-FIND("/",Table610[[#This Row],[spawner_sku]])),Table1[Entity Prefab],0)),10,1,1,"Entities"))</f>
        <v>0</v>
      </c>
      <c r="BJ152" s="74">
        <f ca="1">ROUND((Table610[[#This Row],[XP]]*Table610[[#This Row],[entity_spawned (AVG)]])*(Table610[[#This Row],[activating_chance]]/100),0)</f>
        <v>0</v>
      </c>
      <c r="BK152" s="71" t="str">
        <f ca="1">INDIRECT(ADDRESS(11+(MATCH(RIGHT(Table610[[#This Row],[spawner_sku]],LEN(Table610[[#This Row],[spawner_sku]])-FIND("/",Table610[[#This Row],[spawner_sku]])),Table28[Entity Prefab],0)),24,1,1,"Entities"))</f>
        <v>yes</v>
      </c>
      <c r="BL152">
        <v>1</v>
      </c>
      <c r="BM152">
        <v>1</v>
      </c>
      <c r="BN152" t="b">
        <v>0</v>
      </c>
      <c r="BP152" t="s">
        <v>383</v>
      </c>
      <c r="BQ152">
        <v>1</v>
      </c>
      <c r="BR152">
        <v>340</v>
      </c>
      <c r="BS152">
        <v>100</v>
      </c>
      <c r="BT152" s="74">
        <f ca="1">INDIRECT(ADDRESS(11+(MATCH(RIGHT(Table61011[[#This Row],[spawner_sku]],LEN(Table61011[[#This Row],[spawner_sku]])-FIND("/",Table61011[[#This Row],[spawner_sku]])),Table1[Entity Prefab],0)),10,1,1,"Entities"))</f>
        <v>263</v>
      </c>
      <c r="BU152" s="74">
        <f ca="1">ROUND((Table61011[[#This Row],[XP]]*Table61011[[#This Row],[entity_spawned (AVG)]])*(Table61011[[#This Row],[activating_chance]]/100),0)</f>
        <v>263</v>
      </c>
      <c r="BV152" s="71" t="str">
        <f ca="1">INDIRECT(ADDRESS(11+(MATCH(RIGHT(Table61011[[#This Row],[spawner_sku]],LEN(Table61011[[#This Row],[spawner_sku]])-FIND("/",Table61011[[#This Row],[spawner_sku]])),Table28[Entity Prefab],0)),24,1,1,"Entities"))</f>
        <v>yes</v>
      </c>
      <c r="BW152" s="71">
        <v>1</v>
      </c>
      <c r="BX152" s="71">
        <v>1</v>
      </c>
      <c r="BY152" s="71" t="b">
        <v>0</v>
      </c>
      <c r="BZ152" s="71"/>
      <c r="CA152" s="147" t="s">
        <v>8142</v>
      </c>
      <c r="CB152">
        <v>1</v>
      </c>
      <c r="CC152">
        <v>200</v>
      </c>
      <c r="CD152">
        <v>100</v>
      </c>
      <c r="CE152" s="74">
        <f ca="1">INDIRECT(ADDRESS(11+(MATCH(RIGHT(Table35[[#This Row],[spawner_sku]],LEN(Table35[[#This Row],[spawner_sku]])-FIND("/",Table35[[#This Row],[spawner_sku]])),Table1[Entity Prefab],0)),10,1,1,"Entities"))</f>
        <v>75</v>
      </c>
      <c r="CF152" s="74">
        <f ca="1">ROUND((Table35[[#This Row],[XP]]*Table35[[#This Row],[entity_spawned (AVG)]])*(Table35[[#This Row],[activating_chance]]/100),0)</f>
        <v>75</v>
      </c>
      <c r="CG152" s="144" t="str">
        <f ca="1">INDIRECT(ADDRESS(11+(MATCH(RIGHT(Table35[[#This Row],[spawner_sku]],LEN(Table35[[#This Row],[spawner_sku]])-FIND("/",Table35[[#This Row],[spawner_sku]])),Table28[Entity Prefab],0)),24,1,1,"Entities"))</f>
        <v>no</v>
      </c>
      <c r="CH152">
        <v>1</v>
      </c>
      <c r="CI152">
        <v>1</v>
      </c>
      <c r="CJ152" s="71" t="b">
        <v>0</v>
      </c>
      <c r="CL152" t="s">
        <v>376</v>
      </c>
      <c r="CM152">
        <v>6</v>
      </c>
      <c r="CN152">
        <v>200</v>
      </c>
      <c r="CO152">
        <v>100</v>
      </c>
      <c r="CP152" s="74">
        <f ca="1">INDIRECT(ADDRESS(11+(MATCH(RIGHT(Table11[[#This Row],[spawner_sku]],LEN(Table11[[#This Row],[spawner_sku]])-FIND("/",Table11[[#This Row],[spawner_sku]])),Table1[Entity Prefab],0)),10,1,1,"Entities"))</f>
        <v>25</v>
      </c>
      <c r="CQ152">
        <f ca="1">ROUND((Table11[[#This Row],[XP]]*Table11[[#This Row],[entity_spawned (AVG)]])*(Table11[[#This Row],[activating_chance]]/100),0)</f>
        <v>150</v>
      </c>
      <c r="CR152" s="144" t="str">
        <f ca="1">INDIRECT(ADDRESS(11+(MATCH(RIGHT(Table11[[#This Row],[spawner_sku]],LEN(Table11[[#This Row],[spawner_sku]])-FIND("/",Table11[[#This Row],[spawner_sku]])),Table28[Entity Prefab],0)),25,1,1,"Entities"))</f>
        <v>no</v>
      </c>
      <c r="CS152" s="71">
        <v>6</v>
      </c>
      <c r="CT152" s="71">
        <v>6</v>
      </c>
      <c r="CU152" s="71" t="b">
        <v>1</v>
      </c>
      <c r="CW152" t="s">
        <v>242</v>
      </c>
      <c r="CX152">
        <v>1</v>
      </c>
      <c r="CY152">
        <v>150</v>
      </c>
      <c r="CZ152">
        <v>100</v>
      </c>
      <c r="DA152" s="74">
        <f ca="1">INDIRECT(ADDRESS(11+(MATCH(RIGHT(Table12[[#This Row],[spawner_sku]],LEN(Table12[[#This Row],[spawner_sku]])-FIND("/",Table12[[#This Row],[spawner_sku]])),Table1[Entity Prefab],0)),10,1,1,"Entities"))</f>
        <v>25</v>
      </c>
      <c r="DB152" s="74">
        <f ca="1">ROUND((Table12[[#This Row],[XP]]*Table12[[#This Row],[entity_spawned (AVG)]])*(Table12[[#This Row],[activating_chance]]/100),0)</f>
        <v>25</v>
      </c>
      <c r="DC152" s="144" t="str">
        <f ca="1">INDIRECT(ADDRESS(11+(MATCH(RIGHT(Table12[[#This Row],[spawner_sku]],LEN(Table12[[#This Row],[spawner_sku]])-FIND("/",Table12[[#This Row],[spawner_sku]])),Table28[Entity Prefab],0)),25,1,1,"Entities"))</f>
        <v>no</v>
      </c>
      <c r="DD152" s="71">
        <v>1</v>
      </c>
      <c r="DE152" s="71">
        <v>1</v>
      </c>
      <c r="DF152" s="71" t="b">
        <v>0</v>
      </c>
      <c r="DH152" t="s">
        <v>233</v>
      </c>
      <c r="DI152">
        <v>1</v>
      </c>
      <c r="DJ152">
        <v>500</v>
      </c>
      <c r="DK152">
        <v>75</v>
      </c>
      <c r="DL152" s="74">
        <f ca="1">INDIRECT(ADDRESS(11+(MATCH(RIGHT(Table13[[#This Row],[spawner_sku]],LEN(Table13[[#This Row],[spawner_sku]])-FIND("/",Table13[[#This Row],[spawner_sku]])),Table1[Entity Prefab],0)),10,1,1,"Entities"))</f>
        <v>25</v>
      </c>
      <c r="DM152" s="74">
        <f ca="1">ROUND((Table13[[#This Row],[XP]]*Table13[[#This Row],[entity_spawned (AVG)]])*(Table13[[#This Row],[activating_chance]]/100),0)</f>
        <v>19</v>
      </c>
      <c r="DN152" s="144" t="str">
        <f ca="1">INDIRECT(ADDRESS(11+(MATCH(RIGHT(Table13[[#This Row],[spawner_sku]],LEN(Table13[[#This Row],[spawner_sku]])-FIND("/",Table13[[#This Row],[spawner_sku]])),Table28[Entity Prefab],0)),25,1,1,"Entities"))</f>
        <v>no</v>
      </c>
      <c r="DO152" s="71">
        <v>1</v>
      </c>
      <c r="DP152" s="71">
        <v>1</v>
      </c>
      <c r="DQ152" s="71" t="b">
        <v>0</v>
      </c>
      <c r="DS152" t="s">
        <v>223</v>
      </c>
      <c r="DT152">
        <v>1</v>
      </c>
      <c r="DU152">
        <v>90</v>
      </c>
      <c r="DV152">
        <v>80</v>
      </c>
      <c r="DW152" s="74">
        <f ca="1">INDIRECT(ADDRESS(11+(MATCH(RIGHT(Table14[[#This Row],[spawner_sku]],LEN(Table14[[#This Row],[spawner_sku]])-FIND("/",Table14[[#This Row],[spawner_sku]])),Table1[Entity Prefab],0)),10,1,1,"Entities"))</f>
        <v>70</v>
      </c>
      <c r="DX152" s="74">
        <f ca="1">ROUND((Table14[[#This Row],[XP]]*Table14[[#This Row],[entity_spawned (AVG)]])*(Table14[[#This Row],[activating_chance]]/100),0)</f>
        <v>56</v>
      </c>
      <c r="DY152" s="144" t="str">
        <f ca="1">INDIRECT(ADDRESS(11+(MATCH(RIGHT(Table14[[#This Row],[spawner_sku]],LEN(Table14[[#This Row],[spawner_sku]])-FIND("/",Table14[[#This Row],[spawner_sku]])),Table28[Entity Prefab],0)),25,1,1,"Entities"))</f>
        <v>no</v>
      </c>
      <c r="DZ152" s="71">
        <v>1</v>
      </c>
      <c r="EA152" s="71">
        <v>1</v>
      </c>
      <c r="EB152" s="71" t="b">
        <v>0</v>
      </c>
      <c r="EC152" s="71"/>
      <c r="ED152" s="147" t="s">
        <v>3816</v>
      </c>
      <c r="EE152" s="71">
        <v>1</v>
      </c>
      <c r="EF152" s="71">
        <v>240</v>
      </c>
      <c r="EG152" s="71">
        <v>100</v>
      </c>
      <c r="EH152" s="71">
        <f ca="1">INDIRECT(ADDRESS(11+(MATCH(RIGHT(Table36[[#This Row],[spawner_sku]],LEN(Table36[[#This Row],[spawner_sku]])-FIND("/",Table36[[#This Row],[spawner_sku]])),Table1[Entity Prefab],0)),10,1,1,"Entities"))</f>
        <v>50</v>
      </c>
      <c r="EI152" s="71">
        <f ca="1">ROUND((Table36[[#This Row],[XP]]*Table36[[#This Row],[entity_spawned (AVG)]])*(Table36[[#This Row],[activating_chance]]/100),0)</f>
        <v>50</v>
      </c>
      <c r="EJ152" s="71" t="str">
        <f ca="1">INDIRECT(ADDRESS(11+(MATCH(RIGHT(Table36[[#This Row],[spawner_sku]],LEN(Table36[[#This Row],[spawner_sku]])-FIND("/",Table36[[#This Row],[spawner_sku]])),Table28[Entity Prefab],0)),25,1,1,"Entities"))</f>
        <v>no</v>
      </c>
      <c r="EK152" s="71">
        <v>1</v>
      </c>
      <c r="EL152" s="71">
        <v>1</v>
      </c>
      <c r="EM152" s="71" t="b">
        <v>0</v>
      </c>
      <c r="EO152" t="s">
        <v>321</v>
      </c>
      <c r="EP152">
        <v>1.5</v>
      </c>
      <c r="EQ152">
        <v>200</v>
      </c>
      <c r="ER152">
        <v>80</v>
      </c>
      <c r="ES152" s="74">
        <f ca="1">INDIRECT(ADDRESS(11+(MATCH(RIGHT(Table18[[#This Row],[spawner_sku]],LEN(Table18[[#This Row],[spawner_sku]])-FIND("/",Table18[[#This Row],[spawner_sku]])),Table1[Entity Prefab],0)),10,1,1,"Entities"))</f>
        <v>195</v>
      </c>
      <c r="ET152" s="74">
        <f ca="1">ROUND((Table18[[#This Row],[XP]]*Table18[[#This Row],[entity_spawned (AVG)]])*(Table18[[#This Row],[activating_chance]]/100),0)</f>
        <v>234</v>
      </c>
      <c r="EU152" s="74" t="str">
        <f ca="1">INDIRECT(ADDRESS(11+(MATCH(RIGHT(Table18[[#This Row],[spawner_sku]],LEN(Table18[[#This Row],[spawner_sku]])-FIND("/",Table18[[#This Row],[spawner_sku]])),Table28[Entity Prefab],0)),26,1,1,"Entities"))</f>
        <v>yes</v>
      </c>
      <c r="EV152">
        <v>1</v>
      </c>
      <c r="EW152">
        <v>2</v>
      </c>
      <c r="EX152" t="b">
        <v>0</v>
      </c>
      <c r="EZ152" t="s">
        <v>370</v>
      </c>
      <c r="FA152">
        <v>1</v>
      </c>
      <c r="FB152">
        <v>450</v>
      </c>
      <c r="FC152">
        <v>100</v>
      </c>
      <c r="FD152" s="74">
        <f ca="1">INDIRECT(ADDRESS(11+(MATCH(RIGHT(Table1820[[#This Row],[spawner_sku]],LEN(Table1820[[#This Row],[spawner_sku]])-FIND("/",Table1820[[#This Row],[spawner_sku]])),Table1[Entity Prefab],0)),10,1,1,"Entities"))</f>
        <v>0</v>
      </c>
      <c r="FE152" s="74">
        <f ca="1">ROUND((Table1820[[#This Row],[XP]]*Table1820[[#This Row],[entity_spawned (AVG)]])*(Table1820[[#This Row],[activating_chance]]/100),0)</f>
        <v>0</v>
      </c>
      <c r="FF152" s="74" t="str">
        <f ca="1">INDIRECT(ADDRESS(11+(MATCH(RIGHT(Table1820[[#This Row],[spawner_sku]],LEN(Table1820[[#This Row],[spawner_sku]])-FIND("/",Table1820[[#This Row],[spawner_sku]])),Table28[Entity Prefab],0)),26,1,1,"Entities"))</f>
        <v>no</v>
      </c>
      <c r="FG152">
        <v>1</v>
      </c>
      <c r="FH152">
        <v>1</v>
      </c>
      <c r="FI152" t="b">
        <v>0</v>
      </c>
      <c r="FK152" t="s">
        <v>2689</v>
      </c>
      <c r="FL152">
        <v>1.5</v>
      </c>
      <c r="FM152">
        <v>80</v>
      </c>
      <c r="FN152">
        <v>100</v>
      </c>
      <c r="FO152">
        <f ca="1">INDIRECT(ADDRESS(11+(MATCH(RIGHT(Table182023[[#This Row],[spawner_sku]],LEN(Table182023[[#This Row],[spawner_sku]])-FIND("/",Table182023[[#This Row],[spawner_sku]])),Table1[Entity Prefab],0)),10,1,1,"Entities"))</f>
        <v>25</v>
      </c>
      <c r="FP152">
        <f ca="1">ROUND((Table182023[[#This Row],[XP]]*Table182023[[#This Row],[entity_spawned (AVG)]])*(Table182023[[#This Row],[activating_chance]]/100),0)</f>
        <v>38</v>
      </c>
      <c r="FQ152" t="str">
        <f ca="1">INDIRECT(ADDRESS(11+(MATCH(RIGHT(Table182023[[#This Row],[spawner_sku]],LEN(Table182023[[#This Row],[spawner_sku]])-FIND("/",Table182023[[#This Row],[spawner_sku]])),Table28[Entity Prefab],0)),26,1,1,"Entities"))</f>
        <v>no</v>
      </c>
      <c r="FR152">
        <v>1</v>
      </c>
      <c r="FS152">
        <v>2</v>
      </c>
      <c r="FT152" t="b">
        <v>0</v>
      </c>
      <c r="FV152" t="s">
        <v>2697</v>
      </c>
      <c r="FW152">
        <v>3.5</v>
      </c>
      <c r="FX152">
        <v>70</v>
      </c>
      <c r="FY152">
        <v>100</v>
      </c>
      <c r="FZ152" s="74">
        <f ca="1">INDIRECT(ADDRESS(11+(MATCH(RIGHT(Table18202324[[#This Row],[spawner_sku]],LEN(Table18202324[[#This Row],[spawner_sku]])-FIND("/",Table18202324[[#This Row],[spawner_sku]])),Table1[Entity Prefab],0)),10,1,1,"Entities"))</f>
        <v>25</v>
      </c>
      <c r="GA152" s="74">
        <f ca="1">ROUND((Table18202324[[#This Row],[XP]]*Table18202324[[#This Row],[entity_spawned (AVG)]])*(Table18202324[[#This Row],[activating_chance]]/100),0)</f>
        <v>88</v>
      </c>
      <c r="GB152" s="74" t="str">
        <f ca="1">INDIRECT(ADDRESS(11+(MATCH(RIGHT(Table18202324[[#This Row],[spawner_sku]],LEN(Table18202324[[#This Row],[spawner_sku]])-FIND("/",Table18202324[[#This Row],[spawner_sku]])),Table28[Entity Prefab],0)),26,1,1,"Entities"))</f>
        <v>no</v>
      </c>
      <c r="GC152">
        <v>3</v>
      </c>
      <c r="GD152">
        <v>4</v>
      </c>
      <c r="GE152" t="b">
        <v>0</v>
      </c>
      <c r="GG152" t="s">
        <v>3816</v>
      </c>
      <c r="GH152">
        <v>1</v>
      </c>
      <c r="GI152">
        <v>240</v>
      </c>
      <c r="GJ152">
        <v>100</v>
      </c>
      <c r="GK152">
        <f ca="1">INDIRECT(ADDRESS(11+(MATCH(RIGHT(Table37[[#This Row],[spawner_sku]],LEN(Table37[[#This Row],[spawner_sku]])-FIND("/",Table37[[#This Row],[spawner_sku]])),Table1[Entity Prefab],0)),10,1,1,"Entities"))</f>
        <v>50</v>
      </c>
      <c r="GL152">
        <f ca="1">ROUND((Table37[[#This Row],[XP]]*Table37[[#This Row],[entity_spawned (AVG)]])*(Table37[[#This Row],[activating_chance]]/100),0)</f>
        <v>50</v>
      </c>
      <c r="GM152" t="str">
        <f ca="1">INDIRECT(ADDRESS(11+(MATCH(RIGHT(Table37[[#This Row],[spawner_sku]],LEN(Table37[[#This Row],[spawner_sku]])-FIND("/",Table37[[#This Row],[spawner_sku]])),Table28[Entity Prefab],0)),26,1,1,"Entities"))</f>
        <v>no</v>
      </c>
      <c r="GN152">
        <v>1</v>
      </c>
      <c r="GO152">
        <v>1</v>
      </c>
      <c r="GP152" t="b">
        <v>0</v>
      </c>
    </row>
    <row r="153" spans="2:198" x14ac:dyDescent="0.25">
      <c r="B153" s="72" t="s">
        <v>215</v>
      </c>
      <c r="C153">
        <v>1.5</v>
      </c>
      <c r="D153">
        <v>80</v>
      </c>
      <c r="E153">
        <v>100</v>
      </c>
      <c r="F153" s="74">
        <f ca="1">INDIRECT(ADDRESS(11+(MATCH(RIGHT(Table245[[#This Row],[spawner_sku]],LEN(Table245[[#This Row],[spawner_sku]])-FIND("/",Table245[[#This Row],[spawner_sku]])),Table1[Entity Prefab],0)),10,1,1,"Entities"))</f>
        <v>25</v>
      </c>
      <c r="G153" s="74">
        <f ca="1">ROUND((Table245[[#This Row],[XP]]*Table245[[#This Row],[entity_spawned (AVG)]])*(Table245[[#This Row],[activating_chance]]/100),0)</f>
        <v>38</v>
      </c>
      <c r="H153" s="71" t="str">
        <f ca="1">INDIRECT(ADDRESS(11+(MATCH(RIGHT(Table245[[#This Row],[spawner_sku]],LEN(Table245[[#This Row],[spawner_sku]])-FIND("/",Table245[[#This Row],[spawner_sku]])),Table28[Entity Prefab],0)),24,1,1,"Entities"))</f>
        <v>no</v>
      </c>
      <c r="I153" s="71">
        <v>1</v>
      </c>
      <c r="J153" s="71">
        <v>2</v>
      </c>
      <c r="K153" s="71" t="b">
        <v>0</v>
      </c>
      <c r="M153" t="s">
        <v>366</v>
      </c>
      <c r="N153">
        <v>3</v>
      </c>
      <c r="O153">
        <v>100</v>
      </c>
      <c r="P153">
        <v>100</v>
      </c>
      <c r="Q153" s="74">
        <f ca="1">INDIRECT(ADDRESS(11+(MATCH(RIGHT(Table3[[#This Row],[spawner_sku]],LEN(Table3[[#This Row],[spawner_sku]])-FIND("/",Table3[[#This Row],[spawner_sku]])),Table1[Entity Prefab],0)),10,1,1,"Entities"))</f>
        <v>25</v>
      </c>
      <c r="R153" s="74">
        <f ca="1">ROUND((Table3[[#This Row],[XP]]*Table3[[#This Row],[entity_spawned (AVG)]])*(Table3[[#This Row],[activating_chance]]/100),0)</f>
        <v>75</v>
      </c>
      <c r="S153" t="str">
        <f ca="1">INDIRECT(ADDRESS(11+(MATCH(RIGHT(Table3[[#This Row],[spawner_sku]],LEN(Table3[[#This Row],[spawner_sku]])-FIND("/",Table3[[#This Row],[spawner_sku]])),Table28[Entity Prefab],0)),24,1,1,"Entities"))</f>
        <v>no</v>
      </c>
      <c r="T153">
        <v>3</v>
      </c>
      <c r="U153">
        <v>3</v>
      </c>
      <c r="V153" t="b">
        <v>0</v>
      </c>
      <c r="W153" s="71"/>
      <c r="AI153" t="s">
        <v>219</v>
      </c>
      <c r="AJ153">
        <v>1</v>
      </c>
      <c r="AK153">
        <v>250</v>
      </c>
      <c r="AL153">
        <v>100</v>
      </c>
      <c r="AM153" s="74">
        <f ca="1">INDIRECT(ADDRESS(11+(MATCH(RIGHT(Table2[[#This Row],[spawner_sku]],LEN(Table2[[#This Row],[spawner_sku]])-FIND("/",Table2[[#This Row],[spawner_sku]])),Table1[Entity Prefab],0)),10,1,1,"Entities"))</f>
        <v>143</v>
      </c>
      <c r="AN153" s="74">
        <f ca="1">ROUND((Table2[[#This Row],[XP]]*Table2[[#This Row],[entity_spawned (AVG)]])*(Table2[[#This Row],[activating_chance]]/100),0)</f>
        <v>143</v>
      </c>
      <c r="AO153" s="71" t="str">
        <f ca="1">INDIRECT(ADDRESS(11+(MATCH(RIGHT(Table2[[#This Row],[spawner_sku]],LEN(Table2[[#This Row],[spawner_sku]])-FIND("/",Table2[[#This Row],[spawner_sku]])),Table28[Entity Prefab],0)),24,1,1,"Entities"))</f>
        <v>yes</v>
      </c>
      <c r="AP153" s="71">
        <v>1</v>
      </c>
      <c r="AQ153" s="71">
        <v>1</v>
      </c>
      <c r="AR153" s="71" t="b">
        <v>0</v>
      </c>
      <c r="AT153" t="s">
        <v>241</v>
      </c>
      <c r="AU153">
        <v>1</v>
      </c>
      <c r="AV153">
        <v>170</v>
      </c>
      <c r="AW153">
        <v>100</v>
      </c>
      <c r="AX153" s="74">
        <f ca="1">INDIRECT(ADDRESS(11+(MATCH(RIGHT(Table6[[#This Row],[spawner_sku]],LEN(Table6[[#This Row],[spawner_sku]])-FIND("/",Table6[[#This Row],[spawner_sku]])),Table1[Entity Prefab],0)),10,1,1,"Entities"))</f>
        <v>70</v>
      </c>
      <c r="AY153" s="74">
        <f ca="1">ROUND((Table6[[#This Row],[XP]]*Table6[[#This Row],[entity_spawned (AVG)]])*(Table6[[#This Row],[activating_chance]]/100),0)</f>
        <v>70</v>
      </c>
      <c r="AZ153" s="144" t="str">
        <f ca="1">INDIRECT(ADDRESS(11+(MATCH(RIGHT(Table6[[#This Row],[spawner_sku]],LEN(Table6[[#This Row],[spawner_sku]])-FIND("/",Table6[[#This Row],[spawner_sku]])),Table28[Entity Prefab],0)),24,1,1,"Entities"))</f>
        <v>yes</v>
      </c>
      <c r="BA153">
        <v>1</v>
      </c>
      <c r="BB153">
        <v>1</v>
      </c>
      <c r="BC153" t="b">
        <v>0</v>
      </c>
      <c r="BE153" t="s">
        <v>423</v>
      </c>
      <c r="BF153">
        <v>2.5</v>
      </c>
      <c r="BG153">
        <v>190</v>
      </c>
      <c r="BH153">
        <v>100</v>
      </c>
      <c r="BI153" s="74">
        <f ca="1">INDIRECT(ADDRESS(11+(MATCH(RIGHT(Table610[[#This Row],[spawner_sku]],LEN(Table610[[#This Row],[spawner_sku]])-FIND("/",Table610[[#This Row],[spawner_sku]])),Table1[Entity Prefab],0)),10,1,1,"Entities"))</f>
        <v>0</v>
      </c>
      <c r="BJ153" s="74">
        <f ca="1">ROUND((Table610[[#This Row],[XP]]*Table610[[#This Row],[entity_spawned (AVG)]])*(Table610[[#This Row],[activating_chance]]/100),0)</f>
        <v>0</v>
      </c>
      <c r="BK153" s="71" t="str">
        <f ca="1">INDIRECT(ADDRESS(11+(MATCH(RIGHT(Table610[[#This Row],[spawner_sku]],LEN(Table610[[#This Row],[spawner_sku]])-FIND("/",Table610[[#This Row],[spawner_sku]])),Table28[Entity Prefab],0)),24,1,1,"Entities"))</f>
        <v>yes</v>
      </c>
      <c r="BL153">
        <v>2</v>
      </c>
      <c r="BM153">
        <v>3</v>
      </c>
      <c r="BN153" t="b">
        <v>0</v>
      </c>
      <c r="BP153" t="s">
        <v>383</v>
      </c>
      <c r="BQ153">
        <v>1</v>
      </c>
      <c r="BR153">
        <v>340</v>
      </c>
      <c r="BS153">
        <v>100</v>
      </c>
      <c r="BT153" s="74">
        <f ca="1">INDIRECT(ADDRESS(11+(MATCH(RIGHT(Table61011[[#This Row],[spawner_sku]],LEN(Table61011[[#This Row],[spawner_sku]])-FIND("/",Table61011[[#This Row],[spawner_sku]])),Table1[Entity Prefab],0)),10,1,1,"Entities"))</f>
        <v>263</v>
      </c>
      <c r="BU153" s="74">
        <f ca="1">ROUND((Table61011[[#This Row],[XP]]*Table61011[[#This Row],[entity_spawned (AVG)]])*(Table61011[[#This Row],[activating_chance]]/100),0)</f>
        <v>263</v>
      </c>
      <c r="BV153" s="71" t="str">
        <f ca="1">INDIRECT(ADDRESS(11+(MATCH(RIGHT(Table61011[[#This Row],[spawner_sku]],LEN(Table61011[[#This Row],[spawner_sku]])-FIND("/",Table61011[[#This Row],[spawner_sku]])),Table28[Entity Prefab],0)),24,1,1,"Entities"))</f>
        <v>yes</v>
      </c>
      <c r="BW153" s="71">
        <v>1</v>
      </c>
      <c r="BX153" s="71">
        <v>1</v>
      </c>
      <c r="BY153" s="71" t="b">
        <v>0</v>
      </c>
      <c r="BZ153" s="71"/>
      <c r="CA153" s="147" t="s">
        <v>8142</v>
      </c>
      <c r="CB153">
        <v>1</v>
      </c>
      <c r="CC153">
        <v>200</v>
      </c>
      <c r="CD153">
        <v>80</v>
      </c>
      <c r="CE153" s="74">
        <f ca="1">INDIRECT(ADDRESS(11+(MATCH(RIGHT(Table35[[#This Row],[spawner_sku]],LEN(Table35[[#This Row],[spawner_sku]])-FIND("/",Table35[[#This Row],[spawner_sku]])),Table1[Entity Prefab],0)),10,1,1,"Entities"))</f>
        <v>75</v>
      </c>
      <c r="CF153" s="74">
        <f ca="1">ROUND((Table35[[#This Row],[XP]]*Table35[[#This Row],[entity_spawned (AVG)]])*(Table35[[#This Row],[activating_chance]]/100),0)</f>
        <v>60</v>
      </c>
      <c r="CG153" s="144" t="str">
        <f ca="1">INDIRECT(ADDRESS(11+(MATCH(RIGHT(Table35[[#This Row],[spawner_sku]],LEN(Table35[[#This Row],[spawner_sku]])-FIND("/",Table35[[#This Row],[spawner_sku]])),Table28[Entity Prefab],0)),24,1,1,"Entities"))</f>
        <v>no</v>
      </c>
      <c r="CH153">
        <v>1</v>
      </c>
      <c r="CI153">
        <v>1</v>
      </c>
      <c r="CJ153" s="71" t="b">
        <v>0</v>
      </c>
      <c r="CL153" t="s">
        <v>376</v>
      </c>
      <c r="CM153">
        <v>2</v>
      </c>
      <c r="CN153">
        <v>190</v>
      </c>
      <c r="CO153">
        <v>100</v>
      </c>
      <c r="CP153" s="74">
        <f ca="1">INDIRECT(ADDRESS(11+(MATCH(RIGHT(Table11[[#This Row],[spawner_sku]],LEN(Table11[[#This Row],[spawner_sku]])-FIND("/",Table11[[#This Row],[spawner_sku]])),Table1[Entity Prefab],0)),10,1,1,"Entities"))</f>
        <v>25</v>
      </c>
      <c r="CQ153">
        <f ca="1">ROUND((Table11[[#This Row],[XP]]*Table11[[#This Row],[entity_spawned (AVG)]])*(Table11[[#This Row],[activating_chance]]/100),0)</f>
        <v>50</v>
      </c>
      <c r="CR153" s="144" t="str">
        <f ca="1">INDIRECT(ADDRESS(11+(MATCH(RIGHT(Table11[[#This Row],[spawner_sku]],LEN(Table11[[#This Row],[spawner_sku]])-FIND("/",Table11[[#This Row],[spawner_sku]])),Table28[Entity Prefab],0)),25,1,1,"Entities"))</f>
        <v>no</v>
      </c>
      <c r="CS153" s="71">
        <v>2</v>
      </c>
      <c r="CT153" s="71">
        <v>2</v>
      </c>
      <c r="CU153" s="71" t="b">
        <v>0</v>
      </c>
      <c r="CW153" t="s">
        <v>242</v>
      </c>
      <c r="CX153">
        <v>1</v>
      </c>
      <c r="CY153">
        <v>150</v>
      </c>
      <c r="CZ153">
        <v>100</v>
      </c>
      <c r="DA153" s="74">
        <f ca="1">INDIRECT(ADDRESS(11+(MATCH(RIGHT(Table12[[#This Row],[spawner_sku]],LEN(Table12[[#This Row],[spawner_sku]])-FIND("/",Table12[[#This Row],[spawner_sku]])),Table1[Entity Prefab],0)),10,1,1,"Entities"))</f>
        <v>25</v>
      </c>
      <c r="DB153" s="74">
        <f ca="1">ROUND((Table12[[#This Row],[XP]]*Table12[[#This Row],[entity_spawned (AVG)]])*(Table12[[#This Row],[activating_chance]]/100),0)</f>
        <v>25</v>
      </c>
      <c r="DC153" s="144" t="str">
        <f ca="1">INDIRECT(ADDRESS(11+(MATCH(RIGHT(Table12[[#This Row],[spawner_sku]],LEN(Table12[[#This Row],[spawner_sku]])-FIND("/",Table12[[#This Row],[spawner_sku]])),Table28[Entity Prefab],0)),25,1,1,"Entities"))</f>
        <v>no</v>
      </c>
      <c r="DD153" s="71">
        <v>1</v>
      </c>
      <c r="DE153" s="71">
        <v>1</v>
      </c>
      <c r="DF153" s="71" t="b">
        <v>0</v>
      </c>
      <c r="DH153" t="s">
        <v>233</v>
      </c>
      <c r="DI153">
        <v>1</v>
      </c>
      <c r="DJ153">
        <v>500</v>
      </c>
      <c r="DK153">
        <v>100</v>
      </c>
      <c r="DL153" s="74">
        <f ca="1">INDIRECT(ADDRESS(11+(MATCH(RIGHT(Table13[[#This Row],[spawner_sku]],LEN(Table13[[#This Row],[spawner_sku]])-FIND("/",Table13[[#This Row],[spawner_sku]])),Table1[Entity Prefab],0)),10,1,1,"Entities"))</f>
        <v>25</v>
      </c>
      <c r="DM153" s="74">
        <f ca="1">ROUND((Table13[[#This Row],[XP]]*Table13[[#This Row],[entity_spawned (AVG)]])*(Table13[[#This Row],[activating_chance]]/100),0)</f>
        <v>25</v>
      </c>
      <c r="DN153" s="144" t="str">
        <f ca="1">INDIRECT(ADDRESS(11+(MATCH(RIGHT(Table13[[#This Row],[spawner_sku]],LEN(Table13[[#This Row],[spawner_sku]])-FIND("/",Table13[[#This Row],[spawner_sku]])),Table28[Entity Prefab],0)),25,1,1,"Entities"))</f>
        <v>no</v>
      </c>
      <c r="DO153" s="71">
        <v>1</v>
      </c>
      <c r="DP153" s="71">
        <v>1</v>
      </c>
      <c r="DQ153" s="71" t="b">
        <v>0</v>
      </c>
      <c r="DS153" t="s">
        <v>223</v>
      </c>
      <c r="DT153">
        <v>1</v>
      </c>
      <c r="DU153">
        <v>100</v>
      </c>
      <c r="DV153">
        <v>100</v>
      </c>
      <c r="DW153" s="74">
        <f ca="1">INDIRECT(ADDRESS(11+(MATCH(RIGHT(Table14[[#This Row],[spawner_sku]],LEN(Table14[[#This Row],[spawner_sku]])-FIND("/",Table14[[#This Row],[spawner_sku]])),Table1[Entity Prefab],0)),10,1,1,"Entities"))</f>
        <v>70</v>
      </c>
      <c r="DX153" s="74">
        <f ca="1">ROUND((Table14[[#This Row],[XP]]*Table14[[#This Row],[entity_spawned (AVG)]])*(Table14[[#This Row],[activating_chance]]/100),0)</f>
        <v>70</v>
      </c>
      <c r="DY153" s="144" t="str">
        <f ca="1">INDIRECT(ADDRESS(11+(MATCH(RIGHT(Table14[[#This Row],[spawner_sku]],LEN(Table14[[#This Row],[spawner_sku]])-FIND("/",Table14[[#This Row],[spawner_sku]])),Table28[Entity Prefab],0)),25,1,1,"Entities"))</f>
        <v>no</v>
      </c>
      <c r="DZ153" s="71">
        <v>1</v>
      </c>
      <c r="EA153" s="71">
        <v>1</v>
      </c>
      <c r="EB153" s="71" t="b">
        <v>0</v>
      </c>
      <c r="EC153" s="71"/>
      <c r="ED153" s="147" t="s">
        <v>3816</v>
      </c>
      <c r="EE153" s="71">
        <v>1</v>
      </c>
      <c r="EF153" s="71">
        <v>240</v>
      </c>
      <c r="EG153" s="71">
        <v>100</v>
      </c>
      <c r="EH153" s="71">
        <f ca="1">INDIRECT(ADDRESS(11+(MATCH(RIGHT(Table36[[#This Row],[spawner_sku]],LEN(Table36[[#This Row],[spawner_sku]])-FIND("/",Table36[[#This Row],[spawner_sku]])),Table1[Entity Prefab],0)),10,1,1,"Entities"))</f>
        <v>50</v>
      </c>
      <c r="EI153" s="71">
        <f ca="1">ROUND((Table36[[#This Row],[XP]]*Table36[[#This Row],[entity_spawned (AVG)]])*(Table36[[#This Row],[activating_chance]]/100),0)</f>
        <v>50</v>
      </c>
      <c r="EJ153" s="71" t="str">
        <f ca="1">INDIRECT(ADDRESS(11+(MATCH(RIGHT(Table36[[#This Row],[spawner_sku]],LEN(Table36[[#This Row],[spawner_sku]])-FIND("/",Table36[[#This Row],[spawner_sku]])),Table28[Entity Prefab],0)),25,1,1,"Entities"))</f>
        <v>no</v>
      </c>
      <c r="EK153" s="71">
        <v>1</v>
      </c>
      <c r="EL153" s="71">
        <v>1</v>
      </c>
      <c r="EM153" s="71" t="b">
        <v>0</v>
      </c>
      <c r="EO153" t="s">
        <v>321</v>
      </c>
      <c r="EP153">
        <v>2.5</v>
      </c>
      <c r="EQ153">
        <v>200</v>
      </c>
      <c r="ER153">
        <v>100</v>
      </c>
      <c r="ES153" s="74">
        <f ca="1">INDIRECT(ADDRESS(11+(MATCH(RIGHT(Table18[[#This Row],[spawner_sku]],LEN(Table18[[#This Row],[spawner_sku]])-FIND("/",Table18[[#This Row],[spawner_sku]])),Table1[Entity Prefab],0)),10,1,1,"Entities"))</f>
        <v>195</v>
      </c>
      <c r="ET153" s="74">
        <f ca="1">ROUND((Table18[[#This Row],[XP]]*Table18[[#This Row],[entity_spawned (AVG)]])*(Table18[[#This Row],[activating_chance]]/100),0)</f>
        <v>488</v>
      </c>
      <c r="EU153" s="74" t="str">
        <f ca="1">INDIRECT(ADDRESS(11+(MATCH(RIGHT(Table18[[#This Row],[spawner_sku]],LEN(Table18[[#This Row],[spawner_sku]])-FIND("/",Table18[[#This Row],[spawner_sku]])),Table28[Entity Prefab],0)),26,1,1,"Entities"))</f>
        <v>yes</v>
      </c>
      <c r="EV153">
        <v>2</v>
      </c>
      <c r="EW153">
        <v>3</v>
      </c>
      <c r="EX153" t="b">
        <v>0</v>
      </c>
      <c r="EZ153" t="s">
        <v>370</v>
      </c>
      <c r="FA153">
        <v>1</v>
      </c>
      <c r="FB153">
        <v>450</v>
      </c>
      <c r="FC153">
        <v>100</v>
      </c>
      <c r="FD153" s="74">
        <f ca="1">INDIRECT(ADDRESS(11+(MATCH(RIGHT(Table1820[[#This Row],[spawner_sku]],LEN(Table1820[[#This Row],[spawner_sku]])-FIND("/",Table1820[[#This Row],[spawner_sku]])),Table1[Entity Prefab],0)),10,1,1,"Entities"))</f>
        <v>0</v>
      </c>
      <c r="FE153" s="74">
        <f ca="1">ROUND((Table1820[[#This Row],[XP]]*Table1820[[#This Row],[entity_spawned (AVG)]])*(Table1820[[#This Row],[activating_chance]]/100),0)</f>
        <v>0</v>
      </c>
      <c r="FF153" s="74" t="str">
        <f ca="1">INDIRECT(ADDRESS(11+(MATCH(RIGHT(Table1820[[#This Row],[spawner_sku]],LEN(Table1820[[#This Row],[spawner_sku]])-FIND("/",Table1820[[#This Row],[spawner_sku]])),Table28[Entity Prefab],0)),26,1,1,"Entities"))</f>
        <v>no</v>
      </c>
      <c r="FG153">
        <v>1</v>
      </c>
      <c r="FH153">
        <v>1</v>
      </c>
      <c r="FI153" t="b">
        <v>0</v>
      </c>
      <c r="FK153" t="s">
        <v>2689</v>
      </c>
      <c r="FL153">
        <v>1</v>
      </c>
      <c r="FM153">
        <v>80</v>
      </c>
      <c r="FN153">
        <v>100</v>
      </c>
      <c r="FO153">
        <f ca="1">INDIRECT(ADDRESS(11+(MATCH(RIGHT(Table182023[[#This Row],[spawner_sku]],LEN(Table182023[[#This Row],[spawner_sku]])-FIND("/",Table182023[[#This Row],[spawner_sku]])),Table1[Entity Prefab],0)),10,1,1,"Entities"))</f>
        <v>25</v>
      </c>
      <c r="FP153">
        <f ca="1">ROUND((Table182023[[#This Row],[XP]]*Table182023[[#This Row],[entity_spawned (AVG)]])*(Table182023[[#This Row],[activating_chance]]/100),0)</f>
        <v>25</v>
      </c>
      <c r="FQ153" t="str">
        <f ca="1">INDIRECT(ADDRESS(11+(MATCH(RIGHT(Table182023[[#This Row],[spawner_sku]],LEN(Table182023[[#This Row],[spawner_sku]])-FIND("/",Table182023[[#This Row],[spawner_sku]])),Table28[Entity Prefab],0)),26,1,1,"Entities"))</f>
        <v>no</v>
      </c>
      <c r="FR153">
        <v>1</v>
      </c>
      <c r="FS153">
        <v>1</v>
      </c>
      <c r="FT153" t="b">
        <v>0</v>
      </c>
      <c r="FV153" t="s">
        <v>2697</v>
      </c>
      <c r="FW153">
        <v>1.5</v>
      </c>
      <c r="FX153">
        <v>70</v>
      </c>
      <c r="FY153">
        <v>100</v>
      </c>
      <c r="FZ153" s="74">
        <f ca="1">INDIRECT(ADDRESS(11+(MATCH(RIGHT(Table18202324[[#This Row],[spawner_sku]],LEN(Table18202324[[#This Row],[spawner_sku]])-FIND("/",Table18202324[[#This Row],[spawner_sku]])),Table1[Entity Prefab],0)),10,1,1,"Entities"))</f>
        <v>25</v>
      </c>
      <c r="GA153" s="74">
        <f ca="1">ROUND((Table18202324[[#This Row],[XP]]*Table18202324[[#This Row],[entity_spawned (AVG)]])*(Table18202324[[#This Row],[activating_chance]]/100),0)</f>
        <v>38</v>
      </c>
      <c r="GB153" s="74" t="str">
        <f ca="1">INDIRECT(ADDRESS(11+(MATCH(RIGHT(Table18202324[[#This Row],[spawner_sku]],LEN(Table18202324[[#This Row],[spawner_sku]])-FIND("/",Table18202324[[#This Row],[spawner_sku]])),Table28[Entity Prefab],0)),26,1,1,"Entities"))</f>
        <v>no</v>
      </c>
      <c r="GC153">
        <v>1</v>
      </c>
      <c r="GD153">
        <v>2</v>
      </c>
      <c r="GE153" t="b">
        <v>0</v>
      </c>
      <c r="GG153" t="s">
        <v>3817</v>
      </c>
      <c r="GH153">
        <v>1</v>
      </c>
      <c r="GI153">
        <v>180</v>
      </c>
      <c r="GJ153">
        <v>100</v>
      </c>
      <c r="GK153">
        <f ca="1">INDIRECT(ADDRESS(11+(MATCH(RIGHT(Table37[[#This Row],[spawner_sku]],LEN(Table37[[#This Row],[spawner_sku]])-FIND("/",Table37[[#This Row],[spawner_sku]])),Table1[Entity Prefab],0)),10,1,1,"Entities"))</f>
        <v>83</v>
      </c>
      <c r="GL153">
        <f ca="1">ROUND((Table37[[#This Row],[XP]]*Table37[[#This Row],[entity_spawned (AVG)]])*(Table37[[#This Row],[activating_chance]]/100),0)</f>
        <v>83</v>
      </c>
      <c r="GM153" t="str">
        <f ca="1">INDIRECT(ADDRESS(11+(MATCH(RIGHT(Table37[[#This Row],[spawner_sku]],LEN(Table37[[#This Row],[spawner_sku]])-FIND("/",Table37[[#This Row],[spawner_sku]])),Table28[Entity Prefab],0)),26,1,1,"Entities"))</f>
        <v>yes</v>
      </c>
      <c r="GN153">
        <v>1</v>
      </c>
      <c r="GO153">
        <v>1</v>
      </c>
      <c r="GP153" t="b">
        <v>0</v>
      </c>
    </row>
    <row r="154" spans="2:198" x14ac:dyDescent="0.25">
      <c r="B154" s="72" t="s">
        <v>215</v>
      </c>
      <c r="C154">
        <v>3.5</v>
      </c>
      <c r="D154">
        <v>140</v>
      </c>
      <c r="E154">
        <v>100</v>
      </c>
      <c r="F154" s="74">
        <f ca="1">INDIRECT(ADDRESS(11+(MATCH(RIGHT(Table245[[#This Row],[spawner_sku]],LEN(Table245[[#This Row],[spawner_sku]])-FIND("/",Table245[[#This Row],[spawner_sku]])),Table1[Entity Prefab],0)),10,1,1,"Entities"))</f>
        <v>25</v>
      </c>
      <c r="G154" s="74">
        <f ca="1">ROUND((Table245[[#This Row],[XP]]*Table245[[#This Row],[entity_spawned (AVG)]])*(Table245[[#This Row],[activating_chance]]/100),0)</f>
        <v>88</v>
      </c>
      <c r="H154" s="71" t="str">
        <f ca="1">INDIRECT(ADDRESS(11+(MATCH(RIGHT(Table245[[#This Row],[spawner_sku]],LEN(Table245[[#This Row],[spawner_sku]])-FIND("/",Table245[[#This Row],[spawner_sku]])),Table28[Entity Prefab],0)),24,1,1,"Entities"))</f>
        <v>no</v>
      </c>
      <c r="I154" s="71">
        <v>3</v>
      </c>
      <c r="J154" s="71">
        <v>4</v>
      </c>
      <c r="K154" s="71" t="b">
        <v>0</v>
      </c>
      <c r="M154" t="s">
        <v>445</v>
      </c>
      <c r="N154">
        <v>1</v>
      </c>
      <c r="O154">
        <v>220</v>
      </c>
      <c r="P154">
        <v>100</v>
      </c>
      <c r="Q154" s="74">
        <f ca="1">INDIRECT(ADDRESS(11+(MATCH(RIGHT(Table3[[#This Row],[spawner_sku]],LEN(Table3[[#This Row],[spawner_sku]])-FIND("/",Table3[[#This Row],[spawner_sku]])),Table1[Entity Prefab],0)),10,1,1,"Entities"))</f>
        <v>50</v>
      </c>
      <c r="R154" s="74">
        <f ca="1">ROUND((Table3[[#This Row],[XP]]*Table3[[#This Row],[entity_spawned (AVG)]])*(Table3[[#This Row],[activating_chance]]/100),0)</f>
        <v>50</v>
      </c>
      <c r="S154" t="str">
        <f ca="1">INDIRECT(ADDRESS(11+(MATCH(RIGHT(Table3[[#This Row],[spawner_sku]],LEN(Table3[[#This Row],[spawner_sku]])-FIND("/",Table3[[#This Row],[spawner_sku]])),Table28[Entity Prefab],0)),24,1,1,"Entities"))</f>
        <v>yes</v>
      </c>
      <c r="T154">
        <v>1</v>
      </c>
      <c r="U154">
        <v>1</v>
      </c>
      <c r="V154" t="b">
        <v>0</v>
      </c>
      <c r="W154" s="71"/>
      <c r="AI154" t="s">
        <v>220</v>
      </c>
      <c r="AJ154">
        <v>1</v>
      </c>
      <c r="AK154">
        <v>300</v>
      </c>
      <c r="AL154">
        <v>100</v>
      </c>
      <c r="AM154" s="74">
        <f ca="1">INDIRECT(ADDRESS(11+(MATCH(RIGHT(Table2[[#This Row],[spawner_sku]],LEN(Table2[[#This Row],[spawner_sku]])-FIND("/",Table2[[#This Row],[spawner_sku]])),Table1[Entity Prefab],0)),10,1,1,"Entities"))</f>
        <v>195</v>
      </c>
      <c r="AN154" s="74">
        <f ca="1">ROUND((Table2[[#This Row],[XP]]*Table2[[#This Row],[entity_spawned (AVG)]])*(Table2[[#This Row],[activating_chance]]/100),0)</f>
        <v>195</v>
      </c>
      <c r="AO154" s="71" t="str">
        <f ca="1">INDIRECT(ADDRESS(11+(MATCH(RIGHT(Table2[[#This Row],[spawner_sku]],LEN(Table2[[#This Row],[spawner_sku]])-FIND("/",Table2[[#This Row],[spawner_sku]])),Table28[Entity Prefab],0)),24,1,1,"Entities"))</f>
        <v>yes</v>
      </c>
      <c r="AP154" s="71">
        <v>1</v>
      </c>
      <c r="AQ154" s="71">
        <v>1</v>
      </c>
      <c r="AR154" s="71" t="b">
        <v>0</v>
      </c>
      <c r="AT154" t="s">
        <v>241</v>
      </c>
      <c r="AU154">
        <v>1</v>
      </c>
      <c r="AV154">
        <v>170</v>
      </c>
      <c r="AW154">
        <v>100</v>
      </c>
      <c r="AX154" s="74">
        <f ca="1">INDIRECT(ADDRESS(11+(MATCH(RIGHT(Table6[[#This Row],[spawner_sku]],LEN(Table6[[#This Row],[spawner_sku]])-FIND("/",Table6[[#This Row],[spawner_sku]])),Table1[Entity Prefab],0)),10,1,1,"Entities"))</f>
        <v>70</v>
      </c>
      <c r="AY154" s="74">
        <f ca="1">ROUND((Table6[[#This Row],[XP]]*Table6[[#This Row],[entity_spawned (AVG)]])*(Table6[[#This Row],[activating_chance]]/100),0)</f>
        <v>70</v>
      </c>
      <c r="AZ154" s="144" t="str">
        <f ca="1">INDIRECT(ADDRESS(11+(MATCH(RIGHT(Table6[[#This Row],[spawner_sku]],LEN(Table6[[#This Row],[spawner_sku]])-FIND("/",Table6[[#This Row],[spawner_sku]])),Table28[Entity Prefab],0)),24,1,1,"Entities"))</f>
        <v>yes</v>
      </c>
      <c r="BA154">
        <v>1</v>
      </c>
      <c r="BB154">
        <v>1</v>
      </c>
      <c r="BC154" t="b">
        <v>0</v>
      </c>
      <c r="BE154" t="s">
        <v>423</v>
      </c>
      <c r="BF154">
        <v>1.5</v>
      </c>
      <c r="BG154">
        <v>170</v>
      </c>
      <c r="BH154">
        <v>100</v>
      </c>
      <c r="BI154" s="74">
        <f ca="1">INDIRECT(ADDRESS(11+(MATCH(RIGHT(Table610[[#This Row],[spawner_sku]],LEN(Table610[[#This Row],[spawner_sku]])-FIND("/",Table610[[#This Row],[spawner_sku]])),Table1[Entity Prefab],0)),10,1,1,"Entities"))</f>
        <v>0</v>
      </c>
      <c r="BJ154" s="74">
        <f ca="1">ROUND((Table610[[#This Row],[XP]]*Table610[[#This Row],[entity_spawned (AVG)]])*(Table610[[#This Row],[activating_chance]]/100),0)</f>
        <v>0</v>
      </c>
      <c r="BK154" s="71" t="str">
        <f ca="1">INDIRECT(ADDRESS(11+(MATCH(RIGHT(Table610[[#This Row],[spawner_sku]],LEN(Table610[[#This Row],[spawner_sku]])-FIND("/",Table610[[#This Row],[spawner_sku]])),Table28[Entity Prefab],0)),24,1,1,"Entities"))</f>
        <v>yes</v>
      </c>
      <c r="BL154">
        <v>1</v>
      </c>
      <c r="BM154">
        <v>2</v>
      </c>
      <c r="BN154" t="b">
        <v>0</v>
      </c>
      <c r="BP154" t="s">
        <v>383</v>
      </c>
      <c r="BQ154">
        <v>1</v>
      </c>
      <c r="BR154">
        <v>340</v>
      </c>
      <c r="BS154">
        <v>100</v>
      </c>
      <c r="BT154" s="74">
        <f ca="1">INDIRECT(ADDRESS(11+(MATCH(RIGHT(Table61011[[#This Row],[spawner_sku]],LEN(Table61011[[#This Row],[spawner_sku]])-FIND("/",Table61011[[#This Row],[spawner_sku]])),Table1[Entity Prefab],0)),10,1,1,"Entities"))</f>
        <v>263</v>
      </c>
      <c r="BU154" s="74">
        <f ca="1">ROUND((Table61011[[#This Row],[XP]]*Table61011[[#This Row],[entity_spawned (AVG)]])*(Table61011[[#This Row],[activating_chance]]/100),0)</f>
        <v>263</v>
      </c>
      <c r="BV154" s="71" t="str">
        <f ca="1">INDIRECT(ADDRESS(11+(MATCH(RIGHT(Table61011[[#This Row],[spawner_sku]],LEN(Table61011[[#This Row],[spawner_sku]])-FIND("/",Table61011[[#This Row],[spawner_sku]])),Table28[Entity Prefab],0)),24,1,1,"Entities"))</f>
        <v>yes</v>
      </c>
      <c r="BW154" s="71">
        <v>1</v>
      </c>
      <c r="BX154" s="71">
        <v>1</v>
      </c>
      <c r="BY154" s="71" t="b">
        <v>0</v>
      </c>
      <c r="BZ154" s="71"/>
      <c r="CA154" s="147" t="s">
        <v>8142</v>
      </c>
      <c r="CB154">
        <v>1</v>
      </c>
      <c r="CC154">
        <v>200</v>
      </c>
      <c r="CD154">
        <v>100</v>
      </c>
      <c r="CE154" s="74">
        <f ca="1">INDIRECT(ADDRESS(11+(MATCH(RIGHT(Table35[[#This Row],[spawner_sku]],LEN(Table35[[#This Row],[spawner_sku]])-FIND("/",Table35[[#This Row],[spawner_sku]])),Table1[Entity Prefab],0)),10,1,1,"Entities"))</f>
        <v>75</v>
      </c>
      <c r="CF154" s="74">
        <f ca="1">ROUND((Table35[[#This Row],[XP]]*Table35[[#This Row],[entity_spawned (AVG)]])*(Table35[[#This Row],[activating_chance]]/100),0)</f>
        <v>75</v>
      </c>
      <c r="CG154" s="144" t="str">
        <f ca="1">INDIRECT(ADDRESS(11+(MATCH(RIGHT(Table35[[#This Row],[spawner_sku]],LEN(Table35[[#This Row],[spawner_sku]])-FIND("/",Table35[[#This Row],[spawner_sku]])),Table28[Entity Prefab],0)),24,1,1,"Entities"))</f>
        <v>no</v>
      </c>
      <c r="CH154">
        <v>1</v>
      </c>
      <c r="CI154">
        <v>1</v>
      </c>
      <c r="CJ154" s="71" t="b">
        <v>0</v>
      </c>
      <c r="CL154" t="s">
        <v>376</v>
      </c>
      <c r="CM154">
        <v>5.5</v>
      </c>
      <c r="CN154">
        <v>200</v>
      </c>
      <c r="CO154">
        <v>100</v>
      </c>
      <c r="CP154" s="74">
        <f ca="1">INDIRECT(ADDRESS(11+(MATCH(RIGHT(Table11[[#This Row],[spawner_sku]],LEN(Table11[[#This Row],[spawner_sku]])-FIND("/",Table11[[#This Row],[spawner_sku]])),Table1[Entity Prefab],0)),10,1,1,"Entities"))</f>
        <v>25</v>
      </c>
      <c r="CQ154">
        <f ca="1">ROUND((Table11[[#This Row],[XP]]*Table11[[#This Row],[entity_spawned (AVG)]])*(Table11[[#This Row],[activating_chance]]/100),0)</f>
        <v>138</v>
      </c>
      <c r="CR154" s="144" t="str">
        <f ca="1">INDIRECT(ADDRESS(11+(MATCH(RIGHT(Table11[[#This Row],[spawner_sku]],LEN(Table11[[#This Row],[spawner_sku]])-FIND("/",Table11[[#This Row],[spawner_sku]])),Table28[Entity Prefab],0)),25,1,1,"Entities"))</f>
        <v>no</v>
      </c>
      <c r="CS154" s="71">
        <v>5</v>
      </c>
      <c r="CT154" s="71">
        <v>6</v>
      </c>
      <c r="CU154" s="71" t="b">
        <v>1</v>
      </c>
      <c r="CW154" t="s">
        <v>242</v>
      </c>
      <c r="CX154">
        <v>1</v>
      </c>
      <c r="CY154">
        <v>150</v>
      </c>
      <c r="CZ154">
        <v>100</v>
      </c>
      <c r="DA154" s="74">
        <f ca="1">INDIRECT(ADDRESS(11+(MATCH(RIGHT(Table12[[#This Row],[spawner_sku]],LEN(Table12[[#This Row],[spawner_sku]])-FIND("/",Table12[[#This Row],[spawner_sku]])),Table1[Entity Prefab],0)),10,1,1,"Entities"))</f>
        <v>25</v>
      </c>
      <c r="DB154" s="74">
        <f ca="1">ROUND((Table12[[#This Row],[XP]]*Table12[[#This Row],[entity_spawned (AVG)]])*(Table12[[#This Row],[activating_chance]]/100),0)</f>
        <v>25</v>
      </c>
      <c r="DC154" s="144" t="str">
        <f ca="1">INDIRECT(ADDRESS(11+(MATCH(RIGHT(Table12[[#This Row],[spawner_sku]],LEN(Table12[[#This Row],[spawner_sku]])-FIND("/",Table12[[#This Row],[spawner_sku]])),Table28[Entity Prefab],0)),25,1,1,"Entities"))</f>
        <v>no</v>
      </c>
      <c r="DD154" s="71">
        <v>1</v>
      </c>
      <c r="DE154" s="71">
        <v>1</v>
      </c>
      <c r="DF154" s="71" t="b">
        <v>0</v>
      </c>
      <c r="DH154" t="s">
        <v>233</v>
      </c>
      <c r="DI154">
        <v>1</v>
      </c>
      <c r="DJ154">
        <v>500</v>
      </c>
      <c r="DK154">
        <v>100</v>
      </c>
      <c r="DL154" s="74">
        <f ca="1">INDIRECT(ADDRESS(11+(MATCH(RIGHT(Table13[[#This Row],[spawner_sku]],LEN(Table13[[#This Row],[spawner_sku]])-FIND("/",Table13[[#This Row],[spawner_sku]])),Table1[Entity Prefab],0)),10,1,1,"Entities"))</f>
        <v>25</v>
      </c>
      <c r="DM154" s="74">
        <f ca="1">ROUND((Table13[[#This Row],[XP]]*Table13[[#This Row],[entity_spawned (AVG)]])*(Table13[[#This Row],[activating_chance]]/100),0)</f>
        <v>25</v>
      </c>
      <c r="DN154" s="144" t="str">
        <f ca="1">INDIRECT(ADDRESS(11+(MATCH(RIGHT(Table13[[#This Row],[spawner_sku]],LEN(Table13[[#This Row],[spawner_sku]])-FIND("/",Table13[[#This Row],[spawner_sku]])),Table28[Entity Prefab],0)),25,1,1,"Entities"))</f>
        <v>no</v>
      </c>
      <c r="DO154" s="71">
        <v>1</v>
      </c>
      <c r="DP154" s="71">
        <v>1</v>
      </c>
      <c r="DQ154" s="71" t="b">
        <v>0</v>
      </c>
      <c r="DS154" t="s">
        <v>223</v>
      </c>
      <c r="DT154">
        <v>1</v>
      </c>
      <c r="DU154">
        <v>120</v>
      </c>
      <c r="DV154">
        <v>80</v>
      </c>
      <c r="DW154" s="74">
        <f ca="1">INDIRECT(ADDRESS(11+(MATCH(RIGHT(Table14[[#This Row],[spawner_sku]],LEN(Table14[[#This Row],[spawner_sku]])-FIND("/",Table14[[#This Row],[spawner_sku]])),Table1[Entity Prefab],0)),10,1,1,"Entities"))</f>
        <v>70</v>
      </c>
      <c r="DX154" s="74">
        <f ca="1">ROUND((Table14[[#This Row],[XP]]*Table14[[#This Row],[entity_spawned (AVG)]])*(Table14[[#This Row],[activating_chance]]/100),0)</f>
        <v>56</v>
      </c>
      <c r="DY154" s="144" t="str">
        <f ca="1">INDIRECT(ADDRESS(11+(MATCH(RIGHT(Table14[[#This Row],[spawner_sku]],LEN(Table14[[#This Row],[spawner_sku]])-FIND("/",Table14[[#This Row],[spawner_sku]])),Table28[Entity Prefab],0)),25,1,1,"Entities"))</f>
        <v>no</v>
      </c>
      <c r="DZ154" s="71">
        <v>1</v>
      </c>
      <c r="EA154" s="71">
        <v>1</v>
      </c>
      <c r="EB154" s="71" t="b">
        <v>0</v>
      </c>
      <c r="EC154" s="71"/>
      <c r="ED154" s="147" t="s">
        <v>465</v>
      </c>
      <c r="EE154" s="71">
        <v>2.5</v>
      </c>
      <c r="EF154" s="71">
        <v>110</v>
      </c>
      <c r="EG154" s="71">
        <v>50</v>
      </c>
      <c r="EH154" s="71">
        <f ca="1">INDIRECT(ADDRESS(11+(MATCH(RIGHT(Table36[[#This Row],[spawner_sku]],LEN(Table36[[#This Row],[spawner_sku]])-FIND("/",Table36[[#This Row],[spawner_sku]])),Table1[Entity Prefab],0)),10,1,1,"Entities"))</f>
        <v>25</v>
      </c>
      <c r="EI154" s="71">
        <f ca="1">ROUND((Table36[[#This Row],[XP]]*Table36[[#This Row],[entity_spawned (AVG)]])*(Table36[[#This Row],[activating_chance]]/100),0)</f>
        <v>31</v>
      </c>
      <c r="EJ154" s="71" t="str">
        <f ca="1">INDIRECT(ADDRESS(11+(MATCH(RIGHT(Table36[[#This Row],[spawner_sku]],LEN(Table36[[#This Row],[spawner_sku]])-FIND("/",Table36[[#This Row],[spawner_sku]])),Table28[Entity Prefab],0)),25,1,1,"Entities"))</f>
        <v>no</v>
      </c>
      <c r="EK154" s="71">
        <v>2</v>
      </c>
      <c r="EL154" s="71">
        <v>3</v>
      </c>
      <c r="EM154" s="71" t="b">
        <v>0</v>
      </c>
      <c r="EO154" t="s">
        <v>321</v>
      </c>
      <c r="EP154">
        <v>3</v>
      </c>
      <c r="EQ154">
        <v>300</v>
      </c>
      <c r="ER154">
        <v>100</v>
      </c>
      <c r="ES154" s="74">
        <f ca="1">INDIRECT(ADDRESS(11+(MATCH(RIGHT(Table18[[#This Row],[spawner_sku]],LEN(Table18[[#This Row],[spawner_sku]])-FIND("/",Table18[[#This Row],[spawner_sku]])),Table1[Entity Prefab],0)),10,1,1,"Entities"))</f>
        <v>195</v>
      </c>
      <c r="ET154" s="74">
        <f ca="1">ROUND((Table18[[#This Row],[XP]]*Table18[[#This Row],[entity_spawned (AVG)]])*(Table18[[#This Row],[activating_chance]]/100),0)</f>
        <v>585</v>
      </c>
      <c r="EU154" s="74" t="str">
        <f ca="1">INDIRECT(ADDRESS(11+(MATCH(RIGHT(Table18[[#This Row],[spawner_sku]],LEN(Table18[[#This Row],[spawner_sku]])-FIND("/",Table18[[#This Row],[spawner_sku]])),Table28[Entity Prefab],0)),26,1,1,"Entities"))</f>
        <v>yes</v>
      </c>
      <c r="EV154">
        <v>2</v>
      </c>
      <c r="EW154">
        <v>4</v>
      </c>
      <c r="EX154" t="b">
        <v>0</v>
      </c>
      <c r="EZ154" t="s">
        <v>448</v>
      </c>
      <c r="FA154">
        <v>1</v>
      </c>
      <c r="FB154">
        <v>200</v>
      </c>
      <c r="FC154">
        <v>100</v>
      </c>
      <c r="FD154" s="74">
        <f ca="1">INDIRECT(ADDRESS(11+(MATCH(RIGHT(Table1820[[#This Row],[spawner_sku]],LEN(Table1820[[#This Row],[spawner_sku]])-FIND("/",Table1820[[#This Row],[spawner_sku]])),Table1[Entity Prefab],0)),10,1,1,"Entities"))</f>
        <v>143</v>
      </c>
      <c r="FE154" s="74">
        <f ca="1">ROUND((Table1820[[#This Row],[XP]]*Table1820[[#This Row],[entity_spawned (AVG)]])*(Table1820[[#This Row],[activating_chance]]/100),0)</f>
        <v>143</v>
      </c>
      <c r="FF154" s="74" t="str">
        <f ca="1">INDIRECT(ADDRESS(11+(MATCH(RIGHT(Table1820[[#This Row],[spawner_sku]],LEN(Table1820[[#This Row],[spawner_sku]])-FIND("/",Table1820[[#This Row],[spawner_sku]])),Table28[Entity Prefab],0)),26,1,1,"Entities"))</f>
        <v>yes</v>
      </c>
      <c r="FG154">
        <v>1</v>
      </c>
      <c r="FH154">
        <v>1</v>
      </c>
      <c r="FI154" t="b">
        <v>0</v>
      </c>
      <c r="FK154" t="s">
        <v>2689</v>
      </c>
      <c r="FL154">
        <v>1</v>
      </c>
      <c r="FM154">
        <v>70</v>
      </c>
      <c r="FN154">
        <v>100</v>
      </c>
      <c r="FO154">
        <f ca="1">INDIRECT(ADDRESS(11+(MATCH(RIGHT(Table182023[[#This Row],[spawner_sku]],LEN(Table182023[[#This Row],[spawner_sku]])-FIND("/",Table182023[[#This Row],[spawner_sku]])),Table1[Entity Prefab],0)),10,1,1,"Entities"))</f>
        <v>25</v>
      </c>
      <c r="FP154">
        <f ca="1">ROUND((Table182023[[#This Row],[XP]]*Table182023[[#This Row],[entity_spawned (AVG)]])*(Table182023[[#This Row],[activating_chance]]/100),0)</f>
        <v>25</v>
      </c>
      <c r="FQ154" t="str">
        <f ca="1">INDIRECT(ADDRESS(11+(MATCH(RIGHT(Table182023[[#This Row],[spawner_sku]],LEN(Table182023[[#This Row],[spawner_sku]])-FIND("/",Table182023[[#This Row],[spawner_sku]])),Table28[Entity Prefab],0)),26,1,1,"Entities"))</f>
        <v>no</v>
      </c>
      <c r="FR154">
        <v>1</v>
      </c>
      <c r="FS154">
        <v>1</v>
      </c>
      <c r="FT154" t="b">
        <v>0</v>
      </c>
      <c r="FV154" t="s">
        <v>2697</v>
      </c>
      <c r="FW154">
        <v>1.5</v>
      </c>
      <c r="FX154">
        <v>80</v>
      </c>
      <c r="FY154">
        <v>80</v>
      </c>
      <c r="FZ154" s="74">
        <f ca="1">INDIRECT(ADDRESS(11+(MATCH(RIGHT(Table18202324[[#This Row],[spawner_sku]],LEN(Table18202324[[#This Row],[spawner_sku]])-FIND("/",Table18202324[[#This Row],[spawner_sku]])),Table1[Entity Prefab],0)),10,1,1,"Entities"))</f>
        <v>25</v>
      </c>
      <c r="GA154" s="74">
        <f ca="1">ROUND((Table18202324[[#This Row],[XP]]*Table18202324[[#This Row],[entity_spawned (AVG)]])*(Table18202324[[#This Row],[activating_chance]]/100),0)</f>
        <v>30</v>
      </c>
      <c r="GB154" s="74" t="str">
        <f ca="1">INDIRECT(ADDRESS(11+(MATCH(RIGHT(Table18202324[[#This Row],[spawner_sku]],LEN(Table18202324[[#This Row],[spawner_sku]])-FIND("/",Table18202324[[#This Row],[spawner_sku]])),Table28[Entity Prefab],0)),26,1,1,"Entities"))</f>
        <v>no</v>
      </c>
      <c r="GC154">
        <v>1</v>
      </c>
      <c r="GD154">
        <v>2</v>
      </c>
      <c r="GE154" t="b">
        <v>0</v>
      </c>
      <c r="GG154" t="s">
        <v>3817</v>
      </c>
      <c r="GH154">
        <v>1</v>
      </c>
      <c r="GI154">
        <v>180</v>
      </c>
      <c r="GJ154">
        <v>100</v>
      </c>
      <c r="GK154">
        <f ca="1">INDIRECT(ADDRESS(11+(MATCH(RIGHT(Table37[[#This Row],[spawner_sku]],LEN(Table37[[#This Row],[spawner_sku]])-FIND("/",Table37[[#This Row],[spawner_sku]])),Table1[Entity Prefab],0)),10,1,1,"Entities"))</f>
        <v>83</v>
      </c>
      <c r="GL154">
        <f ca="1">ROUND((Table37[[#This Row],[XP]]*Table37[[#This Row],[entity_spawned (AVG)]])*(Table37[[#This Row],[activating_chance]]/100),0)</f>
        <v>83</v>
      </c>
      <c r="GM154" t="str">
        <f ca="1">INDIRECT(ADDRESS(11+(MATCH(RIGHT(Table37[[#This Row],[spawner_sku]],LEN(Table37[[#This Row],[spawner_sku]])-FIND("/",Table37[[#This Row],[spawner_sku]])),Table28[Entity Prefab],0)),26,1,1,"Entities"))</f>
        <v>yes</v>
      </c>
      <c r="GN154">
        <v>1</v>
      </c>
      <c r="GO154">
        <v>1</v>
      </c>
      <c r="GP154" t="b">
        <v>0</v>
      </c>
    </row>
    <row r="155" spans="2:198" x14ac:dyDescent="0.25">
      <c r="B155" s="72" t="s">
        <v>215</v>
      </c>
      <c r="C155">
        <v>2</v>
      </c>
      <c r="D155">
        <v>60</v>
      </c>
      <c r="E155">
        <v>100</v>
      </c>
      <c r="F155" s="74">
        <f ca="1">INDIRECT(ADDRESS(11+(MATCH(RIGHT(Table245[[#This Row],[spawner_sku]],LEN(Table245[[#This Row],[spawner_sku]])-FIND("/",Table245[[#This Row],[spawner_sku]])),Table1[Entity Prefab],0)),10,1,1,"Entities"))</f>
        <v>25</v>
      </c>
      <c r="G155" s="74">
        <f ca="1">ROUND((Table245[[#This Row],[XP]]*Table245[[#This Row],[entity_spawned (AVG)]])*(Table245[[#This Row],[activating_chance]]/100),0)</f>
        <v>50</v>
      </c>
      <c r="H155" s="71" t="str">
        <f ca="1">INDIRECT(ADDRESS(11+(MATCH(RIGHT(Table245[[#This Row],[spawner_sku]],LEN(Table245[[#This Row],[spawner_sku]])-FIND("/",Table245[[#This Row],[spawner_sku]])),Table28[Entity Prefab],0)),24,1,1,"Entities"))</f>
        <v>no</v>
      </c>
      <c r="I155" s="71">
        <v>2</v>
      </c>
      <c r="J155" s="71">
        <v>2</v>
      </c>
      <c r="K155" s="71" t="b">
        <v>0</v>
      </c>
      <c r="M155" t="s">
        <v>372</v>
      </c>
      <c r="N155">
        <v>7.5</v>
      </c>
      <c r="O155">
        <v>160</v>
      </c>
      <c r="P155">
        <v>100</v>
      </c>
      <c r="Q155" s="74">
        <f ca="1">INDIRECT(ADDRESS(11+(MATCH(RIGHT(Table3[[#This Row],[spawner_sku]],LEN(Table3[[#This Row],[spawner_sku]])-FIND("/",Table3[[#This Row],[spawner_sku]])),Table1[Entity Prefab],0)),10,1,1,"Entities"))</f>
        <v>25</v>
      </c>
      <c r="R155" s="74">
        <f ca="1">ROUND((Table3[[#This Row],[XP]]*Table3[[#This Row],[entity_spawned (AVG)]])*(Table3[[#This Row],[activating_chance]]/100),0)</f>
        <v>188</v>
      </c>
      <c r="S155" t="str">
        <f ca="1">INDIRECT(ADDRESS(11+(MATCH(RIGHT(Table3[[#This Row],[spawner_sku]],LEN(Table3[[#This Row],[spawner_sku]])-FIND("/",Table3[[#This Row],[spawner_sku]])),Table28[Entity Prefab],0)),24,1,1,"Entities"))</f>
        <v>no</v>
      </c>
      <c r="T155">
        <v>5</v>
      </c>
      <c r="U155">
        <v>10</v>
      </c>
      <c r="V155" t="b">
        <v>1</v>
      </c>
      <c r="W155" s="71"/>
      <c r="AI155" t="s">
        <v>220</v>
      </c>
      <c r="AJ155">
        <v>1</v>
      </c>
      <c r="AK155">
        <v>300</v>
      </c>
      <c r="AL155">
        <v>100</v>
      </c>
      <c r="AM155" s="74">
        <f ca="1">INDIRECT(ADDRESS(11+(MATCH(RIGHT(Table2[[#This Row],[spawner_sku]],LEN(Table2[[#This Row],[spawner_sku]])-FIND("/",Table2[[#This Row],[spawner_sku]])),Table1[Entity Prefab],0)),10,1,1,"Entities"))</f>
        <v>195</v>
      </c>
      <c r="AN155" s="74">
        <f ca="1">ROUND((Table2[[#This Row],[XP]]*Table2[[#This Row],[entity_spawned (AVG)]])*(Table2[[#This Row],[activating_chance]]/100),0)</f>
        <v>195</v>
      </c>
      <c r="AO155" s="71" t="str">
        <f ca="1">INDIRECT(ADDRESS(11+(MATCH(RIGHT(Table2[[#This Row],[spawner_sku]],LEN(Table2[[#This Row],[spawner_sku]])-FIND("/",Table2[[#This Row],[spawner_sku]])),Table28[Entity Prefab],0)),24,1,1,"Entities"))</f>
        <v>yes</v>
      </c>
      <c r="AP155" s="71">
        <v>1</v>
      </c>
      <c r="AQ155" s="71">
        <v>1</v>
      </c>
      <c r="AR155" s="71" t="b">
        <v>0</v>
      </c>
      <c r="AT155" t="s">
        <v>243</v>
      </c>
      <c r="AU155">
        <v>1</v>
      </c>
      <c r="AV155">
        <v>150</v>
      </c>
      <c r="AW155">
        <v>100</v>
      </c>
      <c r="AX155" s="74">
        <f ca="1">INDIRECT(ADDRESS(11+(MATCH(RIGHT(Table6[[#This Row],[spawner_sku]],LEN(Table6[[#This Row],[spawner_sku]])-FIND("/",Table6[[#This Row],[spawner_sku]])),Table1[Entity Prefab],0)),10,1,1,"Entities"))</f>
        <v>25</v>
      </c>
      <c r="AY155" s="74">
        <f ca="1">ROUND((Table6[[#This Row],[XP]]*Table6[[#This Row],[entity_spawned (AVG)]])*(Table6[[#This Row],[activating_chance]]/100),0)</f>
        <v>25</v>
      </c>
      <c r="AZ155" s="144" t="str">
        <f ca="1">INDIRECT(ADDRESS(11+(MATCH(RIGHT(Table6[[#This Row],[spawner_sku]],LEN(Table6[[#This Row],[spawner_sku]])-FIND("/",Table6[[#This Row],[spawner_sku]])),Table28[Entity Prefab],0)),24,1,1,"Entities"))</f>
        <v>no</v>
      </c>
      <c r="BA155">
        <v>1</v>
      </c>
      <c r="BB155">
        <v>1</v>
      </c>
      <c r="BC155" t="b">
        <v>0</v>
      </c>
      <c r="BE155" t="s">
        <v>423</v>
      </c>
      <c r="BF155">
        <v>3.5</v>
      </c>
      <c r="BG155">
        <v>180</v>
      </c>
      <c r="BH155">
        <v>100</v>
      </c>
      <c r="BI155" s="74">
        <f ca="1">INDIRECT(ADDRESS(11+(MATCH(RIGHT(Table610[[#This Row],[spawner_sku]],LEN(Table610[[#This Row],[spawner_sku]])-FIND("/",Table610[[#This Row],[spawner_sku]])),Table1[Entity Prefab],0)),10,1,1,"Entities"))</f>
        <v>0</v>
      </c>
      <c r="BJ155" s="74">
        <f ca="1">ROUND((Table610[[#This Row],[XP]]*Table610[[#This Row],[entity_spawned (AVG)]])*(Table610[[#This Row],[activating_chance]]/100),0)</f>
        <v>0</v>
      </c>
      <c r="BK155" s="71" t="str">
        <f ca="1">INDIRECT(ADDRESS(11+(MATCH(RIGHT(Table610[[#This Row],[spawner_sku]],LEN(Table610[[#This Row],[spawner_sku]])-FIND("/",Table610[[#This Row],[spawner_sku]])),Table28[Entity Prefab],0)),24,1,1,"Entities"))</f>
        <v>yes</v>
      </c>
      <c r="BL155">
        <v>3</v>
      </c>
      <c r="BM155">
        <v>4</v>
      </c>
      <c r="BN155" t="b">
        <v>0</v>
      </c>
      <c r="BP155" t="s">
        <v>383</v>
      </c>
      <c r="BQ155">
        <v>1</v>
      </c>
      <c r="BR155">
        <v>340</v>
      </c>
      <c r="BS155">
        <v>100</v>
      </c>
      <c r="BT155" s="74">
        <f ca="1">INDIRECT(ADDRESS(11+(MATCH(RIGHT(Table61011[[#This Row],[spawner_sku]],LEN(Table61011[[#This Row],[spawner_sku]])-FIND("/",Table61011[[#This Row],[spawner_sku]])),Table1[Entity Prefab],0)),10,1,1,"Entities"))</f>
        <v>263</v>
      </c>
      <c r="BU155" s="74">
        <f ca="1">ROUND((Table61011[[#This Row],[XP]]*Table61011[[#This Row],[entity_spawned (AVG)]])*(Table61011[[#This Row],[activating_chance]]/100),0)</f>
        <v>263</v>
      </c>
      <c r="BV155" s="71" t="str">
        <f ca="1">INDIRECT(ADDRESS(11+(MATCH(RIGHT(Table61011[[#This Row],[spawner_sku]],LEN(Table61011[[#This Row],[spawner_sku]])-FIND("/",Table61011[[#This Row],[spawner_sku]])),Table28[Entity Prefab],0)),24,1,1,"Entities"))</f>
        <v>yes</v>
      </c>
      <c r="BW155" s="71">
        <v>1</v>
      </c>
      <c r="BX155" s="71">
        <v>1</v>
      </c>
      <c r="BY155" s="71" t="b">
        <v>0</v>
      </c>
      <c r="BZ155" s="71"/>
      <c r="CA155" s="147" t="s">
        <v>8143</v>
      </c>
      <c r="CB155">
        <v>1</v>
      </c>
      <c r="CC155">
        <v>200</v>
      </c>
      <c r="CD155">
        <v>100</v>
      </c>
      <c r="CE155" s="74">
        <f ca="1">INDIRECT(ADDRESS(11+(MATCH(RIGHT(Table35[[#This Row],[spawner_sku]],LEN(Table35[[#This Row],[spawner_sku]])-FIND("/",Table35[[#This Row],[spawner_sku]])),Table1[Entity Prefab],0)),10,1,1,"Entities"))</f>
        <v>75</v>
      </c>
      <c r="CF155" s="74">
        <f ca="1">ROUND((Table35[[#This Row],[XP]]*Table35[[#This Row],[entity_spawned (AVG)]])*(Table35[[#This Row],[activating_chance]]/100),0)</f>
        <v>75</v>
      </c>
      <c r="CG155" s="144" t="str">
        <f ca="1">INDIRECT(ADDRESS(11+(MATCH(RIGHT(Table35[[#This Row],[spawner_sku]],LEN(Table35[[#This Row],[spawner_sku]])-FIND("/",Table35[[#This Row],[spawner_sku]])),Table28[Entity Prefab],0)),24,1,1,"Entities"))</f>
        <v>no</v>
      </c>
      <c r="CH155">
        <v>1</v>
      </c>
      <c r="CI155">
        <v>1</v>
      </c>
      <c r="CJ155" s="71" t="b">
        <v>0</v>
      </c>
      <c r="CL155" t="s">
        <v>376</v>
      </c>
      <c r="CM155">
        <v>2</v>
      </c>
      <c r="CN155">
        <v>200</v>
      </c>
      <c r="CO155">
        <v>100</v>
      </c>
      <c r="CP155" s="74">
        <f ca="1">INDIRECT(ADDRESS(11+(MATCH(RIGHT(Table11[[#This Row],[spawner_sku]],LEN(Table11[[#This Row],[spawner_sku]])-FIND("/",Table11[[#This Row],[spawner_sku]])),Table1[Entity Prefab],0)),10,1,1,"Entities"))</f>
        <v>25</v>
      </c>
      <c r="CQ155">
        <f ca="1">ROUND((Table11[[#This Row],[XP]]*Table11[[#This Row],[entity_spawned (AVG)]])*(Table11[[#This Row],[activating_chance]]/100),0)</f>
        <v>50</v>
      </c>
      <c r="CR155" s="144" t="str">
        <f ca="1">INDIRECT(ADDRESS(11+(MATCH(RIGHT(Table11[[#This Row],[spawner_sku]],LEN(Table11[[#This Row],[spawner_sku]])-FIND("/",Table11[[#This Row],[spawner_sku]])),Table28[Entity Prefab],0)),25,1,1,"Entities"))</f>
        <v>no</v>
      </c>
      <c r="CS155" s="71">
        <v>2</v>
      </c>
      <c r="CT155" s="71">
        <v>2</v>
      </c>
      <c r="CU155" s="71" t="b">
        <v>0</v>
      </c>
      <c r="CW155" t="s">
        <v>242</v>
      </c>
      <c r="CX155">
        <v>1</v>
      </c>
      <c r="CY155">
        <v>150</v>
      </c>
      <c r="CZ155">
        <v>80</v>
      </c>
      <c r="DA155" s="74">
        <f ca="1">INDIRECT(ADDRESS(11+(MATCH(RIGHT(Table12[[#This Row],[spawner_sku]],LEN(Table12[[#This Row],[spawner_sku]])-FIND("/",Table12[[#This Row],[spawner_sku]])),Table1[Entity Prefab],0)),10,1,1,"Entities"))</f>
        <v>25</v>
      </c>
      <c r="DB155" s="74">
        <f ca="1">ROUND((Table12[[#This Row],[XP]]*Table12[[#This Row],[entity_spawned (AVG)]])*(Table12[[#This Row],[activating_chance]]/100),0)</f>
        <v>20</v>
      </c>
      <c r="DC155" s="144" t="str">
        <f ca="1">INDIRECT(ADDRESS(11+(MATCH(RIGHT(Table12[[#This Row],[spawner_sku]],LEN(Table12[[#This Row],[spawner_sku]])-FIND("/",Table12[[#This Row],[spawner_sku]])),Table28[Entity Prefab],0)),25,1,1,"Entities"))</f>
        <v>no</v>
      </c>
      <c r="DD155" s="71">
        <v>1</v>
      </c>
      <c r="DE155" s="71">
        <v>1</v>
      </c>
      <c r="DF155" s="71" t="b">
        <v>0</v>
      </c>
      <c r="DH155" t="s">
        <v>5003</v>
      </c>
      <c r="DI155">
        <v>1</v>
      </c>
      <c r="DJ155">
        <v>5000</v>
      </c>
      <c r="DK155">
        <v>100</v>
      </c>
      <c r="DL155" s="74">
        <f ca="1">INDIRECT(ADDRESS(11+(MATCH(RIGHT(Table13[[#This Row],[spawner_sku]],LEN(Table13[[#This Row],[spawner_sku]])-FIND("/",Table13[[#This Row],[spawner_sku]])),Table1[Entity Prefab],0)),10,1,1,"Entities"))</f>
        <v>25</v>
      </c>
      <c r="DM155" s="74">
        <f ca="1">ROUND((Table13[[#This Row],[XP]]*Table13[[#This Row],[entity_spawned (AVG)]])*(Table13[[#This Row],[activating_chance]]/100),0)</f>
        <v>25</v>
      </c>
      <c r="DN155" s="144" t="str">
        <f ca="1">INDIRECT(ADDRESS(11+(MATCH(RIGHT(Table13[[#This Row],[spawner_sku]],LEN(Table13[[#This Row],[spawner_sku]])-FIND("/",Table13[[#This Row],[spawner_sku]])),Table28[Entity Prefab],0)),25,1,1,"Entities"))</f>
        <v>no</v>
      </c>
      <c r="DO155" s="71">
        <v>1</v>
      </c>
      <c r="DP155" s="71">
        <v>1</v>
      </c>
      <c r="DQ155" s="71" t="b">
        <v>0</v>
      </c>
      <c r="DS155" t="s">
        <v>223</v>
      </c>
      <c r="DT155">
        <v>2</v>
      </c>
      <c r="DU155">
        <v>100</v>
      </c>
      <c r="DV155">
        <v>100</v>
      </c>
      <c r="DW155" s="74">
        <f ca="1">INDIRECT(ADDRESS(11+(MATCH(RIGHT(Table14[[#This Row],[spawner_sku]],LEN(Table14[[#This Row],[spawner_sku]])-FIND("/",Table14[[#This Row],[spawner_sku]])),Table1[Entity Prefab],0)),10,1,1,"Entities"))</f>
        <v>70</v>
      </c>
      <c r="DX155" s="74">
        <f ca="1">ROUND((Table14[[#This Row],[XP]]*Table14[[#This Row],[entity_spawned (AVG)]])*(Table14[[#This Row],[activating_chance]]/100),0)</f>
        <v>140</v>
      </c>
      <c r="DY155" s="144" t="str">
        <f ca="1">INDIRECT(ADDRESS(11+(MATCH(RIGHT(Table14[[#This Row],[spawner_sku]],LEN(Table14[[#This Row],[spawner_sku]])-FIND("/",Table14[[#This Row],[spawner_sku]])),Table28[Entity Prefab],0)),25,1,1,"Entities"))</f>
        <v>no</v>
      </c>
      <c r="DZ155" s="71">
        <v>2</v>
      </c>
      <c r="EA155" s="71">
        <v>2</v>
      </c>
      <c r="EB155" s="71" t="b">
        <v>0</v>
      </c>
      <c r="EC155" s="71"/>
      <c r="ED155" s="147" t="s">
        <v>3817</v>
      </c>
      <c r="EE155" s="71">
        <v>1</v>
      </c>
      <c r="EF155" s="71">
        <v>180</v>
      </c>
      <c r="EG155" s="71">
        <v>100</v>
      </c>
      <c r="EH155" s="71">
        <f ca="1">INDIRECT(ADDRESS(11+(MATCH(RIGHT(Table36[[#This Row],[spawner_sku]],LEN(Table36[[#This Row],[spawner_sku]])-FIND("/",Table36[[#This Row],[spawner_sku]])),Table1[Entity Prefab],0)),10,1,1,"Entities"))</f>
        <v>83</v>
      </c>
      <c r="EI155" s="71">
        <f ca="1">ROUND((Table36[[#This Row],[XP]]*Table36[[#This Row],[entity_spawned (AVG)]])*(Table36[[#This Row],[activating_chance]]/100),0)</f>
        <v>83</v>
      </c>
      <c r="EJ155" s="71" t="str">
        <f ca="1">INDIRECT(ADDRESS(11+(MATCH(RIGHT(Table36[[#This Row],[spawner_sku]],LEN(Table36[[#This Row],[spawner_sku]])-FIND("/",Table36[[#This Row],[spawner_sku]])),Table28[Entity Prefab],0)),25,1,1,"Entities"))</f>
        <v>yes</v>
      </c>
      <c r="EK155" s="71">
        <v>1</v>
      </c>
      <c r="EL155" s="71">
        <v>1</v>
      </c>
      <c r="EM155" s="71" t="b">
        <v>0</v>
      </c>
      <c r="EO155" t="s">
        <v>321</v>
      </c>
      <c r="EP155">
        <v>1.5</v>
      </c>
      <c r="EQ155">
        <v>300</v>
      </c>
      <c r="ER155">
        <v>80</v>
      </c>
      <c r="ES155" s="74">
        <f ca="1">INDIRECT(ADDRESS(11+(MATCH(RIGHT(Table18[[#This Row],[spawner_sku]],LEN(Table18[[#This Row],[spawner_sku]])-FIND("/",Table18[[#This Row],[spawner_sku]])),Table1[Entity Prefab],0)),10,1,1,"Entities"))</f>
        <v>195</v>
      </c>
      <c r="ET155" s="74">
        <f ca="1">ROUND((Table18[[#This Row],[XP]]*Table18[[#This Row],[entity_spawned (AVG)]])*(Table18[[#This Row],[activating_chance]]/100),0)</f>
        <v>234</v>
      </c>
      <c r="EU155" s="74" t="str">
        <f ca="1">INDIRECT(ADDRESS(11+(MATCH(RIGHT(Table18[[#This Row],[spawner_sku]],LEN(Table18[[#This Row],[spawner_sku]])-FIND("/",Table18[[#This Row],[spawner_sku]])),Table28[Entity Prefab],0)),26,1,1,"Entities"))</f>
        <v>yes</v>
      </c>
      <c r="EV155">
        <v>1</v>
      </c>
      <c r="EW155">
        <v>2</v>
      </c>
      <c r="EX155" t="b">
        <v>0</v>
      </c>
      <c r="EZ155" t="s">
        <v>448</v>
      </c>
      <c r="FA155">
        <v>1</v>
      </c>
      <c r="FB155">
        <v>200</v>
      </c>
      <c r="FC155">
        <v>100</v>
      </c>
      <c r="FD155" s="74">
        <f ca="1">INDIRECT(ADDRESS(11+(MATCH(RIGHT(Table1820[[#This Row],[spawner_sku]],LEN(Table1820[[#This Row],[spawner_sku]])-FIND("/",Table1820[[#This Row],[spawner_sku]])),Table1[Entity Prefab],0)),10,1,1,"Entities"))</f>
        <v>143</v>
      </c>
      <c r="FE155" s="74">
        <f ca="1">ROUND((Table1820[[#This Row],[XP]]*Table1820[[#This Row],[entity_spawned (AVG)]])*(Table1820[[#This Row],[activating_chance]]/100),0)</f>
        <v>143</v>
      </c>
      <c r="FF155" s="74" t="str">
        <f ca="1">INDIRECT(ADDRESS(11+(MATCH(RIGHT(Table1820[[#This Row],[spawner_sku]],LEN(Table1820[[#This Row],[spawner_sku]])-FIND("/",Table1820[[#This Row],[spawner_sku]])),Table28[Entity Prefab],0)),26,1,1,"Entities"))</f>
        <v>yes</v>
      </c>
      <c r="FG155">
        <v>1</v>
      </c>
      <c r="FH155">
        <v>1</v>
      </c>
      <c r="FI155" t="b">
        <v>0</v>
      </c>
      <c r="FK155" t="s">
        <v>2697</v>
      </c>
      <c r="FL155">
        <v>3</v>
      </c>
      <c r="FM155">
        <v>70</v>
      </c>
      <c r="FN155">
        <v>100</v>
      </c>
      <c r="FO155">
        <f ca="1">INDIRECT(ADDRESS(11+(MATCH(RIGHT(Table182023[[#This Row],[spawner_sku]],LEN(Table182023[[#This Row],[spawner_sku]])-FIND("/",Table182023[[#This Row],[spawner_sku]])),Table1[Entity Prefab],0)),10,1,1,"Entities"))</f>
        <v>25</v>
      </c>
      <c r="FP155">
        <f ca="1">ROUND((Table182023[[#This Row],[XP]]*Table182023[[#This Row],[entity_spawned (AVG)]])*(Table182023[[#This Row],[activating_chance]]/100),0)</f>
        <v>75</v>
      </c>
      <c r="FQ155" t="str">
        <f ca="1">INDIRECT(ADDRESS(11+(MATCH(RIGHT(Table182023[[#This Row],[spawner_sku]],LEN(Table182023[[#This Row],[spawner_sku]])-FIND("/",Table182023[[#This Row],[spawner_sku]])),Table28[Entity Prefab],0)),26,1,1,"Entities"))</f>
        <v>no</v>
      </c>
      <c r="FR155">
        <v>2</v>
      </c>
      <c r="FS155">
        <v>4</v>
      </c>
      <c r="FT155" t="b">
        <v>0</v>
      </c>
      <c r="FV155" t="s">
        <v>2697</v>
      </c>
      <c r="FW155">
        <v>1.5</v>
      </c>
      <c r="FX155">
        <v>70</v>
      </c>
      <c r="FY155">
        <v>100</v>
      </c>
      <c r="FZ155" s="74">
        <f ca="1">INDIRECT(ADDRESS(11+(MATCH(RIGHT(Table18202324[[#This Row],[spawner_sku]],LEN(Table18202324[[#This Row],[spawner_sku]])-FIND("/",Table18202324[[#This Row],[spawner_sku]])),Table1[Entity Prefab],0)),10,1,1,"Entities"))</f>
        <v>25</v>
      </c>
      <c r="GA155" s="74">
        <f ca="1">ROUND((Table18202324[[#This Row],[XP]]*Table18202324[[#This Row],[entity_spawned (AVG)]])*(Table18202324[[#This Row],[activating_chance]]/100),0)</f>
        <v>38</v>
      </c>
      <c r="GB155" s="74" t="str">
        <f ca="1">INDIRECT(ADDRESS(11+(MATCH(RIGHT(Table18202324[[#This Row],[spawner_sku]],LEN(Table18202324[[#This Row],[spawner_sku]])-FIND("/",Table18202324[[#This Row],[spawner_sku]])),Table28[Entity Prefab],0)),26,1,1,"Entities"))</f>
        <v>no</v>
      </c>
      <c r="GC155">
        <v>1</v>
      </c>
      <c r="GD155">
        <v>2</v>
      </c>
      <c r="GE155" t="b">
        <v>0</v>
      </c>
    </row>
    <row r="156" spans="2:198" x14ac:dyDescent="0.25">
      <c r="B156" s="72" t="s">
        <v>215</v>
      </c>
      <c r="C156">
        <v>3.5</v>
      </c>
      <c r="D156">
        <v>120</v>
      </c>
      <c r="E156">
        <v>100</v>
      </c>
      <c r="F156" s="74">
        <f ca="1">INDIRECT(ADDRESS(11+(MATCH(RIGHT(Table245[[#This Row],[spawner_sku]],LEN(Table245[[#This Row],[spawner_sku]])-FIND("/",Table245[[#This Row],[spawner_sku]])),Table1[Entity Prefab],0)),10,1,1,"Entities"))</f>
        <v>25</v>
      </c>
      <c r="G156" s="74">
        <f ca="1">ROUND((Table245[[#This Row],[XP]]*Table245[[#This Row],[entity_spawned (AVG)]])*(Table245[[#This Row],[activating_chance]]/100),0)</f>
        <v>88</v>
      </c>
      <c r="H156" s="71" t="str">
        <f ca="1">INDIRECT(ADDRESS(11+(MATCH(RIGHT(Table245[[#This Row],[spawner_sku]],LEN(Table245[[#This Row],[spawner_sku]])-FIND("/",Table245[[#This Row],[spawner_sku]])),Table28[Entity Prefab],0)),24,1,1,"Entities"))</f>
        <v>no</v>
      </c>
      <c r="I156" s="71">
        <v>3</v>
      </c>
      <c r="J156" s="71">
        <v>4</v>
      </c>
      <c r="K156" s="71" t="b">
        <v>0</v>
      </c>
      <c r="M156" t="s">
        <v>223</v>
      </c>
      <c r="N156">
        <v>2.5</v>
      </c>
      <c r="O156">
        <v>170</v>
      </c>
      <c r="P156">
        <v>100</v>
      </c>
      <c r="Q156" s="74">
        <f ca="1">INDIRECT(ADDRESS(11+(MATCH(RIGHT(Table3[[#This Row],[spawner_sku]],LEN(Table3[[#This Row],[spawner_sku]])-FIND("/",Table3[[#This Row],[spawner_sku]])),Table1[Entity Prefab],0)),10,1,1,"Entities"))</f>
        <v>70</v>
      </c>
      <c r="R156" s="74">
        <f ca="1">ROUND((Table3[[#This Row],[XP]]*Table3[[#This Row],[entity_spawned (AVG)]])*(Table3[[#This Row],[activating_chance]]/100),0)</f>
        <v>175</v>
      </c>
      <c r="S156" t="str">
        <f ca="1">INDIRECT(ADDRESS(11+(MATCH(RIGHT(Table3[[#This Row],[spawner_sku]],LEN(Table3[[#This Row],[spawner_sku]])-FIND("/",Table3[[#This Row],[spawner_sku]])),Table28[Entity Prefab],0)),24,1,1,"Entities"))</f>
        <v>yes</v>
      </c>
      <c r="T156">
        <v>2</v>
      </c>
      <c r="U156">
        <v>3</v>
      </c>
      <c r="V156" t="b">
        <v>0</v>
      </c>
      <c r="W156" s="71"/>
      <c r="AI156" t="s">
        <v>383</v>
      </c>
      <c r="AJ156">
        <v>1</v>
      </c>
      <c r="AK156">
        <v>340</v>
      </c>
      <c r="AL156">
        <v>100</v>
      </c>
      <c r="AM156" s="74">
        <f ca="1">INDIRECT(ADDRESS(11+(MATCH(RIGHT(Table2[[#This Row],[spawner_sku]],LEN(Table2[[#This Row],[spawner_sku]])-FIND("/",Table2[[#This Row],[spawner_sku]])),Table1[Entity Prefab],0)),10,1,1,"Entities"))</f>
        <v>263</v>
      </c>
      <c r="AN156" s="74">
        <f ca="1">ROUND((Table2[[#This Row],[XP]]*Table2[[#This Row],[entity_spawned (AVG)]])*(Table2[[#This Row],[activating_chance]]/100),0)</f>
        <v>263</v>
      </c>
      <c r="AO156" s="71" t="str">
        <f ca="1">INDIRECT(ADDRESS(11+(MATCH(RIGHT(Table2[[#This Row],[spawner_sku]],LEN(Table2[[#This Row],[spawner_sku]])-FIND("/",Table2[[#This Row],[spawner_sku]])),Table28[Entity Prefab],0)),24,1,1,"Entities"))</f>
        <v>yes</v>
      </c>
      <c r="AP156" s="71">
        <v>1</v>
      </c>
      <c r="AQ156" s="71">
        <v>1</v>
      </c>
      <c r="AR156" s="71" t="b">
        <v>0</v>
      </c>
      <c r="AT156" t="s">
        <v>243</v>
      </c>
      <c r="AU156">
        <v>1</v>
      </c>
      <c r="AV156">
        <v>150</v>
      </c>
      <c r="AW156">
        <v>100</v>
      </c>
      <c r="AX156" s="74">
        <f ca="1">INDIRECT(ADDRESS(11+(MATCH(RIGHT(Table6[[#This Row],[spawner_sku]],LEN(Table6[[#This Row],[spawner_sku]])-FIND("/",Table6[[#This Row],[spawner_sku]])),Table1[Entity Prefab],0)),10,1,1,"Entities"))</f>
        <v>25</v>
      </c>
      <c r="AY156" s="74">
        <f ca="1">ROUND((Table6[[#This Row],[XP]]*Table6[[#This Row],[entity_spawned (AVG)]])*(Table6[[#This Row],[activating_chance]]/100),0)</f>
        <v>25</v>
      </c>
      <c r="AZ156" s="144" t="str">
        <f ca="1">INDIRECT(ADDRESS(11+(MATCH(RIGHT(Table6[[#This Row],[spawner_sku]],LEN(Table6[[#This Row],[spawner_sku]])-FIND("/",Table6[[#This Row],[spawner_sku]])),Table28[Entity Prefab],0)),24,1,1,"Entities"))</f>
        <v>no</v>
      </c>
      <c r="BA156">
        <v>1</v>
      </c>
      <c r="BB156">
        <v>1</v>
      </c>
      <c r="BC156" t="b">
        <v>0</v>
      </c>
      <c r="BE156" t="s">
        <v>423</v>
      </c>
      <c r="BF156">
        <v>4</v>
      </c>
      <c r="BG156">
        <v>190</v>
      </c>
      <c r="BH156">
        <v>100</v>
      </c>
      <c r="BI156" s="74">
        <f ca="1">INDIRECT(ADDRESS(11+(MATCH(RIGHT(Table610[[#This Row],[spawner_sku]],LEN(Table610[[#This Row],[spawner_sku]])-FIND("/",Table610[[#This Row],[spawner_sku]])),Table1[Entity Prefab],0)),10,1,1,"Entities"))</f>
        <v>0</v>
      </c>
      <c r="BJ156" s="74">
        <f ca="1">ROUND((Table610[[#This Row],[XP]]*Table610[[#This Row],[entity_spawned (AVG)]])*(Table610[[#This Row],[activating_chance]]/100),0)</f>
        <v>0</v>
      </c>
      <c r="BK156" s="71" t="str">
        <f ca="1">INDIRECT(ADDRESS(11+(MATCH(RIGHT(Table610[[#This Row],[spawner_sku]],LEN(Table610[[#This Row],[spawner_sku]])-FIND("/",Table610[[#This Row],[spawner_sku]])),Table28[Entity Prefab],0)),24,1,1,"Entities"))</f>
        <v>yes</v>
      </c>
      <c r="BL156">
        <v>4</v>
      </c>
      <c r="BM156">
        <v>4</v>
      </c>
      <c r="BN156" t="b">
        <v>0</v>
      </c>
      <c r="BP156" t="s">
        <v>383</v>
      </c>
      <c r="BQ156">
        <v>1</v>
      </c>
      <c r="BR156">
        <v>340</v>
      </c>
      <c r="BS156">
        <v>100</v>
      </c>
      <c r="BT156" s="74">
        <f ca="1">INDIRECT(ADDRESS(11+(MATCH(RIGHT(Table61011[[#This Row],[spawner_sku]],LEN(Table61011[[#This Row],[spawner_sku]])-FIND("/",Table61011[[#This Row],[spawner_sku]])),Table1[Entity Prefab],0)),10,1,1,"Entities"))</f>
        <v>263</v>
      </c>
      <c r="BU156" s="74">
        <f ca="1">ROUND((Table61011[[#This Row],[XP]]*Table61011[[#This Row],[entity_spawned (AVG)]])*(Table61011[[#This Row],[activating_chance]]/100),0)</f>
        <v>263</v>
      </c>
      <c r="BV156" s="71" t="str">
        <f ca="1">INDIRECT(ADDRESS(11+(MATCH(RIGHT(Table61011[[#This Row],[spawner_sku]],LEN(Table61011[[#This Row],[spawner_sku]])-FIND("/",Table61011[[#This Row],[spawner_sku]])),Table28[Entity Prefab],0)),24,1,1,"Entities"))</f>
        <v>yes</v>
      </c>
      <c r="BW156" s="71">
        <v>1</v>
      </c>
      <c r="BX156" s="71">
        <v>1</v>
      </c>
      <c r="BY156" s="71" t="b">
        <v>0</v>
      </c>
      <c r="BZ156" s="71"/>
      <c r="CA156" s="147" t="s">
        <v>8143</v>
      </c>
      <c r="CB156">
        <v>1</v>
      </c>
      <c r="CC156">
        <v>200</v>
      </c>
      <c r="CD156">
        <v>100</v>
      </c>
      <c r="CE156" s="74">
        <f ca="1">INDIRECT(ADDRESS(11+(MATCH(RIGHT(Table35[[#This Row],[spawner_sku]],LEN(Table35[[#This Row],[spawner_sku]])-FIND("/",Table35[[#This Row],[spawner_sku]])),Table1[Entity Prefab],0)),10,1,1,"Entities"))</f>
        <v>75</v>
      </c>
      <c r="CF156" s="74">
        <f ca="1">ROUND((Table35[[#This Row],[XP]]*Table35[[#This Row],[entity_spawned (AVG)]])*(Table35[[#This Row],[activating_chance]]/100),0)</f>
        <v>75</v>
      </c>
      <c r="CG156" s="144" t="str">
        <f ca="1">INDIRECT(ADDRESS(11+(MATCH(RIGHT(Table35[[#This Row],[spawner_sku]],LEN(Table35[[#This Row],[spawner_sku]])-FIND("/",Table35[[#This Row],[spawner_sku]])),Table28[Entity Prefab],0)),24,1,1,"Entities"))</f>
        <v>no</v>
      </c>
      <c r="CH156">
        <v>1</v>
      </c>
      <c r="CI156">
        <v>1</v>
      </c>
      <c r="CJ156" s="71" t="b">
        <v>0</v>
      </c>
      <c r="CL156" t="s">
        <v>376</v>
      </c>
      <c r="CM156">
        <v>3</v>
      </c>
      <c r="CN156">
        <v>200</v>
      </c>
      <c r="CO156">
        <v>100</v>
      </c>
      <c r="CP156" s="74">
        <f ca="1">INDIRECT(ADDRESS(11+(MATCH(RIGHT(Table11[[#This Row],[spawner_sku]],LEN(Table11[[#This Row],[spawner_sku]])-FIND("/",Table11[[#This Row],[spawner_sku]])),Table1[Entity Prefab],0)),10,1,1,"Entities"))</f>
        <v>25</v>
      </c>
      <c r="CQ156">
        <f ca="1">ROUND((Table11[[#This Row],[XP]]*Table11[[#This Row],[entity_spawned (AVG)]])*(Table11[[#This Row],[activating_chance]]/100),0)</f>
        <v>75</v>
      </c>
      <c r="CR156" s="144" t="str">
        <f ca="1">INDIRECT(ADDRESS(11+(MATCH(RIGHT(Table11[[#This Row],[spawner_sku]],LEN(Table11[[#This Row],[spawner_sku]])-FIND("/",Table11[[#This Row],[spawner_sku]])),Table28[Entity Prefab],0)),25,1,1,"Entities"))</f>
        <v>no</v>
      </c>
      <c r="CS156" s="71">
        <v>2</v>
      </c>
      <c r="CT156" s="71">
        <v>4</v>
      </c>
      <c r="CU156" s="71" t="b">
        <v>0</v>
      </c>
      <c r="CW156" t="s">
        <v>242</v>
      </c>
      <c r="CX156">
        <v>1</v>
      </c>
      <c r="CY156">
        <v>150</v>
      </c>
      <c r="CZ156">
        <v>100</v>
      </c>
      <c r="DA156" s="74">
        <f ca="1">INDIRECT(ADDRESS(11+(MATCH(RIGHT(Table12[[#This Row],[spawner_sku]],LEN(Table12[[#This Row],[spawner_sku]])-FIND("/",Table12[[#This Row],[spawner_sku]])),Table1[Entity Prefab],0)),10,1,1,"Entities"))</f>
        <v>25</v>
      </c>
      <c r="DB156" s="74">
        <f ca="1">ROUND((Table12[[#This Row],[XP]]*Table12[[#This Row],[entity_spawned (AVG)]])*(Table12[[#This Row],[activating_chance]]/100),0)</f>
        <v>25</v>
      </c>
      <c r="DC156" s="144" t="str">
        <f ca="1">INDIRECT(ADDRESS(11+(MATCH(RIGHT(Table12[[#This Row],[spawner_sku]],LEN(Table12[[#This Row],[spawner_sku]])-FIND("/",Table12[[#This Row],[spawner_sku]])),Table28[Entity Prefab],0)),25,1,1,"Entities"))</f>
        <v>no</v>
      </c>
      <c r="DD156" s="71">
        <v>1</v>
      </c>
      <c r="DE156" s="71">
        <v>1</v>
      </c>
      <c r="DF156" s="71" t="b">
        <v>0</v>
      </c>
      <c r="DH156" t="s">
        <v>5003</v>
      </c>
      <c r="DI156">
        <v>1</v>
      </c>
      <c r="DJ156">
        <v>5000</v>
      </c>
      <c r="DK156">
        <v>50</v>
      </c>
      <c r="DL156" s="74">
        <f ca="1">INDIRECT(ADDRESS(11+(MATCH(RIGHT(Table13[[#This Row],[spawner_sku]],LEN(Table13[[#This Row],[spawner_sku]])-FIND("/",Table13[[#This Row],[spawner_sku]])),Table1[Entity Prefab],0)),10,1,1,"Entities"))</f>
        <v>25</v>
      </c>
      <c r="DM156" s="74">
        <f ca="1">ROUND((Table13[[#This Row],[XP]]*Table13[[#This Row],[entity_spawned (AVG)]])*(Table13[[#This Row],[activating_chance]]/100),0)</f>
        <v>13</v>
      </c>
      <c r="DN156" s="144" t="str">
        <f ca="1">INDIRECT(ADDRESS(11+(MATCH(RIGHT(Table13[[#This Row],[spawner_sku]],LEN(Table13[[#This Row],[spawner_sku]])-FIND("/",Table13[[#This Row],[spawner_sku]])),Table28[Entity Prefab],0)),25,1,1,"Entities"))</f>
        <v>no</v>
      </c>
      <c r="DO156" s="71">
        <v>1</v>
      </c>
      <c r="DP156" s="71">
        <v>1</v>
      </c>
      <c r="DQ156" s="71" t="b">
        <v>0</v>
      </c>
      <c r="DS156" t="s">
        <v>223</v>
      </c>
      <c r="DT156">
        <v>1</v>
      </c>
      <c r="DU156">
        <v>100</v>
      </c>
      <c r="DV156">
        <v>80</v>
      </c>
      <c r="DW156" s="74">
        <f ca="1">INDIRECT(ADDRESS(11+(MATCH(RIGHT(Table14[[#This Row],[spawner_sku]],LEN(Table14[[#This Row],[spawner_sku]])-FIND("/",Table14[[#This Row],[spawner_sku]])),Table1[Entity Prefab],0)),10,1,1,"Entities"))</f>
        <v>70</v>
      </c>
      <c r="DX156" s="74">
        <f ca="1">ROUND((Table14[[#This Row],[XP]]*Table14[[#This Row],[entity_spawned (AVG)]])*(Table14[[#This Row],[activating_chance]]/100),0)</f>
        <v>56</v>
      </c>
      <c r="DY156" s="144" t="str">
        <f ca="1">INDIRECT(ADDRESS(11+(MATCH(RIGHT(Table14[[#This Row],[spawner_sku]],LEN(Table14[[#This Row],[spawner_sku]])-FIND("/",Table14[[#This Row],[spawner_sku]])),Table28[Entity Prefab],0)),25,1,1,"Entities"))</f>
        <v>no</v>
      </c>
      <c r="DZ156" s="71">
        <v>1</v>
      </c>
      <c r="EA156" s="71">
        <v>1</v>
      </c>
      <c r="EB156" s="71" t="b">
        <v>0</v>
      </c>
      <c r="EC156" s="71"/>
      <c r="ED156" s="147" t="s">
        <v>3817</v>
      </c>
      <c r="EE156" s="71">
        <v>1</v>
      </c>
      <c r="EF156" s="71">
        <v>180</v>
      </c>
      <c r="EG156" s="71">
        <v>80</v>
      </c>
      <c r="EH156" s="71">
        <f ca="1">INDIRECT(ADDRESS(11+(MATCH(RIGHT(Table36[[#This Row],[spawner_sku]],LEN(Table36[[#This Row],[spawner_sku]])-FIND("/",Table36[[#This Row],[spawner_sku]])),Table1[Entity Prefab],0)),10,1,1,"Entities"))</f>
        <v>83</v>
      </c>
      <c r="EI156" s="71">
        <f ca="1">ROUND((Table36[[#This Row],[XP]]*Table36[[#This Row],[entity_spawned (AVG)]])*(Table36[[#This Row],[activating_chance]]/100),0)</f>
        <v>66</v>
      </c>
      <c r="EJ156" s="71" t="str">
        <f ca="1">INDIRECT(ADDRESS(11+(MATCH(RIGHT(Table36[[#This Row],[spawner_sku]],LEN(Table36[[#This Row],[spawner_sku]])-FIND("/",Table36[[#This Row],[spawner_sku]])),Table28[Entity Prefab],0)),25,1,1,"Entities"))</f>
        <v>yes</v>
      </c>
      <c r="EK156" s="71">
        <v>1</v>
      </c>
      <c r="EL156" s="71">
        <v>1</v>
      </c>
      <c r="EM156" s="71" t="b">
        <v>0</v>
      </c>
      <c r="EO156" t="s">
        <v>321</v>
      </c>
      <c r="EP156">
        <v>1</v>
      </c>
      <c r="EQ156">
        <v>300</v>
      </c>
      <c r="ER156">
        <v>100</v>
      </c>
      <c r="ES156" s="74">
        <f ca="1">INDIRECT(ADDRESS(11+(MATCH(RIGHT(Table18[[#This Row],[spawner_sku]],LEN(Table18[[#This Row],[spawner_sku]])-FIND("/",Table18[[#This Row],[spawner_sku]])),Table1[Entity Prefab],0)),10,1,1,"Entities"))</f>
        <v>195</v>
      </c>
      <c r="ET156" s="74">
        <f ca="1">ROUND((Table18[[#This Row],[XP]]*Table18[[#This Row],[entity_spawned (AVG)]])*(Table18[[#This Row],[activating_chance]]/100),0)</f>
        <v>195</v>
      </c>
      <c r="EU156" s="74" t="str">
        <f ca="1">INDIRECT(ADDRESS(11+(MATCH(RIGHT(Table18[[#This Row],[spawner_sku]],LEN(Table18[[#This Row],[spawner_sku]])-FIND("/",Table18[[#This Row],[spawner_sku]])),Table28[Entity Prefab],0)),26,1,1,"Entities"))</f>
        <v>yes</v>
      </c>
      <c r="EV156">
        <v>1</v>
      </c>
      <c r="EW156">
        <v>1</v>
      </c>
      <c r="EX156" t="b">
        <v>0</v>
      </c>
      <c r="EZ156" t="s">
        <v>449</v>
      </c>
      <c r="FA156">
        <v>1</v>
      </c>
      <c r="FB156">
        <v>230</v>
      </c>
      <c r="FC156">
        <v>100</v>
      </c>
      <c r="FD156" s="74">
        <f ca="1">INDIRECT(ADDRESS(11+(MATCH(RIGHT(Table1820[[#This Row],[spawner_sku]],LEN(Table1820[[#This Row],[spawner_sku]])-FIND("/",Table1820[[#This Row],[spawner_sku]])),Table1[Entity Prefab],0)),10,1,1,"Entities"))</f>
        <v>130</v>
      </c>
      <c r="FE156" s="74">
        <f ca="1">ROUND((Table1820[[#This Row],[XP]]*Table1820[[#This Row],[entity_spawned (AVG)]])*(Table1820[[#This Row],[activating_chance]]/100),0)</f>
        <v>130</v>
      </c>
      <c r="FF156" s="74" t="str">
        <f ca="1">INDIRECT(ADDRESS(11+(MATCH(RIGHT(Table1820[[#This Row],[spawner_sku]],LEN(Table1820[[#This Row],[spawner_sku]])-FIND("/",Table1820[[#This Row],[spawner_sku]])),Table28[Entity Prefab],0)),26,1,1,"Entities"))</f>
        <v>yes</v>
      </c>
      <c r="FG156">
        <v>1</v>
      </c>
      <c r="FH156">
        <v>1</v>
      </c>
      <c r="FI156" t="b">
        <v>0</v>
      </c>
      <c r="FK156" t="s">
        <v>2697</v>
      </c>
      <c r="FL156">
        <v>2</v>
      </c>
      <c r="FM156">
        <v>70</v>
      </c>
      <c r="FN156">
        <v>100</v>
      </c>
      <c r="FO156">
        <f ca="1">INDIRECT(ADDRESS(11+(MATCH(RIGHT(Table182023[[#This Row],[spawner_sku]],LEN(Table182023[[#This Row],[spawner_sku]])-FIND("/",Table182023[[#This Row],[spawner_sku]])),Table1[Entity Prefab],0)),10,1,1,"Entities"))</f>
        <v>25</v>
      </c>
      <c r="FP156">
        <f ca="1">ROUND((Table182023[[#This Row],[XP]]*Table182023[[#This Row],[entity_spawned (AVG)]])*(Table182023[[#This Row],[activating_chance]]/100),0)</f>
        <v>50</v>
      </c>
      <c r="FQ156" t="str">
        <f ca="1">INDIRECT(ADDRESS(11+(MATCH(RIGHT(Table182023[[#This Row],[spawner_sku]],LEN(Table182023[[#This Row],[spawner_sku]])-FIND("/",Table182023[[#This Row],[spawner_sku]])),Table28[Entity Prefab],0)),26,1,1,"Entities"))</f>
        <v>no</v>
      </c>
      <c r="FR156">
        <v>1</v>
      </c>
      <c r="FS156">
        <v>3</v>
      </c>
      <c r="FT156" t="b">
        <v>0</v>
      </c>
      <c r="FV156" t="s">
        <v>2697</v>
      </c>
      <c r="FW156">
        <v>1.5</v>
      </c>
      <c r="FX156">
        <v>70</v>
      </c>
      <c r="FY156">
        <v>100</v>
      </c>
      <c r="FZ156" s="74">
        <f ca="1">INDIRECT(ADDRESS(11+(MATCH(RIGHT(Table18202324[[#This Row],[spawner_sku]],LEN(Table18202324[[#This Row],[spawner_sku]])-FIND("/",Table18202324[[#This Row],[spawner_sku]])),Table1[Entity Prefab],0)),10,1,1,"Entities"))</f>
        <v>25</v>
      </c>
      <c r="GA156" s="74">
        <f ca="1">ROUND((Table18202324[[#This Row],[XP]]*Table18202324[[#This Row],[entity_spawned (AVG)]])*(Table18202324[[#This Row],[activating_chance]]/100),0)</f>
        <v>38</v>
      </c>
      <c r="GB156" s="74" t="str">
        <f ca="1">INDIRECT(ADDRESS(11+(MATCH(RIGHT(Table18202324[[#This Row],[spawner_sku]],LEN(Table18202324[[#This Row],[spawner_sku]])-FIND("/",Table18202324[[#This Row],[spawner_sku]])),Table28[Entity Prefab],0)),26,1,1,"Entities"))</f>
        <v>no</v>
      </c>
      <c r="GC156">
        <v>1</v>
      </c>
      <c r="GD156">
        <v>2</v>
      </c>
      <c r="GE156" t="b">
        <v>0</v>
      </c>
    </row>
    <row r="157" spans="2:198" x14ac:dyDescent="0.25">
      <c r="B157" s="72" t="s">
        <v>215</v>
      </c>
      <c r="C157">
        <v>7.5</v>
      </c>
      <c r="D157">
        <v>170</v>
      </c>
      <c r="E157">
        <v>100</v>
      </c>
      <c r="F157" s="74">
        <f ca="1">INDIRECT(ADDRESS(11+(MATCH(RIGHT(Table245[[#This Row],[spawner_sku]],LEN(Table245[[#This Row],[spawner_sku]])-FIND("/",Table245[[#This Row],[spawner_sku]])),Table1[Entity Prefab],0)),10,1,1,"Entities"))</f>
        <v>25</v>
      </c>
      <c r="G157" s="74">
        <f ca="1">ROUND((Table245[[#This Row],[XP]]*Table245[[#This Row],[entity_spawned (AVG)]])*(Table245[[#This Row],[activating_chance]]/100),0)</f>
        <v>188</v>
      </c>
      <c r="H157" s="71" t="str">
        <f ca="1">INDIRECT(ADDRESS(11+(MATCH(RIGHT(Table245[[#This Row],[spawner_sku]],LEN(Table245[[#This Row],[spawner_sku]])-FIND("/",Table245[[#This Row],[spawner_sku]])),Table28[Entity Prefab],0)),24,1,1,"Entities"))</f>
        <v>no</v>
      </c>
      <c r="I157" s="71">
        <v>5</v>
      </c>
      <c r="J157" s="71">
        <v>10</v>
      </c>
      <c r="K157" s="71" t="b">
        <v>1</v>
      </c>
      <c r="M157" t="s">
        <v>366</v>
      </c>
      <c r="N157">
        <v>2</v>
      </c>
      <c r="O157">
        <v>100</v>
      </c>
      <c r="P157">
        <v>100</v>
      </c>
      <c r="Q157" s="74">
        <f ca="1">INDIRECT(ADDRESS(11+(MATCH(RIGHT(Table3[[#This Row],[spawner_sku]],LEN(Table3[[#This Row],[spawner_sku]])-FIND("/",Table3[[#This Row],[spawner_sku]])),Table1[Entity Prefab],0)),10,1,1,"Entities"))</f>
        <v>25</v>
      </c>
      <c r="R157" s="74">
        <f ca="1">ROUND((Table3[[#This Row],[XP]]*Table3[[#This Row],[entity_spawned (AVG)]])*(Table3[[#This Row],[activating_chance]]/100),0)</f>
        <v>50</v>
      </c>
      <c r="S157" t="str">
        <f ca="1">INDIRECT(ADDRESS(11+(MATCH(RIGHT(Table3[[#This Row],[spawner_sku]],LEN(Table3[[#This Row],[spawner_sku]])-FIND("/",Table3[[#This Row],[spawner_sku]])),Table28[Entity Prefab],0)),24,1,1,"Entities"))</f>
        <v>no</v>
      </c>
      <c r="T157">
        <v>2</v>
      </c>
      <c r="U157">
        <v>2</v>
      </c>
      <c r="V157" t="b">
        <v>0</v>
      </c>
      <c r="W157" s="71"/>
      <c r="AI157" t="s">
        <v>383</v>
      </c>
      <c r="AJ157">
        <v>1</v>
      </c>
      <c r="AK157">
        <v>340</v>
      </c>
      <c r="AL157">
        <v>100</v>
      </c>
      <c r="AM157" s="74">
        <f ca="1">INDIRECT(ADDRESS(11+(MATCH(RIGHT(Table2[[#This Row],[spawner_sku]],LEN(Table2[[#This Row],[spawner_sku]])-FIND("/",Table2[[#This Row],[spawner_sku]])),Table1[Entity Prefab],0)),10,1,1,"Entities"))</f>
        <v>263</v>
      </c>
      <c r="AN157" s="74">
        <f ca="1">ROUND((Table2[[#This Row],[XP]]*Table2[[#This Row],[entity_spawned (AVG)]])*(Table2[[#This Row],[activating_chance]]/100),0)</f>
        <v>263</v>
      </c>
      <c r="AO157" s="71" t="str">
        <f ca="1">INDIRECT(ADDRESS(11+(MATCH(RIGHT(Table2[[#This Row],[spawner_sku]],LEN(Table2[[#This Row],[spawner_sku]])-FIND("/",Table2[[#This Row],[spawner_sku]])),Table28[Entity Prefab],0)),24,1,1,"Entities"))</f>
        <v>yes</v>
      </c>
      <c r="AP157" s="71">
        <v>1</v>
      </c>
      <c r="AQ157" s="71">
        <v>1</v>
      </c>
      <c r="AR157" s="71" t="b">
        <v>0</v>
      </c>
      <c r="AT157" t="s">
        <v>243</v>
      </c>
      <c r="AU157">
        <v>2</v>
      </c>
      <c r="AV157">
        <v>150</v>
      </c>
      <c r="AW157">
        <v>100</v>
      </c>
      <c r="AX157" s="74">
        <f ca="1">INDIRECT(ADDRESS(11+(MATCH(RIGHT(Table6[[#This Row],[spawner_sku]],LEN(Table6[[#This Row],[spawner_sku]])-FIND("/",Table6[[#This Row],[spawner_sku]])),Table1[Entity Prefab],0)),10,1,1,"Entities"))</f>
        <v>25</v>
      </c>
      <c r="AY157" s="74">
        <f ca="1">ROUND((Table6[[#This Row],[XP]]*Table6[[#This Row],[entity_spawned (AVG)]])*(Table6[[#This Row],[activating_chance]]/100),0)</f>
        <v>50</v>
      </c>
      <c r="AZ157" s="144" t="str">
        <f ca="1">INDIRECT(ADDRESS(11+(MATCH(RIGHT(Table6[[#This Row],[spawner_sku]],LEN(Table6[[#This Row],[spawner_sku]])-FIND("/",Table6[[#This Row],[spawner_sku]])),Table28[Entity Prefab],0)),24,1,1,"Entities"))</f>
        <v>no</v>
      </c>
      <c r="BA157">
        <v>2</v>
      </c>
      <c r="BB157">
        <v>2</v>
      </c>
      <c r="BC157" t="b">
        <v>0</v>
      </c>
      <c r="BE157" t="s">
        <v>423</v>
      </c>
      <c r="BF157">
        <v>2</v>
      </c>
      <c r="BG157">
        <v>190</v>
      </c>
      <c r="BH157">
        <v>100</v>
      </c>
      <c r="BI157" s="74">
        <f ca="1">INDIRECT(ADDRESS(11+(MATCH(RIGHT(Table610[[#This Row],[spawner_sku]],LEN(Table610[[#This Row],[spawner_sku]])-FIND("/",Table610[[#This Row],[spawner_sku]])),Table1[Entity Prefab],0)),10,1,1,"Entities"))</f>
        <v>0</v>
      </c>
      <c r="BJ157" s="74">
        <f ca="1">ROUND((Table610[[#This Row],[XP]]*Table610[[#This Row],[entity_spawned (AVG)]])*(Table610[[#This Row],[activating_chance]]/100),0)</f>
        <v>0</v>
      </c>
      <c r="BK157" s="71" t="str">
        <f ca="1">INDIRECT(ADDRESS(11+(MATCH(RIGHT(Table610[[#This Row],[spawner_sku]],LEN(Table610[[#This Row],[spawner_sku]])-FIND("/",Table610[[#This Row],[spawner_sku]])),Table28[Entity Prefab],0)),24,1,1,"Entities"))</f>
        <v>yes</v>
      </c>
      <c r="BL157">
        <v>2</v>
      </c>
      <c r="BM157">
        <v>2</v>
      </c>
      <c r="BN157" t="b">
        <v>0</v>
      </c>
      <c r="BP157" t="s">
        <v>383</v>
      </c>
      <c r="BQ157">
        <v>1</v>
      </c>
      <c r="BR157">
        <v>340</v>
      </c>
      <c r="BS157">
        <v>100</v>
      </c>
      <c r="BT157" s="74">
        <f ca="1">INDIRECT(ADDRESS(11+(MATCH(RIGHT(Table61011[[#This Row],[spawner_sku]],LEN(Table61011[[#This Row],[spawner_sku]])-FIND("/",Table61011[[#This Row],[spawner_sku]])),Table1[Entity Prefab],0)),10,1,1,"Entities"))</f>
        <v>263</v>
      </c>
      <c r="BU157" s="74">
        <f ca="1">ROUND((Table61011[[#This Row],[XP]]*Table61011[[#This Row],[entity_spawned (AVG)]])*(Table61011[[#This Row],[activating_chance]]/100),0)</f>
        <v>263</v>
      </c>
      <c r="BV157" s="71" t="str">
        <f ca="1">INDIRECT(ADDRESS(11+(MATCH(RIGHT(Table61011[[#This Row],[spawner_sku]],LEN(Table61011[[#This Row],[spawner_sku]])-FIND("/",Table61011[[#This Row],[spawner_sku]])),Table28[Entity Prefab],0)),24,1,1,"Entities"))</f>
        <v>yes</v>
      </c>
      <c r="BW157" s="71">
        <v>1</v>
      </c>
      <c r="BX157" s="71">
        <v>1</v>
      </c>
      <c r="BY157" s="71" t="b">
        <v>0</v>
      </c>
      <c r="BZ157" s="71"/>
      <c r="CA157" s="147" t="s">
        <v>8143</v>
      </c>
      <c r="CB157">
        <v>1</v>
      </c>
      <c r="CC157">
        <v>200</v>
      </c>
      <c r="CD157">
        <v>80</v>
      </c>
      <c r="CE157" s="74">
        <f ca="1">INDIRECT(ADDRESS(11+(MATCH(RIGHT(Table35[[#This Row],[spawner_sku]],LEN(Table35[[#This Row],[spawner_sku]])-FIND("/",Table35[[#This Row],[spawner_sku]])),Table1[Entity Prefab],0)),10,1,1,"Entities"))</f>
        <v>75</v>
      </c>
      <c r="CF157" s="74">
        <f ca="1">ROUND((Table35[[#This Row],[XP]]*Table35[[#This Row],[entity_spawned (AVG)]])*(Table35[[#This Row],[activating_chance]]/100),0)</f>
        <v>60</v>
      </c>
      <c r="CG157" s="144" t="str">
        <f ca="1">INDIRECT(ADDRESS(11+(MATCH(RIGHT(Table35[[#This Row],[spawner_sku]],LEN(Table35[[#This Row],[spawner_sku]])-FIND("/",Table35[[#This Row],[spawner_sku]])),Table28[Entity Prefab],0)),24,1,1,"Entities"))</f>
        <v>no</v>
      </c>
      <c r="CH157">
        <v>1</v>
      </c>
      <c r="CI157">
        <v>1</v>
      </c>
      <c r="CJ157" s="71" t="b">
        <v>0</v>
      </c>
      <c r="CL157" t="s">
        <v>376</v>
      </c>
      <c r="CM157">
        <v>5.5</v>
      </c>
      <c r="CN157">
        <v>200</v>
      </c>
      <c r="CO157">
        <v>100</v>
      </c>
      <c r="CP157" s="74">
        <f ca="1">INDIRECT(ADDRESS(11+(MATCH(RIGHT(Table11[[#This Row],[spawner_sku]],LEN(Table11[[#This Row],[spawner_sku]])-FIND("/",Table11[[#This Row],[spawner_sku]])),Table1[Entity Prefab],0)),10,1,1,"Entities"))</f>
        <v>25</v>
      </c>
      <c r="CQ157">
        <f ca="1">ROUND((Table11[[#This Row],[XP]]*Table11[[#This Row],[entity_spawned (AVG)]])*(Table11[[#This Row],[activating_chance]]/100),0)</f>
        <v>138</v>
      </c>
      <c r="CR157" s="144" t="str">
        <f ca="1">INDIRECT(ADDRESS(11+(MATCH(RIGHT(Table11[[#This Row],[spawner_sku]],LEN(Table11[[#This Row],[spawner_sku]])-FIND("/",Table11[[#This Row],[spawner_sku]])),Table28[Entity Prefab],0)),25,1,1,"Entities"))</f>
        <v>no</v>
      </c>
      <c r="CS157" s="71">
        <v>5</v>
      </c>
      <c r="CT157" s="71">
        <v>6</v>
      </c>
      <c r="CU157" s="71" t="b">
        <v>1</v>
      </c>
      <c r="CW157" t="s">
        <v>242</v>
      </c>
      <c r="CX157">
        <v>1</v>
      </c>
      <c r="CY157">
        <v>150</v>
      </c>
      <c r="CZ157">
        <v>100</v>
      </c>
      <c r="DA157" s="74">
        <f ca="1">INDIRECT(ADDRESS(11+(MATCH(RIGHT(Table12[[#This Row],[spawner_sku]],LEN(Table12[[#This Row],[spawner_sku]])-FIND("/",Table12[[#This Row],[spawner_sku]])),Table1[Entity Prefab],0)),10,1,1,"Entities"))</f>
        <v>25</v>
      </c>
      <c r="DB157" s="74">
        <f ca="1">ROUND((Table12[[#This Row],[XP]]*Table12[[#This Row],[entity_spawned (AVG)]])*(Table12[[#This Row],[activating_chance]]/100),0)</f>
        <v>25</v>
      </c>
      <c r="DC157" s="144" t="str">
        <f ca="1">INDIRECT(ADDRESS(11+(MATCH(RIGHT(Table12[[#This Row],[spawner_sku]],LEN(Table12[[#This Row],[spawner_sku]])-FIND("/",Table12[[#This Row],[spawner_sku]])),Table28[Entity Prefab],0)),25,1,1,"Entities"))</f>
        <v>no</v>
      </c>
      <c r="DD157" s="71">
        <v>1</v>
      </c>
      <c r="DE157" s="71">
        <v>1</v>
      </c>
      <c r="DF157" s="71" t="b">
        <v>0</v>
      </c>
      <c r="DH157" t="s">
        <v>466</v>
      </c>
      <c r="DI157">
        <v>1</v>
      </c>
      <c r="DJ157">
        <v>70</v>
      </c>
      <c r="DK157">
        <v>100</v>
      </c>
      <c r="DL157" s="74">
        <f ca="1">INDIRECT(ADDRESS(11+(MATCH(RIGHT(Table13[[#This Row],[spawner_sku]],LEN(Table13[[#This Row],[spawner_sku]])-FIND("/",Table13[[#This Row],[spawner_sku]])),Table1[Entity Prefab],0)),10,1,1,"Entities"))</f>
        <v>75</v>
      </c>
      <c r="DM157" s="74">
        <f ca="1">ROUND((Table13[[#This Row],[XP]]*Table13[[#This Row],[entity_spawned (AVG)]])*(Table13[[#This Row],[activating_chance]]/100),0)</f>
        <v>75</v>
      </c>
      <c r="DN157" s="144" t="str">
        <f ca="1">INDIRECT(ADDRESS(11+(MATCH(RIGHT(Table13[[#This Row],[spawner_sku]],LEN(Table13[[#This Row],[spawner_sku]])-FIND("/",Table13[[#This Row],[spawner_sku]])),Table28[Entity Prefab],0)),25,1,1,"Entities"))</f>
        <v>no</v>
      </c>
      <c r="DO157" s="71">
        <v>1</v>
      </c>
      <c r="DP157" s="71">
        <v>1</v>
      </c>
      <c r="DQ157" s="71" t="b">
        <v>0</v>
      </c>
      <c r="DS157" t="s">
        <v>223</v>
      </c>
      <c r="DT157">
        <v>2</v>
      </c>
      <c r="DU157">
        <v>120</v>
      </c>
      <c r="DV157">
        <v>100</v>
      </c>
      <c r="DW157" s="74">
        <f ca="1">INDIRECT(ADDRESS(11+(MATCH(RIGHT(Table14[[#This Row],[spawner_sku]],LEN(Table14[[#This Row],[spawner_sku]])-FIND("/",Table14[[#This Row],[spawner_sku]])),Table1[Entity Prefab],0)),10,1,1,"Entities"))</f>
        <v>70</v>
      </c>
      <c r="DX157" s="74">
        <f ca="1">ROUND((Table14[[#This Row],[XP]]*Table14[[#This Row],[entity_spawned (AVG)]])*(Table14[[#This Row],[activating_chance]]/100),0)</f>
        <v>140</v>
      </c>
      <c r="DY157" s="144" t="str">
        <f ca="1">INDIRECT(ADDRESS(11+(MATCH(RIGHT(Table14[[#This Row],[spawner_sku]],LEN(Table14[[#This Row],[spawner_sku]])-FIND("/",Table14[[#This Row],[spawner_sku]])),Table28[Entity Prefab],0)),25,1,1,"Entities"))</f>
        <v>no</v>
      </c>
      <c r="DZ157" s="71">
        <v>2</v>
      </c>
      <c r="EA157" s="71">
        <v>2</v>
      </c>
      <c r="EB157" s="71" t="b">
        <v>0</v>
      </c>
      <c r="EC157" s="71"/>
      <c r="ED157" s="147" t="s">
        <v>3817</v>
      </c>
      <c r="EE157" s="71">
        <v>1</v>
      </c>
      <c r="EF157" s="71">
        <v>180</v>
      </c>
      <c r="EG157" s="71">
        <v>80</v>
      </c>
      <c r="EH157" s="71">
        <f ca="1">INDIRECT(ADDRESS(11+(MATCH(RIGHT(Table36[[#This Row],[spawner_sku]],LEN(Table36[[#This Row],[spawner_sku]])-FIND("/",Table36[[#This Row],[spawner_sku]])),Table1[Entity Prefab],0)),10,1,1,"Entities"))</f>
        <v>83</v>
      </c>
      <c r="EI157" s="71">
        <f ca="1">ROUND((Table36[[#This Row],[XP]]*Table36[[#This Row],[entity_spawned (AVG)]])*(Table36[[#This Row],[activating_chance]]/100),0)</f>
        <v>66</v>
      </c>
      <c r="EJ157" s="71" t="str">
        <f ca="1">INDIRECT(ADDRESS(11+(MATCH(RIGHT(Table36[[#This Row],[spawner_sku]],LEN(Table36[[#This Row],[spawner_sku]])-FIND("/",Table36[[#This Row],[spawner_sku]])),Table28[Entity Prefab],0)),25,1,1,"Entities"))</f>
        <v>yes</v>
      </c>
      <c r="EK157" s="71">
        <v>1</v>
      </c>
      <c r="EL157" s="71">
        <v>1</v>
      </c>
      <c r="EM157" s="71" t="b">
        <v>0</v>
      </c>
      <c r="EO157" t="s">
        <v>221</v>
      </c>
      <c r="EP157">
        <v>1.5</v>
      </c>
      <c r="EQ157">
        <v>240</v>
      </c>
      <c r="ER157">
        <v>100</v>
      </c>
      <c r="ES157" s="74">
        <f ca="1">INDIRECT(ADDRESS(11+(MATCH(RIGHT(Table18[[#This Row],[spawner_sku]],LEN(Table18[[#This Row],[spawner_sku]])-FIND("/",Table18[[#This Row],[spawner_sku]])),Table1[Entity Prefab],0)),10,1,1,"Entities"))</f>
        <v>263</v>
      </c>
      <c r="ET157" s="74">
        <f ca="1">ROUND((Table18[[#This Row],[XP]]*Table18[[#This Row],[entity_spawned (AVG)]])*(Table18[[#This Row],[activating_chance]]/100),0)</f>
        <v>395</v>
      </c>
      <c r="EU157" s="74" t="str">
        <f ca="1">INDIRECT(ADDRESS(11+(MATCH(RIGHT(Table18[[#This Row],[spawner_sku]],LEN(Table18[[#This Row],[spawner_sku]])-FIND("/",Table18[[#This Row],[spawner_sku]])),Table28[Entity Prefab],0)),26,1,1,"Entities"))</f>
        <v>yes</v>
      </c>
      <c r="EV157">
        <v>1</v>
      </c>
      <c r="EW157">
        <v>2</v>
      </c>
      <c r="EX157" t="b">
        <v>0</v>
      </c>
      <c r="EZ157" t="s">
        <v>449</v>
      </c>
      <c r="FA157">
        <v>1</v>
      </c>
      <c r="FB157">
        <v>230</v>
      </c>
      <c r="FC157">
        <v>100</v>
      </c>
      <c r="FD157" s="74">
        <f ca="1">INDIRECT(ADDRESS(11+(MATCH(RIGHT(Table1820[[#This Row],[spawner_sku]],LEN(Table1820[[#This Row],[spawner_sku]])-FIND("/",Table1820[[#This Row],[spawner_sku]])),Table1[Entity Prefab],0)),10,1,1,"Entities"))</f>
        <v>130</v>
      </c>
      <c r="FE157" s="74">
        <f ca="1">ROUND((Table1820[[#This Row],[XP]]*Table1820[[#This Row],[entity_spawned (AVG)]])*(Table1820[[#This Row],[activating_chance]]/100),0)</f>
        <v>130</v>
      </c>
      <c r="FF157" s="74" t="str">
        <f ca="1">INDIRECT(ADDRESS(11+(MATCH(RIGHT(Table1820[[#This Row],[spawner_sku]],LEN(Table1820[[#This Row],[spawner_sku]])-FIND("/",Table1820[[#This Row],[spawner_sku]])),Table28[Entity Prefab],0)),26,1,1,"Entities"))</f>
        <v>yes</v>
      </c>
      <c r="FG157">
        <v>1</v>
      </c>
      <c r="FH157">
        <v>1</v>
      </c>
      <c r="FI157" t="b">
        <v>0</v>
      </c>
      <c r="FK157" t="s">
        <v>2697</v>
      </c>
      <c r="FL157">
        <v>1.5</v>
      </c>
      <c r="FM157">
        <v>70</v>
      </c>
      <c r="FN157">
        <v>100</v>
      </c>
      <c r="FO157">
        <f ca="1">INDIRECT(ADDRESS(11+(MATCH(RIGHT(Table182023[[#This Row],[spawner_sku]],LEN(Table182023[[#This Row],[spawner_sku]])-FIND("/",Table182023[[#This Row],[spawner_sku]])),Table1[Entity Prefab],0)),10,1,1,"Entities"))</f>
        <v>25</v>
      </c>
      <c r="FP157">
        <f ca="1">ROUND((Table182023[[#This Row],[XP]]*Table182023[[#This Row],[entity_spawned (AVG)]])*(Table182023[[#This Row],[activating_chance]]/100),0)</f>
        <v>38</v>
      </c>
      <c r="FQ157" t="str">
        <f ca="1">INDIRECT(ADDRESS(11+(MATCH(RIGHT(Table182023[[#This Row],[spawner_sku]],LEN(Table182023[[#This Row],[spawner_sku]])-FIND("/",Table182023[[#This Row],[spawner_sku]])),Table28[Entity Prefab],0)),26,1,1,"Entities"))</f>
        <v>no</v>
      </c>
      <c r="FR157">
        <v>1</v>
      </c>
      <c r="FS157">
        <v>2</v>
      </c>
      <c r="FT157" t="b">
        <v>0</v>
      </c>
      <c r="FV157" t="s">
        <v>2697</v>
      </c>
      <c r="FW157">
        <v>3.5</v>
      </c>
      <c r="FX157">
        <v>80</v>
      </c>
      <c r="FY157">
        <v>100</v>
      </c>
      <c r="FZ157" s="74">
        <f ca="1">INDIRECT(ADDRESS(11+(MATCH(RIGHT(Table18202324[[#This Row],[spawner_sku]],LEN(Table18202324[[#This Row],[spawner_sku]])-FIND("/",Table18202324[[#This Row],[spawner_sku]])),Table1[Entity Prefab],0)),10,1,1,"Entities"))</f>
        <v>25</v>
      </c>
      <c r="GA157" s="74">
        <f ca="1">ROUND((Table18202324[[#This Row],[XP]]*Table18202324[[#This Row],[entity_spawned (AVG)]])*(Table18202324[[#This Row],[activating_chance]]/100),0)</f>
        <v>88</v>
      </c>
      <c r="GB157" s="74" t="str">
        <f ca="1">INDIRECT(ADDRESS(11+(MATCH(RIGHT(Table18202324[[#This Row],[spawner_sku]],LEN(Table18202324[[#This Row],[spawner_sku]])-FIND("/",Table18202324[[#This Row],[spawner_sku]])),Table28[Entity Prefab],0)),26,1,1,"Entities"))</f>
        <v>no</v>
      </c>
      <c r="GC157">
        <v>3</v>
      </c>
      <c r="GD157">
        <v>4</v>
      </c>
      <c r="GE157" t="b">
        <v>0</v>
      </c>
    </row>
    <row r="158" spans="2:198" x14ac:dyDescent="0.25">
      <c r="B158" s="72" t="s">
        <v>215</v>
      </c>
      <c r="C158">
        <v>7.5</v>
      </c>
      <c r="D158">
        <v>180</v>
      </c>
      <c r="E158">
        <v>100</v>
      </c>
      <c r="F158" s="74">
        <f ca="1">INDIRECT(ADDRESS(11+(MATCH(RIGHT(Table245[[#This Row],[spawner_sku]],LEN(Table245[[#This Row],[spawner_sku]])-FIND("/",Table245[[#This Row],[spawner_sku]])),Table1[Entity Prefab],0)),10,1,1,"Entities"))</f>
        <v>25</v>
      </c>
      <c r="G158" s="74">
        <f ca="1">ROUND((Table245[[#This Row],[XP]]*Table245[[#This Row],[entity_spawned (AVG)]])*(Table245[[#This Row],[activating_chance]]/100),0)</f>
        <v>188</v>
      </c>
      <c r="H158" s="71" t="str">
        <f ca="1">INDIRECT(ADDRESS(11+(MATCH(RIGHT(Table245[[#This Row],[spawner_sku]],LEN(Table245[[#This Row],[spawner_sku]])-FIND("/",Table245[[#This Row],[spawner_sku]])),Table28[Entity Prefab],0)),24,1,1,"Entities"))</f>
        <v>no</v>
      </c>
      <c r="I158" s="71">
        <v>5</v>
      </c>
      <c r="J158" s="71">
        <v>10</v>
      </c>
      <c r="K158" s="71" t="b">
        <v>1</v>
      </c>
      <c r="M158" t="s">
        <v>366</v>
      </c>
      <c r="N158">
        <v>2</v>
      </c>
      <c r="O158">
        <v>100</v>
      </c>
      <c r="P158">
        <v>100</v>
      </c>
      <c r="Q158" s="74">
        <f ca="1">INDIRECT(ADDRESS(11+(MATCH(RIGHT(Table3[[#This Row],[spawner_sku]],LEN(Table3[[#This Row],[spawner_sku]])-FIND("/",Table3[[#This Row],[spawner_sku]])),Table1[Entity Prefab],0)),10,1,1,"Entities"))</f>
        <v>25</v>
      </c>
      <c r="R158" s="74">
        <f ca="1">ROUND((Table3[[#This Row],[XP]]*Table3[[#This Row],[entity_spawned (AVG)]])*(Table3[[#This Row],[activating_chance]]/100),0)</f>
        <v>50</v>
      </c>
      <c r="S158" t="str">
        <f ca="1">INDIRECT(ADDRESS(11+(MATCH(RIGHT(Table3[[#This Row],[spawner_sku]],LEN(Table3[[#This Row],[spawner_sku]])-FIND("/",Table3[[#This Row],[spawner_sku]])),Table28[Entity Prefab],0)),24,1,1,"Entities"))</f>
        <v>no</v>
      </c>
      <c r="T158">
        <v>2</v>
      </c>
      <c r="U158">
        <v>2</v>
      </c>
      <c r="V158" t="b">
        <v>0</v>
      </c>
      <c r="W158" s="71"/>
      <c r="AI158" t="s">
        <v>383</v>
      </c>
      <c r="AJ158">
        <v>1</v>
      </c>
      <c r="AK158">
        <v>340</v>
      </c>
      <c r="AL158">
        <v>100</v>
      </c>
      <c r="AM158" s="74">
        <f ca="1">INDIRECT(ADDRESS(11+(MATCH(RIGHT(Table2[[#This Row],[spawner_sku]],LEN(Table2[[#This Row],[spawner_sku]])-FIND("/",Table2[[#This Row],[spawner_sku]])),Table1[Entity Prefab],0)),10,1,1,"Entities"))</f>
        <v>263</v>
      </c>
      <c r="AN158" s="74">
        <f ca="1">ROUND((Table2[[#This Row],[XP]]*Table2[[#This Row],[entity_spawned (AVG)]])*(Table2[[#This Row],[activating_chance]]/100),0)</f>
        <v>263</v>
      </c>
      <c r="AO158" s="71" t="str">
        <f ca="1">INDIRECT(ADDRESS(11+(MATCH(RIGHT(Table2[[#This Row],[spawner_sku]],LEN(Table2[[#This Row],[spawner_sku]])-FIND("/",Table2[[#This Row],[spawner_sku]])),Table28[Entity Prefab],0)),24,1,1,"Entities"))</f>
        <v>yes</v>
      </c>
      <c r="AP158" s="71">
        <v>1</v>
      </c>
      <c r="AQ158" s="71">
        <v>1</v>
      </c>
      <c r="AR158" s="71" t="b">
        <v>0</v>
      </c>
      <c r="AT158" t="s">
        <v>243</v>
      </c>
      <c r="AU158">
        <v>1</v>
      </c>
      <c r="AV158">
        <v>150</v>
      </c>
      <c r="AW158">
        <v>100</v>
      </c>
      <c r="AX158" s="74">
        <f ca="1">INDIRECT(ADDRESS(11+(MATCH(RIGHT(Table6[[#This Row],[spawner_sku]],LEN(Table6[[#This Row],[spawner_sku]])-FIND("/",Table6[[#This Row],[spawner_sku]])),Table1[Entity Prefab],0)),10,1,1,"Entities"))</f>
        <v>25</v>
      </c>
      <c r="AY158" s="74">
        <f ca="1">ROUND((Table6[[#This Row],[XP]]*Table6[[#This Row],[entity_spawned (AVG)]])*(Table6[[#This Row],[activating_chance]]/100),0)</f>
        <v>25</v>
      </c>
      <c r="AZ158" s="144" t="str">
        <f ca="1">INDIRECT(ADDRESS(11+(MATCH(RIGHT(Table6[[#This Row],[spawner_sku]],LEN(Table6[[#This Row],[spawner_sku]])-FIND("/",Table6[[#This Row],[spawner_sku]])),Table28[Entity Prefab],0)),24,1,1,"Entities"))</f>
        <v>no</v>
      </c>
      <c r="BA158">
        <v>1</v>
      </c>
      <c r="BB158">
        <v>1</v>
      </c>
      <c r="BC158" t="b">
        <v>0</v>
      </c>
      <c r="BE158" t="s">
        <v>423</v>
      </c>
      <c r="BF158">
        <v>3</v>
      </c>
      <c r="BG158">
        <v>170</v>
      </c>
      <c r="BH158">
        <v>100</v>
      </c>
      <c r="BI158" s="74">
        <f ca="1">INDIRECT(ADDRESS(11+(MATCH(RIGHT(Table610[[#This Row],[spawner_sku]],LEN(Table610[[#This Row],[spawner_sku]])-FIND("/",Table610[[#This Row],[spawner_sku]])),Table1[Entity Prefab],0)),10,1,1,"Entities"))</f>
        <v>0</v>
      </c>
      <c r="BJ158" s="74">
        <f ca="1">ROUND((Table610[[#This Row],[XP]]*Table610[[#This Row],[entity_spawned (AVG)]])*(Table610[[#This Row],[activating_chance]]/100),0)</f>
        <v>0</v>
      </c>
      <c r="BK158" s="71" t="str">
        <f ca="1">INDIRECT(ADDRESS(11+(MATCH(RIGHT(Table610[[#This Row],[spawner_sku]],LEN(Table610[[#This Row],[spawner_sku]])-FIND("/",Table610[[#This Row],[spawner_sku]])),Table28[Entity Prefab],0)),24,1,1,"Entities"))</f>
        <v>yes</v>
      </c>
      <c r="BL158">
        <v>3</v>
      </c>
      <c r="BM158">
        <v>3</v>
      </c>
      <c r="BN158" t="b">
        <v>0</v>
      </c>
      <c r="BP158" t="s">
        <v>383</v>
      </c>
      <c r="BQ158">
        <v>1</v>
      </c>
      <c r="BR158">
        <v>340</v>
      </c>
      <c r="BS158">
        <v>100</v>
      </c>
      <c r="BT158" s="74">
        <f ca="1">INDIRECT(ADDRESS(11+(MATCH(RIGHT(Table61011[[#This Row],[spawner_sku]],LEN(Table61011[[#This Row],[spawner_sku]])-FIND("/",Table61011[[#This Row],[spawner_sku]])),Table1[Entity Prefab],0)),10,1,1,"Entities"))</f>
        <v>263</v>
      </c>
      <c r="BU158" s="74">
        <f ca="1">ROUND((Table61011[[#This Row],[XP]]*Table61011[[#This Row],[entity_spawned (AVG)]])*(Table61011[[#This Row],[activating_chance]]/100),0)</f>
        <v>263</v>
      </c>
      <c r="BV158" s="71" t="str">
        <f ca="1">INDIRECT(ADDRESS(11+(MATCH(RIGHT(Table61011[[#This Row],[spawner_sku]],LEN(Table61011[[#This Row],[spawner_sku]])-FIND("/",Table61011[[#This Row],[spawner_sku]])),Table28[Entity Prefab],0)),24,1,1,"Entities"))</f>
        <v>yes</v>
      </c>
      <c r="BW158" s="71">
        <v>1</v>
      </c>
      <c r="BX158" s="71">
        <v>1</v>
      </c>
      <c r="BY158" s="71" t="b">
        <v>0</v>
      </c>
      <c r="BZ158" s="71"/>
      <c r="CA158" s="147" t="s">
        <v>8143</v>
      </c>
      <c r="CB158">
        <v>1</v>
      </c>
      <c r="CC158">
        <v>200</v>
      </c>
      <c r="CD158">
        <v>100</v>
      </c>
      <c r="CE158" s="74">
        <f ca="1">INDIRECT(ADDRESS(11+(MATCH(RIGHT(Table35[[#This Row],[spawner_sku]],LEN(Table35[[#This Row],[spawner_sku]])-FIND("/",Table35[[#This Row],[spawner_sku]])),Table1[Entity Prefab],0)),10,1,1,"Entities"))</f>
        <v>75</v>
      </c>
      <c r="CF158" s="74">
        <f ca="1">ROUND((Table35[[#This Row],[XP]]*Table35[[#This Row],[entity_spawned (AVG)]])*(Table35[[#This Row],[activating_chance]]/100),0)</f>
        <v>75</v>
      </c>
      <c r="CG158" s="144" t="str">
        <f ca="1">INDIRECT(ADDRESS(11+(MATCH(RIGHT(Table35[[#This Row],[spawner_sku]],LEN(Table35[[#This Row],[spawner_sku]])-FIND("/",Table35[[#This Row],[spawner_sku]])),Table28[Entity Prefab],0)),24,1,1,"Entities"))</f>
        <v>no</v>
      </c>
      <c r="CH158">
        <v>1</v>
      </c>
      <c r="CI158">
        <v>1</v>
      </c>
      <c r="CJ158" s="71" t="b">
        <v>0</v>
      </c>
      <c r="CL158" t="s">
        <v>376</v>
      </c>
      <c r="CM158">
        <v>5.5</v>
      </c>
      <c r="CN158">
        <v>200</v>
      </c>
      <c r="CO158">
        <v>100</v>
      </c>
      <c r="CP158" s="74">
        <f ca="1">INDIRECT(ADDRESS(11+(MATCH(RIGHT(Table11[[#This Row],[spawner_sku]],LEN(Table11[[#This Row],[spawner_sku]])-FIND("/",Table11[[#This Row],[spawner_sku]])),Table1[Entity Prefab],0)),10,1,1,"Entities"))</f>
        <v>25</v>
      </c>
      <c r="CQ158">
        <f ca="1">ROUND((Table11[[#This Row],[XP]]*Table11[[#This Row],[entity_spawned (AVG)]])*(Table11[[#This Row],[activating_chance]]/100),0)</f>
        <v>138</v>
      </c>
      <c r="CR158" s="144" t="str">
        <f ca="1">INDIRECT(ADDRESS(11+(MATCH(RIGHT(Table11[[#This Row],[spawner_sku]],LEN(Table11[[#This Row],[spawner_sku]])-FIND("/",Table11[[#This Row],[spawner_sku]])),Table28[Entity Prefab],0)),25,1,1,"Entities"))</f>
        <v>no</v>
      </c>
      <c r="CS158" s="71">
        <v>5</v>
      </c>
      <c r="CT158" s="71">
        <v>6</v>
      </c>
      <c r="CU158" s="71" t="b">
        <v>1</v>
      </c>
      <c r="CW158" t="s">
        <v>242</v>
      </c>
      <c r="CX158">
        <v>2</v>
      </c>
      <c r="CY158">
        <v>100</v>
      </c>
      <c r="CZ158">
        <v>40</v>
      </c>
      <c r="DA158" s="74">
        <f ca="1">INDIRECT(ADDRESS(11+(MATCH(RIGHT(Table12[[#This Row],[spawner_sku]],LEN(Table12[[#This Row],[spawner_sku]])-FIND("/",Table12[[#This Row],[spawner_sku]])),Table1[Entity Prefab],0)),10,1,1,"Entities"))</f>
        <v>25</v>
      </c>
      <c r="DB158" s="74">
        <f ca="1">ROUND((Table12[[#This Row],[XP]]*Table12[[#This Row],[entity_spawned (AVG)]])*(Table12[[#This Row],[activating_chance]]/100),0)</f>
        <v>20</v>
      </c>
      <c r="DC158" s="144" t="str">
        <f ca="1">INDIRECT(ADDRESS(11+(MATCH(RIGHT(Table12[[#This Row],[spawner_sku]],LEN(Table12[[#This Row],[spawner_sku]])-FIND("/",Table12[[#This Row],[spawner_sku]])),Table28[Entity Prefab],0)),25,1,1,"Entities"))</f>
        <v>no</v>
      </c>
      <c r="DD158" s="71">
        <v>1</v>
      </c>
      <c r="DE158" s="71">
        <v>3</v>
      </c>
      <c r="DF158" s="71" t="b">
        <v>0</v>
      </c>
      <c r="DH158" t="s">
        <v>377</v>
      </c>
      <c r="DI158">
        <v>2.5</v>
      </c>
      <c r="DJ158">
        <v>140</v>
      </c>
      <c r="DK158">
        <v>80</v>
      </c>
      <c r="DL158" s="74">
        <f ca="1">INDIRECT(ADDRESS(11+(MATCH(RIGHT(Table13[[#This Row],[spawner_sku]],LEN(Table13[[#This Row],[spawner_sku]])-FIND("/",Table13[[#This Row],[spawner_sku]])),Table1[Entity Prefab],0)),10,1,1,"Entities"))</f>
        <v>25</v>
      </c>
      <c r="DM158" s="74">
        <f ca="1">ROUND((Table13[[#This Row],[XP]]*Table13[[#This Row],[entity_spawned (AVG)]])*(Table13[[#This Row],[activating_chance]]/100),0)</f>
        <v>50</v>
      </c>
      <c r="DN158" s="144" t="str">
        <f ca="1">INDIRECT(ADDRESS(11+(MATCH(RIGHT(Table13[[#This Row],[spawner_sku]],LEN(Table13[[#This Row],[spawner_sku]])-FIND("/",Table13[[#This Row],[spawner_sku]])),Table28[Entity Prefab],0)),25,1,1,"Entities"))</f>
        <v>no</v>
      </c>
      <c r="DO158" s="71">
        <v>2</v>
      </c>
      <c r="DP158" s="71">
        <v>3</v>
      </c>
      <c r="DQ158" s="71" t="b">
        <v>0</v>
      </c>
      <c r="DS158" t="s">
        <v>223</v>
      </c>
      <c r="DT158">
        <v>2</v>
      </c>
      <c r="DU158">
        <v>100</v>
      </c>
      <c r="DV158">
        <v>100</v>
      </c>
      <c r="DW158" s="74">
        <f ca="1">INDIRECT(ADDRESS(11+(MATCH(RIGHT(Table14[[#This Row],[spawner_sku]],LEN(Table14[[#This Row],[spawner_sku]])-FIND("/",Table14[[#This Row],[spawner_sku]])),Table1[Entity Prefab],0)),10,1,1,"Entities"))</f>
        <v>70</v>
      </c>
      <c r="DX158" s="74">
        <f ca="1">ROUND((Table14[[#This Row],[XP]]*Table14[[#This Row],[entity_spawned (AVG)]])*(Table14[[#This Row],[activating_chance]]/100),0)</f>
        <v>140</v>
      </c>
      <c r="DY158" s="144" t="str">
        <f ca="1">INDIRECT(ADDRESS(11+(MATCH(RIGHT(Table14[[#This Row],[spawner_sku]],LEN(Table14[[#This Row],[spawner_sku]])-FIND("/",Table14[[#This Row],[spawner_sku]])),Table28[Entity Prefab],0)),25,1,1,"Entities"))</f>
        <v>no</v>
      </c>
      <c r="DZ158" s="71">
        <v>2</v>
      </c>
      <c r="EA158" s="71">
        <v>2</v>
      </c>
      <c r="EB158" s="71" t="b">
        <v>0</v>
      </c>
      <c r="EC158" s="71"/>
      <c r="ED158" s="147" t="s">
        <v>3817</v>
      </c>
      <c r="EE158" s="71">
        <v>1</v>
      </c>
      <c r="EF158" s="71">
        <v>180</v>
      </c>
      <c r="EG158" s="71">
        <v>80</v>
      </c>
      <c r="EH158" s="71">
        <f ca="1">INDIRECT(ADDRESS(11+(MATCH(RIGHT(Table36[[#This Row],[spawner_sku]],LEN(Table36[[#This Row],[spawner_sku]])-FIND("/",Table36[[#This Row],[spawner_sku]])),Table1[Entity Prefab],0)),10,1,1,"Entities"))</f>
        <v>83</v>
      </c>
      <c r="EI158" s="71">
        <f ca="1">ROUND((Table36[[#This Row],[XP]]*Table36[[#This Row],[entity_spawned (AVG)]])*(Table36[[#This Row],[activating_chance]]/100),0)</f>
        <v>66</v>
      </c>
      <c r="EJ158" s="71" t="str">
        <f ca="1">INDIRECT(ADDRESS(11+(MATCH(RIGHT(Table36[[#This Row],[spawner_sku]],LEN(Table36[[#This Row],[spawner_sku]])-FIND("/",Table36[[#This Row],[spawner_sku]])),Table28[Entity Prefab],0)),25,1,1,"Entities"))</f>
        <v>yes</v>
      </c>
      <c r="EK158" s="71">
        <v>1</v>
      </c>
      <c r="EL158" s="71">
        <v>1</v>
      </c>
      <c r="EM158" s="71" t="b">
        <v>0</v>
      </c>
      <c r="EO158" t="s">
        <v>221</v>
      </c>
      <c r="EP158">
        <v>1</v>
      </c>
      <c r="EQ158">
        <v>240</v>
      </c>
      <c r="ER158">
        <v>100</v>
      </c>
      <c r="ES158" s="74">
        <f ca="1">INDIRECT(ADDRESS(11+(MATCH(RIGHT(Table18[[#This Row],[spawner_sku]],LEN(Table18[[#This Row],[spawner_sku]])-FIND("/",Table18[[#This Row],[spawner_sku]])),Table1[Entity Prefab],0)),10,1,1,"Entities"))</f>
        <v>263</v>
      </c>
      <c r="ET158" s="74">
        <f ca="1">ROUND((Table18[[#This Row],[XP]]*Table18[[#This Row],[entity_spawned (AVG)]])*(Table18[[#This Row],[activating_chance]]/100),0)</f>
        <v>263</v>
      </c>
      <c r="EU158" s="74" t="str">
        <f ca="1">INDIRECT(ADDRESS(11+(MATCH(RIGHT(Table18[[#This Row],[spawner_sku]],LEN(Table18[[#This Row],[spawner_sku]])-FIND("/",Table18[[#This Row],[spawner_sku]])),Table28[Entity Prefab],0)),26,1,1,"Entities"))</f>
        <v>yes</v>
      </c>
      <c r="EV158">
        <v>1</v>
      </c>
      <c r="EW158">
        <v>1</v>
      </c>
      <c r="EX158" t="b">
        <v>0</v>
      </c>
      <c r="EZ158" t="s">
        <v>8112</v>
      </c>
      <c r="FA158">
        <v>1</v>
      </c>
      <c r="FB158">
        <v>300</v>
      </c>
      <c r="FC158">
        <v>100</v>
      </c>
      <c r="FD158" s="74">
        <f ca="1">INDIRECT(ADDRESS(11+(MATCH(RIGHT(Table1820[[#This Row],[spawner_sku]],LEN(Table1820[[#This Row],[spawner_sku]])-FIND("/",Table1820[[#This Row],[spawner_sku]])),Table1[Entity Prefab],0)),10,1,1,"Entities"))</f>
        <v>150</v>
      </c>
      <c r="FE158" s="74">
        <f ca="1">ROUND((Table1820[[#This Row],[XP]]*Table1820[[#This Row],[entity_spawned (AVG)]])*(Table1820[[#This Row],[activating_chance]]/100),0)</f>
        <v>150</v>
      </c>
      <c r="FF158" s="74" t="str">
        <f ca="1">INDIRECT(ADDRESS(11+(MATCH(RIGHT(Table1820[[#This Row],[spawner_sku]],LEN(Table1820[[#This Row],[spawner_sku]])-FIND("/",Table1820[[#This Row],[spawner_sku]])),Table28[Entity Prefab],0)),26,1,1,"Entities"))</f>
        <v>yes</v>
      </c>
      <c r="FG158">
        <v>1</v>
      </c>
      <c r="FH158">
        <v>1</v>
      </c>
      <c r="FI158" t="b">
        <v>0</v>
      </c>
      <c r="FK158" t="s">
        <v>2697</v>
      </c>
      <c r="FL158">
        <v>2.5</v>
      </c>
      <c r="FM158">
        <v>70</v>
      </c>
      <c r="FN158">
        <v>100</v>
      </c>
      <c r="FO158">
        <f ca="1">INDIRECT(ADDRESS(11+(MATCH(RIGHT(Table182023[[#This Row],[spawner_sku]],LEN(Table182023[[#This Row],[spawner_sku]])-FIND("/",Table182023[[#This Row],[spawner_sku]])),Table1[Entity Prefab],0)),10,1,1,"Entities"))</f>
        <v>25</v>
      </c>
      <c r="FP158">
        <f ca="1">ROUND((Table182023[[#This Row],[XP]]*Table182023[[#This Row],[entity_spawned (AVG)]])*(Table182023[[#This Row],[activating_chance]]/100),0)</f>
        <v>63</v>
      </c>
      <c r="FQ158" t="str">
        <f ca="1">INDIRECT(ADDRESS(11+(MATCH(RIGHT(Table182023[[#This Row],[spawner_sku]],LEN(Table182023[[#This Row],[spawner_sku]])-FIND("/",Table182023[[#This Row],[spawner_sku]])),Table28[Entity Prefab],0)),26,1,1,"Entities"))</f>
        <v>no</v>
      </c>
      <c r="FR158">
        <v>2</v>
      </c>
      <c r="FS158">
        <v>3</v>
      </c>
      <c r="FT158" t="b">
        <v>0</v>
      </c>
      <c r="FV158" t="s">
        <v>2697</v>
      </c>
      <c r="FW158">
        <v>2</v>
      </c>
      <c r="FX158">
        <v>80</v>
      </c>
      <c r="FY158">
        <v>100</v>
      </c>
      <c r="FZ158" s="74">
        <f ca="1">INDIRECT(ADDRESS(11+(MATCH(RIGHT(Table18202324[[#This Row],[spawner_sku]],LEN(Table18202324[[#This Row],[spawner_sku]])-FIND("/",Table18202324[[#This Row],[spawner_sku]])),Table1[Entity Prefab],0)),10,1,1,"Entities"))</f>
        <v>25</v>
      </c>
      <c r="GA158" s="74">
        <f ca="1">ROUND((Table18202324[[#This Row],[XP]]*Table18202324[[#This Row],[entity_spawned (AVG)]])*(Table18202324[[#This Row],[activating_chance]]/100),0)</f>
        <v>50</v>
      </c>
      <c r="GB158" s="74" t="str">
        <f ca="1">INDIRECT(ADDRESS(11+(MATCH(RIGHT(Table18202324[[#This Row],[spawner_sku]],LEN(Table18202324[[#This Row],[spawner_sku]])-FIND("/",Table18202324[[#This Row],[spawner_sku]])),Table28[Entity Prefab],0)),26,1,1,"Entities"))</f>
        <v>no</v>
      </c>
      <c r="GC158">
        <v>1</v>
      </c>
      <c r="GD158">
        <v>3</v>
      </c>
      <c r="GE158" t="b">
        <v>0</v>
      </c>
    </row>
    <row r="159" spans="2:198" x14ac:dyDescent="0.25">
      <c r="B159" s="72" t="s">
        <v>215</v>
      </c>
      <c r="C159">
        <v>5</v>
      </c>
      <c r="D159">
        <v>90</v>
      </c>
      <c r="E159">
        <v>85</v>
      </c>
      <c r="F159" s="74">
        <f ca="1">INDIRECT(ADDRESS(11+(MATCH(RIGHT(Table245[[#This Row],[spawner_sku]],LEN(Table245[[#This Row],[spawner_sku]])-FIND("/",Table245[[#This Row],[spawner_sku]])),Table1[Entity Prefab],0)),10,1,1,"Entities"))</f>
        <v>25</v>
      </c>
      <c r="G159" s="74">
        <f ca="1">ROUND((Table245[[#This Row],[XP]]*Table245[[#This Row],[entity_spawned (AVG)]])*(Table245[[#This Row],[activating_chance]]/100),0)</f>
        <v>106</v>
      </c>
      <c r="H159" s="71" t="str">
        <f ca="1">INDIRECT(ADDRESS(11+(MATCH(RIGHT(Table245[[#This Row],[spawner_sku]],LEN(Table245[[#This Row],[spawner_sku]])-FIND("/",Table245[[#This Row],[spawner_sku]])),Table28[Entity Prefab],0)),24,1,1,"Entities"))</f>
        <v>no</v>
      </c>
      <c r="I159" s="71">
        <v>5</v>
      </c>
      <c r="J159" s="71">
        <v>5</v>
      </c>
      <c r="K159" s="71" t="b">
        <v>1</v>
      </c>
      <c r="M159" t="s">
        <v>214</v>
      </c>
      <c r="N159">
        <v>11.5</v>
      </c>
      <c r="O159">
        <v>280</v>
      </c>
      <c r="P159">
        <v>100</v>
      </c>
      <c r="Q159" s="74">
        <f ca="1">INDIRECT(ADDRESS(11+(MATCH(RIGHT(Table3[[#This Row],[spawner_sku]],LEN(Table3[[#This Row],[spawner_sku]])-FIND("/",Table3[[#This Row],[spawner_sku]])),Table1[Entity Prefab],0)),10,1,1,"Entities"))</f>
        <v>25</v>
      </c>
      <c r="R159" s="74">
        <f ca="1">ROUND((Table3[[#This Row],[XP]]*Table3[[#This Row],[entity_spawned (AVG)]])*(Table3[[#This Row],[activating_chance]]/100),0)</f>
        <v>288</v>
      </c>
      <c r="S159" t="str">
        <f ca="1">INDIRECT(ADDRESS(11+(MATCH(RIGHT(Table3[[#This Row],[spawner_sku]],LEN(Table3[[#This Row],[spawner_sku]])-FIND("/",Table3[[#This Row],[spawner_sku]])),Table28[Entity Prefab],0)),24,1,1,"Entities"))</f>
        <v>no</v>
      </c>
      <c r="T159">
        <v>8</v>
      </c>
      <c r="U159">
        <v>15</v>
      </c>
      <c r="V159" t="b">
        <v>1</v>
      </c>
      <c r="W159" s="71"/>
      <c r="AI159" t="s">
        <v>383</v>
      </c>
      <c r="AJ159">
        <v>1</v>
      </c>
      <c r="AK159">
        <v>340</v>
      </c>
      <c r="AL159">
        <v>100</v>
      </c>
      <c r="AM159" s="74">
        <f ca="1">INDIRECT(ADDRESS(11+(MATCH(RIGHT(Table2[[#This Row],[spawner_sku]],LEN(Table2[[#This Row],[spawner_sku]])-FIND("/",Table2[[#This Row],[spawner_sku]])),Table1[Entity Prefab],0)),10,1,1,"Entities"))</f>
        <v>263</v>
      </c>
      <c r="AN159" s="74">
        <f ca="1">ROUND((Table2[[#This Row],[XP]]*Table2[[#This Row],[entity_spawned (AVG)]])*(Table2[[#This Row],[activating_chance]]/100),0)</f>
        <v>263</v>
      </c>
      <c r="AO159" s="71" t="str">
        <f ca="1">INDIRECT(ADDRESS(11+(MATCH(RIGHT(Table2[[#This Row],[spawner_sku]],LEN(Table2[[#This Row],[spawner_sku]])-FIND("/",Table2[[#This Row],[spawner_sku]])),Table28[Entity Prefab],0)),24,1,1,"Entities"))</f>
        <v>yes</v>
      </c>
      <c r="AP159" s="71">
        <v>1</v>
      </c>
      <c r="AQ159" s="71">
        <v>1</v>
      </c>
      <c r="AR159" s="71" t="b">
        <v>0</v>
      </c>
      <c r="AT159" t="s">
        <v>243</v>
      </c>
      <c r="AU159">
        <v>2</v>
      </c>
      <c r="AV159">
        <v>150</v>
      </c>
      <c r="AW159">
        <v>100</v>
      </c>
      <c r="AX159" s="74">
        <f ca="1">INDIRECT(ADDRESS(11+(MATCH(RIGHT(Table6[[#This Row],[spawner_sku]],LEN(Table6[[#This Row],[spawner_sku]])-FIND("/",Table6[[#This Row],[spawner_sku]])),Table1[Entity Prefab],0)),10,1,1,"Entities"))</f>
        <v>25</v>
      </c>
      <c r="AY159" s="74">
        <f ca="1">ROUND((Table6[[#This Row],[XP]]*Table6[[#This Row],[entity_spawned (AVG)]])*(Table6[[#This Row],[activating_chance]]/100),0)</f>
        <v>50</v>
      </c>
      <c r="AZ159" s="144" t="str">
        <f ca="1">INDIRECT(ADDRESS(11+(MATCH(RIGHT(Table6[[#This Row],[spawner_sku]],LEN(Table6[[#This Row],[spawner_sku]])-FIND("/",Table6[[#This Row],[spawner_sku]])),Table28[Entity Prefab],0)),24,1,1,"Entities"))</f>
        <v>no</v>
      </c>
      <c r="BA159">
        <v>2</v>
      </c>
      <c r="BB159">
        <v>2</v>
      </c>
      <c r="BC159" t="b">
        <v>0</v>
      </c>
      <c r="BE159" t="s">
        <v>423</v>
      </c>
      <c r="BF159">
        <v>1.5</v>
      </c>
      <c r="BG159">
        <v>180</v>
      </c>
      <c r="BH159">
        <v>100</v>
      </c>
      <c r="BI159" s="74">
        <f ca="1">INDIRECT(ADDRESS(11+(MATCH(RIGHT(Table610[[#This Row],[spawner_sku]],LEN(Table610[[#This Row],[spawner_sku]])-FIND("/",Table610[[#This Row],[spawner_sku]])),Table1[Entity Prefab],0)),10,1,1,"Entities"))</f>
        <v>0</v>
      </c>
      <c r="BJ159" s="74">
        <f ca="1">ROUND((Table610[[#This Row],[XP]]*Table610[[#This Row],[entity_spawned (AVG)]])*(Table610[[#This Row],[activating_chance]]/100),0)</f>
        <v>0</v>
      </c>
      <c r="BK159" s="71" t="str">
        <f ca="1">INDIRECT(ADDRESS(11+(MATCH(RIGHT(Table610[[#This Row],[spawner_sku]],LEN(Table610[[#This Row],[spawner_sku]])-FIND("/",Table610[[#This Row],[spawner_sku]])),Table28[Entity Prefab],0)),24,1,1,"Entities"))</f>
        <v>yes</v>
      </c>
      <c r="BL159">
        <v>1</v>
      </c>
      <c r="BM159">
        <v>2</v>
      </c>
      <c r="BN159" t="b">
        <v>0</v>
      </c>
      <c r="BP159" t="s">
        <v>383</v>
      </c>
      <c r="BQ159">
        <v>1</v>
      </c>
      <c r="BR159">
        <v>340</v>
      </c>
      <c r="BS159">
        <v>100</v>
      </c>
      <c r="BT159" s="74">
        <f ca="1">INDIRECT(ADDRESS(11+(MATCH(RIGHT(Table61011[[#This Row],[spawner_sku]],LEN(Table61011[[#This Row],[spawner_sku]])-FIND("/",Table61011[[#This Row],[spawner_sku]])),Table1[Entity Prefab],0)),10,1,1,"Entities"))</f>
        <v>263</v>
      </c>
      <c r="BU159" s="74">
        <f ca="1">ROUND((Table61011[[#This Row],[XP]]*Table61011[[#This Row],[entity_spawned (AVG)]])*(Table61011[[#This Row],[activating_chance]]/100),0)</f>
        <v>263</v>
      </c>
      <c r="BV159" s="71" t="str">
        <f ca="1">INDIRECT(ADDRESS(11+(MATCH(RIGHT(Table61011[[#This Row],[spawner_sku]],LEN(Table61011[[#This Row],[spawner_sku]])-FIND("/",Table61011[[#This Row],[spawner_sku]])),Table28[Entity Prefab],0)),24,1,1,"Entities"))</f>
        <v>yes</v>
      </c>
      <c r="BW159" s="71">
        <v>1</v>
      </c>
      <c r="BX159" s="71">
        <v>1</v>
      </c>
      <c r="BY159" s="71" t="b">
        <v>0</v>
      </c>
      <c r="BZ159" s="71"/>
      <c r="CA159" s="147" t="s">
        <v>8143</v>
      </c>
      <c r="CB159">
        <v>1</v>
      </c>
      <c r="CC159">
        <v>200</v>
      </c>
      <c r="CD159">
        <v>100</v>
      </c>
      <c r="CE159" s="74">
        <f ca="1">INDIRECT(ADDRESS(11+(MATCH(RIGHT(Table35[[#This Row],[spawner_sku]],LEN(Table35[[#This Row],[spawner_sku]])-FIND("/",Table35[[#This Row],[spawner_sku]])),Table1[Entity Prefab],0)),10,1,1,"Entities"))</f>
        <v>75</v>
      </c>
      <c r="CF159" s="74">
        <f ca="1">ROUND((Table35[[#This Row],[XP]]*Table35[[#This Row],[entity_spawned (AVG)]])*(Table35[[#This Row],[activating_chance]]/100),0)</f>
        <v>75</v>
      </c>
      <c r="CG159" s="144" t="str">
        <f ca="1">INDIRECT(ADDRESS(11+(MATCH(RIGHT(Table35[[#This Row],[spawner_sku]],LEN(Table35[[#This Row],[spawner_sku]])-FIND("/",Table35[[#This Row],[spawner_sku]])),Table28[Entity Prefab],0)),24,1,1,"Entities"))</f>
        <v>no</v>
      </c>
      <c r="CH159">
        <v>1</v>
      </c>
      <c r="CI159">
        <v>1</v>
      </c>
      <c r="CJ159" s="71" t="b">
        <v>0</v>
      </c>
      <c r="CL159" t="s">
        <v>376</v>
      </c>
      <c r="CM159">
        <v>3</v>
      </c>
      <c r="CN159">
        <v>200</v>
      </c>
      <c r="CO159">
        <v>80</v>
      </c>
      <c r="CP159" s="74">
        <f ca="1">INDIRECT(ADDRESS(11+(MATCH(RIGHT(Table11[[#This Row],[spawner_sku]],LEN(Table11[[#This Row],[spawner_sku]])-FIND("/",Table11[[#This Row],[spawner_sku]])),Table1[Entity Prefab],0)),10,1,1,"Entities"))</f>
        <v>25</v>
      </c>
      <c r="CQ159">
        <f ca="1">ROUND((Table11[[#This Row],[XP]]*Table11[[#This Row],[entity_spawned (AVG)]])*(Table11[[#This Row],[activating_chance]]/100),0)</f>
        <v>60</v>
      </c>
      <c r="CR159" s="144" t="str">
        <f ca="1">INDIRECT(ADDRESS(11+(MATCH(RIGHT(Table11[[#This Row],[spawner_sku]],LEN(Table11[[#This Row],[spawner_sku]])-FIND("/",Table11[[#This Row],[spawner_sku]])),Table28[Entity Prefab],0)),25,1,1,"Entities"))</f>
        <v>no</v>
      </c>
      <c r="CS159" s="71">
        <v>2</v>
      </c>
      <c r="CT159" s="71">
        <v>4</v>
      </c>
      <c r="CU159" s="71" t="b">
        <v>0</v>
      </c>
      <c r="CW159" t="s">
        <v>242</v>
      </c>
      <c r="CX159">
        <v>1</v>
      </c>
      <c r="CY159">
        <v>150</v>
      </c>
      <c r="CZ159">
        <v>50</v>
      </c>
      <c r="DA159" s="74">
        <f ca="1">INDIRECT(ADDRESS(11+(MATCH(RIGHT(Table12[[#This Row],[spawner_sku]],LEN(Table12[[#This Row],[spawner_sku]])-FIND("/",Table12[[#This Row],[spawner_sku]])),Table1[Entity Prefab],0)),10,1,1,"Entities"))</f>
        <v>25</v>
      </c>
      <c r="DB159" s="74">
        <f ca="1">ROUND((Table12[[#This Row],[XP]]*Table12[[#This Row],[entity_spawned (AVG)]])*(Table12[[#This Row],[activating_chance]]/100),0)</f>
        <v>13</v>
      </c>
      <c r="DC159" s="144" t="str">
        <f ca="1">INDIRECT(ADDRESS(11+(MATCH(RIGHT(Table12[[#This Row],[spawner_sku]],LEN(Table12[[#This Row],[spawner_sku]])-FIND("/",Table12[[#This Row],[spawner_sku]])),Table28[Entity Prefab],0)),25,1,1,"Entities"))</f>
        <v>no</v>
      </c>
      <c r="DD159" s="71">
        <v>1</v>
      </c>
      <c r="DE159" s="71">
        <v>1</v>
      </c>
      <c r="DF159" s="71" t="b">
        <v>0</v>
      </c>
      <c r="DH159" t="s">
        <v>377</v>
      </c>
      <c r="DI159">
        <v>5</v>
      </c>
      <c r="DJ159">
        <v>160</v>
      </c>
      <c r="DK159">
        <v>100</v>
      </c>
      <c r="DL159" s="74">
        <f ca="1">INDIRECT(ADDRESS(11+(MATCH(RIGHT(Table13[[#This Row],[spawner_sku]],LEN(Table13[[#This Row],[spawner_sku]])-FIND("/",Table13[[#This Row],[spawner_sku]])),Table1[Entity Prefab],0)),10,1,1,"Entities"))</f>
        <v>25</v>
      </c>
      <c r="DM159" s="74">
        <f ca="1">ROUND((Table13[[#This Row],[XP]]*Table13[[#This Row],[entity_spawned (AVG)]])*(Table13[[#This Row],[activating_chance]]/100),0)</f>
        <v>125</v>
      </c>
      <c r="DN159" s="144" t="str">
        <f ca="1">INDIRECT(ADDRESS(11+(MATCH(RIGHT(Table13[[#This Row],[spawner_sku]],LEN(Table13[[#This Row],[spawner_sku]])-FIND("/",Table13[[#This Row],[spawner_sku]])),Table28[Entity Prefab],0)),25,1,1,"Entities"))</f>
        <v>no</v>
      </c>
      <c r="DO159" s="71">
        <v>5</v>
      </c>
      <c r="DP159" s="71">
        <v>5</v>
      </c>
      <c r="DQ159" s="71" t="b">
        <v>1</v>
      </c>
      <c r="DS159" t="s">
        <v>223</v>
      </c>
      <c r="DT159">
        <v>2</v>
      </c>
      <c r="DU159">
        <v>100</v>
      </c>
      <c r="DV159">
        <v>100</v>
      </c>
      <c r="DW159" s="74">
        <f ca="1">INDIRECT(ADDRESS(11+(MATCH(RIGHT(Table14[[#This Row],[spawner_sku]],LEN(Table14[[#This Row],[spawner_sku]])-FIND("/",Table14[[#This Row],[spawner_sku]])),Table1[Entity Prefab],0)),10,1,1,"Entities"))</f>
        <v>70</v>
      </c>
      <c r="DX159" s="74">
        <f ca="1">ROUND((Table14[[#This Row],[XP]]*Table14[[#This Row],[entity_spawned (AVG)]])*(Table14[[#This Row],[activating_chance]]/100),0)</f>
        <v>140</v>
      </c>
      <c r="DY159" s="144" t="str">
        <f ca="1">INDIRECT(ADDRESS(11+(MATCH(RIGHT(Table14[[#This Row],[spawner_sku]],LEN(Table14[[#This Row],[spawner_sku]])-FIND("/",Table14[[#This Row],[spawner_sku]])),Table28[Entity Prefab],0)),25,1,1,"Entities"))</f>
        <v>no</v>
      </c>
      <c r="DZ159" s="71">
        <v>2</v>
      </c>
      <c r="EA159" s="71">
        <v>2</v>
      </c>
      <c r="EB159" s="71" t="b">
        <v>0</v>
      </c>
      <c r="EC159" s="71"/>
      <c r="ED159" s="147" t="s">
        <v>3817</v>
      </c>
      <c r="EE159" s="71">
        <v>1</v>
      </c>
      <c r="EF159" s="71">
        <v>180</v>
      </c>
      <c r="EG159" s="71">
        <v>80</v>
      </c>
      <c r="EH159" s="71">
        <f ca="1">INDIRECT(ADDRESS(11+(MATCH(RIGHT(Table36[[#This Row],[spawner_sku]],LEN(Table36[[#This Row],[spawner_sku]])-FIND("/",Table36[[#This Row],[spawner_sku]])),Table1[Entity Prefab],0)),10,1,1,"Entities"))</f>
        <v>83</v>
      </c>
      <c r="EI159" s="71">
        <f ca="1">ROUND((Table36[[#This Row],[XP]]*Table36[[#This Row],[entity_spawned (AVG)]])*(Table36[[#This Row],[activating_chance]]/100),0)</f>
        <v>66</v>
      </c>
      <c r="EJ159" s="71" t="str">
        <f ca="1">INDIRECT(ADDRESS(11+(MATCH(RIGHT(Table36[[#This Row],[spawner_sku]],LEN(Table36[[#This Row],[spawner_sku]])-FIND("/",Table36[[#This Row],[spawner_sku]])),Table28[Entity Prefab],0)),25,1,1,"Entities"))</f>
        <v>yes</v>
      </c>
      <c r="EK159" s="71">
        <v>1</v>
      </c>
      <c r="EL159" s="71">
        <v>1</v>
      </c>
      <c r="EM159" s="71" t="b">
        <v>0</v>
      </c>
      <c r="EO159" t="s">
        <v>221</v>
      </c>
      <c r="EP159">
        <v>1</v>
      </c>
      <c r="EQ159">
        <v>240</v>
      </c>
      <c r="ER159">
        <v>100</v>
      </c>
      <c r="ES159" s="74">
        <f ca="1">INDIRECT(ADDRESS(11+(MATCH(RIGHT(Table18[[#This Row],[spawner_sku]],LEN(Table18[[#This Row],[spawner_sku]])-FIND("/",Table18[[#This Row],[spawner_sku]])),Table1[Entity Prefab],0)),10,1,1,"Entities"))</f>
        <v>263</v>
      </c>
      <c r="ET159" s="74">
        <f ca="1">ROUND((Table18[[#This Row],[XP]]*Table18[[#This Row],[entity_spawned (AVG)]])*(Table18[[#This Row],[activating_chance]]/100),0)</f>
        <v>263</v>
      </c>
      <c r="EU159" s="74" t="str">
        <f ca="1">INDIRECT(ADDRESS(11+(MATCH(RIGHT(Table18[[#This Row],[spawner_sku]],LEN(Table18[[#This Row],[spawner_sku]])-FIND("/",Table18[[#This Row],[spawner_sku]])),Table28[Entity Prefab],0)),26,1,1,"Entities"))</f>
        <v>yes</v>
      </c>
      <c r="EV159">
        <v>1</v>
      </c>
      <c r="EW159">
        <v>1</v>
      </c>
      <c r="EX159" t="b">
        <v>0</v>
      </c>
      <c r="EZ159" t="s">
        <v>8112</v>
      </c>
      <c r="FA159">
        <v>1</v>
      </c>
      <c r="FB159">
        <v>300</v>
      </c>
      <c r="FC159">
        <v>100</v>
      </c>
      <c r="FD159" s="74">
        <f ca="1">INDIRECT(ADDRESS(11+(MATCH(RIGHT(Table1820[[#This Row],[spawner_sku]],LEN(Table1820[[#This Row],[spawner_sku]])-FIND("/",Table1820[[#This Row],[spawner_sku]])),Table1[Entity Prefab],0)),10,1,1,"Entities"))</f>
        <v>150</v>
      </c>
      <c r="FE159" s="74">
        <f ca="1">ROUND((Table1820[[#This Row],[XP]]*Table1820[[#This Row],[entity_spawned (AVG)]])*(Table1820[[#This Row],[activating_chance]]/100),0)</f>
        <v>150</v>
      </c>
      <c r="FF159" s="74" t="str">
        <f ca="1">INDIRECT(ADDRESS(11+(MATCH(RIGHT(Table1820[[#This Row],[spawner_sku]],LEN(Table1820[[#This Row],[spawner_sku]])-FIND("/",Table1820[[#This Row],[spawner_sku]])),Table28[Entity Prefab],0)),26,1,1,"Entities"))</f>
        <v>yes</v>
      </c>
      <c r="FG159">
        <v>1</v>
      </c>
      <c r="FH159">
        <v>1</v>
      </c>
      <c r="FI159" t="b">
        <v>0</v>
      </c>
      <c r="FK159" t="s">
        <v>2697</v>
      </c>
      <c r="FL159">
        <v>1.5</v>
      </c>
      <c r="FM159">
        <v>70</v>
      </c>
      <c r="FN159">
        <v>30</v>
      </c>
      <c r="FO159">
        <f ca="1">INDIRECT(ADDRESS(11+(MATCH(RIGHT(Table182023[[#This Row],[spawner_sku]],LEN(Table182023[[#This Row],[spawner_sku]])-FIND("/",Table182023[[#This Row],[spawner_sku]])),Table1[Entity Prefab],0)),10,1,1,"Entities"))</f>
        <v>25</v>
      </c>
      <c r="FP159">
        <f ca="1">ROUND((Table182023[[#This Row],[XP]]*Table182023[[#This Row],[entity_spawned (AVG)]])*(Table182023[[#This Row],[activating_chance]]/100),0)</f>
        <v>11</v>
      </c>
      <c r="FQ159" t="str">
        <f ca="1">INDIRECT(ADDRESS(11+(MATCH(RIGHT(Table182023[[#This Row],[spawner_sku]],LEN(Table182023[[#This Row],[spawner_sku]])-FIND("/",Table182023[[#This Row],[spawner_sku]])),Table28[Entity Prefab],0)),26,1,1,"Entities"))</f>
        <v>no</v>
      </c>
      <c r="FR159">
        <v>1</v>
      </c>
      <c r="FS159">
        <v>2</v>
      </c>
      <c r="FT159" t="b">
        <v>0</v>
      </c>
      <c r="FV159" t="s">
        <v>2697</v>
      </c>
      <c r="FW159">
        <v>1.5</v>
      </c>
      <c r="FX159">
        <v>70</v>
      </c>
      <c r="FY159">
        <v>100</v>
      </c>
      <c r="FZ159" s="74">
        <f ca="1">INDIRECT(ADDRESS(11+(MATCH(RIGHT(Table18202324[[#This Row],[spawner_sku]],LEN(Table18202324[[#This Row],[spawner_sku]])-FIND("/",Table18202324[[#This Row],[spawner_sku]])),Table1[Entity Prefab],0)),10,1,1,"Entities"))</f>
        <v>25</v>
      </c>
      <c r="GA159" s="74">
        <f ca="1">ROUND((Table18202324[[#This Row],[XP]]*Table18202324[[#This Row],[entity_spawned (AVG)]])*(Table18202324[[#This Row],[activating_chance]]/100),0)</f>
        <v>38</v>
      </c>
      <c r="GB159" s="74" t="str">
        <f ca="1">INDIRECT(ADDRESS(11+(MATCH(RIGHT(Table18202324[[#This Row],[spawner_sku]],LEN(Table18202324[[#This Row],[spawner_sku]])-FIND("/",Table18202324[[#This Row],[spawner_sku]])),Table28[Entity Prefab],0)),26,1,1,"Entities"))</f>
        <v>no</v>
      </c>
      <c r="GC159">
        <v>1</v>
      </c>
      <c r="GD159">
        <v>2</v>
      </c>
      <c r="GE159" t="b">
        <v>0</v>
      </c>
    </row>
    <row r="160" spans="2:198" x14ac:dyDescent="0.25">
      <c r="B160" s="72" t="s">
        <v>215</v>
      </c>
      <c r="C160">
        <v>3.5</v>
      </c>
      <c r="D160">
        <v>160</v>
      </c>
      <c r="E160">
        <v>100</v>
      </c>
      <c r="F160" s="74">
        <f ca="1">INDIRECT(ADDRESS(11+(MATCH(RIGHT(Table245[[#This Row],[spawner_sku]],LEN(Table245[[#This Row],[spawner_sku]])-FIND("/",Table245[[#This Row],[spawner_sku]])),Table1[Entity Prefab],0)),10,1,1,"Entities"))</f>
        <v>25</v>
      </c>
      <c r="G160" s="74">
        <f ca="1">ROUND((Table245[[#This Row],[XP]]*Table245[[#This Row],[entity_spawned (AVG)]])*(Table245[[#This Row],[activating_chance]]/100),0)</f>
        <v>88</v>
      </c>
      <c r="H160" s="71" t="str">
        <f ca="1">INDIRECT(ADDRESS(11+(MATCH(RIGHT(Table245[[#This Row],[spawner_sku]],LEN(Table245[[#This Row],[spawner_sku]])-FIND("/",Table245[[#This Row],[spawner_sku]])),Table28[Entity Prefab],0)),24,1,1,"Entities"))</f>
        <v>no</v>
      </c>
      <c r="I160" s="71">
        <v>3</v>
      </c>
      <c r="J160" s="71">
        <v>4</v>
      </c>
      <c r="K160" s="71" t="b">
        <v>0</v>
      </c>
      <c r="M160" t="s">
        <v>242</v>
      </c>
      <c r="N160">
        <v>1</v>
      </c>
      <c r="O160">
        <v>180</v>
      </c>
      <c r="P160">
        <v>100</v>
      </c>
      <c r="Q160" s="74">
        <f ca="1">INDIRECT(ADDRESS(11+(MATCH(RIGHT(Table3[[#This Row],[spawner_sku]],LEN(Table3[[#This Row],[spawner_sku]])-FIND("/",Table3[[#This Row],[spawner_sku]])),Table1[Entity Prefab],0)),10,1,1,"Entities"))</f>
        <v>25</v>
      </c>
      <c r="R160" s="74">
        <f ca="1">ROUND((Table3[[#This Row],[XP]]*Table3[[#This Row],[entity_spawned (AVG)]])*(Table3[[#This Row],[activating_chance]]/100),0)</f>
        <v>25</v>
      </c>
      <c r="S160" t="str">
        <f ca="1">INDIRECT(ADDRESS(11+(MATCH(RIGHT(Table3[[#This Row],[spawner_sku]],LEN(Table3[[#This Row],[spawner_sku]])-FIND("/",Table3[[#This Row],[spawner_sku]])),Table28[Entity Prefab],0)),24,1,1,"Entities"))</f>
        <v>no</v>
      </c>
      <c r="T160">
        <v>1</v>
      </c>
      <c r="U160">
        <v>1</v>
      </c>
      <c r="V160" t="b">
        <v>0</v>
      </c>
      <c r="W160" s="71"/>
      <c r="AI160" t="s">
        <v>383</v>
      </c>
      <c r="AJ160">
        <v>1</v>
      </c>
      <c r="AK160">
        <v>340</v>
      </c>
      <c r="AL160">
        <v>100</v>
      </c>
      <c r="AM160" s="74">
        <f ca="1">INDIRECT(ADDRESS(11+(MATCH(RIGHT(Table2[[#This Row],[spawner_sku]],LEN(Table2[[#This Row],[spawner_sku]])-FIND("/",Table2[[#This Row],[spawner_sku]])),Table1[Entity Prefab],0)),10,1,1,"Entities"))</f>
        <v>263</v>
      </c>
      <c r="AN160" s="74">
        <f ca="1">ROUND((Table2[[#This Row],[XP]]*Table2[[#This Row],[entity_spawned (AVG)]])*(Table2[[#This Row],[activating_chance]]/100),0)</f>
        <v>263</v>
      </c>
      <c r="AO160" s="71" t="str">
        <f ca="1">INDIRECT(ADDRESS(11+(MATCH(RIGHT(Table2[[#This Row],[spawner_sku]],LEN(Table2[[#This Row],[spawner_sku]])-FIND("/",Table2[[#This Row],[spawner_sku]])),Table28[Entity Prefab],0)),24,1,1,"Entities"))</f>
        <v>yes</v>
      </c>
      <c r="AP160" s="71">
        <v>1</v>
      </c>
      <c r="AQ160" s="71">
        <v>1</v>
      </c>
      <c r="AR160" s="71" t="b">
        <v>0</v>
      </c>
      <c r="AT160" t="s">
        <v>243</v>
      </c>
      <c r="AU160">
        <v>1</v>
      </c>
      <c r="AV160">
        <v>150</v>
      </c>
      <c r="AW160">
        <v>100</v>
      </c>
      <c r="AX160" s="74">
        <f ca="1">INDIRECT(ADDRESS(11+(MATCH(RIGHT(Table6[[#This Row],[spawner_sku]],LEN(Table6[[#This Row],[spawner_sku]])-FIND("/",Table6[[#This Row],[spawner_sku]])),Table1[Entity Prefab],0)),10,1,1,"Entities"))</f>
        <v>25</v>
      </c>
      <c r="AY160" s="74">
        <f ca="1">ROUND((Table6[[#This Row],[XP]]*Table6[[#This Row],[entity_spawned (AVG)]])*(Table6[[#This Row],[activating_chance]]/100),0)</f>
        <v>25</v>
      </c>
      <c r="AZ160" s="144" t="str">
        <f ca="1">INDIRECT(ADDRESS(11+(MATCH(RIGHT(Table6[[#This Row],[spawner_sku]],LEN(Table6[[#This Row],[spawner_sku]])-FIND("/",Table6[[#This Row],[spawner_sku]])),Table28[Entity Prefab],0)),24,1,1,"Entities"))</f>
        <v>no</v>
      </c>
      <c r="BA160">
        <v>1</v>
      </c>
      <c r="BB160">
        <v>1</v>
      </c>
      <c r="BC160" t="b">
        <v>0</v>
      </c>
      <c r="BE160" t="s">
        <v>423</v>
      </c>
      <c r="BF160">
        <v>2</v>
      </c>
      <c r="BG160">
        <v>190</v>
      </c>
      <c r="BH160">
        <v>100</v>
      </c>
      <c r="BI160" s="74">
        <f ca="1">INDIRECT(ADDRESS(11+(MATCH(RIGHT(Table610[[#This Row],[spawner_sku]],LEN(Table610[[#This Row],[spawner_sku]])-FIND("/",Table610[[#This Row],[spawner_sku]])),Table1[Entity Prefab],0)),10,1,1,"Entities"))</f>
        <v>0</v>
      </c>
      <c r="BJ160" s="74">
        <f ca="1">ROUND((Table610[[#This Row],[XP]]*Table610[[#This Row],[entity_spawned (AVG)]])*(Table610[[#This Row],[activating_chance]]/100),0)</f>
        <v>0</v>
      </c>
      <c r="BK160" s="71" t="str">
        <f ca="1">INDIRECT(ADDRESS(11+(MATCH(RIGHT(Table610[[#This Row],[spawner_sku]],LEN(Table610[[#This Row],[spawner_sku]])-FIND("/",Table610[[#This Row],[spawner_sku]])),Table28[Entity Prefab],0)),24,1,1,"Entities"))</f>
        <v>yes</v>
      </c>
      <c r="BL160">
        <v>2</v>
      </c>
      <c r="BM160">
        <v>2</v>
      </c>
      <c r="BN160" t="b">
        <v>0</v>
      </c>
      <c r="BP160" t="s">
        <v>383</v>
      </c>
      <c r="BQ160">
        <v>1</v>
      </c>
      <c r="BR160">
        <v>340</v>
      </c>
      <c r="BS160">
        <v>100</v>
      </c>
      <c r="BT160" s="74">
        <f ca="1">INDIRECT(ADDRESS(11+(MATCH(RIGHT(Table61011[[#This Row],[spawner_sku]],LEN(Table61011[[#This Row],[spawner_sku]])-FIND("/",Table61011[[#This Row],[spawner_sku]])),Table1[Entity Prefab],0)),10,1,1,"Entities"))</f>
        <v>263</v>
      </c>
      <c r="BU160" s="74">
        <f ca="1">ROUND((Table61011[[#This Row],[XP]]*Table61011[[#This Row],[entity_spawned (AVG)]])*(Table61011[[#This Row],[activating_chance]]/100),0)</f>
        <v>263</v>
      </c>
      <c r="BV160" s="71" t="str">
        <f ca="1">INDIRECT(ADDRESS(11+(MATCH(RIGHT(Table61011[[#This Row],[spawner_sku]],LEN(Table61011[[#This Row],[spawner_sku]])-FIND("/",Table61011[[#This Row],[spawner_sku]])),Table28[Entity Prefab],0)),24,1,1,"Entities"))</f>
        <v>yes</v>
      </c>
      <c r="BW160" s="71">
        <v>1</v>
      </c>
      <c r="BX160" s="71">
        <v>1</v>
      </c>
      <c r="BY160" s="71" t="b">
        <v>0</v>
      </c>
      <c r="BZ160" s="71"/>
      <c r="CA160" s="147" t="s">
        <v>8143</v>
      </c>
      <c r="CB160">
        <v>1</v>
      </c>
      <c r="CC160">
        <v>200</v>
      </c>
      <c r="CD160">
        <v>100</v>
      </c>
      <c r="CE160" s="74">
        <f ca="1">INDIRECT(ADDRESS(11+(MATCH(RIGHT(Table35[[#This Row],[spawner_sku]],LEN(Table35[[#This Row],[spawner_sku]])-FIND("/",Table35[[#This Row],[spawner_sku]])),Table1[Entity Prefab],0)),10,1,1,"Entities"))</f>
        <v>75</v>
      </c>
      <c r="CF160" s="74">
        <f ca="1">ROUND((Table35[[#This Row],[XP]]*Table35[[#This Row],[entity_spawned (AVG)]])*(Table35[[#This Row],[activating_chance]]/100),0)</f>
        <v>75</v>
      </c>
      <c r="CG160" s="144" t="str">
        <f ca="1">INDIRECT(ADDRESS(11+(MATCH(RIGHT(Table35[[#This Row],[spawner_sku]],LEN(Table35[[#This Row],[spawner_sku]])-FIND("/",Table35[[#This Row],[spawner_sku]])),Table28[Entity Prefab],0)),24,1,1,"Entities"))</f>
        <v>no</v>
      </c>
      <c r="CH160">
        <v>1</v>
      </c>
      <c r="CI160">
        <v>1</v>
      </c>
      <c r="CJ160" s="71" t="b">
        <v>0</v>
      </c>
      <c r="CL160" t="s">
        <v>218</v>
      </c>
      <c r="CM160">
        <v>1</v>
      </c>
      <c r="CN160">
        <v>5000</v>
      </c>
      <c r="CO160">
        <v>75</v>
      </c>
      <c r="CP160" s="74">
        <f ca="1">INDIRECT(ADDRESS(11+(MATCH(RIGHT(Table11[[#This Row],[spawner_sku]],LEN(Table11[[#This Row],[spawner_sku]])-FIND("/",Table11[[#This Row],[spawner_sku]])),Table1[Entity Prefab],0)),10,1,1,"Entities"))</f>
        <v>75</v>
      </c>
      <c r="CQ160">
        <f ca="1">ROUND((Table11[[#This Row],[XP]]*Table11[[#This Row],[entity_spawned (AVG)]])*(Table11[[#This Row],[activating_chance]]/100),0)</f>
        <v>56</v>
      </c>
      <c r="CR160" s="144" t="str">
        <f ca="1">INDIRECT(ADDRESS(11+(MATCH(RIGHT(Table11[[#This Row],[spawner_sku]],LEN(Table11[[#This Row],[spawner_sku]])-FIND("/",Table11[[#This Row],[spawner_sku]])),Table28[Entity Prefab],0)),25,1,1,"Entities"))</f>
        <v>no</v>
      </c>
      <c r="CS160" s="71">
        <v>1</v>
      </c>
      <c r="CT160" s="71">
        <v>1</v>
      </c>
      <c r="CU160" s="71" t="b">
        <v>0</v>
      </c>
      <c r="CW160" t="s">
        <v>242</v>
      </c>
      <c r="CX160">
        <v>3</v>
      </c>
      <c r="CY160">
        <v>150</v>
      </c>
      <c r="CZ160">
        <v>100</v>
      </c>
      <c r="DA160" s="74">
        <f ca="1">INDIRECT(ADDRESS(11+(MATCH(RIGHT(Table12[[#This Row],[spawner_sku]],LEN(Table12[[#This Row],[spawner_sku]])-FIND("/",Table12[[#This Row],[spawner_sku]])),Table1[Entity Prefab],0)),10,1,1,"Entities"))</f>
        <v>25</v>
      </c>
      <c r="DB160" s="74">
        <f ca="1">ROUND((Table12[[#This Row],[XP]]*Table12[[#This Row],[entity_spawned (AVG)]])*(Table12[[#This Row],[activating_chance]]/100),0)</f>
        <v>75</v>
      </c>
      <c r="DC160" s="144" t="str">
        <f ca="1">INDIRECT(ADDRESS(11+(MATCH(RIGHT(Table12[[#This Row],[spawner_sku]],LEN(Table12[[#This Row],[spawner_sku]])-FIND("/",Table12[[#This Row],[spawner_sku]])),Table28[Entity Prefab],0)),25,1,1,"Entities"))</f>
        <v>no</v>
      </c>
      <c r="DD160" s="71">
        <v>2</v>
      </c>
      <c r="DE160" s="71">
        <v>4</v>
      </c>
      <c r="DF160" s="71" t="b">
        <v>0</v>
      </c>
      <c r="DH160" t="s">
        <v>377</v>
      </c>
      <c r="DI160">
        <v>5</v>
      </c>
      <c r="DJ160">
        <v>120</v>
      </c>
      <c r="DK160">
        <v>100</v>
      </c>
      <c r="DL160" s="74">
        <f ca="1">INDIRECT(ADDRESS(11+(MATCH(RIGHT(Table13[[#This Row],[spawner_sku]],LEN(Table13[[#This Row],[spawner_sku]])-FIND("/",Table13[[#This Row],[spawner_sku]])),Table1[Entity Prefab],0)),10,1,1,"Entities"))</f>
        <v>25</v>
      </c>
      <c r="DM160" s="74">
        <f ca="1">ROUND((Table13[[#This Row],[XP]]*Table13[[#This Row],[entity_spawned (AVG)]])*(Table13[[#This Row],[activating_chance]]/100),0)</f>
        <v>125</v>
      </c>
      <c r="DN160" s="144" t="str">
        <f ca="1">INDIRECT(ADDRESS(11+(MATCH(RIGHT(Table13[[#This Row],[spawner_sku]],LEN(Table13[[#This Row],[spawner_sku]])-FIND("/",Table13[[#This Row],[spawner_sku]])),Table28[Entity Prefab],0)),25,1,1,"Entities"))</f>
        <v>no</v>
      </c>
      <c r="DO160" s="71">
        <v>5</v>
      </c>
      <c r="DP160" s="71">
        <v>5</v>
      </c>
      <c r="DQ160" s="71" t="b">
        <v>1</v>
      </c>
      <c r="DS160" t="s">
        <v>223</v>
      </c>
      <c r="DT160">
        <v>1.5</v>
      </c>
      <c r="DU160">
        <v>100</v>
      </c>
      <c r="DV160">
        <v>100</v>
      </c>
      <c r="DW160" s="74">
        <f ca="1">INDIRECT(ADDRESS(11+(MATCH(RIGHT(Table14[[#This Row],[spawner_sku]],LEN(Table14[[#This Row],[spawner_sku]])-FIND("/",Table14[[#This Row],[spawner_sku]])),Table1[Entity Prefab],0)),10,1,1,"Entities"))</f>
        <v>70</v>
      </c>
      <c r="DX160" s="74">
        <f ca="1">ROUND((Table14[[#This Row],[XP]]*Table14[[#This Row],[entity_spawned (AVG)]])*(Table14[[#This Row],[activating_chance]]/100),0)</f>
        <v>105</v>
      </c>
      <c r="DY160" s="144" t="str">
        <f ca="1">INDIRECT(ADDRESS(11+(MATCH(RIGHT(Table14[[#This Row],[spawner_sku]],LEN(Table14[[#This Row],[spawner_sku]])-FIND("/",Table14[[#This Row],[spawner_sku]])),Table28[Entity Prefab],0)),25,1,1,"Entities"))</f>
        <v>no</v>
      </c>
      <c r="DZ160" s="71">
        <v>1</v>
      </c>
      <c r="EA160" s="71">
        <v>2</v>
      </c>
      <c r="EB160" s="71" t="b">
        <v>0</v>
      </c>
      <c r="EC160" s="71"/>
      <c r="ED160" s="147" t="s">
        <v>3817</v>
      </c>
      <c r="EE160" s="71">
        <v>1</v>
      </c>
      <c r="EF160" s="71">
        <v>180</v>
      </c>
      <c r="EG160" s="71">
        <v>100</v>
      </c>
      <c r="EH160" s="71">
        <f ca="1">INDIRECT(ADDRESS(11+(MATCH(RIGHT(Table36[[#This Row],[spawner_sku]],LEN(Table36[[#This Row],[spawner_sku]])-FIND("/",Table36[[#This Row],[spawner_sku]])),Table1[Entity Prefab],0)),10,1,1,"Entities"))</f>
        <v>83</v>
      </c>
      <c r="EI160" s="71">
        <f ca="1">ROUND((Table36[[#This Row],[XP]]*Table36[[#This Row],[entity_spawned (AVG)]])*(Table36[[#This Row],[activating_chance]]/100),0)</f>
        <v>83</v>
      </c>
      <c r="EJ160" s="71" t="str">
        <f ca="1">INDIRECT(ADDRESS(11+(MATCH(RIGHT(Table36[[#This Row],[spawner_sku]],LEN(Table36[[#This Row],[spawner_sku]])-FIND("/",Table36[[#This Row],[spawner_sku]])),Table28[Entity Prefab],0)),25,1,1,"Entities"))</f>
        <v>yes</v>
      </c>
      <c r="EK160" s="71">
        <v>1</v>
      </c>
      <c r="EL160" s="71">
        <v>1</v>
      </c>
      <c r="EM160" s="71" t="b">
        <v>0</v>
      </c>
      <c r="EO160" t="s">
        <v>221</v>
      </c>
      <c r="EP160">
        <v>2</v>
      </c>
      <c r="EQ160">
        <v>340</v>
      </c>
      <c r="ER160">
        <v>100</v>
      </c>
      <c r="ES160" s="74">
        <f ca="1">INDIRECT(ADDRESS(11+(MATCH(RIGHT(Table18[[#This Row],[spawner_sku]],LEN(Table18[[#This Row],[spawner_sku]])-FIND("/",Table18[[#This Row],[spawner_sku]])),Table1[Entity Prefab],0)),10,1,1,"Entities"))</f>
        <v>263</v>
      </c>
      <c r="ET160" s="74">
        <f ca="1">ROUND((Table18[[#This Row],[XP]]*Table18[[#This Row],[entity_spawned (AVG)]])*(Table18[[#This Row],[activating_chance]]/100),0)</f>
        <v>526</v>
      </c>
      <c r="EU160" s="74" t="str">
        <f ca="1">INDIRECT(ADDRESS(11+(MATCH(RIGHT(Table18[[#This Row],[spawner_sku]],LEN(Table18[[#This Row],[spawner_sku]])-FIND("/",Table18[[#This Row],[spawner_sku]])),Table28[Entity Prefab],0)),26,1,1,"Entities"))</f>
        <v>yes</v>
      </c>
      <c r="EV160">
        <v>2</v>
      </c>
      <c r="EW160">
        <v>2</v>
      </c>
      <c r="EX160" t="b">
        <v>0</v>
      </c>
      <c r="EZ160" t="s">
        <v>583</v>
      </c>
      <c r="FA160">
        <v>1</v>
      </c>
      <c r="FB160">
        <v>120</v>
      </c>
      <c r="FC160">
        <v>100</v>
      </c>
      <c r="FD160" s="74">
        <f ca="1">INDIRECT(ADDRESS(11+(MATCH(RIGHT(Table1820[[#This Row],[spawner_sku]],LEN(Table1820[[#This Row],[spawner_sku]])-FIND("/",Table1820[[#This Row],[spawner_sku]])),Table1[Entity Prefab],0)),10,1,1,"Entities"))</f>
        <v>48</v>
      </c>
      <c r="FE160" s="74">
        <f ca="1">ROUND((Table1820[[#This Row],[XP]]*Table1820[[#This Row],[entity_spawned (AVG)]])*(Table1820[[#This Row],[activating_chance]]/100),0)</f>
        <v>48</v>
      </c>
      <c r="FF160" s="74" t="str">
        <f ca="1">INDIRECT(ADDRESS(11+(MATCH(RIGHT(Table1820[[#This Row],[spawner_sku]],LEN(Table1820[[#This Row],[spawner_sku]])-FIND("/",Table1820[[#This Row],[spawner_sku]])),Table28[Entity Prefab],0)),26,1,1,"Entities"))</f>
        <v>no</v>
      </c>
      <c r="FG160">
        <v>1</v>
      </c>
      <c r="FH160">
        <v>1</v>
      </c>
      <c r="FI160" t="b">
        <v>0</v>
      </c>
      <c r="FK160" t="s">
        <v>2697</v>
      </c>
      <c r="FL160">
        <v>1.5</v>
      </c>
      <c r="FM160">
        <v>70</v>
      </c>
      <c r="FN160">
        <v>100</v>
      </c>
      <c r="FO160">
        <f ca="1">INDIRECT(ADDRESS(11+(MATCH(RIGHT(Table182023[[#This Row],[spawner_sku]],LEN(Table182023[[#This Row],[spawner_sku]])-FIND("/",Table182023[[#This Row],[spawner_sku]])),Table1[Entity Prefab],0)),10,1,1,"Entities"))</f>
        <v>25</v>
      </c>
      <c r="FP160">
        <f ca="1">ROUND((Table182023[[#This Row],[XP]]*Table182023[[#This Row],[entity_spawned (AVG)]])*(Table182023[[#This Row],[activating_chance]]/100),0)</f>
        <v>38</v>
      </c>
      <c r="FQ160" t="str">
        <f ca="1">INDIRECT(ADDRESS(11+(MATCH(RIGHT(Table182023[[#This Row],[spawner_sku]],LEN(Table182023[[#This Row],[spawner_sku]])-FIND("/",Table182023[[#This Row],[spawner_sku]])),Table28[Entity Prefab],0)),26,1,1,"Entities"))</f>
        <v>no</v>
      </c>
      <c r="FR160">
        <v>1</v>
      </c>
      <c r="FS160">
        <v>2</v>
      </c>
      <c r="FT160" t="b">
        <v>0</v>
      </c>
      <c r="FV160" t="s">
        <v>2697</v>
      </c>
      <c r="FW160">
        <v>3</v>
      </c>
      <c r="FX160">
        <v>70</v>
      </c>
      <c r="FY160">
        <v>100</v>
      </c>
      <c r="FZ160" s="74">
        <f ca="1">INDIRECT(ADDRESS(11+(MATCH(RIGHT(Table18202324[[#This Row],[spawner_sku]],LEN(Table18202324[[#This Row],[spawner_sku]])-FIND("/",Table18202324[[#This Row],[spawner_sku]])),Table1[Entity Prefab],0)),10,1,1,"Entities"))</f>
        <v>25</v>
      </c>
      <c r="GA160" s="74">
        <f ca="1">ROUND((Table18202324[[#This Row],[XP]]*Table18202324[[#This Row],[entity_spawned (AVG)]])*(Table18202324[[#This Row],[activating_chance]]/100),0)</f>
        <v>75</v>
      </c>
      <c r="GB160" s="74" t="str">
        <f ca="1">INDIRECT(ADDRESS(11+(MATCH(RIGHT(Table18202324[[#This Row],[spawner_sku]],LEN(Table18202324[[#This Row],[spawner_sku]])-FIND("/",Table18202324[[#This Row],[spawner_sku]])),Table28[Entity Prefab],0)),26,1,1,"Entities"))</f>
        <v>no</v>
      </c>
      <c r="GC160">
        <v>2</v>
      </c>
      <c r="GD160">
        <v>4</v>
      </c>
      <c r="GE160" t="b">
        <v>0</v>
      </c>
    </row>
    <row r="161" spans="2:187" x14ac:dyDescent="0.25">
      <c r="B161" s="72" t="s">
        <v>215</v>
      </c>
      <c r="C161">
        <v>2</v>
      </c>
      <c r="D161">
        <v>100</v>
      </c>
      <c r="E161">
        <v>100</v>
      </c>
      <c r="F161" s="74">
        <f ca="1">INDIRECT(ADDRESS(11+(MATCH(RIGHT(Table245[[#This Row],[spawner_sku]],LEN(Table245[[#This Row],[spawner_sku]])-FIND("/",Table245[[#This Row],[spawner_sku]])),Table1[Entity Prefab],0)),10,1,1,"Entities"))</f>
        <v>25</v>
      </c>
      <c r="G161" s="74">
        <f ca="1">ROUND((Table245[[#This Row],[XP]]*Table245[[#This Row],[entity_spawned (AVG)]])*(Table245[[#This Row],[activating_chance]]/100),0)</f>
        <v>50</v>
      </c>
      <c r="H161" s="71" t="str">
        <f ca="1">INDIRECT(ADDRESS(11+(MATCH(RIGHT(Table245[[#This Row],[spawner_sku]],LEN(Table245[[#This Row],[spawner_sku]])-FIND("/",Table245[[#This Row],[spawner_sku]])),Table28[Entity Prefab],0)),24,1,1,"Entities"))</f>
        <v>no</v>
      </c>
      <c r="I161" s="71">
        <v>1</v>
      </c>
      <c r="J161" s="71">
        <v>3</v>
      </c>
      <c r="K161" s="71" t="b">
        <v>0</v>
      </c>
      <c r="M161" t="s">
        <v>365</v>
      </c>
      <c r="N161">
        <v>2.5</v>
      </c>
      <c r="O161">
        <v>275</v>
      </c>
      <c r="P161">
        <v>100</v>
      </c>
      <c r="Q161" s="74">
        <f ca="1">INDIRECT(ADDRESS(11+(MATCH(RIGHT(Table3[[#This Row],[spawner_sku]],LEN(Table3[[#This Row],[spawner_sku]])-FIND("/",Table3[[#This Row],[spawner_sku]])),Table1[Entity Prefab],0)),10,1,1,"Entities"))</f>
        <v>28</v>
      </c>
      <c r="R161" s="74">
        <f ca="1">ROUND((Table3[[#This Row],[XP]]*Table3[[#This Row],[entity_spawned (AVG)]])*(Table3[[#This Row],[activating_chance]]/100),0)</f>
        <v>70</v>
      </c>
      <c r="S161" t="str">
        <f ca="1">INDIRECT(ADDRESS(11+(MATCH(RIGHT(Table3[[#This Row],[spawner_sku]],LEN(Table3[[#This Row],[spawner_sku]])-FIND("/",Table3[[#This Row],[spawner_sku]])),Table28[Entity Prefab],0)),24,1,1,"Entities"))</f>
        <v>yes</v>
      </c>
      <c r="T161">
        <v>2</v>
      </c>
      <c r="U161">
        <v>3</v>
      </c>
      <c r="V161" t="b">
        <v>0</v>
      </c>
      <c r="W161" s="71"/>
      <c r="AI161" t="s">
        <v>222</v>
      </c>
      <c r="AJ161">
        <v>1</v>
      </c>
      <c r="AK161">
        <v>180</v>
      </c>
      <c r="AL161">
        <v>100</v>
      </c>
      <c r="AM161" s="74">
        <f ca="1">INDIRECT(ADDRESS(11+(MATCH(RIGHT(Table2[[#This Row],[spawner_sku]],LEN(Table2[[#This Row],[spawner_sku]])-FIND("/",Table2[[#This Row],[spawner_sku]])),Table1[Entity Prefab],0)),10,1,1,"Entities"))</f>
        <v>25</v>
      </c>
      <c r="AN161" s="74">
        <f ca="1">ROUND((Table2[[#This Row],[XP]]*Table2[[#This Row],[entity_spawned (AVG)]])*(Table2[[#This Row],[activating_chance]]/100),0)</f>
        <v>25</v>
      </c>
      <c r="AO161" s="71" t="str">
        <f ca="1">INDIRECT(ADDRESS(11+(MATCH(RIGHT(Table2[[#This Row],[spawner_sku]],LEN(Table2[[#This Row],[spawner_sku]])-FIND("/",Table2[[#This Row],[spawner_sku]])),Table28[Entity Prefab],0)),24,1,1,"Entities"))</f>
        <v>yes</v>
      </c>
      <c r="AP161" s="71">
        <v>1</v>
      </c>
      <c r="AQ161" s="71">
        <v>1</v>
      </c>
      <c r="AR161" s="71" t="b">
        <v>0</v>
      </c>
      <c r="AT161" t="s">
        <v>243</v>
      </c>
      <c r="AU161">
        <v>1</v>
      </c>
      <c r="AV161">
        <v>150</v>
      </c>
      <c r="AW161">
        <v>80</v>
      </c>
      <c r="AX161" s="74">
        <f ca="1">INDIRECT(ADDRESS(11+(MATCH(RIGHT(Table6[[#This Row],[spawner_sku]],LEN(Table6[[#This Row],[spawner_sku]])-FIND("/",Table6[[#This Row],[spawner_sku]])),Table1[Entity Prefab],0)),10,1,1,"Entities"))</f>
        <v>25</v>
      </c>
      <c r="AY161" s="74">
        <f ca="1">ROUND((Table6[[#This Row],[XP]]*Table6[[#This Row],[entity_spawned (AVG)]])*(Table6[[#This Row],[activating_chance]]/100),0)</f>
        <v>20</v>
      </c>
      <c r="AZ161" s="144" t="str">
        <f ca="1">INDIRECT(ADDRESS(11+(MATCH(RIGHT(Table6[[#This Row],[spawner_sku]],LEN(Table6[[#This Row],[spawner_sku]])-FIND("/",Table6[[#This Row],[spawner_sku]])),Table28[Entity Prefab],0)),24,1,1,"Entities"))</f>
        <v>no</v>
      </c>
      <c r="BA161">
        <v>1</v>
      </c>
      <c r="BB161">
        <v>1</v>
      </c>
      <c r="BC161" t="b">
        <v>0</v>
      </c>
      <c r="BE161" t="s">
        <v>233</v>
      </c>
      <c r="BF161">
        <v>1</v>
      </c>
      <c r="BG161">
        <v>500</v>
      </c>
      <c r="BH161">
        <v>100</v>
      </c>
      <c r="BI161" s="74">
        <f ca="1">INDIRECT(ADDRESS(11+(MATCH(RIGHT(Table610[[#This Row],[spawner_sku]],LEN(Table610[[#This Row],[spawner_sku]])-FIND("/",Table610[[#This Row],[spawner_sku]])),Table1[Entity Prefab],0)),10,1,1,"Entities"))</f>
        <v>25</v>
      </c>
      <c r="BJ161" s="74">
        <f ca="1">ROUND((Table610[[#This Row],[XP]]*Table610[[#This Row],[entity_spawned (AVG)]])*(Table610[[#This Row],[activating_chance]]/100),0)</f>
        <v>25</v>
      </c>
      <c r="BK161" s="71" t="str">
        <f ca="1">INDIRECT(ADDRESS(11+(MATCH(RIGHT(Table610[[#This Row],[spawner_sku]],LEN(Table610[[#This Row],[spawner_sku]])-FIND("/",Table610[[#This Row],[spawner_sku]])),Table28[Entity Prefab],0)),24,1,1,"Entities"))</f>
        <v>no</v>
      </c>
      <c r="BL161">
        <v>1</v>
      </c>
      <c r="BM161">
        <v>1</v>
      </c>
      <c r="BN161" t="b">
        <v>0</v>
      </c>
      <c r="BP161" t="s">
        <v>383</v>
      </c>
      <c r="BQ161">
        <v>1</v>
      </c>
      <c r="BR161">
        <v>340</v>
      </c>
      <c r="BS161">
        <v>100</v>
      </c>
      <c r="BT161" s="74">
        <f ca="1">INDIRECT(ADDRESS(11+(MATCH(RIGHT(Table61011[[#This Row],[spawner_sku]],LEN(Table61011[[#This Row],[spawner_sku]])-FIND("/",Table61011[[#This Row],[spawner_sku]])),Table1[Entity Prefab],0)),10,1,1,"Entities"))</f>
        <v>263</v>
      </c>
      <c r="BU161" s="74">
        <f ca="1">ROUND((Table61011[[#This Row],[XP]]*Table61011[[#This Row],[entity_spawned (AVG)]])*(Table61011[[#This Row],[activating_chance]]/100),0)</f>
        <v>263</v>
      </c>
      <c r="BV161" s="71" t="str">
        <f ca="1">INDIRECT(ADDRESS(11+(MATCH(RIGHT(Table61011[[#This Row],[spawner_sku]],LEN(Table61011[[#This Row],[spawner_sku]])-FIND("/",Table61011[[#This Row],[spawner_sku]])),Table28[Entity Prefab],0)),24,1,1,"Entities"))</f>
        <v>yes</v>
      </c>
      <c r="BW161" s="71">
        <v>1</v>
      </c>
      <c r="BX161" s="71">
        <v>1</v>
      </c>
      <c r="BY161" s="71" t="b">
        <v>0</v>
      </c>
      <c r="BZ161" s="71"/>
      <c r="CA161" s="147" t="s">
        <v>8143</v>
      </c>
      <c r="CB161">
        <v>1</v>
      </c>
      <c r="CC161">
        <v>200</v>
      </c>
      <c r="CD161">
        <v>80</v>
      </c>
      <c r="CE161" s="74">
        <f ca="1">INDIRECT(ADDRESS(11+(MATCH(RIGHT(Table35[[#This Row],[spawner_sku]],LEN(Table35[[#This Row],[spawner_sku]])-FIND("/",Table35[[#This Row],[spawner_sku]])),Table1[Entity Prefab],0)),10,1,1,"Entities"))</f>
        <v>75</v>
      </c>
      <c r="CF161" s="74">
        <f ca="1">ROUND((Table35[[#This Row],[XP]]*Table35[[#This Row],[entity_spawned (AVG)]])*(Table35[[#This Row],[activating_chance]]/100),0)</f>
        <v>60</v>
      </c>
      <c r="CG161" s="144" t="str">
        <f ca="1">INDIRECT(ADDRESS(11+(MATCH(RIGHT(Table35[[#This Row],[spawner_sku]],LEN(Table35[[#This Row],[spawner_sku]])-FIND("/",Table35[[#This Row],[spawner_sku]])),Table28[Entity Prefab],0)),24,1,1,"Entities"))</f>
        <v>no</v>
      </c>
      <c r="CH161">
        <v>1</v>
      </c>
      <c r="CI161">
        <v>1</v>
      </c>
      <c r="CJ161" s="71" t="b">
        <v>0</v>
      </c>
      <c r="CL161" t="s">
        <v>218</v>
      </c>
      <c r="CM161">
        <v>1</v>
      </c>
      <c r="CN161">
        <v>5000</v>
      </c>
      <c r="CO161">
        <v>75</v>
      </c>
      <c r="CP161" s="74">
        <f ca="1">INDIRECT(ADDRESS(11+(MATCH(RIGHT(Table11[[#This Row],[spawner_sku]],LEN(Table11[[#This Row],[spawner_sku]])-FIND("/",Table11[[#This Row],[spawner_sku]])),Table1[Entity Prefab],0)),10,1,1,"Entities"))</f>
        <v>75</v>
      </c>
      <c r="CQ161">
        <f ca="1">ROUND((Table11[[#This Row],[XP]]*Table11[[#This Row],[entity_spawned (AVG)]])*(Table11[[#This Row],[activating_chance]]/100),0)</f>
        <v>56</v>
      </c>
      <c r="CR161" s="144" t="str">
        <f ca="1">INDIRECT(ADDRESS(11+(MATCH(RIGHT(Table11[[#This Row],[spawner_sku]],LEN(Table11[[#This Row],[spawner_sku]])-FIND("/",Table11[[#This Row],[spawner_sku]])),Table28[Entity Prefab],0)),25,1,1,"Entities"))</f>
        <v>no</v>
      </c>
      <c r="CS161" s="71">
        <v>1</v>
      </c>
      <c r="CT161" s="71">
        <v>1</v>
      </c>
      <c r="CU161" s="71" t="b">
        <v>0</v>
      </c>
      <c r="CW161" t="s">
        <v>242</v>
      </c>
      <c r="CX161">
        <v>1</v>
      </c>
      <c r="CY161">
        <v>150</v>
      </c>
      <c r="CZ161">
        <v>100</v>
      </c>
      <c r="DA161" s="74">
        <f ca="1">INDIRECT(ADDRESS(11+(MATCH(RIGHT(Table12[[#This Row],[spawner_sku]],LEN(Table12[[#This Row],[spawner_sku]])-FIND("/",Table12[[#This Row],[spawner_sku]])),Table1[Entity Prefab],0)),10,1,1,"Entities"))</f>
        <v>25</v>
      </c>
      <c r="DB161" s="74">
        <f ca="1">ROUND((Table12[[#This Row],[XP]]*Table12[[#This Row],[entity_spawned (AVG)]])*(Table12[[#This Row],[activating_chance]]/100),0)</f>
        <v>25</v>
      </c>
      <c r="DC161" s="144" t="str">
        <f ca="1">INDIRECT(ADDRESS(11+(MATCH(RIGHT(Table12[[#This Row],[spawner_sku]],LEN(Table12[[#This Row],[spawner_sku]])-FIND("/",Table12[[#This Row],[spawner_sku]])),Table28[Entity Prefab],0)),25,1,1,"Entities"))</f>
        <v>no</v>
      </c>
      <c r="DD161" s="71">
        <v>1</v>
      </c>
      <c r="DE161" s="71">
        <v>1</v>
      </c>
      <c r="DF161" s="71" t="b">
        <v>0</v>
      </c>
      <c r="DH161" t="s">
        <v>377</v>
      </c>
      <c r="DI161">
        <v>2</v>
      </c>
      <c r="DJ161">
        <v>100</v>
      </c>
      <c r="DK161">
        <v>100</v>
      </c>
      <c r="DL161" s="74">
        <f ca="1">INDIRECT(ADDRESS(11+(MATCH(RIGHT(Table13[[#This Row],[spawner_sku]],LEN(Table13[[#This Row],[spawner_sku]])-FIND("/",Table13[[#This Row],[spawner_sku]])),Table1[Entity Prefab],0)),10,1,1,"Entities"))</f>
        <v>25</v>
      </c>
      <c r="DM161" s="74">
        <f ca="1">ROUND((Table13[[#This Row],[XP]]*Table13[[#This Row],[entity_spawned (AVG)]])*(Table13[[#This Row],[activating_chance]]/100),0)</f>
        <v>50</v>
      </c>
      <c r="DN161" s="144" t="str">
        <f ca="1">INDIRECT(ADDRESS(11+(MATCH(RIGHT(Table13[[#This Row],[spawner_sku]],LEN(Table13[[#This Row],[spawner_sku]])-FIND("/",Table13[[#This Row],[spawner_sku]])),Table28[Entity Prefab],0)),25,1,1,"Entities"))</f>
        <v>no</v>
      </c>
      <c r="DO161" s="71">
        <v>1</v>
      </c>
      <c r="DP161" s="71">
        <v>3</v>
      </c>
      <c r="DQ161" s="71" t="b">
        <v>0</v>
      </c>
      <c r="DS161" t="s">
        <v>223</v>
      </c>
      <c r="DT161">
        <v>1.5</v>
      </c>
      <c r="DU161">
        <v>120</v>
      </c>
      <c r="DV161">
        <v>100</v>
      </c>
      <c r="DW161" s="74">
        <f ca="1">INDIRECT(ADDRESS(11+(MATCH(RIGHT(Table14[[#This Row],[spawner_sku]],LEN(Table14[[#This Row],[spawner_sku]])-FIND("/",Table14[[#This Row],[spawner_sku]])),Table1[Entity Prefab],0)),10,1,1,"Entities"))</f>
        <v>70</v>
      </c>
      <c r="DX161" s="74">
        <f ca="1">ROUND((Table14[[#This Row],[XP]]*Table14[[#This Row],[entity_spawned (AVG)]])*(Table14[[#This Row],[activating_chance]]/100),0)</f>
        <v>105</v>
      </c>
      <c r="DY161" s="144" t="str">
        <f ca="1">INDIRECT(ADDRESS(11+(MATCH(RIGHT(Table14[[#This Row],[spawner_sku]],LEN(Table14[[#This Row],[spawner_sku]])-FIND("/",Table14[[#This Row],[spawner_sku]])),Table28[Entity Prefab],0)),25,1,1,"Entities"))</f>
        <v>no</v>
      </c>
      <c r="DZ161" s="71">
        <v>1</v>
      </c>
      <c r="EA161" s="71">
        <v>2</v>
      </c>
      <c r="EB161" s="71" t="b">
        <v>0</v>
      </c>
      <c r="EC161" s="71"/>
      <c r="ED161" s="71"/>
      <c r="EE161" s="71"/>
      <c r="EF161" s="71"/>
      <c r="EG161" s="71"/>
      <c r="EH161" s="71"/>
      <c r="EI161" s="71"/>
      <c r="EJ161" s="71"/>
      <c r="EK161" s="71"/>
      <c r="EL161" s="71"/>
      <c r="EM161" s="71"/>
      <c r="EO161" t="s">
        <v>221</v>
      </c>
      <c r="EP161">
        <v>2</v>
      </c>
      <c r="EQ161">
        <v>340</v>
      </c>
      <c r="ER161">
        <v>100</v>
      </c>
      <c r="ES161" s="74">
        <f ca="1">INDIRECT(ADDRESS(11+(MATCH(RIGHT(Table18[[#This Row],[spawner_sku]],LEN(Table18[[#This Row],[spawner_sku]])-FIND("/",Table18[[#This Row],[spawner_sku]])),Table1[Entity Prefab],0)),10,1,1,"Entities"))</f>
        <v>263</v>
      </c>
      <c r="ET161" s="74">
        <f ca="1">ROUND((Table18[[#This Row],[XP]]*Table18[[#This Row],[entity_spawned (AVG)]])*(Table18[[#This Row],[activating_chance]]/100),0)</f>
        <v>526</v>
      </c>
      <c r="EU161" s="74" t="str">
        <f ca="1">INDIRECT(ADDRESS(11+(MATCH(RIGHT(Table18[[#This Row],[spawner_sku]],LEN(Table18[[#This Row],[spawner_sku]])-FIND("/",Table18[[#This Row],[spawner_sku]])),Table28[Entity Prefab],0)),26,1,1,"Entities"))</f>
        <v>yes</v>
      </c>
      <c r="EV161">
        <v>2</v>
      </c>
      <c r="EW161">
        <v>2</v>
      </c>
      <c r="EX161" t="b">
        <v>0</v>
      </c>
      <c r="EZ161" t="s">
        <v>583</v>
      </c>
      <c r="FA161">
        <v>1.5</v>
      </c>
      <c r="FB161">
        <v>120</v>
      </c>
      <c r="FC161">
        <v>30</v>
      </c>
      <c r="FD161" s="74">
        <f ca="1">INDIRECT(ADDRESS(11+(MATCH(RIGHT(Table1820[[#This Row],[spawner_sku]],LEN(Table1820[[#This Row],[spawner_sku]])-FIND("/",Table1820[[#This Row],[spawner_sku]])),Table1[Entity Prefab],0)),10,1,1,"Entities"))</f>
        <v>48</v>
      </c>
      <c r="FE161" s="74">
        <f ca="1">ROUND((Table1820[[#This Row],[XP]]*Table1820[[#This Row],[entity_spawned (AVG)]])*(Table1820[[#This Row],[activating_chance]]/100),0)</f>
        <v>22</v>
      </c>
      <c r="FF161" s="74" t="str">
        <f ca="1">INDIRECT(ADDRESS(11+(MATCH(RIGHT(Table1820[[#This Row],[spawner_sku]],LEN(Table1820[[#This Row],[spawner_sku]])-FIND("/",Table1820[[#This Row],[spawner_sku]])),Table28[Entity Prefab],0)),26,1,1,"Entities"))</f>
        <v>no</v>
      </c>
      <c r="FG161">
        <v>1</v>
      </c>
      <c r="FH161">
        <v>2</v>
      </c>
      <c r="FI161" t="b">
        <v>0</v>
      </c>
      <c r="FK161" t="s">
        <v>2697</v>
      </c>
      <c r="FL161">
        <v>2.5</v>
      </c>
      <c r="FM161">
        <v>70</v>
      </c>
      <c r="FN161">
        <v>100</v>
      </c>
      <c r="FO161">
        <f ca="1">INDIRECT(ADDRESS(11+(MATCH(RIGHT(Table182023[[#This Row],[spawner_sku]],LEN(Table182023[[#This Row],[spawner_sku]])-FIND("/",Table182023[[#This Row],[spawner_sku]])),Table1[Entity Prefab],0)),10,1,1,"Entities"))</f>
        <v>25</v>
      </c>
      <c r="FP161">
        <f ca="1">ROUND((Table182023[[#This Row],[XP]]*Table182023[[#This Row],[entity_spawned (AVG)]])*(Table182023[[#This Row],[activating_chance]]/100),0)</f>
        <v>63</v>
      </c>
      <c r="FQ161" t="str">
        <f ca="1">INDIRECT(ADDRESS(11+(MATCH(RIGHT(Table182023[[#This Row],[spawner_sku]],LEN(Table182023[[#This Row],[spawner_sku]])-FIND("/",Table182023[[#This Row],[spawner_sku]])),Table28[Entity Prefab],0)),26,1,1,"Entities"))</f>
        <v>no</v>
      </c>
      <c r="FR161">
        <v>1</v>
      </c>
      <c r="FS161">
        <v>4</v>
      </c>
      <c r="FT161" t="b">
        <v>0</v>
      </c>
      <c r="FV161" t="s">
        <v>2697</v>
      </c>
      <c r="FW161">
        <v>1.5</v>
      </c>
      <c r="FX161">
        <v>80</v>
      </c>
      <c r="FY161">
        <v>100</v>
      </c>
      <c r="FZ161" s="74">
        <f ca="1">INDIRECT(ADDRESS(11+(MATCH(RIGHT(Table18202324[[#This Row],[spawner_sku]],LEN(Table18202324[[#This Row],[spawner_sku]])-FIND("/",Table18202324[[#This Row],[spawner_sku]])),Table1[Entity Prefab],0)),10,1,1,"Entities"))</f>
        <v>25</v>
      </c>
      <c r="GA161" s="74">
        <f ca="1">ROUND((Table18202324[[#This Row],[XP]]*Table18202324[[#This Row],[entity_spawned (AVG)]])*(Table18202324[[#This Row],[activating_chance]]/100),0)</f>
        <v>38</v>
      </c>
      <c r="GB161" s="74" t="str">
        <f ca="1">INDIRECT(ADDRESS(11+(MATCH(RIGHT(Table18202324[[#This Row],[spawner_sku]],LEN(Table18202324[[#This Row],[spawner_sku]])-FIND("/",Table18202324[[#This Row],[spawner_sku]])),Table28[Entity Prefab],0)),26,1,1,"Entities"))</f>
        <v>no</v>
      </c>
      <c r="GC161">
        <v>1</v>
      </c>
      <c r="GD161">
        <v>2</v>
      </c>
      <c r="GE161" t="b">
        <v>0</v>
      </c>
    </row>
    <row r="162" spans="2:187" x14ac:dyDescent="0.25">
      <c r="B162" s="72" t="s">
        <v>215</v>
      </c>
      <c r="C162">
        <v>1.5</v>
      </c>
      <c r="D162">
        <v>80</v>
      </c>
      <c r="E162">
        <v>40</v>
      </c>
      <c r="F162" s="74">
        <f ca="1">INDIRECT(ADDRESS(11+(MATCH(RIGHT(Table245[[#This Row],[spawner_sku]],LEN(Table245[[#This Row],[spawner_sku]])-FIND("/",Table245[[#This Row],[spawner_sku]])),Table1[Entity Prefab],0)),10,1,1,"Entities"))</f>
        <v>25</v>
      </c>
      <c r="G162" s="74">
        <f ca="1">ROUND((Table245[[#This Row],[XP]]*Table245[[#This Row],[entity_spawned (AVG)]])*(Table245[[#This Row],[activating_chance]]/100),0)</f>
        <v>15</v>
      </c>
      <c r="H162" s="71" t="str">
        <f ca="1">INDIRECT(ADDRESS(11+(MATCH(RIGHT(Table245[[#This Row],[spawner_sku]],LEN(Table245[[#This Row],[spawner_sku]])-FIND("/",Table245[[#This Row],[spawner_sku]])),Table28[Entity Prefab],0)),24,1,1,"Entities"))</f>
        <v>no</v>
      </c>
      <c r="I162" s="71">
        <v>1</v>
      </c>
      <c r="J162" s="71">
        <v>2</v>
      </c>
      <c r="K162" s="71" t="b">
        <v>0</v>
      </c>
      <c r="M162" t="s">
        <v>366</v>
      </c>
      <c r="N162">
        <v>3</v>
      </c>
      <c r="O162">
        <v>100</v>
      </c>
      <c r="P162">
        <v>100</v>
      </c>
      <c r="Q162" s="74">
        <f ca="1">INDIRECT(ADDRESS(11+(MATCH(RIGHT(Table3[[#This Row],[spawner_sku]],LEN(Table3[[#This Row],[spawner_sku]])-FIND("/",Table3[[#This Row],[spawner_sku]])),Table1[Entity Prefab],0)),10,1,1,"Entities"))</f>
        <v>25</v>
      </c>
      <c r="R162" s="74">
        <f ca="1">ROUND((Table3[[#This Row],[XP]]*Table3[[#This Row],[entity_spawned (AVG)]])*(Table3[[#This Row],[activating_chance]]/100),0)</f>
        <v>75</v>
      </c>
      <c r="S162" t="str">
        <f ca="1">INDIRECT(ADDRESS(11+(MATCH(RIGHT(Table3[[#This Row],[spawner_sku]],LEN(Table3[[#This Row],[spawner_sku]])-FIND("/",Table3[[#This Row],[spawner_sku]])),Table28[Entity Prefab],0)),24,1,1,"Entities"))</f>
        <v>no</v>
      </c>
      <c r="T162">
        <v>3</v>
      </c>
      <c r="U162">
        <v>3</v>
      </c>
      <c r="V162" t="b">
        <v>0</v>
      </c>
      <c r="W162" s="71"/>
      <c r="AI162" t="s">
        <v>222</v>
      </c>
      <c r="AJ162">
        <v>1</v>
      </c>
      <c r="AK162">
        <v>160</v>
      </c>
      <c r="AL162">
        <v>100</v>
      </c>
      <c r="AM162" s="74">
        <f ca="1">INDIRECT(ADDRESS(11+(MATCH(RIGHT(Table2[[#This Row],[spawner_sku]],LEN(Table2[[#This Row],[spawner_sku]])-FIND("/",Table2[[#This Row],[spawner_sku]])),Table1[Entity Prefab],0)),10,1,1,"Entities"))</f>
        <v>25</v>
      </c>
      <c r="AN162" s="74">
        <f ca="1">ROUND((Table2[[#This Row],[XP]]*Table2[[#This Row],[entity_spawned (AVG)]])*(Table2[[#This Row],[activating_chance]]/100),0)</f>
        <v>25</v>
      </c>
      <c r="AO162" s="71" t="str">
        <f ca="1">INDIRECT(ADDRESS(11+(MATCH(RIGHT(Table2[[#This Row],[spawner_sku]],LEN(Table2[[#This Row],[spawner_sku]])-FIND("/",Table2[[#This Row],[spawner_sku]])),Table28[Entity Prefab],0)),24,1,1,"Entities"))</f>
        <v>yes</v>
      </c>
      <c r="AP162" s="71">
        <v>1</v>
      </c>
      <c r="AQ162" s="71">
        <v>1</v>
      </c>
      <c r="AR162" s="71" t="b">
        <v>0</v>
      </c>
      <c r="AT162" t="s">
        <v>243</v>
      </c>
      <c r="AU162">
        <v>1</v>
      </c>
      <c r="AV162">
        <v>150</v>
      </c>
      <c r="AW162">
        <v>100</v>
      </c>
      <c r="AX162" s="74">
        <f ca="1">INDIRECT(ADDRESS(11+(MATCH(RIGHT(Table6[[#This Row],[spawner_sku]],LEN(Table6[[#This Row],[spawner_sku]])-FIND("/",Table6[[#This Row],[spawner_sku]])),Table1[Entity Prefab],0)),10,1,1,"Entities"))</f>
        <v>25</v>
      </c>
      <c r="AY162" s="74">
        <f ca="1">ROUND((Table6[[#This Row],[XP]]*Table6[[#This Row],[entity_spawned (AVG)]])*(Table6[[#This Row],[activating_chance]]/100),0)</f>
        <v>25</v>
      </c>
      <c r="AZ162" s="144" t="str">
        <f ca="1">INDIRECT(ADDRESS(11+(MATCH(RIGHT(Table6[[#This Row],[spawner_sku]],LEN(Table6[[#This Row],[spawner_sku]])-FIND("/",Table6[[#This Row],[spawner_sku]])),Table28[Entity Prefab],0)),24,1,1,"Entities"))</f>
        <v>no</v>
      </c>
      <c r="BA162">
        <v>1</v>
      </c>
      <c r="BB162">
        <v>1</v>
      </c>
      <c r="BC162" t="b">
        <v>0</v>
      </c>
      <c r="BE162" t="s">
        <v>233</v>
      </c>
      <c r="BF162">
        <v>1</v>
      </c>
      <c r="BG162">
        <v>500</v>
      </c>
      <c r="BH162">
        <v>100</v>
      </c>
      <c r="BI162" s="74">
        <f ca="1">INDIRECT(ADDRESS(11+(MATCH(RIGHT(Table610[[#This Row],[spawner_sku]],LEN(Table610[[#This Row],[spawner_sku]])-FIND("/",Table610[[#This Row],[spawner_sku]])),Table1[Entity Prefab],0)),10,1,1,"Entities"))</f>
        <v>25</v>
      </c>
      <c r="BJ162" s="74">
        <f ca="1">ROUND((Table610[[#This Row],[XP]]*Table610[[#This Row],[entity_spawned (AVG)]])*(Table610[[#This Row],[activating_chance]]/100),0)</f>
        <v>25</v>
      </c>
      <c r="BK162" s="71" t="str">
        <f ca="1">INDIRECT(ADDRESS(11+(MATCH(RIGHT(Table610[[#This Row],[spawner_sku]],LEN(Table610[[#This Row],[spawner_sku]])-FIND("/",Table610[[#This Row],[spawner_sku]])),Table28[Entity Prefab],0)),24,1,1,"Entities"))</f>
        <v>no</v>
      </c>
      <c r="BL162">
        <v>1</v>
      </c>
      <c r="BM162">
        <v>1</v>
      </c>
      <c r="BN162" t="b">
        <v>0</v>
      </c>
      <c r="BP162" t="s">
        <v>383</v>
      </c>
      <c r="BQ162">
        <v>1</v>
      </c>
      <c r="BR162">
        <v>340</v>
      </c>
      <c r="BS162">
        <v>100</v>
      </c>
      <c r="BT162" s="74">
        <f ca="1">INDIRECT(ADDRESS(11+(MATCH(RIGHT(Table61011[[#This Row],[spawner_sku]],LEN(Table61011[[#This Row],[spawner_sku]])-FIND("/",Table61011[[#This Row],[spawner_sku]])),Table1[Entity Prefab],0)),10,1,1,"Entities"))</f>
        <v>263</v>
      </c>
      <c r="BU162" s="74">
        <f ca="1">ROUND((Table61011[[#This Row],[XP]]*Table61011[[#This Row],[entity_spawned (AVG)]])*(Table61011[[#This Row],[activating_chance]]/100),0)</f>
        <v>263</v>
      </c>
      <c r="BV162" s="71" t="str">
        <f ca="1">INDIRECT(ADDRESS(11+(MATCH(RIGHT(Table61011[[#This Row],[spawner_sku]],LEN(Table61011[[#This Row],[spawner_sku]])-FIND("/",Table61011[[#This Row],[spawner_sku]])),Table28[Entity Prefab],0)),24,1,1,"Entities"))</f>
        <v>yes</v>
      </c>
      <c r="BW162" s="71">
        <v>1</v>
      </c>
      <c r="BX162" s="71">
        <v>1</v>
      </c>
      <c r="BY162" s="71" t="b">
        <v>0</v>
      </c>
      <c r="BZ162" s="71"/>
      <c r="CA162" s="147" t="s">
        <v>8143</v>
      </c>
      <c r="CB162">
        <v>1</v>
      </c>
      <c r="CC162">
        <v>200</v>
      </c>
      <c r="CD162">
        <v>100</v>
      </c>
      <c r="CE162" s="74">
        <f ca="1">INDIRECT(ADDRESS(11+(MATCH(RIGHT(Table35[[#This Row],[spawner_sku]],LEN(Table35[[#This Row],[spawner_sku]])-FIND("/",Table35[[#This Row],[spawner_sku]])),Table1[Entity Prefab],0)),10,1,1,"Entities"))</f>
        <v>75</v>
      </c>
      <c r="CF162" s="74">
        <f ca="1">ROUND((Table35[[#This Row],[XP]]*Table35[[#This Row],[entity_spawned (AVG)]])*(Table35[[#This Row],[activating_chance]]/100),0)</f>
        <v>75</v>
      </c>
      <c r="CG162" s="144" t="str">
        <f ca="1">INDIRECT(ADDRESS(11+(MATCH(RIGHT(Table35[[#This Row],[spawner_sku]],LEN(Table35[[#This Row],[spawner_sku]])-FIND("/",Table35[[#This Row],[spawner_sku]])),Table28[Entity Prefab],0)),24,1,1,"Entities"))</f>
        <v>no</v>
      </c>
      <c r="CH162">
        <v>1</v>
      </c>
      <c r="CI162">
        <v>1</v>
      </c>
      <c r="CJ162" s="71" t="b">
        <v>0</v>
      </c>
      <c r="CL162" t="s">
        <v>218</v>
      </c>
      <c r="CM162">
        <v>1</v>
      </c>
      <c r="CN162">
        <v>5000</v>
      </c>
      <c r="CO162">
        <v>75</v>
      </c>
      <c r="CP162" s="74">
        <f ca="1">INDIRECT(ADDRESS(11+(MATCH(RIGHT(Table11[[#This Row],[spawner_sku]],LEN(Table11[[#This Row],[spawner_sku]])-FIND("/",Table11[[#This Row],[spawner_sku]])),Table1[Entity Prefab],0)),10,1,1,"Entities"))</f>
        <v>75</v>
      </c>
      <c r="CQ162">
        <f ca="1">ROUND((Table11[[#This Row],[XP]]*Table11[[#This Row],[entity_spawned (AVG)]])*(Table11[[#This Row],[activating_chance]]/100),0)</f>
        <v>56</v>
      </c>
      <c r="CR162" s="144" t="str">
        <f ca="1">INDIRECT(ADDRESS(11+(MATCH(RIGHT(Table11[[#This Row],[spawner_sku]],LEN(Table11[[#This Row],[spawner_sku]])-FIND("/",Table11[[#This Row],[spawner_sku]])),Table28[Entity Prefab],0)),25,1,1,"Entities"))</f>
        <v>no</v>
      </c>
      <c r="CS162" s="71">
        <v>1</v>
      </c>
      <c r="CT162" s="71">
        <v>1</v>
      </c>
      <c r="CU162" s="71" t="b">
        <v>0</v>
      </c>
      <c r="CW162" t="s">
        <v>242</v>
      </c>
      <c r="CX162">
        <v>1</v>
      </c>
      <c r="CY162">
        <v>150</v>
      </c>
      <c r="CZ162">
        <v>100</v>
      </c>
      <c r="DA162" s="74">
        <f ca="1">INDIRECT(ADDRESS(11+(MATCH(RIGHT(Table12[[#This Row],[spawner_sku]],LEN(Table12[[#This Row],[spawner_sku]])-FIND("/",Table12[[#This Row],[spawner_sku]])),Table1[Entity Prefab],0)),10,1,1,"Entities"))</f>
        <v>25</v>
      </c>
      <c r="DB162" s="74">
        <f ca="1">ROUND((Table12[[#This Row],[XP]]*Table12[[#This Row],[entity_spawned (AVG)]])*(Table12[[#This Row],[activating_chance]]/100),0)</f>
        <v>25</v>
      </c>
      <c r="DC162" s="144" t="str">
        <f ca="1">INDIRECT(ADDRESS(11+(MATCH(RIGHT(Table12[[#This Row],[spawner_sku]],LEN(Table12[[#This Row],[spawner_sku]])-FIND("/",Table12[[#This Row],[spawner_sku]])),Table28[Entity Prefab],0)),25,1,1,"Entities"))</f>
        <v>no</v>
      </c>
      <c r="DD162" s="71">
        <v>1</v>
      </c>
      <c r="DE162" s="71">
        <v>1</v>
      </c>
      <c r="DF162" s="71" t="b">
        <v>0</v>
      </c>
      <c r="DH162" t="s">
        <v>426</v>
      </c>
      <c r="DI162">
        <v>3.5</v>
      </c>
      <c r="DJ162">
        <v>120</v>
      </c>
      <c r="DK162">
        <v>100</v>
      </c>
      <c r="DL162" s="74">
        <f ca="1">INDIRECT(ADDRESS(11+(MATCH(RIGHT(Table13[[#This Row],[spawner_sku]],LEN(Table13[[#This Row],[spawner_sku]])-FIND("/",Table13[[#This Row],[spawner_sku]])),Table1[Entity Prefab],0)),10,1,1,"Entities"))</f>
        <v>25</v>
      </c>
      <c r="DM162" s="74">
        <f ca="1">ROUND((Table13[[#This Row],[XP]]*Table13[[#This Row],[entity_spawned (AVG)]])*(Table13[[#This Row],[activating_chance]]/100),0)</f>
        <v>88</v>
      </c>
      <c r="DN162" s="144" t="str">
        <f ca="1">INDIRECT(ADDRESS(11+(MATCH(RIGHT(Table13[[#This Row],[spawner_sku]],LEN(Table13[[#This Row],[spawner_sku]])-FIND("/",Table13[[#This Row],[spawner_sku]])),Table28[Entity Prefab],0)),25,1,1,"Entities"))</f>
        <v>no</v>
      </c>
      <c r="DO162" s="71">
        <v>3</v>
      </c>
      <c r="DP162" s="71">
        <v>4</v>
      </c>
      <c r="DQ162" s="71" t="b">
        <v>0</v>
      </c>
      <c r="DS162" t="s">
        <v>223</v>
      </c>
      <c r="DT162">
        <v>1.5</v>
      </c>
      <c r="DU162">
        <v>140</v>
      </c>
      <c r="DV162">
        <v>100</v>
      </c>
      <c r="DW162" s="74">
        <f ca="1">INDIRECT(ADDRESS(11+(MATCH(RIGHT(Table14[[#This Row],[spawner_sku]],LEN(Table14[[#This Row],[spawner_sku]])-FIND("/",Table14[[#This Row],[spawner_sku]])),Table1[Entity Prefab],0)),10,1,1,"Entities"))</f>
        <v>70</v>
      </c>
      <c r="DX162" s="74">
        <f ca="1">ROUND((Table14[[#This Row],[XP]]*Table14[[#This Row],[entity_spawned (AVG)]])*(Table14[[#This Row],[activating_chance]]/100),0)</f>
        <v>105</v>
      </c>
      <c r="DY162" s="144" t="str">
        <f ca="1">INDIRECT(ADDRESS(11+(MATCH(RIGHT(Table14[[#This Row],[spawner_sku]],LEN(Table14[[#This Row],[spawner_sku]])-FIND("/",Table14[[#This Row],[spawner_sku]])),Table28[Entity Prefab],0)),25,1,1,"Entities"))</f>
        <v>no</v>
      </c>
      <c r="DZ162" s="71">
        <v>1</v>
      </c>
      <c r="EA162" s="71">
        <v>2</v>
      </c>
      <c r="EB162" s="71" t="b">
        <v>0</v>
      </c>
      <c r="EC162" s="71"/>
      <c r="ED162" s="71"/>
      <c r="EE162" s="71"/>
      <c r="EF162" s="71"/>
      <c r="EG162" s="71"/>
      <c r="EH162" s="71"/>
      <c r="EI162" s="71"/>
      <c r="EJ162" s="71"/>
      <c r="EK162" s="71"/>
      <c r="EL162" s="71"/>
      <c r="EM162" s="71"/>
      <c r="EO162" t="s">
        <v>221</v>
      </c>
      <c r="EP162">
        <v>1.5</v>
      </c>
      <c r="EQ162">
        <v>240</v>
      </c>
      <c r="ER162">
        <v>100</v>
      </c>
      <c r="ES162" s="74">
        <f ca="1">INDIRECT(ADDRESS(11+(MATCH(RIGHT(Table18[[#This Row],[spawner_sku]],LEN(Table18[[#This Row],[spawner_sku]])-FIND("/",Table18[[#This Row],[spawner_sku]])),Table1[Entity Prefab],0)),10,1,1,"Entities"))</f>
        <v>263</v>
      </c>
      <c r="ET162" s="74">
        <f ca="1">ROUND((Table18[[#This Row],[XP]]*Table18[[#This Row],[entity_spawned (AVG)]])*(Table18[[#This Row],[activating_chance]]/100),0)</f>
        <v>395</v>
      </c>
      <c r="EU162" s="74" t="str">
        <f ca="1">INDIRECT(ADDRESS(11+(MATCH(RIGHT(Table18[[#This Row],[spawner_sku]],LEN(Table18[[#This Row],[spawner_sku]])-FIND("/",Table18[[#This Row],[spawner_sku]])),Table28[Entity Prefab],0)),26,1,1,"Entities"))</f>
        <v>yes</v>
      </c>
      <c r="EV162">
        <v>1</v>
      </c>
      <c r="EW162">
        <v>2</v>
      </c>
      <c r="EX162" t="b">
        <v>0</v>
      </c>
      <c r="EZ162" t="s">
        <v>583</v>
      </c>
      <c r="FA162">
        <v>1.5</v>
      </c>
      <c r="FB162">
        <v>120</v>
      </c>
      <c r="FC162">
        <v>80</v>
      </c>
      <c r="FD162" s="74">
        <f ca="1">INDIRECT(ADDRESS(11+(MATCH(RIGHT(Table1820[[#This Row],[spawner_sku]],LEN(Table1820[[#This Row],[spawner_sku]])-FIND("/",Table1820[[#This Row],[spawner_sku]])),Table1[Entity Prefab],0)),10,1,1,"Entities"))</f>
        <v>48</v>
      </c>
      <c r="FE162" s="74">
        <f ca="1">ROUND((Table1820[[#This Row],[XP]]*Table1820[[#This Row],[entity_spawned (AVG)]])*(Table1820[[#This Row],[activating_chance]]/100),0)</f>
        <v>58</v>
      </c>
      <c r="FF162" s="74" t="str">
        <f ca="1">INDIRECT(ADDRESS(11+(MATCH(RIGHT(Table1820[[#This Row],[spawner_sku]],LEN(Table1820[[#This Row],[spawner_sku]])-FIND("/",Table1820[[#This Row],[spawner_sku]])),Table28[Entity Prefab],0)),26,1,1,"Entities"))</f>
        <v>no</v>
      </c>
      <c r="FG162">
        <v>1</v>
      </c>
      <c r="FH162">
        <v>2</v>
      </c>
      <c r="FI162" t="b">
        <v>0</v>
      </c>
      <c r="FK162" t="s">
        <v>2697</v>
      </c>
      <c r="FL162">
        <v>2.5</v>
      </c>
      <c r="FM162">
        <v>70</v>
      </c>
      <c r="FN162">
        <v>100</v>
      </c>
      <c r="FO162">
        <f ca="1">INDIRECT(ADDRESS(11+(MATCH(RIGHT(Table182023[[#This Row],[spawner_sku]],LEN(Table182023[[#This Row],[spawner_sku]])-FIND("/",Table182023[[#This Row],[spawner_sku]])),Table1[Entity Prefab],0)),10,1,1,"Entities"))</f>
        <v>25</v>
      </c>
      <c r="FP162">
        <f ca="1">ROUND((Table182023[[#This Row],[XP]]*Table182023[[#This Row],[entity_spawned (AVG)]])*(Table182023[[#This Row],[activating_chance]]/100),0)</f>
        <v>63</v>
      </c>
      <c r="FQ162" t="str">
        <f ca="1">INDIRECT(ADDRESS(11+(MATCH(RIGHT(Table182023[[#This Row],[spawner_sku]],LEN(Table182023[[#This Row],[spawner_sku]])-FIND("/",Table182023[[#This Row],[spawner_sku]])),Table28[Entity Prefab],0)),26,1,1,"Entities"))</f>
        <v>no</v>
      </c>
      <c r="FR162">
        <v>1</v>
      </c>
      <c r="FS162">
        <v>4</v>
      </c>
      <c r="FT162" t="b">
        <v>0</v>
      </c>
      <c r="FV162" t="s">
        <v>2697</v>
      </c>
      <c r="FW162">
        <v>1.5</v>
      </c>
      <c r="FX162">
        <v>70</v>
      </c>
      <c r="FY162">
        <v>100</v>
      </c>
      <c r="FZ162" s="74">
        <f ca="1">INDIRECT(ADDRESS(11+(MATCH(RIGHT(Table18202324[[#This Row],[spawner_sku]],LEN(Table18202324[[#This Row],[spawner_sku]])-FIND("/",Table18202324[[#This Row],[spawner_sku]])),Table1[Entity Prefab],0)),10,1,1,"Entities"))</f>
        <v>25</v>
      </c>
      <c r="GA162" s="74">
        <f ca="1">ROUND((Table18202324[[#This Row],[XP]]*Table18202324[[#This Row],[entity_spawned (AVG)]])*(Table18202324[[#This Row],[activating_chance]]/100),0)</f>
        <v>38</v>
      </c>
      <c r="GB162" s="74" t="str">
        <f ca="1">INDIRECT(ADDRESS(11+(MATCH(RIGHT(Table18202324[[#This Row],[spawner_sku]],LEN(Table18202324[[#This Row],[spawner_sku]])-FIND("/",Table18202324[[#This Row],[spawner_sku]])),Table28[Entity Prefab],0)),26,1,1,"Entities"))</f>
        <v>no</v>
      </c>
      <c r="GC162">
        <v>1</v>
      </c>
      <c r="GD162">
        <v>2</v>
      </c>
      <c r="GE162" t="b">
        <v>0</v>
      </c>
    </row>
    <row r="163" spans="2:187" x14ac:dyDescent="0.25">
      <c r="B163" s="72" t="s">
        <v>216</v>
      </c>
      <c r="C163">
        <v>3.5</v>
      </c>
      <c r="D163">
        <v>60</v>
      </c>
      <c r="E163">
        <v>95</v>
      </c>
      <c r="F163" s="74">
        <f ca="1">INDIRECT(ADDRESS(11+(MATCH(RIGHT(Table245[[#This Row],[spawner_sku]],LEN(Table245[[#This Row],[spawner_sku]])-FIND("/",Table245[[#This Row],[spawner_sku]])),Table1[Entity Prefab],0)),10,1,1,"Entities"))</f>
        <v>25</v>
      </c>
      <c r="G163" s="74">
        <f ca="1">ROUND((Table245[[#This Row],[XP]]*Table245[[#This Row],[entity_spawned (AVG)]])*(Table245[[#This Row],[activating_chance]]/100),0)</f>
        <v>83</v>
      </c>
      <c r="H163" s="71" t="str">
        <f ca="1">INDIRECT(ADDRESS(11+(MATCH(RIGHT(Table245[[#This Row],[spawner_sku]],LEN(Table245[[#This Row],[spawner_sku]])-FIND("/",Table245[[#This Row],[spawner_sku]])),Table28[Entity Prefab],0)),24,1,1,"Entities"))</f>
        <v>no</v>
      </c>
      <c r="I163" s="71">
        <v>3</v>
      </c>
      <c r="J163" s="71">
        <v>4</v>
      </c>
      <c r="K163" s="71" t="b">
        <v>0</v>
      </c>
      <c r="M163" t="s">
        <v>230</v>
      </c>
      <c r="N163">
        <v>1</v>
      </c>
      <c r="O163">
        <v>120</v>
      </c>
      <c r="P163">
        <v>100</v>
      </c>
      <c r="Q163" s="74">
        <f ca="1">INDIRECT(ADDRESS(11+(MATCH(RIGHT(Table3[[#This Row],[spawner_sku]],LEN(Table3[[#This Row],[spawner_sku]])-FIND("/",Table3[[#This Row],[spawner_sku]])),Table1[Entity Prefab],0)),10,1,1,"Entities"))</f>
        <v>28</v>
      </c>
      <c r="R163" s="74">
        <f ca="1">ROUND((Table3[[#This Row],[XP]]*Table3[[#This Row],[entity_spawned (AVG)]])*(Table3[[#This Row],[activating_chance]]/100),0)</f>
        <v>28</v>
      </c>
      <c r="S163" t="str">
        <f ca="1">INDIRECT(ADDRESS(11+(MATCH(RIGHT(Table3[[#This Row],[spawner_sku]],LEN(Table3[[#This Row],[spawner_sku]])-FIND("/",Table3[[#This Row],[spawner_sku]])),Table28[Entity Prefab],0)),24,1,1,"Entities"))</f>
        <v>no</v>
      </c>
      <c r="T163">
        <v>1</v>
      </c>
      <c r="U163">
        <v>1</v>
      </c>
      <c r="V163" t="b">
        <v>0</v>
      </c>
      <c r="W163" s="71"/>
      <c r="AI163" t="s">
        <v>222</v>
      </c>
      <c r="AJ163">
        <v>1</v>
      </c>
      <c r="AK163">
        <v>160</v>
      </c>
      <c r="AL163">
        <v>100</v>
      </c>
      <c r="AM163" s="74">
        <f ca="1">INDIRECT(ADDRESS(11+(MATCH(RIGHT(Table2[[#This Row],[spawner_sku]],LEN(Table2[[#This Row],[spawner_sku]])-FIND("/",Table2[[#This Row],[spawner_sku]])),Table1[Entity Prefab],0)),10,1,1,"Entities"))</f>
        <v>25</v>
      </c>
      <c r="AN163" s="74">
        <f ca="1">ROUND((Table2[[#This Row],[XP]]*Table2[[#This Row],[entity_spawned (AVG)]])*(Table2[[#This Row],[activating_chance]]/100),0)</f>
        <v>25</v>
      </c>
      <c r="AO163" s="71" t="str">
        <f ca="1">INDIRECT(ADDRESS(11+(MATCH(RIGHT(Table2[[#This Row],[spawner_sku]],LEN(Table2[[#This Row],[spawner_sku]])-FIND("/",Table2[[#This Row],[spawner_sku]])),Table28[Entity Prefab],0)),24,1,1,"Entities"))</f>
        <v>yes</v>
      </c>
      <c r="AP163" s="71">
        <v>1</v>
      </c>
      <c r="AQ163" s="71">
        <v>1</v>
      </c>
      <c r="AR163" s="71" t="b">
        <v>0</v>
      </c>
      <c r="AT163" t="s">
        <v>243</v>
      </c>
      <c r="AU163">
        <v>3</v>
      </c>
      <c r="AV163">
        <v>150</v>
      </c>
      <c r="AW163">
        <v>100</v>
      </c>
      <c r="AX163" s="74">
        <f ca="1">INDIRECT(ADDRESS(11+(MATCH(RIGHT(Table6[[#This Row],[spawner_sku]],LEN(Table6[[#This Row],[spawner_sku]])-FIND("/",Table6[[#This Row],[spawner_sku]])),Table1[Entity Prefab],0)),10,1,1,"Entities"))</f>
        <v>25</v>
      </c>
      <c r="AY163" s="74">
        <f ca="1">ROUND((Table6[[#This Row],[XP]]*Table6[[#This Row],[entity_spawned (AVG)]])*(Table6[[#This Row],[activating_chance]]/100),0)</f>
        <v>75</v>
      </c>
      <c r="AZ163" s="144" t="str">
        <f ca="1">INDIRECT(ADDRESS(11+(MATCH(RIGHT(Table6[[#This Row],[spawner_sku]],LEN(Table6[[#This Row],[spawner_sku]])-FIND("/",Table6[[#This Row],[spawner_sku]])),Table28[Entity Prefab],0)),24,1,1,"Entities"))</f>
        <v>no</v>
      </c>
      <c r="BA163">
        <v>3</v>
      </c>
      <c r="BB163">
        <v>3</v>
      </c>
      <c r="BC163" t="b">
        <v>0</v>
      </c>
      <c r="BE163" t="s">
        <v>233</v>
      </c>
      <c r="BF163">
        <v>1</v>
      </c>
      <c r="BG163">
        <v>500</v>
      </c>
      <c r="BH163">
        <v>100</v>
      </c>
      <c r="BI163" s="74">
        <f ca="1">INDIRECT(ADDRESS(11+(MATCH(RIGHT(Table610[[#This Row],[spawner_sku]],LEN(Table610[[#This Row],[spawner_sku]])-FIND("/",Table610[[#This Row],[spawner_sku]])),Table1[Entity Prefab],0)),10,1,1,"Entities"))</f>
        <v>25</v>
      </c>
      <c r="BJ163" s="74">
        <f ca="1">ROUND((Table610[[#This Row],[XP]]*Table610[[#This Row],[entity_spawned (AVG)]])*(Table610[[#This Row],[activating_chance]]/100),0)</f>
        <v>25</v>
      </c>
      <c r="BK163" s="71" t="str">
        <f ca="1">INDIRECT(ADDRESS(11+(MATCH(RIGHT(Table610[[#This Row],[spawner_sku]],LEN(Table610[[#This Row],[spawner_sku]])-FIND("/",Table610[[#This Row],[spawner_sku]])),Table28[Entity Prefab],0)),24,1,1,"Entities"))</f>
        <v>no</v>
      </c>
      <c r="BL163">
        <v>1</v>
      </c>
      <c r="BM163">
        <v>1</v>
      </c>
      <c r="BN163" t="b">
        <v>0</v>
      </c>
      <c r="BP163" t="s">
        <v>383</v>
      </c>
      <c r="BQ163">
        <v>1</v>
      </c>
      <c r="BR163">
        <v>340</v>
      </c>
      <c r="BS163">
        <v>100</v>
      </c>
      <c r="BT163" s="74">
        <f ca="1">INDIRECT(ADDRESS(11+(MATCH(RIGHT(Table61011[[#This Row],[spawner_sku]],LEN(Table61011[[#This Row],[spawner_sku]])-FIND("/",Table61011[[#This Row],[spawner_sku]])),Table1[Entity Prefab],0)),10,1,1,"Entities"))</f>
        <v>263</v>
      </c>
      <c r="BU163" s="74">
        <f ca="1">ROUND((Table61011[[#This Row],[XP]]*Table61011[[#This Row],[entity_spawned (AVG)]])*(Table61011[[#This Row],[activating_chance]]/100),0)</f>
        <v>263</v>
      </c>
      <c r="BV163" s="71" t="str">
        <f ca="1">INDIRECT(ADDRESS(11+(MATCH(RIGHT(Table61011[[#This Row],[spawner_sku]],LEN(Table61011[[#This Row],[spawner_sku]])-FIND("/",Table61011[[#This Row],[spawner_sku]])),Table28[Entity Prefab],0)),24,1,1,"Entities"))</f>
        <v>yes</v>
      </c>
      <c r="BW163" s="71">
        <v>1</v>
      </c>
      <c r="BX163" s="71">
        <v>1</v>
      </c>
      <c r="BY163" s="71" t="b">
        <v>0</v>
      </c>
      <c r="BZ163" s="71"/>
      <c r="CA163" s="147" t="s">
        <v>8143</v>
      </c>
      <c r="CB163">
        <v>1</v>
      </c>
      <c r="CC163">
        <v>200</v>
      </c>
      <c r="CD163">
        <v>100</v>
      </c>
      <c r="CE163" s="74">
        <f ca="1">INDIRECT(ADDRESS(11+(MATCH(RIGHT(Table35[[#This Row],[spawner_sku]],LEN(Table35[[#This Row],[spawner_sku]])-FIND("/",Table35[[#This Row],[spawner_sku]])),Table1[Entity Prefab],0)),10,1,1,"Entities"))</f>
        <v>75</v>
      </c>
      <c r="CF163" s="74">
        <f ca="1">ROUND((Table35[[#This Row],[XP]]*Table35[[#This Row],[entity_spawned (AVG)]])*(Table35[[#This Row],[activating_chance]]/100),0)</f>
        <v>75</v>
      </c>
      <c r="CG163" s="144" t="str">
        <f ca="1">INDIRECT(ADDRESS(11+(MATCH(RIGHT(Table35[[#This Row],[spawner_sku]],LEN(Table35[[#This Row],[spawner_sku]])-FIND("/",Table35[[#This Row],[spawner_sku]])),Table28[Entity Prefab],0)),24,1,1,"Entities"))</f>
        <v>no</v>
      </c>
      <c r="CH163">
        <v>1</v>
      </c>
      <c r="CI163">
        <v>1</v>
      </c>
      <c r="CJ163" s="71" t="b">
        <v>0</v>
      </c>
      <c r="CL163" t="s">
        <v>218</v>
      </c>
      <c r="CM163">
        <v>1</v>
      </c>
      <c r="CN163">
        <v>5000</v>
      </c>
      <c r="CO163">
        <v>75</v>
      </c>
      <c r="CP163" s="74">
        <f ca="1">INDIRECT(ADDRESS(11+(MATCH(RIGHT(Table11[[#This Row],[spawner_sku]],LEN(Table11[[#This Row],[spawner_sku]])-FIND("/",Table11[[#This Row],[spawner_sku]])),Table1[Entity Prefab],0)),10,1,1,"Entities"))</f>
        <v>75</v>
      </c>
      <c r="CQ163">
        <f ca="1">ROUND((Table11[[#This Row],[XP]]*Table11[[#This Row],[entity_spawned (AVG)]])*(Table11[[#This Row],[activating_chance]]/100),0)</f>
        <v>56</v>
      </c>
      <c r="CR163" s="144" t="str">
        <f ca="1">INDIRECT(ADDRESS(11+(MATCH(RIGHT(Table11[[#This Row],[spawner_sku]],LEN(Table11[[#This Row],[spawner_sku]])-FIND("/",Table11[[#This Row],[spawner_sku]])),Table28[Entity Prefab],0)),25,1,1,"Entities"))</f>
        <v>no</v>
      </c>
      <c r="CS163" s="71">
        <v>1</v>
      </c>
      <c r="CT163" s="71">
        <v>1</v>
      </c>
      <c r="CU163" s="71" t="b">
        <v>0</v>
      </c>
      <c r="CW163" t="s">
        <v>242</v>
      </c>
      <c r="CX163">
        <v>1</v>
      </c>
      <c r="CY163">
        <v>150</v>
      </c>
      <c r="CZ163">
        <v>100</v>
      </c>
      <c r="DA163" s="74">
        <f ca="1">INDIRECT(ADDRESS(11+(MATCH(RIGHT(Table12[[#This Row],[spawner_sku]],LEN(Table12[[#This Row],[spawner_sku]])-FIND("/",Table12[[#This Row],[spawner_sku]])),Table1[Entity Prefab],0)),10,1,1,"Entities"))</f>
        <v>25</v>
      </c>
      <c r="DB163" s="74">
        <f ca="1">ROUND((Table12[[#This Row],[XP]]*Table12[[#This Row],[entity_spawned (AVG)]])*(Table12[[#This Row],[activating_chance]]/100),0)</f>
        <v>25</v>
      </c>
      <c r="DC163" s="144" t="str">
        <f ca="1">INDIRECT(ADDRESS(11+(MATCH(RIGHT(Table12[[#This Row],[spawner_sku]],LEN(Table12[[#This Row],[spawner_sku]])-FIND("/",Table12[[#This Row],[spawner_sku]])),Table28[Entity Prefab],0)),25,1,1,"Entities"))</f>
        <v>no</v>
      </c>
      <c r="DD163" s="71">
        <v>1</v>
      </c>
      <c r="DE163" s="71">
        <v>1</v>
      </c>
      <c r="DF163" s="71" t="b">
        <v>0</v>
      </c>
      <c r="DH163" t="s">
        <v>240</v>
      </c>
      <c r="DI163">
        <v>1</v>
      </c>
      <c r="DJ163">
        <v>170</v>
      </c>
      <c r="DK163">
        <v>80</v>
      </c>
      <c r="DL163" s="74">
        <f ca="1">INDIRECT(ADDRESS(11+(MATCH(RIGHT(Table13[[#This Row],[spawner_sku]],LEN(Table13[[#This Row],[spawner_sku]])-FIND("/",Table13[[#This Row],[spawner_sku]])),Table1[Entity Prefab],0)),10,1,1,"Entities"))</f>
        <v>70</v>
      </c>
      <c r="DM163" s="74">
        <f ca="1">ROUND((Table13[[#This Row],[XP]]*Table13[[#This Row],[entity_spawned (AVG)]])*(Table13[[#This Row],[activating_chance]]/100),0)</f>
        <v>56</v>
      </c>
      <c r="DN163" s="144" t="str">
        <f ca="1">INDIRECT(ADDRESS(11+(MATCH(RIGHT(Table13[[#This Row],[spawner_sku]],LEN(Table13[[#This Row],[spawner_sku]])-FIND("/",Table13[[#This Row],[spawner_sku]])),Table28[Entity Prefab],0)),25,1,1,"Entities"))</f>
        <v>yes</v>
      </c>
      <c r="DO163" s="71">
        <v>1</v>
      </c>
      <c r="DP163" s="71">
        <v>1</v>
      </c>
      <c r="DQ163" s="71" t="b">
        <v>0</v>
      </c>
      <c r="DS163" t="s">
        <v>223</v>
      </c>
      <c r="DT163">
        <v>1.5</v>
      </c>
      <c r="DU163">
        <v>120</v>
      </c>
      <c r="DV163">
        <v>100</v>
      </c>
      <c r="DW163" s="74">
        <f ca="1">INDIRECT(ADDRESS(11+(MATCH(RIGHT(Table14[[#This Row],[spawner_sku]],LEN(Table14[[#This Row],[spawner_sku]])-FIND("/",Table14[[#This Row],[spawner_sku]])),Table1[Entity Prefab],0)),10,1,1,"Entities"))</f>
        <v>70</v>
      </c>
      <c r="DX163" s="74">
        <f ca="1">ROUND((Table14[[#This Row],[XP]]*Table14[[#This Row],[entity_spawned (AVG)]])*(Table14[[#This Row],[activating_chance]]/100),0)</f>
        <v>105</v>
      </c>
      <c r="DY163" s="144" t="str">
        <f ca="1">INDIRECT(ADDRESS(11+(MATCH(RIGHT(Table14[[#This Row],[spawner_sku]],LEN(Table14[[#This Row],[spawner_sku]])-FIND("/",Table14[[#This Row],[spawner_sku]])),Table28[Entity Prefab],0)),25,1,1,"Entities"))</f>
        <v>no</v>
      </c>
      <c r="DZ163" s="71">
        <v>1</v>
      </c>
      <c r="EA163" s="71">
        <v>2</v>
      </c>
      <c r="EB163" s="71" t="b">
        <v>0</v>
      </c>
      <c r="EC163" s="71"/>
      <c r="ED163" s="71"/>
      <c r="EE163" s="71"/>
      <c r="EF163" s="71"/>
      <c r="EG163" s="71"/>
      <c r="EH163" s="71"/>
      <c r="EI163" s="71"/>
      <c r="EJ163" s="71"/>
      <c r="EK163" s="71"/>
      <c r="EL163" s="71"/>
      <c r="EM163" s="71"/>
      <c r="EO163" t="s">
        <v>221</v>
      </c>
      <c r="EP163">
        <v>2</v>
      </c>
      <c r="EQ163">
        <v>340</v>
      </c>
      <c r="ER163">
        <v>100</v>
      </c>
      <c r="ES163" s="74">
        <f ca="1">INDIRECT(ADDRESS(11+(MATCH(RIGHT(Table18[[#This Row],[spawner_sku]],LEN(Table18[[#This Row],[spawner_sku]])-FIND("/",Table18[[#This Row],[spawner_sku]])),Table1[Entity Prefab],0)),10,1,1,"Entities"))</f>
        <v>263</v>
      </c>
      <c r="ET163" s="74">
        <f ca="1">ROUND((Table18[[#This Row],[XP]]*Table18[[#This Row],[entity_spawned (AVG)]])*(Table18[[#This Row],[activating_chance]]/100),0)</f>
        <v>526</v>
      </c>
      <c r="EU163" s="74" t="str">
        <f ca="1">INDIRECT(ADDRESS(11+(MATCH(RIGHT(Table18[[#This Row],[spawner_sku]],LEN(Table18[[#This Row],[spawner_sku]])-FIND("/",Table18[[#This Row],[spawner_sku]])),Table28[Entity Prefab],0)),26,1,1,"Entities"))</f>
        <v>yes</v>
      </c>
      <c r="EV163">
        <v>2</v>
      </c>
      <c r="EW163">
        <v>2</v>
      </c>
      <c r="EX163" t="b">
        <v>0</v>
      </c>
      <c r="EZ163" t="s">
        <v>583</v>
      </c>
      <c r="FA163">
        <v>1.5</v>
      </c>
      <c r="FB163">
        <v>120</v>
      </c>
      <c r="FC163">
        <v>100</v>
      </c>
      <c r="FD163" s="74">
        <f ca="1">INDIRECT(ADDRESS(11+(MATCH(RIGHT(Table1820[[#This Row],[spawner_sku]],LEN(Table1820[[#This Row],[spawner_sku]])-FIND("/",Table1820[[#This Row],[spawner_sku]])),Table1[Entity Prefab],0)),10,1,1,"Entities"))</f>
        <v>48</v>
      </c>
      <c r="FE163" s="74">
        <f ca="1">ROUND((Table1820[[#This Row],[XP]]*Table1820[[#This Row],[entity_spawned (AVG)]])*(Table1820[[#This Row],[activating_chance]]/100),0)</f>
        <v>72</v>
      </c>
      <c r="FF163" s="74" t="str">
        <f ca="1">INDIRECT(ADDRESS(11+(MATCH(RIGHT(Table1820[[#This Row],[spawner_sku]],LEN(Table1820[[#This Row],[spawner_sku]])-FIND("/",Table1820[[#This Row],[spawner_sku]])),Table28[Entity Prefab],0)),26,1,1,"Entities"))</f>
        <v>no</v>
      </c>
      <c r="FG163">
        <v>1</v>
      </c>
      <c r="FH163">
        <v>2</v>
      </c>
      <c r="FI163" t="b">
        <v>0</v>
      </c>
      <c r="FK163" t="s">
        <v>2697</v>
      </c>
      <c r="FL163">
        <v>1.5</v>
      </c>
      <c r="FM163">
        <v>70</v>
      </c>
      <c r="FN163">
        <v>100</v>
      </c>
      <c r="FO163">
        <f ca="1">INDIRECT(ADDRESS(11+(MATCH(RIGHT(Table182023[[#This Row],[spawner_sku]],LEN(Table182023[[#This Row],[spawner_sku]])-FIND("/",Table182023[[#This Row],[spawner_sku]])),Table1[Entity Prefab],0)),10,1,1,"Entities"))</f>
        <v>25</v>
      </c>
      <c r="FP163">
        <f ca="1">ROUND((Table182023[[#This Row],[XP]]*Table182023[[#This Row],[entity_spawned (AVG)]])*(Table182023[[#This Row],[activating_chance]]/100),0)</f>
        <v>38</v>
      </c>
      <c r="FQ163" t="str">
        <f ca="1">INDIRECT(ADDRESS(11+(MATCH(RIGHT(Table182023[[#This Row],[spawner_sku]],LEN(Table182023[[#This Row],[spawner_sku]])-FIND("/",Table182023[[#This Row],[spawner_sku]])),Table28[Entity Prefab],0)),26,1,1,"Entities"))</f>
        <v>no</v>
      </c>
      <c r="FR163">
        <v>1</v>
      </c>
      <c r="FS163">
        <v>2</v>
      </c>
      <c r="FT163" t="b">
        <v>0</v>
      </c>
      <c r="FV163" t="s">
        <v>2697</v>
      </c>
      <c r="FW163">
        <v>3.5</v>
      </c>
      <c r="FX163">
        <v>70</v>
      </c>
      <c r="FY163">
        <v>100</v>
      </c>
      <c r="FZ163" s="74">
        <f ca="1">INDIRECT(ADDRESS(11+(MATCH(RIGHT(Table18202324[[#This Row],[spawner_sku]],LEN(Table18202324[[#This Row],[spawner_sku]])-FIND("/",Table18202324[[#This Row],[spawner_sku]])),Table1[Entity Prefab],0)),10,1,1,"Entities"))</f>
        <v>25</v>
      </c>
      <c r="GA163" s="74">
        <f ca="1">ROUND((Table18202324[[#This Row],[XP]]*Table18202324[[#This Row],[entity_spawned (AVG)]])*(Table18202324[[#This Row],[activating_chance]]/100),0)</f>
        <v>88</v>
      </c>
      <c r="GB163" s="74" t="str">
        <f ca="1">INDIRECT(ADDRESS(11+(MATCH(RIGHT(Table18202324[[#This Row],[spawner_sku]],LEN(Table18202324[[#This Row],[spawner_sku]])-FIND("/",Table18202324[[#This Row],[spawner_sku]])),Table28[Entity Prefab],0)),26,1,1,"Entities"))</f>
        <v>no</v>
      </c>
      <c r="GC163">
        <v>3</v>
      </c>
      <c r="GD163">
        <v>4</v>
      </c>
      <c r="GE163" t="b">
        <v>0</v>
      </c>
    </row>
    <row r="164" spans="2:187" x14ac:dyDescent="0.25">
      <c r="B164" s="72" t="s">
        <v>216</v>
      </c>
      <c r="C164">
        <v>1.5</v>
      </c>
      <c r="D164">
        <v>80</v>
      </c>
      <c r="E164">
        <v>100</v>
      </c>
      <c r="F164" s="74">
        <f ca="1">INDIRECT(ADDRESS(11+(MATCH(RIGHT(Table245[[#This Row],[spawner_sku]],LEN(Table245[[#This Row],[spawner_sku]])-FIND("/",Table245[[#This Row],[spawner_sku]])),Table1[Entity Prefab],0)),10,1,1,"Entities"))</f>
        <v>25</v>
      </c>
      <c r="G164" s="74">
        <f ca="1">ROUND((Table245[[#This Row],[XP]]*Table245[[#This Row],[entity_spawned (AVG)]])*(Table245[[#This Row],[activating_chance]]/100),0)</f>
        <v>38</v>
      </c>
      <c r="H164" s="71" t="str">
        <f ca="1">INDIRECT(ADDRESS(11+(MATCH(RIGHT(Table245[[#This Row],[spawner_sku]],LEN(Table245[[#This Row],[spawner_sku]])-FIND("/",Table245[[#This Row],[spawner_sku]])),Table28[Entity Prefab],0)),24,1,1,"Entities"))</f>
        <v>no</v>
      </c>
      <c r="I164" s="71">
        <v>1</v>
      </c>
      <c r="J164" s="71">
        <v>2</v>
      </c>
      <c r="K164" s="71" t="b">
        <v>0</v>
      </c>
      <c r="M164" t="s">
        <v>230</v>
      </c>
      <c r="N164">
        <v>1</v>
      </c>
      <c r="O164">
        <v>120</v>
      </c>
      <c r="P164">
        <v>75</v>
      </c>
      <c r="Q164" s="74">
        <f ca="1">INDIRECT(ADDRESS(11+(MATCH(RIGHT(Table3[[#This Row],[spawner_sku]],LEN(Table3[[#This Row],[spawner_sku]])-FIND("/",Table3[[#This Row],[spawner_sku]])),Table1[Entity Prefab],0)),10,1,1,"Entities"))</f>
        <v>28</v>
      </c>
      <c r="R164" s="74">
        <f ca="1">ROUND((Table3[[#This Row],[XP]]*Table3[[#This Row],[entity_spawned (AVG)]])*(Table3[[#This Row],[activating_chance]]/100),0)</f>
        <v>21</v>
      </c>
      <c r="S164" t="str">
        <f ca="1">INDIRECT(ADDRESS(11+(MATCH(RIGHT(Table3[[#This Row],[spawner_sku]],LEN(Table3[[#This Row],[spawner_sku]])-FIND("/",Table3[[#This Row],[spawner_sku]])),Table28[Entity Prefab],0)),24,1,1,"Entities"))</f>
        <v>no</v>
      </c>
      <c r="T164">
        <v>1</v>
      </c>
      <c r="U164">
        <v>1</v>
      </c>
      <c r="V164" t="b">
        <v>0</v>
      </c>
      <c r="W164" s="71"/>
      <c r="AI164" t="s">
        <v>222</v>
      </c>
      <c r="AJ164">
        <v>1</v>
      </c>
      <c r="AK164">
        <v>120</v>
      </c>
      <c r="AL164">
        <v>100</v>
      </c>
      <c r="AM164" s="74">
        <f ca="1">INDIRECT(ADDRESS(11+(MATCH(RIGHT(Table2[[#This Row],[spawner_sku]],LEN(Table2[[#This Row],[spawner_sku]])-FIND("/",Table2[[#This Row],[spawner_sku]])),Table1[Entity Prefab],0)),10,1,1,"Entities"))</f>
        <v>25</v>
      </c>
      <c r="AN164" s="74">
        <f ca="1">ROUND((Table2[[#This Row],[XP]]*Table2[[#This Row],[entity_spawned (AVG)]])*(Table2[[#This Row],[activating_chance]]/100),0)</f>
        <v>25</v>
      </c>
      <c r="AO164" s="71" t="str">
        <f ca="1">INDIRECT(ADDRESS(11+(MATCH(RIGHT(Table2[[#This Row],[spawner_sku]],LEN(Table2[[#This Row],[spawner_sku]])-FIND("/",Table2[[#This Row],[spawner_sku]])),Table28[Entity Prefab],0)),24,1,1,"Entities"))</f>
        <v>yes</v>
      </c>
      <c r="AP164" s="71">
        <v>1</v>
      </c>
      <c r="AQ164" s="71">
        <v>1</v>
      </c>
      <c r="AR164" s="71" t="b">
        <v>0</v>
      </c>
      <c r="AT164" t="s">
        <v>243</v>
      </c>
      <c r="AU164">
        <v>1</v>
      </c>
      <c r="AV164">
        <v>120</v>
      </c>
      <c r="AW164">
        <v>100</v>
      </c>
      <c r="AX164" s="74">
        <f ca="1">INDIRECT(ADDRESS(11+(MATCH(RIGHT(Table6[[#This Row],[spawner_sku]],LEN(Table6[[#This Row],[spawner_sku]])-FIND("/",Table6[[#This Row],[spawner_sku]])),Table1[Entity Prefab],0)),10,1,1,"Entities"))</f>
        <v>25</v>
      </c>
      <c r="AY164" s="74">
        <f ca="1">ROUND((Table6[[#This Row],[XP]]*Table6[[#This Row],[entity_spawned (AVG)]])*(Table6[[#This Row],[activating_chance]]/100),0)</f>
        <v>25</v>
      </c>
      <c r="AZ164" s="144" t="str">
        <f ca="1">INDIRECT(ADDRESS(11+(MATCH(RIGHT(Table6[[#This Row],[spawner_sku]],LEN(Table6[[#This Row],[spawner_sku]])-FIND("/",Table6[[#This Row],[spawner_sku]])),Table28[Entity Prefab],0)),24,1,1,"Entities"))</f>
        <v>no</v>
      </c>
      <c r="BA164">
        <v>1</v>
      </c>
      <c r="BB164">
        <v>1</v>
      </c>
      <c r="BC164" t="b">
        <v>0</v>
      </c>
      <c r="BE164" t="s">
        <v>233</v>
      </c>
      <c r="BF164">
        <v>1</v>
      </c>
      <c r="BG164">
        <v>500</v>
      </c>
      <c r="BH164">
        <v>50</v>
      </c>
      <c r="BI164" s="74">
        <f ca="1">INDIRECT(ADDRESS(11+(MATCH(RIGHT(Table610[[#This Row],[spawner_sku]],LEN(Table610[[#This Row],[spawner_sku]])-FIND("/",Table610[[#This Row],[spawner_sku]])),Table1[Entity Prefab],0)),10,1,1,"Entities"))</f>
        <v>25</v>
      </c>
      <c r="BJ164" s="74">
        <f ca="1">ROUND((Table610[[#This Row],[XP]]*Table610[[#This Row],[entity_spawned (AVG)]])*(Table610[[#This Row],[activating_chance]]/100),0)</f>
        <v>13</v>
      </c>
      <c r="BK164" s="71" t="str">
        <f ca="1">INDIRECT(ADDRESS(11+(MATCH(RIGHT(Table610[[#This Row],[spawner_sku]],LEN(Table610[[#This Row],[spawner_sku]])-FIND("/",Table610[[#This Row],[spawner_sku]])),Table28[Entity Prefab],0)),24,1,1,"Entities"))</f>
        <v>no</v>
      </c>
      <c r="BL164">
        <v>1</v>
      </c>
      <c r="BM164">
        <v>1</v>
      </c>
      <c r="BN164" t="b">
        <v>0</v>
      </c>
      <c r="BP164" t="s">
        <v>383</v>
      </c>
      <c r="BQ164">
        <v>1</v>
      </c>
      <c r="BR164">
        <v>340</v>
      </c>
      <c r="BS164">
        <v>100</v>
      </c>
      <c r="BT164" s="74">
        <f ca="1">INDIRECT(ADDRESS(11+(MATCH(RIGHT(Table61011[[#This Row],[spawner_sku]],LEN(Table61011[[#This Row],[spawner_sku]])-FIND("/",Table61011[[#This Row],[spawner_sku]])),Table1[Entity Prefab],0)),10,1,1,"Entities"))</f>
        <v>263</v>
      </c>
      <c r="BU164" s="74">
        <f ca="1">ROUND((Table61011[[#This Row],[XP]]*Table61011[[#This Row],[entity_spawned (AVG)]])*(Table61011[[#This Row],[activating_chance]]/100),0)</f>
        <v>263</v>
      </c>
      <c r="BV164" s="71" t="str">
        <f ca="1">INDIRECT(ADDRESS(11+(MATCH(RIGHT(Table61011[[#This Row],[spawner_sku]],LEN(Table61011[[#This Row],[spawner_sku]])-FIND("/",Table61011[[#This Row],[spawner_sku]])),Table28[Entity Prefab],0)),24,1,1,"Entities"))</f>
        <v>yes</v>
      </c>
      <c r="BW164" s="71">
        <v>1</v>
      </c>
      <c r="BX164" s="71">
        <v>1</v>
      </c>
      <c r="BY164" s="71" t="b">
        <v>0</v>
      </c>
      <c r="BZ164" s="71"/>
      <c r="CA164" s="147" t="s">
        <v>3819</v>
      </c>
      <c r="CB164">
        <v>1</v>
      </c>
      <c r="CC164">
        <v>240</v>
      </c>
      <c r="CD164">
        <v>100</v>
      </c>
      <c r="CE164" s="74">
        <f ca="1">INDIRECT(ADDRESS(11+(MATCH(RIGHT(Table35[[#This Row],[spawner_sku]],LEN(Table35[[#This Row],[spawner_sku]])-FIND("/",Table35[[#This Row],[spawner_sku]])),Table1[Entity Prefab],0)),10,1,1,"Entities"))</f>
        <v>10</v>
      </c>
      <c r="CF164" s="74">
        <f ca="1">ROUND((Table35[[#This Row],[XP]]*Table35[[#This Row],[entity_spawned (AVG)]])*(Table35[[#This Row],[activating_chance]]/100),0)</f>
        <v>10</v>
      </c>
      <c r="CG164" s="144" t="str">
        <f ca="1">INDIRECT(ADDRESS(11+(MATCH(RIGHT(Table35[[#This Row],[spawner_sku]],LEN(Table35[[#This Row],[spawner_sku]])-FIND("/",Table35[[#This Row],[spawner_sku]])),Table28[Entity Prefab],0)),24,1,1,"Entities"))</f>
        <v>no</v>
      </c>
      <c r="CH164">
        <v>1</v>
      </c>
      <c r="CI164">
        <v>1</v>
      </c>
      <c r="CJ164" s="71" t="b">
        <v>0</v>
      </c>
      <c r="CL164" t="s">
        <v>218</v>
      </c>
      <c r="CM164">
        <v>1</v>
      </c>
      <c r="CN164">
        <v>5000</v>
      </c>
      <c r="CO164">
        <v>100</v>
      </c>
      <c r="CP164" s="74">
        <f ca="1">INDIRECT(ADDRESS(11+(MATCH(RIGHT(Table11[[#This Row],[spawner_sku]],LEN(Table11[[#This Row],[spawner_sku]])-FIND("/",Table11[[#This Row],[spawner_sku]])),Table1[Entity Prefab],0)),10,1,1,"Entities"))</f>
        <v>75</v>
      </c>
      <c r="CQ164">
        <f ca="1">ROUND((Table11[[#This Row],[XP]]*Table11[[#This Row],[entity_spawned (AVG)]])*(Table11[[#This Row],[activating_chance]]/100),0)</f>
        <v>75</v>
      </c>
      <c r="CR164" s="144" t="str">
        <f ca="1">INDIRECT(ADDRESS(11+(MATCH(RIGHT(Table11[[#This Row],[spawner_sku]],LEN(Table11[[#This Row],[spawner_sku]])-FIND("/",Table11[[#This Row],[spawner_sku]])),Table28[Entity Prefab],0)),25,1,1,"Entities"))</f>
        <v>no</v>
      </c>
      <c r="CS164" s="71">
        <v>1</v>
      </c>
      <c r="CT164" s="71">
        <v>1</v>
      </c>
      <c r="CU164" s="71" t="b">
        <v>0</v>
      </c>
      <c r="CW164" t="s">
        <v>242</v>
      </c>
      <c r="CX164">
        <v>1</v>
      </c>
      <c r="CY164">
        <v>150</v>
      </c>
      <c r="CZ164">
        <v>100</v>
      </c>
      <c r="DA164" s="74">
        <f ca="1">INDIRECT(ADDRESS(11+(MATCH(RIGHT(Table12[[#This Row],[spawner_sku]],LEN(Table12[[#This Row],[spawner_sku]])-FIND("/",Table12[[#This Row],[spawner_sku]])),Table1[Entity Prefab],0)),10,1,1,"Entities"))</f>
        <v>25</v>
      </c>
      <c r="DB164" s="74">
        <f ca="1">ROUND((Table12[[#This Row],[XP]]*Table12[[#This Row],[entity_spawned (AVG)]])*(Table12[[#This Row],[activating_chance]]/100),0)</f>
        <v>25</v>
      </c>
      <c r="DC164" s="144" t="str">
        <f ca="1">INDIRECT(ADDRESS(11+(MATCH(RIGHT(Table12[[#This Row],[spawner_sku]],LEN(Table12[[#This Row],[spawner_sku]])-FIND("/",Table12[[#This Row],[spawner_sku]])),Table28[Entity Prefab],0)),25,1,1,"Entities"))</f>
        <v>no</v>
      </c>
      <c r="DD164" s="71">
        <v>1</v>
      </c>
      <c r="DE164" s="71">
        <v>1</v>
      </c>
      <c r="DF164" s="71" t="b">
        <v>0</v>
      </c>
      <c r="DH164" t="s">
        <v>240</v>
      </c>
      <c r="DI164">
        <v>1</v>
      </c>
      <c r="DJ164">
        <v>170</v>
      </c>
      <c r="DK164">
        <v>100</v>
      </c>
      <c r="DL164" s="74">
        <f ca="1">INDIRECT(ADDRESS(11+(MATCH(RIGHT(Table13[[#This Row],[spawner_sku]],LEN(Table13[[#This Row],[spawner_sku]])-FIND("/",Table13[[#This Row],[spawner_sku]])),Table1[Entity Prefab],0)),10,1,1,"Entities"))</f>
        <v>70</v>
      </c>
      <c r="DM164" s="74">
        <f ca="1">ROUND((Table13[[#This Row],[XP]]*Table13[[#This Row],[entity_spawned (AVG)]])*(Table13[[#This Row],[activating_chance]]/100),0)</f>
        <v>70</v>
      </c>
      <c r="DN164" s="144" t="str">
        <f ca="1">INDIRECT(ADDRESS(11+(MATCH(RIGHT(Table13[[#This Row],[spawner_sku]],LEN(Table13[[#This Row],[spawner_sku]])-FIND("/",Table13[[#This Row],[spawner_sku]])),Table28[Entity Prefab],0)),25,1,1,"Entities"))</f>
        <v>yes</v>
      </c>
      <c r="DO164" s="71">
        <v>1</v>
      </c>
      <c r="DP164" s="71">
        <v>1</v>
      </c>
      <c r="DQ164" s="71" t="b">
        <v>0</v>
      </c>
      <c r="DS164" t="s">
        <v>223</v>
      </c>
      <c r="DT164">
        <v>2.5</v>
      </c>
      <c r="DU164">
        <v>170</v>
      </c>
      <c r="DV164">
        <v>100</v>
      </c>
      <c r="DW164" s="74">
        <f ca="1">INDIRECT(ADDRESS(11+(MATCH(RIGHT(Table14[[#This Row],[spawner_sku]],LEN(Table14[[#This Row],[spawner_sku]])-FIND("/",Table14[[#This Row],[spawner_sku]])),Table1[Entity Prefab],0)),10,1,1,"Entities"))</f>
        <v>70</v>
      </c>
      <c r="DX164" s="74">
        <f ca="1">ROUND((Table14[[#This Row],[XP]]*Table14[[#This Row],[entity_spawned (AVG)]])*(Table14[[#This Row],[activating_chance]]/100),0)</f>
        <v>175</v>
      </c>
      <c r="DY164" s="144" t="str">
        <f ca="1">INDIRECT(ADDRESS(11+(MATCH(RIGHT(Table14[[#This Row],[spawner_sku]],LEN(Table14[[#This Row],[spawner_sku]])-FIND("/",Table14[[#This Row],[spawner_sku]])),Table28[Entity Prefab],0)),25,1,1,"Entities"))</f>
        <v>no</v>
      </c>
      <c r="DZ164" s="71">
        <v>2</v>
      </c>
      <c r="EA164" s="71">
        <v>3</v>
      </c>
      <c r="EB164" s="71" t="b">
        <v>0</v>
      </c>
      <c r="EC164" s="71"/>
      <c r="ED164" s="71"/>
      <c r="EE164" s="71"/>
      <c r="EF164" s="71"/>
      <c r="EG164" s="71"/>
      <c r="EH164" s="71"/>
      <c r="EI164" s="71"/>
      <c r="EJ164" s="71"/>
      <c r="EK164" s="71"/>
      <c r="EL164" s="71"/>
      <c r="EM164" s="71"/>
      <c r="EO164" t="s">
        <v>221</v>
      </c>
      <c r="EP164">
        <v>1.5</v>
      </c>
      <c r="EQ164">
        <v>240</v>
      </c>
      <c r="ER164">
        <v>100</v>
      </c>
      <c r="ES164" s="74">
        <f ca="1">INDIRECT(ADDRESS(11+(MATCH(RIGHT(Table18[[#This Row],[spawner_sku]],LEN(Table18[[#This Row],[spawner_sku]])-FIND("/",Table18[[#This Row],[spawner_sku]])),Table1[Entity Prefab],0)),10,1,1,"Entities"))</f>
        <v>263</v>
      </c>
      <c r="ET164" s="74">
        <f ca="1">ROUND((Table18[[#This Row],[XP]]*Table18[[#This Row],[entity_spawned (AVG)]])*(Table18[[#This Row],[activating_chance]]/100),0)</f>
        <v>395</v>
      </c>
      <c r="EU164" s="74" t="str">
        <f ca="1">INDIRECT(ADDRESS(11+(MATCH(RIGHT(Table18[[#This Row],[spawner_sku]],LEN(Table18[[#This Row],[spawner_sku]])-FIND("/",Table18[[#This Row],[spawner_sku]])),Table28[Entity Prefab],0)),26,1,1,"Entities"))</f>
        <v>yes</v>
      </c>
      <c r="EV164">
        <v>1</v>
      </c>
      <c r="EW164">
        <v>2</v>
      </c>
      <c r="EX164" t="b">
        <v>0</v>
      </c>
      <c r="EZ164" t="s">
        <v>583</v>
      </c>
      <c r="FA164">
        <v>1.5</v>
      </c>
      <c r="FB164">
        <v>120</v>
      </c>
      <c r="FC164">
        <v>80</v>
      </c>
      <c r="FD164" s="74">
        <f ca="1">INDIRECT(ADDRESS(11+(MATCH(RIGHT(Table1820[[#This Row],[spawner_sku]],LEN(Table1820[[#This Row],[spawner_sku]])-FIND("/",Table1820[[#This Row],[spawner_sku]])),Table1[Entity Prefab],0)),10,1,1,"Entities"))</f>
        <v>48</v>
      </c>
      <c r="FE164" s="74">
        <f ca="1">ROUND((Table1820[[#This Row],[XP]]*Table1820[[#This Row],[entity_spawned (AVG)]])*(Table1820[[#This Row],[activating_chance]]/100),0)</f>
        <v>58</v>
      </c>
      <c r="FF164" s="74" t="str">
        <f ca="1">INDIRECT(ADDRESS(11+(MATCH(RIGHT(Table1820[[#This Row],[spawner_sku]],LEN(Table1820[[#This Row],[spawner_sku]])-FIND("/",Table1820[[#This Row],[spawner_sku]])),Table28[Entity Prefab],0)),26,1,1,"Entities"))</f>
        <v>no</v>
      </c>
      <c r="FG164">
        <v>1</v>
      </c>
      <c r="FH164">
        <v>2</v>
      </c>
      <c r="FI164" t="b">
        <v>0</v>
      </c>
      <c r="FK164" t="s">
        <v>2690</v>
      </c>
      <c r="FL164">
        <v>1</v>
      </c>
      <c r="FM164">
        <v>70</v>
      </c>
      <c r="FN164">
        <v>100</v>
      </c>
      <c r="FO164">
        <f ca="1">INDIRECT(ADDRESS(11+(MATCH(RIGHT(Table182023[[#This Row],[spawner_sku]],LEN(Table182023[[#This Row],[spawner_sku]])-FIND("/",Table182023[[#This Row],[spawner_sku]])),Table1[Entity Prefab],0)),10,1,1,"Entities"))</f>
        <v>25</v>
      </c>
      <c r="FP164">
        <f ca="1">ROUND((Table182023[[#This Row],[XP]]*Table182023[[#This Row],[entity_spawned (AVG)]])*(Table182023[[#This Row],[activating_chance]]/100),0)</f>
        <v>25</v>
      </c>
      <c r="FQ164" t="str">
        <f ca="1">INDIRECT(ADDRESS(11+(MATCH(RIGHT(Table182023[[#This Row],[spawner_sku]],LEN(Table182023[[#This Row],[spawner_sku]])-FIND("/",Table182023[[#This Row],[spawner_sku]])),Table28[Entity Prefab],0)),26,1,1,"Entities"))</f>
        <v>no</v>
      </c>
      <c r="FR164">
        <v>1</v>
      </c>
      <c r="FS164">
        <v>1</v>
      </c>
      <c r="FT164" t="b">
        <v>0</v>
      </c>
      <c r="FV164" t="s">
        <v>2697</v>
      </c>
      <c r="FW164">
        <v>3</v>
      </c>
      <c r="FX164">
        <v>70</v>
      </c>
      <c r="FY164">
        <v>100</v>
      </c>
      <c r="FZ164" s="74">
        <f ca="1">INDIRECT(ADDRESS(11+(MATCH(RIGHT(Table18202324[[#This Row],[spawner_sku]],LEN(Table18202324[[#This Row],[spawner_sku]])-FIND("/",Table18202324[[#This Row],[spawner_sku]])),Table1[Entity Prefab],0)),10,1,1,"Entities"))</f>
        <v>25</v>
      </c>
      <c r="GA164" s="74">
        <f ca="1">ROUND((Table18202324[[#This Row],[XP]]*Table18202324[[#This Row],[entity_spawned (AVG)]])*(Table18202324[[#This Row],[activating_chance]]/100),0)</f>
        <v>75</v>
      </c>
      <c r="GB164" s="74" t="str">
        <f ca="1">INDIRECT(ADDRESS(11+(MATCH(RIGHT(Table18202324[[#This Row],[spawner_sku]],LEN(Table18202324[[#This Row],[spawner_sku]])-FIND("/",Table18202324[[#This Row],[spawner_sku]])),Table28[Entity Prefab],0)),26,1,1,"Entities"))</f>
        <v>no</v>
      </c>
      <c r="GC164">
        <v>2</v>
      </c>
      <c r="GD164">
        <v>4</v>
      </c>
      <c r="GE164" t="b">
        <v>0</v>
      </c>
    </row>
    <row r="165" spans="2:187" x14ac:dyDescent="0.25">
      <c r="B165" s="72" t="s">
        <v>216</v>
      </c>
      <c r="C165">
        <v>2</v>
      </c>
      <c r="D165">
        <v>130</v>
      </c>
      <c r="E165">
        <v>100</v>
      </c>
      <c r="F165" s="74">
        <f ca="1">INDIRECT(ADDRESS(11+(MATCH(RIGHT(Table245[[#This Row],[spawner_sku]],LEN(Table245[[#This Row],[spawner_sku]])-FIND("/",Table245[[#This Row],[spawner_sku]])),Table1[Entity Prefab],0)),10,1,1,"Entities"))</f>
        <v>25</v>
      </c>
      <c r="G165" s="74">
        <f ca="1">ROUND((Table245[[#This Row],[XP]]*Table245[[#This Row],[entity_spawned (AVG)]])*(Table245[[#This Row],[activating_chance]]/100),0)</f>
        <v>50</v>
      </c>
      <c r="H165" s="71" t="str">
        <f ca="1">INDIRECT(ADDRESS(11+(MATCH(RIGHT(Table245[[#This Row],[spawner_sku]],LEN(Table245[[#This Row],[spawner_sku]])-FIND("/",Table245[[#This Row],[spawner_sku]])),Table28[Entity Prefab],0)),24,1,1,"Entities"))</f>
        <v>no</v>
      </c>
      <c r="I165" s="71">
        <v>1</v>
      </c>
      <c r="J165" s="71">
        <v>3</v>
      </c>
      <c r="K165" s="71" t="b">
        <v>0</v>
      </c>
      <c r="M165" t="s">
        <v>233</v>
      </c>
      <c r="N165">
        <v>1</v>
      </c>
      <c r="O165">
        <v>500</v>
      </c>
      <c r="P165">
        <v>75</v>
      </c>
      <c r="Q165" s="74">
        <f ca="1">INDIRECT(ADDRESS(11+(MATCH(RIGHT(Table3[[#This Row],[spawner_sku]],LEN(Table3[[#This Row],[spawner_sku]])-FIND("/",Table3[[#This Row],[spawner_sku]])),Table1[Entity Prefab],0)),10,1,1,"Entities"))</f>
        <v>25</v>
      </c>
      <c r="R165" s="74">
        <f ca="1">ROUND((Table3[[#This Row],[XP]]*Table3[[#This Row],[entity_spawned (AVG)]])*(Table3[[#This Row],[activating_chance]]/100),0)</f>
        <v>19</v>
      </c>
      <c r="S165" t="str">
        <f ca="1">INDIRECT(ADDRESS(11+(MATCH(RIGHT(Table3[[#This Row],[spawner_sku]],LEN(Table3[[#This Row],[spawner_sku]])-FIND("/",Table3[[#This Row],[spawner_sku]])),Table28[Entity Prefab],0)),24,1,1,"Entities"))</f>
        <v>no</v>
      </c>
      <c r="T165">
        <v>1</v>
      </c>
      <c r="U165">
        <v>1</v>
      </c>
      <c r="V165" t="b">
        <v>0</v>
      </c>
      <c r="W165" s="71"/>
      <c r="AI165" t="s">
        <v>222</v>
      </c>
      <c r="AJ165">
        <v>1</v>
      </c>
      <c r="AK165">
        <v>180</v>
      </c>
      <c r="AL165">
        <v>100</v>
      </c>
      <c r="AM165" s="74">
        <f ca="1">INDIRECT(ADDRESS(11+(MATCH(RIGHT(Table2[[#This Row],[spawner_sku]],LEN(Table2[[#This Row],[spawner_sku]])-FIND("/",Table2[[#This Row],[spawner_sku]])),Table1[Entity Prefab],0)),10,1,1,"Entities"))</f>
        <v>25</v>
      </c>
      <c r="AN165" s="74">
        <f ca="1">ROUND((Table2[[#This Row],[XP]]*Table2[[#This Row],[entity_spawned (AVG)]])*(Table2[[#This Row],[activating_chance]]/100),0)</f>
        <v>25</v>
      </c>
      <c r="AO165" s="71" t="str">
        <f ca="1">INDIRECT(ADDRESS(11+(MATCH(RIGHT(Table2[[#This Row],[spawner_sku]],LEN(Table2[[#This Row],[spawner_sku]])-FIND("/",Table2[[#This Row],[spawner_sku]])),Table28[Entity Prefab],0)),24,1,1,"Entities"))</f>
        <v>yes</v>
      </c>
      <c r="AP165" s="71">
        <v>1</v>
      </c>
      <c r="AQ165" s="71">
        <v>1</v>
      </c>
      <c r="AR165" s="71" t="b">
        <v>0</v>
      </c>
      <c r="AT165" t="s">
        <v>243</v>
      </c>
      <c r="AU165">
        <v>1</v>
      </c>
      <c r="AV165">
        <v>150</v>
      </c>
      <c r="AW165">
        <v>100</v>
      </c>
      <c r="AX165" s="74">
        <f ca="1">INDIRECT(ADDRESS(11+(MATCH(RIGHT(Table6[[#This Row],[spawner_sku]],LEN(Table6[[#This Row],[spawner_sku]])-FIND("/",Table6[[#This Row],[spawner_sku]])),Table1[Entity Prefab],0)),10,1,1,"Entities"))</f>
        <v>25</v>
      </c>
      <c r="AY165" s="74">
        <f ca="1">ROUND((Table6[[#This Row],[XP]]*Table6[[#This Row],[entity_spawned (AVG)]])*(Table6[[#This Row],[activating_chance]]/100),0)</f>
        <v>25</v>
      </c>
      <c r="AZ165" s="144" t="str">
        <f ca="1">INDIRECT(ADDRESS(11+(MATCH(RIGHT(Table6[[#This Row],[spawner_sku]],LEN(Table6[[#This Row],[spawner_sku]])-FIND("/",Table6[[#This Row],[spawner_sku]])),Table28[Entity Prefab],0)),24,1,1,"Entities"))</f>
        <v>no</v>
      </c>
      <c r="BA165">
        <v>1</v>
      </c>
      <c r="BB165">
        <v>1</v>
      </c>
      <c r="BC165" t="b">
        <v>0</v>
      </c>
      <c r="BE165" t="s">
        <v>233</v>
      </c>
      <c r="BF165">
        <v>1</v>
      </c>
      <c r="BG165">
        <v>500</v>
      </c>
      <c r="BH165">
        <v>100</v>
      </c>
      <c r="BI165" s="74">
        <f ca="1">INDIRECT(ADDRESS(11+(MATCH(RIGHT(Table610[[#This Row],[spawner_sku]],LEN(Table610[[#This Row],[spawner_sku]])-FIND("/",Table610[[#This Row],[spawner_sku]])),Table1[Entity Prefab],0)),10,1,1,"Entities"))</f>
        <v>25</v>
      </c>
      <c r="BJ165" s="74">
        <f ca="1">ROUND((Table610[[#This Row],[XP]]*Table610[[#This Row],[entity_spawned (AVG)]])*(Table610[[#This Row],[activating_chance]]/100),0)</f>
        <v>25</v>
      </c>
      <c r="BK165" s="71" t="str">
        <f ca="1">INDIRECT(ADDRESS(11+(MATCH(RIGHT(Table610[[#This Row],[spawner_sku]],LEN(Table610[[#This Row],[spawner_sku]])-FIND("/",Table610[[#This Row],[spawner_sku]])),Table28[Entity Prefab],0)),24,1,1,"Entities"))</f>
        <v>no</v>
      </c>
      <c r="BL165">
        <v>1</v>
      </c>
      <c r="BM165">
        <v>1</v>
      </c>
      <c r="BN165" t="b">
        <v>0</v>
      </c>
      <c r="BP165" t="s">
        <v>383</v>
      </c>
      <c r="BQ165">
        <v>1</v>
      </c>
      <c r="BR165">
        <v>340</v>
      </c>
      <c r="BS165">
        <v>100</v>
      </c>
      <c r="BT165" s="74">
        <f ca="1">INDIRECT(ADDRESS(11+(MATCH(RIGHT(Table61011[[#This Row],[spawner_sku]],LEN(Table61011[[#This Row],[spawner_sku]])-FIND("/",Table61011[[#This Row],[spawner_sku]])),Table1[Entity Prefab],0)),10,1,1,"Entities"))</f>
        <v>263</v>
      </c>
      <c r="BU165" s="74">
        <f ca="1">ROUND((Table61011[[#This Row],[XP]]*Table61011[[#This Row],[entity_spawned (AVG)]])*(Table61011[[#This Row],[activating_chance]]/100),0)</f>
        <v>263</v>
      </c>
      <c r="BV165" s="71" t="str">
        <f ca="1">INDIRECT(ADDRESS(11+(MATCH(RIGHT(Table61011[[#This Row],[spawner_sku]],LEN(Table61011[[#This Row],[spawner_sku]])-FIND("/",Table61011[[#This Row],[spawner_sku]])),Table28[Entity Prefab],0)),24,1,1,"Entities"))</f>
        <v>yes</v>
      </c>
      <c r="BW165" s="71">
        <v>1</v>
      </c>
      <c r="BX165" s="71">
        <v>1</v>
      </c>
      <c r="BY165" s="71" t="b">
        <v>0</v>
      </c>
      <c r="BZ165" s="71"/>
      <c r="CA165" s="147" t="s">
        <v>3819</v>
      </c>
      <c r="CB165">
        <v>1</v>
      </c>
      <c r="CC165">
        <v>240</v>
      </c>
      <c r="CD165">
        <v>100</v>
      </c>
      <c r="CE165" s="74">
        <f ca="1">INDIRECT(ADDRESS(11+(MATCH(RIGHT(Table35[[#This Row],[spawner_sku]],LEN(Table35[[#This Row],[spawner_sku]])-FIND("/",Table35[[#This Row],[spawner_sku]])),Table1[Entity Prefab],0)),10,1,1,"Entities"))</f>
        <v>10</v>
      </c>
      <c r="CF165" s="74">
        <f ca="1">ROUND((Table35[[#This Row],[XP]]*Table35[[#This Row],[entity_spawned (AVG)]])*(Table35[[#This Row],[activating_chance]]/100),0)</f>
        <v>10</v>
      </c>
      <c r="CG165" s="144" t="str">
        <f ca="1">INDIRECT(ADDRESS(11+(MATCH(RIGHT(Table35[[#This Row],[spawner_sku]],LEN(Table35[[#This Row],[spawner_sku]])-FIND("/",Table35[[#This Row],[spawner_sku]])),Table28[Entity Prefab],0)),24,1,1,"Entities"))</f>
        <v>no</v>
      </c>
      <c r="CH165">
        <v>1</v>
      </c>
      <c r="CI165">
        <v>1</v>
      </c>
      <c r="CJ165" s="71" t="b">
        <v>0</v>
      </c>
      <c r="CL165" t="s">
        <v>218</v>
      </c>
      <c r="CM165">
        <v>1</v>
      </c>
      <c r="CN165">
        <v>5000</v>
      </c>
      <c r="CO165">
        <v>100</v>
      </c>
      <c r="CP165" s="74">
        <f ca="1">INDIRECT(ADDRESS(11+(MATCH(RIGHT(Table11[[#This Row],[spawner_sku]],LEN(Table11[[#This Row],[spawner_sku]])-FIND("/",Table11[[#This Row],[spawner_sku]])),Table1[Entity Prefab],0)),10,1,1,"Entities"))</f>
        <v>75</v>
      </c>
      <c r="CQ165">
        <f ca="1">ROUND((Table11[[#This Row],[XP]]*Table11[[#This Row],[entity_spawned (AVG)]])*(Table11[[#This Row],[activating_chance]]/100),0)</f>
        <v>75</v>
      </c>
      <c r="CR165" s="144" t="str">
        <f ca="1">INDIRECT(ADDRESS(11+(MATCH(RIGHT(Table11[[#This Row],[spawner_sku]],LEN(Table11[[#This Row],[spawner_sku]])-FIND("/",Table11[[#This Row],[spawner_sku]])),Table28[Entity Prefab],0)),25,1,1,"Entities"))</f>
        <v>no</v>
      </c>
      <c r="CS165" s="71">
        <v>1</v>
      </c>
      <c r="CT165" s="71">
        <v>1</v>
      </c>
      <c r="CU165" s="71" t="b">
        <v>0</v>
      </c>
      <c r="CW165" t="s">
        <v>242</v>
      </c>
      <c r="CX165">
        <v>1</v>
      </c>
      <c r="CY165">
        <v>150</v>
      </c>
      <c r="CZ165">
        <v>30</v>
      </c>
      <c r="DA165" s="74">
        <f ca="1">INDIRECT(ADDRESS(11+(MATCH(RIGHT(Table12[[#This Row],[spawner_sku]],LEN(Table12[[#This Row],[spawner_sku]])-FIND("/",Table12[[#This Row],[spawner_sku]])),Table1[Entity Prefab],0)),10,1,1,"Entities"))</f>
        <v>25</v>
      </c>
      <c r="DB165" s="74">
        <f ca="1">ROUND((Table12[[#This Row],[XP]]*Table12[[#This Row],[entity_spawned (AVG)]])*(Table12[[#This Row],[activating_chance]]/100),0)</f>
        <v>8</v>
      </c>
      <c r="DC165" s="144" t="str">
        <f ca="1">INDIRECT(ADDRESS(11+(MATCH(RIGHT(Table12[[#This Row],[spawner_sku]],LEN(Table12[[#This Row],[spawner_sku]])-FIND("/",Table12[[#This Row],[spawner_sku]])),Table28[Entity Prefab],0)),25,1,1,"Entities"))</f>
        <v>no</v>
      </c>
      <c r="DD165" s="71">
        <v>1</v>
      </c>
      <c r="DE165" s="71">
        <v>1</v>
      </c>
      <c r="DF165" s="71" t="b">
        <v>0</v>
      </c>
      <c r="DH165" t="s">
        <v>240</v>
      </c>
      <c r="DI165">
        <v>1</v>
      </c>
      <c r="DJ165">
        <v>170</v>
      </c>
      <c r="DK165">
        <v>100</v>
      </c>
      <c r="DL165" s="74">
        <f ca="1">INDIRECT(ADDRESS(11+(MATCH(RIGHT(Table13[[#This Row],[spawner_sku]],LEN(Table13[[#This Row],[spawner_sku]])-FIND("/",Table13[[#This Row],[spawner_sku]])),Table1[Entity Prefab],0)),10,1,1,"Entities"))</f>
        <v>70</v>
      </c>
      <c r="DM165" s="74">
        <f ca="1">ROUND((Table13[[#This Row],[XP]]*Table13[[#This Row],[entity_spawned (AVG)]])*(Table13[[#This Row],[activating_chance]]/100),0)</f>
        <v>70</v>
      </c>
      <c r="DN165" s="144" t="str">
        <f ca="1">INDIRECT(ADDRESS(11+(MATCH(RIGHT(Table13[[#This Row],[spawner_sku]],LEN(Table13[[#This Row],[spawner_sku]])-FIND("/",Table13[[#This Row],[spawner_sku]])),Table28[Entity Prefab],0)),25,1,1,"Entities"))</f>
        <v>yes</v>
      </c>
      <c r="DO165" s="71">
        <v>1</v>
      </c>
      <c r="DP165" s="71">
        <v>1</v>
      </c>
      <c r="DQ165" s="71" t="b">
        <v>0</v>
      </c>
      <c r="DS165" t="s">
        <v>223</v>
      </c>
      <c r="DT165">
        <v>1</v>
      </c>
      <c r="DU165">
        <v>90</v>
      </c>
      <c r="DV165">
        <v>100</v>
      </c>
      <c r="DW165" s="74">
        <f ca="1">INDIRECT(ADDRESS(11+(MATCH(RIGHT(Table14[[#This Row],[spawner_sku]],LEN(Table14[[#This Row],[spawner_sku]])-FIND("/",Table14[[#This Row],[spawner_sku]])),Table1[Entity Prefab],0)),10,1,1,"Entities"))</f>
        <v>70</v>
      </c>
      <c r="DX165" s="74">
        <f ca="1">ROUND((Table14[[#This Row],[XP]]*Table14[[#This Row],[entity_spawned (AVG)]])*(Table14[[#This Row],[activating_chance]]/100),0)</f>
        <v>70</v>
      </c>
      <c r="DY165" s="144" t="str">
        <f ca="1">INDIRECT(ADDRESS(11+(MATCH(RIGHT(Table14[[#This Row],[spawner_sku]],LEN(Table14[[#This Row],[spawner_sku]])-FIND("/",Table14[[#This Row],[spawner_sku]])),Table28[Entity Prefab],0)),25,1,1,"Entities"))</f>
        <v>no</v>
      </c>
      <c r="DZ165" s="71">
        <v>1</v>
      </c>
      <c r="EA165" s="71">
        <v>1</v>
      </c>
      <c r="EB165" s="71" t="b">
        <v>0</v>
      </c>
      <c r="EC165" s="71"/>
      <c r="ED165" s="71"/>
      <c r="EE165" s="71"/>
      <c r="EF165" s="71"/>
      <c r="EG165" s="71"/>
      <c r="EH165" s="71"/>
      <c r="EI165" s="71"/>
      <c r="EJ165" s="71"/>
      <c r="EK165" s="71"/>
      <c r="EL165" s="71"/>
      <c r="EM165" s="71"/>
      <c r="EO165" t="s">
        <v>383</v>
      </c>
      <c r="EP165">
        <v>1.5</v>
      </c>
      <c r="EQ165">
        <v>340</v>
      </c>
      <c r="ER165">
        <v>100</v>
      </c>
      <c r="ES165" s="74">
        <f ca="1">INDIRECT(ADDRESS(11+(MATCH(RIGHT(Table18[[#This Row],[spawner_sku]],LEN(Table18[[#This Row],[spawner_sku]])-FIND("/",Table18[[#This Row],[spawner_sku]])),Table1[Entity Prefab],0)),10,1,1,"Entities"))</f>
        <v>263</v>
      </c>
      <c r="ET165" s="74">
        <f ca="1">ROUND((Table18[[#This Row],[XP]]*Table18[[#This Row],[entity_spawned (AVG)]])*(Table18[[#This Row],[activating_chance]]/100),0)</f>
        <v>395</v>
      </c>
      <c r="EU165" s="74" t="str">
        <f ca="1">INDIRECT(ADDRESS(11+(MATCH(RIGHT(Table18[[#This Row],[spawner_sku]],LEN(Table18[[#This Row],[spawner_sku]])-FIND("/",Table18[[#This Row],[spawner_sku]])),Table28[Entity Prefab],0)),26,1,1,"Entities"))</f>
        <v>yes</v>
      </c>
      <c r="EV165">
        <v>1</v>
      </c>
      <c r="EW165">
        <v>2</v>
      </c>
      <c r="EX165" t="b">
        <v>0</v>
      </c>
      <c r="EZ165" t="s">
        <v>583</v>
      </c>
      <c r="FA165">
        <v>1</v>
      </c>
      <c r="FB165">
        <v>120</v>
      </c>
      <c r="FC165">
        <v>100</v>
      </c>
      <c r="FD165" s="74">
        <f ca="1">INDIRECT(ADDRESS(11+(MATCH(RIGHT(Table1820[[#This Row],[spawner_sku]],LEN(Table1820[[#This Row],[spawner_sku]])-FIND("/",Table1820[[#This Row],[spawner_sku]])),Table1[Entity Prefab],0)),10,1,1,"Entities"))</f>
        <v>48</v>
      </c>
      <c r="FE165" s="74">
        <f ca="1">ROUND((Table1820[[#This Row],[XP]]*Table1820[[#This Row],[entity_spawned (AVG)]])*(Table1820[[#This Row],[activating_chance]]/100),0)</f>
        <v>48</v>
      </c>
      <c r="FF165" s="74" t="str">
        <f ca="1">INDIRECT(ADDRESS(11+(MATCH(RIGHT(Table1820[[#This Row],[spawner_sku]],LEN(Table1820[[#This Row],[spawner_sku]])-FIND("/",Table1820[[#This Row],[spawner_sku]])),Table28[Entity Prefab],0)),26,1,1,"Entities"))</f>
        <v>no</v>
      </c>
      <c r="FG165">
        <v>1</v>
      </c>
      <c r="FH165">
        <v>1</v>
      </c>
      <c r="FI165" t="b">
        <v>0</v>
      </c>
      <c r="FK165" t="s">
        <v>2690</v>
      </c>
      <c r="FL165">
        <v>2</v>
      </c>
      <c r="FM165">
        <v>80</v>
      </c>
      <c r="FN165">
        <v>100</v>
      </c>
      <c r="FO165">
        <f ca="1">INDIRECT(ADDRESS(11+(MATCH(RIGHT(Table182023[[#This Row],[spawner_sku]],LEN(Table182023[[#This Row],[spawner_sku]])-FIND("/",Table182023[[#This Row],[spawner_sku]])),Table1[Entity Prefab],0)),10,1,1,"Entities"))</f>
        <v>25</v>
      </c>
      <c r="FP165">
        <f ca="1">ROUND((Table182023[[#This Row],[XP]]*Table182023[[#This Row],[entity_spawned (AVG)]])*(Table182023[[#This Row],[activating_chance]]/100),0)</f>
        <v>50</v>
      </c>
      <c r="FQ165" t="str">
        <f ca="1">INDIRECT(ADDRESS(11+(MATCH(RIGHT(Table182023[[#This Row],[spawner_sku]],LEN(Table182023[[#This Row],[spawner_sku]])-FIND("/",Table182023[[#This Row],[spawner_sku]])),Table28[Entity Prefab],0)),26,1,1,"Entities"))</f>
        <v>no</v>
      </c>
      <c r="FR165">
        <v>1</v>
      </c>
      <c r="FS165">
        <v>3</v>
      </c>
      <c r="FT165" t="b">
        <v>0</v>
      </c>
      <c r="FV165" t="s">
        <v>2697</v>
      </c>
      <c r="FW165">
        <v>3.5</v>
      </c>
      <c r="FX165">
        <v>70</v>
      </c>
      <c r="FY165">
        <v>100</v>
      </c>
      <c r="FZ165" s="74">
        <f ca="1">INDIRECT(ADDRESS(11+(MATCH(RIGHT(Table18202324[[#This Row],[spawner_sku]],LEN(Table18202324[[#This Row],[spawner_sku]])-FIND("/",Table18202324[[#This Row],[spawner_sku]])),Table1[Entity Prefab],0)),10,1,1,"Entities"))</f>
        <v>25</v>
      </c>
      <c r="GA165" s="74">
        <f ca="1">ROUND((Table18202324[[#This Row],[XP]]*Table18202324[[#This Row],[entity_spawned (AVG)]])*(Table18202324[[#This Row],[activating_chance]]/100),0)</f>
        <v>88</v>
      </c>
      <c r="GB165" s="74" t="str">
        <f ca="1">INDIRECT(ADDRESS(11+(MATCH(RIGHT(Table18202324[[#This Row],[spawner_sku]],LEN(Table18202324[[#This Row],[spawner_sku]])-FIND("/",Table18202324[[#This Row],[spawner_sku]])),Table28[Entity Prefab],0)),26,1,1,"Entities"))</f>
        <v>no</v>
      </c>
      <c r="GC165">
        <v>3</v>
      </c>
      <c r="GD165">
        <v>4</v>
      </c>
      <c r="GE165" t="b">
        <v>0</v>
      </c>
    </row>
    <row r="166" spans="2:187" x14ac:dyDescent="0.25">
      <c r="B166" s="72" t="s">
        <v>216</v>
      </c>
      <c r="C166">
        <v>2</v>
      </c>
      <c r="D166">
        <v>130</v>
      </c>
      <c r="E166">
        <v>80</v>
      </c>
      <c r="F166" s="74">
        <f ca="1">INDIRECT(ADDRESS(11+(MATCH(RIGHT(Table245[[#This Row],[spawner_sku]],LEN(Table245[[#This Row],[spawner_sku]])-FIND("/",Table245[[#This Row],[spawner_sku]])),Table1[Entity Prefab],0)),10,1,1,"Entities"))</f>
        <v>25</v>
      </c>
      <c r="G166" s="74">
        <f ca="1">ROUND((Table245[[#This Row],[XP]]*Table245[[#This Row],[entity_spawned (AVG)]])*(Table245[[#This Row],[activating_chance]]/100),0)</f>
        <v>40</v>
      </c>
      <c r="H166" s="71" t="str">
        <f ca="1">INDIRECT(ADDRESS(11+(MATCH(RIGHT(Table245[[#This Row],[spawner_sku]],LEN(Table245[[#This Row],[spawner_sku]])-FIND("/",Table245[[#This Row],[spawner_sku]])),Table28[Entity Prefab],0)),24,1,1,"Entities"))</f>
        <v>no</v>
      </c>
      <c r="I166" s="71">
        <v>1</v>
      </c>
      <c r="J166" s="71">
        <v>3</v>
      </c>
      <c r="K166" s="71" t="b">
        <v>0</v>
      </c>
      <c r="M166" t="s">
        <v>365</v>
      </c>
      <c r="N166">
        <v>5</v>
      </c>
      <c r="O166">
        <v>220</v>
      </c>
      <c r="P166">
        <v>100</v>
      </c>
      <c r="Q166" s="74">
        <f ca="1">INDIRECT(ADDRESS(11+(MATCH(RIGHT(Table3[[#This Row],[spawner_sku]],LEN(Table3[[#This Row],[spawner_sku]])-FIND("/",Table3[[#This Row],[spawner_sku]])),Table1[Entity Prefab],0)),10,1,1,"Entities"))</f>
        <v>28</v>
      </c>
      <c r="R166" s="74">
        <f ca="1">ROUND((Table3[[#This Row],[XP]]*Table3[[#This Row],[entity_spawned (AVG)]])*(Table3[[#This Row],[activating_chance]]/100),0)</f>
        <v>140</v>
      </c>
      <c r="S166" t="str">
        <f ca="1">INDIRECT(ADDRESS(11+(MATCH(RIGHT(Table3[[#This Row],[spawner_sku]],LEN(Table3[[#This Row],[spawner_sku]])-FIND("/",Table3[[#This Row],[spawner_sku]])),Table28[Entity Prefab],0)),24,1,1,"Entities"))</f>
        <v>yes</v>
      </c>
      <c r="T166">
        <v>5</v>
      </c>
      <c r="U166">
        <v>5</v>
      </c>
      <c r="V166" t="b">
        <v>1</v>
      </c>
      <c r="W166" s="71"/>
      <c r="AI166" t="s">
        <v>224</v>
      </c>
      <c r="AJ166">
        <v>1</v>
      </c>
      <c r="AK166">
        <v>2500</v>
      </c>
      <c r="AL166">
        <v>100</v>
      </c>
      <c r="AM166" s="74">
        <f ca="1">INDIRECT(ADDRESS(11+(MATCH(RIGHT(Table2[[#This Row],[spawner_sku]],LEN(Table2[[#This Row],[spawner_sku]])-FIND("/",Table2[[#This Row],[spawner_sku]])),Table1[Entity Prefab],0)),10,1,1,"Entities"))</f>
        <v>263</v>
      </c>
      <c r="AN166" s="74">
        <f ca="1">ROUND((Table2[[#This Row],[XP]]*Table2[[#This Row],[entity_spawned (AVG)]])*(Table2[[#This Row],[activating_chance]]/100),0)</f>
        <v>263</v>
      </c>
      <c r="AO166" s="71" t="str">
        <f ca="1">INDIRECT(ADDRESS(11+(MATCH(RIGHT(Table2[[#This Row],[spawner_sku]],LEN(Table2[[#This Row],[spawner_sku]])-FIND("/",Table2[[#This Row],[spawner_sku]])),Table28[Entity Prefab],0)),24,1,1,"Entities"))</f>
        <v>yes</v>
      </c>
      <c r="AP166" s="71">
        <v>1</v>
      </c>
      <c r="AQ166" s="71">
        <v>1</v>
      </c>
      <c r="AR166" s="71" t="b">
        <v>0</v>
      </c>
      <c r="AT166" t="s">
        <v>243</v>
      </c>
      <c r="AU166">
        <v>1</v>
      </c>
      <c r="AV166">
        <v>150</v>
      </c>
      <c r="AW166">
        <v>100</v>
      </c>
      <c r="AX166" s="74">
        <f ca="1">INDIRECT(ADDRESS(11+(MATCH(RIGHT(Table6[[#This Row],[spawner_sku]],LEN(Table6[[#This Row],[spawner_sku]])-FIND("/",Table6[[#This Row],[spawner_sku]])),Table1[Entity Prefab],0)),10,1,1,"Entities"))</f>
        <v>25</v>
      </c>
      <c r="AY166" s="74">
        <f ca="1">ROUND((Table6[[#This Row],[XP]]*Table6[[#This Row],[entity_spawned (AVG)]])*(Table6[[#This Row],[activating_chance]]/100),0)</f>
        <v>25</v>
      </c>
      <c r="AZ166" s="144" t="str">
        <f ca="1">INDIRECT(ADDRESS(11+(MATCH(RIGHT(Table6[[#This Row],[spawner_sku]],LEN(Table6[[#This Row],[spawner_sku]])-FIND("/",Table6[[#This Row],[spawner_sku]])),Table28[Entity Prefab],0)),24,1,1,"Entities"))</f>
        <v>no</v>
      </c>
      <c r="BA166">
        <v>1</v>
      </c>
      <c r="BB166">
        <v>1</v>
      </c>
      <c r="BC166" t="b">
        <v>0</v>
      </c>
      <c r="BE166" t="s">
        <v>233</v>
      </c>
      <c r="BF166">
        <v>1</v>
      </c>
      <c r="BG166">
        <v>500</v>
      </c>
      <c r="BH166">
        <v>75</v>
      </c>
      <c r="BI166" s="74">
        <f ca="1">INDIRECT(ADDRESS(11+(MATCH(RIGHT(Table610[[#This Row],[spawner_sku]],LEN(Table610[[#This Row],[spawner_sku]])-FIND("/",Table610[[#This Row],[spawner_sku]])),Table1[Entity Prefab],0)),10,1,1,"Entities"))</f>
        <v>25</v>
      </c>
      <c r="BJ166" s="74">
        <f ca="1">ROUND((Table610[[#This Row],[XP]]*Table610[[#This Row],[entity_spawned (AVG)]])*(Table610[[#This Row],[activating_chance]]/100),0)</f>
        <v>19</v>
      </c>
      <c r="BK166" s="71" t="str">
        <f ca="1">INDIRECT(ADDRESS(11+(MATCH(RIGHT(Table610[[#This Row],[spawner_sku]],LEN(Table610[[#This Row],[spawner_sku]])-FIND("/",Table610[[#This Row],[spawner_sku]])),Table28[Entity Prefab],0)),24,1,1,"Entities"))</f>
        <v>no</v>
      </c>
      <c r="BL166">
        <v>1</v>
      </c>
      <c r="BM166">
        <v>1</v>
      </c>
      <c r="BN166" t="b">
        <v>0</v>
      </c>
      <c r="BP166" t="s">
        <v>222</v>
      </c>
      <c r="BQ166">
        <v>1</v>
      </c>
      <c r="BR166">
        <v>180</v>
      </c>
      <c r="BS166">
        <v>100</v>
      </c>
      <c r="BT166" s="74">
        <f ca="1">INDIRECT(ADDRESS(11+(MATCH(RIGHT(Table61011[[#This Row],[spawner_sku]],LEN(Table61011[[#This Row],[spawner_sku]])-FIND("/",Table61011[[#This Row],[spawner_sku]])),Table1[Entity Prefab],0)),10,1,1,"Entities"))</f>
        <v>25</v>
      </c>
      <c r="BU166" s="74">
        <f ca="1">ROUND((Table61011[[#This Row],[XP]]*Table61011[[#This Row],[entity_spawned (AVG)]])*(Table61011[[#This Row],[activating_chance]]/100),0)</f>
        <v>25</v>
      </c>
      <c r="BV166" s="71" t="str">
        <f ca="1">INDIRECT(ADDRESS(11+(MATCH(RIGHT(Table61011[[#This Row],[spawner_sku]],LEN(Table61011[[#This Row],[spawner_sku]])-FIND("/",Table61011[[#This Row],[spawner_sku]])),Table28[Entity Prefab],0)),24,1,1,"Entities"))</f>
        <v>yes</v>
      </c>
      <c r="BW166" s="71">
        <v>1</v>
      </c>
      <c r="BX166" s="71">
        <v>1</v>
      </c>
      <c r="BY166" s="71" t="b">
        <v>0</v>
      </c>
      <c r="BZ166" s="71"/>
      <c r="CA166" s="147" t="s">
        <v>3819</v>
      </c>
      <c r="CB166">
        <v>1</v>
      </c>
      <c r="CC166">
        <v>240</v>
      </c>
      <c r="CD166">
        <v>100</v>
      </c>
      <c r="CE166" s="74">
        <f ca="1">INDIRECT(ADDRESS(11+(MATCH(RIGHT(Table35[[#This Row],[spawner_sku]],LEN(Table35[[#This Row],[spawner_sku]])-FIND("/",Table35[[#This Row],[spawner_sku]])),Table1[Entity Prefab],0)),10,1,1,"Entities"))</f>
        <v>10</v>
      </c>
      <c r="CF166" s="74">
        <f ca="1">ROUND((Table35[[#This Row],[XP]]*Table35[[#This Row],[entity_spawned (AVG)]])*(Table35[[#This Row],[activating_chance]]/100),0)</f>
        <v>10</v>
      </c>
      <c r="CG166" s="144" t="str">
        <f ca="1">INDIRECT(ADDRESS(11+(MATCH(RIGHT(Table35[[#This Row],[spawner_sku]],LEN(Table35[[#This Row],[spawner_sku]])-FIND("/",Table35[[#This Row],[spawner_sku]])),Table28[Entity Prefab],0)),24,1,1,"Entities"))</f>
        <v>no</v>
      </c>
      <c r="CH166">
        <v>1</v>
      </c>
      <c r="CI166">
        <v>1</v>
      </c>
      <c r="CJ166" s="71" t="b">
        <v>0</v>
      </c>
      <c r="CL166" t="s">
        <v>219</v>
      </c>
      <c r="CM166">
        <v>1</v>
      </c>
      <c r="CN166">
        <v>250</v>
      </c>
      <c r="CO166">
        <v>100</v>
      </c>
      <c r="CP166" s="74">
        <f ca="1">INDIRECT(ADDRESS(11+(MATCH(RIGHT(Table11[[#This Row],[spawner_sku]],LEN(Table11[[#This Row],[spawner_sku]])-FIND("/",Table11[[#This Row],[spawner_sku]])),Table1[Entity Prefab],0)),10,1,1,"Entities"))</f>
        <v>143</v>
      </c>
      <c r="CQ166">
        <f ca="1">ROUND((Table11[[#This Row],[XP]]*Table11[[#This Row],[entity_spawned (AVG)]])*(Table11[[#This Row],[activating_chance]]/100),0)</f>
        <v>143</v>
      </c>
      <c r="CR166" s="144" t="str">
        <f ca="1">INDIRECT(ADDRESS(11+(MATCH(RIGHT(Table11[[#This Row],[spawner_sku]],LEN(Table11[[#This Row],[spawner_sku]])-FIND("/",Table11[[#This Row],[spawner_sku]])),Table28[Entity Prefab],0)),25,1,1,"Entities"))</f>
        <v>yes</v>
      </c>
      <c r="CS166" s="71">
        <v>1</v>
      </c>
      <c r="CT166" s="71">
        <v>1</v>
      </c>
      <c r="CU166" s="71" t="b">
        <v>0</v>
      </c>
      <c r="CW166" t="s">
        <v>242</v>
      </c>
      <c r="CX166">
        <v>1</v>
      </c>
      <c r="CY166">
        <v>150</v>
      </c>
      <c r="CZ166">
        <v>100</v>
      </c>
      <c r="DA166" s="74">
        <f ca="1">INDIRECT(ADDRESS(11+(MATCH(RIGHT(Table12[[#This Row],[spawner_sku]],LEN(Table12[[#This Row],[spawner_sku]])-FIND("/",Table12[[#This Row],[spawner_sku]])),Table1[Entity Prefab],0)),10,1,1,"Entities"))</f>
        <v>25</v>
      </c>
      <c r="DB166" s="74">
        <f ca="1">ROUND((Table12[[#This Row],[XP]]*Table12[[#This Row],[entity_spawned (AVG)]])*(Table12[[#This Row],[activating_chance]]/100),0)</f>
        <v>25</v>
      </c>
      <c r="DC166" s="144" t="str">
        <f ca="1">INDIRECT(ADDRESS(11+(MATCH(RIGHT(Table12[[#This Row],[spawner_sku]],LEN(Table12[[#This Row],[spawner_sku]])-FIND("/",Table12[[#This Row],[spawner_sku]])),Table28[Entity Prefab],0)),25,1,1,"Entities"))</f>
        <v>no</v>
      </c>
      <c r="DD166" s="71">
        <v>1</v>
      </c>
      <c r="DE166" s="71">
        <v>1</v>
      </c>
      <c r="DF166" s="71" t="b">
        <v>0</v>
      </c>
      <c r="DH166" t="s">
        <v>240</v>
      </c>
      <c r="DI166">
        <v>1</v>
      </c>
      <c r="DJ166">
        <v>170</v>
      </c>
      <c r="DK166">
        <v>100</v>
      </c>
      <c r="DL166" s="74">
        <f ca="1">INDIRECT(ADDRESS(11+(MATCH(RIGHT(Table13[[#This Row],[spawner_sku]],LEN(Table13[[#This Row],[spawner_sku]])-FIND("/",Table13[[#This Row],[spawner_sku]])),Table1[Entity Prefab],0)),10,1,1,"Entities"))</f>
        <v>70</v>
      </c>
      <c r="DM166" s="74">
        <f ca="1">ROUND((Table13[[#This Row],[XP]]*Table13[[#This Row],[entity_spawned (AVG)]])*(Table13[[#This Row],[activating_chance]]/100),0)</f>
        <v>70</v>
      </c>
      <c r="DN166" s="144" t="str">
        <f ca="1">INDIRECT(ADDRESS(11+(MATCH(RIGHT(Table13[[#This Row],[spawner_sku]],LEN(Table13[[#This Row],[spawner_sku]])-FIND("/",Table13[[#This Row],[spawner_sku]])),Table28[Entity Prefab],0)),25,1,1,"Entities"))</f>
        <v>yes</v>
      </c>
      <c r="DO166" s="71">
        <v>1</v>
      </c>
      <c r="DP166" s="71">
        <v>1</v>
      </c>
      <c r="DQ166" s="71" t="b">
        <v>0</v>
      </c>
      <c r="DS166" t="s">
        <v>223</v>
      </c>
      <c r="DT166">
        <v>1</v>
      </c>
      <c r="DU166">
        <v>150</v>
      </c>
      <c r="DV166">
        <v>100</v>
      </c>
      <c r="DW166" s="74">
        <f ca="1">INDIRECT(ADDRESS(11+(MATCH(RIGHT(Table14[[#This Row],[spawner_sku]],LEN(Table14[[#This Row],[spawner_sku]])-FIND("/",Table14[[#This Row],[spawner_sku]])),Table1[Entity Prefab],0)),10,1,1,"Entities"))</f>
        <v>70</v>
      </c>
      <c r="DX166" s="74">
        <f ca="1">ROUND((Table14[[#This Row],[XP]]*Table14[[#This Row],[entity_spawned (AVG)]])*(Table14[[#This Row],[activating_chance]]/100),0)</f>
        <v>70</v>
      </c>
      <c r="DY166" s="144" t="str">
        <f ca="1">INDIRECT(ADDRESS(11+(MATCH(RIGHT(Table14[[#This Row],[spawner_sku]],LEN(Table14[[#This Row],[spawner_sku]])-FIND("/",Table14[[#This Row],[spawner_sku]])),Table28[Entity Prefab],0)),25,1,1,"Entities"))</f>
        <v>no</v>
      </c>
      <c r="DZ166" s="71">
        <v>1</v>
      </c>
      <c r="EA166" s="71">
        <v>1</v>
      </c>
      <c r="EB166" s="71" t="b">
        <v>0</v>
      </c>
      <c r="EC166" s="71"/>
      <c r="ED166" s="71"/>
      <c r="EE166" s="71"/>
      <c r="EF166" s="71"/>
      <c r="EG166" s="71"/>
      <c r="EH166" s="71"/>
      <c r="EI166" s="71"/>
      <c r="EJ166" s="71"/>
      <c r="EK166" s="71"/>
      <c r="EL166" s="71"/>
      <c r="EM166" s="71"/>
      <c r="EO166" t="s">
        <v>383</v>
      </c>
      <c r="EP166">
        <v>1</v>
      </c>
      <c r="EQ166">
        <v>240</v>
      </c>
      <c r="ER166">
        <v>100</v>
      </c>
      <c r="ES166" s="74">
        <f ca="1">INDIRECT(ADDRESS(11+(MATCH(RIGHT(Table18[[#This Row],[spawner_sku]],LEN(Table18[[#This Row],[spawner_sku]])-FIND("/",Table18[[#This Row],[spawner_sku]])),Table1[Entity Prefab],0)),10,1,1,"Entities"))</f>
        <v>263</v>
      </c>
      <c r="ET166" s="74">
        <f ca="1">ROUND((Table18[[#This Row],[XP]]*Table18[[#This Row],[entity_spawned (AVG)]])*(Table18[[#This Row],[activating_chance]]/100),0)</f>
        <v>263</v>
      </c>
      <c r="EU166" s="74" t="str">
        <f ca="1">INDIRECT(ADDRESS(11+(MATCH(RIGHT(Table18[[#This Row],[spawner_sku]],LEN(Table18[[#This Row],[spawner_sku]])-FIND("/",Table18[[#This Row],[spawner_sku]])),Table28[Entity Prefab],0)),26,1,1,"Entities"))</f>
        <v>yes</v>
      </c>
      <c r="EV166">
        <v>1</v>
      </c>
      <c r="EW166">
        <v>1</v>
      </c>
      <c r="EX166" t="b">
        <v>0</v>
      </c>
      <c r="EZ166" t="s">
        <v>583</v>
      </c>
      <c r="FA166">
        <v>1.5</v>
      </c>
      <c r="FB166">
        <v>120</v>
      </c>
      <c r="FC166">
        <v>100</v>
      </c>
      <c r="FD166" s="74">
        <f ca="1">INDIRECT(ADDRESS(11+(MATCH(RIGHT(Table1820[[#This Row],[spawner_sku]],LEN(Table1820[[#This Row],[spawner_sku]])-FIND("/",Table1820[[#This Row],[spawner_sku]])),Table1[Entity Prefab],0)),10,1,1,"Entities"))</f>
        <v>48</v>
      </c>
      <c r="FE166" s="74">
        <f ca="1">ROUND((Table1820[[#This Row],[XP]]*Table1820[[#This Row],[entity_spawned (AVG)]])*(Table1820[[#This Row],[activating_chance]]/100),0)</f>
        <v>72</v>
      </c>
      <c r="FF166" s="74" t="str">
        <f ca="1">INDIRECT(ADDRESS(11+(MATCH(RIGHT(Table1820[[#This Row],[spawner_sku]],LEN(Table1820[[#This Row],[spawner_sku]])-FIND("/",Table1820[[#This Row],[spawner_sku]])),Table28[Entity Prefab],0)),26,1,1,"Entities"))</f>
        <v>no</v>
      </c>
      <c r="FG166">
        <v>1</v>
      </c>
      <c r="FH166">
        <v>2</v>
      </c>
      <c r="FI166" t="b">
        <v>0</v>
      </c>
      <c r="FK166" t="s">
        <v>2690</v>
      </c>
      <c r="FL166">
        <v>1.5</v>
      </c>
      <c r="FM166">
        <v>70</v>
      </c>
      <c r="FN166">
        <v>100</v>
      </c>
      <c r="FO166">
        <f ca="1">INDIRECT(ADDRESS(11+(MATCH(RIGHT(Table182023[[#This Row],[spawner_sku]],LEN(Table182023[[#This Row],[spawner_sku]])-FIND("/",Table182023[[#This Row],[spawner_sku]])),Table1[Entity Prefab],0)),10,1,1,"Entities"))</f>
        <v>25</v>
      </c>
      <c r="FP166">
        <f ca="1">ROUND((Table182023[[#This Row],[XP]]*Table182023[[#This Row],[entity_spawned (AVG)]])*(Table182023[[#This Row],[activating_chance]]/100),0)</f>
        <v>38</v>
      </c>
      <c r="FQ166" t="str">
        <f ca="1">INDIRECT(ADDRESS(11+(MATCH(RIGHT(Table182023[[#This Row],[spawner_sku]],LEN(Table182023[[#This Row],[spawner_sku]])-FIND("/",Table182023[[#This Row],[spawner_sku]])),Table28[Entity Prefab],0)),26,1,1,"Entities"))</f>
        <v>no</v>
      </c>
      <c r="FR166">
        <v>1</v>
      </c>
      <c r="FS166">
        <v>2</v>
      </c>
      <c r="FT166" t="b">
        <v>0</v>
      </c>
      <c r="FV166" t="s">
        <v>2697</v>
      </c>
      <c r="FW166">
        <v>2</v>
      </c>
      <c r="FX166">
        <v>80</v>
      </c>
      <c r="FY166">
        <v>80</v>
      </c>
      <c r="FZ166" s="74">
        <f ca="1">INDIRECT(ADDRESS(11+(MATCH(RIGHT(Table18202324[[#This Row],[spawner_sku]],LEN(Table18202324[[#This Row],[spawner_sku]])-FIND("/",Table18202324[[#This Row],[spawner_sku]])),Table1[Entity Prefab],0)),10,1,1,"Entities"))</f>
        <v>25</v>
      </c>
      <c r="GA166" s="74">
        <f ca="1">ROUND((Table18202324[[#This Row],[XP]]*Table18202324[[#This Row],[entity_spawned (AVG)]])*(Table18202324[[#This Row],[activating_chance]]/100),0)</f>
        <v>40</v>
      </c>
      <c r="GB166" s="74" t="str">
        <f ca="1">INDIRECT(ADDRESS(11+(MATCH(RIGHT(Table18202324[[#This Row],[spawner_sku]],LEN(Table18202324[[#This Row],[spawner_sku]])-FIND("/",Table18202324[[#This Row],[spawner_sku]])),Table28[Entity Prefab],0)),26,1,1,"Entities"))</f>
        <v>no</v>
      </c>
      <c r="GC166">
        <v>1</v>
      </c>
      <c r="GD166">
        <v>3</v>
      </c>
      <c r="GE166" t="b">
        <v>0</v>
      </c>
    </row>
    <row r="167" spans="2:187" x14ac:dyDescent="0.25">
      <c r="B167" s="72" t="s">
        <v>216</v>
      </c>
      <c r="C167">
        <v>2.5</v>
      </c>
      <c r="D167">
        <v>120</v>
      </c>
      <c r="E167">
        <v>100</v>
      </c>
      <c r="F167" s="74">
        <f ca="1">INDIRECT(ADDRESS(11+(MATCH(RIGHT(Table245[[#This Row],[spawner_sku]],LEN(Table245[[#This Row],[spawner_sku]])-FIND("/",Table245[[#This Row],[spawner_sku]])),Table1[Entity Prefab],0)),10,1,1,"Entities"))</f>
        <v>25</v>
      </c>
      <c r="G167" s="74">
        <f ca="1">ROUND((Table245[[#This Row],[XP]]*Table245[[#This Row],[entity_spawned (AVG)]])*(Table245[[#This Row],[activating_chance]]/100),0)</f>
        <v>63</v>
      </c>
      <c r="H167" s="71" t="str">
        <f ca="1">INDIRECT(ADDRESS(11+(MATCH(RIGHT(Table245[[#This Row],[spawner_sku]],LEN(Table245[[#This Row],[spawner_sku]])-FIND("/",Table245[[#This Row],[spawner_sku]])),Table28[Entity Prefab],0)),24,1,1,"Entities"))</f>
        <v>no</v>
      </c>
      <c r="I167" s="71">
        <v>1</v>
      </c>
      <c r="J167" s="71">
        <v>4</v>
      </c>
      <c r="K167" s="71" t="b">
        <v>0</v>
      </c>
      <c r="M167" t="s">
        <v>366</v>
      </c>
      <c r="N167">
        <v>3.5</v>
      </c>
      <c r="O167">
        <v>100</v>
      </c>
      <c r="P167">
        <v>100</v>
      </c>
      <c r="Q167" s="74">
        <f ca="1">INDIRECT(ADDRESS(11+(MATCH(RIGHT(Table3[[#This Row],[spawner_sku]],LEN(Table3[[#This Row],[spawner_sku]])-FIND("/",Table3[[#This Row],[spawner_sku]])),Table1[Entity Prefab],0)),10,1,1,"Entities"))</f>
        <v>25</v>
      </c>
      <c r="R167" s="74">
        <f ca="1">ROUND((Table3[[#This Row],[XP]]*Table3[[#This Row],[entity_spawned (AVG)]])*(Table3[[#This Row],[activating_chance]]/100),0)</f>
        <v>88</v>
      </c>
      <c r="S167" t="str">
        <f ca="1">INDIRECT(ADDRESS(11+(MATCH(RIGHT(Table3[[#This Row],[spawner_sku]],LEN(Table3[[#This Row],[spawner_sku]])-FIND("/",Table3[[#This Row],[spawner_sku]])),Table28[Entity Prefab],0)),24,1,1,"Entities"))</f>
        <v>no</v>
      </c>
      <c r="T167">
        <v>3</v>
      </c>
      <c r="U167">
        <v>4</v>
      </c>
      <c r="V167" t="b">
        <v>0</v>
      </c>
      <c r="W167" s="71"/>
      <c r="AI167" t="s">
        <v>224</v>
      </c>
      <c r="AJ167">
        <v>1</v>
      </c>
      <c r="AK167">
        <v>2500</v>
      </c>
      <c r="AL167">
        <v>100</v>
      </c>
      <c r="AM167" s="74">
        <f ca="1">INDIRECT(ADDRESS(11+(MATCH(RIGHT(Table2[[#This Row],[spawner_sku]],LEN(Table2[[#This Row],[spawner_sku]])-FIND("/",Table2[[#This Row],[spawner_sku]])),Table1[Entity Prefab],0)),10,1,1,"Entities"))</f>
        <v>263</v>
      </c>
      <c r="AN167" s="74">
        <f ca="1">ROUND((Table2[[#This Row],[XP]]*Table2[[#This Row],[entity_spawned (AVG)]])*(Table2[[#This Row],[activating_chance]]/100),0)</f>
        <v>263</v>
      </c>
      <c r="AO167" s="71" t="str">
        <f ca="1">INDIRECT(ADDRESS(11+(MATCH(RIGHT(Table2[[#This Row],[spawner_sku]],LEN(Table2[[#This Row],[spawner_sku]])-FIND("/",Table2[[#This Row],[spawner_sku]])),Table28[Entity Prefab],0)),24,1,1,"Entities"))</f>
        <v>yes</v>
      </c>
      <c r="AP167" s="71">
        <v>1</v>
      </c>
      <c r="AQ167" s="71">
        <v>1</v>
      </c>
      <c r="AR167" s="71" t="b">
        <v>0</v>
      </c>
      <c r="AT167" t="s">
        <v>243</v>
      </c>
      <c r="AU167">
        <v>1</v>
      </c>
      <c r="AV167">
        <v>150</v>
      </c>
      <c r="AW167">
        <v>100</v>
      </c>
      <c r="AX167" s="74">
        <f ca="1">INDIRECT(ADDRESS(11+(MATCH(RIGHT(Table6[[#This Row],[spawner_sku]],LEN(Table6[[#This Row],[spawner_sku]])-FIND("/",Table6[[#This Row],[spawner_sku]])),Table1[Entity Prefab],0)),10,1,1,"Entities"))</f>
        <v>25</v>
      </c>
      <c r="AY167" s="74">
        <f ca="1">ROUND((Table6[[#This Row],[XP]]*Table6[[#This Row],[entity_spawned (AVG)]])*(Table6[[#This Row],[activating_chance]]/100),0)</f>
        <v>25</v>
      </c>
      <c r="AZ167" s="144" t="str">
        <f ca="1">INDIRECT(ADDRESS(11+(MATCH(RIGHT(Table6[[#This Row],[spawner_sku]],LEN(Table6[[#This Row],[spawner_sku]])-FIND("/",Table6[[#This Row],[spawner_sku]])),Table28[Entity Prefab],0)),24,1,1,"Entities"))</f>
        <v>no</v>
      </c>
      <c r="BA167">
        <v>1</v>
      </c>
      <c r="BB167">
        <v>1</v>
      </c>
      <c r="BC167" t="b">
        <v>0</v>
      </c>
      <c r="BE167" t="s">
        <v>5003</v>
      </c>
      <c r="BF167">
        <v>1</v>
      </c>
      <c r="BG167">
        <v>5000</v>
      </c>
      <c r="BH167">
        <v>100</v>
      </c>
      <c r="BI167" s="74">
        <f ca="1">INDIRECT(ADDRESS(11+(MATCH(RIGHT(Table610[[#This Row],[spawner_sku]],LEN(Table610[[#This Row],[spawner_sku]])-FIND("/",Table610[[#This Row],[spawner_sku]])),Table1[Entity Prefab],0)),10,1,1,"Entities"))</f>
        <v>25</v>
      </c>
      <c r="BJ167" s="74">
        <f ca="1">ROUND((Table610[[#This Row],[XP]]*Table610[[#This Row],[entity_spawned (AVG)]])*(Table610[[#This Row],[activating_chance]]/100),0)</f>
        <v>25</v>
      </c>
      <c r="BK167" s="71" t="str">
        <f ca="1">INDIRECT(ADDRESS(11+(MATCH(RIGHT(Table610[[#This Row],[spawner_sku]],LEN(Table610[[#This Row],[spawner_sku]])-FIND("/",Table610[[#This Row],[spawner_sku]])),Table28[Entity Prefab],0)),24,1,1,"Entities"))</f>
        <v>no</v>
      </c>
      <c r="BL167">
        <v>1</v>
      </c>
      <c r="BM167">
        <v>1</v>
      </c>
      <c r="BN167" t="b">
        <v>0</v>
      </c>
      <c r="BP167" t="s">
        <v>222</v>
      </c>
      <c r="BQ167">
        <v>1</v>
      </c>
      <c r="BR167">
        <v>180</v>
      </c>
      <c r="BS167">
        <v>90</v>
      </c>
      <c r="BT167" s="74">
        <f ca="1">INDIRECT(ADDRESS(11+(MATCH(RIGHT(Table61011[[#This Row],[spawner_sku]],LEN(Table61011[[#This Row],[spawner_sku]])-FIND("/",Table61011[[#This Row],[spawner_sku]])),Table1[Entity Prefab],0)),10,1,1,"Entities"))</f>
        <v>25</v>
      </c>
      <c r="BU167" s="74">
        <f ca="1">ROUND((Table61011[[#This Row],[XP]]*Table61011[[#This Row],[entity_spawned (AVG)]])*(Table61011[[#This Row],[activating_chance]]/100),0)</f>
        <v>23</v>
      </c>
      <c r="BV167" s="71" t="str">
        <f ca="1">INDIRECT(ADDRESS(11+(MATCH(RIGHT(Table61011[[#This Row],[spawner_sku]],LEN(Table61011[[#This Row],[spawner_sku]])-FIND("/",Table61011[[#This Row],[spawner_sku]])),Table28[Entity Prefab],0)),24,1,1,"Entities"))</f>
        <v>yes</v>
      </c>
      <c r="BW167" s="71">
        <v>1</v>
      </c>
      <c r="BX167" s="71">
        <v>1</v>
      </c>
      <c r="BY167" s="71" t="b">
        <v>0</v>
      </c>
      <c r="BZ167" s="71"/>
      <c r="CA167" s="147" t="s">
        <v>3819</v>
      </c>
      <c r="CB167">
        <v>1</v>
      </c>
      <c r="CC167">
        <v>240</v>
      </c>
      <c r="CD167">
        <v>100</v>
      </c>
      <c r="CE167" s="74">
        <f ca="1">INDIRECT(ADDRESS(11+(MATCH(RIGHT(Table35[[#This Row],[spawner_sku]],LEN(Table35[[#This Row],[spawner_sku]])-FIND("/",Table35[[#This Row],[spawner_sku]])),Table1[Entity Prefab],0)),10,1,1,"Entities"))</f>
        <v>10</v>
      </c>
      <c r="CF167" s="74">
        <f ca="1">ROUND((Table35[[#This Row],[XP]]*Table35[[#This Row],[entity_spawned (AVG)]])*(Table35[[#This Row],[activating_chance]]/100),0)</f>
        <v>10</v>
      </c>
      <c r="CG167" s="144" t="str">
        <f ca="1">INDIRECT(ADDRESS(11+(MATCH(RIGHT(Table35[[#This Row],[spawner_sku]],LEN(Table35[[#This Row],[spawner_sku]])-FIND("/",Table35[[#This Row],[spawner_sku]])),Table28[Entity Prefab],0)),24,1,1,"Entities"))</f>
        <v>no</v>
      </c>
      <c r="CH167">
        <v>1</v>
      </c>
      <c r="CI167">
        <v>1</v>
      </c>
      <c r="CJ167" s="71" t="b">
        <v>0</v>
      </c>
      <c r="CL167" t="s">
        <v>219</v>
      </c>
      <c r="CM167">
        <v>1</v>
      </c>
      <c r="CN167">
        <v>250</v>
      </c>
      <c r="CO167">
        <v>100</v>
      </c>
      <c r="CP167" s="74">
        <f ca="1">INDIRECT(ADDRESS(11+(MATCH(RIGHT(Table11[[#This Row],[spawner_sku]],LEN(Table11[[#This Row],[spawner_sku]])-FIND("/",Table11[[#This Row],[spawner_sku]])),Table1[Entity Prefab],0)),10,1,1,"Entities"))</f>
        <v>143</v>
      </c>
      <c r="CQ167">
        <f ca="1">ROUND((Table11[[#This Row],[XP]]*Table11[[#This Row],[entity_spawned (AVG)]])*(Table11[[#This Row],[activating_chance]]/100),0)</f>
        <v>143</v>
      </c>
      <c r="CR167" s="144" t="str">
        <f ca="1">INDIRECT(ADDRESS(11+(MATCH(RIGHT(Table11[[#This Row],[spawner_sku]],LEN(Table11[[#This Row],[spawner_sku]])-FIND("/",Table11[[#This Row],[spawner_sku]])),Table28[Entity Prefab],0)),25,1,1,"Entities"))</f>
        <v>yes</v>
      </c>
      <c r="CS167" s="71">
        <v>1</v>
      </c>
      <c r="CT167" s="71">
        <v>1</v>
      </c>
      <c r="CU167" s="71" t="b">
        <v>0</v>
      </c>
      <c r="CW167" t="s">
        <v>242</v>
      </c>
      <c r="CX167">
        <v>1</v>
      </c>
      <c r="CY167">
        <v>150</v>
      </c>
      <c r="CZ167">
        <v>100</v>
      </c>
      <c r="DA167" s="74">
        <f ca="1">INDIRECT(ADDRESS(11+(MATCH(RIGHT(Table12[[#This Row],[spawner_sku]],LEN(Table12[[#This Row],[spawner_sku]])-FIND("/",Table12[[#This Row],[spawner_sku]])),Table1[Entity Prefab],0)),10,1,1,"Entities"))</f>
        <v>25</v>
      </c>
      <c r="DB167" s="74">
        <f ca="1">ROUND((Table12[[#This Row],[XP]]*Table12[[#This Row],[entity_spawned (AVG)]])*(Table12[[#This Row],[activating_chance]]/100),0)</f>
        <v>25</v>
      </c>
      <c r="DC167" s="144" t="str">
        <f ca="1">INDIRECT(ADDRESS(11+(MATCH(RIGHT(Table12[[#This Row],[spawner_sku]],LEN(Table12[[#This Row],[spawner_sku]])-FIND("/",Table12[[#This Row],[spawner_sku]])),Table28[Entity Prefab],0)),25,1,1,"Entities"))</f>
        <v>no</v>
      </c>
      <c r="DD167" s="71">
        <v>1</v>
      </c>
      <c r="DE167" s="71">
        <v>1</v>
      </c>
      <c r="DF167" s="71" t="b">
        <v>0</v>
      </c>
      <c r="DH167" t="s">
        <v>240</v>
      </c>
      <c r="DI167">
        <v>1</v>
      </c>
      <c r="DJ167">
        <v>170</v>
      </c>
      <c r="DK167">
        <v>30</v>
      </c>
      <c r="DL167" s="74">
        <f ca="1">INDIRECT(ADDRESS(11+(MATCH(RIGHT(Table13[[#This Row],[spawner_sku]],LEN(Table13[[#This Row],[spawner_sku]])-FIND("/",Table13[[#This Row],[spawner_sku]])),Table1[Entity Prefab],0)),10,1,1,"Entities"))</f>
        <v>70</v>
      </c>
      <c r="DM167" s="74">
        <f ca="1">ROUND((Table13[[#This Row],[XP]]*Table13[[#This Row],[entity_spawned (AVG)]])*(Table13[[#This Row],[activating_chance]]/100),0)</f>
        <v>21</v>
      </c>
      <c r="DN167" s="144" t="str">
        <f ca="1">INDIRECT(ADDRESS(11+(MATCH(RIGHT(Table13[[#This Row],[spawner_sku]],LEN(Table13[[#This Row],[spawner_sku]])-FIND("/",Table13[[#This Row],[spawner_sku]])),Table28[Entity Prefab],0)),25,1,1,"Entities"))</f>
        <v>yes</v>
      </c>
      <c r="DO167" s="71">
        <v>1</v>
      </c>
      <c r="DP167" s="71">
        <v>1</v>
      </c>
      <c r="DQ167" s="71" t="b">
        <v>0</v>
      </c>
      <c r="DS167" t="s">
        <v>223</v>
      </c>
      <c r="DT167">
        <v>2.5</v>
      </c>
      <c r="DU167">
        <v>100</v>
      </c>
      <c r="DV167">
        <v>100</v>
      </c>
      <c r="DW167" s="74">
        <f ca="1">INDIRECT(ADDRESS(11+(MATCH(RIGHT(Table14[[#This Row],[spawner_sku]],LEN(Table14[[#This Row],[spawner_sku]])-FIND("/",Table14[[#This Row],[spawner_sku]])),Table1[Entity Prefab],0)),10,1,1,"Entities"))</f>
        <v>70</v>
      </c>
      <c r="DX167" s="74">
        <f ca="1">ROUND((Table14[[#This Row],[XP]]*Table14[[#This Row],[entity_spawned (AVG)]])*(Table14[[#This Row],[activating_chance]]/100),0)</f>
        <v>175</v>
      </c>
      <c r="DY167" s="144" t="str">
        <f ca="1">INDIRECT(ADDRESS(11+(MATCH(RIGHT(Table14[[#This Row],[spawner_sku]],LEN(Table14[[#This Row],[spawner_sku]])-FIND("/",Table14[[#This Row],[spawner_sku]])),Table28[Entity Prefab],0)),25,1,1,"Entities"))</f>
        <v>no</v>
      </c>
      <c r="DZ167" s="71">
        <v>2</v>
      </c>
      <c r="EA167" s="71">
        <v>3</v>
      </c>
      <c r="EB167" s="71" t="b">
        <v>0</v>
      </c>
      <c r="EC167" s="71"/>
      <c r="ED167" s="71"/>
      <c r="EE167" s="71"/>
      <c r="EF167" s="71"/>
      <c r="EG167" s="71"/>
      <c r="EH167" s="71"/>
      <c r="EI167" s="71"/>
      <c r="EJ167" s="71"/>
      <c r="EK167" s="71"/>
      <c r="EL167" s="71"/>
      <c r="EM167" s="71"/>
      <c r="EO167" t="s">
        <v>383</v>
      </c>
      <c r="EP167">
        <v>1</v>
      </c>
      <c r="EQ167">
        <v>340</v>
      </c>
      <c r="ER167">
        <v>100</v>
      </c>
      <c r="ES167" s="74">
        <f ca="1">INDIRECT(ADDRESS(11+(MATCH(RIGHT(Table18[[#This Row],[spawner_sku]],LEN(Table18[[#This Row],[spawner_sku]])-FIND("/",Table18[[#This Row],[spawner_sku]])),Table1[Entity Prefab],0)),10,1,1,"Entities"))</f>
        <v>263</v>
      </c>
      <c r="ET167" s="74">
        <f ca="1">ROUND((Table18[[#This Row],[XP]]*Table18[[#This Row],[entity_spawned (AVG)]])*(Table18[[#This Row],[activating_chance]]/100),0)</f>
        <v>263</v>
      </c>
      <c r="EU167" s="74" t="str">
        <f ca="1">INDIRECT(ADDRESS(11+(MATCH(RIGHT(Table18[[#This Row],[spawner_sku]],LEN(Table18[[#This Row],[spawner_sku]])-FIND("/",Table18[[#This Row],[spawner_sku]])),Table28[Entity Prefab],0)),26,1,1,"Entities"))</f>
        <v>yes</v>
      </c>
      <c r="EV167">
        <v>1</v>
      </c>
      <c r="EW167">
        <v>1</v>
      </c>
      <c r="EX167" t="b">
        <v>0</v>
      </c>
      <c r="EZ167" t="s">
        <v>583</v>
      </c>
      <c r="FA167">
        <v>1.5</v>
      </c>
      <c r="FB167">
        <v>120</v>
      </c>
      <c r="FC167">
        <v>100</v>
      </c>
      <c r="FD167" s="74">
        <f ca="1">INDIRECT(ADDRESS(11+(MATCH(RIGHT(Table1820[[#This Row],[spawner_sku]],LEN(Table1820[[#This Row],[spawner_sku]])-FIND("/",Table1820[[#This Row],[spawner_sku]])),Table1[Entity Prefab],0)),10,1,1,"Entities"))</f>
        <v>48</v>
      </c>
      <c r="FE167" s="74">
        <f ca="1">ROUND((Table1820[[#This Row],[XP]]*Table1820[[#This Row],[entity_spawned (AVG)]])*(Table1820[[#This Row],[activating_chance]]/100),0)</f>
        <v>72</v>
      </c>
      <c r="FF167" s="74" t="str">
        <f ca="1">INDIRECT(ADDRESS(11+(MATCH(RIGHT(Table1820[[#This Row],[spawner_sku]],LEN(Table1820[[#This Row],[spawner_sku]])-FIND("/",Table1820[[#This Row],[spawner_sku]])),Table28[Entity Prefab],0)),26,1,1,"Entities"))</f>
        <v>no</v>
      </c>
      <c r="FG167">
        <v>1</v>
      </c>
      <c r="FH167">
        <v>2</v>
      </c>
      <c r="FI167" t="b">
        <v>0</v>
      </c>
      <c r="FK167" t="s">
        <v>2690</v>
      </c>
      <c r="FL167">
        <v>2</v>
      </c>
      <c r="FM167">
        <v>120</v>
      </c>
      <c r="FN167">
        <v>80</v>
      </c>
      <c r="FO167">
        <f ca="1">INDIRECT(ADDRESS(11+(MATCH(RIGHT(Table182023[[#This Row],[spawner_sku]],LEN(Table182023[[#This Row],[spawner_sku]])-FIND("/",Table182023[[#This Row],[spawner_sku]])),Table1[Entity Prefab],0)),10,1,1,"Entities"))</f>
        <v>25</v>
      </c>
      <c r="FP167">
        <f ca="1">ROUND((Table182023[[#This Row],[XP]]*Table182023[[#This Row],[entity_spawned (AVG)]])*(Table182023[[#This Row],[activating_chance]]/100),0)</f>
        <v>40</v>
      </c>
      <c r="FQ167" t="str">
        <f ca="1">INDIRECT(ADDRESS(11+(MATCH(RIGHT(Table182023[[#This Row],[spawner_sku]],LEN(Table182023[[#This Row],[spawner_sku]])-FIND("/",Table182023[[#This Row],[spawner_sku]])),Table28[Entity Prefab],0)),26,1,1,"Entities"))</f>
        <v>no</v>
      </c>
      <c r="FR167">
        <v>1</v>
      </c>
      <c r="FS167">
        <v>3</v>
      </c>
      <c r="FT167" t="b">
        <v>0</v>
      </c>
      <c r="FV167" t="s">
        <v>2697</v>
      </c>
      <c r="FW167">
        <v>1.5</v>
      </c>
      <c r="FX167">
        <v>80</v>
      </c>
      <c r="FY167">
        <v>100</v>
      </c>
      <c r="FZ167" s="74">
        <f ca="1">INDIRECT(ADDRESS(11+(MATCH(RIGHT(Table18202324[[#This Row],[spawner_sku]],LEN(Table18202324[[#This Row],[spawner_sku]])-FIND("/",Table18202324[[#This Row],[spawner_sku]])),Table1[Entity Prefab],0)),10,1,1,"Entities"))</f>
        <v>25</v>
      </c>
      <c r="GA167" s="74">
        <f ca="1">ROUND((Table18202324[[#This Row],[XP]]*Table18202324[[#This Row],[entity_spawned (AVG)]])*(Table18202324[[#This Row],[activating_chance]]/100),0)</f>
        <v>38</v>
      </c>
      <c r="GB167" s="74" t="str">
        <f ca="1">INDIRECT(ADDRESS(11+(MATCH(RIGHT(Table18202324[[#This Row],[spawner_sku]],LEN(Table18202324[[#This Row],[spawner_sku]])-FIND("/",Table18202324[[#This Row],[spawner_sku]])),Table28[Entity Prefab],0)),26,1,1,"Entities"))</f>
        <v>no</v>
      </c>
      <c r="GC167">
        <v>1</v>
      </c>
      <c r="GD167">
        <v>2</v>
      </c>
      <c r="GE167" t="b">
        <v>0</v>
      </c>
    </row>
    <row r="168" spans="2:187" x14ac:dyDescent="0.25">
      <c r="B168" s="72" t="s">
        <v>216</v>
      </c>
      <c r="C168">
        <v>2</v>
      </c>
      <c r="D168">
        <v>110</v>
      </c>
      <c r="E168">
        <v>100</v>
      </c>
      <c r="F168" s="74">
        <f ca="1">INDIRECT(ADDRESS(11+(MATCH(RIGHT(Table245[[#This Row],[spawner_sku]],LEN(Table245[[#This Row],[spawner_sku]])-FIND("/",Table245[[#This Row],[spawner_sku]])),Table1[Entity Prefab],0)),10,1,1,"Entities"))</f>
        <v>25</v>
      </c>
      <c r="G168" s="74">
        <f ca="1">ROUND((Table245[[#This Row],[XP]]*Table245[[#This Row],[entity_spawned (AVG)]])*(Table245[[#This Row],[activating_chance]]/100),0)</f>
        <v>50</v>
      </c>
      <c r="H168" s="71" t="str">
        <f ca="1">INDIRECT(ADDRESS(11+(MATCH(RIGHT(Table245[[#This Row],[spawner_sku]],LEN(Table245[[#This Row],[spawner_sku]])-FIND("/",Table245[[#This Row],[spawner_sku]])),Table28[Entity Prefab],0)),24,1,1,"Entities"))</f>
        <v>no</v>
      </c>
      <c r="I168" s="71">
        <v>1</v>
      </c>
      <c r="J168" s="71">
        <v>3</v>
      </c>
      <c r="K168" s="71" t="b">
        <v>0</v>
      </c>
      <c r="M168" t="s">
        <v>242</v>
      </c>
      <c r="N168">
        <v>1</v>
      </c>
      <c r="O168">
        <v>170</v>
      </c>
      <c r="P168">
        <v>100</v>
      </c>
      <c r="Q168" s="74">
        <f ca="1">INDIRECT(ADDRESS(11+(MATCH(RIGHT(Table3[[#This Row],[spawner_sku]],LEN(Table3[[#This Row],[spawner_sku]])-FIND("/",Table3[[#This Row],[spawner_sku]])),Table1[Entity Prefab],0)),10,1,1,"Entities"))</f>
        <v>25</v>
      </c>
      <c r="R168" s="74">
        <f ca="1">ROUND((Table3[[#This Row],[XP]]*Table3[[#This Row],[entity_spawned (AVG)]])*(Table3[[#This Row],[activating_chance]]/100),0)</f>
        <v>25</v>
      </c>
      <c r="S168" t="str">
        <f ca="1">INDIRECT(ADDRESS(11+(MATCH(RIGHT(Table3[[#This Row],[spawner_sku]],LEN(Table3[[#This Row],[spawner_sku]])-FIND("/",Table3[[#This Row],[spawner_sku]])),Table28[Entity Prefab],0)),24,1,1,"Entities"))</f>
        <v>no</v>
      </c>
      <c r="T168">
        <v>1</v>
      </c>
      <c r="U168">
        <v>1</v>
      </c>
      <c r="V168" t="b">
        <v>0</v>
      </c>
      <c r="W168" s="71"/>
      <c r="AI168" t="s">
        <v>224</v>
      </c>
      <c r="AJ168">
        <v>1</v>
      </c>
      <c r="AK168">
        <v>2500</v>
      </c>
      <c r="AL168">
        <v>100</v>
      </c>
      <c r="AM168" s="74">
        <f ca="1">INDIRECT(ADDRESS(11+(MATCH(RIGHT(Table2[[#This Row],[spawner_sku]],LEN(Table2[[#This Row],[spawner_sku]])-FIND("/",Table2[[#This Row],[spawner_sku]])),Table1[Entity Prefab],0)),10,1,1,"Entities"))</f>
        <v>263</v>
      </c>
      <c r="AN168" s="74">
        <f ca="1">ROUND((Table2[[#This Row],[XP]]*Table2[[#This Row],[entity_spawned (AVG)]])*(Table2[[#This Row],[activating_chance]]/100),0)</f>
        <v>263</v>
      </c>
      <c r="AO168" s="71" t="str">
        <f ca="1">INDIRECT(ADDRESS(11+(MATCH(RIGHT(Table2[[#This Row],[spawner_sku]],LEN(Table2[[#This Row],[spawner_sku]])-FIND("/",Table2[[#This Row],[spawner_sku]])),Table28[Entity Prefab],0)),24,1,1,"Entities"))</f>
        <v>yes</v>
      </c>
      <c r="AP168" s="71">
        <v>1</v>
      </c>
      <c r="AQ168" s="71">
        <v>1</v>
      </c>
      <c r="AR168" s="71" t="b">
        <v>0</v>
      </c>
      <c r="AT168" t="s">
        <v>243</v>
      </c>
      <c r="AU168">
        <v>1</v>
      </c>
      <c r="AV168">
        <v>150</v>
      </c>
      <c r="AW168">
        <v>100</v>
      </c>
      <c r="AX168" s="74">
        <f ca="1">INDIRECT(ADDRESS(11+(MATCH(RIGHT(Table6[[#This Row],[spawner_sku]],LEN(Table6[[#This Row],[spawner_sku]])-FIND("/",Table6[[#This Row],[spawner_sku]])),Table1[Entity Prefab],0)),10,1,1,"Entities"))</f>
        <v>25</v>
      </c>
      <c r="AY168" s="74">
        <f ca="1">ROUND((Table6[[#This Row],[XP]]*Table6[[#This Row],[entity_spawned (AVG)]])*(Table6[[#This Row],[activating_chance]]/100),0)</f>
        <v>25</v>
      </c>
      <c r="AZ168" s="144" t="str">
        <f ca="1">INDIRECT(ADDRESS(11+(MATCH(RIGHT(Table6[[#This Row],[spawner_sku]],LEN(Table6[[#This Row],[spawner_sku]])-FIND("/",Table6[[#This Row],[spawner_sku]])),Table28[Entity Prefab],0)),24,1,1,"Entities"))</f>
        <v>no</v>
      </c>
      <c r="BA168">
        <v>1</v>
      </c>
      <c r="BB168">
        <v>1</v>
      </c>
      <c r="BC168" t="b">
        <v>0</v>
      </c>
      <c r="BE168" t="s">
        <v>5003</v>
      </c>
      <c r="BF168">
        <v>1</v>
      </c>
      <c r="BG168">
        <v>5000</v>
      </c>
      <c r="BH168">
        <v>100</v>
      </c>
      <c r="BI168" s="74">
        <f ca="1">INDIRECT(ADDRESS(11+(MATCH(RIGHT(Table610[[#This Row],[spawner_sku]],LEN(Table610[[#This Row],[spawner_sku]])-FIND("/",Table610[[#This Row],[spawner_sku]])),Table1[Entity Prefab],0)),10,1,1,"Entities"))</f>
        <v>25</v>
      </c>
      <c r="BJ168" s="74">
        <f ca="1">ROUND((Table610[[#This Row],[XP]]*Table610[[#This Row],[entity_spawned (AVG)]])*(Table610[[#This Row],[activating_chance]]/100),0)</f>
        <v>25</v>
      </c>
      <c r="BK168" s="71" t="str">
        <f ca="1">INDIRECT(ADDRESS(11+(MATCH(RIGHT(Table610[[#This Row],[spawner_sku]],LEN(Table610[[#This Row],[spawner_sku]])-FIND("/",Table610[[#This Row],[spawner_sku]])),Table28[Entity Prefab],0)),24,1,1,"Entities"))</f>
        <v>no</v>
      </c>
      <c r="BL168">
        <v>1</v>
      </c>
      <c r="BM168">
        <v>1</v>
      </c>
      <c r="BN168" t="b">
        <v>0</v>
      </c>
      <c r="BP168" t="s">
        <v>222</v>
      </c>
      <c r="BQ168">
        <v>1</v>
      </c>
      <c r="BR168">
        <v>180</v>
      </c>
      <c r="BS168">
        <v>100</v>
      </c>
      <c r="BT168" s="74">
        <f ca="1">INDIRECT(ADDRESS(11+(MATCH(RIGHT(Table61011[[#This Row],[spawner_sku]],LEN(Table61011[[#This Row],[spawner_sku]])-FIND("/",Table61011[[#This Row],[spawner_sku]])),Table1[Entity Prefab],0)),10,1,1,"Entities"))</f>
        <v>25</v>
      </c>
      <c r="BU168" s="74">
        <f ca="1">ROUND((Table61011[[#This Row],[XP]]*Table61011[[#This Row],[entity_spawned (AVG)]])*(Table61011[[#This Row],[activating_chance]]/100),0)</f>
        <v>25</v>
      </c>
      <c r="BV168" s="71" t="str">
        <f ca="1">INDIRECT(ADDRESS(11+(MATCH(RIGHT(Table61011[[#This Row],[spawner_sku]],LEN(Table61011[[#This Row],[spawner_sku]])-FIND("/",Table61011[[#This Row],[spawner_sku]])),Table28[Entity Prefab],0)),24,1,1,"Entities"))</f>
        <v>yes</v>
      </c>
      <c r="BW168" s="71">
        <v>1</v>
      </c>
      <c r="BX168" s="71">
        <v>1</v>
      </c>
      <c r="BY168" s="71" t="b">
        <v>0</v>
      </c>
      <c r="BZ168" s="71"/>
      <c r="CA168" s="147" t="s">
        <v>3819</v>
      </c>
      <c r="CB168">
        <v>1</v>
      </c>
      <c r="CC168">
        <v>240</v>
      </c>
      <c r="CD168">
        <v>100</v>
      </c>
      <c r="CE168" s="74">
        <f ca="1">INDIRECT(ADDRESS(11+(MATCH(RIGHT(Table35[[#This Row],[spawner_sku]],LEN(Table35[[#This Row],[spawner_sku]])-FIND("/",Table35[[#This Row],[spawner_sku]])),Table1[Entity Prefab],0)),10,1,1,"Entities"))</f>
        <v>10</v>
      </c>
      <c r="CF168" s="74">
        <f ca="1">ROUND((Table35[[#This Row],[XP]]*Table35[[#This Row],[entity_spawned (AVG)]])*(Table35[[#This Row],[activating_chance]]/100),0)</f>
        <v>10</v>
      </c>
      <c r="CG168" s="144" t="str">
        <f ca="1">INDIRECT(ADDRESS(11+(MATCH(RIGHT(Table35[[#This Row],[spawner_sku]],LEN(Table35[[#This Row],[spawner_sku]])-FIND("/",Table35[[#This Row],[spawner_sku]])),Table28[Entity Prefab],0)),24,1,1,"Entities"))</f>
        <v>no</v>
      </c>
      <c r="CH168">
        <v>1</v>
      </c>
      <c r="CI168">
        <v>1</v>
      </c>
      <c r="CJ168" s="71" t="b">
        <v>0</v>
      </c>
      <c r="CL168" t="s">
        <v>219</v>
      </c>
      <c r="CM168">
        <v>1</v>
      </c>
      <c r="CN168">
        <v>250</v>
      </c>
      <c r="CO168">
        <v>100</v>
      </c>
      <c r="CP168" s="74">
        <f ca="1">INDIRECT(ADDRESS(11+(MATCH(RIGHT(Table11[[#This Row],[spawner_sku]],LEN(Table11[[#This Row],[spawner_sku]])-FIND("/",Table11[[#This Row],[spawner_sku]])),Table1[Entity Prefab],0)),10,1,1,"Entities"))</f>
        <v>143</v>
      </c>
      <c r="CQ168">
        <f ca="1">ROUND((Table11[[#This Row],[XP]]*Table11[[#This Row],[entity_spawned (AVG)]])*(Table11[[#This Row],[activating_chance]]/100),0)</f>
        <v>143</v>
      </c>
      <c r="CR168" s="144" t="str">
        <f ca="1">INDIRECT(ADDRESS(11+(MATCH(RIGHT(Table11[[#This Row],[spawner_sku]],LEN(Table11[[#This Row],[spawner_sku]])-FIND("/",Table11[[#This Row],[spawner_sku]])),Table28[Entity Prefab],0)),25,1,1,"Entities"))</f>
        <v>yes</v>
      </c>
      <c r="CS168" s="71">
        <v>1</v>
      </c>
      <c r="CT168" s="71">
        <v>1</v>
      </c>
      <c r="CU168" s="71" t="b">
        <v>0</v>
      </c>
      <c r="CW168" t="s">
        <v>242</v>
      </c>
      <c r="CX168">
        <v>1</v>
      </c>
      <c r="CY168">
        <v>150</v>
      </c>
      <c r="CZ168">
        <v>100</v>
      </c>
      <c r="DA168" s="74">
        <f ca="1">INDIRECT(ADDRESS(11+(MATCH(RIGHT(Table12[[#This Row],[spawner_sku]],LEN(Table12[[#This Row],[spawner_sku]])-FIND("/",Table12[[#This Row],[spawner_sku]])),Table1[Entity Prefab],0)),10,1,1,"Entities"))</f>
        <v>25</v>
      </c>
      <c r="DB168" s="74">
        <f ca="1">ROUND((Table12[[#This Row],[XP]]*Table12[[#This Row],[entity_spawned (AVG)]])*(Table12[[#This Row],[activating_chance]]/100),0)</f>
        <v>25</v>
      </c>
      <c r="DC168" s="144" t="str">
        <f ca="1">INDIRECT(ADDRESS(11+(MATCH(RIGHT(Table12[[#This Row],[spawner_sku]],LEN(Table12[[#This Row],[spawner_sku]])-FIND("/",Table12[[#This Row],[spawner_sku]])),Table28[Entity Prefab],0)),25,1,1,"Entities"))</f>
        <v>no</v>
      </c>
      <c r="DD168" s="71">
        <v>1</v>
      </c>
      <c r="DE168" s="71">
        <v>1</v>
      </c>
      <c r="DF168" s="71" t="b">
        <v>0</v>
      </c>
      <c r="DH168" t="s">
        <v>240</v>
      </c>
      <c r="DI168">
        <v>1</v>
      </c>
      <c r="DJ168">
        <v>170</v>
      </c>
      <c r="DK168">
        <v>100</v>
      </c>
      <c r="DL168" s="74">
        <f ca="1">INDIRECT(ADDRESS(11+(MATCH(RIGHT(Table13[[#This Row],[spawner_sku]],LEN(Table13[[#This Row],[spawner_sku]])-FIND("/",Table13[[#This Row],[spawner_sku]])),Table1[Entity Prefab],0)),10,1,1,"Entities"))</f>
        <v>70</v>
      </c>
      <c r="DM168" s="74">
        <f ca="1">ROUND((Table13[[#This Row],[XP]]*Table13[[#This Row],[entity_spawned (AVG)]])*(Table13[[#This Row],[activating_chance]]/100),0)</f>
        <v>70</v>
      </c>
      <c r="DN168" s="144" t="str">
        <f ca="1">INDIRECT(ADDRESS(11+(MATCH(RIGHT(Table13[[#This Row],[spawner_sku]],LEN(Table13[[#This Row],[spawner_sku]])-FIND("/",Table13[[#This Row],[spawner_sku]])),Table28[Entity Prefab],0)),25,1,1,"Entities"))</f>
        <v>yes</v>
      </c>
      <c r="DO168" s="71">
        <v>1</v>
      </c>
      <c r="DP168" s="71">
        <v>1</v>
      </c>
      <c r="DQ168" s="71" t="b">
        <v>0</v>
      </c>
      <c r="DS168" t="s">
        <v>223</v>
      </c>
      <c r="DT168">
        <v>2.5</v>
      </c>
      <c r="DU168">
        <v>140</v>
      </c>
      <c r="DV168">
        <v>100</v>
      </c>
      <c r="DW168" s="74">
        <f ca="1">INDIRECT(ADDRESS(11+(MATCH(RIGHT(Table14[[#This Row],[spawner_sku]],LEN(Table14[[#This Row],[spawner_sku]])-FIND("/",Table14[[#This Row],[spawner_sku]])),Table1[Entity Prefab],0)),10,1,1,"Entities"))</f>
        <v>70</v>
      </c>
      <c r="DX168" s="74">
        <f ca="1">ROUND((Table14[[#This Row],[XP]]*Table14[[#This Row],[entity_spawned (AVG)]])*(Table14[[#This Row],[activating_chance]]/100),0)</f>
        <v>175</v>
      </c>
      <c r="DY168" s="144" t="str">
        <f ca="1">INDIRECT(ADDRESS(11+(MATCH(RIGHT(Table14[[#This Row],[spawner_sku]],LEN(Table14[[#This Row],[spawner_sku]])-FIND("/",Table14[[#This Row],[spawner_sku]])),Table28[Entity Prefab],0)),25,1,1,"Entities"))</f>
        <v>no</v>
      </c>
      <c r="DZ168" s="71">
        <v>2</v>
      </c>
      <c r="EA168" s="71">
        <v>3</v>
      </c>
      <c r="EB168" s="71" t="b">
        <v>0</v>
      </c>
      <c r="EC168" s="71"/>
      <c r="ED168" s="71"/>
      <c r="EE168" s="71"/>
      <c r="EF168" s="71"/>
      <c r="EG168" s="71"/>
      <c r="EH168" s="71"/>
      <c r="EI168" s="71"/>
      <c r="EJ168" s="71"/>
      <c r="EK168" s="71"/>
      <c r="EL168" s="71"/>
      <c r="EM168" s="71"/>
      <c r="EO168" t="s">
        <v>383</v>
      </c>
      <c r="EP168">
        <v>2</v>
      </c>
      <c r="EQ168">
        <v>340</v>
      </c>
      <c r="ER168">
        <v>100</v>
      </c>
      <c r="ES168" s="74">
        <f ca="1">INDIRECT(ADDRESS(11+(MATCH(RIGHT(Table18[[#This Row],[spawner_sku]],LEN(Table18[[#This Row],[spawner_sku]])-FIND("/",Table18[[#This Row],[spawner_sku]])),Table1[Entity Prefab],0)),10,1,1,"Entities"))</f>
        <v>263</v>
      </c>
      <c r="ET168" s="74">
        <f ca="1">ROUND((Table18[[#This Row],[XP]]*Table18[[#This Row],[entity_spawned (AVG)]])*(Table18[[#This Row],[activating_chance]]/100),0)</f>
        <v>526</v>
      </c>
      <c r="EU168" s="74" t="str">
        <f ca="1">INDIRECT(ADDRESS(11+(MATCH(RIGHT(Table18[[#This Row],[spawner_sku]],LEN(Table18[[#This Row],[spawner_sku]])-FIND("/",Table18[[#This Row],[spawner_sku]])),Table28[Entity Prefab],0)),26,1,1,"Entities"))</f>
        <v>yes</v>
      </c>
      <c r="EV168">
        <v>2</v>
      </c>
      <c r="EW168">
        <v>2</v>
      </c>
      <c r="EX168" t="b">
        <v>0</v>
      </c>
      <c r="EZ168" t="s">
        <v>583</v>
      </c>
      <c r="FA168">
        <v>1.5</v>
      </c>
      <c r="FB168">
        <v>120</v>
      </c>
      <c r="FC168">
        <v>80</v>
      </c>
      <c r="FD168" s="74">
        <f ca="1">INDIRECT(ADDRESS(11+(MATCH(RIGHT(Table1820[[#This Row],[spawner_sku]],LEN(Table1820[[#This Row],[spawner_sku]])-FIND("/",Table1820[[#This Row],[spawner_sku]])),Table1[Entity Prefab],0)),10,1,1,"Entities"))</f>
        <v>48</v>
      </c>
      <c r="FE168" s="74">
        <f ca="1">ROUND((Table1820[[#This Row],[XP]]*Table1820[[#This Row],[entity_spawned (AVG)]])*(Table1820[[#This Row],[activating_chance]]/100),0)</f>
        <v>58</v>
      </c>
      <c r="FF168" s="74" t="str">
        <f ca="1">INDIRECT(ADDRESS(11+(MATCH(RIGHT(Table1820[[#This Row],[spawner_sku]],LEN(Table1820[[#This Row],[spawner_sku]])-FIND("/",Table1820[[#This Row],[spawner_sku]])),Table28[Entity Prefab],0)),26,1,1,"Entities"))</f>
        <v>no</v>
      </c>
      <c r="FG168">
        <v>1</v>
      </c>
      <c r="FH168">
        <v>2</v>
      </c>
      <c r="FI168" t="b">
        <v>0</v>
      </c>
      <c r="FK168" t="s">
        <v>2690</v>
      </c>
      <c r="FL168">
        <v>2.5</v>
      </c>
      <c r="FM168">
        <v>80</v>
      </c>
      <c r="FN168">
        <v>40</v>
      </c>
      <c r="FO168">
        <f ca="1">INDIRECT(ADDRESS(11+(MATCH(RIGHT(Table182023[[#This Row],[spawner_sku]],LEN(Table182023[[#This Row],[spawner_sku]])-FIND("/",Table182023[[#This Row],[spawner_sku]])),Table1[Entity Prefab],0)),10,1,1,"Entities"))</f>
        <v>25</v>
      </c>
      <c r="FP168">
        <f ca="1">ROUND((Table182023[[#This Row],[XP]]*Table182023[[#This Row],[entity_spawned (AVG)]])*(Table182023[[#This Row],[activating_chance]]/100),0)</f>
        <v>25</v>
      </c>
      <c r="FQ168" t="str">
        <f ca="1">INDIRECT(ADDRESS(11+(MATCH(RIGHT(Table182023[[#This Row],[spawner_sku]],LEN(Table182023[[#This Row],[spawner_sku]])-FIND("/",Table182023[[#This Row],[spawner_sku]])),Table28[Entity Prefab],0)),26,1,1,"Entities"))</f>
        <v>no</v>
      </c>
      <c r="FR168">
        <v>2</v>
      </c>
      <c r="FS168">
        <v>3</v>
      </c>
      <c r="FT168" t="b">
        <v>0</v>
      </c>
      <c r="FV168" t="s">
        <v>2697</v>
      </c>
      <c r="FW168">
        <v>3</v>
      </c>
      <c r="FX168">
        <v>70</v>
      </c>
      <c r="FY168">
        <v>100</v>
      </c>
      <c r="FZ168" s="74">
        <f ca="1">INDIRECT(ADDRESS(11+(MATCH(RIGHT(Table18202324[[#This Row],[spawner_sku]],LEN(Table18202324[[#This Row],[spawner_sku]])-FIND("/",Table18202324[[#This Row],[spawner_sku]])),Table1[Entity Prefab],0)),10,1,1,"Entities"))</f>
        <v>25</v>
      </c>
      <c r="GA168" s="74">
        <f ca="1">ROUND((Table18202324[[#This Row],[XP]]*Table18202324[[#This Row],[entity_spawned (AVG)]])*(Table18202324[[#This Row],[activating_chance]]/100),0)</f>
        <v>75</v>
      </c>
      <c r="GB168" s="74" t="str">
        <f ca="1">INDIRECT(ADDRESS(11+(MATCH(RIGHT(Table18202324[[#This Row],[spawner_sku]],LEN(Table18202324[[#This Row],[spawner_sku]])-FIND("/",Table18202324[[#This Row],[spawner_sku]])),Table28[Entity Prefab],0)),26,1,1,"Entities"))</f>
        <v>no</v>
      </c>
      <c r="GC168">
        <v>2</v>
      </c>
      <c r="GD168">
        <v>4</v>
      </c>
      <c r="GE168" t="b">
        <v>0</v>
      </c>
    </row>
    <row r="169" spans="2:187" x14ac:dyDescent="0.25">
      <c r="B169" s="72" t="s">
        <v>216</v>
      </c>
      <c r="C169">
        <v>3</v>
      </c>
      <c r="D169">
        <v>110</v>
      </c>
      <c r="E169">
        <v>100</v>
      </c>
      <c r="F169" s="74">
        <f ca="1">INDIRECT(ADDRESS(11+(MATCH(RIGHT(Table245[[#This Row],[spawner_sku]],LEN(Table245[[#This Row],[spawner_sku]])-FIND("/",Table245[[#This Row],[spawner_sku]])),Table1[Entity Prefab],0)),10,1,1,"Entities"))</f>
        <v>25</v>
      </c>
      <c r="G169" s="74">
        <f ca="1">ROUND((Table245[[#This Row],[XP]]*Table245[[#This Row],[entity_spawned (AVG)]])*(Table245[[#This Row],[activating_chance]]/100),0)</f>
        <v>75</v>
      </c>
      <c r="H169" s="71" t="str">
        <f ca="1">INDIRECT(ADDRESS(11+(MATCH(RIGHT(Table245[[#This Row],[spawner_sku]],LEN(Table245[[#This Row],[spawner_sku]])-FIND("/",Table245[[#This Row],[spawner_sku]])),Table28[Entity Prefab],0)),24,1,1,"Entities"))</f>
        <v>no</v>
      </c>
      <c r="I169" s="71">
        <v>2</v>
      </c>
      <c r="J169" s="71">
        <v>4</v>
      </c>
      <c r="K169" s="71" t="b">
        <v>0</v>
      </c>
      <c r="M169" t="s">
        <v>242</v>
      </c>
      <c r="N169">
        <v>1</v>
      </c>
      <c r="O169">
        <v>170</v>
      </c>
      <c r="P169">
        <v>100</v>
      </c>
      <c r="Q169" s="74">
        <f ca="1">INDIRECT(ADDRESS(11+(MATCH(RIGHT(Table3[[#This Row],[spawner_sku]],LEN(Table3[[#This Row],[spawner_sku]])-FIND("/",Table3[[#This Row],[spawner_sku]])),Table1[Entity Prefab],0)),10,1,1,"Entities"))</f>
        <v>25</v>
      </c>
      <c r="R169" s="74">
        <f ca="1">ROUND((Table3[[#This Row],[XP]]*Table3[[#This Row],[entity_spawned (AVG)]])*(Table3[[#This Row],[activating_chance]]/100),0)</f>
        <v>25</v>
      </c>
      <c r="S169" t="str">
        <f ca="1">INDIRECT(ADDRESS(11+(MATCH(RIGHT(Table3[[#This Row],[spawner_sku]],LEN(Table3[[#This Row],[spawner_sku]])-FIND("/",Table3[[#This Row],[spawner_sku]])),Table28[Entity Prefab],0)),24,1,1,"Entities"))</f>
        <v>no</v>
      </c>
      <c r="T169">
        <v>1</v>
      </c>
      <c r="U169">
        <v>1</v>
      </c>
      <c r="V169" t="b">
        <v>0</v>
      </c>
      <c r="W169" s="71"/>
      <c r="AI169" t="s">
        <v>224</v>
      </c>
      <c r="AJ169">
        <v>1</v>
      </c>
      <c r="AK169">
        <v>2500</v>
      </c>
      <c r="AL169">
        <v>100</v>
      </c>
      <c r="AM169" s="74">
        <f ca="1">INDIRECT(ADDRESS(11+(MATCH(RIGHT(Table2[[#This Row],[spawner_sku]],LEN(Table2[[#This Row],[spawner_sku]])-FIND("/",Table2[[#This Row],[spawner_sku]])),Table1[Entity Prefab],0)),10,1,1,"Entities"))</f>
        <v>263</v>
      </c>
      <c r="AN169" s="74">
        <f ca="1">ROUND((Table2[[#This Row],[XP]]*Table2[[#This Row],[entity_spawned (AVG)]])*(Table2[[#This Row],[activating_chance]]/100),0)</f>
        <v>263</v>
      </c>
      <c r="AO169" s="71" t="str">
        <f ca="1">INDIRECT(ADDRESS(11+(MATCH(RIGHT(Table2[[#This Row],[spawner_sku]],LEN(Table2[[#This Row],[spawner_sku]])-FIND("/",Table2[[#This Row],[spawner_sku]])),Table28[Entity Prefab],0)),24,1,1,"Entities"))</f>
        <v>yes</v>
      </c>
      <c r="AP169" s="71">
        <v>1</v>
      </c>
      <c r="AQ169" s="71">
        <v>1</v>
      </c>
      <c r="AR169" s="71" t="b">
        <v>0</v>
      </c>
      <c r="AT169" t="s">
        <v>243</v>
      </c>
      <c r="AU169">
        <v>1</v>
      </c>
      <c r="AV169">
        <v>150</v>
      </c>
      <c r="AW169">
        <v>100</v>
      </c>
      <c r="AX169" s="74">
        <f ca="1">INDIRECT(ADDRESS(11+(MATCH(RIGHT(Table6[[#This Row],[spawner_sku]],LEN(Table6[[#This Row],[spawner_sku]])-FIND("/",Table6[[#This Row],[spawner_sku]])),Table1[Entity Prefab],0)),10,1,1,"Entities"))</f>
        <v>25</v>
      </c>
      <c r="AY169" s="74">
        <f ca="1">ROUND((Table6[[#This Row],[XP]]*Table6[[#This Row],[entity_spawned (AVG)]])*(Table6[[#This Row],[activating_chance]]/100),0)</f>
        <v>25</v>
      </c>
      <c r="AZ169" s="144" t="str">
        <f ca="1">INDIRECT(ADDRESS(11+(MATCH(RIGHT(Table6[[#This Row],[spawner_sku]],LEN(Table6[[#This Row],[spawner_sku]])-FIND("/",Table6[[#This Row],[spawner_sku]])),Table28[Entity Prefab],0)),24,1,1,"Entities"))</f>
        <v>no</v>
      </c>
      <c r="BA169">
        <v>1</v>
      </c>
      <c r="BB169">
        <v>1</v>
      </c>
      <c r="BC169" t="b">
        <v>0</v>
      </c>
      <c r="BE169" t="s">
        <v>464</v>
      </c>
      <c r="BF169">
        <v>1</v>
      </c>
      <c r="BG169">
        <v>200</v>
      </c>
      <c r="BH169">
        <v>100</v>
      </c>
      <c r="BI169" s="74">
        <f ca="1">INDIRECT(ADDRESS(11+(MATCH(RIGHT(Table610[[#This Row],[spawner_sku]],LEN(Table610[[#This Row],[spawner_sku]])-FIND("/",Table610[[#This Row],[spawner_sku]])),Table1[Entity Prefab],0)),10,1,1,"Entities"))</f>
        <v>28</v>
      </c>
      <c r="BJ169" s="74">
        <f ca="1">ROUND((Table610[[#This Row],[XP]]*Table610[[#This Row],[entity_spawned (AVG)]])*(Table610[[#This Row],[activating_chance]]/100),0)</f>
        <v>28</v>
      </c>
      <c r="BK169" s="71" t="str">
        <f ca="1">INDIRECT(ADDRESS(11+(MATCH(RIGHT(Table610[[#This Row],[spawner_sku]],LEN(Table610[[#This Row],[spawner_sku]])-FIND("/",Table610[[#This Row],[spawner_sku]])),Table28[Entity Prefab],0)),24,1,1,"Entities"))</f>
        <v>no</v>
      </c>
      <c r="BL169">
        <v>1</v>
      </c>
      <c r="BM169">
        <v>1</v>
      </c>
      <c r="BN169" t="b">
        <v>0</v>
      </c>
      <c r="BP169" t="s">
        <v>222</v>
      </c>
      <c r="BQ169">
        <v>1</v>
      </c>
      <c r="BR169">
        <v>180</v>
      </c>
      <c r="BS169">
        <v>100</v>
      </c>
      <c r="BT169" s="74">
        <f ca="1">INDIRECT(ADDRESS(11+(MATCH(RIGHT(Table61011[[#This Row],[spawner_sku]],LEN(Table61011[[#This Row],[spawner_sku]])-FIND("/",Table61011[[#This Row],[spawner_sku]])),Table1[Entity Prefab],0)),10,1,1,"Entities"))</f>
        <v>25</v>
      </c>
      <c r="BU169" s="74">
        <f ca="1">ROUND((Table61011[[#This Row],[XP]]*Table61011[[#This Row],[entity_spawned (AVG)]])*(Table61011[[#This Row],[activating_chance]]/100),0)</f>
        <v>25</v>
      </c>
      <c r="BV169" s="71" t="str">
        <f ca="1">INDIRECT(ADDRESS(11+(MATCH(RIGHT(Table61011[[#This Row],[spawner_sku]],LEN(Table61011[[#This Row],[spawner_sku]])-FIND("/",Table61011[[#This Row],[spawner_sku]])),Table28[Entity Prefab],0)),24,1,1,"Entities"))</f>
        <v>yes</v>
      </c>
      <c r="BW169" s="71">
        <v>1</v>
      </c>
      <c r="BX169" s="71">
        <v>1</v>
      </c>
      <c r="BY169" s="71" t="b">
        <v>0</v>
      </c>
      <c r="BZ169" s="71"/>
      <c r="CA169" s="147" t="s">
        <v>3819</v>
      </c>
      <c r="CB169">
        <v>1</v>
      </c>
      <c r="CC169">
        <v>240</v>
      </c>
      <c r="CD169">
        <v>100</v>
      </c>
      <c r="CE169" s="74">
        <f ca="1">INDIRECT(ADDRESS(11+(MATCH(RIGHT(Table35[[#This Row],[spawner_sku]],LEN(Table35[[#This Row],[spawner_sku]])-FIND("/",Table35[[#This Row],[spawner_sku]])),Table1[Entity Prefab],0)),10,1,1,"Entities"))</f>
        <v>10</v>
      </c>
      <c r="CF169" s="74">
        <f ca="1">ROUND((Table35[[#This Row],[XP]]*Table35[[#This Row],[entity_spawned (AVG)]])*(Table35[[#This Row],[activating_chance]]/100),0)</f>
        <v>10</v>
      </c>
      <c r="CG169" s="144" t="str">
        <f ca="1">INDIRECT(ADDRESS(11+(MATCH(RIGHT(Table35[[#This Row],[spawner_sku]],LEN(Table35[[#This Row],[spawner_sku]])-FIND("/",Table35[[#This Row],[spawner_sku]])),Table28[Entity Prefab],0)),24,1,1,"Entities"))</f>
        <v>no</v>
      </c>
      <c r="CH169">
        <v>1</v>
      </c>
      <c r="CI169">
        <v>1</v>
      </c>
      <c r="CJ169" s="71" t="b">
        <v>0</v>
      </c>
      <c r="CL169" t="s">
        <v>219</v>
      </c>
      <c r="CM169">
        <v>1</v>
      </c>
      <c r="CN169">
        <v>250</v>
      </c>
      <c r="CO169">
        <v>100</v>
      </c>
      <c r="CP169" s="74">
        <f ca="1">INDIRECT(ADDRESS(11+(MATCH(RIGHT(Table11[[#This Row],[spawner_sku]],LEN(Table11[[#This Row],[spawner_sku]])-FIND("/",Table11[[#This Row],[spawner_sku]])),Table1[Entity Prefab],0)),10,1,1,"Entities"))</f>
        <v>143</v>
      </c>
      <c r="CQ169">
        <f ca="1">ROUND((Table11[[#This Row],[XP]]*Table11[[#This Row],[entity_spawned (AVG)]])*(Table11[[#This Row],[activating_chance]]/100),0)</f>
        <v>143</v>
      </c>
      <c r="CR169" s="144" t="str">
        <f ca="1">INDIRECT(ADDRESS(11+(MATCH(RIGHT(Table11[[#This Row],[spawner_sku]],LEN(Table11[[#This Row],[spawner_sku]])-FIND("/",Table11[[#This Row],[spawner_sku]])),Table28[Entity Prefab],0)),25,1,1,"Entities"))</f>
        <v>yes</v>
      </c>
      <c r="CS169" s="71">
        <v>1</v>
      </c>
      <c r="CT169" s="71">
        <v>1</v>
      </c>
      <c r="CU169" s="71" t="b">
        <v>0</v>
      </c>
      <c r="CW169" t="s">
        <v>242</v>
      </c>
      <c r="CX169">
        <v>1</v>
      </c>
      <c r="CY169">
        <v>150</v>
      </c>
      <c r="CZ169">
        <v>100</v>
      </c>
      <c r="DA169" s="74">
        <f ca="1">INDIRECT(ADDRESS(11+(MATCH(RIGHT(Table12[[#This Row],[spawner_sku]],LEN(Table12[[#This Row],[spawner_sku]])-FIND("/",Table12[[#This Row],[spawner_sku]])),Table1[Entity Prefab],0)),10,1,1,"Entities"))</f>
        <v>25</v>
      </c>
      <c r="DB169" s="74">
        <f ca="1">ROUND((Table12[[#This Row],[XP]]*Table12[[#This Row],[entity_spawned (AVG)]])*(Table12[[#This Row],[activating_chance]]/100),0)</f>
        <v>25</v>
      </c>
      <c r="DC169" s="144" t="str">
        <f ca="1">INDIRECT(ADDRESS(11+(MATCH(RIGHT(Table12[[#This Row],[spawner_sku]],LEN(Table12[[#This Row],[spawner_sku]])-FIND("/",Table12[[#This Row],[spawner_sku]])),Table28[Entity Prefab],0)),25,1,1,"Entities"))</f>
        <v>no</v>
      </c>
      <c r="DD169" s="71">
        <v>1</v>
      </c>
      <c r="DE169" s="71">
        <v>1</v>
      </c>
      <c r="DF169" s="71" t="b">
        <v>0</v>
      </c>
      <c r="DH169" t="s">
        <v>241</v>
      </c>
      <c r="DI169">
        <v>1</v>
      </c>
      <c r="DJ169">
        <v>170</v>
      </c>
      <c r="DK169">
        <v>100</v>
      </c>
      <c r="DL169" s="74">
        <f ca="1">INDIRECT(ADDRESS(11+(MATCH(RIGHT(Table13[[#This Row],[spawner_sku]],LEN(Table13[[#This Row],[spawner_sku]])-FIND("/",Table13[[#This Row],[spawner_sku]])),Table1[Entity Prefab],0)),10,1,1,"Entities"))</f>
        <v>70</v>
      </c>
      <c r="DM169" s="74">
        <f ca="1">ROUND((Table13[[#This Row],[XP]]*Table13[[#This Row],[entity_spawned (AVG)]])*(Table13[[#This Row],[activating_chance]]/100),0)</f>
        <v>70</v>
      </c>
      <c r="DN169" s="144" t="str">
        <f ca="1">INDIRECT(ADDRESS(11+(MATCH(RIGHT(Table13[[#This Row],[spawner_sku]],LEN(Table13[[#This Row],[spawner_sku]])-FIND("/",Table13[[#This Row],[spawner_sku]])),Table28[Entity Prefab],0)),25,1,1,"Entities"))</f>
        <v>yes</v>
      </c>
      <c r="DO169" s="71">
        <v>1</v>
      </c>
      <c r="DP169" s="71">
        <v>1</v>
      </c>
      <c r="DQ169" s="71" t="b">
        <v>0</v>
      </c>
      <c r="DS169" t="s">
        <v>223</v>
      </c>
      <c r="DT169">
        <v>2</v>
      </c>
      <c r="DU169">
        <v>130</v>
      </c>
      <c r="DV169">
        <v>100</v>
      </c>
      <c r="DW169" s="74">
        <f ca="1">INDIRECT(ADDRESS(11+(MATCH(RIGHT(Table14[[#This Row],[spawner_sku]],LEN(Table14[[#This Row],[spawner_sku]])-FIND("/",Table14[[#This Row],[spawner_sku]])),Table1[Entity Prefab],0)),10,1,1,"Entities"))</f>
        <v>70</v>
      </c>
      <c r="DX169" s="74">
        <f ca="1">ROUND((Table14[[#This Row],[XP]]*Table14[[#This Row],[entity_spawned (AVG)]])*(Table14[[#This Row],[activating_chance]]/100),0)</f>
        <v>140</v>
      </c>
      <c r="DY169" s="144" t="str">
        <f ca="1">INDIRECT(ADDRESS(11+(MATCH(RIGHT(Table14[[#This Row],[spawner_sku]],LEN(Table14[[#This Row],[spawner_sku]])-FIND("/",Table14[[#This Row],[spawner_sku]])),Table28[Entity Prefab],0)),25,1,1,"Entities"))</f>
        <v>no</v>
      </c>
      <c r="DZ169" s="71">
        <v>2</v>
      </c>
      <c r="EA169" s="71">
        <v>2</v>
      </c>
      <c r="EB169" s="71" t="b">
        <v>0</v>
      </c>
      <c r="EC169" s="71"/>
      <c r="ED169" s="71"/>
      <c r="EE169" s="71"/>
      <c r="EF169" s="71"/>
      <c r="EG169" s="71"/>
      <c r="EH169" s="71"/>
      <c r="EI169" s="71"/>
      <c r="EJ169" s="71"/>
      <c r="EK169" s="71"/>
      <c r="EL169" s="71"/>
      <c r="EM169" s="71"/>
      <c r="EO169" t="s">
        <v>383</v>
      </c>
      <c r="EP169">
        <v>1.5</v>
      </c>
      <c r="EQ169">
        <v>240</v>
      </c>
      <c r="ER169">
        <v>100</v>
      </c>
      <c r="ES169" s="74">
        <f ca="1">INDIRECT(ADDRESS(11+(MATCH(RIGHT(Table18[[#This Row],[spawner_sku]],LEN(Table18[[#This Row],[spawner_sku]])-FIND("/",Table18[[#This Row],[spawner_sku]])),Table1[Entity Prefab],0)),10,1,1,"Entities"))</f>
        <v>263</v>
      </c>
      <c r="ET169" s="74">
        <f ca="1">ROUND((Table18[[#This Row],[XP]]*Table18[[#This Row],[entity_spawned (AVG)]])*(Table18[[#This Row],[activating_chance]]/100),0)</f>
        <v>395</v>
      </c>
      <c r="EU169" s="74" t="str">
        <f ca="1">INDIRECT(ADDRESS(11+(MATCH(RIGHT(Table18[[#This Row],[spawner_sku]],LEN(Table18[[#This Row],[spawner_sku]])-FIND("/",Table18[[#This Row],[spawner_sku]])),Table28[Entity Prefab],0)),26,1,1,"Entities"))</f>
        <v>yes</v>
      </c>
      <c r="EV169">
        <v>1</v>
      </c>
      <c r="EW169">
        <v>2</v>
      </c>
      <c r="EX169" t="b">
        <v>0</v>
      </c>
      <c r="EZ169" t="s">
        <v>583</v>
      </c>
      <c r="FA169">
        <v>1</v>
      </c>
      <c r="FB169">
        <v>120</v>
      </c>
      <c r="FC169">
        <v>100</v>
      </c>
      <c r="FD169" s="74">
        <f ca="1">INDIRECT(ADDRESS(11+(MATCH(RIGHT(Table1820[[#This Row],[spawner_sku]],LEN(Table1820[[#This Row],[spawner_sku]])-FIND("/",Table1820[[#This Row],[spawner_sku]])),Table1[Entity Prefab],0)),10,1,1,"Entities"))</f>
        <v>48</v>
      </c>
      <c r="FE169" s="74">
        <f ca="1">ROUND((Table1820[[#This Row],[XP]]*Table1820[[#This Row],[entity_spawned (AVG)]])*(Table1820[[#This Row],[activating_chance]]/100),0)</f>
        <v>48</v>
      </c>
      <c r="FF169" s="74" t="str">
        <f ca="1">INDIRECT(ADDRESS(11+(MATCH(RIGHT(Table1820[[#This Row],[spawner_sku]],LEN(Table1820[[#This Row],[spawner_sku]])-FIND("/",Table1820[[#This Row],[spawner_sku]])),Table28[Entity Prefab],0)),26,1,1,"Entities"))</f>
        <v>no</v>
      </c>
      <c r="FG169">
        <v>1</v>
      </c>
      <c r="FH169">
        <v>1</v>
      </c>
      <c r="FI169" t="b">
        <v>0</v>
      </c>
      <c r="FK169" t="s">
        <v>2690</v>
      </c>
      <c r="FL169">
        <v>1</v>
      </c>
      <c r="FM169">
        <v>70</v>
      </c>
      <c r="FN169">
        <v>100</v>
      </c>
      <c r="FO169">
        <f ca="1">INDIRECT(ADDRESS(11+(MATCH(RIGHT(Table182023[[#This Row],[spawner_sku]],LEN(Table182023[[#This Row],[spawner_sku]])-FIND("/",Table182023[[#This Row],[spawner_sku]])),Table1[Entity Prefab],0)),10,1,1,"Entities"))</f>
        <v>25</v>
      </c>
      <c r="FP169">
        <f ca="1">ROUND((Table182023[[#This Row],[XP]]*Table182023[[#This Row],[entity_spawned (AVG)]])*(Table182023[[#This Row],[activating_chance]]/100),0)</f>
        <v>25</v>
      </c>
      <c r="FQ169" t="str">
        <f ca="1">INDIRECT(ADDRESS(11+(MATCH(RIGHT(Table182023[[#This Row],[spawner_sku]],LEN(Table182023[[#This Row],[spawner_sku]])-FIND("/",Table182023[[#This Row],[spawner_sku]])),Table28[Entity Prefab],0)),26,1,1,"Entities"))</f>
        <v>no</v>
      </c>
      <c r="FR169">
        <v>1</v>
      </c>
      <c r="FS169">
        <v>1</v>
      </c>
      <c r="FT169" t="b">
        <v>0</v>
      </c>
      <c r="FV169" t="s">
        <v>2697</v>
      </c>
      <c r="FW169">
        <v>2</v>
      </c>
      <c r="FX169">
        <v>70</v>
      </c>
      <c r="FY169">
        <v>100</v>
      </c>
      <c r="FZ169" s="74">
        <f ca="1">INDIRECT(ADDRESS(11+(MATCH(RIGHT(Table18202324[[#This Row],[spawner_sku]],LEN(Table18202324[[#This Row],[spawner_sku]])-FIND("/",Table18202324[[#This Row],[spawner_sku]])),Table1[Entity Prefab],0)),10,1,1,"Entities"))</f>
        <v>25</v>
      </c>
      <c r="GA169" s="74">
        <f ca="1">ROUND((Table18202324[[#This Row],[XP]]*Table18202324[[#This Row],[entity_spawned (AVG)]])*(Table18202324[[#This Row],[activating_chance]]/100),0)</f>
        <v>50</v>
      </c>
      <c r="GB169" s="74" t="str">
        <f ca="1">INDIRECT(ADDRESS(11+(MATCH(RIGHT(Table18202324[[#This Row],[spawner_sku]],LEN(Table18202324[[#This Row],[spawner_sku]])-FIND("/",Table18202324[[#This Row],[spawner_sku]])),Table28[Entity Prefab],0)),26,1,1,"Entities"))</f>
        <v>no</v>
      </c>
      <c r="GC169">
        <v>1</v>
      </c>
      <c r="GD169">
        <v>3</v>
      </c>
      <c r="GE169" t="b">
        <v>0</v>
      </c>
    </row>
    <row r="170" spans="2:187" x14ac:dyDescent="0.25">
      <c r="B170" s="72" t="s">
        <v>216</v>
      </c>
      <c r="C170">
        <v>3</v>
      </c>
      <c r="D170">
        <v>130</v>
      </c>
      <c r="E170">
        <v>100</v>
      </c>
      <c r="F170" s="74">
        <f ca="1">INDIRECT(ADDRESS(11+(MATCH(RIGHT(Table245[[#This Row],[spawner_sku]],LEN(Table245[[#This Row],[spawner_sku]])-FIND("/",Table245[[#This Row],[spawner_sku]])),Table1[Entity Prefab],0)),10,1,1,"Entities"))</f>
        <v>25</v>
      </c>
      <c r="G170" s="74">
        <f ca="1">ROUND((Table245[[#This Row],[XP]]*Table245[[#This Row],[entity_spawned (AVG)]])*(Table245[[#This Row],[activating_chance]]/100),0)</f>
        <v>75</v>
      </c>
      <c r="H170" s="71" t="str">
        <f ca="1">INDIRECT(ADDRESS(11+(MATCH(RIGHT(Table245[[#This Row],[spawner_sku]],LEN(Table245[[#This Row],[spawner_sku]])-FIND("/",Table245[[#This Row],[spawner_sku]])),Table28[Entity Prefab],0)),24,1,1,"Entities"))</f>
        <v>no</v>
      </c>
      <c r="I170" s="71">
        <v>2</v>
      </c>
      <c r="J170" s="71">
        <v>4</v>
      </c>
      <c r="K170" s="71" t="b">
        <v>0</v>
      </c>
      <c r="M170" t="s">
        <v>233</v>
      </c>
      <c r="N170">
        <v>1</v>
      </c>
      <c r="O170">
        <v>500</v>
      </c>
      <c r="P170">
        <v>75</v>
      </c>
      <c r="Q170" s="74">
        <f ca="1">INDIRECT(ADDRESS(11+(MATCH(RIGHT(Table3[[#This Row],[spawner_sku]],LEN(Table3[[#This Row],[spawner_sku]])-FIND("/",Table3[[#This Row],[spawner_sku]])),Table1[Entity Prefab],0)),10,1,1,"Entities"))</f>
        <v>25</v>
      </c>
      <c r="R170" s="74">
        <f ca="1">ROUND((Table3[[#This Row],[XP]]*Table3[[#This Row],[entity_spawned (AVG)]])*(Table3[[#This Row],[activating_chance]]/100),0)</f>
        <v>19</v>
      </c>
      <c r="S170" t="str">
        <f ca="1">INDIRECT(ADDRESS(11+(MATCH(RIGHT(Table3[[#This Row],[spawner_sku]],LEN(Table3[[#This Row],[spawner_sku]])-FIND("/",Table3[[#This Row],[spawner_sku]])),Table28[Entity Prefab],0)),24,1,1,"Entities"))</f>
        <v>no</v>
      </c>
      <c r="T170">
        <v>1</v>
      </c>
      <c r="U170">
        <v>1</v>
      </c>
      <c r="V170" t="b">
        <v>0</v>
      </c>
      <c r="W170" s="71"/>
      <c r="AI170" t="s">
        <v>224</v>
      </c>
      <c r="AJ170">
        <v>1</v>
      </c>
      <c r="AK170">
        <v>2500</v>
      </c>
      <c r="AL170">
        <v>100</v>
      </c>
      <c r="AM170" s="74">
        <f ca="1">INDIRECT(ADDRESS(11+(MATCH(RIGHT(Table2[[#This Row],[spawner_sku]],LEN(Table2[[#This Row],[spawner_sku]])-FIND("/",Table2[[#This Row],[spawner_sku]])),Table1[Entity Prefab],0)),10,1,1,"Entities"))</f>
        <v>263</v>
      </c>
      <c r="AN170" s="74">
        <f ca="1">ROUND((Table2[[#This Row],[XP]]*Table2[[#This Row],[entity_spawned (AVG)]])*(Table2[[#This Row],[activating_chance]]/100),0)</f>
        <v>263</v>
      </c>
      <c r="AO170" s="71" t="str">
        <f ca="1">INDIRECT(ADDRESS(11+(MATCH(RIGHT(Table2[[#This Row],[spawner_sku]],LEN(Table2[[#This Row],[spawner_sku]])-FIND("/",Table2[[#This Row],[spawner_sku]])),Table28[Entity Prefab],0)),24,1,1,"Entities"))</f>
        <v>yes</v>
      </c>
      <c r="AP170" s="71">
        <v>1</v>
      </c>
      <c r="AQ170" s="71">
        <v>1</v>
      </c>
      <c r="AR170" s="71" t="b">
        <v>0</v>
      </c>
      <c r="AT170" t="s">
        <v>243</v>
      </c>
      <c r="AU170">
        <v>1</v>
      </c>
      <c r="AV170">
        <v>150</v>
      </c>
      <c r="AW170">
        <v>30</v>
      </c>
      <c r="AX170" s="74">
        <f ca="1">INDIRECT(ADDRESS(11+(MATCH(RIGHT(Table6[[#This Row],[spawner_sku]],LEN(Table6[[#This Row],[spawner_sku]])-FIND("/",Table6[[#This Row],[spawner_sku]])),Table1[Entity Prefab],0)),10,1,1,"Entities"))</f>
        <v>25</v>
      </c>
      <c r="AY170" s="74">
        <f ca="1">ROUND((Table6[[#This Row],[XP]]*Table6[[#This Row],[entity_spawned (AVG)]])*(Table6[[#This Row],[activating_chance]]/100),0)</f>
        <v>8</v>
      </c>
      <c r="AZ170" s="144" t="str">
        <f ca="1">INDIRECT(ADDRESS(11+(MATCH(RIGHT(Table6[[#This Row],[spawner_sku]],LEN(Table6[[#This Row],[spawner_sku]])-FIND("/",Table6[[#This Row],[spawner_sku]])),Table28[Entity Prefab],0)),24,1,1,"Entities"))</f>
        <v>no</v>
      </c>
      <c r="BA170">
        <v>1</v>
      </c>
      <c r="BB170">
        <v>1</v>
      </c>
      <c r="BC170" t="b">
        <v>0</v>
      </c>
      <c r="BE170" t="s">
        <v>465</v>
      </c>
      <c r="BF170">
        <v>1</v>
      </c>
      <c r="BG170">
        <v>100</v>
      </c>
      <c r="BH170">
        <v>100</v>
      </c>
      <c r="BI170" s="74">
        <f ca="1">INDIRECT(ADDRESS(11+(MATCH(RIGHT(Table610[[#This Row],[spawner_sku]],LEN(Table610[[#This Row],[spawner_sku]])-FIND("/",Table610[[#This Row],[spawner_sku]])),Table1[Entity Prefab],0)),10,1,1,"Entities"))</f>
        <v>25</v>
      </c>
      <c r="BJ170" s="74">
        <f ca="1">ROUND((Table610[[#This Row],[XP]]*Table610[[#This Row],[entity_spawned (AVG)]])*(Table610[[#This Row],[activating_chance]]/100),0)</f>
        <v>25</v>
      </c>
      <c r="BK170" s="71" t="str">
        <f ca="1">INDIRECT(ADDRESS(11+(MATCH(RIGHT(Table610[[#This Row],[spawner_sku]],LEN(Table610[[#This Row],[spawner_sku]])-FIND("/",Table610[[#This Row],[spawner_sku]])),Table28[Entity Prefab],0)),24,1,1,"Entities"))</f>
        <v>no</v>
      </c>
      <c r="BL170">
        <v>1</v>
      </c>
      <c r="BM170">
        <v>1</v>
      </c>
      <c r="BN170" t="b">
        <v>0</v>
      </c>
      <c r="BP170" t="s">
        <v>222</v>
      </c>
      <c r="BQ170">
        <v>1</v>
      </c>
      <c r="BR170">
        <v>180</v>
      </c>
      <c r="BS170">
        <v>80</v>
      </c>
      <c r="BT170" s="74">
        <f ca="1">INDIRECT(ADDRESS(11+(MATCH(RIGHT(Table61011[[#This Row],[spawner_sku]],LEN(Table61011[[#This Row],[spawner_sku]])-FIND("/",Table61011[[#This Row],[spawner_sku]])),Table1[Entity Prefab],0)),10,1,1,"Entities"))</f>
        <v>25</v>
      </c>
      <c r="BU170" s="74">
        <f ca="1">ROUND((Table61011[[#This Row],[XP]]*Table61011[[#This Row],[entity_spawned (AVG)]])*(Table61011[[#This Row],[activating_chance]]/100),0)</f>
        <v>20</v>
      </c>
      <c r="BV170" s="71" t="str">
        <f ca="1">INDIRECT(ADDRESS(11+(MATCH(RIGHT(Table61011[[#This Row],[spawner_sku]],LEN(Table61011[[#This Row],[spawner_sku]])-FIND("/",Table61011[[#This Row],[spawner_sku]])),Table28[Entity Prefab],0)),24,1,1,"Entities"))</f>
        <v>yes</v>
      </c>
      <c r="BW170" s="71">
        <v>1</v>
      </c>
      <c r="BX170" s="71">
        <v>1</v>
      </c>
      <c r="BY170" s="71" t="b">
        <v>0</v>
      </c>
      <c r="BZ170" s="71"/>
      <c r="CA170" s="147" t="s">
        <v>3819</v>
      </c>
      <c r="CB170">
        <v>1</v>
      </c>
      <c r="CC170">
        <v>240</v>
      </c>
      <c r="CD170">
        <v>100</v>
      </c>
      <c r="CE170" s="74">
        <f ca="1">INDIRECT(ADDRESS(11+(MATCH(RIGHT(Table35[[#This Row],[spawner_sku]],LEN(Table35[[#This Row],[spawner_sku]])-FIND("/",Table35[[#This Row],[spawner_sku]])),Table1[Entity Prefab],0)),10,1,1,"Entities"))</f>
        <v>10</v>
      </c>
      <c r="CF170" s="74">
        <f ca="1">ROUND((Table35[[#This Row],[XP]]*Table35[[#This Row],[entity_spawned (AVG)]])*(Table35[[#This Row],[activating_chance]]/100),0)</f>
        <v>10</v>
      </c>
      <c r="CG170" s="144" t="str">
        <f ca="1">INDIRECT(ADDRESS(11+(MATCH(RIGHT(Table35[[#This Row],[spawner_sku]],LEN(Table35[[#This Row],[spawner_sku]])-FIND("/",Table35[[#This Row],[spawner_sku]])),Table28[Entity Prefab],0)),24,1,1,"Entities"))</f>
        <v>no</v>
      </c>
      <c r="CH170">
        <v>1</v>
      </c>
      <c r="CI170">
        <v>1</v>
      </c>
      <c r="CJ170" s="71" t="b">
        <v>0</v>
      </c>
      <c r="CL170" t="s">
        <v>219</v>
      </c>
      <c r="CM170">
        <v>1</v>
      </c>
      <c r="CN170">
        <v>240</v>
      </c>
      <c r="CO170">
        <v>100</v>
      </c>
      <c r="CP170" s="74">
        <f ca="1">INDIRECT(ADDRESS(11+(MATCH(RIGHT(Table11[[#This Row],[spawner_sku]],LEN(Table11[[#This Row],[spawner_sku]])-FIND("/",Table11[[#This Row],[spawner_sku]])),Table1[Entity Prefab],0)),10,1,1,"Entities"))</f>
        <v>143</v>
      </c>
      <c r="CQ170">
        <f ca="1">ROUND((Table11[[#This Row],[XP]]*Table11[[#This Row],[entity_spawned (AVG)]])*(Table11[[#This Row],[activating_chance]]/100),0)</f>
        <v>143</v>
      </c>
      <c r="CR170" s="144" t="str">
        <f ca="1">INDIRECT(ADDRESS(11+(MATCH(RIGHT(Table11[[#This Row],[spawner_sku]],LEN(Table11[[#This Row],[spawner_sku]])-FIND("/",Table11[[#This Row],[spawner_sku]])),Table28[Entity Prefab],0)),25,1,1,"Entities"))</f>
        <v>yes</v>
      </c>
      <c r="CS170" s="71">
        <v>1</v>
      </c>
      <c r="CT170" s="71">
        <v>1</v>
      </c>
      <c r="CU170" s="71" t="b">
        <v>0</v>
      </c>
      <c r="CW170" t="s">
        <v>242</v>
      </c>
      <c r="CX170">
        <v>1</v>
      </c>
      <c r="CY170">
        <v>150</v>
      </c>
      <c r="CZ170">
        <v>80</v>
      </c>
      <c r="DA170" s="74">
        <f ca="1">INDIRECT(ADDRESS(11+(MATCH(RIGHT(Table12[[#This Row],[spawner_sku]],LEN(Table12[[#This Row],[spawner_sku]])-FIND("/",Table12[[#This Row],[spawner_sku]])),Table1[Entity Prefab],0)),10,1,1,"Entities"))</f>
        <v>25</v>
      </c>
      <c r="DB170" s="74">
        <f ca="1">ROUND((Table12[[#This Row],[XP]]*Table12[[#This Row],[entity_spawned (AVG)]])*(Table12[[#This Row],[activating_chance]]/100),0)</f>
        <v>20</v>
      </c>
      <c r="DC170" s="144" t="str">
        <f ca="1">INDIRECT(ADDRESS(11+(MATCH(RIGHT(Table12[[#This Row],[spawner_sku]],LEN(Table12[[#This Row],[spawner_sku]])-FIND("/",Table12[[#This Row],[spawner_sku]])),Table28[Entity Prefab],0)),25,1,1,"Entities"))</f>
        <v>no</v>
      </c>
      <c r="DD170" s="71">
        <v>1</v>
      </c>
      <c r="DE170" s="71">
        <v>1</v>
      </c>
      <c r="DF170" s="71" t="b">
        <v>0</v>
      </c>
      <c r="DH170" t="s">
        <v>241</v>
      </c>
      <c r="DI170">
        <v>1</v>
      </c>
      <c r="DJ170">
        <v>170</v>
      </c>
      <c r="DK170">
        <v>80</v>
      </c>
      <c r="DL170" s="74">
        <f ca="1">INDIRECT(ADDRESS(11+(MATCH(RIGHT(Table13[[#This Row],[spawner_sku]],LEN(Table13[[#This Row],[spawner_sku]])-FIND("/",Table13[[#This Row],[spawner_sku]])),Table1[Entity Prefab],0)),10,1,1,"Entities"))</f>
        <v>70</v>
      </c>
      <c r="DM170" s="74">
        <f ca="1">ROUND((Table13[[#This Row],[XP]]*Table13[[#This Row],[entity_spawned (AVG)]])*(Table13[[#This Row],[activating_chance]]/100),0)</f>
        <v>56</v>
      </c>
      <c r="DN170" s="144" t="str">
        <f ca="1">INDIRECT(ADDRESS(11+(MATCH(RIGHT(Table13[[#This Row],[spawner_sku]],LEN(Table13[[#This Row],[spawner_sku]])-FIND("/",Table13[[#This Row],[spawner_sku]])),Table28[Entity Prefab],0)),25,1,1,"Entities"))</f>
        <v>yes</v>
      </c>
      <c r="DO170" s="71">
        <v>1</v>
      </c>
      <c r="DP170" s="71">
        <v>1</v>
      </c>
      <c r="DQ170" s="71" t="b">
        <v>0</v>
      </c>
      <c r="DS170" t="s">
        <v>223</v>
      </c>
      <c r="DT170">
        <v>2.5</v>
      </c>
      <c r="DU170">
        <v>100</v>
      </c>
      <c r="DV170">
        <v>100</v>
      </c>
      <c r="DW170" s="74">
        <f ca="1">INDIRECT(ADDRESS(11+(MATCH(RIGHT(Table14[[#This Row],[spawner_sku]],LEN(Table14[[#This Row],[spawner_sku]])-FIND("/",Table14[[#This Row],[spawner_sku]])),Table1[Entity Prefab],0)),10,1,1,"Entities"))</f>
        <v>70</v>
      </c>
      <c r="DX170" s="74">
        <f ca="1">ROUND((Table14[[#This Row],[XP]]*Table14[[#This Row],[entity_spawned (AVG)]])*(Table14[[#This Row],[activating_chance]]/100),0)</f>
        <v>175</v>
      </c>
      <c r="DY170" s="144" t="str">
        <f ca="1">INDIRECT(ADDRESS(11+(MATCH(RIGHT(Table14[[#This Row],[spawner_sku]],LEN(Table14[[#This Row],[spawner_sku]])-FIND("/",Table14[[#This Row],[spawner_sku]])),Table28[Entity Prefab],0)),25,1,1,"Entities"))</f>
        <v>no</v>
      </c>
      <c r="DZ170" s="71">
        <v>2</v>
      </c>
      <c r="EA170" s="71">
        <v>3</v>
      </c>
      <c r="EB170" s="71" t="b">
        <v>0</v>
      </c>
      <c r="EC170" s="71"/>
      <c r="ED170" s="71"/>
      <c r="EE170" s="71"/>
      <c r="EF170" s="71"/>
      <c r="EG170" s="71"/>
      <c r="EH170" s="71"/>
      <c r="EI170" s="71"/>
      <c r="EJ170" s="71"/>
      <c r="EK170" s="71"/>
      <c r="EL170" s="71"/>
      <c r="EM170" s="71"/>
      <c r="EO170" t="s">
        <v>383</v>
      </c>
      <c r="EP170">
        <v>1.5</v>
      </c>
      <c r="EQ170">
        <v>340</v>
      </c>
      <c r="ER170">
        <v>100</v>
      </c>
      <c r="ES170" s="74">
        <f ca="1">INDIRECT(ADDRESS(11+(MATCH(RIGHT(Table18[[#This Row],[spawner_sku]],LEN(Table18[[#This Row],[spawner_sku]])-FIND("/",Table18[[#This Row],[spawner_sku]])),Table1[Entity Prefab],0)),10,1,1,"Entities"))</f>
        <v>263</v>
      </c>
      <c r="ET170" s="74">
        <f ca="1">ROUND((Table18[[#This Row],[XP]]*Table18[[#This Row],[entity_spawned (AVG)]])*(Table18[[#This Row],[activating_chance]]/100),0)</f>
        <v>395</v>
      </c>
      <c r="EU170" s="74" t="str">
        <f ca="1">INDIRECT(ADDRESS(11+(MATCH(RIGHT(Table18[[#This Row],[spawner_sku]],LEN(Table18[[#This Row],[spawner_sku]])-FIND("/",Table18[[#This Row],[spawner_sku]])),Table28[Entity Prefab],0)),26,1,1,"Entities"))</f>
        <v>yes</v>
      </c>
      <c r="EV170">
        <v>1</v>
      </c>
      <c r="EW170">
        <v>2</v>
      </c>
      <c r="EX170" t="b">
        <v>0</v>
      </c>
      <c r="EZ170" t="s">
        <v>583</v>
      </c>
      <c r="FA170">
        <v>1</v>
      </c>
      <c r="FB170">
        <v>120</v>
      </c>
      <c r="FC170">
        <v>30</v>
      </c>
      <c r="FD170" s="74">
        <f ca="1">INDIRECT(ADDRESS(11+(MATCH(RIGHT(Table1820[[#This Row],[spawner_sku]],LEN(Table1820[[#This Row],[spawner_sku]])-FIND("/",Table1820[[#This Row],[spawner_sku]])),Table1[Entity Prefab],0)),10,1,1,"Entities"))</f>
        <v>48</v>
      </c>
      <c r="FE170" s="74">
        <f ca="1">ROUND((Table1820[[#This Row],[XP]]*Table1820[[#This Row],[entity_spawned (AVG)]])*(Table1820[[#This Row],[activating_chance]]/100),0)</f>
        <v>14</v>
      </c>
      <c r="FF170" s="74" t="str">
        <f ca="1">INDIRECT(ADDRESS(11+(MATCH(RIGHT(Table1820[[#This Row],[spawner_sku]],LEN(Table1820[[#This Row],[spawner_sku]])-FIND("/",Table1820[[#This Row],[spawner_sku]])),Table28[Entity Prefab],0)),26,1,1,"Entities"))</f>
        <v>no</v>
      </c>
      <c r="FG170">
        <v>1</v>
      </c>
      <c r="FH170">
        <v>1</v>
      </c>
      <c r="FI170" t="b">
        <v>0</v>
      </c>
      <c r="FK170" t="s">
        <v>2690</v>
      </c>
      <c r="FL170">
        <v>2.5</v>
      </c>
      <c r="FM170">
        <v>80</v>
      </c>
      <c r="FN170">
        <v>100</v>
      </c>
      <c r="FO170">
        <f ca="1">INDIRECT(ADDRESS(11+(MATCH(RIGHT(Table182023[[#This Row],[spawner_sku]],LEN(Table182023[[#This Row],[spawner_sku]])-FIND("/",Table182023[[#This Row],[spawner_sku]])),Table1[Entity Prefab],0)),10,1,1,"Entities"))</f>
        <v>25</v>
      </c>
      <c r="FP170">
        <f ca="1">ROUND((Table182023[[#This Row],[XP]]*Table182023[[#This Row],[entity_spawned (AVG)]])*(Table182023[[#This Row],[activating_chance]]/100),0)</f>
        <v>63</v>
      </c>
      <c r="FQ170" t="str">
        <f ca="1">INDIRECT(ADDRESS(11+(MATCH(RIGHT(Table182023[[#This Row],[spawner_sku]],LEN(Table182023[[#This Row],[spawner_sku]])-FIND("/",Table182023[[#This Row],[spawner_sku]])),Table28[Entity Prefab],0)),26,1,1,"Entities"))</f>
        <v>no</v>
      </c>
      <c r="FR170">
        <v>2</v>
      </c>
      <c r="FS170">
        <v>3</v>
      </c>
      <c r="FT170" t="b">
        <v>0</v>
      </c>
      <c r="FV170" t="s">
        <v>2697</v>
      </c>
      <c r="FW170">
        <v>2</v>
      </c>
      <c r="FX170">
        <v>80</v>
      </c>
      <c r="FY170">
        <v>100</v>
      </c>
      <c r="FZ170" s="74">
        <f ca="1">INDIRECT(ADDRESS(11+(MATCH(RIGHT(Table18202324[[#This Row],[spawner_sku]],LEN(Table18202324[[#This Row],[spawner_sku]])-FIND("/",Table18202324[[#This Row],[spawner_sku]])),Table1[Entity Prefab],0)),10,1,1,"Entities"))</f>
        <v>25</v>
      </c>
      <c r="GA170" s="74">
        <f ca="1">ROUND((Table18202324[[#This Row],[XP]]*Table18202324[[#This Row],[entity_spawned (AVG)]])*(Table18202324[[#This Row],[activating_chance]]/100),0)</f>
        <v>50</v>
      </c>
      <c r="GB170" s="74" t="str">
        <f ca="1">INDIRECT(ADDRESS(11+(MATCH(RIGHT(Table18202324[[#This Row],[spawner_sku]],LEN(Table18202324[[#This Row],[spawner_sku]])-FIND("/",Table18202324[[#This Row],[spawner_sku]])),Table28[Entity Prefab],0)),26,1,1,"Entities"))</f>
        <v>no</v>
      </c>
      <c r="GC170">
        <v>1</v>
      </c>
      <c r="GD170">
        <v>3</v>
      </c>
      <c r="GE170" t="b">
        <v>0</v>
      </c>
    </row>
    <row r="171" spans="2:187" x14ac:dyDescent="0.25">
      <c r="B171" s="72" t="s">
        <v>216</v>
      </c>
      <c r="C171">
        <v>1.5</v>
      </c>
      <c r="D171">
        <v>100</v>
      </c>
      <c r="E171">
        <v>100</v>
      </c>
      <c r="F171" s="74">
        <f ca="1">INDIRECT(ADDRESS(11+(MATCH(RIGHT(Table245[[#This Row],[spawner_sku]],LEN(Table245[[#This Row],[spawner_sku]])-FIND("/",Table245[[#This Row],[spawner_sku]])),Table1[Entity Prefab],0)),10,1,1,"Entities"))</f>
        <v>25</v>
      </c>
      <c r="G171" s="74">
        <f ca="1">ROUND((Table245[[#This Row],[XP]]*Table245[[#This Row],[entity_spawned (AVG)]])*(Table245[[#This Row],[activating_chance]]/100),0)</f>
        <v>38</v>
      </c>
      <c r="H171" s="71" t="str">
        <f ca="1">INDIRECT(ADDRESS(11+(MATCH(RIGHT(Table245[[#This Row],[spawner_sku]],LEN(Table245[[#This Row],[spawner_sku]])-FIND("/",Table245[[#This Row],[spawner_sku]])),Table28[Entity Prefab],0)),24,1,1,"Entities"))</f>
        <v>no</v>
      </c>
      <c r="I171" s="71">
        <v>1</v>
      </c>
      <c r="J171" s="71">
        <v>2</v>
      </c>
      <c r="K171" s="71" t="b">
        <v>0</v>
      </c>
      <c r="M171" t="s">
        <v>366</v>
      </c>
      <c r="N171">
        <v>2</v>
      </c>
      <c r="O171">
        <v>100</v>
      </c>
      <c r="P171">
        <v>100</v>
      </c>
      <c r="Q171" s="74">
        <f ca="1">INDIRECT(ADDRESS(11+(MATCH(RIGHT(Table3[[#This Row],[spawner_sku]],LEN(Table3[[#This Row],[spawner_sku]])-FIND("/",Table3[[#This Row],[spawner_sku]])),Table1[Entity Prefab],0)),10,1,1,"Entities"))</f>
        <v>25</v>
      </c>
      <c r="R171" s="74">
        <f ca="1">ROUND((Table3[[#This Row],[XP]]*Table3[[#This Row],[entity_spawned (AVG)]])*(Table3[[#This Row],[activating_chance]]/100),0)</f>
        <v>50</v>
      </c>
      <c r="S171" t="str">
        <f ca="1">INDIRECT(ADDRESS(11+(MATCH(RIGHT(Table3[[#This Row],[spawner_sku]],LEN(Table3[[#This Row],[spawner_sku]])-FIND("/",Table3[[#This Row],[spawner_sku]])),Table28[Entity Prefab],0)),24,1,1,"Entities"))</f>
        <v>no</v>
      </c>
      <c r="T171">
        <v>2</v>
      </c>
      <c r="U171">
        <v>2</v>
      </c>
      <c r="V171" t="b">
        <v>0</v>
      </c>
      <c r="W171" s="71"/>
      <c r="AI171" t="s">
        <v>224</v>
      </c>
      <c r="AJ171">
        <v>1</v>
      </c>
      <c r="AK171">
        <v>2500</v>
      </c>
      <c r="AL171">
        <v>100</v>
      </c>
      <c r="AM171" s="74">
        <f ca="1">INDIRECT(ADDRESS(11+(MATCH(RIGHT(Table2[[#This Row],[spawner_sku]],LEN(Table2[[#This Row],[spawner_sku]])-FIND("/",Table2[[#This Row],[spawner_sku]])),Table1[Entity Prefab],0)),10,1,1,"Entities"))</f>
        <v>263</v>
      </c>
      <c r="AN171" s="74">
        <f ca="1">ROUND((Table2[[#This Row],[XP]]*Table2[[#This Row],[entity_spawned (AVG)]])*(Table2[[#This Row],[activating_chance]]/100),0)</f>
        <v>263</v>
      </c>
      <c r="AO171" s="71" t="str">
        <f ca="1">INDIRECT(ADDRESS(11+(MATCH(RIGHT(Table2[[#This Row],[spawner_sku]],LEN(Table2[[#This Row],[spawner_sku]])-FIND("/",Table2[[#This Row],[spawner_sku]])),Table28[Entity Prefab],0)),24,1,1,"Entities"))</f>
        <v>yes</v>
      </c>
      <c r="AP171" s="71">
        <v>1</v>
      </c>
      <c r="AQ171" s="71">
        <v>1</v>
      </c>
      <c r="AR171" s="71" t="b">
        <v>0</v>
      </c>
      <c r="AT171" t="s">
        <v>3812</v>
      </c>
      <c r="AU171">
        <v>1</v>
      </c>
      <c r="AV171">
        <v>180</v>
      </c>
      <c r="AW171">
        <v>100</v>
      </c>
      <c r="AX171" s="74">
        <f ca="1">INDIRECT(ADDRESS(11+(MATCH(RIGHT(Table6[[#This Row],[spawner_sku]],LEN(Table6[[#This Row],[spawner_sku]])-FIND("/",Table6[[#This Row],[spawner_sku]])),Table1[Entity Prefab],0)),10,1,1,"Entities"))</f>
        <v>0</v>
      </c>
      <c r="AY171" s="74">
        <f ca="1">ROUND((Table6[[#This Row],[XP]]*Table6[[#This Row],[entity_spawned (AVG)]])*(Table6[[#This Row],[activating_chance]]/100),0)</f>
        <v>0</v>
      </c>
      <c r="AZ171" s="144" t="str">
        <f ca="1">INDIRECT(ADDRESS(11+(MATCH(RIGHT(Table6[[#This Row],[spawner_sku]],LEN(Table6[[#This Row],[spawner_sku]])-FIND("/",Table6[[#This Row],[spawner_sku]])),Table28[Entity Prefab],0)),24,1,1,"Entities"))</f>
        <v>no</v>
      </c>
      <c r="BA171">
        <v>1</v>
      </c>
      <c r="BB171">
        <v>1</v>
      </c>
      <c r="BC171" t="b">
        <v>0</v>
      </c>
      <c r="BE171" t="s">
        <v>465</v>
      </c>
      <c r="BF171">
        <v>1</v>
      </c>
      <c r="BG171">
        <v>100</v>
      </c>
      <c r="BH171">
        <v>100</v>
      </c>
      <c r="BI171" s="74">
        <f ca="1">INDIRECT(ADDRESS(11+(MATCH(RIGHT(Table610[[#This Row],[spawner_sku]],LEN(Table610[[#This Row],[spawner_sku]])-FIND("/",Table610[[#This Row],[spawner_sku]])),Table1[Entity Prefab],0)),10,1,1,"Entities"))</f>
        <v>25</v>
      </c>
      <c r="BJ171" s="74">
        <f ca="1">ROUND((Table610[[#This Row],[XP]]*Table610[[#This Row],[entity_spawned (AVG)]])*(Table610[[#This Row],[activating_chance]]/100),0)</f>
        <v>25</v>
      </c>
      <c r="BK171" s="71" t="str">
        <f ca="1">INDIRECT(ADDRESS(11+(MATCH(RIGHT(Table610[[#This Row],[spawner_sku]],LEN(Table610[[#This Row],[spawner_sku]])-FIND("/",Table610[[#This Row],[spawner_sku]])),Table28[Entity Prefab],0)),24,1,1,"Entities"))</f>
        <v>no</v>
      </c>
      <c r="BL171">
        <v>1</v>
      </c>
      <c r="BM171">
        <v>1</v>
      </c>
      <c r="BN171" t="b">
        <v>0</v>
      </c>
      <c r="BP171" t="s">
        <v>222</v>
      </c>
      <c r="BQ171">
        <v>1</v>
      </c>
      <c r="BR171">
        <v>180</v>
      </c>
      <c r="BS171">
        <v>100</v>
      </c>
      <c r="BT171" s="74">
        <f ca="1">INDIRECT(ADDRESS(11+(MATCH(RIGHT(Table61011[[#This Row],[spawner_sku]],LEN(Table61011[[#This Row],[spawner_sku]])-FIND("/",Table61011[[#This Row],[spawner_sku]])),Table1[Entity Prefab],0)),10,1,1,"Entities"))</f>
        <v>25</v>
      </c>
      <c r="BU171" s="74">
        <f ca="1">ROUND((Table61011[[#This Row],[XP]]*Table61011[[#This Row],[entity_spawned (AVG)]])*(Table61011[[#This Row],[activating_chance]]/100),0)</f>
        <v>25</v>
      </c>
      <c r="BV171" s="71" t="str">
        <f ca="1">INDIRECT(ADDRESS(11+(MATCH(RIGHT(Table61011[[#This Row],[spawner_sku]],LEN(Table61011[[#This Row],[spawner_sku]])-FIND("/",Table61011[[#This Row],[spawner_sku]])),Table28[Entity Prefab],0)),24,1,1,"Entities"))</f>
        <v>yes</v>
      </c>
      <c r="BW171" s="71">
        <v>1</v>
      </c>
      <c r="BX171" s="71">
        <v>1</v>
      </c>
      <c r="BY171" s="71" t="b">
        <v>0</v>
      </c>
      <c r="BZ171" s="71"/>
      <c r="CA171" s="147" t="s">
        <v>3819</v>
      </c>
      <c r="CB171">
        <v>1</v>
      </c>
      <c r="CC171">
        <v>240</v>
      </c>
      <c r="CD171">
        <v>100</v>
      </c>
      <c r="CE171" s="74">
        <f ca="1">INDIRECT(ADDRESS(11+(MATCH(RIGHT(Table35[[#This Row],[spawner_sku]],LEN(Table35[[#This Row],[spawner_sku]])-FIND("/",Table35[[#This Row],[spawner_sku]])),Table1[Entity Prefab],0)),10,1,1,"Entities"))</f>
        <v>10</v>
      </c>
      <c r="CF171" s="74">
        <f ca="1">ROUND((Table35[[#This Row],[XP]]*Table35[[#This Row],[entity_spawned (AVG)]])*(Table35[[#This Row],[activating_chance]]/100),0)</f>
        <v>10</v>
      </c>
      <c r="CG171" s="144" t="str">
        <f ca="1">INDIRECT(ADDRESS(11+(MATCH(RIGHT(Table35[[#This Row],[spawner_sku]],LEN(Table35[[#This Row],[spawner_sku]])-FIND("/",Table35[[#This Row],[spawner_sku]])),Table28[Entity Prefab],0)),24,1,1,"Entities"))</f>
        <v>no</v>
      </c>
      <c r="CH171">
        <v>1</v>
      </c>
      <c r="CI171">
        <v>1</v>
      </c>
      <c r="CJ171" s="71" t="b">
        <v>0</v>
      </c>
      <c r="CL171" t="s">
        <v>219</v>
      </c>
      <c r="CM171">
        <v>1</v>
      </c>
      <c r="CN171">
        <v>250</v>
      </c>
      <c r="CO171">
        <v>100</v>
      </c>
      <c r="CP171" s="74">
        <f ca="1">INDIRECT(ADDRESS(11+(MATCH(RIGHT(Table11[[#This Row],[spawner_sku]],LEN(Table11[[#This Row],[spawner_sku]])-FIND("/",Table11[[#This Row],[spawner_sku]])),Table1[Entity Prefab],0)),10,1,1,"Entities"))</f>
        <v>143</v>
      </c>
      <c r="CQ171">
        <f ca="1">ROUND((Table11[[#This Row],[XP]]*Table11[[#This Row],[entity_spawned (AVG)]])*(Table11[[#This Row],[activating_chance]]/100),0)</f>
        <v>143</v>
      </c>
      <c r="CR171" s="144" t="str">
        <f ca="1">INDIRECT(ADDRESS(11+(MATCH(RIGHT(Table11[[#This Row],[spawner_sku]],LEN(Table11[[#This Row],[spawner_sku]])-FIND("/",Table11[[#This Row],[spawner_sku]])),Table28[Entity Prefab],0)),25,1,1,"Entities"))</f>
        <v>yes</v>
      </c>
      <c r="CS171" s="71">
        <v>1</v>
      </c>
      <c r="CT171" s="71">
        <v>1</v>
      </c>
      <c r="CU171" s="71" t="b">
        <v>0</v>
      </c>
      <c r="CW171" t="s">
        <v>242</v>
      </c>
      <c r="CX171">
        <v>1</v>
      </c>
      <c r="CY171">
        <v>150</v>
      </c>
      <c r="CZ171">
        <v>100</v>
      </c>
      <c r="DA171" s="74">
        <f ca="1">INDIRECT(ADDRESS(11+(MATCH(RIGHT(Table12[[#This Row],[spawner_sku]],LEN(Table12[[#This Row],[spawner_sku]])-FIND("/",Table12[[#This Row],[spawner_sku]])),Table1[Entity Prefab],0)),10,1,1,"Entities"))</f>
        <v>25</v>
      </c>
      <c r="DB171" s="74">
        <f ca="1">ROUND((Table12[[#This Row],[XP]]*Table12[[#This Row],[entity_spawned (AVG)]])*(Table12[[#This Row],[activating_chance]]/100),0)</f>
        <v>25</v>
      </c>
      <c r="DC171" s="144" t="str">
        <f ca="1">INDIRECT(ADDRESS(11+(MATCH(RIGHT(Table12[[#This Row],[spawner_sku]],LEN(Table12[[#This Row],[spawner_sku]])-FIND("/",Table12[[#This Row],[spawner_sku]])),Table28[Entity Prefab],0)),25,1,1,"Entities"))</f>
        <v>no</v>
      </c>
      <c r="DD171" s="71">
        <v>1</v>
      </c>
      <c r="DE171" s="71">
        <v>1</v>
      </c>
      <c r="DF171" s="71" t="b">
        <v>0</v>
      </c>
      <c r="DH171" t="s">
        <v>241</v>
      </c>
      <c r="DI171">
        <v>1</v>
      </c>
      <c r="DJ171">
        <v>170</v>
      </c>
      <c r="DK171">
        <v>100</v>
      </c>
      <c r="DL171" s="74">
        <f ca="1">INDIRECT(ADDRESS(11+(MATCH(RIGHT(Table13[[#This Row],[spawner_sku]],LEN(Table13[[#This Row],[spawner_sku]])-FIND("/",Table13[[#This Row],[spawner_sku]])),Table1[Entity Prefab],0)),10,1,1,"Entities"))</f>
        <v>70</v>
      </c>
      <c r="DM171" s="74">
        <f ca="1">ROUND((Table13[[#This Row],[XP]]*Table13[[#This Row],[entity_spawned (AVG)]])*(Table13[[#This Row],[activating_chance]]/100),0)</f>
        <v>70</v>
      </c>
      <c r="DN171" s="144" t="str">
        <f ca="1">INDIRECT(ADDRESS(11+(MATCH(RIGHT(Table13[[#This Row],[spawner_sku]],LEN(Table13[[#This Row],[spawner_sku]])-FIND("/",Table13[[#This Row],[spawner_sku]])),Table28[Entity Prefab],0)),25,1,1,"Entities"))</f>
        <v>yes</v>
      </c>
      <c r="DO171" s="71">
        <v>1</v>
      </c>
      <c r="DP171" s="71">
        <v>1</v>
      </c>
      <c r="DQ171" s="71" t="b">
        <v>0</v>
      </c>
      <c r="DS171" t="s">
        <v>223</v>
      </c>
      <c r="DT171">
        <v>1</v>
      </c>
      <c r="DU171">
        <v>100</v>
      </c>
      <c r="DV171">
        <v>80</v>
      </c>
      <c r="DW171" s="74">
        <f ca="1">INDIRECT(ADDRESS(11+(MATCH(RIGHT(Table14[[#This Row],[spawner_sku]],LEN(Table14[[#This Row],[spawner_sku]])-FIND("/",Table14[[#This Row],[spawner_sku]])),Table1[Entity Prefab],0)),10,1,1,"Entities"))</f>
        <v>70</v>
      </c>
      <c r="DX171" s="74">
        <f ca="1">ROUND((Table14[[#This Row],[XP]]*Table14[[#This Row],[entity_spawned (AVG)]])*(Table14[[#This Row],[activating_chance]]/100),0)</f>
        <v>56</v>
      </c>
      <c r="DY171" s="144" t="str">
        <f ca="1">INDIRECT(ADDRESS(11+(MATCH(RIGHT(Table14[[#This Row],[spawner_sku]],LEN(Table14[[#This Row],[spawner_sku]])-FIND("/",Table14[[#This Row],[spawner_sku]])),Table28[Entity Prefab],0)),25,1,1,"Entities"))</f>
        <v>no</v>
      </c>
      <c r="DZ171" s="71">
        <v>1</v>
      </c>
      <c r="EA171" s="71">
        <v>1</v>
      </c>
      <c r="EB171" s="71" t="b">
        <v>0</v>
      </c>
      <c r="EC171" s="71"/>
      <c r="ED171" s="71"/>
      <c r="EE171" s="71"/>
      <c r="EF171" s="71"/>
      <c r="EG171" s="71"/>
      <c r="EH171" s="71"/>
      <c r="EI171" s="71"/>
      <c r="EJ171" s="71"/>
      <c r="EK171" s="71"/>
      <c r="EL171" s="71"/>
      <c r="EM171" s="71"/>
      <c r="EO171" t="s">
        <v>383</v>
      </c>
      <c r="EP171">
        <v>1</v>
      </c>
      <c r="EQ171">
        <v>340</v>
      </c>
      <c r="ER171">
        <v>100</v>
      </c>
      <c r="ES171" s="74">
        <f ca="1">INDIRECT(ADDRESS(11+(MATCH(RIGHT(Table18[[#This Row],[spawner_sku]],LEN(Table18[[#This Row],[spawner_sku]])-FIND("/",Table18[[#This Row],[spawner_sku]])),Table1[Entity Prefab],0)),10,1,1,"Entities"))</f>
        <v>263</v>
      </c>
      <c r="ET171" s="74">
        <f ca="1">ROUND((Table18[[#This Row],[XP]]*Table18[[#This Row],[entity_spawned (AVG)]])*(Table18[[#This Row],[activating_chance]]/100),0)</f>
        <v>263</v>
      </c>
      <c r="EU171" s="74" t="str">
        <f ca="1">INDIRECT(ADDRESS(11+(MATCH(RIGHT(Table18[[#This Row],[spawner_sku]],LEN(Table18[[#This Row],[spawner_sku]])-FIND("/",Table18[[#This Row],[spawner_sku]])),Table28[Entity Prefab],0)),26,1,1,"Entities"))</f>
        <v>yes</v>
      </c>
      <c r="EV171">
        <v>1</v>
      </c>
      <c r="EW171">
        <v>1</v>
      </c>
      <c r="EX171" t="b">
        <v>0</v>
      </c>
      <c r="EZ171" t="s">
        <v>583</v>
      </c>
      <c r="FA171">
        <v>1.5</v>
      </c>
      <c r="FB171">
        <v>120</v>
      </c>
      <c r="FC171">
        <v>100</v>
      </c>
      <c r="FD171" s="74">
        <f ca="1">INDIRECT(ADDRESS(11+(MATCH(RIGHT(Table1820[[#This Row],[spawner_sku]],LEN(Table1820[[#This Row],[spawner_sku]])-FIND("/",Table1820[[#This Row],[spawner_sku]])),Table1[Entity Prefab],0)),10,1,1,"Entities"))</f>
        <v>48</v>
      </c>
      <c r="FE171" s="74">
        <f ca="1">ROUND((Table1820[[#This Row],[XP]]*Table1820[[#This Row],[entity_spawned (AVG)]])*(Table1820[[#This Row],[activating_chance]]/100),0)</f>
        <v>72</v>
      </c>
      <c r="FF171" s="74" t="str">
        <f ca="1">INDIRECT(ADDRESS(11+(MATCH(RIGHT(Table1820[[#This Row],[spawner_sku]],LEN(Table1820[[#This Row],[spawner_sku]])-FIND("/",Table1820[[#This Row],[spawner_sku]])),Table28[Entity Prefab],0)),26,1,1,"Entities"))</f>
        <v>no</v>
      </c>
      <c r="FG171">
        <v>1</v>
      </c>
      <c r="FH171">
        <v>2</v>
      </c>
      <c r="FI171" t="b">
        <v>0</v>
      </c>
      <c r="FK171" t="s">
        <v>2690</v>
      </c>
      <c r="FL171">
        <v>1.5</v>
      </c>
      <c r="FM171">
        <v>80</v>
      </c>
      <c r="FN171">
        <v>100</v>
      </c>
      <c r="FO171">
        <f ca="1">INDIRECT(ADDRESS(11+(MATCH(RIGHT(Table182023[[#This Row],[spawner_sku]],LEN(Table182023[[#This Row],[spawner_sku]])-FIND("/",Table182023[[#This Row],[spawner_sku]])),Table1[Entity Prefab],0)),10,1,1,"Entities"))</f>
        <v>25</v>
      </c>
      <c r="FP171">
        <f ca="1">ROUND((Table182023[[#This Row],[XP]]*Table182023[[#This Row],[entity_spawned (AVG)]])*(Table182023[[#This Row],[activating_chance]]/100),0)</f>
        <v>38</v>
      </c>
      <c r="FQ171" t="str">
        <f ca="1">INDIRECT(ADDRESS(11+(MATCH(RIGHT(Table182023[[#This Row],[spawner_sku]],LEN(Table182023[[#This Row],[spawner_sku]])-FIND("/",Table182023[[#This Row],[spawner_sku]])),Table28[Entity Prefab],0)),26,1,1,"Entities"))</f>
        <v>no</v>
      </c>
      <c r="FR171">
        <v>1</v>
      </c>
      <c r="FS171">
        <v>2</v>
      </c>
      <c r="FT171" t="b">
        <v>0</v>
      </c>
      <c r="FV171" t="s">
        <v>2697</v>
      </c>
      <c r="FW171">
        <v>1.5</v>
      </c>
      <c r="FX171">
        <v>70</v>
      </c>
      <c r="FY171">
        <v>100</v>
      </c>
      <c r="FZ171" s="74">
        <f ca="1">INDIRECT(ADDRESS(11+(MATCH(RIGHT(Table18202324[[#This Row],[spawner_sku]],LEN(Table18202324[[#This Row],[spawner_sku]])-FIND("/",Table18202324[[#This Row],[spawner_sku]])),Table1[Entity Prefab],0)),10,1,1,"Entities"))</f>
        <v>25</v>
      </c>
      <c r="GA171" s="74">
        <f ca="1">ROUND((Table18202324[[#This Row],[XP]]*Table18202324[[#This Row],[entity_spawned (AVG)]])*(Table18202324[[#This Row],[activating_chance]]/100),0)</f>
        <v>38</v>
      </c>
      <c r="GB171" s="74" t="str">
        <f ca="1">INDIRECT(ADDRESS(11+(MATCH(RIGHT(Table18202324[[#This Row],[spawner_sku]],LEN(Table18202324[[#This Row],[spawner_sku]])-FIND("/",Table18202324[[#This Row],[spawner_sku]])),Table28[Entity Prefab],0)),26,1,1,"Entities"))</f>
        <v>no</v>
      </c>
      <c r="GC171">
        <v>1</v>
      </c>
      <c r="GD171">
        <v>2</v>
      </c>
      <c r="GE171" t="b">
        <v>0</v>
      </c>
    </row>
    <row r="172" spans="2:187" x14ac:dyDescent="0.25">
      <c r="B172" s="72" t="s">
        <v>216</v>
      </c>
      <c r="C172">
        <v>6.5</v>
      </c>
      <c r="D172">
        <v>140</v>
      </c>
      <c r="E172">
        <v>30</v>
      </c>
      <c r="F172" s="74">
        <f ca="1">INDIRECT(ADDRESS(11+(MATCH(RIGHT(Table245[[#This Row],[spawner_sku]],LEN(Table245[[#This Row],[spawner_sku]])-FIND("/",Table245[[#This Row],[spawner_sku]])),Table1[Entity Prefab],0)),10,1,1,"Entities"))</f>
        <v>25</v>
      </c>
      <c r="G172" s="74">
        <f ca="1">ROUND((Table245[[#This Row],[XP]]*Table245[[#This Row],[entity_spawned (AVG)]])*(Table245[[#This Row],[activating_chance]]/100),0)</f>
        <v>49</v>
      </c>
      <c r="H172" s="71" t="str">
        <f ca="1">INDIRECT(ADDRESS(11+(MATCH(RIGHT(Table245[[#This Row],[spawner_sku]],LEN(Table245[[#This Row],[spawner_sku]])-FIND("/",Table245[[#This Row],[spawner_sku]])),Table28[Entity Prefab],0)),24,1,1,"Entities"))</f>
        <v>no</v>
      </c>
      <c r="I172" s="71">
        <v>5</v>
      </c>
      <c r="J172" s="71">
        <v>8</v>
      </c>
      <c r="K172" s="71" t="b">
        <v>1</v>
      </c>
      <c r="M172" t="s">
        <v>366</v>
      </c>
      <c r="N172">
        <v>2</v>
      </c>
      <c r="O172">
        <v>100</v>
      </c>
      <c r="P172">
        <v>100</v>
      </c>
      <c r="Q172" s="74">
        <f ca="1">INDIRECT(ADDRESS(11+(MATCH(RIGHT(Table3[[#This Row],[spawner_sku]],LEN(Table3[[#This Row],[spawner_sku]])-FIND("/",Table3[[#This Row],[spawner_sku]])),Table1[Entity Prefab],0)),10,1,1,"Entities"))</f>
        <v>25</v>
      </c>
      <c r="R172" s="74">
        <f ca="1">ROUND((Table3[[#This Row],[XP]]*Table3[[#This Row],[entity_spawned (AVG)]])*(Table3[[#This Row],[activating_chance]]/100),0)</f>
        <v>50</v>
      </c>
      <c r="S172" t="str">
        <f ca="1">INDIRECT(ADDRESS(11+(MATCH(RIGHT(Table3[[#This Row],[spawner_sku]],LEN(Table3[[#This Row],[spawner_sku]])-FIND("/",Table3[[#This Row],[spawner_sku]])),Table28[Entity Prefab],0)),24,1,1,"Entities"))</f>
        <v>no</v>
      </c>
      <c r="T172">
        <v>2</v>
      </c>
      <c r="U172">
        <v>2</v>
      </c>
      <c r="V172" t="b">
        <v>0</v>
      </c>
      <c r="W172" s="71"/>
      <c r="AI172" t="s">
        <v>226</v>
      </c>
      <c r="AJ172">
        <v>1</v>
      </c>
      <c r="AK172">
        <v>2000</v>
      </c>
      <c r="AL172">
        <v>100</v>
      </c>
      <c r="AM172" s="74">
        <f ca="1">INDIRECT(ADDRESS(11+(MATCH(RIGHT(Table2[[#This Row],[spawner_sku]],LEN(Table2[[#This Row],[spawner_sku]])-FIND("/",Table2[[#This Row],[spawner_sku]])),Table1[Entity Prefab],0)),10,1,1,"Entities"))</f>
        <v>175</v>
      </c>
      <c r="AN172" s="74">
        <f ca="1">ROUND((Table2[[#This Row],[XP]]*Table2[[#This Row],[entity_spawned (AVG)]])*(Table2[[#This Row],[activating_chance]]/100),0)</f>
        <v>175</v>
      </c>
      <c r="AO172" s="71" t="str">
        <f ca="1">INDIRECT(ADDRESS(11+(MATCH(RIGHT(Table2[[#This Row],[spawner_sku]],LEN(Table2[[#This Row],[spawner_sku]])-FIND("/",Table2[[#This Row],[spawner_sku]])),Table28[Entity Prefab],0)),24,1,1,"Entities"))</f>
        <v>yes</v>
      </c>
      <c r="AP172" s="71">
        <v>1</v>
      </c>
      <c r="AQ172" s="71">
        <v>1</v>
      </c>
      <c r="AR172" s="71" t="b">
        <v>0</v>
      </c>
      <c r="AT172" t="s">
        <v>3812</v>
      </c>
      <c r="AU172">
        <v>1</v>
      </c>
      <c r="AV172">
        <v>180</v>
      </c>
      <c r="AW172">
        <v>100</v>
      </c>
      <c r="AX172" s="74">
        <f ca="1">INDIRECT(ADDRESS(11+(MATCH(RIGHT(Table6[[#This Row],[spawner_sku]],LEN(Table6[[#This Row],[spawner_sku]])-FIND("/",Table6[[#This Row],[spawner_sku]])),Table1[Entity Prefab],0)),10,1,1,"Entities"))</f>
        <v>0</v>
      </c>
      <c r="AY172" s="74">
        <f ca="1">ROUND((Table6[[#This Row],[XP]]*Table6[[#This Row],[entity_spawned (AVG)]])*(Table6[[#This Row],[activating_chance]]/100),0)</f>
        <v>0</v>
      </c>
      <c r="AZ172" s="144" t="str">
        <f ca="1">INDIRECT(ADDRESS(11+(MATCH(RIGHT(Table6[[#This Row],[spawner_sku]],LEN(Table6[[#This Row],[spawner_sku]])-FIND("/",Table6[[#This Row],[spawner_sku]])),Table28[Entity Prefab],0)),24,1,1,"Entities"))</f>
        <v>no</v>
      </c>
      <c r="BA172">
        <v>1</v>
      </c>
      <c r="BB172">
        <v>1</v>
      </c>
      <c r="BC172" t="b">
        <v>0</v>
      </c>
      <c r="BE172" t="s">
        <v>465</v>
      </c>
      <c r="BF172">
        <v>1</v>
      </c>
      <c r="BG172">
        <v>100</v>
      </c>
      <c r="BH172">
        <v>100</v>
      </c>
      <c r="BI172" s="74">
        <f ca="1">INDIRECT(ADDRESS(11+(MATCH(RIGHT(Table610[[#This Row],[spawner_sku]],LEN(Table610[[#This Row],[spawner_sku]])-FIND("/",Table610[[#This Row],[spawner_sku]])),Table1[Entity Prefab],0)),10,1,1,"Entities"))</f>
        <v>25</v>
      </c>
      <c r="BJ172" s="74">
        <f ca="1">ROUND((Table610[[#This Row],[XP]]*Table610[[#This Row],[entity_spawned (AVG)]])*(Table610[[#This Row],[activating_chance]]/100),0)</f>
        <v>25</v>
      </c>
      <c r="BK172" s="71" t="str">
        <f ca="1">INDIRECT(ADDRESS(11+(MATCH(RIGHT(Table610[[#This Row],[spawner_sku]],LEN(Table610[[#This Row],[spawner_sku]])-FIND("/",Table610[[#This Row],[spawner_sku]])),Table28[Entity Prefab],0)),24,1,1,"Entities"))</f>
        <v>no</v>
      </c>
      <c r="BL172">
        <v>1</v>
      </c>
      <c r="BM172">
        <v>1</v>
      </c>
      <c r="BN172" t="b">
        <v>0</v>
      </c>
      <c r="BP172" t="s">
        <v>222</v>
      </c>
      <c r="BQ172">
        <v>1</v>
      </c>
      <c r="BR172">
        <v>180</v>
      </c>
      <c r="BS172">
        <v>100</v>
      </c>
      <c r="BT172" s="74">
        <f ca="1">INDIRECT(ADDRESS(11+(MATCH(RIGHT(Table61011[[#This Row],[spawner_sku]],LEN(Table61011[[#This Row],[spawner_sku]])-FIND("/",Table61011[[#This Row],[spawner_sku]])),Table1[Entity Prefab],0)),10,1,1,"Entities"))</f>
        <v>25</v>
      </c>
      <c r="BU172" s="74">
        <f ca="1">ROUND((Table61011[[#This Row],[XP]]*Table61011[[#This Row],[entity_spawned (AVG)]])*(Table61011[[#This Row],[activating_chance]]/100),0)</f>
        <v>25</v>
      </c>
      <c r="BV172" s="71" t="str">
        <f ca="1">INDIRECT(ADDRESS(11+(MATCH(RIGHT(Table61011[[#This Row],[spawner_sku]],LEN(Table61011[[#This Row],[spawner_sku]])-FIND("/",Table61011[[#This Row],[spawner_sku]])),Table28[Entity Prefab],0)),24,1,1,"Entities"))</f>
        <v>yes</v>
      </c>
      <c r="BW172" s="71">
        <v>1</v>
      </c>
      <c r="BX172" s="71">
        <v>1</v>
      </c>
      <c r="BY172" s="71" t="b">
        <v>0</v>
      </c>
      <c r="BZ172" s="71"/>
      <c r="CA172" s="147" t="s">
        <v>3819</v>
      </c>
      <c r="CB172">
        <v>1</v>
      </c>
      <c r="CC172">
        <v>240</v>
      </c>
      <c r="CD172">
        <v>100</v>
      </c>
      <c r="CE172" s="74">
        <f ca="1">INDIRECT(ADDRESS(11+(MATCH(RIGHT(Table35[[#This Row],[spawner_sku]],LEN(Table35[[#This Row],[spawner_sku]])-FIND("/",Table35[[#This Row],[spawner_sku]])),Table1[Entity Prefab],0)),10,1,1,"Entities"))</f>
        <v>10</v>
      </c>
      <c r="CF172" s="74">
        <f ca="1">ROUND((Table35[[#This Row],[XP]]*Table35[[#This Row],[entity_spawned (AVG)]])*(Table35[[#This Row],[activating_chance]]/100),0)</f>
        <v>10</v>
      </c>
      <c r="CG172" s="144" t="str">
        <f ca="1">INDIRECT(ADDRESS(11+(MATCH(RIGHT(Table35[[#This Row],[spawner_sku]],LEN(Table35[[#This Row],[spawner_sku]])-FIND("/",Table35[[#This Row],[spawner_sku]])),Table28[Entity Prefab],0)),24,1,1,"Entities"))</f>
        <v>no</v>
      </c>
      <c r="CH172">
        <v>1</v>
      </c>
      <c r="CI172">
        <v>1</v>
      </c>
      <c r="CJ172" s="71" t="b">
        <v>0</v>
      </c>
      <c r="CL172" t="s">
        <v>219</v>
      </c>
      <c r="CM172">
        <v>1</v>
      </c>
      <c r="CN172">
        <v>240</v>
      </c>
      <c r="CO172">
        <v>100</v>
      </c>
      <c r="CP172" s="74">
        <f ca="1">INDIRECT(ADDRESS(11+(MATCH(RIGHT(Table11[[#This Row],[spawner_sku]],LEN(Table11[[#This Row],[spawner_sku]])-FIND("/",Table11[[#This Row],[spawner_sku]])),Table1[Entity Prefab],0)),10,1,1,"Entities"))</f>
        <v>143</v>
      </c>
      <c r="CQ172">
        <f ca="1">ROUND((Table11[[#This Row],[XP]]*Table11[[#This Row],[entity_spawned (AVG)]])*(Table11[[#This Row],[activating_chance]]/100),0)</f>
        <v>143</v>
      </c>
      <c r="CR172" s="144" t="str">
        <f ca="1">INDIRECT(ADDRESS(11+(MATCH(RIGHT(Table11[[#This Row],[spawner_sku]],LEN(Table11[[#This Row],[spawner_sku]])-FIND("/",Table11[[#This Row],[spawner_sku]])),Table28[Entity Prefab],0)),25,1,1,"Entities"))</f>
        <v>yes</v>
      </c>
      <c r="CS172" s="71">
        <v>1</v>
      </c>
      <c r="CT172" s="71">
        <v>1</v>
      </c>
      <c r="CU172" s="71" t="b">
        <v>0</v>
      </c>
      <c r="CW172" t="s">
        <v>243</v>
      </c>
      <c r="CX172">
        <v>1</v>
      </c>
      <c r="CY172">
        <v>150</v>
      </c>
      <c r="CZ172">
        <v>100</v>
      </c>
      <c r="DA172" s="74">
        <f ca="1">INDIRECT(ADDRESS(11+(MATCH(RIGHT(Table12[[#This Row],[spawner_sku]],LEN(Table12[[#This Row],[spawner_sku]])-FIND("/",Table12[[#This Row],[spawner_sku]])),Table1[Entity Prefab],0)),10,1,1,"Entities"))</f>
        <v>25</v>
      </c>
      <c r="DB172" s="74">
        <f ca="1">ROUND((Table12[[#This Row],[XP]]*Table12[[#This Row],[entity_spawned (AVG)]])*(Table12[[#This Row],[activating_chance]]/100),0)</f>
        <v>25</v>
      </c>
      <c r="DC172" s="144" t="str">
        <f ca="1">INDIRECT(ADDRESS(11+(MATCH(RIGHT(Table12[[#This Row],[spawner_sku]],LEN(Table12[[#This Row],[spawner_sku]])-FIND("/",Table12[[#This Row],[spawner_sku]])),Table28[Entity Prefab],0)),25,1,1,"Entities"))</f>
        <v>no</v>
      </c>
      <c r="DD172" s="71">
        <v>1</v>
      </c>
      <c r="DE172" s="71">
        <v>1</v>
      </c>
      <c r="DF172" s="71" t="b">
        <v>0</v>
      </c>
      <c r="DH172" t="s">
        <v>241</v>
      </c>
      <c r="DI172">
        <v>1</v>
      </c>
      <c r="DJ172">
        <v>170</v>
      </c>
      <c r="DK172">
        <v>100</v>
      </c>
      <c r="DL172" s="74">
        <f ca="1">INDIRECT(ADDRESS(11+(MATCH(RIGHT(Table13[[#This Row],[spawner_sku]],LEN(Table13[[#This Row],[spawner_sku]])-FIND("/",Table13[[#This Row],[spawner_sku]])),Table1[Entity Prefab],0)),10,1,1,"Entities"))</f>
        <v>70</v>
      </c>
      <c r="DM172" s="74">
        <f ca="1">ROUND((Table13[[#This Row],[XP]]*Table13[[#This Row],[entity_spawned (AVG)]])*(Table13[[#This Row],[activating_chance]]/100),0)</f>
        <v>70</v>
      </c>
      <c r="DN172" s="144" t="str">
        <f ca="1">INDIRECT(ADDRESS(11+(MATCH(RIGHT(Table13[[#This Row],[spawner_sku]],LEN(Table13[[#This Row],[spawner_sku]])-FIND("/",Table13[[#This Row],[spawner_sku]])),Table28[Entity Prefab],0)),25,1,1,"Entities"))</f>
        <v>yes</v>
      </c>
      <c r="DO172" s="71">
        <v>1</v>
      </c>
      <c r="DP172" s="71">
        <v>1</v>
      </c>
      <c r="DQ172" s="71" t="b">
        <v>0</v>
      </c>
      <c r="DS172" t="s">
        <v>223</v>
      </c>
      <c r="DT172">
        <v>2</v>
      </c>
      <c r="DU172">
        <v>100</v>
      </c>
      <c r="DV172">
        <v>100</v>
      </c>
      <c r="DW172" s="74">
        <f ca="1">INDIRECT(ADDRESS(11+(MATCH(RIGHT(Table14[[#This Row],[spawner_sku]],LEN(Table14[[#This Row],[spawner_sku]])-FIND("/",Table14[[#This Row],[spawner_sku]])),Table1[Entity Prefab],0)),10,1,1,"Entities"))</f>
        <v>70</v>
      </c>
      <c r="DX172" s="74">
        <f ca="1">ROUND((Table14[[#This Row],[XP]]*Table14[[#This Row],[entity_spawned (AVG)]])*(Table14[[#This Row],[activating_chance]]/100),0)</f>
        <v>140</v>
      </c>
      <c r="DY172" s="144" t="str">
        <f ca="1">INDIRECT(ADDRESS(11+(MATCH(RIGHT(Table14[[#This Row],[spawner_sku]],LEN(Table14[[#This Row],[spawner_sku]])-FIND("/",Table14[[#This Row],[spawner_sku]])),Table28[Entity Prefab],0)),25,1,1,"Entities"))</f>
        <v>no</v>
      </c>
      <c r="DZ172" s="71">
        <v>1</v>
      </c>
      <c r="EA172" s="71">
        <v>3</v>
      </c>
      <c r="EB172" s="71" t="b">
        <v>0</v>
      </c>
      <c r="EC172" s="71"/>
      <c r="ED172" s="71"/>
      <c r="EE172" s="71"/>
      <c r="EF172" s="71"/>
      <c r="EG172" s="71"/>
      <c r="EH172" s="71"/>
      <c r="EI172" s="71"/>
      <c r="EJ172" s="71"/>
      <c r="EK172" s="71"/>
      <c r="EL172" s="71"/>
      <c r="EM172" s="71"/>
      <c r="EO172" t="s">
        <v>383</v>
      </c>
      <c r="EP172">
        <v>1</v>
      </c>
      <c r="EQ172">
        <v>240</v>
      </c>
      <c r="ER172">
        <v>100</v>
      </c>
      <c r="ES172" s="74">
        <f ca="1">INDIRECT(ADDRESS(11+(MATCH(RIGHT(Table18[[#This Row],[spawner_sku]],LEN(Table18[[#This Row],[spawner_sku]])-FIND("/",Table18[[#This Row],[spawner_sku]])),Table1[Entity Prefab],0)),10,1,1,"Entities"))</f>
        <v>263</v>
      </c>
      <c r="ET172" s="74">
        <f ca="1">ROUND((Table18[[#This Row],[XP]]*Table18[[#This Row],[entity_spawned (AVG)]])*(Table18[[#This Row],[activating_chance]]/100),0)</f>
        <v>263</v>
      </c>
      <c r="EU172" s="74" t="str">
        <f ca="1">INDIRECT(ADDRESS(11+(MATCH(RIGHT(Table18[[#This Row],[spawner_sku]],LEN(Table18[[#This Row],[spawner_sku]])-FIND("/",Table18[[#This Row],[spawner_sku]])),Table28[Entity Prefab],0)),26,1,1,"Entities"))</f>
        <v>yes</v>
      </c>
      <c r="EV172">
        <v>1</v>
      </c>
      <c r="EW172">
        <v>1</v>
      </c>
      <c r="EX172" t="b">
        <v>0</v>
      </c>
      <c r="EZ172" t="s">
        <v>583</v>
      </c>
      <c r="FA172">
        <v>1.5</v>
      </c>
      <c r="FB172">
        <v>120</v>
      </c>
      <c r="FC172">
        <v>100</v>
      </c>
      <c r="FD172" s="74">
        <f ca="1">INDIRECT(ADDRESS(11+(MATCH(RIGHT(Table1820[[#This Row],[spawner_sku]],LEN(Table1820[[#This Row],[spawner_sku]])-FIND("/",Table1820[[#This Row],[spawner_sku]])),Table1[Entity Prefab],0)),10,1,1,"Entities"))</f>
        <v>48</v>
      </c>
      <c r="FE172" s="74">
        <f ca="1">ROUND((Table1820[[#This Row],[XP]]*Table1820[[#This Row],[entity_spawned (AVG)]])*(Table1820[[#This Row],[activating_chance]]/100),0)</f>
        <v>72</v>
      </c>
      <c r="FF172" s="74" t="str">
        <f ca="1">INDIRECT(ADDRESS(11+(MATCH(RIGHT(Table1820[[#This Row],[spawner_sku]],LEN(Table1820[[#This Row],[spawner_sku]])-FIND("/",Table1820[[#This Row],[spawner_sku]])),Table28[Entity Prefab],0)),26,1,1,"Entities"))</f>
        <v>no</v>
      </c>
      <c r="FG172">
        <v>1</v>
      </c>
      <c r="FH172">
        <v>2</v>
      </c>
      <c r="FI172" t="b">
        <v>0</v>
      </c>
      <c r="FK172" t="s">
        <v>2696</v>
      </c>
      <c r="FL172">
        <v>1</v>
      </c>
      <c r="FM172">
        <v>80</v>
      </c>
      <c r="FN172">
        <v>80</v>
      </c>
      <c r="FO172">
        <f ca="1">INDIRECT(ADDRESS(11+(MATCH(RIGHT(Table182023[[#This Row],[spawner_sku]],LEN(Table182023[[#This Row],[spawner_sku]])-FIND("/",Table182023[[#This Row],[spawner_sku]])),Table1[Entity Prefab],0)),10,1,1,"Entities"))</f>
        <v>55</v>
      </c>
      <c r="FP172">
        <f ca="1">ROUND((Table182023[[#This Row],[XP]]*Table182023[[#This Row],[entity_spawned (AVG)]])*(Table182023[[#This Row],[activating_chance]]/100),0)</f>
        <v>44</v>
      </c>
      <c r="FQ172" t="str">
        <f ca="1">INDIRECT(ADDRESS(11+(MATCH(RIGHT(Table182023[[#This Row],[spawner_sku]],LEN(Table182023[[#This Row],[spawner_sku]])-FIND("/",Table182023[[#This Row],[spawner_sku]])),Table28[Entity Prefab],0)),26,1,1,"Entities"))</f>
        <v>yes</v>
      </c>
      <c r="FR172">
        <v>1</v>
      </c>
      <c r="FS172">
        <v>1</v>
      </c>
      <c r="FT172" t="b">
        <v>0</v>
      </c>
      <c r="FV172" t="s">
        <v>2697</v>
      </c>
      <c r="FW172">
        <v>1.5</v>
      </c>
      <c r="FX172">
        <v>70</v>
      </c>
      <c r="FY172">
        <v>100</v>
      </c>
      <c r="FZ172" s="74">
        <f ca="1">INDIRECT(ADDRESS(11+(MATCH(RIGHT(Table18202324[[#This Row],[spawner_sku]],LEN(Table18202324[[#This Row],[spawner_sku]])-FIND("/",Table18202324[[#This Row],[spawner_sku]])),Table1[Entity Prefab],0)),10,1,1,"Entities"))</f>
        <v>25</v>
      </c>
      <c r="GA172" s="74">
        <f ca="1">ROUND((Table18202324[[#This Row],[XP]]*Table18202324[[#This Row],[entity_spawned (AVG)]])*(Table18202324[[#This Row],[activating_chance]]/100),0)</f>
        <v>38</v>
      </c>
      <c r="GB172" s="74" t="str">
        <f ca="1">INDIRECT(ADDRESS(11+(MATCH(RIGHT(Table18202324[[#This Row],[spawner_sku]],LEN(Table18202324[[#This Row],[spawner_sku]])-FIND("/",Table18202324[[#This Row],[spawner_sku]])),Table28[Entity Prefab],0)),26,1,1,"Entities"))</f>
        <v>no</v>
      </c>
      <c r="GC172">
        <v>1</v>
      </c>
      <c r="GD172">
        <v>2</v>
      </c>
      <c r="GE172" t="b">
        <v>0</v>
      </c>
    </row>
    <row r="173" spans="2:187" x14ac:dyDescent="0.25">
      <c r="B173" s="72" t="s">
        <v>216</v>
      </c>
      <c r="C173">
        <v>3.5</v>
      </c>
      <c r="D173">
        <v>110</v>
      </c>
      <c r="E173">
        <v>100</v>
      </c>
      <c r="F173" s="74">
        <f ca="1">INDIRECT(ADDRESS(11+(MATCH(RIGHT(Table245[[#This Row],[spawner_sku]],LEN(Table245[[#This Row],[spawner_sku]])-FIND("/",Table245[[#This Row],[spawner_sku]])),Table1[Entity Prefab],0)),10,1,1,"Entities"))</f>
        <v>25</v>
      </c>
      <c r="G173" s="74">
        <f ca="1">ROUND((Table245[[#This Row],[XP]]*Table245[[#This Row],[entity_spawned (AVG)]])*(Table245[[#This Row],[activating_chance]]/100),0)</f>
        <v>88</v>
      </c>
      <c r="H173" s="71" t="str">
        <f ca="1">INDIRECT(ADDRESS(11+(MATCH(RIGHT(Table245[[#This Row],[spawner_sku]],LEN(Table245[[#This Row],[spawner_sku]])-FIND("/",Table245[[#This Row],[spawner_sku]])),Table28[Entity Prefab],0)),24,1,1,"Entities"))</f>
        <v>no</v>
      </c>
      <c r="I173" s="71">
        <v>3</v>
      </c>
      <c r="J173" s="71">
        <v>4</v>
      </c>
      <c r="K173" s="71" t="b">
        <v>0</v>
      </c>
      <c r="M173" t="s">
        <v>242</v>
      </c>
      <c r="N173">
        <v>1.5</v>
      </c>
      <c r="O173">
        <v>180</v>
      </c>
      <c r="P173">
        <v>70</v>
      </c>
      <c r="Q173" s="74">
        <f ca="1">INDIRECT(ADDRESS(11+(MATCH(RIGHT(Table3[[#This Row],[spawner_sku]],LEN(Table3[[#This Row],[spawner_sku]])-FIND("/",Table3[[#This Row],[spawner_sku]])),Table1[Entity Prefab],0)),10,1,1,"Entities"))</f>
        <v>25</v>
      </c>
      <c r="R173" s="74">
        <f ca="1">ROUND((Table3[[#This Row],[XP]]*Table3[[#This Row],[entity_spawned (AVG)]])*(Table3[[#This Row],[activating_chance]]/100),0)</f>
        <v>26</v>
      </c>
      <c r="S173" t="str">
        <f ca="1">INDIRECT(ADDRESS(11+(MATCH(RIGHT(Table3[[#This Row],[spawner_sku]],LEN(Table3[[#This Row],[spawner_sku]])-FIND("/",Table3[[#This Row],[spawner_sku]])),Table28[Entity Prefab],0)),24,1,1,"Entities"))</f>
        <v>no</v>
      </c>
      <c r="T173">
        <v>1</v>
      </c>
      <c r="U173">
        <v>2</v>
      </c>
      <c r="V173" t="b">
        <v>0</v>
      </c>
      <c r="AI173" t="s">
        <v>226</v>
      </c>
      <c r="AJ173">
        <v>1</v>
      </c>
      <c r="AK173">
        <v>2000</v>
      </c>
      <c r="AL173">
        <v>100</v>
      </c>
      <c r="AM173" s="74">
        <f ca="1">INDIRECT(ADDRESS(11+(MATCH(RIGHT(Table2[[#This Row],[spawner_sku]],LEN(Table2[[#This Row],[spawner_sku]])-FIND("/",Table2[[#This Row],[spawner_sku]])),Table1[Entity Prefab],0)),10,1,1,"Entities"))</f>
        <v>175</v>
      </c>
      <c r="AN173" s="74">
        <f ca="1">ROUND((Table2[[#This Row],[XP]]*Table2[[#This Row],[entity_spawned (AVG)]])*(Table2[[#This Row],[activating_chance]]/100),0)</f>
        <v>175</v>
      </c>
      <c r="AO173" s="71" t="str">
        <f ca="1">INDIRECT(ADDRESS(11+(MATCH(RIGHT(Table2[[#This Row],[spawner_sku]],LEN(Table2[[#This Row],[spawner_sku]])-FIND("/",Table2[[#This Row],[spawner_sku]])),Table28[Entity Prefab],0)),24,1,1,"Entities"))</f>
        <v>yes</v>
      </c>
      <c r="AP173" s="71">
        <v>1</v>
      </c>
      <c r="AQ173" s="71">
        <v>1</v>
      </c>
      <c r="AR173" s="71" t="b">
        <v>0</v>
      </c>
      <c r="AT173" t="s">
        <v>3812</v>
      </c>
      <c r="AU173">
        <v>1</v>
      </c>
      <c r="AV173">
        <v>180</v>
      </c>
      <c r="AW173">
        <v>100</v>
      </c>
      <c r="AX173" s="74">
        <f ca="1">INDIRECT(ADDRESS(11+(MATCH(RIGHT(Table6[[#This Row],[spawner_sku]],LEN(Table6[[#This Row],[spawner_sku]])-FIND("/",Table6[[#This Row],[spawner_sku]])),Table1[Entity Prefab],0)),10,1,1,"Entities"))</f>
        <v>0</v>
      </c>
      <c r="AY173" s="74">
        <f ca="1">ROUND((Table6[[#This Row],[XP]]*Table6[[#This Row],[entity_spawned (AVG)]])*(Table6[[#This Row],[activating_chance]]/100),0)</f>
        <v>0</v>
      </c>
      <c r="AZ173" s="144" t="str">
        <f ca="1">INDIRECT(ADDRESS(11+(MATCH(RIGHT(Table6[[#This Row],[spawner_sku]],LEN(Table6[[#This Row],[spawner_sku]])-FIND("/",Table6[[#This Row],[spawner_sku]])),Table28[Entity Prefab],0)),24,1,1,"Entities"))</f>
        <v>no</v>
      </c>
      <c r="BA173">
        <v>1</v>
      </c>
      <c r="BB173">
        <v>1</v>
      </c>
      <c r="BC173" t="b">
        <v>0</v>
      </c>
      <c r="BE173" t="s">
        <v>465</v>
      </c>
      <c r="BF173">
        <v>1</v>
      </c>
      <c r="BG173">
        <v>100</v>
      </c>
      <c r="BH173">
        <v>100</v>
      </c>
      <c r="BI173" s="74">
        <f ca="1">INDIRECT(ADDRESS(11+(MATCH(RIGHT(Table610[[#This Row],[spawner_sku]],LEN(Table610[[#This Row],[spawner_sku]])-FIND("/",Table610[[#This Row],[spawner_sku]])),Table1[Entity Prefab],0)),10,1,1,"Entities"))</f>
        <v>25</v>
      </c>
      <c r="BJ173" s="74">
        <f ca="1">ROUND((Table610[[#This Row],[XP]]*Table610[[#This Row],[entity_spawned (AVG)]])*(Table610[[#This Row],[activating_chance]]/100),0)</f>
        <v>25</v>
      </c>
      <c r="BK173" s="71" t="str">
        <f ca="1">INDIRECT(ADDRESS(11+(MATCH(RIGHT(Table610[[#This Row],[spawner_sku]],LEN(Table610[[#This Row],[spawner_sku]])-FIND("/",Table610[[#This Row],[spawner_sku]])),Table28[Entity Prefab],0)),24,1,1,"Entities"))</f>
        <v>no</v>
      </c>
      <c r="BL173">
        <v>1</v>
      </c>
      <c r="BM173">
        <v>1</v>
      </c>
      <c r="BN173" t="b">
        <v>0</v>
      </c>
      <c r="BP173" t="s">
        <v>223</v>
      </c>
      <c r="BQ173">
        <v>2</v>
      </c>
      <c r="BR173">
        <v>200</v>
      </c>
      <c r="BS173">
        <v>100</v>
      </c>
      <c r="BT173" s="74">
        <f ca="1">INDIRECT(ADDRESS(11+(MATCH(RIGHT(Table61011[[#This Row],[spawner_sku]],LEN(Table61011[[#This Row],[spawner_sku]])-FIND("/",Table61011[[#This Row],[spawner_sku]])),Table1[Entity Prefab],0)),10,1,1,"Entities"))</f>
        <v>70</v>
      </c>
      <c r="BU173" s="74">
        <f ca="1">ROUND((Table61011[[#This Row],[XP]]*Table61011[[#This Row],[entity_spawned (AVG)]])*(Table61011[[#This Row],[activating_chance]]/100),0)</f>
        <v>140</v>
      </c>
      <c r="BV173" s="71" t="str">
        <f ca="1">INDIRECT(ADDRESS(11+(MATCH(RIGHT(Table61011[[#This Row],[spawner_sku]],LEN(Table61011[[#This Row],[spawner_sku]])-FIND("/",Table61011[[#This Row],[spawner_sku]])),Table28[Entity Prefab],0)),24,1,1,"Entities"))</f>
        <v>yes</v>
      </c>
      <c r="BW173" s="71">
        <v>1</v>
      </c>
      <c r="BX173" s="71">
        <v>3</v>
      </c>
      <c r="BY173" s="71" t="b">
        <v>0</v>
      </c>
      <c r="BZ173" s="71"/>
      <c r="CA173" s="147" t="s">
        <v>3819</v>
      </c>
      <c r="CB173">
        <v>1</v>
      </c>
      <c r="CC173">
        <v>240</v>
      </c>
      <c r="CD173">
        <v>100</v>
      </c>
      <c r="CE173" s="74">
        <f ca="1">INDIRECT(ADDRESS(11+(MATCH(RIGHT(Table35[[#This Row],[spawner_sku]],LEN(Table35[[#This Row],[spawner_sku]])-FIND("/",Table35[[#This Row],[spawner_sku]])),Table1[Entity Prefab],0)),10,1,1,"Entities"))</f>
        <v>10</v>
      </c>
      <c r="CF173" s="74">
        <f ca="1">ROUND((Table35[[#This Row],[XP]]*Table35[[#This Row],[entity_spawned (AVG)]])*(Table35[[#This Row],[activating_chance]]/100),0)</f>
        <v>10</v>
      </c>
      <c r="CG173" s="144" t="str">
        <f ca="1">INDIRECT(ADDRESS(11+(MATCH(RIGHT(Table35[[#This Row],[spawner_sku]],LEN(Table35[[#This Row],[spawner_sku]])-FIND("/",Table35[[#This Row],[spawner_sku]])),Table28[Entity Prefab],0)),24,1,1,"Entities"))</f>
        <v>no</v>
      </c>
      <c r="CH173">
        <v>1</v>
      </c>
      <c r="CI173">
        <v>1</v>
      </c>
      <c r="CJ173" s="71" t="b">
        <v>0</v>
      </c>
      <c r="CL173" t="s">
        <v>219</v>
      </c>
      <c r="CM173">
        <v>1</v>
      </c>
      <c r="CN173">
        <v>250</v>
      </c>
      <c r="CO173">
        <v>100</v>
      </c>
      <c r="CP173" s="74">
        <f ca="1">INDIRECT(ADDRESS(11+(MATCH(RIGHT(Table11[[#This Row],[spawner_sku]],LEN(Table11[[#This Row],[spawner_sku]])-FIND("/",Table11[[#This Row],[spawner_sku]])),Table1[Entity Prefab],0)),10,1,1,"Entities"))</f>
        <v>143</v>
      </c>
      <c r="CQ173">
        <f ca="1">ROUND((Table11[[#This Row],[XP]]*Table11[[#This Row],[entity_spawned (AVG)]])*(Table11[[#This Row],[activating_chance]]/100),0)</f>
        <v>143</v>
      </c>
      <c r="CR173" s="144" t="str">
        <f ca="1">INDIRECT(ADDRESS(11+(MATCH(RIGHT(Table11[[#This Row],[spawner_sku]],LEN(Table11[[#This Row],[spawner_sku]])-FIND("/",Table11[[#This Row],[spawner_sku]])),Table28[Entity Prefab],0)),25,1,1,"Entities"))</f>
        <v>yes</v>
      </c>
      <c r="CS173" s="71">
        <v>1</v>
      </c>
      <c r="CT173" s="71">
        <v>1</v>
      </c>
      <c r="CU173" s="71" t="b">
        <v>0</v>
      </c>
      <c r="CW173" t="s">
        <v>243</v>
      </c>
      <c r="CX173">
        <v>1</v>
      </c>
      <c r="CY173">
        <v>150</v>
      </c>
      <c r="CZ173">
        <v>100</v>
      </c>
      <c r="DA173" s="74">
        <f ca="1">INDIRECT(ADDRESS(11+(MATCH(RIGHT(Table12[[#This Row],[spawner_sku]],LEN(Table12[[#This Row],[spawner_sku]])-FIND("/",Table12[[#This Row],[spawner_sku]])),Table1[Entity Prefab],0)),10,1,1,"Entities"))</f>
        <v>25</v>
      </c>
      <c r="DB173" s="74">
        <f ca="1">ROUND((Table12[[#This Row],[XP]]*Table12[[#This Row],[entity_spawned (AVG)]])*(Table12[[#This Row],[activating_chance]]/100),0)</f>
        <v>25</v>
      </c>
      <c r="DC173" s="144" t="str">
        <f ca="1">INDIRECT(ADDRESS(11+(MATCH(RIGHT(Table12[[#This Row],[spawner_sku]],LEN(Table12[[#This Row],[spawner_sku]])-FIND("/",Table12[[#This Row],[spawner_sku]])),Table28[Entity Prefab],0)),25,1,1,"Entities"))</f>
        <v>no</v>
      </c>
      <c r="DD173" s="71">
        <v>1</v>
      </c>
      <c r="DE173" s="71">
        <v>1</v>
      </c>
      <c r="DF173" s="71" t="b">
        <v>0</v>
      </c>
      <c r="DH173" t="s">
        <v>241</v>
      </c>
      <c r="DI173">
        <v>1</v>
      </c>
      <c r="DJ173">
        <v>170</v>
      </c>
      <c r="DK173">
        <v>100</v>
      </c>
      <c r="DL173" s="74">
        <f ca="1">INDIRECT(ADDRESS(11+(MATCH(RIGHT(Table13[[#This Row],[spawner_sku]],LEN(Table13[[#This Row],[spawner_sku]])-FIND("/",Table13[[#This Row],[spawner_sku]])),Table1[Entity Prefab],0)),10,1,1,"Entities"))</f>
        <v>70</v>
      </c>
      <c r="DM173" s="74">
        <f ca="1">ROUND((Table13[[#This Row],[XP]]*Table13[[#This Row],[entity_spawned (AVG)]])*(Table13[[#This Row],[activating_chance]]/100),0)</f>
        <v>70</v>
      </c>
      <c r="DN173" s="144" t="str">
        <f ca="1">INDIRECT(ADDRESS(11+(MATCH(RIGHT(Table13[[#This Row],[spawner_sku]],LEN(Table13[[#This Row],[spawner_sku]])-FIND("/",Table13[[#This Row],[spawner_sku]])),Table28[Entity Prefab],0)),25,1,1,"Entities"))</f>
        <v>yes</v>
      </c>
      <c r="DO173" s="71">
        <v>1</v>
      </c>
      <c r="DP173" s="71">
        <v>1</v>
      </c>
      <c r="DQ173" s="71" t="b">
        <v>0</v>
      </c>
      <c r="DS173" t="s">
        <v>223</v>
      </c>
      <c r="DT173">
        <v>2.5</v>
      </c>
      <c r="DU173">
        <v>100</v>
      </c>
      <c r="DV173">
        <v>100</v>
      </c>
      <c r="DW173" s="74">
        <f ca="1">INDIRECT(ADDRESS(11+(MATCH(RIGHT(Table14[[#This Row],[spawner_sku]],LEN(Table14[[#This Row],[spawner_sku]])-FIND("/",Table14[[#This Row],[spawner_sku]])),Table1[Entity Prefab],0)),10,1,1,"Entities"))</f>
        <v>70</v>
      </c>
      <c r="DX173" s="74">
        <f ca="1">ROUND((Table14[[#This Row],[XP]]*Table14[[#This Row],[entity_spawned (AVG)]])*(Table14[[#This Row],[activating_chance]]/100),0)</f>
        <v>175</v>
      </c>
      <c r="DY173" s="144" t="str">
        <f ca="1">INDIRECT(ADDRESS(11+(MATCH(RIGHT(Table14[[#This Row],[spawner_sku]],LEN(Table14[[#This Row],[spawner_sku]])-FIND("/",Table14[[#This Row],[spawner_sku]])),Table28[Entity Prefab],0)),25,1,1,"Entities"))</f>
        <v>no</v>
      </c>
      <c r="DZ173" s="71">
        <v>2</v>
      </c>
      <c r="EA173" s="71">
        <v>3</v>
      </c>
      <c r="EB173" s="71" t="b">
        <v>0</v>
      </c>
      <c r="EC173" s="71"/>
      <c r="ED173" s="71"/>
      <c r="EE173" s="71"/>
      <c r="EF173" s="71"/>
      <c r="EG173" s="71"/>
      <c r="EH173" s="71"/>
      <c r="EI173" s="71"/>
      <c r="EJ173" s="71"/>
      <c r="EK173" s="71"/>
      <c r="EL173" s="71"/>
      <c r="EM173" s="71"/>
      <c r="EO173" t="s">
        <v>383</v>
      </c>
      <c r="EP173">
        <v>1.5</v>
      </c>
      <c r="EQ173">
        <v>340</v>
      </c>
      <c r="ER173">
        <v>100</v>
      </c>
      <c r="ES173" s="74">
        <f ca="1">INDIRECT(ADDRESS(11+(MATCH(RIGHT(Table18[[#This Row],[spawner_sku]],LEN(Table18[[#This Row],[spawner_sku]])-FIND("/",Table18[[#This Row],[spawner_sku]])),Table1[Entity Prefab],0)),10,1,1,"Entities"))</f>
        <v>263</v>
      </c>
      <c r="ET173" s="74">
        <f ca="1">ROUND((Table18[[#This Row],[XP]]*Table18[[#This Row],[entity_spawned (AVG)]])*(Table18[[#This Row],[activating_chance]]/100),0)</f>
        <v>395</v>
      </c>
      <c r="EU173" s="74" t="str">
        <f ca="1">INDIRECT(ADDRESS(11+(MATCH(RIGHT(Table18[[#This Row],[spawner_sku]],LEN(Table18[[#This Row],[spawner_sku]])-FIND("/",Table18[[#This Row],[spawner_sku]])),Table28[Entity Prefab],0)),26,1,1,"Entities"))</f>
        <v>yes</v>
      </c>
      <c r="EV173">
        <v>1</v>
      </c>
      <c r="EW173">
        <v>2</v>
      </c>
      <c r="EX173" t="b">
        <v>0</v>
      </c>
      <c r="EZ173" t="s">
        <v>583</v>
      </c>
      <c r="FA173">
        <v>1.5</v>
      </c>
      <c r="FB173">
        <v>120</v>
      </c>
      <c r="FC173">
        <v>80</v>
      </c>
      <c r="FD173" s="74">
        <f ca="1">INDIRECT(ADDRESS(11+(MATCH(RIGHT(Table1820[[#This Row],[spawner_sku]],LEN(Table1820[[#This Row],[spawner_sku]])-FIND("/",Table1820[[#This Row],[spawner_sku]])),Table1[Entity Prefab],0)),10,1,1,"Entities"))</f>
        <v>48</v>
      </c>
      <c r="FE173" s="74">
        <f ca="1">ROUND((Table1820[[#This Row],[XP]]*Table1820[[#This Row],[entity_spawned (AVG)]])*(Table1820[[#This Row],[activating_chance]]/100),0)</f>
        <v>58</v>
      </c>
      <c r="FF173" s="74" t="str">
        <f ca="1">INDIRECT(ADDRESS(11+(MATCH(RIGHT(Table1820[[#This Row],[spawner_sku]],LEN(Table1820[[#This Row],[spawner_sku]])-FIND("/",Table1820[[#This Row],[spawner_sku]])),Table28[Entity Prefab],0)),26,1,1,"Entities"))</f>
        <v>no</v>
      </c>
      <c r="FG173">
        <v>1</v>
      </c>
      <c r="FH173">
        <v>2</v>
      </c>
      <c r="FI173" t="b">
        <v>0</v>
      </c>
      <c r="FK173" t="s">
        <v>2696</v>
      </c>
      <c r="FL173">
        <v>1</v>
      </c>
      <c r="FM173">
        <v>80</v>
      </c>
      <c r="FN173">
        <v>100</v>
      </c>
      <c r="FO173">
        <f ca="1">INDIRECT(ADDRESS(11+(MATCH(RIGHT(Table182023[[#This Row],[spawner_sku]],LEN(Table182023[[#This Row],[spawner_sku]])-FIND("/",Table182023[[#This Row],[spawner_sku]])),Table1[Entity Prefab],0)),10,1,1,"Entities"))</f>
        <v>55</v>
      </c>
      <c r="FP173">
        <f ca="1">ROUND((Table182023[[#This Row],[XP]]*Table182023[[#This Row],[entity_spawned (AVG)]])*(Table182023[[#This Row],[activating_chance]]/100),0)</f>
        <v>55</v>
      </c>
      <c r="FQ173" t="str">
        <f ca="1">INDIRECT(ADDRESS(11+(MATCH(RIGHT(Table182023[[#This Row],[spawner_sku]],LEN(Table182023[[#This Row],[spawner_sku]])-FIND("/",Table182023[[#This Row],[spawner_sku]])),Table28[Entity Prefab],0)),26,1,1,"Entities"))</f>
        <v>yes</v>
      </c>
      <c r="FR173">
        <v>1</v>
      </c>
      <c r="FS173">
        <v>1</v>
      </c>
      <c r="FT173" t="b">
        <v>0</v>
      </c>
      <c r="FV173" t="s">
        <v>2690</v>
      </c>
      <c r="FW173">
        <v>3.5</v>
      </c>
      <c r="FX173">
        <v>80</v>
      </c>
      <c r="FY173">
        <v>100</v>
      </c>
      <c r="FZ173" s="74">
        <f ca="1">INDIRECT(ADDRESS(11+(MATCH(RIGHT(Table18202324[[#This Row],[spawner_sku]],LEN(Table18202324[[#This Row],[spawner_sku]])-FIND("/",Table18202324[[#This Row],[spawner_sku]])),Table1[Entity Prefab],0)),10,1,1,"Entities"))</f>
        <v>25</v>
      </c>
      <c r="GA173" s="74">
        <f ca="1">ROUND((Table18202324[[#This Row],[XP]]*Table18202324[[#This Row],[entity_spawned (AVG)]])*(Table18202324[[#This Row],[activating_chance]]/100),0)</f>
        <v>88</v>
      </c>
      <c r="GB173" s="74" t="str">
        <f ca="1">INDIRECT(ADDRESS(11+(MATCH(RIGHT(Table18202324[[#This Row],[spawner_sku]],LEN(Table18202324[[#This Row],[spawner_sku]])-FIND("/",Table18202324[[#This Row],[spawner_sku]])),Table28[Entity Prefab],0)),26,1,1,"Entities"))</f>
        <v>no</v>
      </c>
      <c r="GC173">
        <v>3</v>
      </c>
      <c r="GD173">
        <v>4</v>
      </c>
      <c r="GE173" t="b">
        <v>0</v>
      </c>
    </row>
    <row r="174" spans="2:187" x14ac:dyDescent="0.25">
      <c r="B174" s="72" t="s">
        <v>216</v>
      </c>
      <c r="C174">
        <v>3.5</v>
      </c>
      <c r="D174">
        <v>130</v>
      </c>
      <c r="E174">
        <v>80</v>
      </c>
      <c r="F174" s="74">
        <f ca="1">INDIRECT(ADDRESS(11+(MATCH(RIGHT(Table245[[#This Row],[spawner_sku]],LEN(Table245[[#This Row],[spawner_sku]])-FIND("/",Table245[[#This Row],[spawner_sku]])),Table1[Entity Prefab],0)),10,1,1,"Entities"))</f>
        <v>25</v>
      </c>
      <c r="G174" s="74">
        <f ca="1">ROUND((Table245[[#This Row],[XP]]*Table245[[#This Row],[entity_spawned (AVG)]])*(Table245[[#This Row],[activating_chance]]/100),0)</f>
        <v>70</v>
      </c>
      <c r="H174" s="71" t="str">
        <f ca="1">INDIRECT(ADDRESS(11+(MATCH(RIGHT(Table245[[#This Row],[spawner_sku]],LEN(Table245[[#This Row],[spawner_sku]])-FIND("/",Table245[[#This Row],[spawner_sku]])),Table28[Entity Prefab],0)),24,1,1,"Entities"))</f>
        <v>no</v>
      </c>
      <c r="I174" s="71">
        <v>3</v>
      </c>
      <c r="J174" s="71">
        <v>4</v>
      </c>
      <c r="K174" s="71" t="b">
        <v>0</v>
      </c>
      <c r="M174" t="s">
        <v>365</v>
      </c>
      <c r="N174">
        <v>1</v>
      </c>
      <c r="O174">
        <v>275</v>
      </c>
      <c r="P174">
        <v>100</v>
      </c>
      <c r="Q174" s="74">
        <f ca="1">INDIRECT(ADDRESS(11+(MATCH(RIGHT(Table3[[#This Row],[spawner_sku]],LEN(Table3[[#This Row],[spawner_sku]])-FIND("/",Table3[[#This Row],[spawner_sku]])),Table1[Entity Prefab],0)),10,1,1,"Entities"))</f>
        <v>28</v>
      </c>
      <c r="R174" s="74">
        <f ca="1">ROUND((Table3[[#This Row],[XP]]*Table3[[#This Row],[entity_spawned (AVG)]])*(Table3[[#This Row],[activating_chance]]/100),0)</f>
        <v>28</v>
      </c>
      <c r="S174" t="str">
        <f ca="1">INDIRECT(ADDRESS(11+(MATCH(RIGHT(Table3[[#This Row],[spawner_sku]],LEN(Table3[[#This Row],[spawner_sku]])-FIND("/",Table3[[#This Row],[spawner_sku]])),Table28[Entity Prefab],0)),24,1,1,"Entities"))</f>
        <v>yes</v>
      </c>
      <c r="T174">
        <v>1</v>
      </c>
      <c r="U174">
        <v>1</v>
      </c>
      <c r="V174" t="b">
        <v>0</v>
      </c>
      <c r="AI174" t="s">
        <v>226</v>
      </c>
      <c r="AJ174">
        <v>1</v>
      </c>
      <c r="AK174">
        <v>2000</v>
      </c>
      <c r="AL174">
        <v>100</v>
      </c>
      <c r="AM174" s="74">
        <f ca="1">INDIRECT(ADDRESS(11+(MATCH(RIGHT(Table2[[#This Row],[spawner_sku]],LEN(Table2[[#This Row],[spawner_sku]])-FIND("/",Table2[[#This Row],[spawner_sku]])),Table1[Entity Prefab],0)),10,1,1,"Entities"))</f>
        <v>175</v>
      </c>
      <c r="AN174" s="74">
        <f ca="1">ROUND((Table2[[#This Row],[XP]]*Table2[[#This Row],[entity_spawned (AVG)]])*(Table2[[#This Row],[activating_chance]]/100),0)</f>
        <v>175</v>
      </c>
      <c r="AO174" s="71" t="str">
        <f ca="1">INDIRECT(ADDRESS(11+(MATCH(RIGHT(Table2[[#This Row],[spawner_sku]],LEN(Table2[[#This Row],[spawner_sku]])-FIND("/",Table2[[#This Row],[spawner_sku]])),Table28[Entity Prefab],0)),24,1,1,"Entities"))</f>
        <v>yes</v>
      </c>
      <c r="AP174" s="71">
        <v>1</v>
      </c>
      <c r="AQ174" s="71">
        <v>1</v>
      </c>
      <c r="AR174" s="71" t="b">
        <v>0</v>
      </c>
      <c r="AT174" t="s">
        <v>3812</v>
      </c>
      <c r="AU174">
        <v>1</v>
      </c>
      <c r="AV174">
        <v>180</v>
      </c>
      <c r="AW174">
        <v>100</v>
      </c>
      <c r="AX174" s="74">
        <f ca="1">INDIRECT(ADDRESS(11+(MATCH(RIGHT(Table6[[#This Row],[spawner_sku]],LEN(Table6[[#This Row],[spawner_sku]])-FIND("/",Table6[[#This Row],[spawner_sku]])),Table1[Entity Prefab],0)),10,1,1,"Entities"))</f>
        <v>0</v>
      </c>
      <c r="AY174" s="74">
        <f ca="1">ROUND((Table6[[#This Row],[XP]]*Table6[[#This Row],[entity_spawned (AVG)]])*(Table6[[#This Row],[activating_chance]]/100),0)</f>
        <v>0</v>
      </c>
      <c r="AZ174" s="144" t="str">
        <f ca="1">INDIRECT(ADDRESS(11+(MATCH(RIGHT(Table6[[#This Row],[spawner_sku]],LEN(Table6[[#This Row],[spawner_sku]])-FIND("/",Table6[[#This Row],[spawner_sku]])),Table28[Entity Prefab],0)),24,1,1,"Entities"))</f>
        <v>no</v>
      </c>
      <c r="BA174">
        <v>1</v>
      </c>
      <c r="BB174">
        <v>1</v>
      </c>
      <c r="BC174" t="b">
        <v>0</v>
      </c>
      <c r="BE174" t="s">
        <v>465</v>
      </c>
      <c r="BF174">
        <v>1</v>
      </c>
      <c r="BG174">
        <v>100</v>
      </c>
      <c r="BH174">
        <v>100</v>
      </c>
      <c r="BI174" s="74">
        <f ca="1">INDIRECT(ADDRESS(11+(MATCH(RIGHT(Table610[[#This Row],[spawner_sku]],LEN(Table610[[#This Row],[spawner_sku]])-FIND("/",Table610[[#This Row],[spawner_sku]])),Table1[Entity Prefab],0)),10,1,1,"Entities"))</f>
        <v>25</v>
      </c>
      <c r="BJ174" s="74">
        <f ca="1">ROUND((Table610[[#This Row],[XP]]*Table610[[#This Row],[entity_spawned (AVG)]])*(Table610[[#This Row],[activating_chance]]/100),0)</f>
        <v>25</v>
      </c>
      <c r="BK174" s="71" t="str">
        <f ca="1">INDIRECT(ADDRESS(11+(MATCH(RIGHT(Table610[[#This Row],[spawner_sku]],LEN(Table610[[#This Row],[spawner_sku]])-FIND("/",Table610[[#This Row],[spawner_sku]])),Table28[Entity Prefab],0)),24,1,1,"Entities"))</f>
        <v>no</v>
      </c>
      <c r="BL174">
        <v>1</v>
      </c>
      <c r="BM174">
        <v>1</v>
      </c>
      <c r="BN174" t="b">
        <v>0</v>
      </c>
      <c r="BP174" t="s">
        <v>223</v>
      </c>
      <c r="BQ174">
        <v>2</v>
      </c>
      <c r="BR174">
        <v>220</v>
      </c>
      <c r="BS174">
        <v>100</v>
      </c>
      <c r="BT174" s="74">
        <f ca="1">INDIRECT(ADDRESS(11+(MATCH(RIGHT(Table61011[[#This Row],[spawner_sku]],LEN(Table61011[[#This Row],[spawner_sku]])-FIND("/",Table61011[[#This Row],[spawner_sku]])),Table1[Entity Prefab],0)),10,1,1,"Entities"))</f>
        <v>70</v>
      </c>
      <c r="BU174" s="74">
        <f ca="1">ROUND((Table61011[[#This Row],[XP]]*Table61011[[#This Row],[entity_spawned (AVG)]])*(Table61011[[#This Row],[activating_chance]]/100),0)</f>
        <v>140</v>
      </c>
      <c r="BV174" s="71" t="str">
        <f ca="1">INDIRECT(ADDRESS(11+(MATCH(RIGHT(Table61011[[#This Row],[spawner_sku]],LEN(Table61011[[#This Row],[spawner_sku]])-FIND("/",Table61011[[#This Row],[spawner_sku]])),Table28[Entity Prefab],0)),24,1,1,"Entities"))</f>
        <v>yes</v>
      </c>
      <c r="BW174" s="71">
        <v>2</v>
      </c>
      <c r="BX174" s="71">
        <v>2</v>
      </c>
      <c r="BY174" s="71" t="b">
        <v>0</v>
      </c>
      <c r="BZ174" s="71"/>
      <c r="CA174" s="147" t="s">
        <v>3820</v>
      </c>
      <c r="CB174">
        <v>1</v>
      </c>
      <c r="CC174">
        <v>240</v>
      </c>
      <c r="CD174">
        <v>100</v>
      </c>
      <c r="CE174" s="74">
        <f ca="1">INDIRECT(ADDRESS(11+(MATCH(RIGHT(Table35[[#This Row],[spawner_sku]],LEN(Table35[[#This Row],[spawner_sku]])-FIND("/",Table35[[#This Row],[spawner_sku]])),Table1[Entity Prefab],0)),10,1,1,"Entities"))</f>
        <v>10</v>
      </c>
      <c r="CF174" s="74">
        <f ca="1">ROUND((Table35[[#This Row],[XP]]*Table35[[#This Row],[entity_spawned (AVG)]])*(Table35[[#This Row],[activating_chance]]/100),0)</f>
        <v>10</v>
      </c>
      <c r="CG174" s="144" t="str">
        <f ca="1">INDIRECT(ADDRESS(11+(MATCH(RIGHT(Table35[[#This Row],[spawner_sku]],LEN(Table35[[#This Row],[spawner_sku]])-FIND("/",Table35[[#This Row],[spawner_sku]])),Table28[Entity Prefab],0)),24,1,1,"Entities"))</f>
        <v>no</v>
      </c>
      <c r="CH174">
        <v>1</v>
      </c>
      <c r="CI174">
        <v>1</v>
      </c>
      <c r="CJ174" s="71" t="b">
        <v>0</v>
      </c>
      <c r="CL174" t="s">
        <v>219</v>
      </c>
      <c r="CM174">
        <v>1</v>
      </c>
      <c r="CN174">
        <v>250</v>
      </c>
      <c r="CO174">
        <v>100</v>
      </c>
      <c r="CP174" s="74">
        <f ca="1">INDIRECT(ADDRESS(11+(MATCH(RIGHT(Table11[[#This Row],[spawner_sku]],LEN(Table11[[#This Row],[spawner_sku]])-FIND("/",Table11[[#This Row],[spawner_sku]])),Table1[Entity Prefab],0)),10,1,1,"Entities"))</f>
        <v>143</v>
      </c>
      <c r="CQ174">
        <f ca="1">ROUND((Table11[[#This Row],[XP]]*Table11[[#This Row],[entity_spawned (AVG)]])*(Table11[[#This Row],[activating_chance]]/100),0)</f>
        <v>143</v>
      </c>
      <c r="CR174" s="144" t="str">
        <f ca="1">INDIRECT(ADDRESS(11+(MATCH(RIGHT(Table11[[#This Row],[spawner_sku]],LEN(Table11[[#This Row],[spawner_sku]])-FIND("/",Table11[[#This Row],[spawner_sku]])),Table28[Entity Prefab],0)),25,1,1,"Entities"))</f>
        <v>yes</v>
      </c>
      <c r="CS174" s="71">
        <v>1</v>
      </c>
      <c r="CT174" s="71">
        <v>1</v>
      </c>
      <c r="CU174" s="71" t="b">
        <v>0</v>
      </c>
      <c r="CW174" t="s">
        <v>243</v>
      </c>
      <c r="CX174">
        <v>1</v>
      </c>
      <c r="CY174">
        <v>150</v>
      </c>
      <c r="CZ174">
        <v>100</v>
      </c>
      <c r="DA174" s="74">
        <f ca="1">INDIRECT(ADDRESS(11+(MATCH(RIGHT(Table12[[#This Row],[spawner_sku]],LEN(Table12[[#This Row],[spawner_sku]])-FIND("/",Table12[[#This Row],[spawner_sku]])),Table1[Entity Prefab],0)),10,1,1,"Entities"))</f>
        <v>25</v>
      </c>
      <c r="DB174" s="74">
        <f ca="1">ROUND((Table12[[#This Row],[XP]]*Table12[[#This Row],[entity_spawned (AVG)]])*(Table12[[#This Row],[activating_chance]]/100),0)</f>
        <v>25</v>
      </c>
      <c r="DC174" s="144" t="str">
        <f ca="1">INDIRECT(ADDRESS(11+(MATCH(RIGHT(Table12[[#This Row],[spawner_sku]],LEN(Table12[[#This Row],[spawner_sku]])-FIND("/",Table12[[#This Row],[spawner_sku]])),Table28[Entity Prefab],0)),25,1,1,"Entities"))</f>
        <v>no</v>
      </c>
      <c r="DD174" s="71">
        <v>1</v>
      </c>
      <c r="DE174" s="71">
        <v>1</v>
      </c>
      <c r="DF174" s="71" t="b">
        <v>0</v>
      </c>
      <c r="DH174" t="s">
        <v>241</v>
      </c>
      <c r="DI174">
        <v>1</v>
      </c>
      <c r="DJ174">
        <v>170</v>
      </c>
      <c r="DK174">
        <v>100</v>
      </c>
      <c r="DL174" s="74">
        <f ca="1">INDIRECT(ADDRESS(11+(MATCH(RIGHT(Table13[[#This Row],[spawner_sku]],LEN(Table13[[#This Row],[spawner_sku]])-FIND("/",Table13[[#This Row],[spawner_sku]])),Table1[Entity Prefab],0)),10,1,1,"Entities"))</f>
        <v>70</v>
      </c>
      <c r="DM174" s="74">
        <f ca="1">ROUND((Table13[[#This Row],[XP]]*Table13[[#This Row],[entity_spawned (AVG)]])*(Table13[[#This Row],[activating_chance]]/100),0)</f>
        <v>70</v>
      </c>
      <c r="DN174" s="144" t="str">
        <f ca="1">INDIRECT(ADDRESS(11+(MATCH(RIGHT(Table13[[#This Row],[spawner_sku]],LEN(Table13[[#This Row],[spawner_sku]])-FIND("/",Table13[[#This Row],[spawner_sku]])),Table28[Entity Prefab],0)),25,1,1,"Entities"))</f>
        <v>yes</v>
      </c>
      <c r="DO174" s="71">
        <v>1</v>
      </c>
      <c r="DP174" s="71">
        <v>1</v>
      </c>
      <c r="DQ174" s="71" t="b">
        <v>0</v>
      </c>
      <c r="DS174" t="s">
        <v>223</v>
      </c>
      <c r="DT174">
        <v>1.5</v>
      </c>
      <c r="DU174">
        <v>120</v>
      </c>
      <c r="DV174">
        <v>100</v>
      </c>
      <c r="DW174" s="74">
        <f ca="1">INDIRECT(ADDRESS(11+(MATCH(RIGHT(Table14[[#This Row],[spawner_sku]],LEN(Table14[[#This Row],[spawner_sku]])-FIND("/",Table14[[#This Row],[spawner_sku]])),Table1[Entity Prefab],0)),10,1,1,"Entities"))</f>
        <v>70</v>
      </c>
      <c r="DX174" s="74">
        <f ca="1">ROUND((Table14[[#This Row],[XP]]*Table14[[#This Row],[entity_spawned (AVG)]])*(Table14[[#This Row],[activating_chance]]/100),0)</f>
        <v>105</v>
      </c>
      <c r="DY174" s="144" t="str">
        <f ca="1">INDIRECT(ADDRESS(11+(MATCH(RIGHT(Table14[[#This Row],[spawner_sku]],LEN(Table14[[#This Row],[spawner_sku]])-FIND("/",Table14[[#This Row],[spawner_sku]])),Table28[Entity Prefab],0)),25,1,1,"Entities"))</f>
        <v>no</v>
      </c>
      <c r="DZ174" s="71">
        <v>1</v>
      </c>
      <c r="EA174" s="71">
        <v>2</v>
      </c>
      <c r="EB174" s="71" t="b">
        <v>0</v>
      </c>
      <c r="EC174" s="71"/>
      <c r="ED174" s="71"/>
      <c r="EE174" s="71"/>
      <c r="EF174" s="71"/>
      <c r="EG174" s="71"/>
      <c r="EH174" s="71"/>
      <c r="EI174" s="71"/>
      <c r="EJ174" s="71"/>
      <c r="EK174" s="71"/>
      <c r="EL174" s="71"/>
      <c r="EM174" s="71"/>
      <c r="EO174" t="s">
        <v>383</v>
      </c>
      <c r="EP174">
        <v>2</v>
      </c>
      <c r="EQ174">
        <v>340</v>
      </c>
      <c r="ER174">
        <v>100</v>
      </c>
      <c r="ES174" s="74">
        <f ca="1">INDIRECT(ADDRESS(11+(MATCH(RIGHT(Table18[[#This Row],[spawner_sku]],LEN(Table18[[#This Row],[spawner_sku]])-FIND("/",Table18[[#This Row],[spawner_sku]])),Table1[Entity Prefab],0)),10,1,1,"Entities"))</f>
        <v>263</v>
      </c>
      <c r="ET174" s="74">
        <f ca="1">ROUND((Table18[[#This Row],[XP]]*Table18[[#This Row],[entity_spawned (AVG)]])*(Table18[[#This Row],[activating_chance]]/100),0)</f>
        <v>526</v>
      </c>
      <c r="EU174" s="74" t="str">
        <f ca="1">INDIRECT(ADDRESS(11+(MATCH(RIGHT(Table18[[#This Row],[spawner_sku]],LEN(Table18[[#This Row],[spawner_sku]])-FIND("/",Table18[[#This Row],[spawner_sku]])),Table28[Entity Prefab],0)),26,1,1,"Entities"))</f>
        <v>yes</v>
      </c>
      <c r="EV174">
        <v>2</v>
      </c>
      <c r="EW174">
        <v>2</v>
      </c>
      <c r="EX174" t="b">
        <v>0</v>
      </c>
      <c r="EZ174" t="s">
        <v>583</v>
      </c>
      <c r="FA174">
        <v>1.5</v>
      </c>
      <c r="FB174">
        <v>120</v>
      </c>
      <c r="FC174">
        <v>30</v>
      </c>
      <c r="FD174" s="74">
        <f ca="1">INDIRECT(ADDRESS(11+(MATCH(RIGHT(Table1820[[#This Row],[spawner_sku]],LEN(Table1820[[#This Row],[spawner_sku]])-FIND("/",Table1820[[#This Row],[spawner_sku]])),Table1[Entity Prefab],0)),10,1,1,"Entities"))</f>
        <v>48</v>
      </c>
      <c r="FE174" s="74">
        <f ca="1">ROUND((Table1820[[#This Row],[XP]]*Table1820[[#This Row],[entity_spawned (AVG)]])*(Table1820[[#This Row],[activating_chance]]/100),0)</f>
        <v>22</v>
      </c>
      <c r="FF174" s="74" t="str">
        <f ca="1">INDIRECT(ADDRESS(11+(MATCH(RIGHT(Table1820[[#This Row],[spawner_sku]],LEN(Table1820[[#This Row],[spawner_sku]])-FIND("/",Table1820[[#This Row],[spawner_sku]])),Table28[Entity Prefab],0)),26,1,1,"Entities"))</f>
        <v>no</v>
      </c>
      <c r="FG174">
        <v>1</v>
      </c>
      <c r="FH174">
        <v>2</v>
      </c>
      <c r="FI174" t="b">
        <v>0</v>
      </c>
      <c r="FK174" t="s">
        <v>2696</v>
      </c>
      <c r="FL174">
        <v>1</v>
      </c>
      <c r="FM174">
        <v>80</v>
      </c>
      <c r="FN174">
        <v>100</v>
      </c>
      <c r="FO174">
        <f ca="1">INDIRECT(ADDRESS(11+(MATCH(RIGHT(Table182023[[#This Row],[spawner_sku]],LEN(Table182023[[#This Row],[spawner_sku]])-FIND("/",Table182023[[#This Row],[spawner_sku]])),Table1[Entity Prefab],0)),10,1,1,"Entities"))</f>
        <v>55</v>
      </c>
      <c r="FP174">
        <f ca="1">ROUND((Table182023[[#This Row],[XP]]*Table182023[[#This Row],[entity_spawned (AVG)]])*(Table182023[[#This Row],[activating_chance]]/100),0)</f>
        <v>55</v>
      </c>
      <c r="FQ174" t="str">
        <f ca="1">INDIRECT(ADDRESS(11+(MATCH(RIGHT(Table182023[[#This Row],[spawner_sku]],LEN(Table182023[[#This Row],[spawner_sku]])-FIND("/",Table182023[[#This Row],[spawner_sku]])),Table28[Entity Prefab],0)),26,1,1,"Entities"))</f>
        <v>yes</v>
      </c>
      <c r="FR174">
        <v>1</v>
      </c>
      <c r="FS174">
        <v>1</v>
      </c>
      <c r="FT174" t="b">
        <v>0</v>
      </c>
      <c r="FV174" t="s">
        <v>2690</v>
      </c>
      <c r="FW174">
        <v>2</v>
      </c>
      <c r="FX174">
        <v>70</v>
      </c>
      <c r="FY174">
        <v>100</v>
      </c>
      <c r="FZ174" s="74">
        <f ca="1">INDIRECT(ADDRESS(11+(MATCH(RIGHT(Table18202324[[#This Row],[spawner_sku]],LEN(Table18202324[[#This Row],[spawner_sku]])-FIND("/",Table18202324[[#This Row],[spawner_sku]])),Table1[Entity Prefab],0)),10,1,1,"Entities"))</f>
        <v>25</v>
      </c>
      <c r="GA174" s="74">
        <f ca="1">ROUND((Table18202324[[#This Row],[XP]]*Table18202324[[#This Row],[entity_spawned (AVG)]])*(Table18202324[[#This Row],[activating_chance]]/100),0)</f>
        <v>50</v>
      </c>
      <c r="GB174" s="74" t="str">
        <f ca="1">INDIRECT(ADDRESS(11+(MATCH(RIGHT(Table18202324[[#This Row],[spawner_sku]],LEN(Table18202324[[#This Row],[spawner_sku]])-FIND("/",Table18202324[[#This Row],[spawner_sku]])),Table28[Entity Prefab],0)),26,1,1,"Entities"))</f>
        <v>no</v>
      </c>
      <c r="GC174">
        <v>1</v>
      </c>
      <c r="GD174">
        <v>3</v>
      </c>
      <c r="GE174" t="b">
        <v>0</v>
      </c>
    </row>
    <row r="175" spans="2:187" x14ac:dyDescent="0.25">
      <c r="B175" s="72" t="s">
        <v>216</v>
      </c>
      <c r="C175">
        <v>6</v>
      </c>
      <c r="D175">
        <v>110</v>
      </c>
      <c r="E175">
        <v>100</v>
      </c>
      <c r="F175" s="74">
        <f ca="1">INDIRECT(ADDRESS(11+(MATCH(RIGHT(Table245[[#This Row],[spawner_sku]],LEN(Table245[[#This Row],[spawner_sku]])-FIND("/",Table245[[#This Row],[spawner_sku]])),Table1[Entity Prefab],0)),10,1,1,"Entities"))</f>
        <v>25</v>
      </c>
      <c r="G175" s="74">
        <f ca="1">ROUND((Table245[[#This Row],[XP]]*Table245[[#This Row],[entity_spawned (AVG)]])*(Table245[[#This Row],[activating_chance]]/100),0)</f>
        <v>150</v>
      </c>
      <c r="H175" s="71" t="str">
        <f ca="1">INDIRECT(ADDRESS(11+(MATCH(RIGHT(Table245[[#This Row],[spawner_sku]],LEN(Table245[[#This Row],[spawner_sku]])-FIND("/",Table245[[#This Row],[spawner_sku]])),Table28[Entity Prefab],0)),24,1,1,"Entities"))</f>
        <v>no</v>
      </c>
      <c r="I175" s="71">
        <v>5</v>
      </c>
      <c r="J175" s="71">
        <v>7</v>
      </c>
      <c r="K175" s="71" t="b">
        <v>1</v>
      </c>
      <c r="M175" t="s">
        <v>365</v>
      </c>
      <c r="N175">
        <v>5</v>
      </c>
      <c r="O175">
        <v>220</v>
      </c>
      <c r="P175">
        <v>100</v>
      </c>
      <c r="Q175" s="74">
        <f ca="1">INDIRECT(ADDRESS(11+(MATCH(RIGHT(Table3[[#This Row],[spawner_sku]],LEN(Table3[[#This Row],[spawner_sku]])-FIND("/",Table3[[#This Row],[spawner_sku]])),Table1[Entity Prefab],0)),10,1,1,"Entities"))</f>
        <v>28</v>
      </c>
      <c r="R175" s="74">
        <f ca="1">ROUND((Table3[[#This Row],[XP]]*Table3[[#This Row],[entity_spawned (AVG)]])*(Table3[[#This Row],[activating_chance]]/100),0)</f>
        <v>140</v>
      </c>
      <c r="S175" t="str">
        <f ca="1">INDIRECT(ADDRESS(11+(MATCH(RIGHT(Table3[[#This Row],[spawner_sku]],LEN(Table3[[#This Row],[spawner_sku]])-FIND("/",Table3[[#This Row],[spawner_sku]])),Table28[Entity Prefab],0)),24,1,1,"Entities"))</f>
        <v>yes</v>
      </c>
      <c r="T175">
        <v>5</v>
      </c>
      <c r="U175">
        <v>5</v>
      </c>
      <c r="V175" t="b">
        <v>1</v>
      </c>
      <c r="AI175" t="s">
        <v>226</v>
      </c>
      <c r="AJ175">
        <v>1</v>
      </c>
      <c r="AK175">
        <v>2000</v>
      </c>
      <c r="AL175">
        <v>100</v>
      </c>
      <c r="AM175" s="74">
        <f ca="1">INDIRECT(ADDRESS(11+(MATCH(RIGHT(Table2[[#This Row],[spawner_sku]],LEN(Table2[[#This Row],[spawner_sku]])-FIND("/",Table2[[#This Row],[spawner_sku]])),Table1[Entity Prefab],0)),10,1,1,"Entities"))</f>
        <v>175</v>
      </c>
      <c r="AN175" s="74">
        <f ca="1">ROUND((Table2[[#This Row],[XP]]*Table2[[#This Row],[entity_spawned (AVG)]])*(Table2[[#This Row],[activating_chance]]/100),0)</f>
        <v>175</v>
      </c>
      <c r="AO175" s="71" t="str">
        <f ca="1">INDIRECT(ADDRESS(11+(MATCH(RIGHT(Table2[[#This Row],[spawner_sku]],LEN(Table2[[#This Row],[spawner_sku]])-FIND("/",Table2[[#This Row],[spawner_sku]])),Table28[Entity Prefab],0)),24,1,1,"Entities"))</f>
        <v>yes</v>
      </c>
      <c r="AP175" s="71">
        <v>1</v>
      </c>
      <c r="AQ175" s="71">
        <v>1</v>
      </c>
      <c r="AR175" s="71" t="b">
        <v>0</v>
      </c>
      <c r="AT175" t="s">
        <v>3812</v>
      </c>
      <c r="AU175">
        <v>1</v>
      </c>
      <c r="AV175">
        <v>180</v>
      </c>
      <c r="AW175">
        <v>100</v>
      </c>
      <c r="AX175" s="74">
        <f ca="1">INDIRECT(ADDRESS(11+(MATCH(RIGHT(Table6[[#This Row],[spawner_sku]],LEN(Table6[[#This Row],[spawner_sku]])-FIND("/",Table6[[#This Row],[spawner_sku]])),Table1[Entity Prefab],0)),10,1,1,"Entities"))</f>
        <v>0</v>
      </c>
      <c r="AY175" s="74">
        <f ca="1">ROUND((Table6[[#This Row],[XP]]*Table6[[#This Row],[entity_spawned (AVG)]])*(Table6[[#This Row],[activating_chance]]/100),0)</f>
        <v>0</v>
      </c>
      <c r="AZ175" s="144" t="str">
        <f ca="1">INDIRECT(ADDRESS(11+(MATCH(RIGHT(Table6[[#This Row],[spawner_sku]],LEN(Table6[[#This Row],[spawner_sku]])-FIND("/",Table6[[#This Row],[spawner_sku]])),Table28[Entity Prefab],0)),24,1,1,"Entities"))</f>
        <v>no</v>
      </c>
      <c r="BA175">
        <v>1</v>
      </c>
      <c r="BB175">
        <v>1</v>
      </c>
      <c r="BC175" t="b">
        <v>0</v>
      </c>
      <c r="BE175" t="s">
        <v>234</v>
      </c>
      <c r="BF175">
        <v>1</v>
      </c>
      <c r="BG175">
        <v>420</v>
      </c>
      <c r="BH175">
        <v>100</v>
      </c>
      <c r="BI175" s="74">
        <f ca="1">INDIRECT(ADDRESS(11+(MATCH(RIGHT(Table610[[#This Row],[spawner_sku]],LEN(Table610[[#This Row],[spawner_sku]])-FIND("/",Table610[[#This Row],[spawner_sku]])),Table1[Entity Prefab],0)),10,1,1,"Entities"))</f>
        <v>83</v>
      </c>
      <c r="BJ175" s="74">
        <f ca="1">ROUND((Table610[[#This Row],[XP]]*Table610[[#This Row],[entity_spawned (AVG)]])*(Table610[[#This Row],[activating_chance]]/100),0)</f>
        <v>83</v>
      </c>
      <c r="BK175" s="71" t="str">
        <f ca="1">INDIRECT(ADDRESS(11+(MATCH(RIGHT(Table610[[#This Row],[spawner_sku]],LEN(Table610[[#This Row],[spawner_sku]])-FIND("/",Table610[[#This Row],[spawner_sku]])),Table28[Entity Prefab],0)),24,1,1,"Entities"))</f>
        <v>yes</v>
      </c>
      <c r="BL175">
        <v>1</v>
      </c>
      <c r="BM175">
        <v>1</v>
      </c>
      <c r="BN175" t="b">
        <v>0</v>
      </c>
      <c r="BP175" t="s">
        <v>223</v>
      </c>
      <c r="BQ175">
        <v>1</v>
      </c>
      <c r="BR175">
        <v>200</v>
      </c>
      <c r="BS175">
        <v>100</v>
      </c>
      <c r="BT175" s="74">
        <f ca="1">INDIRECT(ADDRESS(11+(MATCH(RIGHT(Table61011[[#This Row],[spawner_sku]],LEN(Table61011[[#This Row],[spawner_sku]])-FIND("/",Table61011[[#This Row],[spawner_sku]])),Table1[Entity Prefab],0)),10,1,1,"Entities"))</f>
        <v>70</v>
      </c>
      <c r="BU175" s="74">
        <f ca="1">ROUND((Table61011[[#This Row],[XP]]*Table61011[[#This Row],[entity_spawned (AVG)]])*(Table61011[[#This Row],[activating_chance]]/100),0)</f>
        <v>70</v>
      </c>
      <c r="BV175" s="71" t="str">
        <f ca="1">INDIRECT(ADDRESS(11+(MATCH(RIGHT(Table61011[[#This Row],[spawner_sku]],LEN(Table61011[[#This Row],[spawner_sku]])-FIND("/",Table61011[[#This Row],[spawner_sku]])),Table28[Entity Prefab],0)),24,1,1,"Entities"))</f>
        <v>yes</v>
      </c>
      <c r="BW175" s="71">
        <v>1</v>
      </c>
      <c r="BX175" s="71">
        <v>1</v>
      </c>
      <c r="BY175" s="71" t="b">
        <v>0</v>
      </c>
      <c r="BZ175" s="71"/>
      <c r="CA175" s="147" t="s">
        <v>3820</v>
      </c>
      <c r="CB175">
        <v>1</v>
      </c>
      <c r="CC175">
        <v>240</v>
      </c>
      <c r="CD175">
        <v>100</v>
      </c>
      <c r="CE175" s="74">
        <f ca="1">INDIRECT(ADDRESS(11+(MATCH(RIGHT(Table35[[#This Row],[spawner_sku]],LEN(Table35[[#This Row],[spawner_sku]])-FIND("/",Table35[[#This Row],[spawner_sku]])),Table1[Entity Prefab],0)),10,1,1,"Entities"))</f>
        <v>10</v>
      </c>
      <c r="CF175" s="74">
        <f ca="1">ROUND((Table35[[#This Row],[XP]]*Table35[[#This Row],[entity_spawned (AVG)]])*(Table35[[#This Row],[activating_chance]]/100),0)</f>
        <v>10</v>
      </c>
      <c r="CG175" s="144" t="str">
        <f ca="1">INDIRECT(ADDRESS(11+(MATCH(RIGHT(Table35[[#This Row],[spawner_sku]],LEN(Table35[[#This Row],[spawner_sku]])-FIND("/",Table35[[#This Row],[spawner_sku]])),Table28[Entity Prefab],0)),24,1,1,"Entities"))</f>
        <v>no</v>
      </c>
      <c r="CH175">
        <v>1</v>
      </c>
      <c r="CI175">
        <v>1</v>
      </c>
      <c r="CJ175" s="71" t="b">
        <v>0</v>
      </c>
      <c r="CL175" t="s">
        <v>219</v>
      </c>
      <c r="CM175">
        <v>1</v>
      </c>
      <c r="CN175">
        <v>250</v>
      </c>
      <c r="CO175">
        <v>100</v>
      </c>
      <c r="CP175" s="74">
        <f ca="1">INDIRECT(ADDRESS(11+(MATCH(RIGHT(Table11[[#This Row],[spawner_sku]],LEN(Table11[[#This Row],[spawner_sku]])-FIND("/",Table11[[#This Row],[spawner_sku]])),Table1[Entity Prefab],0)),10,1,1,"Entities"))</f>
        <v>143</v>
      </c>
      <c r="CQ175">
        <f ca="1">ROUND((Table11[[#This Row],[XP]]*Table11[[#This Row],[entity_spawned (AVG)]])*(Table11[[#This Row],[activating_chance]]/100),0)</f>
        <v>143</v>
      </c>
      <c r="CR175" s="144" t="str">
        <f ca="1">INDIRECT(ADDRESS(11+(MATCH(RIGHT(Table11[[#This Row],[spawner_sku]],LEN(Table11[[#This Row],[spawner_sku]])-FIND("/",Table11[[#This Row],[spawner_sku]])),Table28[Entity Prefab],0)),25,1,1,"Entities"))</f>
        <v>yes</v>
      </c>
      <c r="CS175" s="71">
        <v>1</v>
      </c>
      <c r="CT175" s="71">
        <v>1</v>
      </c>
      <c r="CU175" s="71" t="b">
        <v>0</v>
      </c>
      <c r="CW175" t="s">
        <v>243</v>
      </c>
      <c r="CX175">
        <v>1.5</v>
      </c>
      <c r="CY175">
        <v>150</v>
      </c>
      <c r="CZ175">
        <v>100</v>
      </c>
      <c r="DA175" s="74">
        <f ca="1">INDIRECT(ADDRESS(11+(MATCH(RIGHT(Table12[[#This Row],[spawner_sku]],LEN(Table12[[#This Row],[spawner_sku]])-FIND("/",Table12[[#This Row],[spawner_sku]])),Table1[Entity Prefab],0)),10,1,1,"Entities"))</f>
        <v>25</v>
      </c>
      <c r="DB175" s="74">
        <f ca="1">ROUND((Table12[[#This Row],[XP]]*Table12[[#This Row],[entity_spawned (AVG)]])*(Table12[[#This Row],[activating_chance]]/100),0)</f>
        <v>38</v>
      </c>
      <c r="DC175" s="144" t="str">
        <f ca="1">INDIRECT(ADDRESS(11+(MATCH(RIGHT(Table12[[#This Row],[spawner_sku]],LEN(Table12[[#This Row],[spawner_sku]])-FIND("/",Table12[[#This Row],[spawner_sku]])),Table28[Entity Prefab],0)),25,1,1,"Entities"))</f>
        <v>no</v>
      </c>
      <c r="DD175" s="71">
        <v>1</v>
      </c>
      <c r="DE175" s="71">
        <v>2</v>
      </c>
      <c r="DF175" s="71" t="b">
        <v>0</v>
      </c>
      <c r="DH175" t="s">
        <v>241</v>
      </c>
      <c r="DI175">
        <v>1</v>
      </c>
      <c r="DJ175">
        <v>170</v>
      </c>
      <c r="DK175">
        <v>100</v>
      </c>
      <c r="DL175" s="74">
        <f ca="1">INDIRECT(ADDRESS(11+(MATCH(RIGHT(Table13[[#This Row],[spawner_sku]],LEN(Table13[[#This Row],[spawner_sku]])-FIND("/",Table13[[#This Row],[spawner_sku]])),Table1[Entity Prefab],0)),10,1,1,"Entities"))</f>
        <v>70</v>
      </c>
      <c r="DM175" s="74">
        <f ca="1">ROUND((Table13[[#This Row],[XP]]*Table13[[#This Row],[entity_spawned (AVG)]])*(Table13[[#This Row],[activating_chance]]/100),0)</f>
        <v>70</v>
      </c>
      <c r="DN175" s="144" t="str">
        <f ca="1">INDIRECT(ADDRESS(11+(MATCH(RIGHT(Table13[[#This Row],[spawner_sku]],LEN(Table13[[#This Row],[spawner_sku]])-FIND("/",Table13[[#This Row],[spawner_sku]])),Table28[Entity Prefab],0)),25,1,1,"Entities"))</f>
        <v>yes</v>
      </c>
      <c r="DO175" s="71">
        <v>1</v>
      </c>
      <c r="DP175" s="71">
        <v>1</v>
      </c>
      <c r="DQ175" s="71" t="b">
        <v>0</v>
      </c>
      <c r="DS175" t="s">
        <v>223</v>
      </c>
      <c r="DT175">
        <v>1</v>
      </c>
      <c r="DU175">
        <v>110</v>
      </c>
      <c r="DV175">
        <v>100</v>
      </c>
      <c r="DW175" s="74">
        <f ca="1">INDIRECT(ADDRESS(11+(MATCH(RIGHT(Table14[[#This Row],[spawner_sku]],LEN(Table14[[#This Row],[spawner_sku]])-FIND("/",Table14[[#This Row],[spawner_sku]])),Table1[Entity Prefab],0)),10,1,1,"Entities"))</f>
        <v>70</v>
      </c>
      <c r="DX175" s="74">
        <f ca="1">ROUND((Table14[[#This Row],[XP]]*Table14[[#This Row],[entity_spawned (AVG)]])*(Table14[[#This Row],[activating_chance]]/100),0)</f>
        <v>70</v>
      </c>
      <c r="DY175" s="144" t="str">
        <f ca="1">INDIRECT(ADDRESS(11+(MATCH(RIGHT(Table14[[#This Row],[spawner_sku]],LEN(Table14[[#This Row],[spawner_sku]])-FIND("/",Table14[[#This Row],[spawner_sku]])),Table28[Entity Prefab],0)),25,1,1,"Entities"))</f>
        <v>no</v>
      </c>
      <c r="DZ175" s="71">
        <v>1</v>
      </c>
      <c r="EA175" s="71">
        <v>1</v>
      </c>
      <c r="EB175" s="71" t="b">
        <v>0</v>
      </c>
      <c r="EC175" s="71"/>
      <c r="EO175" t="s">
        <v>383</v>
      </c>
      <c r="EP175">
        <v>2</v>
      </c>
      <c r="EQ175">
        <v>340</v>
      </c>
      <c r="ER175">
        <v>100</v>
      </c>
      <c r="ES175" s="74">
        <f ca="1">INDIRECT(ADDRESS(11+(MATCH(RIGHT(Table18[[#This Row],[spawner_sku]],LEN(Table18[[#This Row],[spawner_sku]])-FIND("/",Table18[[#This Row],[spawner_sku]])),Table1[Entity Prefab],0)),10,1,1,"Entities"))</f>
        <v>263</v>
      </c>
      <c r="ET175" s="74">
        <f ca="1">ROUND((Table18[[#This Row],[XP]]*Table18[[#This Row],[entity_spawned (AVG)]])*(Table18[[#This Row],[activating_chance]]/100),0)</f>
        <v>526</v>
      </c>
      <c r="EU175" s="74" t="str">
        <f ca="1">INDIRECT(ADDRESS(11+(MATCH(RIGHT(Table18[[#This Row],[spawner_sku]],LEN(Table18[[#This Row],[spawner_sku]])-FIND("/",Table18[[#This Row],[spawner_sku]])),Table28[Entity Prefab],0)),26,1,1,"Entities"))</f>
        <v>yes</v>
      </c>
      <c r="EV175">
        <v>2</v>
      </c>
      <c r="EW175">
        <v>2</v>
      </c>
      <c r="EX175" t="b">
        <v>0</v>
      </c>
      <c r="EZ175" t="s">
        <v>583</v>
      </c>
      <c r="FA175">
        <v>1</v>
      </c>
      <c r="FB175">
        <v>120</v>
      </c>
      <c r="FC175">
        <v>80</v>
      </c>
      <c r="FD175" s="74">
        <f ca="1">INDIRECT(ADDRESS(11+(MATCH(RIGHT(Table1820[[#This Row],[spawner_sku]],LEN(Table1820[[#This Row],[spawner_sku]])-FIND("/",Table1820[[#This Row],[spawner_sku]])),Table1[Entity Prefab],0)),10,1,1,"Entities"))</f>
        <v>48</v>
      </c>
      <c r="FE175" s="74">
        <f ca="1">ROUND((Table1820[[#This Row],[XP]]*Table1820[[#This Row],[entity_spawned (AVG)]])*(Table1820[[#This Row],[activating_chance]]/100),0)</f>
        <v>38</v>
      </c>
      <c r="FF175" s="74" t="str">
        <f ca="1">INDIRECT(ADDRESS(11+(MATCH(RIGHT(Table1820[[#This Row],[spawner_sku]],LEN(Table1820[[#This Row],[spawner_sku]])-FIND("/",Table1820[[#This Row],[spawner_sku]])),Table28[Entity Prefab],0)),26,1,1,"Entities"))</f>
        <v>no</v>
      </c>
      <c r="FG175">
        <v>1</v>
      </c>
      <c r="FH175">
        <v>1</v>
      </c>
      <c r="FI175" t="b">
        <v>0</v>
      </c>
      <c r="FK175" t="s">
        <v>2696</v>
      </c>
      <c r="FL175">
        <v>1</v>
      </c>
      <c r="FM175">
        <v>80</v>
      </c>
      <c r="FN175">
        <v>100</v>
      </c>
      <c r="FO175">
        <f ca="1">INDIRECT(ADDRESS(11+(MATCH(RIGHT(Table182023[[#This Row],[spawner_sku]],LEN(Table182023[[#This Row],[spawner_sku]])-FIND("/",Table182023[[#This Row],[spawner_sku]])),Table1[Entity Prefab],0)),10,1,1,"Entities"))</f>
        <v>55</v>
      </c>
      <c r="FP175">
        <f ca="1">ROUND((Table182023[[#This Row],[XP]]*Table182023[[#This Row],[entity_spawned (AVG)]])*(Table182023[[#This Row],[activating_chance]]/100),0)</f>
        <v>55</v>
      </c>
      <c r="FQ175" t="str">
        <f ca="1">INDIRECT(ADDRESS(11+(MATCH(RIGHT(Table182023[[#This Row],[spawner_sku]],LEN(Table182023[[#This Row],[spawner_sku]])-FIND("/",Table182023[[#This Row],[spawner_sku]])),Table28[Entity Prefab],0)),26,1,1,"Entities"))</f>
        <v>yes</v>
      </c>
      <c r="FR175">
        <v>1</v>
      </c>
      <c r="FS175">
        <v>1</v>
      </c>
      <c r="FT175" t="b">
        <v>0</v>
      </c>
      <c r="FV175" t="s">
        <v>2690</v>
      </c>
      <c r="FW175">
        <v>1.5</v>
      </c>
      <c r="FX175">
        <v>70</v>
      </c>
      <c r="FY175">
        <v>100</v>
      </c>
      <c r="FZ175" s="74">
        <f ca="1">INDIRECT(ADDRESS(11+(MATCH(RIGHT(Table18202324[[#This Row],[spawner_sku]],LEN(Table18202324[[#This Row],[spawner_sku]])-FIND("/",Table18202324[[#This Row],[spawner_sku]])),Table1[Entity Prefab],0)),10,1,1,"Entities"))</f>
        <v>25</v>
      </c>
      <c r="GA175" s="74">
        <f ca="1">ROUND((Table18202324[[#This Row],[XP]]*Table18202324[[#This Row],[entity_spawned (AVG)]])*(Table18202324[[#This Row],[activating_chance]]/100),0)</f>
        <v>38</v>
      </c>
      <c r="GB175" s="74" t="str">
        <f ca="1">INDIRECT(ADDRESS(11+(MATCH(RIGHT(Table18202324[[#This Row],[spawner_sku]],LEN(Table18202324[[#This Row],[spawner_sku]])-FIND("/",Table18202324[[#This Row],[spawner_sku]])),Table28[Entity Prefab],0)),26,1,1,"Entities"))</f>
        <v>no</v>
      </c>
      <c r="GC175">
        <v>1</v>
      </c>
      <c r="GD175">
        <v>2</v>
      </c>
      <c r="GE175" t="b">
        <v>0</v>
      </c>
    </row>
    <row r="176" spans="2:187" x14ac:dyDescent="0.25">
      <c r="B176" s="72" t="s">
        <v>217</v>
      </c>
      <c r="C176">
        <v>3</v>
      </c>
      <c r="D176">
        <v>130</v>
      </c>
      <c r="E176">
        <v>100</v>
      </c>
      <c r="F176" s="74">
        <f ca="1">INDIRECT(ADDRESS(11+(MATCH(RIGHT(Table245[[#This Row],[spawner_sku]],LEN(Table245[[#This Row],[spawner_sku]])-FIND("/",Table245[[#This Row],[spawner_sku]])),Table1[Entity Prefab],0)),10,1,1,"Entities"))</f>
        <v>25</v>
      </c>
      <c r="G176" s="74">
        <f ca="1">ROUND((Table245[[#This Row],[XP]]*Table245[[#This Row],[entity_spawned (AVG)]])*(Table245[[#This Row],[activating_chance]]/100),0)</f>
        <v>75</v>
      </c>
      <c r="H176" s="71" t="str">
        <f ca="1">INDIRECT(ADDRESS(11+(MATCH(RIGHT(Table245[[#This Row],[spawner_sku]],LEN(Table245[[#This Row],[spawner_sku]])-FIND("/",Table245[[#This Row],[spawner_sku]])),Table28[Entity Prefab],0)),24,1,1,"Entities"))</f>
        <v>no</v>
      </c>
      <c r="I176" s="71">
        <v>2</v>
      </c>
      <c r="J176" s="71">
        <v>4</v>
      </c>
      <c r="K176" s="71" t="b">
        <v>0</v>
      </c>
      <c r="M176" t="s">
        <v>242</v>
      </c>
      <c r="N176">
        <v>1.5</v>
      </c>
      <c r="O176">
        <v>180</v>
      </c>
      <c r="P176">
        <v>70</v>
      </c>
      <c r="Q176" s="74">
        <f ca="1">INDIRECT(ADDRESS(11+(MATCH(RIGHT(Table3[[#This Row],[spawner_sku]],LEN(Table3[[#This Row],[spawner_sku]])-FIND("/",Table3[[#This Row],[spawner_sku]])),Table1[Entity Prefab],0)),10,1,1,"Entities"))</f>
        <v>25</v>
      </c>
      <c r="R176" s="74">
        <f ca="1">ROUND((Table3[[#This Row],[XP]]*Table3[[#This Row],[entity_spawned (AVG)]])*(Table3[[#This Row],[activating_chance]]/100),0)</f>
        <v>26</v>
      </c>
      <c r="S176" t="str">
        <f ca="1">INDIRECT(ADDRESS(11+(MATCH(RIGHT(Table3[[#This Row],[spawner_sku]],LEN(Table3[[#This Row],[spawner_sku]])-FIND("/",Table3[[#This Row],[spawner_sku]])),Table28[Entity Prefab],0)),24,1,1,"Entities"))</f>
        <v>no</v>
      </c>
      <c r="T176">
        <v>1</v>
      </c>
      <c r="U176">
        <v>2</v>
      </c>
      <c r="V176" t="b">
        <v>0</v>
      </c>
      <c r="AI176" t="s">
        <v>226</v>
      </c>
      <c r="AJ176">
        <v>1</v>
      </c>
      <c r="AK176">
        <v>2000</v>
      </c>
      <c r="AL176">
        <v>100</v>
      </c>
      <c r="AM176" s="74">
        <f ca="1">INDIRECT(ADDRESS(11+(MATCH(RIGHT(Table2[[#This Row],[spawner_sku]],LEN(Table2[[#This Row],[spawner_sku]])-FIND("/",Table2[[#This Row],[spawner_sku]])),Table1[Entity Prefab],0)),10,1,1,"Entities"))</f>
        <v>175</v>
      </c>
      <c r="AN176" s="74">
        <f ca="1">ROUND((Table2[[#This Row],[XP]]*Table2[[#This Row],[entity_spawned (AVG)]])*(Table2[[#This Row],[activating_chance]]/100),0)</f>
        <v>175</v>
      </c>
      <c r="AO176" s="71" t="str">
        <f ca="1">INDIRECT(ADDRESS(11+(MATCH(RIGHT(Table2[[#This Row],[spawner_sku]],LEN(Table2[[#This Row],[spawner_sku]])-FIND("/",Table2[[#This Row],[spawner_sku]])),Table28[Entity Prefab],0)),24,1,1,"Entities"))</f>
        <v>yes</v>
      </c>
      <c r="AP176" s="71">
        <v>1</v>
      </c>
      <c r="AQ176" s="71">
        <v>1</v>
      </c>
      <c r="AR176" s="71" t="b">
        <v>0</v>
      </c>
      <c r="BE176" t="s">
        <v>234</v>
      </c>
      <c r="BF176">
        <v>1</v>
      </c>
      <c r="BG176">
        <v>420</v>
      </c>
      <c r="BH176">
        <v>100</v>
      </c>
      <c r="BI176" s="74">
        <f ca="1">INDIRECT(ADDRESS(11+(MATCH(RIGHT(Table610[[#This Row],[spawner_sku]],LEN(Table610[[#This Row],[spawner_sku]])-FIND("/",Table610[[#This Row],[spawner_sku]])),Table1[Entity Prefab],0)),10,1,1,"Entities"))</f>
        <v>83</v>
      </c>
      <c r="BJ176" s="74">
        <f ca="1">ROUND((Table610[[#This Row],[XP]]*Table610[[#This Row],[entity_spawned (AVG)]])*(Table610[[#This Row],[activating_chance]]/100),0)</f>
        <v>83</v>
      </c>
      <c r="BK176" s="71" t="str">
        <f ca="1">INDIRECT(ADDRESS(11+(MATCH(RIGHT(Table610[[#This Row],[spawner_sku]],LEN(Table610[[#This Row],[spawner_sku]])-FIND("/",Table610[[#This Row],[spawner_sku]])),Table28[Entity Prefab],0)),24,1,1,"Entities"))</f>
        <v>yes</v>
      </c>
      <c r="BL176">
        <v>1</v>
      </c>
      <c r="BM176">
        <v>1</v>
      </c>
      <c r="BN176" t="b">
        <v>0</v>
      </c>
      <c r="BP176" t="s">
        <v>223</v>
      </c>
      <c r="BQ176">
        <v>3</v>
      </c>
      <c r="BR176">
        <v>200</v>
      </c>
      <c r="BS176">
        <v>100</v>
      </c>
      <c r="BT176" s="74">
        <f ca="1">INDIRECT(ADDRESS(11+(MATCH(RIGHT(Table61011[[#This Row],[spawner_sku]],LEN(Table61011[[#This Row],[spawner_sku]])-FIND("/",Table61011[[#This Row],[spawner_sku]])),Table1[Entity Prefab],0)),10,1,1,"Entities"))</f>
        <v>70</v>
      </c>
      <c r="BU176" s="74">
        <f ca="1">ROUND((Table61011[[#This Row],[XP]]*Table61011[[#This Row],[entity_spawned (AVG)]])*(Table61011[[#This Row],[activating_chance]]/100),0)</f>
        <v>210</v>
      </c>
      <c r="BV176" s="71" t="str">
        <f ca="1">INDIRECT(ADDRESS(11+(MATCH(RIGHT(Table61011[[#This Row],[spawner_sku]],LEN(Table61011[[#This Row],[spawner_sku]])-FIND("/",Table61011[[#This Row],[spawner_sku]])),Table28[Entity Prefab],0)),24,1,1,"Entities"))</f>
        <v>yes</v>
      </c>
      <c r="BW176" s="71">
        <v>3</v>
      </c>
      <c r="BX176" s="71">
        <v>3</v>
      </c>
      <c r="BY176" s="71" t="b">
        <v>0</v>
      </c>
      <c r="BZ176" s="71"/>
      <c r="CA176" s="147" t="s">
        <v>3820</v>
      </c>
      <c r="CB176">
        <v>1</v>
      </c>
      <c r="CC176">
        <v>240</v>
      </c>
      <c r="CD176">
        <v>100</v>
      </c>
      <c r="CE176" s="74">
        <f ca="1">INDIRECT(ADDRESS(11+(MATCH(RIGHT(Table35[[#This Row],[spawner_sku]],LEN(Table35[[#This Row],[spawner_sku]])-FIND("/",Table35[[#This Row],[spawner_sku]])),Table1[Entity Prefab],0)),10,1,1,"Entities"))</f>
        <v>10</v>
      </c>
      <c r="CF176" s="74">
        <f ca="1">ROUND((Table35[[#This Row],[XP]]*Table35[[#This Row],[entity_spawned (AVG)]])*(Table35[[#This Row],[activating_chance]]/100),0)</f>
        <v>10</v>
      </c>
      <c r="CG176" s="144" t="str">
        <f ca="1">INDIRECT(ADDRESS(11+(MATCH(RIGHT(Table35[[#This Row],[spawner_sku]],LEN(Table35[[#This Row],[spawner_sku]])-FIND("/",Table35[[#This Row],[spawner_sku]])),Table28[Entity Prefab],0)),24,1,1,"Entities"))</f>
        <v>no</v>
      </c>
      <c r="CH176">
        <v>1</v>
      </c>
      <c r="CI176">
        <v>1</v>
      </c>
      <c r="CJ176" s="71" t="b">
        <v>0</v>
      </c>
      <c r="CL176" t="s">
        <v>219</v>
      </c>
      <c r="CM176">
        <v>1</v>
      </c>
      <c r="CN176">
        <v>260</v>
      </c>
      <c r="CO176">
        <v>100</v>
      </c>
      <c r="CP176" s="74">
        <f ca="1">INDIRECT(ADDRESS(11+(MATCH(RIGHT(Table11[[#This Row],[spawner_sku]],LEN(Table11[[#This Row],[spawner_sku]])-FIND("/",Table11[[#This Row],[spawner_sku]])),Table1[Entity Prefab],0)),10,1,1,"Entities"))</f>
        <v>143</v>
      </c>
      <c r="CQ176">
        <f ca="1">ROUND((Table11[[#This Row],[XP]]*Table11[[#This Row],[entity_spawned (AVG)]])*(Table11[[#This Row],[activating_chance]]/100),0)</f>
        <v>143</v>
      </c>
      <c r="CR176" s="144" t="str">
        <f ca="1">INDIRECT(ADDRESS(11+(MATCH(RIGHT(Table11[[#This Row],[spawner_sku]],LEN(Table11[[#This Row],[spawner_sku]])-FIND("/",Table11[[#This Row],[spawner_sku]])),Table28[Entity Prefab],0)),25,1,1,"Entities"))</f>
        <v>yes</v>
      </c>
      <c r="CS176" s="71">
        <v>1</v>
      </c>
      <c r="CT176" s="71">
        <v>1</v>
      </c>
      <c r="CU176" s="71" t="b">
        <v>0</v>
      </c>
      <c r="CW176" t="s">
        <v>243</v>
      </c>
      <c r="CX176">
        <v>1</v>
      </c>
      <c r="CY176">
        <v>150</v>
      </c>
      <c r="CZ176">
        <v>100</v>
      </c>
      <c r="DA176" s="74">
        <f ca="1">INDIRECT(ADDRESS(11+(MATCH(RIGHT(Table12[[#This Row],[spawner_sku]],LEN(Table12[[#This Row],[spawner_sku]])-FIND("/",Table12[[#This Row],[spawner_sku]])),Table1[Entity Prefab],0)),10,1,1,"Entities"))</f>
        <v>25</v>
      </c>
      <c r="DB176" s="74">
        <f ca="1">ROUND((Table12[[#This Row],[XP]]*Table12[[#This Row],[entity_spawned (AVG)]])*(Table12[[#This Row],[activating_chance]]/100),0)</f>
        <v>25</v>
      </c>
      <c r="DC176" s="144" t="str">
        <f ca="1">INDIRECT(ADDRESS(11+(MATCH(RIGHT(Table12[[#This Row],[spawner_sku]],LEN(Table12[[#This Row],[spawner_sku]])-FIND("/",Table12[[#This Row],[spawner_sku]])),Table28[Entity Prefab],0)),25,1,1,"Entities"))</f>
        <v>no</v>
      </c>
      <c r="DD176" s="71">
        <v>1</v>
      </c>
      <c r="DE176" s="71">
        <v>1</v>
      </c>
      <c r="DF176" s="71" t="b">
        <v>0</v>
      </c>
      <c r="DH176" t="s">
        <v>241</v>
      </c>
      <c r="DI176">
        <v>1</v>
      </c>
      <c r="DJ176">
        <v>170</v>
      </c>
      <c r="DK176">
        <v>100</v>
      </c>
      <c r="DL176" s="74">
        <f ca="1">INDIRECT(ADDRESS(11+(MATCH(RIGHT(Table13[[#This Row],[spawner_sku]],LEN(Table13[[#This Row],[spawner_sku]])-FIND("/",Table13[[#This Row],[spawner_sku]])),Table1[Entity Prefab],0)),10,1,1,"Entities"))</f>
        <v>70</v>
      </c>
      <c r="DM176" s="74">
        <f ca="1">ROUND((Table13[[#This Row],[XP]]*Table13[[#This Row],[entity_spawned (AVG)]])*(Table13[[#This Row],[activating_chance]]/100),0)</f>
        <v>70</v>
      </c>
      <c r="DN176" s="144" t="str">
        <f ca="1">INDIRECT(ADDRESS(11+(MATCH(RIGHT(Table13[[#This Row],[spawner_sku]],LEN(Table13[[#This Row],[spawner_sku]])-FIND("/",Table13[[#This Row],[spawner_sku]])),Table28[Entity Prefab],0)),25,1,1,"Entities"))</f>
        <v>yes</v>
      </c>
      <c r="DO176" s="71">
        <v>1</v>
      </c>
      <c r="DP176" s="71">
        <v>1</v>
      </c>
      <c r="DQ176" s="71" t="b">
        <v>0</v>
      </c>
      <c r="DS176" t="s">
        <v>223</v>
      </c>
      <c r="DT176">
        <v>1.5</v>
      </c>
      <c r="DU176">
        <v>100</v>
      </c>
      <c r="DV176">
        <v>80</v>
      </c>
      <c r="DW176" s="74">
        <f ca="1">INDIRECT(ADDRESS(11+(MATCH(RIGHT(Table14[[#This Row],[spawner_sku]],LEN(Table14[[#This Row],[spawner_sku]])-FIND("/",Table14[[#This Row],[spawner_sku]])),Table1[Entity Prefab],0)),10,1,1,"Entities"))</f>
        <v>70</v>
      </c>
      <c r="DX176" s="74">
        <f ca="1">ROUND((Table14[[#This Row],[XP]]*Table14[[#This Row],[entity_spawned (AVG)]])*(Table14[[#This Row],[activating_chance]]/100),0)</f>
        <v>84</v>
      </c>
      <c r="DY176" s="144" t="str">
        <f ca="1">INDIRECT(ADDRESS(11+(MATCH(RIGHT(Table14[[#This Row],[spawner_sku]],LEN(Table14[[#This Row],[spawner_sku]])-FIND("/",Table14[[#This Row],[spawner_sku]])),Table28[Entity Prefab],0)),25,1,1,"Entities"))</f>
        <v>no</v>
      </c>
      <c r="DZ176" s="71">
        <v>1</v>
      </c>
      <c r="EA176" s="71">
        <v>2</v>
      </c>
      <c r="EB176" s="71" t="b">
        <v>0</v>
      </c>
      <c r="EC176" s="71"/>
      <c r="EO176" t="s">
        <v>383</v>
      </c>
      <c r="EP176">
        <v>1</v>
      </c>
      <c r="EQ176">
        <v>240</v>
      </c>
      <c r="ER176">
        <v>80</v>
      </c>
      <c r="ES176" s="74">
        <f ca="1">INDIRECT(ADDRESS(11+(MATCH(RIGHT(Table18[[#This Row],[spawner_sku]],LEN(Table18[[#This Row],[spawner_sku]])-FIND("/",Table18[[#This Row],[spawner_sku]])),Table1[Entity Prefab],0)),10,1,1,"Entities"))</f>
        <v>263</v>
      </c>
      <c r="ET176" s="74">
        <f ca="1">ROUND((Table18[[#This Row],[XP]]*Table18[[#This Row],[entity_spawned (AVG)]])*(Table18[[#This Row],[activating_chance]]/100),0)</f>
        <v>210</v>
      </c>
      <c r="EU176" s="74" t="str">
        <f ca="1">INDIRECT(ADDRESS(11+(MATCH(RIGHT(Table18[[#This Row],[spawner_sku]],LEN(Table18[[#This Row],[spawner_sku]])-FIND("/",Table18[[#This Row],[spawner_sku]])),Table28[Entity Prefab],0)),26,1,1,"Entities"))</f>
        <v>yes</v>
      </c>
      <c r="EV176">
        <v>1</v>
      </c>
      <c r="EW176">
        <v>1</v>
      </c>
      <c r="EX176" t="b">
        <v>0</v>
      </c>
      <c r="EZ176" t="s">
        <v>583</v>
      </c>
      <c r="FA176">
        <v>1.5</v>
      </c>
      <c r="FB176">
        <v>120</v>
      </c>
      <c r="FC176">
        <v>80</v>
      </c>
      <c r="FD176" s="74">
        <f ca="1">INDIRECT(ADDRESS(11+(MATCH(RIGHT(Table1820[[#This Row],[spawner_sku]],LEN(Table1820[[#This Row],[spawner_sku]])-FIND("/",Table1820[[#This Row],[spawner_sku]])),Table1[Entity Prefab],0)),10,1,1,"Entities"))</f>
        <v>48</v>
      </c>
      <c r="FE176" s="74">
        <f ca="1">ROUND((Table1820[[#This Row],[XP]]*Table1820[[#This Row],[entity_spawned (AVG)]])*(Table1820[[#This Row],[activating_chance]]/100),0)</f>
        <v>58</v>
      </c>
      <c r="FF176" s="74" t="str">
        <f ca="1">INDIRECT(ADDRESS(11+(MATCH(RIGHT(Table1820[[#This Row],[spawner_sku]],LEN(Table1820[[#This Row],[spawner_sku]])-FIND("/",Table1820[[#This Row],[spawner_sku]])),Table28[Entity Prefab],0)),26,1,1,"Entities"))</f>
        <v>no</v>
      </c>
      <c r="FG176">
        <v>1</v>
      </c>
      <c r="FH176">
        <v>2</v>
      </c>
      <c r="FI176" t="b">
        <v>0</v>
      </c>
      <c r="FK176" t="s">
        <v>2696</v>
      </c>
      <c r="FL176">
        <v>1</v>
      </c>
      <c r="FM176">
        <v>80</v>
      </c>
      <c r="FN176">
        <v>100</v>
      </c>
      <c r="FO176">
        <f ca="1">INDIRECT(ADDRESS(11+(MATCH(RIGHT(Table182023[[#This Row],[spawner_sku]],LEN(Table182023[[#This Row],[spawner_sku]])-FIND("/",Table182023[[#This Row],[spawner_sku]])),Table1[Entity Prefab],0)),10,1,1,"Entities"))</f>
        <v>55</v>
      </c>
      <c r="FP176">
        <f ca="1">ROUND((Table182023[[#This Row],[XP]]*Table182023[[#This Row],[entity_spawned (AVG)]])*(Table182023[[#This Row],[activating_chance]]/100),0)</f>
        <v>55</v>
      </c>
      <c r="FQ176" t="str">
        <f ca="1">INDIRECT(ADDRESS(11+(MATCH(RIGHT(Table182023[[#This Row],[spawner_sku]],LEN(Table182023[[#This Row],[spawner_sku]])-FIND("/",Table182023[[#This Row],[spawner_sku]])),Table28[Entity Prefab],0)),26,1,1,"Entities"))</f>
        <v>yes</v>
      </c>
      <c r="FR176">
        <v>1</v>
      </c>
      <c r="FS176">
        <v>1</v>
      </c>
      <c r="FT176" t="b">
        <v>0</v>
      </c>
      <c r="FV176" t="s">
        <v>2690</v>
      </c>
      <c r="FW176">
        <v>2.5</v>
      </c>
      <c r="FX176">
        <v>80</v>
      </c>
      <c r="FY176">
        <v>80</v>
      </c>
      <c r="FZ176" s="74">
        <f ca="1">INDIRECT(ADDRESS(11+(MATCH(RIGHT(Table18202324[[#This Row],[spawner_sku]],LEN(Table18202324[[#This Row],[spawner_sku]])-FIND("/",Table18202324[[#This Row],[spawner_sku]])),Table1[Entity Prefab],0)),10,1,1,"Entities"))</f>
        <v>25</v>
      </c>
      <c r="GA176" s="74">
        <f ca="1">ROUND((Table18202324[[#This Row],[XP]]*Table18202324[[#This Row],[entity_spawned (AVG)]])*(Table18202324[[#This Row],[activating_chance]]/100),0)</f>
        <v>50</v>
      </c>
      <c r="GB176" s="74" t="str">
        <f ca="1">INDIRECT(ADDRESS(11+(MATCH(RIGHT(Table18202324[[#This Row],[spawner_sku]],LEN(Table18202324[[#This Row],[spawner_sku]])-FIND("/",Table18202324[[#This Row],[spawner_sku]])),Table28[Entity Prefab],0)),26,1,1,"Entities"))</f>
        <v>no</v>
      </c>
      <c r="GC176">
        <v>2</v>
      </c>
      <c r="GD176">
        <v>3</v>
      </c>
      <c r="GE176" t="b">
        <v>0</v>
      </c>
    </row>
    <row r="177" spans="2:187" x14ac:dyDescent="0.25">
      <c r="B177" s="72" t="s">
        <v>217</v>
      </c>
      <c r="C177">
        <v>1.5</v>
      </c>
      <c r="D177">
        <v>80</v>
      </c>
      <c r="E177">
        <v>100</v>
      </c>
      <c r="F177" s="74">
        <f ca="1">INDIRECT(ADDRESS(11+(MATCH(RIGHT(Table245[[#This Row],[spawner_sku]],LEN(Table245[[#This Row],[spawner_sku]])-FIND("/",Table245[[#This Row],[spawner_sku]])),Table1[Entity Prefab],0)),10,1,1,"Entities"))</f>
        <v>25</v>
      </c>
      <c r="G177" s="74">
        <f ca="1">ROUND((Table245[[#This Row],[XP]]*Table245[[#This Row],[entity_spawned (AVG)]])*(Table245[[#This Row],[activating_chance]]/100),0)</f>
        <v>38</v>
      </c>
      <c r="H177" s="71" t="str">
        <f ca="1">INDIRECT(ADDRESS(11+(MATCH(RIGHT(Table245[[#This Row],[spawner_sku]],LEN(Table245[[#This Row],[spawner_sku]])-FIND("/",Table245[[#This Row],[spawner_sku]])),Table28[Entity Prefab],0)),24,1,1,"Entities"))</f>
        <v>no</v>
      </c>
      <c r="I177" s="71">
        <v>1</v>
      </c>
      <c r="J177" s="71">
        <v>2</v>
      </c>
      <c r="K177" s="71" t="b">
        <v>0</v>
      </c>
      <c r="M177" t="s">
        <v>365</v>
      </c>
      <c r="N177">
        <v>1</v>
      </c>
      <c r="O177">
        <v>275</v>
      </c>
      <c r="P177">
        <v>100</v>
      </c>
      <c r="Q177" s="74">
        <f ca="1">INDIRECT(ADDRESS(11+(MATCH(RIGHT(Table3[[#This Row],[spawner_sku]],LEN(Table3[[#This Row],[spawner_sku]])-FIND("/",Table3[[#This Row],[spawner_sku]])),Table1[Entity Prefab],0)),10,1,1,"Entities"))</f>
        <v>28</v>
      </c>
      <c r="R177" s="74">
        <f ca="1">ROUND((Table3[[#This Row],[XP]]*Table3[[#This Row],[entity_spawned (AVG)]])*(Table3[[#This Row],[activating_chance]]/100),0)</f>
        <v>28</v>
      </c>
      <c r="S177" t="str">
        <f ca="1">INDIRECT(ADDRESS(11+(MATCH(RIGHT(Table3[[#This Row],[spawner_sku]],LEN(Table3[[#This Row],[spawner_sku]])-FIND("/",Table3[[#This Row],[spawner_sku]])),Table28[Entity Prefab],0)),24,1,1,"Entities"))</f>
        <v>yes</v>
      </c>
      <c r="T177">
        <v>1</v>
      </c>
      <c r="U177">
        <v>1</v>
      </c>
      <c r="V177" t="b">
        <v>0</v>
      </c>
      <c r="AI177" t="s">
        <v>226</v>
      </c>
      <c r="AJ177">
        <v>1</v>
      </c>
      <c r="AK177">
        <v>2000</v>
      </c>
      <c r="AL177">
        <v>100</v>
      </c>
      <c r="AM177" s="74">
        <f ca="1">INDIRECT(ADDRESS(11+(MATCH(RIGHT(Table2[[#This Row],[spawner_sku]],LEN(Table2[[#This Row],[spawner_sku]])-FIND("/",Table2[[#This Row],[spawner_sku]])),Table1[Entity Prefab],0)),10,1,1,"Entities"))</f>
        <v>175</v>
      </c>
      <c r="AN177" s="74">
        <f ca="1">ROUND((Table2[[#This Row],[XP]]*Table2[[#This Row],[entity_spawned (AVG)]])*(Table2[[#This Row],[activating_chance]]/100),0)</f>
        <v>175</v>
      </c>
      <c r="AO177" s="71" t="str">
        <f ca="1">INDIRECT(ADDRESS(11+(MATCH(RIGHT(Table2[[#This Row],[spawner_sku]],LEN(Table2[[#This Row],[spawner_sku]])-FIND("/",Table2[[#This Row],[spawner_sku]])),Table28[Entity Prefab],0)),24,1,1,"Entities"))</f>
        <v>yes</v>
      </c>
      <c r="AP177" s="71">
        <v>1</v>
      </c>
      <c r="AQ177" s="71">
        <v>1</v>
      </c>
      <c r="AR177" s="71" t="b">
        <v>0</v>
      </c>
      <c r="BE177" t="s">
        <v>377</v>
      </c>
      <c r="BF177">
        <v>7</v>
      </c>
      <c r="BG177">
        <v>150</v>
      </c>
      <c r="BH177">
        <v>100</v>
      </c>
      <c r="BI177" s="74">
        <f ca="1">INDIRECT(ADDRESS(11+(MATCH(RIGHT(Table610[[#This Row],[spawner_sku]],LEN(Table610[[#This Row],[spawner_sku]])-FIND("/",Table610[[#This Row],[spawner_sku]])),Table1[Entity Prefab],0)),10,1,1,"Entities"))</f>
        <v>25</v>
      </c>
      <c r="BJ177" s="74">
        <f ca="1">ROUND((Table610[[#This Row],[XP]]*Table610[[#This Row],[entity_spawned (AVG)]])*(Table610[[#This Row],[activating_chance]]/100),0)</f>
        <v>175</v>
      </c>
      <c r="BK177" s="71" t="str">
        <f ca="1">INDIRECT(ADDRESS(11+(MATCH(RIGHT(Table610[[#This Row],[spawner_sku]],LEN(Table610[[#This Row],[spawner_sku]])-FIND("/",Table610[[#This Row],[spawner_sku]])),Table28[Entity Prefab],0)),24,1,1,"Entities"))</f>
        <v>no</v>
      </c>
      <c r="BL177">
        <v>5</v>
      </c>
      <c r="BM177">
        <v>9</v>
      </c>
      <c r="BN177" t="b">
        <v>1</v>
      </c>
      <c r="BP177" t="s">
        <v>223</v>
      </c>
      <c r="BQ177">
        <v>1</v>
      </c>
      <c r="BR177">
        <v>220</v>
      </c>
      <c r="BS177">
        <v>100</v>
      </c>
      <c r="BT177" s="74">
        <f ca="1">INDIRECT(ADDRESS(11+(MATCH(RIGHT(Table61011[[#This Row],[spawner_sku]],LEN(Table61011[[#This Row],[spawner_sku]])-FIND("/",Table61011[[#This Row],[spawner_sku]])),Table1[Entity Prefab],0)),10,1,1,"Entities"))</f>
        <v>70</v>
      </c>
      <c r="BU177" s="74">
        <f ca="1">ROUND((Table61011[[#This Row],[XP]]*Table61011[[#This Row],[entity_spawned (AVG)]])*(Table61011[[#This Row],[activating_chance]]/100),0)</f>
        <v>70</v>
      </c>
      <c r="BV177" s="71" t="str">
        <f ca="1">INDIRECT(ADDRESS(11+(MATCH(RIGHT(Table61011[[#This Row],[spawner_sku]],LEN(Table61011[[#This Row],[spawner_sku]])-FIND("/",Table61011[[#This Row],[spawner_sku]])),Table28[Entity Prefab],0)),24,1,1,"Entities"))</f>
        <v>yes</v>
      </c>
      <c r="BW177" s="71">
        <v>1</v>
      </c>
      <c r="BX177" s="71">
        <v>1</v>
      </c>
      <c r="BY177" s="71" t="b">
        <v>0</v>
      </c>
      <c r="BZ177" s="71"/>
      <c r="CA177" s="147" t="s">
        <v>3820</v>
      </c>
      <c r="CB177">
        <v>1</v>
      </c>
      <c r="CC177">
        <v>240</v>
      </c>
      <c r="CD177">
        <v>100</v>
      </c>
      <c r="CE177" s="74">
        <f ca="1">INDIRECT(ADDRESS(11+(MATCH(RIGHT(Table35[[#This Row],[spawner_sku]],LEN(Table35[[#This Row],[spawner_sku]])-FIND("/",Table35[[#This Row],[spawner_sku]])),Table1[Entity Prefab],0)),10,1,1,"Entities"))</f>
        <v>10</v>
      </c>
      <c r="CF177" s="74">
        <f ca="1">ROUND((Table35[[#This Row],[XP]]*Table35[[#This Row],[entity_spawned (AVG)]])*(Table35[[#This Row],[activating_chance]]/100),0)</f>
        <v>10</v>
      </c>
      <c r="CG177" s="144" t="str">
        <f ca="1">INDIRECT(ADDRESS(11+(MATCH(RIGHT(Table35[[#This Row],[spawner_sku]],LEN(Table35[[#This Row],[spawner_sku]])-FIND("/",Table35[[#This Row],[spawner_sku]])),Table28[Entity Prefab],0)),24,1,1,"Entities"))</f>
        <v>no</v>
      </c>
      <c r="CH177">
        <v>1</v>
      </c>
      <c r="CI177">
        <v>1</v>
      </c>
      <c r="CJ177" s="71" t="b">
        <v>0</v>
      </c>
      <c r="CL177" t="s">
        <v>219</v>
      </c>
      <c r="CM177">
        <v>1</v>
      </c>
      <c r="CN177">
        <v>250</v>
      </c>
      <c r="CO177">
        <v>100</v>
      </c>
      <c r="CP177" s="74">
        <f ca="1">INDIRECT(ADDRESS(11+(MATCH(RIGHT(Table11[[#This Row],[spawner_sku]],LEN(Table11[[#This Row],[spawner_sku]])-FIND("/",Table11[[#This Row],[spawner_sku]])),Table1[Entity Prefab],0)),10,1,1,"Entities"))</f>
        <v>143</v>
      </c>
      <c r="CQ177">
        <f ca="1">ROUND((Table11[[#This Row],[XP]]*Table11[[#This Row],[entity_spawned (AVG)]])*(Table11[[#This Row],[activating_chance]]/100),0)</f>
        <v>143</v>
      </c>
      <c r="CR177" s="144" t="str">
        <f ca="1">INDIRECT(ADDRESS(11+(MATCH(RIGHT(Table11[[#This Row],[spawner_sku]],LEN(Table11[[#This Row],[spawner_sku]])-FIND("/",Table11[[#This Row],[spawner_sku]])),Table28[Entity Prefab],0)),25,1,1,"Entities"))</f>
        <v>yes</v>
      </c>
      <c r="CS177" s="71">
        <v>1</v>
      </c>
      <c r="CT177" s="71">
        <v>1</v>
      </c>
      <c r="CU177" s="71" t="b">
        <v>0</v>
      </c>
      <c r="CW177" t="s">
        <v>243</v>
      </c>
      <c r="CX177">
        <v>1</v>
      </c>
      <c r="CY177">
        <v>150</v>
      </c>
      <c r="CZ177">
        <v>100</v>
      </c>
      <c r="DA177" s="74">
        <f ca="1">INDIRECT(ADDRESS(11+(MATCH(RIGHT(Table12[[#This Row],[spawner_sku]],LEN(Table12[[#This Row],[spawner_sku]])-FIND("/",Table12[[#This Row],[spawner_sku]])),Table1[Entity Prefab],0)),10,1,1,"Entities"))</f>
        <v>25</v>
      </c>
      <c r="DB177" s="74">
        <f ca="1">ROUND((Table12[[#This Row],[XP]]*Table12[[#This Row],[entity_spawned (AVG)]])*(Table12[[#This Row],[activating_chance]]/100),0)</f>
        <v>25</v>
      </c>
      <c r="DC177" s="144" t="str">
        <f ca="1">INDIRECT(ADDRESS(11+(MATCH(RIGHT(Table12[[#This Row],[spawner_sku]],LEN(Table12[[#This Row],[spawner_sku]])-FIND("/",Table12[[#This Row],[spawner_sku]])),Table28[Entity Prefab],0)),25,1,1,"Entities"))</f>
        <v>no</v>
      </c>
      <c r="DD177" s="71">
        <v>1</v>
      </c>
      <c r="DE177" s="71">
        <v>1</v>
      </c>
      <c r="DF177" s="71" t="b">
        <v>0</v>
      </c>
      <c r="DH177" t="s">
        <v>241</v>
      </c>
      <c r="DI177">
        <v>1</v>
      </c>
      <c r="DJ177">
        <v>170</v>
      </c>
      <c r="DK177">
        <v>100</v>
      </c>
      <c r="DL177" s="74">
        <f ca="1">INDIRECT(ADDRESS(11+(MATCH(RIGHT(Table13[[#This Row],[spawner_sku]],LEN(Table13[[#This Row],[spawner_sku]])-FIND("/",Table13[[#This Row],[spawner_sku]])),Table1[Entity Prefab],0)),10,1,1,"Entities"))</f>
        <v>70</v>
      </c>
      <c r="DM177" s="74">
        <f ca="1">ROUND((Table13[[#This Row],[XP]]*Table13[[#This Row],[entity_spawned (AVG)]])*(Table13[[#This Row],[activating_chance]]/100),0)</f>
        <v>70</v>
      </c>
      <c r="DN177" s="144" t="str">
        <f ca="1">INDIRECT(ADDRESS(11+(MATCH(RIGHT(Table13[[#This Row],[spawner_sku]],LEN(Table13[[#This Row],[spawner_sku]])-FIND("/",Table13[[#This Row],[spawner_sku]])),Table28[Entity Prefab],0)),25,1,1,"Entities"))</f>
        <v>yes</v>
      </c>
      <c r="DO177" s="71">
        <v>1</v>
      </c>
      <c r="DP177" s="71">
        <v>1</v>
      </c>
      <c r="DQ177" s="71" t="b">
        <v>0</v>
      </c>
      <c r="DS177" t="s">
        <v>223</v>
      </c>
      <c r="DT177">
        <v>1</v>
      </c>
      <c r="DU177">
        <v>120</v>
      </c>
      <c r="DV177">
        <v>100</v>
      </c>
      <c r="DW177" s="74">
        <f ca="1">INDIRECT(ADDRESS(11+(MATCH(RIGHT(Table14[[#This Row],[spawner_sku]],LEN(Table14[[#This Row],[spawner_sku]])-FIND("/",Table14[[#This Row],[spawner_sku]])),Table1[Entity Prefab],0)),10,1,1,"Entities"))</f>
        <v>70</v>
      </c>
      <c r="DX177" s="74">
        <f ca="1">ROUND((Table14[[#This Row],[XP]]*Table14[[#This Row],[entity_spawned (AVG)]])*(Table14[[#This Row],[activating_chance]]/100),0)</f>
        <v>70</v>
      </c>
      <c r="DY177" s="144" t="str">
        <f ca="1">INDIRECT(ADDRESS(11+(MATCH(RIGHT(Table14[[#This Row],[spawner_sku]],LEN(Table14[[#This Row],[spawner_sku]])-FIND("/",Table14[[#This Row],[spawner_sku]])),Table28[Entity Prefab],0)),25,1,1,"Entities"))</f>
        <v>no</v>
      </c>
      <c r="DZ177" s="71">
        <v>1</v>
      </c>
      <c r="EA177" s="71">
        <v>1</v>
      </c>
      <c r="EB177" s="71" t="b">
        <v>0</v>
      </c>
      <c r="EC177" s="71"/>
      <c r="EO177" t="s">
        <v>3832</v>
      </c>
      <c r="EP177">
        <v>1</v>
      </c>
      <c r="EQ177">
        <v>150</v>
      </c>
      <c r="ER177">
        <v>100</v>
      </c>
      <c r="ES177" s="74">
        <f ca="1">INDIRECT(ADDRESS(11+(MATCH(RIGHT(Table18[[#This Row],[spawner_sku]],LEN(Table18[[#This Row],[spawner_sku]])-FIND("/",Table18[[#This Row],[spawner_sku]])),Table1[Entity Prefab],0)),10,1,1,"Entities"))</f>
        <v>50</v>
      </c>
      <c r="ET177" s="74">
        <f ca="1">ROUND((Table18[[#This Row],[XP]]*Table18[[#This Row],[entity_spawned (AVG)]])*(Table18[[#This Row],[activating_chance]]/100),0)</f>
        <v>50</v>
      </c>
      <c r="EU177" s="74" t="str">
        <f ca="1">INDIRECT(ADDRESS(11+(MATCH(RIGHT(Table18[[#This Row],[spawner_sku]],LEN(Table18[[#This Row],[spawner_sku]])-FIND("/",Table18[[#This Row],[spawner_sku]])),Table28[Entity Prefab],0)),26,1,1,"Entities"))</f>
        <v>no</v>
      </c>
      <c r="EV177">
        <v>1</v>
      </c>
      <c r="EW177">
        <v>1</v>
      </c>
      <c r="EX177" t="b">
        <v>0</v>
      </c>
      <c r="EZ177" t="s">
        <v>583</v>
      </c>
      <c r="FA177">
        <v>1.5</v>
      </c>
      <c r="FB177">
        <v>120</v>
      </c>
      <c r="FC177">
        <v>100</v>
      </c>
      <c r="FD177" s="74">
        <f ca="1">INDIRECT(ADDRESS(11+(MATCH(RIGHT(Table1820[[#This Row],[spawner_sku]],LEN(Table1820[[#This Row],[spawner_sku]])-FIND("/",Table1820[[#This Row],[spawner_sku]])),Table1[Entity Prefab],0)),10,1,1,"Entities"))</f>
        <v>48</v>
      </c>
      <c r="FE177" s="74">
        <f ca="1">ROUND((Table1820[[#This Row],[XP]]*Table1820[[#This Row],[entity_spawned (AVG)]])*(Table1820[[#This Row],[activating_chance]]/100),0)</f>
        <v>72</v>
      </c>
      <c r="FF177" s="74" t="str">
        <f ca="1">INDIRECT(ADDRESS(11+(MATCH(RIGHT(Table1820[[#This Row],[spawner_sku]],LEN(Table1820[[#This Row],[spawner_sku]])-FIND("/",Table1820[[#This Row],[spawner_sku]])),Table28[Entity Prefab],0)),26,1,1,"Entities"))</f>
        <v>no</v>
      </c>
      <c r="FG177">
        <v>1</v>
      </c>
      <c r="FH177">
        <v>2</v>
      </c>
      <c r="FI177" t="b">
        <v>0</v>
      </c>
      <c r="FV177" t="s">
        <v>2690</v>
      </c>
      <c r="FW177">
        <v>2</v>
      </c>
      <c r="FX177">
        <v>80</v>
      </c>
      <c r="FY177">
        <v>80</v>
      </c>
      <c r="FZ177" s="74">
        <f ca="1">INDIRECT(ADDRESS(11+(MATCH(RIGHT(Table18202324[[#This Row],[spawner_sku]],LEN(Table18202324[[#This Row],[spawner_sku]])-FIND("/",Table18202324[[#This Row],[spawner_sku]])),Table1[Entity Prefab],0)),10,1,1,"Entities"))</f>
        <v>25</v>
      </c>
      <c r="GA177" s="74">
        <f ca="1">ROUND((Table18202324[[#This Row],[XP]]*Table18202324[[#This Row],[entity_spawned (AVG)]])*(Table18202324[[#This Row],[activating_chance]]/100),0)</f>
        <v>40</v>
      </c>
      <c r="GB177" s="74" t="str">
        <f ca="1">INDIRECT(ADDRESS(11+(MATCH(RIGHT(Table18202324[[#This Row],[spawner_sku]],LEN(Table18202324[[#This Row],[spawner_sku]])-FIND("/",Table18202324[[#This Row],[spawner_sku]])),Table28[Entity Prefab],0)),26,1,1,"Entities"))</f>
        <v>no</v>
      </c>
      <c r="GC177">
        <v>1</v>
      </c>
      <c r="GD177">
        <v>3</v>
      </c>
      <c r="GE177" t="b">
        <v>0</v>
      </c>
    </row>
    <row r="178" spans="2:187" x14ac:dyDescent="0.25">
      <c r="B178" s="72" t="s">
        <v>217</v>
      </c>
      <c r="C178">
        <v>3</v>
      </c>
      <c r="D178">
        <v>110</v>
      </c>
      <c r="E178">
        <v>60</v>
      </c>
      <c r="F178" s="74">
        <f ca="1">INDIRECT(ADDRESS(11+(MATCH(RIGHT(Table245[[#This Row],[spawner_sku]],LEN(Table245[[#This Row],[spawner_sku]])-FIND("/",Table245[[#This Row],[spawner_sku]])),Table1[Entity Prefab],0)),10,1,1,"Entities"))</f>
        <v>25</v>
      </c>
      <c r="G178" s="74">
        <f ca="1">ROUND((Table245[[#This Row],[XP]]*Table245[[#This Row],[entity_spawned (AVG)]])*(Table245[[#This Row],[activating_chance]]/100),0)</f>
        <v>45</v>
      </c>
      <c r="H178" s="71" t="str">
        <f ca="1">INDIRECT(ADDRESS(11+(MATCH(RIGHT(Table245[[#This Row],[spawner_sku]],LEN(Table245[[#This Row],[spawner_sku]])-FIND("/",Table245[[#This Row],[spawner_sku]])),Table28[Entity Prefab],0)),24,1,1,"Entities"))</f>
        <v>no</v>
      </c>
      <c r="I178" s="71">
        <v>2</v>
      </c>
      <c r="J178" s="71">
        <v>4</v>
      </c>
      <c r="K178" s="71" t="b">
        <v>0</v>
      </c>
      <c r="M178" t="s">
        <v>372</v>
      </c>
      <c r="N178">
        <v>3</v>
      </c>
      <c r="O178">
        <v>80</v>
      </c>
      <c r="P178">
        <v>30</v>
      </c>
      <c r="Q178" s="74">
        <f ca="1">INDIRECT(ADDRESS(11+(MATCH(RIGHT(Table3[[#This Row],[spawner_sku]],LEN(Table3[[#This Row],[spawner_sku]])-FIND("/",Table3[[#This Row],[spawner_sku]])),Table1[Entity Prefab],0)),10,1,1,"Entities"))</f>
        <v>25</v>
      </c>
      <c r="R178" s="74">
        <f ca="1">ROUND((Table3[[#This Row],[XP]]*Table3[[#This Row],[entity_spawned (AVG)]])*(Table3[[#This Row],[activating_chance]]/100),0)</f>
        <v>23</v>
      </c>
      <c r="S178" t="str">
        <f ca="1">INDIRECT(ADDRESS(11+(MATCH(RIGHT(Table3[[#This Row],[spawner_sku]],LEN(Table3[[#This Row],[spawner_sku]])-FIND("/",Table3[[#This Row],[spawner_sku]])),Table28[Entity Prefab],0)),24,1,1,"Entities"))</f>
        <v>no</v>
      </c>
      <c r="T178">
        <v>2</v>
      </c>
      <c r="U178">
        <v>4</v>
      </c>
      <c r="V178" t="b">
        <v>0</v>
      </c>
      <c r="AI178" t="s">
        <v>227</v>
      </c>
      <c r="AJ178">
        <v>1</v>
      </c>
      <c r="AK178">
        <v>2000</v>
      </c>
      <c r="AL178">
        <v>100</v>
      </c>
      <c r="AM178" s="74">
        <f ca="1">INDIRECT(ADDRESS(11+(MATCH(RIGHT(Table2[[#This Row],[spawner_sku]],LEN(Table2[[#This Row],[spawner_sku]])-FIND("/",Table2[[#This Row],[spawner_sku]])),Table1[Entity Prefab],0)),10,1,1,"Entities"))</f>
        <v>175</v>
      </c>
      <c r="AN178" s="74">
        <f ca="1">ROUND((Table2[[#This Row],[XP]]*Table2[[#This Row],[entity_spawned (AVG)]])*(Table2[[#This Row],[activating_chance]]/100),0)</f>
        <v>175</v>
      </c>
      <c r="AO178" s="71" t="str">
        <f ca="1">INDIRECT(ADDRESS(11+(MATCH(RIGHT(Table2[[#This Row],[spawner_sku]],LEN(Table2[[#This Row],[spawner_sku]])-FIND("/",Table2[[#This Row],[spawner_sku]])),Table28[Entity Prefab],0)),24,1,1,"Entities"))</f>
        <v>yes</v>
      </c>
      <c r="AP178" s="71">
        <v>1</v>
      </c>
      <c r="AQ178" s="71">
        <v>1</v>
      </c>
      <c r="AR178" s="71" t="b">
        <v>0</v>
      </c>
      <c r="BE178" t="s">
        <v>377</v>
      </c>
      <c r="BF178">
        <v>1</v>
      </c>
      <c r="BG178">
        <v>150</v>
      </c>
      <c r="BH178">
        <v>100</v>
      </c>
      <c r="BI178" s="74">
        <f ca="1">INDIRECT(ADDRESS(11+(MATCH(RIGHT(Table610[[#This Row],[spawner_sku]],LEN(Table610[[#This Row],[spawner_sku]])-FIND("/",Table610[[#This Row],[spawner_sku]])),Table1[Entity Prefab],0)),10,1,1,"Entities"))</f>
        <v>25</v>
      </c>
      <c r="BJ178" s="74">
        <f ca="1">ROUND((Table610[[#This Row],[XP]]*Table610[[#This Row],[entity_spawned (AVG)]])*(Table610[[#This Row],[activating_chance]]/100),0)</f>
        <v>25</v>
      </c>
      <c r="BK178" s="71" t="str">
        <f ca="1">INDIRECT(ADDRESS(11+(MATCH(RIGHT(Table610[[#This Row],[spawner_sku]],LEN(Table610[[#This Row],[spawner_sku]])-FIND("/",Table610[[#This Row],[spawner_sku]])),Table28[Entity Prefab],0)),24,1,1,"Entities"))</f>
        <v>no</v>
      </c>
      <c r="BL178">
        <v>1</v>
      </c>
      <c r="BM178">
        <v>1</v>
      </c>
      <c r="BN178" t="b">
        <v>0</v>
      </c>
      <c r="BP178" t="s">
        <v>223</v>
      </c>
      <c r="BQ178">
        <v>3</v>
      </c>
      <c r="BR178">
        <v>200</v>
      </c>
      <c r="BS178">
        <v>100</v>
      </c>
      <c r="BT178" s="74">
        <f ca="1">INDIRECT(ADDRESS(11+(MATCH(RIGHT(Table61011[[#This Row],[spawner_sku]],LEN(Table61011[[#This Row],[spawner_sku]])-FIND("/",Table61011[[#This Row],[spawner_sku]])),Table1[Entity Prefab],0)),10,1,1,"Entities"))</f>
        <v>70</v>
      </c>
      <c r="BU178" s="74">
        <f ca="1">ROUND((Table61011[[#This Row],[XP]]*Table61011[[#This Row],[entity_spawned (AVG)]])*(Table61011[[#This Row],[activating_chance]]/100),0)</f>
        <v>210</v>
      </c>
      <c r="BV178" s="71" t="str">
        <f ca="1">INDIRECT(ADDRESS(11+(MATCH(RIGHT(Table61011[[#This Row],[spawner_sku]],LEN(Table61011[[#This Row],[spawner_sku]])-FIND("/",Table61011[[#This Row],[spawner_sku]])),Table28[Entity Prefab],0)),24,1,1,"Entities"))</f>
        <v>yes</v>
      </c>
      <c r="BW178" s="71">
        <v>3</v>
      </c>
      <c r="BX178" s="71">
        <v>3</v>
      </c>
      <c r="BY178" s="71" t="b">
        <v>0</v>
      </c>
      <c r="BZ178" s="71"/>
      <c r="CA178" s="147" t="s">
        <v>3820</v>
      </c>
      <c r="CB178">
        <v>1</v>
      </c>
      <c r="CC178">
        <v>240</v>
      </c>
      <c r="CD178">
        <v>100</v>
      </c>
      <c r="CE178" s="74">
        <f ca="1">INDIRECT(ADDRESS(11+(MATCH(RIGHT(Table35[[#This Row],[spawner_sku]],LEN(Table35[[#This Row],[spawner_sku]])-FIND("/",Table35[[#This Row],[spawner_sku]])),Table1[Entity Prefab],0)),10,1,1,"Entities"))</f>
        <v>10</v>
      </c>
      <c r="CF178" s="74">
        <f ca="1">ROUND((Table35[[#This Row],[XP]]*Table35[[#This Row],[entity_spawned (AVG)]])*(Table35[[#This Row],[activating_chance]]/100),0)</f>
        <v>10</v>
      </c>
      <c r="CG178" s="144" t="str">
        <f ca="1">INDIRECT(ADDRESS(11+(MATCH(RIGHT(Table35[[#This Row],[spawner_sku]],LEN(Table35[[#This Row],[spawner_sku]])-FIND("/",Table35[[#This Row],[spawner_sku]])),Table28[Entity Prefab],0)),24,1,1,"Entities"))</f>
        <v>no</v>
      </c>
      <c r="CH178">
        <v>1</v>
      </c>
      <c r="CI178">
        <v>1</v>
      </c>
      <c r="CJ178" s="71" t="b">
        <v>0</v>
      </c>
      <c r="CL178" t="s">
        <v>219</v>
      </c>
      <c r="CM178">
        <v>1</v>
      </c>
      <c r="CN178">
        <v>250</v>
      </c>
      <c r="CO178">
        <v>100</v>
      </c>
      <c r="CP178" s="74">
        <f ca="1">INDIRECT(ADDRESS(11+(MATCH(RIGHT(Table11[[#This Row],[spawner_sku]],LEN(Table11[[#This Row],[spawner_sku]])-FIND("/",Table11[[#This Row],[spawner_sku]])),Table1[Entity Prefab],0)),10,1,1,"Entities"))</f>
        <v>143</v>
      </c>
      <c r="CQ178">
        <f ca="1">ROUND((Table11[[#This Row],[XP]]*Table11[[#This Row],[entity_spawned (AVG)]])*(Table11[[#This Row],[activating_chance]]/100),0)</f>
        <v>143</v>
      </c>
      <c r="CR178" s="144" t="str">
        <f ca="1">INDIRECT(ADDRESS(11+(MATCH(RIGHT(Table11[[#This Row],[spawner_sku]],LEN(Table11[[#This Row],[spawner_sku]])-FIND("/",Table11[[#This Row],[spawner_sku]])),Table28[Entity Prefab],0)),25,1,1,"Entities"))</f>
        <v>yes</v>
      </c>
      <c r="CS178" s="71">
        <v>1</v>
      </c>
      <c r="CT178" s="71">
        <v>1</v>
      </c>
      <c r="CU178" s="71" t="b">
        <v>0</v>
      </c>
      <c r="CW178" t="s">
        <v>243</v>
      </c>
      <c r="CX178">
        <v>1</v>
      </c>
      <c r="CY178">
        <v>150</v>
      </c>
      <c r="CZ178">
        <v>100</v>
      </c>
      <c r="DA178" s="74">
        <f ca="1">INDIRECT(ADDRESS(11+(MATCH(RIGHT(Table12[[#This Row],[spawner_sku]],LEN(Table12[[#This Row],[spawner_sku]])-FIND("/",Table12[[#This Row],[spawner_sku]])),Table1[Entity Prefab],0)),10,1,1,"Entities"))</f>
        <v>25</v>
      </c>
      <c r="DB178" s="74">
        <f ca="1">ROUND((Table12[[#This Row],[XP]]*Table12[[#This Row],[entity_spawned (AVG)]])*(Table12[[#This Row],[activating_chance]]/100),0)</f>
        <v>25</v>
      </c>
      <c r="DC178" s="144" t="str">
        <f ca="1">INDIRECT(ADDRESS(11+(MATCH(RIGHT(Table12[[#This Row],[spawner_sku]],LEN(Table12[[#This Row],[spawner_sku]])-FIND("/",Table12[[#This Row],[spawner_sku]])),Table28[Entity Prefab],0)),25,1,1,"Entities"))</f>
        <v>no</v>
      </c>
      <c r="DD178" s="71">
        <v>1</v>
      </c>
      <c r="DE178" s="71">
        <v>1</v>
      </c>
      <c r="DF178" s="71" t="b">
        <v>0</v>
      </c>
      <c r="DH178" t="s">
        <v>241</v>
      </c>
      <c r="DI178">
        <v>1</v>
      </c>
      <c r="DJ178">
        <v>170</v>
      </c>
      <c r="DK178">
        <v>100</v>
      </c>
      <c r="DL178" s="74">
        <f ca="1">INDIRECT(ADDRESS(11+(MATCH(RIGHT(Table13[[#This Row],[spawner_sku]],LEN(Table13[[#This Row],[spawner_sku]])-FIND("/",Table13[[#This Row],[spawner_sku]])),Table1[Entity Prefab],0)),10,1,1,"Entities"))</f>
        <v>70</v>
      </c>
      <c r="DM178" s="74">
        <f ca="1">ROUND((Table13[[#This Row],[XP]]*Table13[[#This Row],[entity_spawned (AVG)]])*(Table13[[#This Row],[activating_chance]]/100),0)</f>
        <v>70</v>
      </c>
      <c r="DN178" s="144" t="str">
        <f ca="1">INDIRECT(ADDRESS(11+(MATCH(RIGHT(Table13[[#This Row],[spawner_sku]],LEN(Table13[[#This Row],[spawner_sku]])-FIND("/",Table13[[#This Row],[spawner_sku]])),Table28[Entity Prefab],0)),25,1,1,"Entities"))</f>
        <v>yes</v>
      </c>
      <c r="DO178" s="71">
        <v>1</v>
      </c>
      <c r="DP178" s="71">
        <v>1</v>
      </c>
      <c r="DQ178" s="71" t="b">
        <v>0</v>
      </c>
      <c r="DS178" t="s">
        <v>223</v>
      </c>
      <c r="DT178">
        <v>1.5</v>
      </c>
      <c r="DU178">
        <v>120</v>
      </c>
      <c r="DV178">
        <v>100</v>
      </c>
      <c r="DW178" s="74">
        <f ca="1">INDIRECT(ADDRESS(11+(MATCH(RIGHT(Table14[[#This Row],[spawner_sku]],LEN(Table14[[#This Row],[spawner_sku]])-FIND("/",Table14[[#This Row],[spawner_sku]])),Table1[Entity Prefab],0)),10,1,1,"Entities"))</f>
        <v>70</v>
      </c>
      <c r="DX178" s="74">
        <f ca="1">ROUND((Table14[[#This Row],[XP]]*Table14[[#This Row],[entity_spawned (AVG)]])*(Table14[[#This Row],[activating_chance]]/100),0)</f>
        <v>105</v>
      </c>
      <c r="DY178" s="144" t="str">
        <f ca="1">INDIRECT(ADDRESS(11+(MATCH(RIGHT(Table14[[#This Row],[spawner_sku]],LEN(Table14[[#This Row],[spawner_sku]])-FIND("/",Table14[[#This Row],[spawner_sku]])),Table28[Entity Prefab],0)),25,1,1,"Entities"))</f>
        <v>no</v>
      </c>
      <c r="DZ178" s="71">
        <v>1</v>
      </c>
      <c r="EA178" s="71">
        <v>2</v>
      </c>
      <c r="EB178" s="71" t="b">
        <v>0</v>
      </c>
      <c r="EC178" s="71"/>
      <c r="EO178" t="s">
        <v>3832</v>
      </c>
      <c r="EP178">
        <v>1</v>
      </c>
      <c r="EQ178">
        <v>150</v>
      </c>
      <c r="ER178">
        <v>100</v>
      </c>
      <c r="ES178" s="74">
        <f ca="1">INDIRECT(ADDRESS(11+(MATCH(RIGHT(Table18[[#This Row],[spawner_sku]],LEN(Table18[[#This Row],[spawner_sku]])-FIND("/",Table18[[#This Row],[spawner_sku]])),Table1[Entity Prefab],0)),10,1,1,"Entities"))</f>
        <v>50</v>
      </c>
      <c r="ET178" s="74">
        <f ca="1">ROUND((Table18[[#This Row],[XP]]*Table18[[#This Row],[entity_spawned (AVG)]])*(Table18[[#This Row],[activating_chance]]/100),0)</f>
        <v>50</v>
      </c>
      <c r="EU178" s="74" t="str">
        <f ca="1">INDIRECT(ADDRESS(11+(MATCH(RIGHT(Table18[[#This Row],[spawner_sku]],LEN(Table18[[#This Row],[spawner_sku]])-FIND("/",Table18[[#This Row],[spawner_sku]])),Table28[Entity Prefab],0)),26,1,1,"Entities"))</f>
        <v>no</v>
      </c>
      <c r="EV178">
        <v>1</v>
      </c>
      <c r="EW178">
        <v>1</v>
      </c>
      <c r="EX178" t="b">
        <v>0</v>
      </c>
      <c r="EZ178" t="s">
        <v>583</v>
      </c>
      <c r="FA178">
        <v>1</v>
      </c>
      <c r="FB178">
        <v>120</v>
      </c>
      <c r="FC178">
        <v>80</v>
      </c>
      <c r="FD178" s="74">
        <f ca="1">INDIRECT(ADDRESS(11+(MATCH(RIGHT(Table1820[[#This Row],[spawner_sku]],LEN(Table1820[[#This Row],[spawner_sku]])-FIND("/",Table1820[[#This Row],[spawner_sku]])),Table1[Entity Prefab],0)),10,1,1,"Entities"))</f>
        <v>48</v>
      </c>
      <c r="FE178" s="74">
        <f ca="1">ROUND((Table1820[[#This Row],[XP]]*Table1820[[#This Row],[entity_spawned (AVG)]])*(Table1820[[#This Row],[activating_chance]]/100),0)</f>
        <v>38</v>
      </c>
      <c r="FF178" s="74" t="str">
        <f ca="1">INDIRECT(ADDRESS(11+(MATCH(RIGHT(Table1820[[#This Row],[spawner_sku]],LEN(Table1820[[#This Row],[spawner_sku]])-FIND("/",Table1820[[#This Row],[spawner_sku]])),Table28[Entity Prefab],0)),26,1,1,"Entities"))</f>
        <v>no</v>
      </c>
      <c r="FG178">
        <v>1</v>
      </c>
      <c r="FH178">
        <v>1</v>
      </c>
      <c r="FI178" t="b">
        <v>0</v>
      </c>
      <c r="FV178" t="s">
        <v>2690</v>
      </c>
      <c r="FW178">
        <v>3</v>
      </c>
      <c r="FX178">
        <v>70</v>
      </c>
      <c r="FY178">
        <v>100</v>
      </c>
      <c r="FZ178" s="74">
        <f ca="1">INDIRECT(ADDRESS(11+(MATCH(RIGHT(Table18202324[[#This Row],[spawner_sku]],LEN(Table18202324[[#This Row],[spawner_sku]])-FIND("/",Table18202324[[#This Row],[spawner_sku]])),Table1[Entity Prefab],0)),10,1,1,"Entities"))</f>
        <v>25</v>
      </c>
      <c r="GA178" s="74">
        <f ca="1">ROUND((Table18202324[[#This Row],[XP]]*Table18202324[[#This Row],[entity_spawned (AVG)]])*(Table18202324[[#This Row],[activating_chance]]/100),0)</f>
        <v>75</v>
      </c>
      <c r="GB178" s="74" t="str">
        <f ca="1">INDIRECT(ADDRESS(11+(MATCH(RIGHT(Table18202324[[#This Row],[spawner_sku]],LEN(Table18202324[[#This Row],[spawner_sku]])-FIND("/",Table18202324[[#This Row],[spawner_sku]])),Table28[Entity Prefab],0)),26,1,1,"Entities"))</f>
        <v>no</v>
      </c>
      <c r="GC178">
        <v>2</v>
      </c>
      <c r="GD178">
        <v>4</v>
      </c>
      <c r="GE178" t="b">
        <v>0</v>
      </c>
    </row>
    <row r="179" spans="2:187" x14ac:dyDescent="0.25">
      <c r="B179" s="72" t="s">
        <v>217</v>
      </c>
      <c r="C179">
        <v>3</v>
      </c>
      <c r="D179">
        <v>140</v>
      </c>
      <c r="E179">
        <v>100</v>
      </c>
      <c r="F179" s="74">
        <f ca="1">INDIRECT(ADDRESS(11+(MATCH(RIGHT(Table245[[#This Row],[spawner_sku]],LEN(Table245[[#This Row],[spawner_sku]])-FIND("/",Table245[[#This Row],[spawner_sku]])),Table1[Entity Prefab],0)),10,1,1,"Entities"))</f>
        <v>25</v>
      </c>
      <c r="G179" s="74">
        <f ca="1">ROUND((Table245[[#This Row],[XP]]*Table245[[#This Row],[entity_spawned (AVG)]])*(Table245[[#This Row],[activating_chance]]/100),0)</f>
        <v>75</v>
      </c>
      <c r="H179" s="71" t="str">
        <f ca="1">INDIRECT(ADDRESS(11+(MATCH(RIGHT(Table245[[#This Row],[spawner_sku]],LEN(Table245[[#This Row],[spawner_sku]])-FIND("/",Table245[[#This Row],[spawner_sku]])),Table28[Entity Prefab],0)),24,1,1,"Entities"))</f>
        <v>no</v>
      </c>
      <c r="I179" s="71">
        <v>2</v>
      </c>
      <c r="J179" s="71">
        <v>4</v>
      </c>
      <c r="K179" s="71" t="b">
        <v>0</v>
      </c>
      <c r="M179" t="s">
        <v>230</v>
      </c>
      <c r="N179">
        <v>1</v>
      </c>
      <c r="O179">
        <v>120</v>
      </c>
      <c r="P179">
        <v>100</v>
      </c>
      <c r="Q179" s="74">
        <f ca="1">INDIRECT(ADDRESS(11+(MATCH(RIGHT(Table3[[#This Row],[spawner_sku]],LEN(Table3[[#This Row],[spawner_sku]])-FIND("/",Table3[[#This Row],[spawner_sku]])),Table1[Entity Prefab],0)),10,1,1,"Entities"))</f>
        <v>28</v>
      </c>
      <c r="R179" s="74">
        <f ca="1">ROUND((Table3[[#This Row],[XP]]*Table3[[#This Row],[entity_spawned (AVG)]])*(Table3[[#This Row],[activating_chance]]/100),0)</f>
        <v>28</v>
      </c>
      <c r="S179" t="str">
        <f ca="1">INDIRECT(ADDRESS(11+(MATCH(RIGHT(Table3[[#This Row],[spawner_sku]],LEN(Table3[[#This Row],[spawner_sku]])-FIND("/",Table3[[#This Row],[spawner_sku]])),Table28[Entity Prefab],0)),24,1,1,"Entities"))</f>
        <v>no</v>
      </c>
      <c r="T179">
        <v>1</v>
      </c>
      <c r="U179">
        <v>1</v>
      </c>
      <c r="V179" t="b">
        <v>0</v>
      </c>
      <c r="AI179" t="s">
        <v>227</v>
      </c>
      <c r="AJ179">
        <v>1</v>
      </c>
      <c r="AK179">
        <v>2000</v>
      </c>
      <c r="AL179">
        <v>100</v>
      </c>
      <c r="AM179" s="74">
        <f ca="1">INDIRECT(ADDRESS(11+(MATCH(RIGHT(Table2[[#This Row],[spawner_sku]],LEN(Table2[[#This Row],[spawner_sku]])-FIND("/",Table2[[#This Row],[spawner_sku]])),Table1[Entity Prefab],0)),10,1,1,"Entities"))</f>
        <v>175</v>
      </c>
      <c r="AN179" s="74">
        <f ca="1">ROUND((Table2[[#This Row],[XP]]*Table2[[#This Row],[entity_spawned (AVG)]])*(Table2[[#This Row],[activating_chance]]/100),0)</f>
        <v>175</v>
      </c>
      <c r="AO179" s="71" t="str">
        <f ca="1">INDIRECT(ADDRESS(11+(MATCH(RIGHT(Table2[[#This Row],[spawner_sku]],LEN(Table2[[#This Row],[spawner_sku]])-FIND("/",Table2[[#This Row],[spawner_sku]])),Table28[Entity Prefab],0)),24,1,1,"Entities"))</f>
        <v>yes</v>
      </c>
      <c r="AP179" s="71">
        <v>1</v>
      </c>
      <c r="AQ179" s="71">
        <v>1</v>
      </c>
      <c r="AR179" s="71" t="b">
        <v>0</v>
      </c>
      <c r="BE179" t="s">
        <v>377</v>
      </c>
      <c r="BF179">
        <v>1</v>
      </c>
      <c r="BG179">
        <v>90</v>
      </c>
      <c r="BH179">
        <v>50</v>
      </c>
      <c r="BI179" s="74">
        <f ca="1">INDIRECT(ADDRESS(11+(MATCH(RIGHT(Table610[[#This Row],[spawner_sku]],LEN(Table610[[#This Row],[spawner_sku]])-FIND("/",Table610[[#This Row],[spawner_sku]])),Table1[Entity Prefab],0)),10,1,1,"Entities"))</f>
        <v>25</v>
      </c>
      <c r="BJ179" s="74">
        <f ca="1">ROUND((Table610[[#This Row],[XP]]*Table610[[#This Row],[entity_spawned (AVG)]])*(Table610[[#This Row],[activating_chance]]/100),0)</f>
        <v>13</v>
      </c>
      <c r="BK179" s="71" t="str">
        <f ca="1">INDIRECT(ADDRESS(11+(MATCH(RIGHT(Table610[[#This Row],[spawner_sku]],LEN(Table610[[#This Row],[spawner_sku]])-FIND("/",Table610[[#This Row],[spawner_sku]])),Table28[Entity Prefab],0)),24,1,1,"Entities"))</f>
        <v>no</v>
      </c>
      <c r="BL179">
        <v>1</v>
      </c>
      <c r="BM179">
        <v>1</v>
      </c>
      <c r="BN179" t="b">
        <v>0</v>
      </c>
      <c r="BP179" t="s">
        <v>223</v>
      </c>
      <c r="BQ179">
        <v>1</v>
      </c>
      <c r="BR179">
        <v>190</v>
      </c>
      <c r="BS179">
        <v>100</v>
      </c>
      <c r="BT179" s="74">
        <f ca="1">INDIRECT(ADDRESS(11+(MATCH(RIGHT(Table61011[[#This Row],[spawner_sku]],LEN(Table61011[[#This Row],[spawner_sku]])-FIND("/",Table61011[[#This Row],[spawner_sku]])),Table1[Entity Prefab],0)),10,1,1,"Entities"))</f>
        <v>70</v>
      </c>
      <c r="BU179" s="74">
        <f ca="1">ROUND((Table61011[[#This Row],[XP]]*Table61011[[#This Row],[entity_spawned (AVG)]])*(Table61011[[#This Row],[activating_chance]]/100),0)</f>
        <v>70</v>
      </c>
      <c r="BV179" s="71" t="str">
        <f ca="1">INDIRECT(ADDRESS(11+(MATCH(RIGHT(Table61011[[#This Row],[spawner_sku]],LEN(Table61011[[#This Row],[spawner_sku]])-FIND("/",Table61011[[#This Row],[spawner_sku]])),Table28[Entity Prefab],0)),24,1,1,"Entities"))</f>
        <v>yes</v>
      </c>
      <c r="BW179" s="71">
        <v>1</v>
      </c>
      <c r="BX179" s="71">
        <v>1</v>
      </c>
      <c r="BY179" s="71" t="b">
        <v>0</v>
      </c>
      <c r="BZ179" s="71"/>
      <c r="CA179" s="147" t="s">
        <v>3820</v>
      </c>
      <c r="CB179">
        <v>1</v>
      </c>
      <c r="CC179">
        <v>240</v>
      </c>
      <c r="CD179">
        <v>100</v>
      </c>
      <c r="CE179" s="74">
        <f ca="1">INDIRECT(ADDRESS(11+(MATCH(RIGHT(Table35[[#This Row],[spawner_sku]],LEN(Table35[[#This Row],[spawner_sku]])-FIND("/",Table35[[#This Row],[spawner_sku]])),Table1[Entity Prefab],0)),10,1,1,"Entities"))</f>
        <v>10</v>
      </c>
      <c r="CF179" s="74">
        <f ca="1">ROUND((Table35[[#This Row],[XP]]*Table35[[#This Row],[entity_spawned (AVG)]])*(Table35[[#This Row],[activating_chance]]/100),0)</f>
        <v>10</v>
      </c>
      <c r="CG179" s="144" t="str">
        <f ca="1">INDIRECT(ADDRESS(11+(MATCH(RIGHT(Table35[[#This Row],[spawner_sku]],LEN(Table35[[#This Row],[spawner_sku]])-FIND("/",Table35[[#This Row],[spawner_sku]])),Table28[Entity Prefab],0)),24,1,1,"Entities"))</f>
        <v>no</v>
      </c>
      <c r="CH179">
        <v>1</v>
      </c>
      <c r="CI179">
        <v>1</v>
      </c>
      <c r="CJ179" s="71" t="b">
        <v>0</v>
      </c>
      <c r="CL179" t="s">
        <v>220</v>
      </c>
      <c r="CM179">
        <v>1</v>
      </c>
      <c r="CN179">
        <v>300</v>
      </c>
      <c r="CO179">
        <v>100</v>
      </c>
      <c r="CP179" s="74">
        <f ca="1">INDIRECT(ADDRESS(11+(MATCH(RIGHT(Table11[[#This Row],[spawner_sku]],LEN(Table11[[#This Row],[spawner_sku]])-FIND("/",Table11[[#This Row],[spawner_sku]])),Table1[Entity Prefab],0)),10,1,1,"Entities"))</f>
        <v>195</v>
      </c>
      <c r="CQ179">
        <f ca="1">ROUND((Table11[[#This Row],[XP]]*Table11[[#This Row],[entity_spawned (AVG)]])*(Table11[[#This Row],[activating_chance]]/100),0)</f>
        <v>195</v>
      </c>
      <c r="CR179" s="144" t="str">
        <f ca="1">INDIRECT(ADDRESS(11+(MATCH(RIGHT(Table11[[#This Row],[spawner_sku]],LEN(Table11[[#This Row],[spawner_sku]])-FIND("/",Table11[[#This Row],[spawner_sku]])),Table28[Entity Prefab],0)),25,1,1,"Entities"))</f>
        <v>yes</v>
      </c>
      <c r="CS179" s="71">
        <v>1</v>
      </c>
      <c r="CT179" s="71">
        <v>1</v>
      </c>
      <c r="CU179" s="71" t="b">
        <v>0</v>
      </c>
      <c r="CW179" t="s">
        <v>243</v>
      </c>
      <c r="CX179">
        <v>1</v>
      </c>
      <c r="CY179">
        <v>150</v>
      </c>
      <c r="CZ179">
        <v>30</v>
      </c>
      <c r="DA179" s="74">
        <f ca="1">INDIRECT(ADDRESS(11+(MATCH(RIGHT(Table12[[#This Row],[spawner_sku]],LEN(Table12[[#This Row],[spawner_sku]])-FIND("/",Table12[[#This Row],[spawner_sku]])),Table1[Entity Prefab],0)),10,1,1,"Entities"))</f>
        <v>25</v>
      </c>
      <c r="DB179" s="74">
        <f ca="1">ROUND((Table12[[#This Row],[XP]]*Table12[[#This Row],[entity_spawned (AVG)]])*(Table12[[#This Row],[activating_chance]]/100),0)</f>
        <v>8</v>
      </c>
      <c r="DC179" s="144" t="str">
        <f ca="1">INDIRECT(ADDRESS(11+(MATCH(RIGHT(Table12[[#This Row],[spawner_sku]],LEN(Table12[[#This Row],[spawner_sku]])-FIND("/",Table12[[#This Row],[spawner_sku]])),Table28[Entity Prefab],0)),25,1,1,"Entities"))</f>
        <v>no</v>
      </c>
      <c r="DD179" s="71">
        <v>1</v>
      </c>
      <c r="DE179" s="71">
        <v>1</v>
      </c>
      <c r="DF179" s="71" t="b">
        <v>0</v>
      </c>
      <c r="DH179" t="s">
        <v>241</v>
      </c>
      <c r="DI179">
        <v>1</v>
      </c>
      <c r="DJ179">
        <v>170</v>
      </c>
      <c r="DK179">
        <v>100</v>
      </c>
      <c r="DL179" s="74">
        <f ca="1">INDIRECT(ADDRESS(11+(MATCH(RIGHT(Table13[[#This Row],[spawner_sku]],LEN(Table13[[#This Row],[spawner_sku]])-FIND("/",Table13[[#This Row],[spawner_sku]])),Table1[Entity Prefab],0)),10,1,1,"Entities"))</f>
        <v>70</v>
      </c>
      <c r="DM179" s="74">
        <f ca="1">ROUND((Table13[[#This Row],[XP]]*Table13[[#This Row],[entity_spawned (AVG)]])*(Table13[[#This Row],[activating_chance]]/100),0)</f>
        <v>70</v>
      </c>
      <c r="DN179" s="144" t="str">
        <f ca="1">INDIRECT(ADDRESS(11+(MATCH(RIGHT(Table13[[#This Row],[spawner_sku]],LEN(Table13[[#This Row],[spawner_sku]])-FIND("/",Table13[[#This Row],[spawner_sku]])),Table28[Entity Prefab],0)),25,1,1,"Entities"))</f>
        <v>yes</v>
      </c>
      <c r="DO179" s="71">
        <v>1</v>
      </c>
      <c r="DP179" s="71">
        <v>1</v>
      </c>
      <c r="DQ179" s="71" t="b">
        <v>0</v>
      </c>
      <c r="DS179" t="s">
        <v>223</v>
      </c>
      <c r="DT179">
        <v>2</v>
      </c>
      <c r="DU179">
        <v>130</v>
      </c>
      <c r="DV179">
        <v>100</v>
      </c>
      <c r="DW179" s="74">
        <f ca="1">INDIRECT(ADDRESS(11+(MATCH(RIGHT(Table14[[#This Row],[spawner_sku]],LEN(Table14[[#This Row],[spawner_sku]])-FIND("/",Table14[[#This Row],[spawner_sku]])),Table1[Entity Prefab],0)),10,1,1,"Entities"))</f>
        <v>70</v>
      </c>
      <c r="DX179" s="74">
        <f ca="1">ROUND((Table14[[#This Row],[XP]]*Table14[[#This Row],[entity_spawned (AVG)]])*(Table14[[#This Row],[activating_chance]]/100),0)</f>
        <v>140</v>
      </c>
      <c r="DY179" s="144" t="str">
        <f ca="1">INDIRECT(ADDRESS(11+(MATCH(RIGHT(Table14[[#This Row],[spawner_sku]],LEN(Table14[[#This Row],[spawner_sku]])-FIND("/",Table14[[#This Row],[spawner_sku]])),Table28[Entity Prefab],0)),25,1,1,"Entities"))</f>
        <v>no</v>
      </c>
      <c r="DZ179" s="71">
        <v>2</v>
      </c>
      <c r="EA179" s="71">
        <v>2</v>
      </c>
      <c r="EB179" s="71" t="b">
        <v>0</v>
      </c>
      <c r="EC179" s="71"/>
      <c r="EO179" t="s">
        <v>3832</v>
      </c>
      <c r="EP179">
        <v>1</v>
      </c>
      <c r="EQ179">
        <v>150</v>
      </c>
      <c r="ER179">
        <v>100</v>
      </c>
      <c r="ES179" s="74">
        <f ca="1">INDIRECT(ADDRESS(11+(MATCH(RIGHT(Table18[[#This Row],[spawner_sku]],LEN(Table18[[#This Row],[spawner_sku]])-FIND("/",Table18[[#This Row],[spawner_sku]])),Table1[Entity Prefab],0)),10,1,1,"Entities"))</f>
        <v>50</v>
      </c>
      <c r="ET179" s="74">
        <f ca="1">ROUND((Table18[[#This Row],[XP]]*Table18[[#This Row],[entity_spawned (AVG)]])*(Table18[[#This Row],[activating_chance]]/100),0)</f>
        <v>50</v>
      </c>
      <c r="EU179" s="74" t="str">
        <f ca="1">INDIRECT(ADDRESS(11+(MATCH(RIGHT(Table18[[#This Row],[spawner_sku]],LEN(Table18[[#This Row],[spawner_sku]])-FIND("/",Table18[[#This Row],[spawner_sku]])),Table28[Entity Prefab],0)),26,1,1,"Entities"))</f>
        <v>no</v>
      </c>
      <c r="EV179">
        <v>1</v>
      </c>
      <c r="EW179">
        <v>1</v>
      </c>
      <c r="EX179" t="b">
        <v>0</v>
      </c>
      <c r="EZ179" t="s">
        <v>583</v>
      </c>
      <c r="FA179">
        <v>1.5</v>
      </c>
      <c r="FB179">
        <v>120</v>
      </c>
      <c r="FC179">
        <v>30</v>
      </c>
      <c r="FD179" s="74">
        <f ca="1">INDIRECT(ADDRESS(11+(MATCH(RIGHT(Table1820[[#This Row],[spawner_sku]],LEN(Table1820[[#This Row],[spawner_sku]])-FIND("/",Table1820[[#This Row],[spawner_sku]])),Table1[Entity Prefab],0)),10,1,1,"Entities"))</f>
        <v>48</v>
      </c>
      <c r="FE179" s="74">
        <f ca="1">ROUND((Table1820[[#This Row],[XP]]*Table1820[[#This Row],[entity_spawned (AVG)]])*(Table1820[[#This Row],[activating_chance]]/100),0)</f>
        <v>22</v>
      </c>
      <c r="FF179" s="74" t="str">
        <f ca="1">INDIRECT(ADDRESS(11+(MATCH(RIGHT(Table1820[[#This Row],[spawner_sku]],LEN(Table1820[[#This Row],[spawner_sku]])-FIND("/",Table1820[[#This Row],[spawner_sku]])),Table28[Entity Prefab],0)),26,1,1,"Entities"))</f>
        <v>no</v>
      </c>
      <c r="FG179">
        <v>1</v>
      </c>
      <c r="FH179">
        <v>2</v>
      </c>
      <c r="FI179" t="b">
        <v>0</v>
      </c>
      <c r="FV179" t="s">
        <v>2690</v>
      </c>
      <c r="FW179">
        <v>1.5</v>
      </c>
      <c r="FX179">
        <v>70</v>
      </c>
      <c r="FY179">
        <v>100</v>
      </c>
      <c r="FZ179" s="74">
        <f ca="1">INDIRECT(ADDRESS(11+(MATCH(RIGHT(Table18202324[[#This Row],[spawner_sku]],LEN(Table18202324[[#This Row],[spawner_sku]])-FIND("/",Table18202324[[#This Row],[spawner_sku]])),Table1[Entity Prefab],0)),10,1,1,"Entities"))</f>
        <v>25</v>
      </c>
      <c r="GA179" s="74">
        <f ca="1">ROUND((Table18202324[[#This Row],[XP]]*Table18202324[[#This Row],[entity_spawned (AVG)]])*(Table18202324[[#This Row],[activating_chance]]/100),0)</f>
        <v>38</v>
      </c>
      <c r="GB179" s="74" t="str">
        <f ca="1">INDIRECT(ADDRESS(11+(MATCH(RIGHT(Table18202324[[#This Row],[spawner_sku]],LEN(Table18202324[[#This Row],[spawner_sku]])-FIND("/",Table18202324[[#This Row],[spawner_sku]])),Table28[Entity Prefab],0)),26,1,1,"Entities"))</f>
        <v>no</v>
      </c>
      <c r="GC179">
        <v>1</v>
      </c>
      <c r="GD179">
        <v>2</v>
      </c>
      <c r="GE179" t="b">
        <v>0</v>
      </c>
    </row>
    <row r="180" spans="2:187" x14ac:dyDescent="0.25">
      <c r="B180" s="72" t="s">
        <v>217</v>
      </c>
      <c r="C180">
        <v>1.5</v>
      </c>
      <c r="D180">
        <v>110</v>
      </c>
      <c r="E180">
        <v>100</v>
      </c>
      <c r="F180" s="74">
        <f ca="1">INDIRECT(ADDRESS(11+(MATCH(RIGHT(Table245[[#This Row],[spawner_sku]],LEN(Table245[[#This Row],[spawner_sku]])-FIND("/",Table245[[#This Row],[spawner_sku]])),Table1[Entity Prefab],0)),10,1,1,"Entities"))</f>
        <v>25</v>
      </c>
      <c r="G180" s="74">
        <f ca="1">ROUND((Table245[[#This Row],[XP]]*Table245[[#This Row],[entity_spawned (AVG)]])*(Table245[[#This Row],[activating_chance]]/100),0)</f>
        <v>38</v>
      </c>
      <c r="H180" s="71" t="str">
        <f ca="1">INDIRECT(ADDRESS(11+(MATCH(RIGHT(Table245[[#This Row],[spawner_sku]],LEN(Table245[[#This Row],[spawner_sku]])-FIND("/",Table245[[#This Row],[spawner_sku]])),Table28[Entity Prefab],0)),24,1,1,"Entities"))</f>
        <v>no</v>
      </c>
      <c r="I180" s="71">
        <v>1</v>
      </c>
      <c r="J180" s="71">
        <v>2</v>
      </c>
      <c r="K180" s="71" t="b">
        <v>0</v>
      </c>
      <c r="M180" t="s">
        <v>215</v>
      </c>
      <c r="N180">
        <v>13</v>
      </c>
      <c r="O180">
        <v>180</v>
      </c>
      <c r="P180">
        <v>80</v>
      </c>
      <c r="Q180" s="74">
        <f ca="1">INDIRECT(ADDRESS(11+(MATCH(RIGHT(Table3[[#This Row],[spawner_sku]],LEN(Table3[[#This Row],[spawner_sku]])-FIND("/",Table3[[#This Row],[spawner_sku]])),Table1[Entity Prefab],0)),10,1,1,"Entities"))</f>
        <v>25</v>
      </c>
      <c r="R180" s="74">
        <f ca="1">ROUND((Table3[[#This Row],[XP]]*Table3[[#This Row],[entity_spawned (AVG)]])*(Table3[[#This Row],[activating_chance]]/100),0)</f>
        <v>260</v>
      </c>
      <c r="S180" t="str">
        <f ca="1">INDIRECT(ADDRESS(11+(MATCH(RIGHT(Table3[[#This Row],[spawner_sku]],LEN(Table3[[#This Row],[spawner_sku]])-FIND("/",Table3[[#This Row],[spawner_sku]])),Table28[Entity Prefab],0)),24,1,1,"Entities"))</f>
        <v>no</v>
      </c>
      <c r="T180">
        <v>10</v>
      </c>
      <c r="U180">
        <v>16</v>
      </c>
      <c r="V180" t="b">
        <v>1</v>
      </c>
      <c r="AI180" t="s">
        <v>227</v>
      </c>
      <c r="AJ180">
        <v>1</v>
      </c>
      <c r="AK180">
        <v>2000</v>
      </c>
      <c r="AL180">
        <v>100</v>
      </c>
      <c r="AM180" s="74">
        <f ca="1">INDIRECT(ADDRESS(11+(MATCH(RIGHT(Table2[[#This Row],[spawner_sku]],LEN(Table2[[#This Row],[spawner_sku]])-FIND("/",Table2[[#This Row],[spawner_sku]])),Table1[Entity Prefab],0)),10,1,1,"Entities"))</f>
        <v>175</v>
      </c>
      <c r="AN180" s="74">
        <f ca="1">ROUND((Table2[[#This Row],[XP]]*Table2[[#This Row],[entity_spawned (AVG)]])*(Table2[[#This Row],[activating_chance]]/100),0)</f>
        <v>175</v>
      </c>
      <c r="AO180" s="71" t="str">
        <f ca="1">INDIRECT(ADDRESS(11+(MATCH(RIGHT(Table2[[#This Row],[spawner_sku]],LEN(Table2[[#This Row],[spawner_sku]])-FIND("/",Table2[[#This Row],[spawner_sku]])),Table28[Entity Prefab],0)),24,1,1,"Entities"))</f>
        <v>yes</v>
      </c>
      <c r="AP180" s="71">
        <v>1</v>
      </c>
      <c r="AQ180" s="71">
        <v>1</v>
      </c>
      <c r="AR180" s="71" t="b">
        <v>0</v>
      </c>
      <c r="BE180" t="s">
        <v>377</v>
      </c>
      <c r="BF180">
        <v>1</v>
      </c>
      <c r="BG180">
        <v>90</v>
      </c>
      <c r="BH180">
        <v>100</v>
      </c>
      <c r="BI180" s="74">
        <f ca="1">INDIRECT(ADDRESS(11+(MATCH(RIGHT(Table610[[#This Row],[spawner_sku]],LEN(Table610[[#This Row],[spawner_sku]])-FIND("/",Table610[[#This Row],[spawner_sku]])),Table1[Entity Prefab],0)),10,1,1,"Entities"))</f>
        <v>25</v>
      </c>
      <c r="BJ180" s="74">
        <f ca="1">ROUND((Table610[[#This Row],[XP]]*Table610[[#This Row],[entity_spawned (AVG)]])*(Table610[[#This Row],[activating_chance]]/100),0)</f>
        <v>25</v>
      </c>
      <c r="BK180" s="71" t="str">
        <f ca="1">INDIRECT(ADDRESS(11+(MATCH(RIGHT(Table610[[#This Row],[spawner_sku]],LEN(Table610[[#This Row],[spawner_sku]])-FIND("/",Table610[[#This Row],[spawner_sku]])),Table28[Entity Prefab],0)),24,1,1,"Entities"))</f>
        <v>no</v>
      </c>
      <c r="BL180">
        <v>1</v>
      </c>
      <c r="BM180">
        <v>1</v>
      </c>
      <c r="BN180" t="b">
        <v>0</v>
      </c>
      <c r="BP180" t="s">
        <v>223</v>
      </c>
      <c r="BQ180">
        <v>2</v>
      </c>
      <c r="BR180">
        <v>200</v>
      </c>
      <c r="BS180">
        <v>100</v>
      </c>
      <c r="BT180" s="74">
        <f ca="1">INDIRECT(ADDRESS(11+(MATCH(RIGHT(Table61011[[#This Row],[spawner_sku]],LEN(Table61011[[#This Row],[spawner_sku]])-FIND("/",Table61011[[#This Row],[spawner_sku]])),Table1[Entity Prefab],0)),10,1,1,"Entities"))</f>
        <v>70</v>
      </c>
      <c r="BU180" s="74">
        <f ca="1">ROUND((Table61011[[#This Row],[XP]]*Table61011[[#This Row],[entity_spawned (AVG)]])*(Table61011[[#This Row],[activating_chance]]/100),0)</f>
        <v>140</v>
      </c>
      <c r="BV180" s="71" t="str">
        <f ca="1">INDIRECT(ADDRESS(11+(MATCH(RIGHT(Table61011[[#This Row],[spawner_sku]],LEN(Table61011[[#This Row],[spawner_sku]])-FIND("/",Table61011[[#This Row],[spawner_sku]])),Table28[Entity Prefab],0)),24,1,1,"Entities"))</f>
        <v>yes</v>
      </c>
      <c r="BW180" s="71">
        <v>2</v>
      </c>
      <c r="BX180" s="71">
        <v>2</v>
      </c>
      <c r="BY180" s="71" t="b">
        <v>0</v>
      </c>
      <c r="BZ180" s="71"/>
      <c r="CA180" s="147" t="s">
        <v>3820</v>
      </c>
      <c r="CB180">
        <v>1</v>
      </c>
      <c r="CC180">
        <v>240</v>
      </c>
      <c r="CD180">
        <v>100</v>
      </c>
      <c r="CE180" s="74">
        <f ca="1">INDIRECT(ADDRESS(11+(MATCH(RIGHT(Table35[[#This Row],[spawner_sku]],LEN(Table35[[#This Row],[spawner_sku]])-FIND("/",Table35[[#This Row],[spawner_sku]])),Table1[Entity Prefab],0)),10,1,1,"Entities"))</f>
        <v>10</v>
      </c>
      <c r="CF180" s="74">
        <f ca="1">ROUND((Table35[[#This Row],[XP]]*Table35[[#This Row],[entity_spawned (AVG)]])*(Table35[[#This Row],[activating_chance]]/100),0)</f>
        <v>10</v>
      </c>
      <c r="CG180" s="144" t="str">
        <f ca="1">INDIRECT(ADDRESS(11+(MATCH(RIGHT(Table35[[#This Row],[spawner_sku]],LEN(Table35[[#This Row],[spawner_sku]])-FIND("/",Table35[[#This Row],[spawner_sku]])),Table28[Entity Prefab],0)),24,1,1,"Entities"))</f>
        <v>no</v>
      </c>
      <c r="CH180">
        <v>1</v>
      </c>
      <c r="CI180">
        <v>1</v>
      </c>
      <c r="CJ180" s="71" t="b">
        <v>0</v>
      </c>
      <c r="CL180" t="s">
        <v>220</v>
      </c>
      <c r="CM180">
        <v>1</v>
      </c>
      <c r="CN180">
        <v>300</v>
      </c>
      <c r="CO180">
        <v>100</v>
      </c>
      <c r="CP180" s="74">
        <f ca="1">INDIRECT(ADDRESS(11+(MATCH(RIGHT(Table11[[#This Row],[spawner_sku]],LEN(Table11[[#This Row],[spawner_sku]])-FIND("/",Table11[[#This Row],[spawner_sku]])),Table1[Entity Prefab],0)),10,1,1,"Entities"))</f>
        <v>195</v>
      </c>
      <c r="CQ180">
        <f ca="1">ROUND((Table11[[#This Row],[XP]]*Table11[[#This Row],[entity_spawned (AVG)]])*(Table11[[#This Row],[activating_chance]]/100),0)</f>
        <v>195</v>
      </c>
      <c r="CR180" s="144" t="str">
        <f ca="1">INDIRECT(ADDRESS(11+(MATCH(RIGHT(Table11[[#This Row],[spawner_sku]],LEN(Table11[[#This Row],[spawner_sku]])-FIND("/",Table11[[#This Row],[spawner_sku]])),Table28[Entity Prefab],0)),25,1,1,"Entities"))</f>
        <v>yes</v>
      </c>
      <c r="CS180" s="71">
        <v>1</v>
      </c>
      <c r="CT180" s="71">
        <v>1</v>
      </c>
      <c r="CU180" s="71" t="b">
        <v>0</v>
      </c>
      <c r="CW180" t="s">
        <v>243</v>
      </c>
      <c r="CX180">
        <v>1</v>
      </c>
      <c r="CY180">
        <v>150</v>
      </c>
      <c r="CZ180">
        <v>100</v>
      </c>
      <c r="DA180" s="74">
        <f ca="1">INDIRECT(ADDRESS(11+(MATCH(RIGHT(Table12[[#This Row],[spawner_sku]],LEN(Table12[[#This Row],[spawner_sku]])-FIND("/",Table12[[#This Row],[spawner_sku]])),Table1[Entity Prefab],0)),10,1,1,"Entities"))</f>
        <v>25</v>
      </c>
      <c r="DB180" s="74">
        <f ca="1">ROUND((Table12[[#This Row],[XP]]*Table12[[#This Row],[entity_spawned (AVG)]])*(Table12[[#This Row],[activating_chance]]/100),0)</f>
        <v>25</v>
      </c>
      <c r="DC180" s="144" t="str">
        <f ca="1">INDIRECT(ADDRESS(11+(MATCH(RIGHT(Table12[[#This Row],[spawner_sku]],LEN(Table12[[#This Row],[spawner_sku]])-FIND("/",Table12[[#This Row],[spawner_sku]])),Table28[Entity Prefab],0)),25,1,1,"Entities"))</f>
        <v>no</v>
      </c>
      <c r="DD180" s="71">
        <v>1</v>
      </c>
      <c r="DE180" s="71">
        <v>1</v>
      </c>
      <c r="DF180" s="71" t="b">
        <v>0</v>
      </c>
      <c r="DH180" t="s">
        <v>241</v>
      </c>
      <c r="DI180">
        <v>1</v>
      </c>
      <c r="DJ180">
        <v>170</v>
      </c>
      <c r="DK180">
        <v>100</v>
      </c>
      <c r="DL180" s="74">
        <f ca="1">INDIRECT(ADDRESS(11+(MATCH(RIGHT(Table13[[#This Row],[spawner_sku]],LEN(Table13[[#This Row],[spawner_sku]])-FIND("/",Table13[[#This Row],[spawner_sku]])),Table1[Entity Prefab],0)),10,1,1,"Entities"))</f>
        <v>70</v>
      </c>
      <c r="DM180" s="74">
        <f ca="1">ROUND((Table13[[#This Row],[XP]]*Table13[[#This Row],[entity_spawned (AVG)]])*(Table13[[#This Row],[activating_chance]]/100),0)</f>
        <v>70</v>
      </c>
      <c r="DN180" s="144" t="str">
        <f ca="1">INDIRECT(ADDRESS(11+(MATCH(RIGHT(Table13[[#This Row],[spawner_sku]],LEN(Table13[[#This Row],[spawner_sku]])-FIND("/",Table13[[#This Row],[spawner_sku]])),Table28[Entity Prefab],0)),25,1,1,"Entities"))</f>
        <v>yes</v>
      </c>
      <c r="DO180" s="71">
        <v>1</v>
      </c>
      <c r="DP180" s="71">
        <v>1</v>
      </c>
      <c r="DQ180" s="71" t="b">
        <v>0</v>
      </c>
      <c r="DS180" t="s">
        <v>223</v>
      </c>
      <c r="DT180">
        <v>1</v>
      </c>
      <c r="DU180">
        <v>120</v>
      </c>
      <c r="DV180">
        <v>80</v>
      </c>
      <c r="DW180" s="74">
        <f ca="1">INDIRECT(ADDRESS(11+(MATCH(RIGHT(Table14[[#This Row],[spawner_sku]],LEN(Table14[[#This Row],[spawner_sku]])-FIND("/",Table14[[#This Row],[spawner_sku]])),Table1[Entity Prefab],0)),10,1,1,"Entities"))</f>
        <v>70</v>
      </c>
      <c r="DX180" s="74">
        <f ca="1">ROUND((Table14[[#This Row],[XP]]*Table14[[#This Row],[entity_spawned (AVG)]])*(Table14[[#This Row],[activating_chance]]/100),0)</f>
        <v>56</v>
      </c>
      <c r="DY180" s="144" t="str">
        <f ca="1">INDIRECT(ADDRESS(11+(MATCH(RIGHT(Table14[[#This Row],[spawner_sku]],LEN(Table14[[#This Row],[spawner_sku]])-FIND("/",Table14[[#This Row],[spawner_sku]])),Table28[Entity Prefab],0)),25,1,1,"Entities"))</f>
        <v>no</v>
      </c>
      <c r="DZ180" s="71">
        <v>1</v>
      </c>
      <c r="EA180" s="71">
        <v>1</v>
      </c>
      <c r="EB180" s="71" t="b">
        <v>0</v>
      </c>
      <c r="EC180" s="71"/>
      <c r="EO180" t="s">
        <v>3832</v>
      </c>
      <c r="EP180">
        <v>1</v>
      </c>
      <c r="EQ180">
        <v>150</v>
      </c>
      <c r="ER180">
        <v>100</v>
      </c>
      <c r="ES180" s="74">
        <f ca="1">INDIRECT(ADDRESS(11+(MATCH(RIGHT(Table18[[#This Row],[spawner_sku]],LEN(Table18[[#This Row],[spawner_sku]])-FIND("/",Table18[[#This Row],[spawner_sku]])),Table1[Entity Prefab],0)),10,1,1,"Entities"))</f>
        <v>50</v>
      </c>
      <c r="ET180" s="74">
        <f ca="1">ROUND((Table18[[#This Row],[XP]]*Table18[[#This Row],[entity_spawned (AVG)]])*(Table18[[#This Row],[activating_chance]]/100),0)</f>
        <v>50</v>
      </c>
      <c r="EU180" s="74" t="str">
        <f ca="1">INDIRECT(ADDRESS(11+(MATCH(RIGHT(Table18[[#This Row],[spawner_sku]],LEN(Table18[[#This Row],[spawner_sku]])-FIND("/",Table18[[#This Row],[spawner_sku]])),Table28[Entity Prefab],0)),26,1,1,"Entities"))</f>
        <v>no</v>
      </c>
      <c r="EV180">
        <v>1</v>
      </c>
      <c r="EW180">
        <v>1</v>
      </c>
      <c r="EX180" t="b">
        <v>0</v>
      </c>
      <c r="EZ180" t="s">
        <v>583</v>
      </c>
      <c r="FA180">
        <v>1.5</v>
      </c>
      <c r="FB180">
        <v>120</v>
      </c>
      <c r="FC180">
        <v>100</v>
      </c>
      <c r="FD180" s="74">
        <f ca="1">INDIRECT(ADDRESS(11+(MATCH(RIGHT(Table1820[[#This Row],[spawner_sku]],LEN(Table1820[[#This Row],[spawner_sku]])-FIND("/",Table1820[[#This Row],[spawner_sku]])),Table1[Entity Prefab],0)),10,1,1,"Entities"))</f>
        <v>48</v>
      </c>
      <c r="FE180" s="74">
        <f ca="1">ROUND((Table1820[[#This Row],[XP]]*Table1820[[#This Row],[entity_spawned (AVG)]])*(Table1820[[#This Row],[activating_chance]]/100),0)</f>
        <v>72</v>
      </c>
      <c r="FF180" s="74" t="str">
        <f ca="1">INDIRECT(ADDRESS(11+(MATCH(RIGHT(Table1820[[#This Row],[spawner_sku]],LEN(Table1820[[#This Row],[spawner_sku]])-FIND("/",Table1820[[#This Row],[spawner_sku]])),Table28[Entity Prefab],0)),26,1,1,"Entities"))</f>
        <v>no</v>
      </c>
      <c r="FG180">
        <v>1</v>
      </c>
      <c r="FH180">
        <v>2</v>
      </c>
      <c r="FI180" t="b">
        <v>0</v>
      </c>
      <c r="FV180" t="s">
        <v>2690</v>
      </c>
      <c r="FW180">
        <v>2.5</v>
      </c>
      <c r="FX180">
        <v>80</v>
      </c>
      <c r="FY180">
        <v>100</v>
      </c>
      <c r="FZ180" s="74">
        <f ca="1">INDIRECT(ADDRESS(11+(MATCH(RIGHT(Table18202324[[#This Row],[spawner_sku]],LEN(Table18202324[[#This Row],[spawner_sku]])-FIND("/",Table18202324[[#This Row],[spawner_sku]])),Table1[Entity Prefab],0)),10,1,1,"Entities"))</f>
        <v>25</v>
      </c>
      <c r="GA180" s="74">
        <f ca="1">ROUND((Table18202324[[#This Row],[XP]]*Table18202324[[#This Row],[entity_spawned (AVG)]])*(Table18202324[[#This Row],[activating_chance]]/100),0)</f>
        <v>63</v>
      </c>
      <c r="GB180" s="74" t="str">
        <f ca="1">INDIRECT(ADDRESS(11+(MATCH(RIGHT(Table18202324[[#This Row],[spawner_sku]],LEN(Table18202324[[#This Row],[spawner_sku]])-FIND("/",Table18202324[[#This Row],[spawner_sku]])),Table28[Entity Prefab],0)),26,1,1,"Entities"))</f>
        <v>no</v>
      </c>
      <c r="GC180">
        <v>2</v>
      </c>
      <c r="GD180">
        <v>3</v>
      </c>
      <c r="GE180" t="b">
        <v>0</v>
      </c>
    </row>
    <row r="181" spans="2:187" x14ac:dyDescent="0.25">
      <c r="B181" s="72" t="s">
        <v>217</v>
      </c>
      <c r="C181">
        <v>3</v>
      </c>
      <c r="D181">
        <v>120</v>
      </c>
      <c r="E181">
        <v>100</v>
      </c>
      <c r="F181" s="74">
        <f ca="1">INDIRECT(ADDRESS(11+(MATCH(RIGHT(Table245[[#This Row],[spawner_sku]],LEN(Table245[[#This Row],[spawner_sku]])-FIND("/",Table245[[#This Row],[spawner_sku]])),Table1[Entity Prefab],0)),10,1,1,"Entities"))</f>
        <v>25</v>
      </c>
      <c r="G181" s="74">
        <f ca="1">ROUND((Table245[[#This Row],[XP]]*Table245[[#This Row],[entity_spawned (AVG)]])*(Table245[[#This Row],[activating_chance]]/100),0)</f>
        <v>75</v>
      </c>
      <c r="H181" s="71" t="str">
        <f ca="1">INDIRECT(ADDRESS(11+(MATCH(RIGHT(Table245[[#This Row],[spawner_sku]],LEN(Table245[[#This Row],[spawner_sku]])-FIND("/",Table245[[#This Row],[spawner_sku]])),Table28[Entity Prefab],0)),24,1,1,"Entities"))</f>
        <v>no</v>
      </c>
      <c r="I181" s="71">
        <v>2</v>
      </c>
      <c r="J181" s="71">
        <v>4</v>
      </c>
      <c r="K181" s="71" t="b">
        <v>0</v>
      </c>
      <c r="M181" t="s">
        <v>230</v>
      </c>
      <c r="N181">
        <v>1</v>
      </c>
      <c r="O181">
        <v>200</v>
      </c>
      <c r="P181">
        <v>100</v>
      </c>
      <c r="Q181" s="74">
        <f ca="1">INDIRECT(ADDRESS(11+(MATCH(RIGHT(Table3[[#This Row],[spawner_sku]],LEN(Table3[[#This Row],[spawner_sku]])-FIND("/",Table3[[#This Row],[spawner_sku]])),Table1[Entity Prefab],0)),10,1,1,"Entities"))</f>
        <v>28</v>
      </c>
      <c r="R181" s="74">
        <f ca="1">ROUND((Table3[[#This Row],[XP]]*Table3[[#This Row],[entity_spawned (AVG)]])*(Table3[[#This Row],[activating_chance]]/100),0)</f>
        <v>28</v>
      </c>
      <c r="S181" t="str">
        <f ca="1">INDIRECT(ADDRESS(11+(MATCH(RIGHT(Table3[[#This Row],[spawner_sku]],LEN(Table3[[#This Row],[spawner_sku]])-FIND("/",Table3[[#This Row],[spawner_sku]])),Table28[Entity Prefab],0)),24,1,1,"Entities"))</f>
        <v>no</v>
      </c>
      <c r="T181">
        <v>1</v>
      </c>
      <c r="U181">
        <v>1</v>
      </c>
      <c r="V181" t="b">
        <v>0</v>
      </c>
      <c r="AI181" t="s">
        <v>228</v>
      </c>
      <c r="AJ181">
        <v>1</v>
      </c>
      <c r="AK181">
        <v>1500</v>
      </c>
      <c r="AL181">
        <v>100</v>
      </c>
      <c r="AM181" s="74">
        <f ca="1">INDIRECT(ADDRESS(11+(MATCH(RIGHT(Table2[[#This Row],[spawner_sku]],LEN(Table2[[#This Row],[spawner_sku]])-FIND("/",Table2[[#This Row],[spawner_sku]])),Table1[Entity Prefab],0)),10,1,1,"Entities"))</f>
        <v>130</v>
      </c>
      <c r="AN181" s="74">
        <f ca="1">ROUND((Table2[[#This Row],[XP]]*Table2[[#This Row],[entity_spawned (AVG)]])*(Table2[[#This Row],[activating_chance]]/100),0)</f>
        <v>130</v>
      </c>
      <c r="AO181" s="71" t="str">
        <f ca="1">INDIRECT(ADDRESS(11+(MATCH(RIGHT(Table2[[#This Row],[spawner_sku]],LEN(Table2[[#This Row],[spawner_sku]])-FIND("/",Table2[[#This Row],[spawner_sku]])),Table28[Entity Prefab],0)),24,1,1,"Entities"))</f>
        <v>yes</v>
      </c>
      <c r="AP181" s="71">
        <v>1</v>
      </c>
      <c r="AQ181" s="71">
        <v>1</v>
      </c>
      <c r="AR181" s="71" t="b">
        <v>0</v>
      </c>
      <c r="BE181" t="s">
        <v>377</v>
      </c>
      <c r="BF181">
        <v>7</v>
      </c>
      <c r="BG181">
        <v>150</v>
      </c>
      <c r="BH181">
        <v>100</v>
      </c>
      <c r="BI181" s="74">
        <f ca="1">INDIRECT(ADDRESS(11+(MATCH(RIGHT(Table610[[#This Row],[spawner_sku]],LEN(Table610[[#This Row],[spawner_sku]])-FIND("/",Table610[[#This Row],[spawner_sku]])),Table1[Entity Prefab],0)),10,1,1,"Entities"))</f>
        <v>25</v>
      </c>
      <c r="BJ181" s="74">
        <f ca="1">ROUND((Table610[[#This Row],[XP]]*Table610[[#This Row],[entity_spawned (AVG)]])*(Table610[[#This Row],[activating_chance]]/100),0)</f>
        <v>175</v>
      </c>
      <c r="BK181" s="71" t="str">
        <f ca="1">INDIRECT(ADDRESS(11+(MATCH(RIGHT(Table610[[#This Row],[spawner_sku]],LEN(Table610[[#This Row],[spawner_sku]])-FIND("/",Table610[[#This Row],[spawner_sku]])),Table28[Entity Prefab],0)),24,1,1,"Entities"))</f>
        <v>no</v>
      </c>
      <c r="BL181">
        <v>5</v>
      </c>
      <c r="BM181">
        <v>9</v>
      </c>
      <c r="BN181" t="b">
        <v>1</v>
      </c>
      <c r="BP181" t="s">
        <v>223</v>
      </c>
      <c r="BQ181">
        <v>1</v>
      </c>
      <c r="BR181">
        <v>200</v>
      </c>
      <c r="BS181">
        <v>100</v>
      </c>
      <c r="BT181" s="74">
        <f ca="1">INDIRECT(ADDRESS(11+(MATCH(RIGHT(Table61011[[#This Row],[spawner_sku]],LEN(Table61011[[#This Row],[spawner_sku]])-FIND("/",Table61011[[#This Row],[spawner_sku]])),Table1[Entity Prefab],0)),10,1,1,"Entities"))</f>
        <v>70</v>
      </c>
      <c r="BU181" s="74">
        <f ca="1">ROUND((Table61011[[#This Row],[XP]]*Table61011[[#This Row],[entity_spawned (AVG)]])*(Table61011[[#This Row],[activating_chance]]/100),0)</f>
        <v>70</v>
      </c>
      <c r="BV181" s="71" t="str">
        <f ca="1">INDIRECT(ADDRESS(11+(MATCH(RIGHT(Table61011[[#This Row],[spawner_sku]],LEN(Table61011[[#This Row],[spawner_sku]])-FIND("/",Table61011[[#This Row],[spawner_sku]])),Table28[Entity Prefab],0)),24,1,1,"Entities"))</f>
        <v>yes</v>
      </c>
      <c r="BW181" s="71">
        <v>1</v>
      </c>
      <c r="BX181" s="71">
        <v>1</v>
      </c>
      <c r="BY181" s="71" t="b">
        <v>0</v>
      </c>
      <c r="BZ181" s="71"/>
      <c r="CA181" s="147" t="s">
        <v>3820</v>
      </c>
      <c r="CB181">
        <v>1</v>
      </c>
      <c r="CC181">
        <v>240</v>
      </c>
      <c r="CD181">
        <v>100</v>
      </c>
      <c r="CE181" s="74">
        <f ca="1">INDIRECT(ADDRESS(11+(MATCH(RIGHT(Table35[[#This Row],[spawner_sku]],LEN(Table35[[#This Row],[spawner_sku]])-FIND("/",Table35[[#This Row],[spawner_sku]])),Table1[Entity Prefab],0)),10,1,1,"Entities"))</f>
        <v>10</v>
      </c>
      <c r="CF181" s="74">
        <f ca="1">ROUND((Table35[[#This Row],[XP]]*Table35[[#This Row],[entity_spawned (AVG)]])*(Table35[[#This Row],[activating_chance]]/100),0)</f>
        <v>10</v>
      </c>
      <c r="CG181" s="144" t="str">
        <f ca="1">INDIRECT(ADDRESS(11+(MATCH(RIGHT(Table35[[#This Row],[spawner_sku]],LEN(Table35[[#This Row],[spawner_sku]])-FIND("/",Table35[[#This Row],[spawner_sku]])),Table28[Entity Prefab],0)),24,1,1,"Entities"))</f>
        <v>no</v>
      </c>
      <c r="CH181">
        <v>1</v>
      </c>
      <c r="CI181">
        <v>1</v>
      </c>
      <c r="CJ181" s="71" t="b">
        <v>0</v>
      </c>
      <c r="CL181" t="s">
        <v>220</v>
      </c>
      <c r="CM181">
        <v>1</v>
      </c>
      <c r="CN181">
        <v>300</v>
      </c>
      <c r="CO181">
        <v>100</v>
      </c>
      <c r="CP181" s="74">
        <f ca="1">INDIRECT(ADDRESS(11+(MATCH(RIGHT(Table11[[#This Row],[spawner_sku]],LEN(Table11[[#This Row],[spawner_sku]])-FIND("/",Table11[[#This Row],[spawner_sku]])),Table1[Entity Prefab],0)),10,1,1,"Entities"))</f>
        <v>195</v>
      </c>
      <c r="CQ181">
        <f ca="1">ROUND((Table11[[#This Row],[XP]]*Table11[[#This Row],[entity_spawned (AVG)]])*(Table11[[#This Row],[activating_chance]]/100),0)</f>
        <v>195</v>
      </c>
      <c r="CR181" s="144" t="str">
        <f ca="1">INDIRECT(ADDRESS(11+(MATCH(RIGHT(Table11[[#This Row],[spawner_sku]],LEN(Table11[[#This Row],[spawner_sku]])-FIND("/",Table11[[#This Row],[spawner_sku]])),Table28[Entity Prefab],0)),25,1,1,"Entities"))</f>
        <v>yes</v>
      </c>
      <c r="CS181" s="71">
        <v>1</v>
      </c>
      <c r="CT181" s="71">
        <v>1</v>
      </c>
      <c r="CU181" s="71" t="b">
        <v>0</v>
      </c>
      <c r="CW181" t="s">
        <v>243</v>
      </c>
      <c r="CX181">
        <v>1</v>
      </c>
      <c r="CY181">
        <v>150</v>
      </c>
      <c r="CZ181">
        <v>80</v>
      </c>
      <c r="DA181" s="74">
        <f ca="1">INDIRECT(ADDRESS(11+(MATCH(RIGHT(Table12[[#This Row],[spawner_sku]],LEN(Table12[[#This Row],[spawner_sku]])-FIND("/",Table12[[#This Row],[spawner_sku]])),Table1[Entity Prefab],0)),10,1,1,"Entities"))</f>
        <v>25</v>
      </c>
      <c r="DB181" s="74">
        <f ca="1">ROUND((Table12[[#This Row],[XP]]*Table12[[#This Row],[entity_spawned (AVG)]])*(Table12[[#This Row],[activating_chance]]/100),0)</f>
        <v>20</v>
      </c>
      <c r="DC181" s="144" t="str">
        <f ca="1">INDIRECT(ADDRESS(11+(MATCH(RIGHT(Table12[[#This Row],[spawner_sku]],LEN(Table12[[#This Row],[spawner_sku]])-FIND("/",Table12[[#This Row],[spawner_sku]])),Table28[Entity Prefab],0)),25,1,1,"Entities"))</f>
        <v>no</v>
      </c>
      <c r="DD181" s="71">
        <v>1</v>
      </c>
      <c r="DE181" s="71">
        <v>1</v>
      </c>
      <c r="DF181" s="71" t="b">
        <v>0</v>
      </c>
      <c r="DH181" t="s">
        <v>241</v>
      </c>
      <c r="DI181">
        <v>1</v>
      </c>
      <c r="DJ181">
        <v>170</v>
      </c>
      <c r="DK181">
        <v>100</v>
      </c>
      <c r="DL181" s="74">
        <f ca="1">INDIRECT(ADDRESS(11+(MATCH(RIGHT(Table13[[#This Row],[spawner_sku]],LEN(Table13[[#This Row],[spawner_sku]])-FIND("/",Table13[[#This Row],[spawner_sku]])),Table1[Entity Prefab],0)),10,1,1,"Entities"))</f>
        <v>70</v>
      </c>
      <c r="DM181" s="74">
        <f ca="1">ROUND((Table13[[#This Row],[XP]]*Table13[[#This Row],[entity_spawned (AVG)]])*(Table13[[#This Row],[activating_chance]]/100),0)</f>
        <v>70</v>
      </c>
      <c r="DN181" s="144" t="str">
        <f ca="1">INDIRECT(ADDRESS(11+(MATCH(RIGHT(Table13[[#This Row],[spawner_sku]],LEN(Table13[[#This Row],[spawner_sku]])-FIND("/",Table13[[#This Row],[spawner_sku]])),Table28[Entity Prefab],0)),25,1,1,"Entities"))</f>
        <v>yes</v>
      </c>
      <c r="DO181" s="71">
        <v>1</v>
      </c>
      <c r="DP181" s="71">
        <v>1</v>
      </c>
      <c r="DQ181" s="71" t="b">
        <v>0</v>
      </c>
      <c r="DS181" t="s">
        <v>223</v>
      </c>
      <c r="DT181">
        <v>2.5</v>
      </c>
      <c r="DU181">
        <v>100</v>
      </c>
      <c r="DV181">
        <v>100</v>
      </c>
      <c r="DW181" s="74">
        <f ca="1">INDIRECT(ADDRESS(11+(MATCH(RIGHT(Table14[[#This Row],[spawner_sku]],LEN(Table14[[#This Row],[spawner_sku]])-FIND("/",Table14[[#This Row],[spawner_sku]])),Table1[Entity Prefab],0)),10,1,1,"Entities"))</f>
        <v>70</v>
      </c>
      <c r="DX181" s="74">
        <f ca="1">ROUND((Table14[[#This Row],[XP]]*Table14[[#This Row],[entity_spawned (AVG)]])*(Table14[[#This Row],[activating_chance]]/100),0)</f>
        <v>175</v>
      </c>
      <c r="DY181" s="144" t="str">
        <f ca="1">INDIRECT(ADDRESS(11+(MATCH(RIGHT(Table14[[#This Row],[spawner_sku]],LEN(Table14[[#This Row],[spawner_sku]])-FIND("/",Table14[[#This Row],[spawner_sku]])),Table28[Entity Prefab],0)),25,1,1,"Entities"))</f>
        <v>no</v>
      </c>
      <c r="DZ181" s="71">
        <v>2</v>
      </c>
      <c r="EA181" s="71">
        <v>3</v>
      </c>
      <c r="EB181" s="71" t="b">
        <v>0</v>
      </c>
      <c r="EC181" s="71"/>
      <c r="EO181" t="s">
        <v>428</v>
      </c>
      <c r="EP181">
        <v>4</v>
      </c>
      <c r="EQ181">
        <v>130</v>
      </c>
      <c r="ER181">
        <v>100</v>
      </c>
      <c r="ES181" s="74">
        <f ca="1">INDIRECT(ADDRESS(11+(MATCH(RIGHT(Table18[[#This Row],[spawner_sku]],LEN(Table18[[#This Row],[spawner_sku]])-FIND("/",Table18[[#This Row],[spawner_sku]])),Table1[Entity Prefab],0)),10,1,1,"Entities"))</f>
        <v>70</v>
      </c>
      <c r="ET181" s="74">
        <f ca="1">ROUND((Table18[[#This Row],[XP]]*Table18[[#This Row],[entity_spawned (AVG)]])*(Table18[[#This Row],[activating_chance]]/100),0)</f>
        <v>280</v>
      </c>
      <c r="EU181" s="74" t="str">
        <f ca="1">INDIRECT(ADDRESS(11+(MATCH(RIGHT(Table18[[#This Row],[spawner_sku]],LEN(Table18[[#This Row],[spawner_sku]])-FIND("/",Table18[[#This Row],[spawner_sku]])),Table28[Entity Prefab],0)),26,1,1,"Entities"))</f>
        <v>yes</v>
      </c>
      <c r="EV181">
        <v>4</v>
      </c>
      <c r="EW181">
        <v>4</v>
      </c>
      <c r="EX181" t="b">
        <v>0</v>
      </c>
      <c r="EZ181" t="s">
        <v>583</v>
      </c>
      <c r="FA181">
        <v>1</v>
      </c>
      <c r="FB181">
        <v>120</v>
      </c>
      <c r="FC181">
        <v>30</v>
      </c>
      <c r="FD181" s="74">
        <f ca="1">INDIRECT(ADDRESS(11+(MATCH(RIGHT(Table1820[[#This Row],[spawner_sku]],LEN(Table1820[[#This Row],[spawner_sku]])-FIND("/",Table1820[[#This Row],[spawner_sku]])),Table1[Entity Prefab],0)),10,1,1,"Entities"))</f>
        <v>48</v>
      </c>
      <c r="FE181" s="74">
        <f ca="1">ROUND((Table1820[[#This Row],[XP]]*Table1820[[#This Row],[entity_spawned (AVG)]])*(Table1820[[#This Row],[activating_chance]]/100),0)</f>
        <v>14</v>
      </c>
      <c r="FF181" s="74" t="str">
        <f ca="1">INDIRECT(ADDRESS(11+(MATCH(RIGHT(Table1820[[#This Row],[spawner_sku]],LEN(Table1820[[#This Row],[spawner_sku]])-FIND("/",Table1820[[#This Row],[spawner_sku]])),Table28[Entity Prefab],0)),26,1,1,"Entities"))</f>
        <v>no</v>
      </c>
      <c r="FG181">
        <v>1</v>
      </c>
      <c r="FH181">
        <v>1</v>
      </c>
      <c r="FI181" t="b">
        <v>0</v>
      </c>
      <c r="FV181" t="s">
        <v>2690</v>
      </c>
      <c r="FW181">
        <v>2.5</v>
      </c>
      <c r="FX181">
        <v>80</v>
      </c>
      <c r="FY181">
        <v>100</v>
      </c>
      <c r="FZ181" s="74">
        <f ca="1">INDIRECT(ADDRESS(11+(MATCH(RIGHT(Table18202324[[#This Row],[spawner_sku]],LEN(Table18202324[[#This Row],[spawner_sku]])-FIND("/",Table18202324[[#This Row],[spawner_sku]])),Table1[Entity Prefab],0)),10,1,1,"Entities"))</f>
        <v>25</v>
      </c>
      <c r="GA181" s="74">
        <f ca="1">ROUND((Table18202324[[#This Row],[XP]]*Table18202324[[#This Row],[entity_spawned (AVG)]])*(Table18202324[[#This Row],[activating_chance]]/100),0)</f>
        <v>63</v>
      </c>
      <c r="GB181" s="74" t="str">
        <f ca="1">INDIRECT(ADDRESS(11+(MATCH(RIGHT(Table18202324[[#This Row],[spawner_sku]],LEN(Table18202324[[#This Row],[spawner_sku]])-FIND("/",Table18202324[[#This Row],[spawner_sku]])),Table28[Entity Prefab],0)),26,1,1,"Entities"))</f>
        <v>no</v>
      </c>
      <c r="GC181">
        <v>2</v>
      </c>
      <c r="GD181">
        <v>3</v>
      </c>
      <c r="GE181" t="b">
        <v>0</v>
      </c>
    </row>
    <row r="182" spans="2:187" x14ac:dyDescent="0.25">
      <c r="B182" s="72" t="s">
        <v>217</v>
      </c>
      <c r="C182">
        <v>6.5</v>
      </c>
      <c r="D182">
        <v>140</v>
      </c>
      <c r="E182">
        <v>100</v>
      </c>
      <c r="F182" s="74">
        <f ca="1">INDIRECT(ADDRESS(11+(MATCH(RIGHT(Table245[[#This Row],[spawner_sku]],LEN(Table245[[#This Row],[spawner_sku]])-FIND("/",Table245[[#This Row],[spawner_sku]])),Table1[Entity Prefab],0)),10,1,1,"Entities"))</f>
        <v>25</v>
      </c>
      <c r="G182" s="74">
        <f ca="1">ROUND((Table245[[#This Row],[XP]]*Table245[[#This Row],[entity_spawned (AVG)]])*(Table245[[#This Row],[activating_chance]]/100),0)</f>
        <v>163</v>
      </c>
      <c r="H182" s="71" t="str">
        <f ca="1">INDIRECT(ADDRESS(11+(MATCH(RIGHT(Table245[[#This Row],[spawner_sku]],LEN(Table245[[#This Row],[spawner_sku]])-FIND("/",Table245[[#This Row],[spawner_sku]])),Table28[Entity Prefab],0)),24,1,1,"Entities"))</f>
        <v>no</v>
      </c>
      <c r="I182" s="71">
        <v>6</v>
      </c>
      <c r="J182" s="71">
        <v>7</v>
      </c>
      <c r="K182" s="71" t="b">
        <v>1</v>
      </c>
      <c r="M182" t="s">
        <v>366</v>
      </c>
      <c r="N182">
        <v>2</v>
      </c>
      <c r="O182">
        <v>100</v>
      </c>
      <c r="P182">
        <v>100</v>
      </c>
      <c r="Q182" s="74">
        <f ca="1">INDIRECT(ADDRESS(11+(MATCH(RIGHT(Table3[[#This Row],[spawner_sku]],LEN(Table3[[#This Row],[spawner_sku]])-FIND("/",Table3[[#This Row],[spawner_sku]])),Table1[Entity Prefab],0)),10,1,1,"Entities"))</f>
        <v>25</v>
      </c>
      <c r="R182" s="74">
        <f ca="1">ROUND((Table3[[#This Row],[XP]]*Table3[[#This Row],[entity_spawned (AVG)]])*(Table3[[#This Row],[activating_chance]]/100),0)</f>
        <v>50</v>
      </c>
      <c r="S182" t="str">
        <f ca="1">INDIRECT(ADDRESS(11+(MATCH(RIGHT(Table3[[#This Row],[spawner_sku]],LEN(Table3[[#This Row],[spawner_sku]])-FIND("/",Table3[[#This Row],[spawner_sku]])),Table28[Entity Prefab],0)),24,1,1,"Entities"))</f>
        <v>no</v>
      </c>
      <c r="T182">
        <v>2</v>
      </c>
      <c r="U182">
        <v>2</v>
      </c>
      <c r="V182" t="b">
        <v>0</v>
      </c>
      <c r="AI182" t="s">
        <v>228</v>
      </c>
      <c r="AJ182">
        <v>1</v>
      </c>
      <c r="AK182">
        <v>1500</v>
      </c>
      <c r="AL182">
        <v>100</v>
      </c>
      <c r="AM182" s="74">
        <f ca="1">INDIRECT(ADDRESS(11+(MATCH(RIGHT(Table2[[#This Row],[spawner_sku]],LEN(Table2[[#This Row],[spawner_sku]])-FIND("/",Table2[[#This Row],[spawner_sku]])),Table1[Entity Prefab],0)),10,1,1,"Entities"))</f>
        <v>130</v>
      </c>
      <c r="AN182" s="74">
        <f ca="1">ROUND((Table2[[#This Row],[XP]]*Table2[[#This Row],[entity_spawned (AVG)]])*(Table2[[#This Row],[activating_chance]]/100),0)</f>
        <v>130</v>
      </c>
      <c r="AO182" s="71" t="str">
        <f ca="1">INDIRECT(ADDRESS(11+(MATCH(RIGHT(Table2[[#This Row],[spawner_sku]],LEN(Table2[[#This Row],[spawner_sku]])-FIND("/",Table2[[#This Row],[spawner_sku]])),Table28[Entity Prefab],0)),24,1,1,"Entities"))</f>
        <v>yes</v>
      </c>
      <c r="AP182" s="71">
        <v>1</v>
      </c>
      <c r="AQ182" s="71">
        <v>1</v>
      </c>
      <c r="AR182" s="71" t="b">
        <v>0</v>
      </c>
      <c r="BE182" t="s">
        <v>377</v>
      </c>
      <c r="BF182">
        <v>1</v>
      </c>
      <c r="BG182">
        <v>150</v>
      </c>
      <c r="BH182">
        <v>100</v>
      </c>
      <c r="BI182" s="74">
        <f ca="1">INDIRECT(ADDRESS(11+(MATCH(RIGHT(Table610[[#This Row],[spawner_sku]],LEN(Table610[[#This Row],[spawner_sku]])-FIND("/",Table610[[#This Row],[spawner_sku]])),Table1[Entity Prefab],0)),10,1,1,"Entities"))</f>
        <v>25</v>
      </c>
      <c r="BJ182" s="74">
        <f ca="1">ROUND((Table610[[#This Row],[XP]]*Table610[[#This Row],[entity_spawned (AVG)]])*(Table610[[#This Row],[activating_chance]]/100),0)</f>
        <v>25</v>
      </c>
      <c r="BK182" s="71" t="str">
        <f ca="1">INDIRECT(ADDRESS(11+(MATCH(RIGHT(Table610[[#This Row],[spawner_sku]],LEN(Table610[[#This Row],[spawner_sku]])-FIND("/",Table610[[#This Row],[spawner_sku]])),Table28[Entity Prefab],0)),24,1,1,"Entities"))</f>
        <v>no</v>
      </c>
      <c r="BL182">
        <v>1</v>
      </c>
      <c r="BM182">
        <v>1</v>
      </c>
      <c r="BN182" t="b">
        <v>0</v>
      </c>
      <c r="BP182" t="s">
        <v>223</v>
      </c>
      <c r="BQ182">
        <v>2</v>
      </c>
      <c r="BR182">
        <v>220</v>
      </c>
      <c r="BS182">
        <v>100</v>
      </c>
      <c r="BT182" s="74">
        <f ca="1">INDIRECT(ADDRESS(11+(MATCH(RIGHT(Table61011[[#This Row],[spawner_sku]],LEN(Table61011[[#This Row],[spawner_sku]])-FIND("/",Table61011[[#This Row],[spawner_sku]])),Table1[Entity Prefab],0)),10,1,1,"Entities"))</f>
        <v>70</v>
      </c>
      <c r="BU182" s="74">
        <f ca="1">ROUND((Table61011[[#This Row],[XP]]*Table61011[[#This Row],[entity_spawned (AVG)]])*(Table61011[[#This Row],[activating_chance]]/100),0)</f>
        <v>140</v>
      </c>
      <c r="BV182" s="71" t="str">
        <f ca="1">INDIRECT(ADDRESS(11+(MATCH(RIGHT(Table61011[[#This Row],[spawner_sku]],LEN(Table61011[[#This Row],[spawner_sku]])-FIND("/",Table61011[[#This Row],[spawner_sku]])),Table28[Entity Prefab],0)),24,1,1,"Entities"))</f>
        <v>yes</v>
      </c>
      <c r="BW182" s="71">
        <v>2</v>
      </c>
      <c r="BX182" s="71">
        <v>2</v>
      </c>
      <c r="BY182" s="71" t="b">
        <v>0</v>
      </c>
      <c r="BZ182" s="71"/>
      <c r="CA182" s="147" t="s">
        <v>3820</v>
      </c>
      <c r="CB182">
        <v>1</v>
      </c>
      <c r="CC182">
        <v>240</v>
      </c>
      <c r="CD182">
        <v>100</v>
      </c>
      <c r="CE182" s="74">
        <f ca="1">INDIRECT(ADDRESS(11+(MATCH(RIGHT(Table35[[#This Row],[spawner_sku]],LEN(Table35[[#This Row],[spawner_sku]])-FIND("/",Table35[[#This Row],[spawner_sku]])),Table1[Entity Prefab],0)),10,1,1,"Entities"))</f>
        <v>10</v>
      </c>
      <c r="CF182" s="74">
        <f ca="1">ROUND((Table35[[#This Row],[XP]]*Table35[[#This Row],[entity_spawned (AVG)]])*(Table35[[#This Row],[activating_chance]]/100),0)</f>
        <v>10</v>
      </c>
      <c r="CG182" s="144" t="str">
        <f ca="1">INDIRECT(ADDRESS(11+(MATCH(RIGHT(Table35[[#This Row],[spawner_sku]],LEN(Table35[[#This Row],[spawner_sku]])-FIND("/",Table35[[#This Row],[spawner_sku]])),Table28[Entity Prefab],0)),24,1,1,"Entities"))</f>
        <v>no</v>
      </c>
      <c r="CH182">
        <v>1</v>
      </c>
      <c r="CI182">
        <v>1</v>
      </c>
      <c r="CJ182" s="71" t="b">
        <v>0</v>
      </c>
      <c r="CL182" t="s">
        <v>383</v>
      </c>
      <c r="CM182">
        <v>1</v>
      </c>
      <c r="CN182">
        <v>340</v>
      </c>
      <c r="CO182">
        <v>100</v>
      </c>
      <c r="CP182" s="74">
        <f ca="1">INDIRECT(ADDRESS(11+(MATCH(RIGHT(Table11[[#This Row],[spawner_sku]],LEN(Table11[[#This Row],[spawner_sku]])-FIND("/",Table11[[#This Row],[spawner_sku]])),Table1[Entity Prefab],0)),10,1,1,"Entities"))</f>
        <v>263</v>
      </c>
      <c r="CQ182">
        <f ca="1">ROUND((Table11[[#This Row],[XP]]*Table11[[#This Row],[entity_spawned (AVG)]])*(Table11[[#This Row],[activating_chance]]/100),0)</f>
        <v>263</v>
      </c>
      <c r="CR182" s="144" t="str">
        <f ca="1">INDIRECT(ADDRESS(11+(MATCH(RIGHT(Table11[[#This Row],[spawner_sku]],LEN(Table11[[#This Row],[spawner_sku]])-FIND("/",Table11[[#This Row],[spawner_sku]])),Table28[Entity Prefab],0)),25,1,1,"Entities"))</f>
        <v>yes</v>
      </c>
      <c r="CS182" s="71">
        <v>1</v>
      </c>
      <c r="CT182" s="71">
        <v>1</v>
      </c>
      <c r="CU182" s="71" t="b">
        <v>0</v>
      </c>
      <c r="CW182" t="s">
        <v>243</v>
      </c>
      <c r="CX182">
        <v>1</v>
      </c>
      <c r="CY182">
        <v>150</v>
      </c>
      <c r="CZ182">
        <v>100</v>
      </c>
      <c r="DA182" s="74">
        <f ca="1">INDIRECT(ADDRESS(11+(MATCH(RIGHT(Table12[[#This Row],[spawner_sku]],LEN(Table12[[#This Row],[spawner_sku]])-FIND("/",Table12[[#This Row],[spawner_sku]])),Table1[Entity Prefab],0)),10,1,1,"Entities"))</f>
        <v>25</v>
      </c>
      <c r="DB182" s="74">
        <f ca="1">ROUND((Table12[[#This Row],[XP]]*Table12[[#This Row],[entity_spawned (AVG)]])*(Table12[[#This Row],[activating_chance]]/100),0)</f>
        <v>25</v>
      </c>
      <c r="DC182" s="144" t="str">
        <f ca="1">INDIRECT(ADDRESS(11+(MATCH(RIGHT(Table12[[#This Row],[spawner_sku]],LEN(Table12[[#This Row],[spawner_sku]])-FIND("/",Table12[[#This Row],[spawner_sku]])),Table28[Entity Prefab],0)),25,1,1,"Entities"))</f>
        <v>no</v>
      </c>
      <c r="DD182" s="71">
        <v>1</v>
      </c>
      <c r="DE182" s="71">
        <v>1</v>
      </c>
      <c r="DF182" s="71" t="b">
        <v>0</v>
      </c>
      <c r="DH182" t="s">
        <v>241</v>
      </c>
      <c r="DI182">
        <v>1</v>
      </c>
      <c r="DJ182">
        <v>170</v>
      </c>
      <c r="DK182">
        <v>100</v>
      </c>
      <c r="DL182" s="74">
        <f ca="1">INDIRECT(ADDRESS(11+(MATCH(RIGHT(Table13[[#This Row],[spawner_sku]],LEN(Table13[[#This Row],[spawner_sku]])-FIND("/",Table13[[#This Row],[spawner_sku]])),Table1[Entity Prefab],0)),10,1,1,"Entities"))</f>
        <v>70</v>
      </c>
      <c r="DM182" s="74">
        <f ca="1">ROUND((Table13[[#This Row],[XP]]*Table13[[#This Row],[entity_spawned (AVG)]])*(Table13[[#This Row],[activating_chance]]/100),0)</f>
        <v>70</v>
      </c>
      <c r="DN182" s="144" t="str">
        <f ca="1">INDIRECT(ADDRESS(11+(MATCH(RIGHT(Table13[[#This Row],[spawner_sku]],LEN(Table13[[#This Row],[spawner_sku]])-FIND("/",Table13[[#This Row],[spawner_sku]])),Table28[Entity Prefab],0)),25,1,1,"Entities"))</f>
        <v>yes</v>
      </c>
      <c r="DO182" s="71">
        <v>1</v>
      </c>
      <c r="DP182" s="71">
        <v>1</v>
      </c>
      <c r="DQ182" s="71" t="b">
        <v>0</v>
      </c>
      <c r="DS182" t="s">
        <v>223</v>
      </c>
      <c r="DT182">
        <v>1.5</v>
      </c>
      <c r="DU182">
        <v>100</v>
      </c>
      <c r="DV182">
        <v>100</v>
      </c>
      <c r="DW182" s="74">
        <f ca="1">INDIRECT(ADDRESS(11+(MATCH(RIGHT(Table14[[#This Row],[spawner_sku]],LEN(Table14[[#This Row],[spawner_sku]])-FIND("/",Table14[[#This Row],[spawner_sku]])),Table1[Entity Prefab],0)),10,1,1,"Entities"))</f>
        <v>70</v>
      </c>
      <c r="DX182" s="74">
        <f ca="1">ROUND((Table14[[#This Row],[XP]]*Table14[[#This Row],[entity_spawned (AVG)]])*(Table14[[#This Row],[activating_chance]]/100),0)</f>
        <v>105</v>
      </c>
      <c r="DY182" s="144" t="str">
        <f ca="1">INDIRECT(ADDRESS(11+(MATCH(RIGHT(Table14[[#This Row],[spawner_sku]],LEN(Table14[[#This Row],[spawner_sku]])-FIND("/",Table14[[#This Row],[spawner_sku]])),Table28[Entity Prefab],0)),25,1,1,"Entities"))</f>
        <v>no</v>
      </c>
      <c r="DZ182" s="71">
        <v>1</v>
      </c>
      <c r="EA182" s="71">
        <v>2</v>
      </c>
      <c r="EB182" s="71" t="b">
        <v>0</v>
      </c>
      <c r="EC182" s="71"/>
      <c r="EO182" t="s">
        <v>428</v>
      </c>
      <c r="EP182">
        <v>1.5</v>
      </c>
      <c r="EQ182">
        <v>130</v>
      </c>
      <c r="ER182">
        <v>100</v>
      </c>
      <c r="ES182" s="74">
        <f ca="1">INDIRECT(ADDRESS(11+(MATCH(RIGHT(Table18[[#This Row],[spawner_sku]],LEN(Table18[[#This Row],[spawner_sku]])-FIND("/",Table18[[#This Row],[spawner_sku]])),Table1[Entity Prefab],0)),10,1,1,"Entities"))</f>
        <v>70</v>
      </c>
      <c r="ET182" s="74">
        <f ca="1">ROUND((Table18[[#This Row],[XP]]*Table18[[#This Row],[entity_spawned (AVG)]])*(Table18[[#This Row],[activating_chance]]/100),0)</f>
        <v>105</v>
      </c>
      <c r="EU182" s="74" t="str">
        <f ca="1">INDIRECT(ADDRESS(11+(MATCH(RIGHT(Table18[[#This Row],[spawner_sku]],LEN(Table18[[#This Row],[spawner_sku]])-FIND("/",Table18[[#This Row],[spawner_sku]])),Table28[Entity Prefab],0)),26,1,1,"Entities"))</f>
        <v>yes</v>
      </c>
      <c r="EV182">
        <v>1</v>
      </c>
      <c r="EW182">
        <v>2</v>
      </c>
      <c r="EX182" t="b">
        <v>0</v>
      </c>
      <c r="EZ182" t="s">
        <v>583</v>
      </c>
      <c r="FA182">
        <v>1</v>
      </c>
      <c r="FB182">
        <v>120</v>
      </c>
      <c r="FC182">
        <v>30</v>
      </c>
      <c r="FD182" s="74">
        <f ca="1">INDIRECT(ADDRESS(11+(MATCH(RIGHT(Table1820[[#This Row],[spawner_sku]],LEN(Table1820[[#This Row],[spawner_sku]])-FIND("/",Table1820[[#This Row],[spawner_sku]])),Table1[Entity Prefab],0)),10,1,1,"Entities"))</f>
        <v>48</v>
      </c>
      <c r="FE182" s="74">
        <f ca="1">ROUND((Table1820[[#This Row],[XP]]*Table1820[[#This Row],[entity_spawned (AVG)]])*(Table1820[[#This Row],[activating_chance]]/100),0)</f>
        <v>14</v>
      </c>
      <c r="FF182" s="74" t="str">
        <f ca="1">INDIRECT(ADDRESS(11+(MATCH(RIGHT(Table1820[[#This Row],[spawner_sku]],LEN(Table1820[[#This Row],[spawner_sku]])-FIND("/",Table1820[[#This Row],[spawner_sku]])),Table28[Entity Prefab],0)),26,1,1,"Entities"))</f>
        <v>no</v>
      </c>
      <c r="FG182">
        <v>1</v>
      </c>
      <c r="FH182">
        <v>1</v>
      </c>
      <c r="FI182" t="b">
        <v>0</v>
      </c>
      <c r="FV182" t="s">
        <v>2696</v>
      </c>
      <c r="FW182">
        <v>1</v>
      </c>
      <c r="FX182">
        <v>100</v>
      </c>
      <c r="FY182">
        <v>100</v>
      </c>
      <c r="FZ182" s="74">
        <f ca="1">INDIRECT(ADDRESS(11+(MATCH(RIGHT(Table18202324[[#This Row],[spawner_sku]],LEN(Table18202324[[#This Row],[spawner_sku]])-FIND("/",Table18202324[[#This Row],[spawner_sku]])),Table1[Entity Prefab],0)),10,1,1,"Entities"))</f>
        <v>55</v>
      </c>
      <c r="GA182" s="74">
        <f ca="1">ROUND((Table18202324[[#This Row],[XP]]*Table18202324[[#This Row],[entity_spawned (AVG)]])*(Table18202324[[#This Row],[activating_chance]]/100),0)</f>
        <v>55</v>
      </c>
      <c r="GB182" s="74" t="str">
        <f ca="1">INDIRECT(ADDRESS(11+(MATCH(RIGHT(Table18202324[[#This Row],[spawner_sku]],LEN(Table18202324[[#This Row],[spawner_sku]])-FIND("/",Table18202324[[#This Row],[spawner_sku]])),Table28[Entity Prefab],0)),26,1,1,"Entities"))</f>
        <v>yes</v>
      </c>
      <c r="GC182">
        <v>1</v>
      </c>
      <c r="GD182">
        <v>1</v>
      </c>
      <c r="GE182" t="b">
        <v>0</v>
      </c>
    </row>
    <row r="183" spans="2:187" x14ac:dyDescent="0.25">
      <c r="B183" s="72" t="s">
        <v>217</v>
      </c>
      <c r="C183">
        <v>1</v>
      </c>
      <c r="D183">
        <v>100</v>
      </c>
      <c r="E183">
        <v>100</v>
      </c>
      <c r="F183" s="74">
        <f ca="1">INDIRECT(ADDRESS(11+(MATCH(RIGHT(Table245[[#This Row],[spawner_sku]],LEN(Table245[[#This Row],[spawner_sku]])-FIND("/",Table245[[#This Row],[spawner_sku]])),Table1[Entity Prefab],0)),10,1,1,"Entities"))</f>
        <v>25</v>
      </c>
      <c r="G183" s="74">
        <f ca="1">ROUND((Table245[[#This Row],[XP]]*Table245[[#This Row],[entity_spawned (AVG)]])*(Table245[[#This Row],[activating_chance]]/100),0)</f>
        <v>25</v>
      </c>
      <c r="H183" s="71" t="str">
        <f ca="1">INDIRECT(ADDRESS(11+(MATCH(RIGHT(Table245[[#This Row],[spawner_sku]],LEN(Table245[[#This Row],[spawner_sku]])-FIND("/",Table245[[#This Row],[spawner_sku]])),Table28[Entity Prefab],0)),24,1,1,"Entities"))</f>
        <v>no</v>
      </c>
      <c r="I183" s="71">
        <v>1</v>
      </c>
      <c r="J183" s="71">
        <v>1</v>
      </c>
      <c r="K183" s="71" t="b">
        <v>0</v>
      </c>
      <c r="M183" t="s">
        <v>366</v>
      </c>
      <c r="N183">
        <v>5</v>
      </c>
      <c r="O183">
        <v>100</v>
      </c>
      <c r="P183">
        <v>100</v>
      </c>
      <c r="Q183" s="74">
        <f ca="1">INDIRECT(ADDRESS(11+(MATCH(RIGHT(Table3[[#This Row],[spawner_sku]],LEN(Table3[[#This Row],[spawner_sku]])-FIND("/",Table3[[#This Row],[spawner_sku]])),Table1[Entity Prefab],0)),10,1,1,"Entities"))</f>
        <v>25</v>
      </c>
      <c r="R183" s="74">
        <f ca="1">ROUND((Table3[[#This Row],[XP]]*Table3[[#This Row],[entity_spawned (AVG)]])*(Table3[[#This Row],[activating_chance]]/100),0)</f>
        <v>125</v>
      </c>
      <c r="S183" t="str">
        <f ca="1">INDIRECT(ADDRESS(11+(MATCH(RIGHT(Table3[[#This Row],[spawner_sku]],LEN(Table3[[#This Row],[spawner_sku]])-FIND("/",Table3[[#This Row],[spawner_sku]])),Table28[Entity Prefab],0)),24,1,1,"Entities"))</f>
        <v>no</v>
      </c>
      <c r="T183">
        <v>5</v>
      </c>
      <c r="U183">
        <v>5</v>
      </c>
      <c r="V183" t="b">
        <v>1</v>
      </c>
      <c r="AI183" t="s">
        <v>228</v>
      </c>
      <c r="AJ183">
        <v>1</v>
      </c>
      <c r="AK183">
        <v>1500</v>
      </c>
      <c r="AL183">
        <v>100</v>
      </c>
      <c r="AM183" s="74">
        <f ca="1">INDIRECT(ADDRESS(11+(MATCH(RIGHT(Table2[[#This Row],[spawner_sku]],LEN(Table2[[#This Row],[spawner_sku]])-FIND("/",Table2[[#This Row],[spawner_sku]])),Table1[Entity Prefab],0)),10,1,1,"Entities"))</f>
        <v>130</v>
      </c>
      <c r="AN183" s="74">
        <f ca="1">ROUND((Table2[[#This Row],[XP]]*Table2[[#This Row],[entity_spawned (AVG)]])*(Table2[[#This Row],[activating_chance]]/100),0)</f>
        <v>130</v>
      </c>
      <c r="AO183" s="71" t="str">
        <f ca="1">INDIRECT(ADDRESS(11+(MATCH(RIGHT(Table2[[#This Row],[spawner_sku]],LEN(Table2[[#This Row],[spawner_sku]])-FIND("/",Table2[[#This Row],[spawner_sku]])),Table28[Entity Prefab],0)),24,1,1,"Entities"))</f>
        <v>yes</v>
      </c>
      <c r="AP183" s="71">
        <v>1</v>
      </c>
      <c r="AQ183" s="71">
        <v>1</v>
      </c>
      <c r="AR183" s="71" t="b">
        <v>0</v>
      </c>
      <c r="BE183" t="s">
        <v>377</v>
      </c>
      <c r="BF183">
        <v>3</v>
      </c>
      <c r="BG183">
        <v>150</v>
      </c>
      <c r="BH183">
        <v>50</v>
      </c>
      <c r="BI183" s="74">
        <f ca="1">INDIRECT(ADDRESS(11+(MATCH(RIGHT(Table610[[#This Row],[spawner_sku]],LEN(Table610[[#This Row],[spawner_sku]])-FIND("/",Table610[[#This Row],[spawner_sku]])),Table1[Entity Prefab],0)),10,1,1,"Entities"))</f>
        <v>25</v>
      </c>
      <c r="BJ183" s="74">
        <f ca="1">ROUND((Table610[[#This Row],[XP]]*Table610[[#This Row],[entity_spawned (AVG)]])*(Table610[[#This Row],[activating_chance]]/100),0)</f>
        <v>38</v>
      </c>
      <c r="BK183" s="71" t="str">
        <f ca="1">INDIRECT(ADDRESS(11+(MATCH(RIGHT(Table610[[#This Row],[spawner_sku]],LEN(Table610[[#This Row],[spawner_sku]])-FIND("/",Table610[[#This Row],[spawner_sku]])),Table28[Entity Prefab],0)),24,1,1,"Entities"))</f>
        <v>no</v>
      </c>
      <c r="BL183">
        <v>3</v>
      </c>
      <c r="BM183">
        <v>3</v>
      </c>
      <c r="BN183" t="b">
        <v>0</v>
      </c>
      <c r="BP183" t="s">
        <v>223</v>
      </c>
      <c r="BQ183">
        <v>3</v>
      </c>
      <c r="BR183">
        <v>200</v>
      </c>
      <c r="BS183">
        <v>100</v>
      </c>
      <c r="BT183" s="74">
        <f ca="1">INDIRECT(ADDRESS(11+(MATCH(RIGHT(Table61011[[#This Row],[spawner_sku]],LEN(Table61011[[#This Row],[spawner_sku]])-FIND("/",Table61011[[#This Row],[spawner_sku]])),Table1[Entity Prefab],0)),10,1,1,"Entities"))</f>
        <v>70</v>
      </c>
      <c r="BU183" s="74">
        <f ca="1">ROUND((Table61011[[#This Row],[XP]]*Table61011[[#This Row],[entity_spawned (AVG)]])*(Table61011[[#This Row],[activating_chance]]/100),0)</f>
        <v>210</v>
      </c>
      <c r="BV183" s="71" t="str">
        <f ca="1">INDIRECT(ADDRESS(11+(MATCH(RIGHT(Table61011[[#This Row],[spawner_sku]],LEN(Table61011[[#This Row],[spawner_sku]])-FIND("/",Table61011[[#This Row],[spawner_sku]])),Table28[Entity Prefab],0)),24,1,1,"Entities"))</f>
        <v>yes</v>
      </c>
      <c r="BW183" s="71">
        <v>3</v>
      </c>
      <c r="BX183" s="71">
        <v>3</v>
      </c>
      <c r="BY183" s="71" t="b">
        <v>0</v>
      </c>
      <c r="BZ183" s="71"/>
      <c r="CA183" s="147" t="s">
        <v>3820</v>
      </c>
      <c r="CB183">
        <v>1</v>
      </c>
      <c r="CC183">
        <v>240</v>
      </c>
      <c r="CD183">
        <v>100</v>
      </c>
      <c r="CE183" s="74">
        <f ca="1">INDIRECT(ADDRESS(11+(MATCH(RIGHT(Table35[[#This Row],[spawner_sku]],LEN(Table35[[#This Row],[spawner_sku]])-FIND("/",Table35[[#This Row],[spawner_sku]])),Table1[Entity Prefab],0)),10,1,1,"Entities"))</f>
        <v>10</v>
      </c>
      <c r="CF183" s="74">
        <f ca="1">ROUND((Table35[[#This Row],[XP]]*Table35[[#This Row],[entity_spawned (AVG)]])*(Table35[[#This Row],[activating_chance]]/100),0)</f>
        <v>10</v>
      </c>
      <c r="CG183" s="144" t="str">
        <f ca="1">INDIRECT(ADDRESS(11+(MATCH(RIGHT(Table35[[#This Row],[spawner_sku]],LEN(Table35[[#This Row],[spawner_sku]])-FIND("/",Table35[[#This Row],[spawner_sku]])),Table28[Entity Prefab],0)),24,1,1,"Entities"))</f>
        <v>no</v>
      </c>
      <c r="CH183">
        <v>1</v>
      </c>
      <c r="CI183">
        <v>1</v>
      </c>
      <c r="CJ183" s="71" t="b">
        <v>0</v>
      </c>
      <c r="CL183" t="s">
        <v>383</v>
      </c>
      <c r="CM183">
        <v>1</v>
      </c>
      <c r="CN183">
        <v>340</v>
      </c>
      <c r="CO183">
        <v>100</v>
      </c>
      <c r="CP183" s="74">
        <f ca="1">INDIRECT(ADDRESS(11+(MATCH(RIGHT(Table11[[#This Row],[spawner_sku]],LEN(Table11[[#This Row],[spawner_sku]])-FIND("/",Table11[[#This Row],[spawner_sku]])),Table1[Entity Prefab],0)),10,1,1,"Entities"))</f>
        <v>263</v>
      </c>
      <c r="CQ183">
        <f ca="1">ROUND((Table11[[#This Row],[XP]]*Table11[[#This Row],[entity_spawned (AVG)]])*(Table11[[#This Row],[activating_chance]]/100),0)</f>
        <v>263</v>
      </c>
      <c r="CR183" s="144" t="str">
        <f ca="1">INDIRECT(ADDRESS(11+(MATCH(RIGHT(Table11[[#This Row],[spawner_sku]],LEN(Table11[[#This Row],[spawner_sku]])-FIND("/",Table11[[#This Row],[spawner_sku]])),Table28[Entity Prefab],0)),25,1,1,"Entities"))</f>
        <v>yes</v>
      </c>
      <c r="CS183" s="71">
        <v>1</v>
      </c>
      <c r="CT183" s="71">
        <v>1</v>
      </c>
      <c r="CU183" s="71" t="b">
        <v>0</v>
      </c>
      <c r="CW183" t="s">
        <v>243</v>
      </c>
      <c r="CX183">
        <v>1.5</v>
      </c>
      <c r="CY183">
        <v>150</v>
      </c>
      <c r="CZ183">
        <v>100</v>
      </c>
      <c r="DA183" s="74">
        <f ca="1">INDIRECT(ADDRESS(11+(MATCH(RIGHT(Table12[[#This Row],[spawner_sku]],LEN(Table12[[#This Row],[spawner_sku]])-FIND("/",Table12[[#This Row],[spawner_sku]])),Table1[Entity Prefab],0)),10,1,1,"Entities"))</f>
        <v>25</v>
      </c>
      <c r="DB183" s="74">
        <f ca="1">ROUND((Table12[[#This Row],[XP]]*Table12[[#This Row],[entity_spawned (AVG)]])*(Table12[[#This Row],[activating_chance]]/100),0)</f>
        <v>38</v>
      </c>
      <c r="DC183" s="144" t="str">
        <f ca="1">INDIRECT(ADDRESS(11+(MATCH(RIGHT(Table12[[#This Row],[spawner_sku]],LEN(Table12[[#This Row],[spawner_sku]])-FIND("/",Table12[[#This Row],[spawner_sku]])),Table28[Entity Prefab],0)),25,1,1,"Entities"))</f>
        <v>no</v>
      </c>
      <c r="DD183" s="71">
        <v>1</v>
      </c>
      <c r="DE183" s="71">
        <v>2</v>
      </c>
      <c r="DF183" s="71" t="b">
        <v>0</v>
      </c>
      <c r="DH183" t="s">
        <v>241</v>
      </c>
      <c r="DI183">
        <v>1</v>
      </c>
      <c r="DJ183">
        <v>170</v>
      </c>
      <c r="DK183">
        <v>100</v>
      </c>
      <c r="DL183" s="74">
        <f ca="1">INDIRECT(ADDRESS(11+(MATCH(RIGHT(Table13[[#This Row],[spawner_sku]],LEN(Table13[[#This Row],[spawner_sku]])-FIND("/",Table13[[#This Row],[spawner_sku]])),Table1[Entity Prefab],0)),10,1,1,"Entities"))</f>
        <v>70</v>
      </c>
      <c r="DM183" s="74">
        <f ca="1">ROUND((Table13[[#This Row],[XP]]*Table13[[#This Row],[entity_spawned (AVG)]])*(Table13[[#This Row],[activating_chance]]/100),0)</f>
        <v>70</v>
      </c>
      <c r="DN183" s="144" t="str">
        <f ca="1">INDIRECT(ADDRESS(11+(MATCH(RIGHT(Table13[[#This Row],[spawner_sku]],LEN(Table13[[#This Row],[spawner_sku]])-FIND("/",Table13[[#This Row],[spawner_sku]])),Table28[Entity Prefab],0)),25,1,1,"Entities"))</f>
        <v>yes</v>
      </c>
      <c r="DO183" s="71">
        <v>1</v>
      </c>
      <c r="DP183" s="71">
        <v>1</v>
      </c>
      <c r="DQ183" s="71" t="b">
        <v>0</v>
      </c>
      <c r="DS183" t="s">
        <v>223</v>
      </c>
      <c r="DT183">
        <v>2</v>
      </c>
      <c r="DU183">
        <v>120</v>
      </c>
      <c r="DV183">
        <v>100</v>
      </c>
      <c r="DW183" s="74">
        <f ca="1">INDIRECT(ADDRESS(11+(MATCH(RIGHT(Table14[[#This Row],[spawner_sku]],LEN(Table14[[#This Row],[spawner_sku]])-FIND("/",Table14[[#This Row],[spawner_sku]])),Table1[Entity Prefab],0)),10,1,1,"Entities"))</f>
        <v>70</v>
      </c>
      <c r="DX183" s="74">
        <f ca="1">ROUND((Table14[[#This Row],[XP]]*Table14[[#This Row],[entity_spawned (AVG)]])*(Table14[[#This Row],[activating_chance]]/100),0)</f>
        <v>140</v>
      </c>
      <c r="DY183" s="144" t="str">
        <f ca="1">INDIRECT(ADDRESS(11+(MATCH(RIGHT(Table14[[#This Row],[spawner_sku]],LEN(Table14[[#This Row],[spawner_sku]])-FIND("/",Table14[[#This Row],[spawner_sku]])),Table28[Entity Prefab],0)),25,1,1,"Entities"))</f>
        <v>no</v>
      </c>
      <c r="DZ183" s="71">
        <v>2</v>
      </c>
      <c r="EA183" s="71">
        <v>2</v>
      </c>
      <c r="EB183" s="71" t="b">
        <v>0</v>
      </c>
      <c r="EC183" s="71"/>
      <c r="EO183" t="s">
        <v>490</v>
      </c>
      <c r="EP183">
        <v>2</v>
      </c>
      <c r="EQ183">
        <v>110</v>
      </c>
      <c r="ER183">
        <v>100</v>
      </c>
      <c r="ES183" s="74">
        <f ca="1">INDIRECT(ADDRESS(11+(MATCH(RIGHT(Table18[[#This Row],[spawner_sku]],LEN(Table18[[#This Row],[spawner_sku]])-FIND("/",Table18[[#This Row],[spawner_sku]])),Table1[Entity Prefab],0)),10,1,1,"Entities"))</f>
        <v>95</v>
      </c>
      <c r="ET183" s="74">
        <f ca="1">ROUND((Table18[[#This Row],[XP]]*Table18[[#This Row],[entity_spawned (AVG)]])*(Table18[[#This Row],[activating_chance]]/100),0)</f>
        <v>190</v>
      </c>
      <c r="EU183" s="74" t="str">
        <f ca="1">INDIRECT(ADDRESS(11+(MATCH(RIGHT(Table18[[#This Row],[spawner_sku]],LEN(Table18[[#This Row],[spawner_sku]])-FIND("/",Table18[[#This Row],[spawner_sku]])),Table28[Entity Prefab],0)),26,1,1,"Entities"))</f>
        <v>yes</v>
      </c>
      <c r="EV183">
        <v>2</v>
      </c>
      <c r="EW183">
        <v>2</v>
      </c>
      <c r="EX183" t="b">
        <v>0</v>
      </c>
      <c r="EZ183" t="s">
        <v>423</v>
      </c>
      <c r="FA183">
        <v>4</v>
      </c>
      <c r="FB183">
        <v>160</v>
      </c>
      <c r="FC183">
        <v>100</v>
      </c>
      <c r="FD183" s="74">
        <f ca="1">INDIRECT(ADDRESS(11+(MATCH(RIGHT(Table1820[[#This Row],[spawner_sku]],LEN(Table1820[[#This Row],[spawner_sku]])-FIND("/",Table1820[[#This Row],[spawner_sku]])),Table1[Entity Prefab],0)),10,1,1,"Entities"))</f>
        <v>0</v>
      </c>
      <c r="FE183" s="74">
        <f ca="1">ROUND((Table1820[[#This Row],[XP]]*Table1820[[#This Row],[entity_spawned (AVG)]])*(Table1820[[#This Row],[activating_chance]]/100),0)</f>
        <v>0</v>
      </c>
      <c r="FF183" s="74" t="str">
        <f ca="1">INDIRECT(ADDRESS(11+(MATCH(RIGHT(Table1820[[#This Row],[spawner_sku]],LEN(Table1820[[#This Row],[spawner_sku]])-FIND("/",Table1820[[#This Row],[spawner_sku]])),Table28[Entity Prefab],0)),26,1,1,"Entities"))</f>
        <v>yes</v>
      </c>
      <c r="FG183">
        <v>4</v>
      </c>
      <c r="FH183">
        <v>4</v>
      </c>
      <c r="FI183" t="b">
        <v>0</v>
      </c>
      <c r="FV183" t="s">
        <v>2696</v>
      </c>
      <c r="FW183">
        <v>1</v>
      </c>
      <c r="FX183">
        <v>60</v>
      </c>
      <c r="FY183">
        <v>100</v>
      </c>
      <c r="FZ183" s="74">
        <f ca="1">INDIRECT(ADDRESS(11+(MATCH(RIGHT(Table18202324[[#This Row],[spawner_sku]],LEN(Table18202324[[#This Row],[spawner_sku]])-FIND("/",Table18202324[[#This Row],[spawner_sku]])),Table1[Entity Prefab],0)),10,1,1,"Entities"))</f>
        <v>55</v>
      </c>
      <c r="GA183" s="74">
        <f ca="1">ROUND((Table18202324[[#This Row],[XP]]*Table18202324[[#This Row],[entity_spawned (AVG)]])*(Table18202324[[#This Row],[activating_chance]]/100),0)</f>
        <v>55</v>
      </c>
      <c r="GB183" s="74" t="str">
        <f ca="1">INDIRECT(ADDRESS(11+(MATCH(RIGHT(Table18202324[[#This Row],[spawner_sku]],LEN(Table18202324[[#This Row],[spawner_sku]])-FIND("/",Table18202324[[#This Row],[spawner_sku]])),Table28[Entity Prefab],0)),26,1,1,"Entities"))</f>
        <v>yes</v>
      </c>
      <c r="GC183">
        <v>1</v>
      </c>
      <c r="GD183">
        <v>1</v>
      </c>
      <c r="GE183" t="b">
        <v>0</v>
      </c>
    </row>
    <row r="184" spans="2:187" x14ac:dyDescent="0.25">
      <c r="B184" s="72" t="s">
        <v>217</v>
      </c>
      <c r="C184">
        <v>3.5</v>
      </c>
      <c r="D184">
        <v>80</v>
      </c>
      <c r="E184">
        <v>100</v>
      </c>
      <c r="F184" s="74">
        <f ca="1">INDIRECT(ADDRESS(11+(MATCH(RIGHT(Table245[[#This Row],[spawner_sku]],LEN(Table245[[#This Row],[spawner_sku]])-FIND("/",Table245[[#This Row],[spawner_sku]])),Table1[Entity Prefab],0)),10,1,1,"Entities"))</f>
        <v>25</v>
      </c>
      <c r="G184" s="74">
        <f ca="1">ROUND((Table245[[#This Row],[XP]]*Table245[[#This Row],[entity_spawned (AVG)]])*(Table245[[#This Row],[activating_chance]]/100),0)</f>
        <v>88</v>
      </c>
      <c r="H184" s="71" t="str">
        <f ca="1">INDIRECT(ADDRESS(11+(MATCH(RIGHT(Table245[[#This Row],[spawner_sku]],LEN(Table245[[#This Row],[spawner_sku]])-FIND("/",Table245[[#This Row],[spawner_sku]])),Table28[Entity Prefab],0)),24,1,1,"Entities"))</f>
        <v>no</v>
      </c>
      <c r="I184" s="71">
        <v>3</v>
      </c>
      <c r="J184" s="71">
        <v>4</v>
      </c>
      <c r="K184" s="71" t="b">
        <v>0</v>
      </c>
      <c r="M184" t="s">
        <v>230</v>
      </c>
      <c r="N184">
        <v>1</v>
      </c>
      <c r="O184">
        <v>120</v>
      </c>
      <c r="P184">
        <v>100</v>
      </c>
      <c r="Q184" s="74">
        <f ca="1">INDIRECT(ADDRESS(11+(MATCH(RIGHT(Table3[[#This Row],[spawner_sku]],LEN(Table3[[#This Row],[spawner_sku]])-FIND("/",Table3[[#This Row],[spawner_sku]])),Table1[Entity Prefab],0)),10,1,1,"Entities"))</f>
        <v>28</v>
      </c>
      <c r="R184" s="74">
        <f ca="1">ROUND((Table3[[#This Row],[XP]]*Table3[[#This Row],[entity_spawned (AVG)]])*(Table3[[#This Row],[activating_chance]]/100),0)</f>
        <v>28</v>
      </c>
      <c r="S184" t="str">
        <f ca="1">INDIRECT(ADDRESS(11+(MATCH(RIGHT(Table3[[#This Row],[spawner_sku]],LEN(Table3[[#This Row],[spawner_sku]])-FIND("/",Table3[[#This Row],[spawner_sku]])),Table28[Entity Prefab],0)),24,1,1,"Entities"))</f>
        <v>no</v>
      </c>
      <c r="T184">
        <v>1</v>
      </c>
      <c r="U184">
        <v>1</v>
      </c>
      <c r="V184" t="b">
        <v>0</v>
      </c>
      <c r="AI184" t="s">
        <v>228</v>
      </c>
      <c r="AJ184">
        <v>1</v>
      </c>
      <c r="AK184">
        <v>1500</v>
      </c>
      <c r="AL184">
        <v>100</v>
      </c>
      <c r="AM184" s="74">
        <f ca="1">INDIRECT(ADDRESS(11+(MATCH(RIGHT(Table2[[#This Row],[spawner_sku]],LEN(Table2[[#This Row],[spawner_sku]])-FIND("/",Table2[[#This Row],[spawner_sku]])),Table1[Entity Prefab],0)),10,1,1,"Entities"))</f>
        <v>130</v>
      </c>
      <c r="AN184" s="74">
        <f ca="1">ROUND((Table2[[#This Row],[XP]]*Table2[[#This Row],[entity_spawned (AVG)]])*(Table2[[#This Row],[activating_chance]]/100),0)</f>
        <v>130</v>
      </c>
      <c r="AO184" s="71" t="str">
        <f ca="1">INDIRECT(ADDRESS(11+(MATCH(RIGHT(Table2[[#This Row],[spawner_sku]],LEN(Table2[[#This Row],[spawner_sku]])-FIND("/",Table2[[#This Row],[spawner_sku]])),Table28[Entity Prefab],0)),24,1,1,"Entities"))</f>
        <v>yes</v>
      </c>
      <c r="AP184" s="71">
        <v>1</v>
      </c>
      <c r="AQ184" s="71">
        <v>1</v>
      </c>
      <c r="AR184" s="71" t="b">
        <v>0</v>
      </c>
      <c r="BE184" t="s">
        <v>377</v>
      </c>
      <c r="BF184">
        <v>2</v>
      </c>
      <c r="BG184">
        <v>110</v>
      </c>
      <c r="BH184">
        <v>75</v>
      </c>
      <c r="BI184" s="74">
        <f ca="1">INDIRECT(ADDRESS(11+(MATCH(RIGHT(Table610[[#This Row],[spawner_sku]],LEN(Table610[[#This Row],[spawner_sku]])-FIND("/",Table610[[#This Row],[spawner_sku]])),Table1[Entity Prefab],0)),10,1,1,"Entities"))</f>
        <v>25</v>
      </c>
      <c r="BJ184" s="74">
        <f ca="1">ROUND((Table610[[#This Row],[XP]]*Table610[[#This Row],[entity_spawned (AVG)]])*(Table610[[#This Row],[activating_chance]]/100),0)</f>
        <v>38</v>
      </c>
      <c r="BK184" s="71" t="str">
        <f ca="1">INDIRECT(ADDRESS(11+(MATCH(RIGHT(Table610[[#This Row],[spawner_sku]],LEN(Table610[[#This Row],[spawner_sku]])-FIND("/",Table610[[#This Row],[spawner_sku]])),Table28[Entity Prefab],0)),24,1,1,"Entities"))</f>
        <v>no</v>
      </c>
      <c r="BL184">
        <v>2</v>
      </c>
      <c r="BM184">
        <v>2</v>
      </c>
      <c r="BN184" t="b">
        <v>0</v>
      </c>
      <c r="BP184" t="s">
        <v>223</v>
      </c>
      <c r="BQ184">
        <v>2.5</v>
      </c>
      <c r="BR184">
        <v>200</v>
      </c>
      <c r="BS184">
        <v>100</v>
      </c>
      <c r="BT184" s="74">
        <f ca="1">INDIRECT(ADDRESS(11+(MATCH(RIGHT(Table61011[[#This Row],[spawner_sku]],LEN(Table61011[[#This Row],[spawner_sku]])-FIND("/",Table61011[[#This Row],[spawner_sku]])),Table1[Entity Prefab],0)),10,1,1,"Entities"))</f>
        <v>70</v>
      </c>
      <c r="BU184" s="74">
        <f ca="1">ROUND((Table61011[[#This Row],[XP]]*Table61011[[#This Row],[entity_spawned (AVG)]])*(Table61011[[#This Row],[activating_chance]]/100),0)</f>
        <v>175</v>
      </c>
      <c r="BV184" s="71" t="str">
        <f ca="1">INDIRECT(ADDRESS(11+(MATCH(RIGHT(Table61011[[#This Row],[spawner_sku]],LEN(Table61011[[#This Row],[spawner_sku]])-FIND("/",Table61011[[#This Row],[spawner_sku]])),Table28[Entity Prefab],0)),24,1,1,"Entities"))</f>
        <v>yes</v>
      </c>
      <c r="BW184" s="71">
        <v>2</v>
      </c>
      <c r="BX184" s="71">
        <v>3</v>
      </c>
      <c r="BY184" s="71" t="b">
        <v>0</v>
      </c>
      <c r="BZ184" s="71"/>
      <c r="CA184" s="147" t="s">
        <v>3820</v>
      </c>
      <c r="CB184">
        <v>1</v>
      </c>
      <c r="CC184">
        <v>240</v>
      </c>
      <c r="CD184">
        <v>100</v>
      </c>
      <c r="CE184" s="74">
        <f ca="1">INDIRECT(ADDRESS(11+(MATCH(RIGHT(Table35[[#This Row],[spawner_sku]],LEN(Table35[[#This Row],[spawner_sku]])-FIND("/",Table35[[#This Row],[spawner_sku]])),Table1[Entity Prefab],0)),10,1,1,"Entities"))</f>
        <v>10</v>
      </c>
      <c r="CF184" s="74">
        <f ca="1">ROUND((Table35[[#This Row],[XP]]*Table35[[#This Row],[entity_spawned (AVG)]])*(Table35[[#This Row],[activating_chance]]/100),0)</f>
        <v>10</v>
      </c>
      <c r="CG184" s="144" t="str">
        <f ca="1">INDIRECT(ADDRESS(11+(MATCH(RIGHT(Table35[[#This Row],[spawner_sku]],LEN(Table35[[#This Row],[spawner_sku]])-FIND("/",Table35[[#This Row],[spawner_sku]])),Table28[Entity Prefab],0)),24,1,1,"Entities"))</f>
        <v>no</v>
      </c>
      <c r="CH184">
        <v>1</v>
      </c>
      <c r="CI184">
        <v>1</v>
      </c>
      <c r="CJ184" s="71" t="b">
        <v>0</v>
      </c>
      <c r="CL184" t="s">
        <v>383</v>
      </c>
      <c r="CM184">
        <v>1</v>
      </c>
      <c r="CN184">
        <v>340</v>
      </c>
      <c r="CO184">
        <v>100</v>
      </c>
      <c r="CP184" s="74">
        <f ca="1">INDIRECT(ADDRESS(11+(MATCH(RIGHT(Table11[[#This Row],[spawner_sku]],LEN(Table11[[#This Row],[spawner_sku]])-FIND("/",Table11[[#This Row],[spawner_sku]])),Table1[Entity Prefab],0)),10,1,1,"Entities"))</f>
        <v>263</v>
      </c>
      <c r="CQ184">
        <f ca="1">ROUND((Table11[[#This Row],[XP]]*Table11[[#This Row],[entity_spawned (AVG)]])*(Table11[[#This Row],[activating_chance]]/100),0)</f>
        <v>263</v>
      </c>
      <c r="CR184" s="144" t="str">
        <f ca="1">INDIRECT(ADDRESS(11+(MATCH(RIGHT(Table11[[#This Row],[spawner_sku]],LEN(Table11[[#This Row],[spawner_sku]])-FIND("/",Table11[[#This Row],[spawner_sku]])),Table28[Entity Prefab],0)),25,1,1,"Entities"))</f>
        <v>yes</v>
      </c>
      <c r="CS184" s="71">
        <v>1</v>
      </c>
      <c r="CT184" s="71">
        <v>1</v>
      </c>
      <c r="CU184" s="71" t="b">
        <v>0</v>
      </c>
      <c r="CW184" t="s">
        <v>243</v>
      </c>
      <c r="CX184">
        <v>1</v>
      </c>
      <c r="CY184">
        <v>150</v>
      </c>
      <c r="CZ184">
        <v>100</v>
      </c>
      <c r="DA184" s="74">
        <f ca="1">INDIRECT(ADDRESS(11+(MATCH(RIGHT(Table12[[#This Row],[spawner_sku]],LEN(Table12[[#This Row],[spawner_sku]])-FIND("/",Table12[[#This Row],[spawner_sku]])),Table1[Entity Prefab],0)),10,1,1,"Entities"))</f>
        <v>25</v>
      </c>
      <c r="DB184" s="74">
        <f ca="1">ROUND((Table12[[#This Row],[XP]]*Table12[[#This Row],[entity_spawned (AVG)]])*(Table12[[#This Row],[activating_chance]]/100),0)</f>
        <v>25</v>
      </c>
      <c r="DC184" s="144" t="str">
        <f ca="1">INDIRECT(ADDRESS(11+(MATCH(RIGHT(Table12[[#This Row],[spawner_sku]],LEN(Table12[[#This Row],[spawner_sku]])-FIND("/",Table12[[#This Row],[spawner_sku]])),Table28[Entity Prefab],0)),25,1,1,"Entities"))</f>
        <v>no</v>
      </c>
      <c r="DD184" s="71">
        <v>1</v>
      </c>
      <c r="DE184" s="71">
        <v>1</v>
      </c>
      <c r="DF184" s="71" t="b">
        <v>0</v>
      </c>
      <c r="DH184" t="s">
        <v>241</v>
      </c>
      <c r="DI184">
        <v>1</v>
      </c>
      <c r="DJ184">
        <v>170</v>
      </c>
      <c r="DK184">
        <v>100</v>
      </c>
      <c r="DL184" s="74">
        <f ca="1">INDIRECT(ADDRESS(11+(MATCH(RIGHT(Table13[[#This Row],[spawner_sku]],LEN(Table13[[#This Row],[spawner_sku]])-FIND("/",Table13[[#This Row],[spawner_sku]])),Table1[Entity Prefab],0)),10,1,1,"Entities"))</f>
        <v>70</v>
      </c>
      <c r="DM184" s="74">
        <f ca="1">ROUND((Table13[[#This Row],[XP]]*Table13[[#This Row],[entity_spawned (AVG)]])*(Table13[[#This Row],[activating_chance]]/100),0)</f>
        <v>70</v>
      </c>
      <c r="DN184" s="144" t="str">
        <f ca="1">INDIRECT(ADDRESS(11+(MATCH(RIGHT(Table13[[#This Row],[spawner_sku]],LEN(Table13[[#This Row],[spawner_sku]])-FIND("/",Table13[[#This Row],[spawner_sku]])),Table28[Entity Prefab],0)),25,1,1,"Entities"))</f>
        <v>yes</v>
      </c>
      <c r="DO184" s="71">
        <v>1</v>
      </c>
      <c r="DP184" s="71">
        <v>1</v>
      </c>
      <c r="DQ184" s="71" t="b">
        <v>0</v>
      </c>
      <c r="DS184" t="s">
        <v>223</v>
      </c>
      <c r="DT184">
        <v>1.5</v>
      </c>
      <c r="DU184">
        <v>100</v>
      </c>
      <c r="DV184">
        <v>100</v>
      </c>
      <c r="DW184" s="74">
        <f ca="1">INDIRECT(ADDRESS(11+(MATCH(RIGHT(Table14[[#This Row],[spawner_sku]],LEN(Table14[[#This Row],[spawner_sku]])-FIND("/",Table14[[#This Row],[spawner_sku]])),Table1[Entity Prefab],0)),10,1,1,"Entities"))</f>
        <v>70</v>
      </c>
      <c r="DX184" s="74">
        <f ca="1">ROUND((Table14[[#This Row],[XP]]*Table14[[#This Row],[entity_spawned (AVG)]])*(Table14[[#This Row],[activating_chance]]/100),0)</f>
        <v>105</v>
      </c>
      <c r="DY184" s="144" t="str">
        <f ca="1">INDIRECT(ADDRESS(11+(MATCH(RIGHT(Table14[[#This Row],[spawner_sku]],LEN(Table14[[#This Row],[spawner_sku]])-FIND("/",Table14[[#This Row],[spawner_sku]])),Table28[Entity Prefab],0)),25,1,1,"Entities"))</f>
        <v>no</v>
      </c>
      <c r="DZ184" s="71">
        <v>1</v>
      </c>
      <c r="EA184" s="71">
        <v>2</v>
      </c>
      <c r="EB184" s="71" t="b">
        <v>0</v>
      </c>
      <c r="EC184" s="71"/>
      <c r="EO184" t="s">
        <v>493</v>
      </c>
      <c r="EP184">
        <v>2</v>
      </c>
      <c r="EQ184">
        <v>120</v>
      </c>
      <c r="ER184">
        <v>100</v>
      </c>
      <c r="ES184" s="74">
        <f ca="1">INDIRECT(ADDRESS(11+(MATCH(RIGHT(Table18[[#This Row],[spawner_sku]],LEN(Table18[[#This Row],[spawner_sku]])-FIND("/",Table18[[#This Row],[spawner_sku]])),Table1[Entity Prefab],0)),10,1,1,"Entities"))</f>
        <v>35</v>
      </c>
      <c r="ET184" s="74">
        <f ca="1">ROUND((Table18[[#This Row],[XP]]*Table18[[#This Row],[entity_spawned (AVG)]])*(Table18[[#This Row],[activating_chance]]/100),0)</f>
        <v>70</v>
      </c>
      <c r="EU184" s="74" t="str">
        <f ca="1">INDIRECT(ADDRESS(11+(MATCH(RIGHT(Table18[[#This Row],[spawner_sku]],LEN(Table18[[#This Row],[spawner_sku]])-FIND("/",Table18[[#This Row],[spawner_sku]])),Table28[Entity Prefab],0)),26,1,1,"Entities"))</f>
        <v>no</v>
      </c>
      <c r="EV184">
        <v>1</v>
      </c>
      <c r="EW184">
        <v>3</v>
      </c>
      <c r="EX184" t="b">
        <v>0</v>
      </c>
      <c r="EZ184" t="s">
        <v>233</v>
      </c>
      <c r="FA184">
        <v>1</v>
      </c>
      <c r="FB184">
        <v>500</v>
      </c>
      <c r="FC184">
        <v>100</v>
      </c>
      <c r="FD184" s="74">
        <f ca="1">INDIRECT(ADDRESS(11+(MATCH(RIGHT(Table1820[[#This Row],[spawner_sku]],LEN(Table1820[[#This Row],[spawner_sku]])-FIND("/",Table1820[[#This Row],[spawner_sku]])),Table1[Entity Prefab],0)),10,1,1,"Entities"))</f>
        <v>25</v>
      </c>
      <c r="FE184" s="74">
        <f ca="1">ROUND((Table1820[[#This Row],[XP]]*Table1820[[#This Row],[entity_spawned (AVG)]])*(Table1820[[#This Row],[activating_chance]]/100),0)</f>
        <v>25</v>
      </c>
      <c r="FF184" s="74" t="str">
        <f ca="1">INDIRECT(ADDRESS(11+(MATCH(RIGHT(Table1820[[#This Row],[spawner_sku]],LEN(Table1820[[#This Row],[spawner_sku]])-FIND("/",Table1820[[#This Row],[spawner_sku]])),Table28[Entity Prefab],0)),26,1,1,"Entities"))</f>
        <v>no</v>
      </c>
      <c r="FG184">
        <v>1</v>
      </c>
      <c r="FH184">
        <v>1</v>
      </c>
      <c r="FI184" t="b">
        <v>0</v>
      </c>
      <c r="FV184" t="s">
        <v>2706</v>
      </c>
      <c r="FW184">
        <v>5.5</v>
      </c>
      <c r="FX184">
        <v>90</v>
      </c>
      <c r="FY184">
        <v>80</v>
      </c>
      <c r="FZ184" s="74">
        <f ca="1">INDIRECT(ADDRESS(11+(MATCH(RIGHT(Table18202324[[#This Row],[spawner_sku]],LEN(Table18202324[[#This Row],[spawner_sku]])-FIND("/",Table18202324[[#This Row],[spawner_sku]])),Table1[Entity Prefab],0)),10,1,1,"Entities"))</f>
        <v>50</v>
      </c>
      <c r="GA184" s="74">
        <f ca="1">ROUND((Table18202324[[#This Row],[XP]]*Table18202324[[#This Row],[entity_spawned (AVG)]])*(Table18202324[[#This Row],[activating_chance]]/100),0)</f>
        <v>220</v>
      </c>
      <c r="GB184" s="74" t="str">
        <f ca="1">INDIRECT(ADDRESS(11+(MATCH(RIGHT(Table18202324[[#This Row],[spawner_sku]],LEN(Table18202324[[#This Row],[spawner_sku]])-FIND("/",Table18202324[[#This Row],[spawner_sku]])),Table28[Entity Prefab],0)),26,1,1,"Entities"))</f>
        <v>no</v>
      </c>
      <c r="GC184">
        <v>5</v>
      </c>
      <c r="GD184">
        <v>6</v>
      </c>
      <c r="GE184" t="b">
        <v>1</v>
      </c>
    </row>
    <row r="185" spans="2:187" x14ac:dyDescent="0.25">
      <c r="B185" s="72" t="s">
        <v>217</v>
      </c>
      <c r="C185">
        <v>3</v>
      </c>
      <c r="D185">
        <v>120</v>
      </c>
      <c r="E185">
        <v>80</v>
      </c>
      <c r="F185" s="74">
        <f ca="1">INDIRECT(ADDRESS(11+(MATCH(RIGHT(Table245[[#This Row],[spawner_sku]],LEN(Table245[[#This Row],[spawner_sku]])-FIND("/",Table245[[#This Row],[spawner_sku]])),Table1[Entity Prefab],0)),10,1,1,"Entities"))</f>
        <v>25</v>
      </c>
      <c r="G185" s="74">
        <f ca="1">ROUND((Table245[[#This Row],[XP]]*Table245[[#This Row],[entity_spawned (AVG)]])*(Table245[[#This Row],[activating_chance]]/100),0)</f>
        <v>60</v>
      </c>
      <c r="H185" s="71" t="str">
        <f ca="1">INDIRECT(ADDRESS(11+(MATCH(RIGHT(Table245[[#This Row],[spawner_sku]],LEN(Table245[[#This Row],[spawner_sku]])-FIND("/",Table245[[#This Row],[spawner_sku]])),Table28[Entity Prefab],0)),24,1,1,"Entities"))</f>
        <v>no</v>
      </c>
      <c r="I185" s="71">
        <v>3</v>
      </c>
      <c r="J185" s="71">
        <v>3</v>
      </c>
      <c r="K185" s="71" t="b">
        <v>0</v>
      </c>
      <c r="M185" t="s">
        <v>366</v>
      </c>
      <c r="N185">
        <v>3</v>
      </c>
      <c r="O185">
        <v>100</v>
      </c>
      <c r="P185">
        <v>100</v>
      </c>
      <c r="Q185" s="74">
        <f ca="1">INDIRECT(ADDRESS(11+(MATCH(RIGHT(Table3[[#This Row],[spawner_sku]],LEN(Table3[[#This Row],[spawner_sku]])-FIND("/",Table3[[#This Row],[spawner_sku]])),Table1[Entity Prefab],0)),10,1,1,"Entities"))</f>
        <v>25</v>
      </c>
      <c r="R185" s="74">
        <f ca="1">ROUND((Table3[[#This Row],[XP]]*Table3[[#This Row],[entity_spawned (AVG)]])*(Table3[[#This Row],[activating_chance]]/100),0)</f>
        <v>75</v>
      </c>
      <c r="S185" t="str">
        <f ca="1">INDIRECT(ADDRESS(11+(MATCH(RIGHT(Table3[[#This Row],[spawner_sku]],LEN(Table3[[#This Row],[spawner_sku]])-FIND("/",Table3[[#This Row],[spawner_sku]])),Table28[Entity Prefab],0)),24,1,1,"Entities"))</f>
        <v>no</v>
      </c>
      <c r="T185">
        <v>3</v>
      </c>
      <c r="U185">
        <v>3</v>
      </c>
      <c r="V185" t="b">
        <v>0</v>
      </c>
      <c r="AI185" t="s">
        <v>228</v>
      </c>
      <c r="AJ185">
        <v>1</v>
      </c>
      <c r="AK185">
        <v>1500</v>
      </c>
      <c r="AL185">
        <v>100</v>
      </c>
      <c r="AM185" s="74">
        <f ca="1">INDIRECT(ADDRESS(11+(MATCH(RIGHT(Table2[[#This Row],[spawner_sku]],LEN(Table2[[#This Row],[spawner_sku]])-FIND("/",Table2[[#This Row],[spawner_sku]])),Table1[Entity Prefab],0)),10,1,1,"Entities"))</f>
        <v>130</v>
      </c>
      <c r="AN185" s="74">
        <f ca="1">ROUND((Table2[[#This Row],[XP]]*Table2[[#This Row],[entity_spawned (AVG)]])*(Table2[[#This Row],[activating_chance]]/100),0)</f>
        <v>130</v>
      </c>
      <c r="AO185" s="71" t="str">
        <f ca="1">INDIRECT(ADDRESS(11+(MATCH(RIGHT(Table2[[#This Row],[spawner_sku]],LEN(Table2[[#This Row],[spawner_sku]])-FIND("/",Table2[[#This Row],[spawner_sku]])),Table28[Entity Prefab],0)),24,1,1,"Entities"))</f>
        <v>yes</v>
      </c>
      <c r="AP185" s="71">
        <v>1</v>
      </c>
      <c r="AQ185" s="71">
        <v>1</v>
      </c>
      <c r="AR185" s="71" t="b">
        <v>0</v>
      </c>
      <c r="BE185" t="s">
        <v>377</v>
      </c>
      <c r="BF185">
        <v>1</v>
      </c>
      <c r="BG185">
        <v>150</v>
      </c>
      <c r="BH185">
        <v>100</v>
      </c>
      <c r="BI185" s="74">
        <f ca="1">INDIRECT(ADDRESS(11+(MATCH(RIGHT(Table610[[#This Row],[spawner_sku]],LEN(Table610[[#This Row],[spawner_sku]])-FIND("/",Table610[[#This Row],[spawner_sku]])),Table1[Entity Prefab],0)),10,1,1,"Entities"))</f>
        <v>25</v>
      </c>
      <c r="BJ185" s="74">
        <f ca="1">ROUND((Table610[[#This Row],[XP]]*Table610[[#This Row],[entity_spawned (AVG)]])*(Table610[[#This Row],[activating_chance]]/100),0)</f>
        <v>25</v>
      </c>
      <c r="BK185" s="71" t="str">
        <f ca="1">INDIRECT(ADDRESS(11+(MATCH(RIGHT(Table610[[#This Row],[spawner_sku]],LEN(Table610[[#This Row],[spawner_sku]])-FIND("/",Table610[[#This Row],[spawner_sku]])),Table28[Entity Prefab],0)),24,1,1,"Entities"))</f>
        <v>no</v>
      </c>
      <c r="BL185">
        <v>1</v>
      </c>
      <c r="BM185">
        <v>1</v>
      </c>
      <c r="BN185" t="b">
        <v>0</v>
      </c>
      <c r="BP185" t="s">
        <v>223</v>
      </c>
      <c r="BQ185">
        <v>2</v>
      </c>
      <c r="BR185">
        <v>200</v>
      </c>
      <c r="BS185">
        <v>100</v>
      </c>
      <c r="BT185" s="74">
        <f ca="1">INDIRECT(ADDRESS(11+(MATCH(RIGHT(Table61011[[#This Row],[spawner_sku]],LEN(Table61011[[#This Row],[spawner_sku]])-FIND("/",Table61011[[#This Row],[spawner_sku]])),Table1[Entity Prefab],0)),10,1,1,"Entities"))</f>
        <v>70</v>
      </c>
      <c r="BU185" s="74">
        <f ca="1">ROUND((Table61011[[#This Row],[XP]]*Table61011[[#This Row],[entity_spawned (AVG)]])*(Table61011[[#This Row],[activating_chance]]/100),0)</f>
        <v>140</v>
      </c>
      <c r="BV185" s="71" t="str">
        <f ca="1">INDIRECT(ADDRESS(11+(MATCH(RIGHT(Table61011[[#This Row],[spawner_sku]],LEN(Table61011[[#This Row],[spawner_sku]])-FIND("/",Table61011[[#This Row],[spawner_sku]])),Table28[Entity Prefab],0)),24,1,1,"Entities"))</f>
        <v>yes</v>
      </c>
      <c r="BW185" s="71">
        <v>2</v>
      </c>
      <c r="BX185" s="71">
        <v>2</v>
      </c>
      <c r="BY185" s="71" t="b">
        <v>0</v>
      </c>
      <c r="BZ185" s="71"/>
      <c r="CA185" s="147" t="s">
        <v>3820</v>
      </c>
      <c r="CB185">
        <v>1</v>
      </c>
      <c r="CC185">
        <v>240</v>
      </c>
      <c r="CD185">
        <v>100</v>
      </c>
      <c r="CE185" s="74">
        <f ca="1">INDIRECT(ADDRESS(11+(MATCH(RIGHT(Table35[[#This Row],[spawner_sku]],LEN(Table35[[#This Row],[spawner_sku]])-FIND("/",Table35[[#This Row],[spawner_sku]])),Table1[Entity Prefab],0)),10,1,1,"Entities"))</f>
        <v>10</v>
      </c>
      <c r="CF185" s="74">
        <f ca="1">ROUND((Table35[[#This Row],[XP]]*Table35[[#This Row],[entity_spawned (AVG)]])*(Table35[[#This Row],[activating_chance]]/100),0)</f>
        <v>10</v>
      </c>
      <c r="CG185" s="144" t="str">
        <f ca="1">INDIRECT(ADDRESS(11+(MATCH(RIGHT(Table35[[#This Row],[spawner_sku]],LEN(Table35[[#This Row],[spawner_sku]])-FIND("/",Table35[[#This Row],[spawner_sku]])),Table28[Entity Prefab],0)),24,1,1,"Entities"))</f>
        <v>no</v>
      </c>
      <c r="CH185">
        <v>1</v>
      </c>
      <c r="CI185">
        <v>1</v>
      </c>
      <c r="CJ185" s="71" t="b">
        <v>0</v>
      </c>
      <c r="CL185" t="s">
        <v>222</v>
      </c>
      <c r="CM185">
        <v>1</v>
      </c>
      <c r="CN185">
        <v>180</v>
      </c>
      <c r="CO185">
        <v>100</v>
      </c>
      <c r="CP185" s="74">
        <f ca="1">INDIRECT(ADDRESS(11+(MATCH(RIGHT(Table11[[#This Row],[spawner_sku]],LEN(Table11[[#This Row],[spawner_sku]])-FIND("/",Table11[[#This Row],[spawner_sku]])),Table1[Entity Prefab],0)),10,1,1,"Entities"))</f>
        <v>25</v>
      </c>
      <c r="CQ185">
        <f ca="1">ROUND((Table11[[#This Row],[XP]]*Table11[[#This Row],[entity_spawned (AVG)]])*(Table11[[#This Row],[activating_chance]]/100),0)</f>
        <v>25</v>
      </c>
      <c r="CR185" s="144" t="str">
        <f ca="1">INDIRECT(ADDRESS(11+(MATCH(RIGHT(Table11[[#This Row],[spawner_sku]],LEN(Table11[[#This Row],[spawner_sku]])-FIND("/",Table11[[#This Row],[spawner_sku]])),Table28[Entity Prefab],0)),25,1,1,"Entities"))</f>
        <v>yes</v>
      </c>
      <c r="CS185" s="71">
        <v>1</v>
      </c>
      <c r="CT185" s="71">
        <v>1</v>
      </c>
      <c r="CU185" s="71" t="b">
        <v>0</v>
      </c>
      <c r="CW185" t="s">
        <v>243</v>
      </c>
      <c r="CX185">
        <v>1</v>
      </c>
      <c r="CY185">
        <v>150</v>
      </c>
      <c r="CZ185">
        <v>80</v>
      </c>
      <c r="DA185" s="74">
        <f ca="1">INDIRECT(ADDRESS(11+(MATCH(RIGHT(Table12[[#This Row],[spawner_sku]],LEN(Table12[[#This Row],[spawner_sku]])-FIND("/",Table12[[#This Row],[spawner_sku]])),Table1[Entity Prefab],0)),10,1,1,"Entities"))</f>
        <v>25</v>
      </c>
      <c r="DB185" s="74">
        <f ca="1">ROUND((Table12[[#This Row],[XP]]*Table12[[#This Row],[entity_spawned (AVG)]])*(Table12[[#This Row],[activating_chance]]/100),0)</f>
        <v>20</v>
      </c>
      <c r="DC185" s="144" t="str">
        <f ca="1">INDIRECT(ADDRESS(11+(MATCH(RIGHT(Table12[[#This Row],[spawner_sku]],LEN(Table12[[#This Row],[spawner_sku]])-FIND("/",Table12[[#This Row],[spawner_sku]])),Table28[Entity Prefab],0)),25,1,1,"Entities"))</f>
        <v>no</v>
      </c>
      <c r="DD185" s="71">
        <v>1</v>
      </c>
      <c r="DE185" s="71">
        <v>1</v>
      </c>
      <c r="DF185" s="71" t="b">
        <v>0</v>
      </c>
      <c r="DH185" t="s">
        <v>241</v>
      </c>
      <c r="DI185">
        <v>1</v>
      </c>
      <c r="DJ185">
        <v>170</v>
      </c>
      <c r="DK185">
        <v>100</v>
      </c>
      <c r="DL185" s="74">
        <f ca="1">INDIRECT(ADDRESS(11+(MATCH(RIGHT(Table13[[#This Row],[spawner_sku]],LEN(Table13[[#This Row],[spawner_sku]])-FIND("/",Table13[[#This Row],[spawner_sku]])),Table1[Entity Prefab],0)),10,1,1,"Entities"))</f>
        <v>70</v>
      </c>
      <c r="DM185" s="74">
        <f ca="1">ROUND((Table13[[#This Row],[XP]]*Table13[[#This Row],[entity_spawned (AVG)]])*(Table13[[#This Row],[activating_chance]]/100),0)</f>
        <v>70</v>
      </c>
      <c r="DN185" s="144" t="str">
        <f ca="1">INDIRECT(ADDRESS(11+(MATCH(RIGHT(Table13[[#This Row],[spawner_sku]],LEN(Table13[[#This Row],[spawner_sku]])-FIND("/",Table13[[#This Row],[spawner_sku]])),Table28[Entity Prefab],0)),25,1,1,"Entities"))</f>
        <v>yes</v>
      </c>
      <c r="DO185" s="71">
        <v>1</v>
      </c>
      <c r="DP185" s="71">
        <v>1</v>
      </c>
      <c r="DQ185" s="71" t="b">
        <v>0</v>
      </c>
      <c r="DS185" t="s">
        <v>223</v>
      </c>
      <c r="DT185">
        <v>1</v>
      </c>
      <c r="DU185">
        <v>120</v>
      </c>
      <c r="DV185">
        <v>50</v>
      </c>
      <c r="DW185" s="74">
        <f ca="1">INDIRECT(ADDRESS(11+(MATCH(RIGHT(Table14[[#This Row],[spawner_sku]],LEN(Table14[[#This Row],[spawner_sku]])-FIND("/",Table14[[#This Row],[spawner_sku]])),Table1[Entity Prefab],0)),10,1,1,"Entities"))</f>
        <v>70</v>
      </c>
      <c r="DX185" s="74">
        <f ca="1">ROUND((Table14[[#This Row],[XP]]*Table14[[#This Row],[entity_spawned (AVG)]])*(Table14[[#This Row],[activating_chance]]/100),0)</f>
        <v>35</v>
      </c>
      <c r="DY185" s="144" t="str">
        <f ca="1">INDIRECT(ADDRESS(11+(MATCH(RIGHT(Table14[[#This Row],[spawner_sku]],LEN(Table14[[#This Row],[spawner_sku]])-FIND("/",Table14[[#This Row],[spawner_sku]])),Table28[Entity Prefab],0)),25,1,1,"Entities"))</f>
        <v>no</v>
      </c>
      <c r="DZ185" s="71">
        <v>1</v>
      </c>
      <c r="EA185" s="71">
        <v>1</v>
      </c>
      <c r="EB185" s="71" t="b">
        <v>0</v>
      </c>
      <c r="EC185" s="71"/>
      <c r="EO185" t="s">
        <v>493</v>
      </c>
      <c r="EP185">
        <v>3</v>
      </c>
      <c r="EQ185">
        <v>120</v>
      </c>
      <c r="ER185">
        <v>100</v>
      </c>
      <c r="ES185" s="74">
        <f ca="1">INDIRECT(ADDRESS(11+(MATCH(RIGHT(Table18[[#This Row],[spawner_sku]],LEN(Table18[[#This Row],[spawner_sku]])-FIND("/",Table18[[#This Row],[spawner_sku]])),Table1[Entity Prefab],0)),10,1,1,"Entities"))</f>
        <v>35</v>
      </c>
      <c r="ET185" s="74">
        <f ca="1">ROUND((Table18[[#This Row],[XP]]*Table18[[#This Row],[entity_spawned (AVG)]])*(Table18[[#This Row],[activating_chance]]/100),0)</f>
        <v>105</v>
      </c>
      <c r="EU185" s="74" t="str">
        <f ca="1">INDIRECT(ADDRESS(11+(MATCH(RIGHT(Table18[[#This Row],[spawner_sku]],LEN(Table18[[#This Row],[spawner_sku]])-FIND("/",Table18[[#This Row],[spawner_sku]])),Table28[Entity Prefab],0)),26,1,1,"Entities"))</f>
        <v>no</v>
      </c>
      <c r="EV185">
        <v>3</v>
      </c>
      <c r="EW185">
        <v>3</v>
      </c>
      <c r="EX185" t="b">
        <v>0</v>
      </c>
      <c r="EZ185" t="s">
        <v>233</v>
      </c>
      <c r="FA185">
        <v>3</v>
      </c>
      <c r="FB185">
        <v>500</v>
      </c>
      <c r="FC185">
        <v>100</v>
      </c>
      <c r="FD185" s="74">
        <f ca="1">INDIRECT(ADDRESS(11+(MATCH(RIGHT(Table1820[[#This Row],[spawner_sku]],LEN(Table1820[[#This Row],[spawner_sku]])-FIND("/",Table1820[[#This Row],[spawner_sku]])),Table1[Entity Prefab],0)),10,1,1,"Entities"))</f>
        <v>25</v>
      </c>
      <c r="FE185" s="74">
        <f ca="1">ROUND((Table1820[[#This Row],[XP]]*Table1820[[#This Row],[entity_spawned (AVG)]])*(Table1820[[#This Row],[activating_chance]]/100),0)</f>
        <v>75</v>
      </c>
      <c r="FF185" s="74" t="str">
        <f ca="1">INDIRECT(ADDRESS(11+(MATCH(RIGHT(Table1820[[#This Row],[spawner_sku]],LEN(Table1820[[#This Row],[spawner_sku]])-FIND("/",Table1820[[#This Row],[spawner_sku]])),Table28[Entity Prefab],0)),26,1,1,"Entities"))</f>
        <v>no</v>
      </c>
      <c r="FG185">
        <v>3</v>
      </c>
      <c r="FH185">
        <v>3</v>
      </c>
      <c r="FI185" t="b">
        <v>0</v>
      </c>
      <c r="FV185" t="s">
        <v>2706</v>
      </c>
      <c r="FW185">
        <v>3</v>
      </c>
      <c r="FX185">
        <v>100</v>
      </c>
      <c r="FY185">
        <v>80</v>
      </c>
      <c r="FZ185" s="74">
        <f ca="1">INDIRECT(ADDRESS(11+(MATCH(RIGHT(Table18202324[[#This Row],[spawner_sku]],LEN(Table18202324[[#This Row],[spawner_sku]])-FIND("/",Table18202324[[#This Row],[spawner_sku]])),Table1[Entity Prefab],0)),10,1,1,"Entities"))</f>
        <v>50</v>
      </c>
      <c r="GA185" s="74">
        <f ca="1">ROUND((Table18202324[[#This Row],[XP]]*Table18202324[[#This Row],[entity_spawned (AVG)]])*(Table18202324[[#This Row],[activating_chance]]/100),0)</f>
        <v>120</v>
      </c>
      <c r="GB185" s="74" t="str">
        <f ca="1">INDIRECT(ADDRESS(11+(MATCH(RIGHT(Table18202324[[#This Row],[spawner_sku]],LEN(Table18202324[[#This Row],[spawner_sku]])-FIND("/",Table18202324[[#This Row],[spawner_sku]])),Table28[Entity Prefab],0)),26,1,1,"Entities"))</f>
        <v>no</v>
      </c>
      <c r="GC185">
        <v>2</v>
      </c>
      <c r="GD185">
        <v>4</v>
      </c>
      <c r="GE185" t="b">
        <v>0</v>
      </c>
    </row>
    <row r="186" spans="2:187" x14ac:dyDescent="0.25">
      <c r="B186" s="72" t="s">
        <v>217</v>
      </c>
      <c r="C186">
        <v>1</v>
      </c>
      <c r="D186">
        <v>100</v>
      </c>
      <c r="E186">
        <v>100</v>
      </c>
      <c r="F186" s="74">
        <f ca="1">INDIRECT(ADDRESS(11+(MATCH(RIGHT(Table245[[#This Row],[spawner_sku]],LEN(Table245[[#This Row],[spawner_sku]])-FIND("/",Table245[[#This Row],[spawner_sku]])),Table1[Entity Prefab],0)),10,1,1,"Entities"))</f>
        <v>25</v>
      </c>
      <c r="G186" s="74">
        <f ca="1">ROUND((Table245[[#This Row],[XP]]*Table245[[#This Row],[entity_spawned (AVG)]])*(Table245[[#This Row],[activating_chance]]/100),0)</f>
        <v>25</v>
      </c>
      <c r="H186" s="71" t="str">
        <f ca="1">INDIRECT(ADDRESS(11+(MATCH(RIGHT(Table245[[#This Row],[spawner_sku]],LEN(Table245[[#This Row],[spawner_sku]])-FIND("/",Table245[[#This Row],[spawner_sku]])),Table28[Entity Prefab],0)),24,1,1,"Entities"))</f>
        <v>no</v>
      </c>
      <c r="I186" s="71">
        <v>1</v>
      </c>
      <c r="J186" s="71">
        <v>1</v>
      </c>
      <c r="K186" s="71" t="b">
        <v>0</v>
      </c>
      <c r="M186" t="s">
        <v>230</v>
      </c>
      <c r="N186">
        <v>1</v>
      </c>
      <c r="O186">
        <v>200</v>
      </c>
      <c r="P186">
        <v>100</v>
      </c>
      <c r="Q186" s="74">
        <f ca="1">INDIRECT(ADDRESS(11+(MATCH(RIGHT(Table3[[#This Row],[spawner_sku]],LEN(Table3[[#This Row],[spawner_sku]])-FIND("/",Table3[[#This Row],[spawner_sku]])),Table1[Entity Prefab],0)),10,1,1,"Entities"))</f>
        <v>28</v>
      </c>
      <c r="R186" s="74">
        <f ca="1">ROUND((Table3[[#This Row],[XP]]*Table3[[#This Row],[entity_spawned (AVG)]])*(Table3[[#This Row],[activating_chance]]/100),0)</f>
        <v>28</v>
      </c>
      <c r="S186" t="str">
        <f ca="1">INDIRECT(ADDRESS(11+(MATCH(RIGHT(Table3[[#This Row],[spawner_sku]],LEN(Table3[[#This Row],[spawner_sku]])-FIND("/",Table3[[#This Row],[spawner_sku]])),Table28[Entity Prefab],0)),24,1,1,"Entities"))</f>
        <v>no</v>
      </c>
      <c r="T186">
        <v>1</v>
      </c>
      <c r="U186">
        <v>1</v>
      </c>
      <c r="V186" t="b">
        <v>0</v>
      </c>
      <c r="AI186" t="s">
        <v>228</v>
      </c>
      <c r="AJ186">
        <v>1</v>
      </c>
      <c r="AK186">
        <v>1500</v>
      </c>
      <c r="AL186">
        <v>100</v>
      </c>
      <c r="AM186" s="74">
        <f ca="1">INDIRECT(ADDRESS(11+(MATCH(RIGHT(Table2[[#This Row],[spawner_sku]],LEN(Table2[[#This Row],[spawner_sku]])-FIND("/",Table2[[#This Row],[spawner_sku]])),Table1[Entity Prefab],0)),10,1,1,"Entities"))</f>
        <v>130</v>
      </c>
      <c r="AN186" s="74">
        <f ca="1">ROUND((Table2[[#This Row],[XP]]*Table2[[#This Row],[entity_spawned (AVG)]])*(Table2[[#This Row],[activating_chance]]/100),0)</f>
        <v>130</v>
      </c>
      <c r="AO186" s="71" t="str">
        <f ca="1">INDIRECT(ADDRESS(11+(MATCH(RIGHT(Table2[[#This Row],[spawner_sku]],LEN(Table2[[#This Row],[spawner_sku]])-FIND("/",Table2[[#This Row],[spawner_sku]])),Table28[Entity Prefab],0)),24,1,1,"Entities"))</f>
        <v>yes</v>
      </c>
      <c r="AP186" s="71">
        <v>1</v>
      </c>
      <c r="AQ186" s="71">
        <v>1</v>
      </c>
      <c r="AR186" s="71" t="b">
        <v>0</v>
      </c>
      <c r="BE186" t="s">
        <v>377</v>
      </c>
      <c r="BF186">
        <v>2</v>
      </c>
      <c r="BG186">
        <v>150</v>
      </c>
      <c r="BH186">
        <v>100</v>
      </c>
      <c r="BI186" s="74">
        <f ca="1">INDIRECT(ADDRESS(11+(MATCH(RIGHT(Table610[[#This Row],[spawner_sku]],LEN(Table610[[#This Row],[spawner_sku]])-FIND("/",Table610[[#This Row],[spawner_sku]])),Table1[Entity Prefab],0)),10,1,1,"Entities"))</f>
        <v>25</v>
      </c>
      <c r="BJ186" s="74">
        <f ca="1">ROUND((Table610[[#This Row],[XP]]*Table610[[#This Row],[entity_spawned (AVG)]])*(Table610[[#This Row],[activating_chance]]/100),0)</f>
        <v>50</v>
      </c>
      <c r="BK186" s="71" t="str">
        <f ca="1">INDIRECT(ADDRESS(11+(MATCH(RIGHT(Table610[[#This Row],[spawner_sku]],LEN(Table610[[#This Row],[spawner_sku]])-FIND("/",Table610[[#This Row],[spawner_sku]])),Table28[Entity Prefab],0)),24,1,1,"Entities"))</f>
        <v>no</v>
      </c>
      <c r="BL186">
        <v>1</v>
      </c>
      <c r="BM186">
        <v>3</v>
      </c>
      <c r="BN186" t="b">
        <v>0</v>
      </c>
      <c r="BP186" t="s">
        <v>223</v>
      </c>
      <c r="BQ186">
        <v>1</v>
      </c>
      <c r="BR186">
        <v>220</v>
      </c>
      <c r="BS186">
        <v>100</v>
      </c>
      <c r="BT186" s="74">
        <f ca="1">INDIRECT(ADDRESS(11+(MATCH(RIGHT(Table61011[[#This Row],[spawner_sku]],LEN(Table61011[[#This Row],[spawner_sku]])-FIND("/",Table61011[[#This Row],[spawner_sku]])),Table1[Entity Prefab],0)),10,1,1,"Entities"))</f>
        <v>70</v>
      </c>
      <c r="BU186" s="74">
        <f ca="1">ROUND((Table61011[[#This Row],[XP]]*Table61011[[#This Row],[entity_spawned (AVG)]])*(Table61011[[#This Row],[activating_chance]]/100),0)</f>
        <v>70</v>
      </c>
      <c r="BV186" s="71" t="str">
        <f ca="1">INDIRECT(ADDRESS(11+(MATCH(RIGHT(Table61011[[#This Row],[spawner_sku]],LEN(Table61011[[#This Row],[spawner_sku]])-FIND("/",Table61011[[#This Row],[spawner_sku]])),Table28[Entity Prefab],0)),24,1,1,"Entities"))</f>
        <v>yes</v>
      </c>
      <c r="BW186" s="71">
        <v>1</v>
      </c>
      <c r="BX186" s="71">
        <v>1</v>
      </c>
      <c r="BY186" s="71" t="b">
        <v>0</v>
      </c>
      <c r="BZ186" s="71"/>
      <c r="CA186" s="147" t="s">
        <v>3822</v>
      </c>
      <c r="CB186">
        <v>1</v>
      </c>
      <c r="CC186">
        <v>240</v>
      </c>
      <c r="CD186">
        <v>100</v>
      </c>
      <c r="CE186" s="74">
        <f ca="1">INDIRECT(ADDRESS(11+(MATCH(RIGHT(Table35[[#This Row],[spawner_sku]],LEN(Table35[[#This Row],[spawner_sku]])-FIND("/",Table35[[#This Row],[spawner_sku]])),Table1[Entity Prefab],0)),10,1,1,"Entities"))</f>
        <v>10</v>
      </c>
      <c r="CF186" s="74">
        <f ca="1">ROUND((Table35[[#This Row],[XP]]*Table35[[#This Row],[entity_spawned (AVG)]])*(Table35[[#This Row],[activating_chance]]/100),0)</f>
        <v>10</v>
      </c>
      <c r="CG186" s="144" t="str">
        <f ca="1">INDIRECT(ADDRESS(11+(MATCH(RIGHT(Table35[[#This Row],[spawner_sku]],LEN(Table35[[#This Row],[spawner_sku]])-FIND("/",Table35[[#This Row],[spawner_sku]])),Table28[Entity Prefab],0)),24,1,1,"Entities"))</f>
        <v>no</v>
      </c>
      <c r="CH186">
        <v>1</v>
      </c>
      <c r="CI186">
        <v>1</v>
      </c>
      <c r="CJ186" s="71" t="b">
        <v>0</v>
      </c>
      <c r="CL186" t="s">
        <v>222</v>
      </c>
      <c r="CM186">
        <v>1</v>
      </c>
      <c r="CN186">
        <v>190</v>
      </c>
      <c r="CO186">
        <v>30</v>
      </c>
      <c r="CP186" s="74">
        <f ca="1">INDIRECT(ADDRESS(11+(MATCH(RIGHT(Table11[[#This Row],[spawner_sku]],LEN(Table11[[#This Row],[spawner_sku]])-FIND("/",Table11[[#This Row],[spawner_sku]])),Table1[Entity Prefab],0)),10,1,1,"Entities"))</f>
        <v>25</v>
      </c>
      <c r="CQ186">
        <f ca="1">ROUND((Table11[[#This Row],[XP]]*Table11[[#This Row],[entity_spawned (AVG)]])*(Table11[[#This Row],[activating_chance]]/100),0)</f>
        <v>8</v>
      </c>
      <c r="CR186" s="144" t="str">
        <f ca="1">INDIRECT(ADDRESS(11+(MATCH(RIGHT(Table11[[#This Row],[spawner_sku]],LEN(Table11[[#This Row],[spawner_sku]])-FIND("/",Table11[[#This Row],[spawner_sku]])),Table28[Entity Prefab],0)),25,1,1,"Entities"))</f>
        <v>yes</v>
      </c>
      <c r="CS186" s="71">
        <v>1</v>
      </c>
      <c r="CT186" s="71">
        <v>1</v>
      </c>
      <c r="CU186" s="71" t="b">
        <v>0</v>
      </c>
      <c r="CW186" t="s">
        <v>243</v>
      </c>
      <c r="CX186">
        <v>3</v>
      </c>
      <c r="CY186">
        <v>150</v>
      </c>
      <c r="CZ186">
        <v>100</v>
      </c>
      <c r="DA186" s="74">
        <f ca="1">INDIRECT(ADDRESS(11+(MATCH(RIGHT(Table12[[#This Row],[spawner_sku]],LEN(Table12[[#This Row],[spawner_sku]])-FIND("/",Table12[[#This Row],[spawner_sku]])),Table1[Entity Prefab],0)),10,1,1,"Entities"))</f>
        <v>25</v>
      </c>
      <c r="DB186" s="74">
        <f ca="1">ROUND((Table12[[#This Row],[XP]]*Table12[[#This Row],[entity_spawned (AVG)]])*(Table12[[#This Row],[activating_chance]]/100),0)</f>
        <v>75</v>
      </c>
      <c r="DC186" s="144" t="str">
        <f ca="1">INDIRECT(ADDRESS(11+(MATCH(RIGHT(Table12[[#This Row],[spawner_sku]],LEN(Table12[[#This Row],[spawner_sku]])-FIND("/",Table12[[#This Row],[spawner_sku]])),Table28[Entity Prefab],0)),25,1,1,"Entities"))</f>
        <v>no</v>
      </c>
      <c r="DD186" s="71">
        <v>3</v>
      </c>
      <c r="DE186" s="71">
        <v>3</v>
      </c>
      <c r="DF186" s="71" t="b">
        <v>0</v>
      </c>
      <c r="DH186" t="s">
        <v>242</v>
      </c>
      <c r="DI186">
        <v>1</v>
      </c>
      <c r="DJ186">
        <v>150</v>
      </c>
      <c r="DK186">
        <v>100</v>
      </c>
      <c r="DL186" s="74">
        <f ca="1">INDIRECT(ADDRESS(11+(MATCH(RIGHT(Table13[[#This Row],[spawner_sku]],LEN(Table13[[#This Row],[spawner_sku]])-FIND("/",Table13[[#This Row],[spawner_sku]])),Table1[Entity Prefab],0)),10,1,1,"Entities"))</f>
        <v>25</v>
      </c>
      <c r="DM186" s="74">
        <f ca="1">ROUND((Table13[[#This Row],[XP]]*Table13[[#This Row],[entity_spawned (AVG)]])*(Table13[[#This Row],[activating_chance]]/100),0)</f>
        <v>25</v>
      </c>
      <c r="DN186" s="144" t="str">
        <f ca="1">INDIRECT(ADDRESS(11+(MATCH(RIGHT(Table13[[#This Row],[spawner_sku]],LEN(Table13[[#This Row],[spawner_sku]])-FIND("/",Table13[[#This Row],[spawner_sku]])),Table28[Entity Prefab],0)),25,1,1,"Entities"))</f>
        <v>no</v>
      </c>
      <c r="DO186" s="71">
        <v>1</v>
      </c>
      <c r="DP186" s="71">
        <v>1</v>
      </c>
      <c r="DQ186" s="71" t="b">
        <v>0</v>
      </c>
      <c r="DS186" t="s">
        <v>223</v>
      </c>
      <c r="DT186">
        <v>1</v>
      </c>
      <c r="DU186">
        <v>110</v>
      </c>
      <c r="DV186">
        <v>100</v>
      </c>
      <c r="DW186" s="74">
        <f ca="1">INDIRECT(ADDRESS(11+(MATCH(RIGHT(Table14[[#This Row],[spawner_sku]],LEN(Table14[[#This Row],[spawner_sku]])-FIND("/",Table14[[#This Row],[spawner_sku]])),Table1[Entity Prefab],0)),10,1,1,"Entities"))</f>
        <v>70</v>
      </c>
      <c r="DX186" s="74">
        <f ca="1">ROUND((Table14[[#This Row],[XP]]*Table14[[#This Row],[entity_spawned (AVG)]])*(Table14[[#This Row],[activating_chance]]/100),0)</f>
        <v>70</v>
      </c>
      <c r="DY186" s="144" t="str">
        <f ca="1">INDIRECT(ADDRESS(11+(MATCH(RIGHT(Table14[[#This Row],[spawner_sku]],LEN(Table14[[#This Row],[spawner_sku]])-FIND("/",Table14[[#This Row],[spawner_sku]])),Table28[Entity Prefab],0)),25,1,1,"Entities"))</f>
        <v>no</v>
      </c>
      <c r="DZ186" s="71">
        <v>1</v>
      </c>
      <c r="EA186" s="71">
        <v>1</v>
      </c>
      <c r="EB186" s="71" t="b">
        <v>0</v>
      </c>
      <c r="EC186" s="71"/>
      <c r="EO186" t="s">
        <v>493</v>
      </c>
      <c r="EP186">
        <v>3</v>
      </c>
      <c r="EQ186">
        <v>130</v>
      </c>
      <c r="ER186">
        <v>100</v>
      </c>
      <c r="ES186" s="74">
        <f ca="1">INDIRECT(ADDRESS(11+(MATCH(RIGHT(Table18[[#This Row],[spawner_sku]],LEN(Table18[[#This Row],[spawner_sku]])-FIND("/",Table18[[#This Row],[spawner_sku]])),Table1[Entity Prefab],0)),10,1,1,"Entities"))</f>
        <v>35</v>
      </c>
      <c r="ET186" s="74">
        <f ca="1">ROUND((Table18[[#This Row],[XP]]*Table18[[#This Row],[entity_spawned (AVG)]])*(Table18[[#This Row],[activating_chance]]/100),0)</f>
        <v>105</v>
      </c>
      <c r="EU186" s="74" t="str">
        <f ca="1">INDIRECT(ADDRESS(11+(MATCH(RIGHT(Table18[[#This Row],[spawner_sku]],LEN(Table18[[#This Row],[spawner_sku]])-FIND("/",Table18[[#This Row],[spawner_sku]])),Table28[Entity Prefab],0)),26,1,1,"Entities"))</f>
        <v>no</v>
      </c>
      <c r="EV186">
        <v>2</v>
      </c>
      <c r="EW186">
        <v>4</v>
      </c>
      <c r="EX186" t="b">
        <v>0</v>
      </c>
      <c r="EZ186" t="s">
        <v>233</v>
      </c>
      <c r="FA186">
        <v>1</v>
      </c>
      <c r="FB186">
        <v>500</v>
      </c>
      <c r="FC186">
        <v>100</v>
      </c>
      <c r="FD186" s="74">
        <f ca="1">INDIRECT(ADDRESS(11+(MATCH(RIGHT(Table1820[[#This Row],[spawner_sku]],LEN(Table1820[[#This Row],[spawner_sku]])-FIND("/",Table1820[[#This Row],[spawner_sku]])),Table1[Entity Prefab],0)),10,1,1,"Entities"))</f>
        <v>25</v>
      </c>
      <c r="FE186" s="74">
        <f ca="1">ROUND((Table1820[[#This Row],[XP]]*Table1820[[#This Row],[entity_spawned (AVG)]])*(Table1820[[#This Row],[activating_chance]]/100),0)</f>
        <v>25</v>
      </c>
      <c r="FF186" s="74" t="str">
        <f ca="1">INDIRECT(ADDRESS(11+(MATCH(RIGHT(Table1820[[#This Row],[spawner_sku]],LEN(Table1820[[#This Row],[spawner_sku]])-FIND("/",Table1820[[#This Row],[spawner_sku]])),Table28[Entity Prefab],0)),26,1,1,"Entities"))</f>
        <v>no</v>
      </c>
      <c r="FG186">
        <v>1</v>
      </c>
      <c r="FH186">
        <v>1</v>
      </c>
      <c r="FI186" t="b">
        <v>0</v>
      </c>
      <c r="FV186" t="s">
        <v>2706</v>
      </c>
      <c r="FW186">
        <v>6.5</v>
      </c>
      <c r="FX186">
        <v>100</v>
      </c>
      <c r="FY186">
        <v>80</v>
      </c>
      <c r="FZ186" s="74">
        <f ca="1">INDIRECT(ADDRESS(11+(MATCH(RIGHT(Table18202324[[#This Row],[spawner_sku]],LEN(Table18202324[[#This Row],[spawner_sku]])-FIND("/",Table18202324[[#This Row],[spawner_sku]])),Table1[Entity Prefab],0)),10,1,1,"Entities"))</f>
        <v>50</v>
      </c>
      <c r="GA186" s="74">
        <f ca="1">ROUND((Table18202324[[#This Row],[XP]]*Table18202324[[#This Row],[entity_spawned (AVG)]])*(Table18202324[[#This Row],[activating_chance]]/100),0)</f>
        <v>260</v>
      </c>
      <c r="GB186" s="74" t="str">
        <f ca="1">INDIRECT(ADDRESS(11+(MATCH(RIGHT(Table18202324[[#This Row],[spawner_sku]],LEN(Table18202324[[#This Row],[spawner_sku]])-FIND("/",Table18202324[[#This Row],[spawner_sku]])),Table28[Entity Prefab],0)),26,1,1,"Entities"))</f>
        <v>no</v>
      </c>
      <c r="GC186">
        <v>5</v>
      </c>
      <c r="GD186">
        <v>8</v>
      </c>
      <c r="GE186" t="b">
        <v>1</v>
      </c>
    </row>
    <row r="187" spans="2:187" x14ac:dyDescent="0.25">
      <c r="B187" s="72" t="s">
        <v>217</v>
      </c>
      <c r="C187">
        <v>3</v>
      </c>
      <c r="D187">
        <v>140</v>
      </c>
      <c r="E187">
        <v>60</v>
      </c>
      <c r="F187" s="74">
        <f ca="1">INDIRECT(ADDRESS(11+(MATCH(RIGHT(Table245[[#This Row],[spawner_sku]],LEN(Table245[[#This Row],[spawner_sku]])-FIND("/",Table245[[#This Row],[spawner_sku]])),Table1[Entity Prefab],0)),10,1,1,"Entities"))</f>
        <v>25</v>
      </c>
      <c r="G187" s="74">
        <f ca="1">ROUND((Table245[[#This Row],[XP]]*Table245[[#This Row],[entity_spawned (AVG)]])*(Table245[[#This Row],[activating_chance]]/100),0)</f>
        <v>45</v>
      </c>
      <c r="H187" s="71" t="str">
        <f ca="1">INDIRECT(ADDRESS(11+(MATCH(RIGHT(Table245[[#This Row],[spawner_sku]],LEN(Table245[[#This Row],[spawner_sku]])-FIND("/",Table245[[#This Row],[spawner_sku]])),Table28[Entity Prefab],0)),24,1,1,"Entities"))</f>
        <v>no</v>
      </c>
      <c r="I187" s="71">
        <v>2</v>
      </c>
      <c r="J187" s="71">
        <v>4</v>
      </c>
      <c r="K187" s="71" t="b">
        <v>0</v>
      </c>
      <c r="M187" t="s">
        <v>215</v>
      </c>
      <c r="N187">
        <v>3</v>
      </c>
      <c r="O187">
        <v>80</v>
      </c>
      <c r="P187">
        <v>80</v>
      </c>
      <c r="Q187" s="74">
        <f ca="1">INDIRECT(ADDRESS(11+(MATCH(RIGHT(Table3[[#This Row],[spawner_sku]],LEN(Table3[[#This Row],[spawner_sku]])-FIND("/",Table3[[#This Row],[spawner_sku]])),Table1[Entity Prefab],0)),10,1,1,"Entities"))</f>
        <v>25</v>
      </c>
      <c r="R187" s="74">
        <f ca="1">ROUND((Table3[[#This Row],[XP]]*Table3[[#This Row],[entity_spawned (AVG)]])*(Table3[[#This Row],[activating_chance]]/100),0)</f>
        <v>60</v>
      </c>
      <c r="S187" t="str">
        <f ca="1">INDIRECT(ADDRESS(11+(MATCH(RIGHT(Table3[[#This Row],[spawner_sku]],LEN(Table3[[#This Row],[spawner_sku]])-FIND("/",Table3[[#This Row],[spawner_sku]])),Table28[Entity Prefab],0)),24,1,1,"Entities"))</f>
        <v>no</v>
      </c>
      <c r="T187">
        <v>2</v>
      </c>
      <c r="U187">
        <v>4</v>
      </c>
      <c r="V187" t="b">
        <v>0</v>
      </c>
      <c r="AI187" t="s">
        <v>228</v>
      </c>
      <c r="AJ187">
        <v>1</v>
      </c>
      <c r="AK187">
        <v>1500</v>
      </c>
      <c r="AL187">
        <v>100</v>
      </c>
      <c r="AM187" s="74">
        <f ca="1">INDIRECT(ADDRESS(11+(MATCH(RIGHT(Table2[[#This Row],[spawner_sku]],LEN(Table2[[#This Row],[spawner_sku]])-FIND("/",Table2[[#This Row],[spawner_sku]])),Table1[Entity Prefab],0)),10,1,1,"Entities"))</f>
        <v>130</v>
      </c>
      <c r="AN187" s="74">
        <f ca="1">ROUND((Table2[[#This Row],[XP]]*Table2[[#This Row],[entity_spawned (AVG)]])*(Table2[[#This Row],[activating_chance]]/100),0)</f>
        <v>130</v>
      </c>
      <c r="AO187" s="71" t="str">
        <f ca="1">INDIRECT(ADDRESS(11+(MATCH(RIGHT(Table2[[#This Row],[spawner_sku]],LEN(Table2[[#This Row],[spawner_sku]])-FIND("/",Table2[[#This Row],[spawner_sku]])),Table28[Entity Prefab],0)),24,1,1,"Entities"))</f>
        <v>yes</v>
      </c>
      <c r="AP187" s="71">
        <v>1</v>
      </c>
      <c r="AQ187" s="71">
        <v>1</v>
      </c>
      <c r="AR187" s="71" t="b">
        <v>0</v>
      </c>
      <c r="BE187" t="s">
        <v>377</v>
      </c>
      <c r="BF187">
        <v>3</v>
      </c>
      <c r="BG187">
        <v>90</v>
      </c>
      <c r="BH187">
        <v>100</v>
      </c>
      <c r="BI187" s="74">
        <f ca="1">INDIRECT(ADDRESS(11+(MATCH(RIGHT(Table610[[#This Row],[spawner_sku]],LEN(Table610[[#This Row],[spawner_sku]])-FIND("/",Table610[[#This Row],[spawner_sku]])),Table1[Entity Prefab],0)),10,1,1,"Entities"))</f>
        <v>25</v>
      </c>
      <c r="BJ187" s="74">
        <f ca="1">ROUND((Table610[[#This Row],[XP]]*Table610[[#This Row],[entity_spawned (AVG)]])*(Table610[[#This Row],[activating_chance]]/100),0)</f>
        <v>75</v>
      </c>
      <c r="BK187" s="71" t="str">
        <f ca="1">INDIRECT(ADDRESS(11+(MATCH(RIGHT(Table610[[#This Row],[spawner_sku]],LEN(Table610[[#This Row],[spawner_sku]])-FIND("/",Table610[[#This Row],[spawner_sku]])),Table28[Entity Prefab],0)),24,1,1,"Entities"))</f>
        <v>no</v>
      </c>
      <c r="BL187">
        <v>3</v>
      </c>
      <c r="BM187">
        <v>3</v>
      </c>
      <c r="BN187" t="b">
        <v>0</v>
      </c>
      <c r="BP187" t="s">
        <v>223</v>
      </c>
      <c r="BQ187">
        <v>2</v>
      </c>
      <c r="BR187">
        <v>200</v>
      </c>
      <c r="BS187">
        <v>50</v>
      </c>
      <c r="BT187" s="74">
        <f ca="1">INDIRECT(ADDRESS(11+(MATCH(RIGHT(Table61011[[#This Row],[spawner_sku]],LEN(Table61011[[#This Row],[spawner_sku]])-FIND("/",Table61011[[#This Row],[spawner_sku]])),Table1[Entity Prefab],0)),10,1,1,"Entities"))</f>
        <v>70</v>
      </c>
      <c r="BU187" s="74">
        <f ca="1">ROUND((Table61011[[#This Row],[XP]]*Table61011[[#This Row],[entity_spawned (AVG)]])*(Table61011[[#This Row],[activating_chance]]/100),0)</f>
        <v>70</v>
      </c>
      <c r="BV187" s="71" t="str">
        <f ca="1">INDIRECT(ADDRESS(11+(MATCH(RIGHT(Table61011[[#This Row],[spawner_sku]],LEN(Table61011[[#This Row],[spawner_sku]])-FIND("/",Table61011[[#This Row],[spawner_sku]])),Table28[Entity Prefab],0)),24,1,1,"Entities"))</f>
        <v>yes</v>
      </c>
      <c r="BW187" s="71">
        <v>2</v>
      </c>
      <c r="BX187" s="71">
        <v>2</v>
      </c>
      <c r="BY187" s="71" t="b">
        <v>0</v>
      </c>
      <c r="BZ187" s="71"/>
      <c r="CA187" s="147" t="s">
        <v>3822</v>
      </c>
      <c r="CB187">
        <v>1</v>
      </c>
      <c r="CC187">
        <v>240</v>
      </c>
      <c r="CD187">
        <v>100</v>
      </c>
      <c r="CE187" s="74">
        <f ca="1">INDIRECT(ADDRESS(11+(MATCH(RIGHT(Table35[[#This Row],[spawner_sku]],LEN(Table35[[#This Row],[spawner_sku]])-FIND("/",Table35[[#This Row],[spawner_sku]])),Table1[Entity Prefab],0)),10,1,1,"Entities"))</f>
        <v>10</v>
      </c>
      <c r="CF187" s="74">
        <f ca="1">ROUND((Table35[[#This Row],[XP]]*Table35[[#This Row],[entity_spawned (AVG)]])*(Table35[[#This Row],[activating_chance]]/100),0)</f>
        <v>10</v>
      </c>
      <c r="CG187" s="144" t="str">
        <f ca="1">INDIRECT(ADDRESS(11+(MATCH(RIGHT(Table35[[#This Row],[spawner_sku]],LEN(Table35[[#This Row],[spawner_sku]])-FIND("/",Table35[[#This Row],[spawner_sku]])),Table28[Entity Prefab],0)),24,1,1,"Entities"))</f>
        <v>no</v>
      </c>
      <c r="CH187">
        <v>1</v>
      </c>
      <c r="CI187">
        <v>1</v>
      </c>
      <c r="CJ187" s="71" t="b">
        <v>0</v>
      </c>
      <c r="CL187" t="s">
        <v>222</v>
      </c>
      <c r="CM187">
        <v>1</v>
      </c>
      <c r="CN187">
        <v>180</v>
      </c>
      <c r="CO187">
        <v>100</v>
      </c>
      <c r="CP187" s="74">
        <f ca="1">INDIRECT(ADDRESS(11+(MATCH(RIGHT(Table11[[#This Row],[spawner_sku]],LEN(Table11[[#This Row],[spawner_sku]])-FIND("/",Table11[[#This Row],[spawner_sku]])),Table1[Entity Prefab],0)),10,1,1,"Entities"))</f>
        <v>25</v>
      </c>
      <c r="CQ187">
        <f ca="1">ROUND((Table11[[#This Row],[XP]]*Table11[[#This Row],[entity_spawned (AVG)]])*(Table11[[#This Row],[activating_chance]]/100),0)</f>
        <v>25</v>
      </c>
      <c r="CR187" s="144" t="str">
        <f ca="1">INDIRECT(ADDRESS(11+(MATCH(RIGHT(Table11[[#This Row],[spawner_sku]],LEN(Table11[[#This Row],[spawner_sku]])-FIND("/",Table11[[#This Row],[spawner_sku]])),Table28[Entity Prefab],0)),25,1,1,"Entities"))</f>
        <v>yes</v>
      </c>
      <c r="CS187" s="71">
        <v>1</v>
      </c>
      <c r="CT187" s="71">
        <v>1</v>
      </c>
      <c r="CU187" s="71" t="b">
        <v>0</v>
      </c>
      <c r="CW187" t="s">
        <v>243</v>
      </c>
      <c r="CX187">
        <v>1</v>
      </c>
      <c r="CY187">
        <v>150</v>
      </c>
      <c r="CZ187">
        <v>50</v>
      </c>
      <c r="DA187" s="74">
        <f ca="1">INDIRECT(ADDRESS(11+(MATCH(RIGHT(Table12[[#This Row],[spawner_sku]],LEN(Table12[[#This Row],[spawner_sku]])-FIND("/",Table12[[#This Row],[spawner_sku]])),Table1[Entity Prefab],0)),10,1,1,"Entities"))</f>
        <v>25</v>
      </c>
      <c r="DB187" s="74">
        <f ca="1">ROUND((Table12[[#This Row],[XP]]*Table12[[#This Row],[entity_spawned (AVG)]])*(Table12[[#This Row],[activating_chance]]/100),0)</f>
        <v>13</v>
      </c>
      <c r="DC187" s="144" t="str">
        <f ca="1">INDIRECT(ADDRESS(11+(MATCH(RIGHT(Table12[[#This Row],[spawner_sku]],LEN(Table12[[#This Row],[spawner_sku]])-FIND("/",Table12[[#This Row],[spawner_sku]])),Table28[Entity Prefab],0)),25,1,1,"Entities"))</f>
        <v>no</v>
      </c>
      <c r="DD187" s="71">
        <v>1</v>
      </c>
      <c r="DE187" s="71">
        <v>1</v>
      </c>
      <c r="DF187" s="71" t="b">
        <v>0</v>
      </c>
      <c r="DH187" t="s">
        <v>242</v>
      </c>
      <c r="DI187">
        <v>1</v>
      </c>
      <c r="DJ187">
        <v>150</v>
      </c>
      <c r="DK187">
        <v>100</v>
      </c>
      <c r="DL187" s="74">
        <f ca="1">INDIRECT(ADDRESS(11+(MATCH(RIGHT(Table13[[#This Row],[spawner_sku]],LEN(Table13[[#This Row],[spawner_sku]])-FIND("/",Table13[[#This Row],[spawner_sku]])),Table1[Entity Prefab],0)),10,1,1,"Entities"))</f>
        <v>25</v>
      </c>
      <c r="DM187" s="74">
        <f ca="1">ROUND((Table13[[#This Row],[XP]]*Table13[[#This Row],[entity_spawned (AVG)]])*(Table13[[#This Row],[activating_chance]]/100),0)</f>
        <v>25</v>
      </c>
      <c r="DN187" s="144" t="str">
        <f ca="1">INDIRECT(ADDRESS(11+(MATCH(RIGHT(Table13[[#This Row],[spawner_sku]],LEN(Table13[[#This Row],[spawner_sku]])-FIND("/",Table13[[#This Row],[spawner_sku]])),Table28[Entity Prefab],0)),25,1,1,"Entities"))</f>
        <v>no</v>
      </c>
      <c r="DO187" s="71">
        <v>1</v>
      </c>
      <c r="DP187" s="71">
        <v>1</v>
      </c>
      <c r="DQ187" s="71" t="b">
        <v>0</v>
      </c>
      <c r="DS187" t="s">
        <v>223</v>
      </c>
      <c r="DT187">
        <v>1.5</v>
      </c>
      <c r="DU187">
        <v>130</v>
      </c>
      <c r="DV187">
        <v>100</v>
      </c>
      <c r="DW187" s="74">
        <f ca="1">INDIRECT(ADDRESS(11+(MATCH(RIGHT(Table14[[#This Row],[spawner_sku]],LEN(Table14[[#This Row],[spawner_sku]])-FIND("/",Table14[[#This Row],[spawner_sku]])),Table1[Entity Prefab],0)),10,1,1,"Entities"))</f>
        <v>70</v>
      </c>
      <c r="DX187" s="74">
        <f ca="1">ROUND((Table14[[#This Row],[XP]]*Table14[[#This Row],[entity_spawned (AVG)]])*(Table14[[#This Row],[activating_chance]]/100),0)</f>
        <v>105</v>
      </c>
      <c r="DY187" s="144" t="str">
        <f ca="1">INDIRECT(ADDRESS(11+(MATCH(RIGHT(Table14[[#This Row],[spawner_sku]],LEN(Table14[[#This Row],[spawner_sku]])-FIND("/",Table14[[#This Row],[spawner_sku]])),Table28[Entity Prefab],0)),25,1,1,"Entities"))</f>
        <v>no</v>
      </c>
      <c r="DZ187" s="71">
        <v>1</v>
      </c>
      <c r="EA187" s="71">
        <v>2</v>
      </c>
      <c r="EB187" s="71" t="b">
        <v>0</v>
      </c>
      <c r="EC187" s="71"/>
      <c r="EO187" t="s">
        <v>493</v>
      </c>
      <c r="EP187">
        <v>2</v>
      </c>
      <c r="EQ187">
        <v>120</v>
      </c>
      <c r="ER187">
        <v>100</v>
      </c>
      <c r="ES187" s="74">
        <f ca="1">INDIRECT(ADDRESS(11+(MATCH(RIGHT(Table18[[#This Row],[spawner_sku]],LEN(Table18[[#This Row],[spawner_sku]])-FIND("/",Table18[[#This Row],[spawner_sku]])),Table1[Entity Prefab],0)),10,1,1,"Entities"))</f>
        <v>35</v>
      </c>
      <c r="ET187" s="74">
        <f ca="1">ROUND((Table18[[#This Row],[XP]]*Table18[[#This Row],[entity_spawned (AVG)]])*(Table18[[#This Row],[activating_chance]]/100),0)</f>
        <v>70</v>
      </c>
      <c r="EU187" s="74" t="str">
        <f ca="1">INDIRECT(ADDRESS(11+(MATCH(RIGHT(Table18[[#This Row],[spawner_sku]],LEN(Table18[[#This Row],[spawner_sku]])-FIND("/",Table18[[#This Row],[spawner_sku]])),Table28[Entity Prefab],0)),26,1,1,"Entities"))</f>
        <v>no</v>
      </c>
      <c r="EV187">
        <v>1</v>
      </c>
      <c r="EW187">
        <v>3</v>
      </c>
      <c r="EX187" t="b">
        <v>0</v>
      </c>
      <c r="EZ187" t="s">
        <v>233</v>
      </c>
      <c r="FA187">
        <v>3</v>
      </c>
      <c r="FB187">
        <v>500</v>
      </c>
      <c r="FC187">
        <v>100</v>
      </c>
      <c r="FD187" s="74">
        <f ca="1">INDIRECT(ADDRESS(11+(MATCH(RIGHT(Table1820[[#This Row],[spawner_sku]],LEN(Table1820[[#This Row],[spawner_sku]])-FIND("/",Table1820[[#This Row],[spawner_sku]])),Table1[Entity Prefab],0)),10,1,1,"Entities"))</f>
        <v>25</v>
      </c>
      <c r="FE187" s="74">
        <f ca="1">ROUND((Table1820[[#This Row],[XP]]*Table1820[[#This Row],[entity_spawned (AVG)]])*(Table1820[[#This Row],[activating_chance]]/100),0)</f>
        <v>75</v>
      </c>
      <c r="FF187" s="74" t="str">
        <f ca="1">INDIRECT(ADDRESS(11+(MATCH(RIGHT(Table1820[[#This Row],[spawner_sku]],LEN(Table1820[[#This Row],[spawner_sku]])-FIND("/",Table1820[[#This Row],[spawner_sku]])),Table28[Entity Prefab],0)),26,1,1,"Entities"))</f>
        <v>no</v>
      </c>
      <c r="FG187">
        <v>3</v>
      </c>
      <c r="FH187">
        <v>3</v>
      </c>
      <c r="FI187" t="b">
        <v>0</v>
      </c>
      <c r="FV187" t="s">
        <v>2706</v>
      </c>
      <c r="FW187">
        <v>7</v>
      </c>
      <c r="FX187">
        <v>100</v>
      </c>
      <c r="FY187">
        <v>100</v>
      </c>
      <c r="FZ187" s="74">
        <f ca="1">INDIRECT(ADDRESS(11+(MATCH(RIGHT(Table18202324[[#This Row],[spawner_sku]],LEN(Table18202324[[#This Row],[spawner_sku]])-FIND("/",Table18202324[[#This Row],[spawner_sku]])),Table1[Entity Prefab],0)),10,1,1,"Entities"))</f>
        <v>50</v>
      </c>
      <c r="GA187" s="74">
        <f ca="1">ROUND((Table18202324[[#This Row],[XP]]*Table18202324[[#This Row],[entity_spawned (AVG)]])*(Table18202324[[#This Row],[activating_chance]]/100),0)</f>
        <v>350</v>
      </c>
      <c r="GB187" s="74" t="str">
        <f ca="1">INDIRECT(ADDRESS(11+(MATCH(RIGHT(Table18202324[[#This Row],[spawner_sku]],LEN(Table18202324[[#This Row],[spawner_sku]])-FIND("/",Table18202324[[#This Row],[spawner_sku]])),Table28[Entity Prefab],0)),26,1,1,"Entities"))</f>
        <v>no</v>
      </c>
      <c r="GC187">
        <v>5</v>
      </c>
      <c r="GD187">
        <v>9</v>
      </c>
      <c r="GE187" t="b">
        <v>1</v>
      </c>
    </row>
    <row r="188" spans="2:187" x14ac:dyDescent="0.25">
      <c r="B188" s="72" t="s">
        <v>217</v>
      </c>
      <c r="C188">
        <v>3</v>
      </c>
      <c r="D188">
        <v>120</v>
      </c>
      <c r="E188">
        <v>100</v>
      </c>
      <c r="F188" s="74">
        <f ca="1">INDIRECT(ADDRESS(11+(MATCH(RIGHT(Table245[[#This Row],[spawner_sku]],LEN(Table245[[#This Row],[spawner_sku]])-FIND("/",Table245[[#This Row],[spawner_sku]])),Table1[Entity Prefab],0)),10,1,1,"Entities"))</f>
        <v>25</v>
      </c>
      <c r="G188" s="74">
        <f ca="1">ROUND((Table245[[#This Row],[XP]]*Table245[[#This Row],[entity_spawned (AVG)]])*(Table245[[#This Row],[activating_chance]]/100),0)</f>
        <v>75</v>
      </c>
      <c r="H188" s="71" t="str">
        <f ca="1">INDIRECT(ADDRESS(11+(MATCH(RIGHT(Table245[[#This Row],[spawner_sku]],LEN(Table245[[#This Row],[spawner_sku]])-FIND("/",Table245[[#This Row],[spawner_sku]])),Table28[Entity Prefab],0)),24,1,1,"Entities"))</f>
        <v>no</v>
      </c>
      <c r="I188" s="71">
        <v>2</v>
      </c>
      <c r="J188" s="71">
        <v>4</v>
      </c>
      <c r="K188" s="71" t="b">
        <v>0</v>
      </c>
      <c r="M188" t="s">
        <v>242</v>
      </c>
      <c r="N188">
        <v>1</v>
      </c>
      <c r="O188">
        <v>180</v>
      </c>
      <c r="P188">
        <v>100</v>
      </c>
      <c r="Q188" s="74">
        <f ca="1">INDIRECT(ADDRESS(11+(MATCH(RIGHT(Table3[[#This Row],[spawner_sku]],LEN(Table3[[#This Row],[spawner_sku]])-FIND("/",Table3[[#This Row],[spawner_sku]])),Table1[Entity Prefab],0)),10,1,1,"Entities"))</f>
        <v>25</v>
      </c>
      <c r="R188" s="74">
        <f ca="1">ROUND((Table3[[#This Row],[XP]]*Table3[[#This Row],[entity_spawned (AVG)]])*(Table3[[#This Row],[activating_chance]]/100),0)</f>
        <v>25</v>
      </c>
      <c r="S188" t="str">
        <f ca="1">INDIRECT(ADDRESS(11+(MATCH(RIGHT(Table3[[#This Row],[spawner_sku]],LEN(Table3[[#This Row],[spawner_sku]])-FIND("/",Table3[[#This Row],[spawner_sku]])),Table28[Entity Prefab],0)),24,1,1,"Entities"))</f>
        <v>no</v>
      </c>
      <c r="T188">
        <v>1</v>
      </c>
      <c r="U188">
        <v>1</v>
      </c>
      <c r="V188" t="b">
        <v>0</v>
      </c>
      <c r="AI188" t="s">
        <v>228</v>
      </c>
      <c r="AJ188">
        <v>1</v>
      </c>
      <c r="AK188">
        <v>1500</v>
      </c>
      <c r="AL188">
        <v>100</v>
      </c>
      <c r="AM188" s="74">
        <f ca="1">INDIRECT(ADDRESS(11+(MATCH(RIGHT(Table2[[#This Row],[spawner_sku]],LEN(Table2[[#This Row],[spawner_sku]])-FIND("/",Table2[[#This Row],[spawner_sku]])),Table1[Entity Prefab],0)),10,1,1,"Entities"))</f>
        <v>130</v>
      </c>
      <c r="AN188" s="74">
        <f ca="1">ROUND((Table2[[#This Row],[XP]]*Table2[[#This Row],[entity_spawned (AVG)]])*(Table2[[#This Row],[activating_chance]]/100),0)</f>
        <v>130</v>
      </c>
      <c r="AO188" s="71" t="str">
        <f ca="1">INDIRECT(ADDRESS(11+(MATCH(RIGHT(Table2[[#This Row],[spawner_sku]],LEN(Table2[[#This Row],[spawner_sku]])-FIND("/",Table2[[#This Row],[spawner_sku]])),Table28[Entity Prefab],0)),24,1,1,"Entities"))</f>
        <v>yes</v>
      </c>
      <c r="AP188" s="71">
        <v>1</v>
      </c>
      <c r="AQ188" s="71">
        <v>1</v>
      </c>
      <c r="AR188" s="71" t="b">
        <v>0</v>
      </c>
      <c r="BE188" t="s">
        <v>377</v>
      </c>
      <c r="BF188">
        <v>1</v>
      </c>
      <c r="BG188">
        <v>90</v>
      </c>
      <c r="BH188">
        <v>50</v>
      </c>
      <c r="BI188" s="74">
        <f ca="1">INDIRECT(ADDRESS(11+(MATCH(RIGHT(Table610[[#This Row],[spawner_sku]],LEN(Table610[[#This Row],[spawner_sku]])-FIND("/",Table610[[#This Row],[spawner_sku]])),Table1[Entity Prefab],0)),10,1,1,"Entities"))</f>
        <v>25</v>
      </c>
      <c r="BJ188" s="74">
        <f ca="1">ROUND((Table610[[#This Row],[XP]]*Table610[[#This Row],[entity_spawned (AVG)]])*(Table610[[#This Row],[activating_chance]]/100),0)</f>
        <v>13</v>
      </c>
      <c r="BK188" s="71" t="str">
        <f ca="1">INDIRECT(ADDRESS(11+(MATCH(RIGHT(Table610[[#This Row],[spawner_sku]],LEN(Table610[[#This Row],[spawner_sku]])-FIND("/",Table610[[#This Row],[spawner_sku]])),Table28[Entity Prefab],0)),24,1,1,"Entities"))</f>
        <v>no</v>
      </c>
      <c r="BL188">
        <v>1</v>
      </c>
      <c r="BM188">
        <v>1</v>
      </c>
      <c r="BN188" t="b">
        <v>0</v>
      </c>
      <c r="BP188" t="s">
        <v>223</v>
      </c>
      <c r="BQ188">
        <v>2</v>
      </c>
      <c r="BR188">
        <v>200</v>
      </c>
      <c r="BS188">
        <v>100</v>
      </c>
      <c r="BT188" s="74">
        <f ca="1">INDIRECT(ADDRESS(11+(MATCH(RIGHT(Table61011[[#This Row],[spawner_sku]],LEN(Table61011[[#This Row],[spawner_sku]])-FIND("/",Table61011[[#This Row],[spawner_sku]])),Table1[Entity Prefab],0)),10,1,1,"Entities"))</f>
        <v>70</v>
      </c>
      <c r="BU188" s="74">
        <f ca="1">ROUND((Table61011[[#This Row],[XP]]*Table61011[[#This Row],[entity_spawned (AVG)]])*(Table61011[[#This Row],[activating_chance]]/100),0)</f>
        <v>140</v>
      </c>
      <c r="BV188" s="71" t="str">
        <f ca="1">INDIRECT(ADDRESS(11+(MATCH(RIGHT(Table61011[[#This Row],[spawner_sku]],LEN(Table61011[[#This Row],[spawner_sku]])-FIND("/",Table61011[[#This Row],[spawner_sku]])),Table28[Entity Prefab],0)),24,1,1,"Entities"))</f>
        <v>yes</v>
      </c>
      <c r="BW188" s="71">
        <v>2</v>
      </c>
      <c r="BX188" s="71">
        <v>2</v>
      </c>
      <c r="BY188" s="71" t="b">
        <v>0</v>
      </c>
      <c r="BZ188" s="71"/>
      <c r="CA188" s="147" t="s">
        <v>3822</v>
      </c>
      <c r="CB188">
        <v>1</v>
      </c>
      <c r="CC188">
        <v>240</v>
      </c>
      <c r="CD188">
        <v>100</v>
      </c>
      <c r="CE188" s="74">
        <f ca="1">INDIRECT(ADDRESS(11+(MATCH(RIGHT(Table35[[#This Row],[spawner_sku]],LEN(Table35[[#This Row],[spawner_sku]])-FIND("/",Table35[[#This Row],[spawner_sku]])),Table1[Entity Prefab],0)),10,1,1,"Entities"))</f>
        <v>10</v>
      </c>
      <c r="CF188" s="74">
        <f ca="1">ROUND((Table35[[#This Row],[XP]]*Table35[[#This Row],[entity_spawned (AVG)]])*(Table35[[#This Row],[activating_chance]]/100),0)</f>
        <v>10</v>
      </c>
      <c r="CG188" s="144" t="str">
        <f ca="1">INDIRECT(ADDRESS(11+(MATCH(RIGHT(Table35[[#This Row],[spawner_sku]],LEN(Table35[[#This Row],[spawner_sku]])-FIND("/",Table35[[#This Row],[spawner_sku]])),Table28[Entity Prefab],0)),24,1,1,"Entities"))</f>
        <v>no</v>
      </c>
      <c r="CH188">
        <v>1</v>
      </c>
      <c r="CI188">
        <v>1</v>
      </c>
      <c r="CJ188" s="71" t="b">
        <v>0</v>
      </c>
      <c r="CL188" t="s">
        <v>222</v>
      </c>
      <c r="CM188">
        <v>1</v>
      </c>
      <c r="CN188">
        <v>180</v>
      </c>
      <c r="CO188">
        <v>100</v>
      </c>
      <c r="CP188" s="74">
        <f ca="1">INDIRECT(ADDRESS(11+(MATCH(RIGHT(Table11[[#This Row],[spawner_sku]],LEN(Table11[[#This Row],[spawner_sku]])-FIND("/",Table11[[#This Row],[spawner_sku]])),Table1[Entity Prefab],0)),10,1,1,"Entities"))</f>
        <v>25</v>
      </c>
      <c r="CQ188">
        <f ca="1">ROUND((Table11[[#This Row],[XP]]*Table11[[#This Row],[entity_spawned (AVG)]])*(Table11[[#This Row],[activating_chance]]/100),0)</f>
        <v>25</v>
      </c>
      <c r="CR188" s="144" t="str">
        <f ca="1">INDIRECT(ADDRESS(11+(MATCH(RIGHT(Table11[[#This Row],[spawner_sku]],LEN(Table11[[#This Row],[spawner_sku]])-FIND("/",Table11[[#This Row],[spawner_sku]])),Table28[Entity Prefab],0)),25,1,1,"Entities"))</f>
        <v>yes</v>
      </c>
      <c r="CS188" s="71">
        <v>1</v>
      </c>
      <c r="CT188" s="71">
        <v>1</v>
      </c>
      <c r="CU188" s="71" t="b">
        <v>0</v>
      </c>
      <c r="CW188" t="s">
        <v>243</v>
      </c>
      <c r="CX188">
        <v>1</v>
      </c>
      <c r="CY188">
        <v>150</v>
      </c>
      <c r="CZ188">
        <v>30</v>
      </c>
      <c r="DA188" s="74">
        <f ca="1">INDIRECT(ADDRESS(11+(MATCH(RIGHT(Table12[[#This Row],[spawner_sku]],LEN(Table12[[#This Row],[spawner_sku]])-FIND("/",Table12[[#This Row],[spawner_sku]])),Table1[Entity Prefab],0)),10,1,1,"Entities"))</f>
        <v>25</v>
      </c>
      <c r="DB188" s="74">
        <f ca="1">ROUND((Table12[[#This Row],[XP]]*Table12[[#This Row],[entity_spawned (AVG)]])*(Table12[[#This Row],[activating_chance]]/100),0)</f>
        <v>8</v>
      </c>
      <c r="DC188" s="144" t="str">
        <f ca="1">INDIRECT(ADDRESS(11+(MATCH(RIGHT(Table12[[#This Row],[spawner_sku]],LEN(Table12[[#This Row],[spawner_sku]])-FIND("/",Table12[[#This Row],[spawner_sku]])),Table28[Entity Prefab],0)),25,1,1,"Entities"))</f>
        <v>no</v>
      </c>
      <c r="DD188" s="71">
        <v>1</v>
      </c>
      <c r="DE188" s="71">
        <v>1</v>
      </c>
      <c r="DF188" s="71" t="b">
        <v>0</v>
      </c>
      <c r="DH188" t="s">
        <v>242</v>
      </c>
      <c r="DI188">
        <v>1</v>
      </c>
      <c r="DJ188">
        <v>150</v>
      </c>
      <c r="DK188">
        <v>80</v>
      </c>
      <c r="DL188" s="74">
        <f ca="1">INDIRECT(ADDRESS(11+(MATCH(RIGHT(Table13[[#This Row],[spawner_sku]],LEN(Table13[[#This Row],[spawner_sku]])-FIND("/",Table13[[#This Row],[spawner_sku]])),Table1[Entity Prefab],0)),10,1,1,"Entities"))</f>
        <v>25</v>
      </c>
      <c r="DM188" s="74">
        <f ca="1">ROUND((Table13[[#This Row],[XP]]*Table13[[#This Row],[entity_spawned (AVG)]])*(Table13[[#This Row],[activating_chance]]/100),0)</f>
        <v>20</v>
      </c>
      <c r="DN188" s="144" t="str">
        <f ca="1">INDIRECT(ADDRESS(11+(MATCH(RIGHT(Table13[[#This Row],[spawner_sku]],LEN(Table13[[#This Row],[spawner_sku]])-FIND("/",Table13[[#This Row],[spawner_sku]])),Table28[Entity Prefab],0)),25,1,1,"Entities"))</f>
        <v>no</v>
      </c>
      <c r="DO188" s="71">
        <v>1</v>
      </c>
      <c r="DP188" s="71">
        <v>1</v>
      </c>
      <c r="DQ188" s="71" t="b">
        <v>0</v>
      </c>
      <c r="DS188" t="s">
        <v>223</v>
      </c>
      <c r="DT188">
        <v>1.5</v>
      </c>
      <c r="DU188">
        <v>100</v>
      </c>
      <c r="DV188">
        <v>100</v>
      </c>
      <c r="DW188" s="74">
        <f ca="1">INDIRECT(ADDRESS(11+(MATCH(RIGHT(Table14[[#This Row],[spawner_sku]],LEN(Table14[[#This Row],[spawner_sku]])-FIND("/",Table14[[#This Row],[spawner_sku]])),Table1[Entity Prefab],0)),10,1,1,"Entities"))</f>
        <v>70</v>
      </c>
      <c r="DX188" s="74">
        <f ca="1">ROUND((Table14[[#This Row],[XP]]*Table14[[#This Row],[entity_spawned (AVG)]])*(Table14[[#This Row],[activating_chance]]/100),0)</f>
        <v>105</v>
      </c>
      <c r="DY188" s="144" t="str">
        <f ca="1">INDIRECT(ADDRESS(11+(MATCH(RIGHT(Table14[[#This Row],[spawner_sku]],LEN(Table14[[#This Row],[spawner_sku]])-FIND("/",Table14[[#This Row],[spawner_sku]])),Table28[Entity Prefab],0)),25,1,1,"Entities"))</f>
        <v>no</v>
      </c>
      <c r="DZ188" s="71">
        <v>1</v>
      </c>
      <c r="EA188" s="71">
        <v>2</v>
      </c>
      <c r="EB188" s="71" t="b">
        <v>0</v>
      </c>
      <c r="EC188" s="71"/>
      <c r="EO188" t="s">
        <v>493</v>
      </c>
      <c r="EP188">
        <v>3</v>
      </c>
      <c r="EQ188">
        <v>120</v>
      </c>
      <c r="ER188">
        <v>100</v>
      </c>
      <c r="ES188" s="74">
        <f ca="1">INDIRECT(ADDRESS(11+(MATCH(RIGHT(Table18[[#This Row],[spawner_sku]],LEN(Table18[[#This Row],[spawner_sku]])-FIND("/",Table18[[#This Row],[spawner_sku]])),Table1[Entity Prefab],0)),10,1,1,"Entities"))</f>
        <v>35</v>
      </c>
      <c r="ET188" s="74">
        <f ca="1">ROUND((Table18[[#This Row],[XP]]*Table18[[#This Row],[entity_spawned (AVG)]])*(Table18[[#This Row],[activating_chance]]/100),0)</f>
        <v>105</v>
      </c>
      <c r="EU188" s="74" t="str">
        <f ca="1">INDIRECT(ADDRESS(11+(MATCH(RIGHT(Table18[[#This Row],[spawner_sku]],LEN(Table18[[#This Row],[spawner_sku]])-FIND("/",Table18[[#This Row],[spawner_sku]])),Table28[Entity Prefab],0)),26,1,1,"Entities"))</f>
        <v>no</v>
      </c>
      <c r="EV188">
        <v>3</v>
      </c>
      <c r="EW188">
        <v>3</v>
      </c>
      <c r="EX188" t="b">
        <v>0</v>
      </c>
      <c r="EZ188" t="s">
        <v>233</v>
      </c>
      <c r="FA188">
        <v>1</v>
      </c>
      <c r="FB188">
        <v>500</v>
      </c>
      <c r="FC188">
        <v>100</v>
      </c>
      <c r="FD188" s="74">
        <f ca="1">INDIRECT(ADDRESS(11+(MATCH(RIGHT(Table1820[[#This Row],[spawner_sku]],LEN(Table1820[[#This Row],[spawner_sku]])-FIND("/",Table1820[[#This Row],[spawner_sku]])),Table1[Entity Prefab],0)),10,1,1,"Entities"))</f>
        <v>25</v>
      </c>
      <c r="FE188" s="74">
        <f ca="1">ROUND((Table1820[[#This Row],[XP]]*Table1820[[#This Row],[entity_spawned (AVG)]])*(Table1820[[#This Row],[activating_chance]]/100),0)</f>
        <v>25</v>
      </c>
      <c r="FF188" s="74" t="str">
        <f ca="1">INDIRECT(ADDRESS(11+(MATCH(RIGHT(Table1820[[#This Row],[spawner_sku]],LEN(Table1820[[#This Row],[spawner_sku]])-FIND("/",Table1820[[#This Row],[spawner_sku]])),Table28[Entity Prefab],0)),26,1,1,"Entities"))</f>
        <v>no</v>
      </c>
      <c r="FG188">
        <v>1</v>
      </c>
      <c r="FH188">
        <v>1</v>
      </c>
      <c r="FI188" t="b">
        <v>0</v>
      </c>
      <c r="FV188" t="s">
        <v>2706</v>
      </c>
      <c r="FW188">
        <v>8.5</v>
      </c>
      <c r="FX188">
        <v>100</v>
      </c>
      <c r="FY188">
        <v>100</v>
      </c>
      <c r="FZ188" s="74">
        <f ca="1">INDIRECT(ADDRESS(11+(MATCH(RIGHT(Table18202324[[#This Row],[spawner_sku]],LEN(Table18202324[[#This Row],[spawner_sku]])-FIND("/",Table18202324[[#This Row],[spawner_sku]])),Table1[Entity Prefab],0)),10,1,1,"Entities"))</f>
        <v>50</v>
      </c>
      <c r="GA188" s="74">
        <f ca="1">ROUND((Table18202324[[#This Row],[XP]]*Table18202324[[#This Row],[entity_spawned (AVG)]])*(Table18202324[[#This Row],[activating_chance]]/100),0)</f>
        <v>425</v>
      </c>
      <c r="GB188" s="74" t="str">
        <f ca="1">INDIRECT(ADDRESS(11+(MATCH(RIGHT(Table18202324[[#This Row],[spawner_sku]],LEN(Table18202324[[#This Row],[spawner_sku]])-FIND("/",Table18202324[[#This Row],[spawner_sku]])),Table28[Entity Prefab],0)),26,1,1,"Entities"))</f>
        <v>no</v>
      </c>
      <c r="GC188">
        <v>8</v>
      </c>
      <c r="GD188">
        <v>9</v>
      </c>
      <c r="GE188" t="b">
        <v>1</v>
      </c>
    </row>
    <row r="189" spans="2:187" x14ac:dyDescent="0.25">
      <c r="B189" s="72" t="s">
        <v>217</v>
      </c>
      <c r="C189">
        <v>3</v>
      </c>
      <c r="D189">
        <v>110</v>
      </c>
      <c r="E189">
        <v>100</v>
      </c>
      <c r="F189" s="74">
        <f ca="1">INDIRECT(ADDRESS(11+(MATCH(RIGHT(Table245[[#This Row],[spawner_sku]],LEN(Table245[[#This Row],[spawner_sku]])-FIND("/",Table245[[#This Row],[spawner_sku]])),Table1[Entity Prefab],0)),10,1,1,"Entities"))</f>
        <v>25</v>
      </c>
      <c r="G189" s="74">
        <f ca="1">ROUND((Table245[[#This Row],[XP]]*Table245[[#This Row],[entity_spawned (AVG)]])*(Table245[[#This Row],[activating_chance]]/100),0)</f>
        <v>75</v>
      </c>
      <c r="H189" s="71" t="str">
        <f ca="1">INDIRECT(ADDRESS(11+(MATCH(RIGHT(Table245[[#This Row],[spawner_sku]],LEN(Table245[[#This Row],[spawner_sku]])-FIND("/",Table245[[#This Row],[spawner_sku]])),Table28[Entity Prefab],0)),24,1,1,"Entities"))</f>
        <v>no</v>
      </c>
      <c r="I189" s="71">
        <v>2</v>
      </c>
      <c r="J189" s="71">
        <v>4</v>
      </c>
      <c r="K189" s="71" t="b">
        <v>0</v>
      </c>
      <c r="M189" t="s">
        <v>366</v>
      </c>
      <c r="N189">
        <v>3</v>
      </c>
      <c r="O189">
        <v>100</v>
      </c>
      <c r="P189">
        <v>100</v>
      </c>
      <c r="Q189" s="74">
        <f ca="1">INDIRECT(ADDRESS(11+(MATCH(RIGHT(Table3[[#This Row],[spawner_sku]],LEN(Table3[[#This Row],[spawner_sku]])-FIND("/",Table3[[#This Row],[spawner_sku]])),Table1[Entity Prefab],0)),10,1,1,"Entities"))</f>
        <v>25</v>
      </c>
      <c r="R189" s="74">
        <f ca="1">ROUND((Table3[[#This Row],[XP]]*Table3[[#This Row],[entity_spawned (AVG)]])*(Table3[[#This Row],[activating_chance]]/100),0)</f>
        <v>75</v>
      </c>
      <c r="S189" t="str">
        <f ca="1">INDIRECT(ADDRESS(11+(MATCH(RIGHT(Table3[[#This Row],[spawner_sku]],LEN(Table3[[#This Row],[spawner_sku]])-FIND("/",Table3[[#This Row],[spawner_sku]])),Table28[Entity Prefab],0)),24,1,1,"Entities"))</f>
        <v>no</v>
      </c>
      <c r="T189">
        <v>3</v>
      </c>
      <c r="U189">
        <v>3</v>
      </c>
      <c r="V189" t="b">
        <v>0</v>
      </c>
      <c r="AI189" t="s">
        <v>228</v>
      </c>
      <c r="AJ189">
        <v>1</v>
      </c>
      <c r="AK189">
        <v>1500</v>
      </c>
      <c r="AL189">
        <v>100</v>
      </c>
      <c r="AM189" s="74">
        <f ca="1">INDIRECT(ADDRESS(11+(MATCH(RIGHT(Table2[[#This Row],[spawner_sku]],LEN(Table2[[#This Row],[spawner_sku]])-FIND("/",Table2[[#This Row],[spawner_sku]])),Table1[Entity Prefab],0)),10,1,1,"Entities"))</f>
        <v>130</v>
      </c>
      <c r="AN189" s="74">
        <f ca="1">ROUND((Table2[[#This Row],[XP]]*Table2[[#This Row],[entity_spawned (AVG)]])*(Table2[[#This Row],[activating_chance]]/100),0)</f>
        <v>130</v>
      </c>
      <c r="AO189" s="71" t="str">
        <f ca="1">INDIRECT(ADDRESS(11+(MATCH(RIGHT(Table2[[#This Row],[spawner_sku]],LEN(Table2[[#This Row],[spawner_sku]])-FIND("/",Table2[[#This Row],[spawner_sku]])),Table28[Entity Prefab],0)),24,1,1,"Entities"))</f>
        <v>yes</v>
      </c>
      <c r="AP189" s="71">
        <v>1</v>
      </c>
      <c r="AQ189" s="71">
        <v>1</v>
      </c>
      <c r="AR189" s="71" t="b">
        <v>0</v>
      </c>
      <c r="BE189" t="s">
        <v>377</v>
      </c>
      <c r="BF189">
        <v>1</v>
      </c>
      <c r="BG189">
        <v>90</v>
      </c>
      <c r="BH189">
        <v>100</v>
      </c>
      <c r="BI189" s="74">
        <f ca="1">INDIRECT(ADDRESS(11+(MATCH(RIGHT(Table610[[#This Row],[spawner_sku]],LEN(Table610[[#This Row],[spawner_sku]])-FIND("/",Table610[[#This Row],[spawner_sku]])),Table1[Entity Prefab],0)),10,1,1,"Entities"))</f>
        <v>25</v>
      </c>
      <c r="BJ189" s="74">
        <f ca="1">ROUND((Table610[[#This Row],[XP]]*Table610[[#This Row],[entity_spawned (AVG)]])*(Table610[[#This Row],[activating_chance]]/100),0)</f>
        <v>25</v>
      </c>
      <c r="BK189" s="71" t="str">
        <f ca="1">INDIRECT(ADDRESS(11+(MATCH(RIGHT(Table610[[#This Row],[spawner_sku]],LEN(Table610[[#This Row],[spawner_sku]])-FIND("/",Table610[[#This Row],[spawner_sku]])),Table28[Entity Prefab],0)),24,1,1,"Entities"))</f>
        <v>no</v>
      </c>
      <c r="BL189">
        <v>1</v>
      </c>
      <c r="BM189">
        <v>1</v>
      </c>
      <c r="BN189" t="b">
        <v>0</v>
      </c>
      <c r="BP189" t="s">
        <v>224</v>
      </c>
      <c r="BQ189">
        <v>1</v>
      </c>
      <c r="BR189">
        <v>2500</v>
      </c>
      <c r="BS189">
        <v>100</v>
      </c>
      <c r="BT189" s="74">
        <f ca="1">INDIRECT(ADDRESS(11+(MATCH(RIGHT(Table61011[[#This Row],[spawner_sku]],LEN(Table61011[[#This Row],[spawner_sku]])-FIND("/",Table61011[[#This Row],[spawner_sku]])),Table1[Entity Prefab],0)),10,1,1,"Entities"))</f>
        <v>263</v>
      </c>
      <c r="BU189" s="74">
        <f ca="1">ROUND((Table61011[[#This Row],[XP]]*Table61011[[#This Row],[entity_spawned (AVG)]])*(Table61011[[#This Row],[activating_chance]]/100),0)</f>
        <v>263</v>
      </c>
      <c r="BV189" s="71" t="str">
        <f ca="1">INDIRECT(ADDRESS(11+(MATCH(RIGHT(Table61011[[#This Row],[spawner_sku]],LEN(Table61011[[#This Row],[spawner_sku]])-FIND("/",Table61011[[#This Row],[spawner_sku]])),Table28[Entity Prefab],0)),24,1,1,"Entities"))</f>
        <v>yes</v>
      </c>
      <c r="BW189" s="71">
        <v>1</v>
      </c>
      <c r="BX189" s="71">
        <v>1</v>
      </c>
      <c r="BY189" s="71" t="b">
        <v>0</v>
      </c>
      <c r="BZ189" s="71"/>
      <c r="CA189" s="147" t="s">
        <v>3821</v>
      </c>
      <c r="CB189">
        <v>1</v>
      </c>
      <c r="CC189">
        <v>240</v>
      </c>
      <c r="CD189">
        <v>100</v>
      </c>
      <c r="CE189" s="74">
        <f ca="1">INDIRECT(ADDRESS(11+(MATCH(RIGHT(Table35[[#This Row],[spawner_sku]],LEN(Table35[[#This Row],[spawner_sku]])-FIND("/",Table35[[#This Row],[spawner_sku]])),Table1[Entity Prefab],0)),10,1,1,"Entities"))</f>
        <v>10</v>
      </c>
      <c r="CF189" s="74">
        <f ca="1">ROUND((Table35[[#This Row],[XP]]*Table35[[#This Row],[entity_spawned (AVG)]])*(Table35[[#This Row],[activating_chance]]/100),0)</f>
        <v>10</v>
      </c>
      <c r="CG189" s="144" t="str">
        <f ca="1">INDIRECT(ADDRESS(11+(MATCH(RIGHT(Table35[[#This Row],[spawner_sku]],LEN(Table35[[#This Row],[spawner_sku]])-FIND("/",Table35[[#This Row],[spawner_sku]])),Table28[Entity Prefab],0)),24,1,1,"Entities"))</f>
        <v>no</v>
      </c>
      <c r="CH189">
        <v>1</v>
      </c>
      <c r="CI189">
        <v>1</v>
      </c>
      <c r="CJ189" s="71" t="b">
        <v>0</v>
      </c>
      <c r="CL189" t="s">
        <v>222</v>
      </c>
      <c r="CM189">
        <v>1</v>
      </c>
      <c r="CN189">
        <v>180</v>
      </c>
      <c r="CO189">
        <v>100</v>
      </c>
      <c r="CP189" s="74">
        <f ca="1">INDIRECT(ADDRESS(11+(MATCH(RIGHT(Table11[[#This Row],[spawner_sku]],LEN(Table11[[#This Row],[spawner_sku]])-FIND("/",Table11[[#This Row],[spawner_sku]])),Table1[Entity Prefab],0)),10,1,1,"Entities"))</f>
        <v>25</v>
      </c>
      <c r="CQ189">
        <f ca="1">ROUND((Table11[[#This Row],[XP]]*Table11[[#This Row],[entity_spawned (AVG)]])*(Table11[[#This Row],[activating_chance]]/100),0)</f>
        <v>25</v>
      </c>
      <c r="CR189" s="144" t="str">
        <f ca="1">INDIRECT(ADDRESS(11+(MATCH(RIGHT(Table11[[#This Row],[spawner_sku]],LEN(Table11[[#This Row],[spawner_sku]])-FIND("/",Table11[[#This Row],[spawner_sku]])),Table28[Entity Prefab],0)),25,1,1,"Entities"))</f>
        <v>yes</v>
      </c>
      <c r="CS189" s="71">
        <v>1</v>
      </c>
      <c r="CT189" s="71">
        <v>1</v>
      </c>
      <c r="CU189" s="71" t="b">
        <v>0</v>
      </c>
      <c r="CW189" t="s">
        <v>243</v>
      </c>
      <c r="CX189">
        <v>1</v>
      </c>
      <c r="CY189">
        <v>150</v>
      </c>
      <c r="CZ189">
        <v>100</v>
      </c>
      <c r="DA189" s="74">
        <f ca="1">INDIRECT(ADDRESS(11+(MATCH(RIGHT(Table12[[#This Row],[spawner_sku]],LEN(Table12[[#This Row],[spawner_sku]])-FIND("/",Table12[[#This Row],[spawner_sku]])),Table1[Entity Prefab],0)),10,1,1,"Entities"))</f>
        <v>25</v>
      </c>
      <c r="DB189" s="74">
        <f ca="1">ROUND((Table12[[#This Row],[XP]]*Table12[[#This Row],[entity_spawned (AVG)]])*(Table12[[#This Row],[activating_chance]]/100),0)</f>
        <v>25</v>
      </c>
      <c r="DC189" s="144" t="str">
        <f ca="1">INDIRECT(ADDRESS(11+(MATCH(RIGHT(Table12[[#This Row],[spawner_sku]],LEN(Table12[[#This Row],[spawner_sku]])-FIND("/",Table12[[#This Row],[spawner_sku]])),Table28[Entity Prefab],0)),25,1,1,"Entities"))</f>
        <v>no</v>
      </c>
      <c r="DD189" s="71">
        <v>1</v>
      </c>
      <c r="DE189" s="71">
        <v>1</v>
      </c>
      <c r="DF189" s="71" t="b">
        <v>0</v>
      </c>
      <c r="DH189" t="s">
        <v>242</v>
      </c>
      <c r="DI189">
        <v>1</v>
      </c>
      <c r="DJ189">
        <v>150</v>
      </c>
      <c r="DK189">
        <v>100</v>
      </c>
      <c r="DL189" s="74">
        <f ca="1">INDIRECT(ADDRESS(11+(MATCH(RIGHT(Table13[[#This Row],[spawner_sku]],LEN(Table13[[#This Row],[spawner_sku]])-FIND("/",Table13[[#This Row],[spawner_sku]])),Table1[Entity Prefab],0)),10,1,1,"Entities"))</f>
        <v>25</v>
      </c>
      <c r="DM189" s="74">
        <f ca="1">ROUND((Table13[[#This Row],[XP]]*Table13[[#This Row],[entity_spawned (AVG)]])*(Table13[[#This Row],[activating_chance]]/100),0)</f>
        <v>25</v>
      </c>
      <c r="DN189" s="144" t="str">
        <f ca="1">INDIRECT(ADDRESS(11+(MATCH(RIGHT(Table13[[#This Row],[spawner_sku]],LEN(Table13[[#This Row],[spawner_sku]])-FIND("/",Table13[[#This Row],[spawner_sku]])),Table28[Entity Prefab],0)),25,1,1,"Entities"))</f>
        <v>no</v>
      </c>
      <c r="DO189" s="71">
        <v>1</v>
      </c>
      <c r="DP189" s="71">
        <v>1</v>
      </c>
      <c r="DQ189" s="71" t="b">
        <v>0</v>
      </c>
      <c r="DS189" t="s">
        <v>224</v>
      </c>
      <c r="DT189">
        <v>1</v>
      </c>
      <c r="DU189">
        <v>2500</v>
      </c>
      <c r="DV189">
        <v>100</v>
      </c>
      <c r="DW189" s="74">
        <f ca="1">INDIRECT(ADDRESS(11+(MATCH(RIGHT(Table14[[#This Row],[spawner_sku]],LEN(Table14[[#This Row],[spawner_sku]])-FIND("/",Table14[[#This Row],[spawner_sku]])),Table1[Entity Prefab],0)),10,1,1,"Entities"))</f>
        <v>263</v>
      </c>
      <c r="DX189" s="74">
        <f ca="1">ROUND((Table14[[#This Row],[XP]]*Table14[[#This Row],[entity_spawned (AVG)]])*(Table14[[#This Row],[activating_chance]]/100),0)</f>
        <v>263</v>
      </c>
      <c r="DY189" s="144" t="str">
        <f ca="1">INDIRECT(ADDRESS(11+(MATCH(RIGHT(Table14[[#This Row],[spawner_sku]],LEN(Table14[[#This Row],[spawner_sku]])-FIND("/",Table14[[#This Row],[spawner_sku]])),Table28[Entity Prefab],0)),25,1,1,"Entities"))</f>
        <v>yes</v>
      </c>
      <c r="DZ189" s="71">
        <v>1</v>
      </c>
      <c r="EA189" s="71">
        <v>1</v>
      </c>
      <c r="EB189" s="71" t="b">
        <v>0</v>
      </c>
      <c r="EC189" s="71"/>
      <c r="EO189" t="s">
        <v>493</v>
      </c>
      <c r="EP189">
        <v>3</v>
      </c>
      <c r="EQ189">
        <v>120</v>
      </c>
      <c r="ER189">
        <v>30</v>
      </c>
      <c r="ES189" s="74">
        <f ca="1">INDIRECT(ADDRESS(11+(MATCH(RIGHT(Table18[[#This Row],[spawner_sku]],LEN(Table18[[#This Row],[spawner_sku]])-FIND("/",Table18[[#This Row],[spawner_sku]])),Table1[Entity Prefab],0)),10,1,1,"Entities"))</f>
        <v>35</v>
      </c>
      <c r="ET189" s="74">
        <f ca="1">ROUND((Table18[[#This Row],[XP]]*Table18[[#This Row],[entity_spawned (AVG)]])*(Table18[[#This Row],[activating_chance]]/100),0)</f>
        <v>32</v>
      </c>
      <c r="EU189" s="74" t="str">
        <f ca="1">INDIRECT(ADDRESS(11+(MATCH(RIGHT(Table18[[#This Row],[spawner_sku]],LEN(Table18[[#This Row],[spawner_sku]])-FIND("/",Table18[[#This Row],[spawner_sku]])),Table28[Entity Prefab],0)),26,1,1,"Entities"))</f>
        <v>no</v>
      </c>
      <c r="EV189">
        <v>3</v>
      </c>
      <c r="EW189">
        <v>3</v>
      </c>
      <c r="EX189" t="b">
        <v>0</v>
      </c>
      <c r="EZ189" t="s">
        <v>233</v>
      </c>
      <c r="FA189">
        <v>1</v>
      </c>
      <c r="FB189">
        <v>500</v>
      </c>
      <c r="FC189">
        <v>100</v>
      </c>
      <c r="FD189" s="74">
        <f ca="1">INDIRECT(ADDRESS(11+(MATCH(RIGHT(Table1820[[#This Row],[spawner_sku]],LEN(Table1820[[#This Row],[spawner_sku]])-FIND("/",Table1820[[#This Row],[spawner_sku]])),Table1[Entity Prefab],0)),10,1,1,"Entities"))</f>
        <v>25</v>
      </c>
      <c r="FE189" s="74">
        <f ca="1">ROUND((Table1820[[#This Row],[XP]]*Table1820[[#This Row],[entity_spawned (AVG)]])*(Table1820[[#This Row],[activating_chance]]/100),0)</f>
        <v>25</v>
      </c>
      <c r="FF189" s="74" t="str">
        <f ca="1">INDIRECT(ADDRESS(11+(MATCH(RIGHT(Table1820[[#This Row],[spawner_sku]],LEN(Table1820[[#This Row],[spawner_sku]])-FIND("/",Table1820[[#This Row],[spawner_sku]])),Table28[Entity Prefab],0)),26,1,1,"Entities"))</f>
        <v>no</v>
      </c>
      <c r="FG189">
        <v>1</v>
      </c>
      <c r="FH189">
        <v>1</v>
      </c>
      <c r="FI189" t="b">
        <v>0</v>
      </c>
      <c r="FV189" t="s">
        <v>2706</v>
      </c>
      <c r="FW189">
        <v>7</v>
      </c>
      <c r="FX189">
        <v>100</v>
      </c>
      <c r="FY189">
        <v>100</v>
      </c>
      <c r="FZ189" s="74">
        <f ca="1">INDIRECT(ADDRESS(11+(MATCH(RIGHT(Table18202324[[#This Row],[spawner_sku]],LEN(Table18202324[[#This Row],[spawner_sku]])-FIND("/",Table18202324[[#This Row],[spawner_sku]])),Table1[Entity Prefab],0)),10,1,1,"Entities"))</f>
        <v>50</v>
      </c>
      <c r="GA189" s="74">
        <f ca="1">ROUND((Table18202324[[#This Row],[XP]]*Table18202324[[#This Row],[entity_spawned (AVG)]])*(Table18202324[[#This Row],[activating_chance]]/100),0)</f>
        <v>350</v>
      </c>
      <c r="GB189" s="74" t="str">
        <f ca="1">INDIRECT(ADDRESS(11+(MATCH(RIGHT(Table18202324[[#This Row],[spawner_sku]],LEN(Table18202324[[#This Row],[spawner_sku]])-FIND("/",Table18202324[[#This Row],[spawner_sku]])),Table28[Entity Prefab],0)),26,1,1,"Entities"))</f>
        <v>no</v>
      </c>
      <c r="GC189">
        <v>5</v>
      </c>
      <c r="GD189">
        <v>9</v>
      </c>
      <c r="GE189" t="b">
        <v>1</v>
      </c>
    </row>
    <row r="190" spans="2:187" x14ac:dyDescent="0.25">
      <c r="B190" s="72" t="s">
        <v>217</v>
      </c>
      <c r="C190">
        <v>2.5</v>
      </c>
      <c r="D190">
        <v>100</v>
      </c>
      <c r="E190">
        <v>100</v>
      </c>
      <c r="F190" s="74">
        <f ca="1">INDIRECT(ADDRESS(11+(MATCH(RIGHT(Table245[[#This Row],[spawner_sku]],LEN(Table245[[#This Row],[spawner_sku]])-FIND("/",Table245[[#This Row],[spawner_sku]])),Table1[Entity Prefab],0)),10,1,1,"Entities"))</f>
        <v>25</v>
      </c>
      <c r="G190" s="74">
        <f ca="1">ROUND((Table245[[#This Row],[XP]]*Table245[[#This Row],[entity_spawned (AVG)]])*(Table245[[#This Row],[activating_chance]]/100),0)</f>
        <v>63</v>
      </c>
      <c r="H190" s="71" t="str">
        <f ca="1">INDIRECT(ADDRESS(11+(MATCH(RIGHT(Table245[[#This Row],[spawner_sku]],LEN(Table245[[#This Row],[spawner_sku]])-FIND("/",Table245[[#This Row],[spawner_sku]])),Table28[Entity Prefab],0)),24,1,1,"Entities"))</f>
        <v>no</v>
      </c>
      <c r="I190" s="71">
        <v>2</v>
      </c>
      <c r="J190" s="71">
        <v>3</v>
      </c>
      <c r="K190" s="71" t="b">
        <v>0</v>
      </c>
      <c r="M190" t="s">
        <v>448</v>
      </c>
      <c r="N190">
        <v>1</v>
      </c>
      <c r="O190">
        <v>280</v>
      </c>
      <c r="P190">
        <v>100</v>
      </c>
      <c r="Q190" s="74">
        <f ca="1">INDIRECT(ADDRESS(11+(MATCH(RIGHT(Table3[[#This Row],[spawner_sku]],LEN(Table3[[#This Row],[spawner_sku]])-FIND("/",Table3[[#This Row],[spawner_sku]])),Table1[Entity Prefab],0)),10,1,1,"Entities"))</f>
        <v>143</v>
      </c>
      <c r="R190" s="74">
        <f ca="1">ROUND((Table3[[#This Row],[XP]]*Table3[[#This Row],[entity_spawned (AVG)]])*(Table3[[#This Row],[activating_chance]]/100),0)</f>
        <v>143</v>
      </c>
      <c r="S190" t="str">
        <f ca="1">INDIRECT(ADDRESS(11+(MATCH(RIGHT(Table3[[#This Row],[spawner_sku]],LEN(Table3[[#This Row],[spawner_sku]])-FIND("/",Table3[[#This Row],[spawner_sku]])),Table28[Entity Prefab],0)),24,1,1,"Entities"))</f>
        <v>yes</v>
      </c>
      <c r="T190">
        <v>1</v>
      </c>
      <c r="U190">
        <v>1</v>
      </c>
      <c r="V190" t="b">
        <v>0</v>
      </c>
      <c r="AI190" t="s">
        <v>228</v>
      </c>
      <c r="AJ190">
        <v>1</v>
      </c>
      <c r="AK190">
        <v>1500</v>
      </c>
      <c r="AL190">
        <v>100</v>
      </c>
      <c r="AM190" s="74">
        <f ca="1">INDIRECT(ADDRESS(11+(MATCH(RIGHT(Table2[[#This Row],[spawner_sku]],LEN(Table2[[#This Row],[spawner_sku]])-FIND("/",Table2[[#This Row],[spawner_sku]])),Table1[Entity Prefab],0)),10,1,1,"Entities"))</f>
        <v>130</v>
      </c>
      <c r="AN190" s="74">
        <f ca="1">ROUND((Table2[[#This Row],[XP]]*Table2[[#This Row],[entity_spawned (AVG)]])*(Table2[[#This Row],[activating_chance]]/100),0)</f>
        <v>130</v>
      </c>
      <c r="AO190" s="71" t="str">
        <f ca="1">INDIRECT(ADDRESS(11+(MATCH(RIGHT(Table2[[#This Row],[spawner_sku]],LEN(Table2[[#This Row],[spawner_sku]])-FIND("/",Table2[[#This Row],[spawner_sku]])),Table28[Entity Prefab],0)),24,1,1,"Entities"))</f>
        <v>yes</v>
      </c>
      <c r="AP190" s="71">
        <v>1</v>
      </c>
      <c r="AQ190" s="71">
        <v>1</v>
      </c>
      <c r="AR190" s="71" t="b">
        <v>0</v>
      </c>
      <c r="BE190" t="s">
        <v>377</v>
      </c>
      <c r="BF190">
        <v>3</v>
      </c>
      <c r="BG190">
        <v>150</v>
      </c>
      <c r="BH190">
        <v>100</v>
      </c>
      <c r="BI190" s="74">
        <f ca="1">INDIRECT(ADDRESS(11+(MATCH(RIGHT(Table610[[#This Row],[spawner_sku]],LEN(Table610[[#This Row],[spawner_sku]])-FIND("/",Table610[[#This Row],[spawner_sku]])),Table1[Entity Prefab],0)),10,1,1,"Entities"))</f>
        <v>25</v>
      </c>
      <c r="BJ190" s="74">
        <f ca="1">ROUND((Table610[[#This Row],[XP]]*Table610[[#This Row],[entity_spawned (AVG)]])*(Table610[[#This Row],[activating_chance]]/100),0)</f>
        <v>75</v>
      </c>
      <c r="BK190" s="71" t="str">
        <f ca="1">INDIRECT(ADDRESS(11+(MATCH(RIGHT(Table610[[#This Row],[spawner_sku]],LEN(Table610[[#This Row],[spawner_sku]])-FIND("/",Table610[[#This Row],[spawner_sku]])),Table28[Entity Prefab],0)),24,1,1,"Entities"))</f>
        <v>no</v>
      </c>
      <c r="BL190">
        <v>3</v>
      </c>
      <c r="BM190">
        <v>3</v>
      </c>
      <c r="BN190" t="b">
        <v>0</v>
      </c>
      <c r="BP190" t="s">
        <v>224</v>
      </c>
      <c r="BQ190">
        <v>1</v>
      </c>
      <c r="BR190">
        <v>2500</v>
      </c>
      <c r="BS190">
        <v>80</v>
      </c>
      <c r="BT190" s="74">
        <f ca="1">INDIRECT(ADDRESS(11+(MATCH(RIGHT(Table61011[[#This Row],[spawner_sku]],LEN(Table61011[[#This Row],[spawner_sku]])-FIND("/",Table61011[[#This Row],[spawner_sku]])),Table1[Entity Prefab],0)),10,1,1,"Entities"))</f>
        <v>263</v>
      </c>
      <c r="BU190" s="74">
        <f ca="1">ROUND((Table61011[[#This Row],[XP]]*Table61011[[#This Row],[entity_spawned (AVG)]])*(Table61011[[#This Row],[activating_chance]]/100),0)</f>
        <v>210</v>
      </c>
      <c r="BV190" s="71" t="str">
        <f ca="1">INDIRECT(ADDRESS(11+(MATCH(RIGHT(Table61011[[#This Row],[spawner_sku]],LEN(Table61011[[#This Row],[spawner_sku]])-FIND("/",Table61011[[#This Row],[spawner_sku]])),Table28[Entity Prefab],0)),24,1,1,"Entities"))</f>
        <v>yes</v>
      </c>
      <c r="BW190" s="71">
        <v>1</v>
      </c>
      <c r="BX190" s="71">
        <v>1</v>
      </c>
      <c r="BY190" s="71" t="b">
        <v>0</v>
      </c>
      <c r="BZ190" s="71"/>
      <c r="CA190" s="147" t="s">
        <v>3821</v>
      </c>
      <c r="CB190">
        <v>1</v>
      </c>
      <c r="CC190">
        <v>240</v>
      </c>
      <c r="CD190">
        <v>100</v>
      </c>
      <c r="CE190" s="74">
        <f ca="1">INDIRECT(ADDRESS(11+(MATCH(RIGHT(Table35[[#This Row],[spawner_sku]],LEN(Table35[[#This Row],[spawner_sku]])-FIND("/",Table35[[#This Row],[spawner_sku]])),Table1[Entity Prefab],0)),10,1,1,"Entities"))</f>
        <v>10</v>
      </c>
      <c r="CF190" s="74">
        <f ca="1">ROUND((Table35[[#This Row],[XP]]*Table35[[#This Row],[entity_spawned (AVG)]])*(Table35[[#This Row],[activating_chance]]/100),0)</f>
        <v>10</v>
      </c>
      <c r="CG190" s="144" t="str">
        <f ca="1">INDIRECT(ADDRESS(11+(MATCH(RIGHT(Table35[[#This Row],[spawner_sku]],LEN(Table35[[#This Row],[spawner_sku]])-FIND("/",Table35[[#This Row],[spawner_sku]])),Table28[Entity Prefab],0)),24,1,1,"Entities"))</f>
        <v>no</v>
      </c>
      <c r="CH190">
        <v>1</v>
      </c>
      <c r="CI190">
        <v>1</v>
      </c>
      <c r="CJ190" s="71" t="b">
        <v>0</v>
      </c>
      <c r="CL190" t="s">
        <v>222</v>
      </c>
      <c r="CM190">
        <v>1</v>
      </c>
      <c r="CN190">
        <v>180</v>
      </c>
      <c r="CO190">
        <v>100</v>
      </c>
      <c r="CP190" s="74">
        <f ca="1">INDIRECT(ADDRESS(11+(MATCH(RIGHT(Table11[[#This Row],[spawner_sku]],LEN(Table11[[#This Row],[spawner_sku]])-FIND("/",Table11[[#This Row],[spawner_sku]])),Table1[Entity Prefab],0)),10,1,1,"Entities"))</f>
        <v>25</v>
      </c>
      <c r="CQ190">
        <f ca="1">ROUND((Table11[[#This Row],[XP]]*Table11[[#This Row],[entity_spawned (AVG)]])*(Table11[[#This Row],[activating_chance]]/100),0)</f>
        <v>25</v>
      </c>
      <c r="CR190" s="144" t="str">
        <f ca="1">INDIRECT(ADDRESS(11+(MATCH(RIGHT(Table11[[#This Row],[spawner_sku]],LEN(Table11[[#This Row],[spawner_sku]])-FIND("/",Table11[[#This Row],[spawner_sku]])),Table28[Entity Prefab],0)),25,1,1,"Entities"))</f>
        <v>yes</v>
      </c>
      <c r="CS190" s="71">
        <v>1</v>
      </c>
      <c r="CT190" s="71">
        <v>1</v>
      </c>
      <c r="CU190" s="71" t="b">
        <v>0</v>
      </c>
      <c r="CW190" t="s">
        <v>243</v>
      </c>
      <c r="CX190">
        <v>1</v>
      </c>
      <c r="CY190">
        <v>150</v>
      </c>
      <c r="CZ190">
        <v>100</v>
      </c>
      <c r="DA190" s="74">
        <f ca="1">INDIRECT(ADDRESS(11+(MATCH(RIGHT(Table12[[#This Row],[spawner_sku]],LEN(Table12[[#This Row],[spawner_sku]])-FIND("/",Table12[[#This Row],[spawner_sku]])),Table1[Entity Prefab],0)),10,1,1,"Entities"))</f>
        <v>25</v>
      </c>
      <c r="DB190" s="74">
        <f ca="1">ROUND((Table12[[#This Row],[XP]]*Table12[[#This Row],[entity_spawned (AVG)]])*(Table12[[#This Row],[activating_chance]]/100),0)</f>
        <v>25</v>
      </c>
      <c r="DC190" s="144" t="str">
        <f ca="1">INDIRECT(ADDRESS(11+(MATCH(RIGHT(Table12[[#This Row],[spawner_sku]],LEN(Table12[[#This Row],[spawner_sku]])-FIND("/",Table12[[#This Row],[spawner_sku]])),Table28[Entity Prefab],0)),25,1,1,"Entities"))</f>
        <v>no</v>
      </c>
      <c r="DD190" s="71">
        <v>1</v>
      </c>
      <c r="DE190" s="71">
        <v>1</v>
      </c>
      <c r="DF190" s="71" t="b">
        <v>0</v>
      </c>
      <c r="DH190" t="s">
        <v>242</v>
      </c>
      <c r="DI190">
        <v>1</v>
      </c>
      <c r="DJ190">
        <v>150</v>
      </c>
      <c r="DK190">
        <v>100</v>
      </c>
      <c r="DL190" s="74">
        <f ca="1">INDIRECT(ADDRESS(11+(MATCH(RIGHT(Table13[[#This Row],[spawner_sku]],LEN(Table13[[#This Row],[spawner_sku]])-FIND("/",Table13[[#This Row],[spawner_sku]])),Table1[Entity Prefab],0)),10,1,1,"Entities"))</f>
        <v>25</v>
      </c>
      <c r="DM190" s="74">
        <f ca="1">ROUND((Table13[[#This Row],[XP]]*Table13[[#This Row],[entity_spawned (AVG)]])*(Table13[[#This Row],[activating_chance]]/100),0)</f>
        <v>25</v>
      </c>
      <c r="DN190" s="144" t="str">
        <f ca="1">INDIRECT(ADDRESS(11+(MATCH(RIGHT(Table13[[#This Row],[spawner_sku]],LEN(Table13[[#This Row],[spawner_sku]])-FIND("/",Table13[[#This Row],[spawner_sku]])),Table28[Entity Prefab],0)),25,1,1,"Entities"))</f>
        <v>no</v>
      </c>
      <c r="DO190" s="71">
        <v>1</v>
      </c>
      <c r="DP190" s="71">
        <v>1</v>
      </c>
      <c r="DQ190" s="71" t="b">
        <v>0</v>
      </c>
      <c r="DS190" t="s">
        <v>224</v>
      </c>
      <c r="DT190">
        <v>1</v>
      </c>
      <c r="DU190">
        <v>2500</v>
      </c>
      <c r="DV190">
        <v>100</v>
      </c>
      <c r="DW190" s="74">
        <f ca="1">INDIRECT(ADDRESS(11+(MATCH(RIGHT(Table14[[#This Row],[spawner_sku]],LEN(Table14[[#This Row],[spawner_sku]])-FIND("/",Table14[[#This Row],[spawner_sku]])),Table1[Entity Prefab],0)),10,1,1,"Entities"))</f>
        <v>263</v>
      </c>
      <c r="DX190" s="74">
        <f ca="1">ROUND((Table14[[#This Row],[XP]]*Table14[[#This Row],[entity_spawned (AVG)]])*(Table14[[#This Row],[activating_chance]]/100),0)</f>
        <v>263</v>
      </c>
      <c r="DY190" s="144" t="str">
        <f ca="1">INDIRECT(ADDRESS(11+(MATCH(RIGHT(Table14[[#This Row],[spawner_sku]],LEN(Table14[[#This Row],[spawner_sku]])-FIND("/",Table14[[#This Row],[spawner_sku]])),Table28[Entity Prefab],0)),25,1,1,"Entities"))</f>
        <v>yes</v>
      </c>
      <c r="DZ190" s="71">
        <v>1</v>
      </c>
      <c r="EA190" s="71">
        <v>1</v>
      </c>
      <c r="EB190" s="71" t="b">
        <v>0</v>
      </c>
      <c r="EC190" s="71"/>
      <c r="EO190" t="s">
        <v>493</v>
      </c>
      <c r="EP190">
        <v>1.5</v>
      </c>
      <c r="EQ190">
        <v>120</v>
      </c>
      <c r="ER190">
        <v>100</v>
      </c>
      <c r="ES190" s="74">
        <f ca="1">INDIRECT(ADDRESS(11+(MATCH(RIGHT(Table18[[#This Row],[spawner_sku]],LEN(Table18[[#This Row],[spawner_sku]])-FIND("/",Table18[[#This Row],[spawner_sku]])),Table1[Entity Prefab],0)),10,1,1,"Entities"))</f>
        <v>35</v>
      </c>
      <c r="ET190" s="74">
        <f ca="1">ROUND((Table18[[#This Row],[XP]]*Table18[[#This Row],[entity_spawned (AVG)]])*(Table18[[#This Row],[activating_chance]]/100),0)</f>
        <v>53</v>
      </c>
      <c r="EU190" s="74" t="str">
        <f ca="1">INDIRECT(ADDRESS(11+(MATCH(RIGHT(Table18[[#This Row],[spawner_sku]],LEN(Table18[[#This Row],[spawner_sku]])-FIND("/",Table18[[#This Row],[spawner_sku]])),Table28[Entity Prefab],0)),26,1,1,"Entities"))</f>
        <v>no</v>
      </c>
      <c r="EV190">
        <v>1</v>
      </c>
      <c r="EW190">
        <v>2</v>
      </c>
      <c r="EX190" t="b">
        <v>0</v>
      </c>
      <c r="EZ190" t="s">
        <v>5003</v>
      </c>
      <c r="FA190">
        <v>1</v>
      </c>
      <c r="FB190">
        <v>5000</v>
      </c>
      <c r="FC190">
        <v>100</v>
      </c>
      <c r="FD190" s="74">
        <f ca="1">INDIRECT(ADDRESS(11+(MATCH(RIGHT(Table1820[[#This Row],[spawner_sku]],LEN(Table1820[[#This Row],[spawner_sku]])-FIND("/",Table1820[[#This Row],[spawner_sku]])),Table1[Entity Prefab],0)),10,1,1,"Entities"))</f>
        <v>25</v>
      </c>
      <c r="FE190" s="74">
        <f ca="1">ROUND((Table1820[[#This Row],[XP]]*Table1820[[#This Row],[entity_spawned (AVG)]])*(Table1820[[#This Row],[activating_chance]]/100),0)</f>
        <v>25</v>
      </c>
      <c r="FF190" s="74" t="str">
        <f ca="1">INDIRECT(ADDRESS(11+(MATCH(RIGHT(Table1820[[#This Row],[spawner_sku]],LEN(Table1820[[#This Row],[spawner_sku]])-FIND("/",Table1820[[#This Row],[spawner_sku]])),Table28[Entity Prefab],0)),26,1,1,"Entities"))</f>
        <v>no</v>
      </c>
      <c r="FG190">
        <v>1</v>
      </c>
      <c r="FH190">
        <v>1</v>
      </c>
      <c r="FI190" t="b">
        <v>0</v>
      </c>
      <c r="FV190" t="s">
        <v>2706</v>
      </c>
      <c r="FW190">
        <v>5.5</v>
      </c>
      <c r="FX190">
        <v>80</v>
      </c>
      <c r="FY190">
        <v>100</v>
      </c>
      <c r="FZ190" s="74">
        <f ca="1">INDIRECT(ADDRESS(11+(MATCH(RIGHT(Table18202324[[#This Row],[spawner_sku]],LEN(Table18202324[[#This Row],[spawner_sku]])-FIND("/",Table18202324[[#This Row],[spawner_sku]])),Table1[Entity Prefab],0)),10,1,1,"Entities"))</f>
        <v>50</v>
      </c>
      <c r="GA190" s="74">
        <f ca="1">ROUND((Table18202324[[#This Row],[XP]]*Table18202324[[#This Row],[entity_spawned (AVG)]])*(Table18202324[[#This Row],[activating_chance]]/100),0)</f>
        <v>275</v>
      </c>
      <c r="GB190" s="74" t="str">
        <f ca="1">INDIRECT(ADDRESS(11+(MATCH(RIGHT(Table18202324[[#This Row],[spawner_sku]],LEN(Table18202324[[#This Row],[spawner_sku]])-FIND("/",Table18202324[[#This Row],[spawner_sku]])),Table28[Entity Prefab],0)),26,1,1,"Entities"))</f>
        <v>no</v>
      </c>
      <c r="GC190">
        <v>5</v>
      </c>
      <c r="GD190">
        <v>6</v>
      </c>
      <c r="GE190" t="b">
        <v>1</v>
      </c>
    </row>
    <row r="191" spans="2:187" x14ac:dyDescent="0.25">
      <c r="B191" s="72" t="s">
        <v>372</v>
      </c>
      <c r="C191">
        <v>1</v>
      </c>
      <c r="D191">
        <v>100</v>
      </c>
      <c r="E191">
        <v>100</v>
      </c>
      <c r="F191" s="74">
        <f ca="1">INDIRECT(ADDRESS(11+(MATCH(RIGHT(Table245[[#This Row],[spawner_sku]],LEN(Table245[[#This Row],[spawner_sku]])-FIND("/",Table245[[#This Row],[spawner_sku]])),Table1[Entity Prefab],0)),10,1,1,"Entities"))</f>
        <v>25</v>
      </c>
      <c r="G191" s="74">
        <f ca="1">ROUND((Table245[[#This Row],[XP]]*Table245[[#This Row],[entity_spawned (AVG)]])*(Table245[[#This Row],[activating_chance]]/100),0)</f>
        <v>25</v>
      </c>
      <c r="H191" s="71" t="str">
        <f ca="1">INDIRECT(ADDRESS(11+(MATCH(RIGHT(Table245[[#This Row],[spawner_sku]],LEN(Table245[[#This Row],[spawner_sku]])-FIND("/",Table245[[#This Row],[spawner_sku]])),Table28[Entity Prefab],0)),24,1,1,"Entities"))</f>
        <v>no</v>
      </c>
      <c r="I191" s="71">
        <v>1</v>
      </c>
      <c r="J191" s="71">
        <v>1</v>
      </c>
      <c r="K191" s="71" t="b">
        <v>0</v>
      </c>
      <c r="M191" t="s">
        <v>321</v>
      </c>
      <c r="N191">
        <v>1.5</v>
      </c>
      <c r="O191">
        <v>300</v>
      </c>
      <c r="P191">
        <v>100</v>
      </c>
      <c r="Q191" s="74">
        <f ca="1">INDIRECT(ADDRESS(11+(MATCH(RIGHT(Table3[[#This Row],[spawner_sku]],LEN(Table3[[#This Row],[spawner_sku]])-FIND("/",Table3[[#This Row],[spawner_sku]])),Table1[Entity Prefab],0)),10,1,1,"Entities"))</f>
        <v>195</v>
      </c>
      <c r="R191" s="74">
        <f ca="1">ROUND((Table3[[#This Row],[XP]]*Table3[[#This Row],[entity_spawned (AVG)]])*(Table3[[#This Row],[activating_chance]]/100),0)</f>
        <v>293</v>
      </c>
      <c r="S191" t="str">
        <f ca="1">INDIRECT(ADDRESS(11+(MATCH(RIGHT(Table3[[#This Row],[spawner_sku]],LEN(Table3[[#This Row],[spawner_sku]])-FIND("/",Table3[[#This Row],[spawner_sku]])),Table28[Entity Prefab],0)),24,1,1,"Entities"))</f>
        <v>yes</v>
      </c>
      <c r="T191">
        <v>1</v>
      </c>
      <c r="U191">
        <v>2</v>
      </c>
      <c r="V191" t="b">
        <v>0</v>
      </c>
      <c r="AI191" t="s">
        <v>228</v>
      </c>
      <c r="AJ191">
        <v>1</v>
      </c>
      <c r="AK191">
        <v>1500</v>
      </c>
      <c r="AL191">
        <v>100</v>
      </c>
      <c r="AM191" s="74">
        <f ca="1">INDIRECT(ADDRESS(11+(MATCH(RIGHT(Table2[[#This Row],[spawner_sku]],LEN(Table2[[#This Row],[spawner_sku]])-FIND("/",Table2[[#This Row],[spawner_sku]])),Table1[Entity Prefab],0)),10,1,1,"Entities"))</f>
        <v>130</v>
      </c>
      <c r="AN191" s="74">
        <f ca="1">ROUND((Table2[[#This Row],[XP]]*Table2[[#This Row],[entity_spawned (AVG)]])*(Table2[[#This Row],[activating_chance]]/100),0)</f>
        <v>130</v>
      </c>
      <c r="AO191" s="71" t="str">
        <f ca="1">INDIRECT(ADDRESS(11+(MATCH(RIGHT(Table2[[#This Row],[spawner_sku]],LEN(Table2[[#This Row],[spawner_sku]])-FIND("/",Table2[[#This Row],[spawner_sku]])),Table28[Entity Prefab],0)),24,1,1,"Entities"))</f>
        <v>yes</v>
      </c>
      <c r="AP191" s="71">
        <v>1</v>
      </c>
      <c r="AQ191" s="71">
        <v>1</v>
      </c>
      <c r="AR191" s="71" t="b">
        <v>0</v>
      </c>
      <c r="BE191" t="s">
        <v>377</v>
      </c>
      <c r="BF191">
        <v>1</v>
      </c>
      <c r="BG191">
        <v>90</v>
      </c>
      <c r="BH191">
        <v>100</v>
      </c>
      <c r="BI191" s="74">
        <f ca="1">INDIRECT(ADDRESS(11+(MATCH(RIGHT(Table610[[#This Row],[spawner_sku]],LEN(Table610[[#This Row],[spawner_sku]])-FIND("/",Table610[[#This Row],[spawner_sku]])),Table1[Entity Prefab],0)),10,1,1,"Entities"))</f>
        <v>25</v>
      </c>
      <c r="BJ191" s="74">
        <f ca="1">ROUND((Table610[[#This Row],[XP]]*Table610[[#This Row],[entity_spawned (AVG)]])*(Table610[[#This Row],[activating_chance]]/100),0)</f>
        <v>25</v>
      </c>
      <c r="BK191" s="71" t="str">
        <f ca="1">INDIRECT(ADDRESS(11+(MATCH(RIGHT(Table610[[#This Row],[spawner_sku]],LEN(Table610[[#This Row],[spawner_sku]])-FIND("/",Table610[[#This Row],[spawner_sku]])),Table28[Entity Prefab],0)),24,1,1,"Entities"))</f>
        <v>no</v>
      </c>
      <c r="BL191">
        <v>1</v>
      </c>
      <c r="BM191">
        <v>1</v>
      </c>
      <c r="BN191" t="b">
        <v>0</v>
      </c>
      <c r="BP191" t="s">
        <v>232</v>
      </c>
      <c r="BQ191">
        <v>6</v>
      </c>
      <c r="BR191">
        <v>180</v>
      </c>
      <c r="BS191">
        <v>100</v>
      </c>
      <c r="BT191" s="74">
        <f ca="1">INDIRECT(ADDRESS(11+(MATCH(RIGHT(Table61011[[#This Row],[spawner_sku]],LEN(Table61011[[#This Row],[spawner_sku]])-FIND("/",Table61011[[#This Row],[spawner_sku]])),Table1[Entity Prefab],0)),10,1,1,"Entities"))</f>
        <v>25</v>
      </c>
      <c r="BU191" s="74">
        <f ca="1">ROUND((Table61011[[#This Row],[XP]]*Table61011[[#This Row],[entity_spawned (AVG)]])*(Table61011[[#This Row],[activating_chance]]/100),0)</f>
        <v>150</v>
      </c>
      <c r="BV191" s="71" t="str">
        <f ca="1">INDIRECT(ADDRESS(11+(MATCH(RIGHT(Table61011[[#This Row],[spawner_sku]],LEN(Table61011[[#This Row],[spawner_sku]])-FIND("/",Table61011[[#This Row],[spawner_sku]])),Table28[Entity Prefab],0)),24,1,1,"Entities"))</f>
        <v>no</v>
      </c>
      <c r="BW191" s="71">
        <v>5</v>
      </c>
      <c r="BX191" s="71">
        <v>7</v>
      </c>
      <c r="BY191" s="71" t="b">
        <v>1</v>
      </c>
      <c r="BZ191" s="71"/>
      <c r="CA191" s="147" t="s">
        <v>3821</v>
      </c>
      <c r="CB191">
        <v>1</v>
      </c>
      <c r="CC191">
        <v>240</v>
      </c>
      <c r="CD191">
        <v>100</v>
      </c>
      <c r="CE191" s="74">
        <f ca="1">INDIRECT(ADDRESS(11+(MATCH(RIGHT(Table35[[#This Row],[spawner_sku]],LEN(Table35[[#This Row],[spawner_sku]])-FIND("/",Table35[[#This Row],[spawner_sku]])),Table1[Entity Prefab],0)),10,1,1,"Entities"))</f>
        <v>10</v>
      </c>
      <c r="CF191" s="74">
        <f ca="1">ROUND((Table35[[#This Row],[XP]]*Table35[[#This Row],[entity_spawned (AVG)]])*(Table35[[#This Row],[activating_chance]]/100),0)</f>
        <v>10</v>
      </c>
      <c r="CG191" s="144" t="str">
        <f ca="1">INDIRECT(ADDRESS(11+(MATCH(RIGHT(Table35[[#This Row],[spawner_sku]],LEN(Table35[[#This Row],[spawner_sku]])-FIND("/",Table35[[#This Row],[spawner_sku]])),Table28[Entity Prefab],0)),24,1,1,"Entities"))</f>
        <v>no</v>
      </c>
      <c r="CH191">
        <v>1</v>
      </c>
      <c r="CI191">
        <v>1</v>
      </c>
      <c r="CJ191" s="71" t="b">
        <v>0</v>
      </c>
      <c r="CL191" t="s">
        <v>222</v>
      </c>
      <c r="CM191">
        <v>1</v>
      </c>
      <c r="CN191">
        <v>180</v>
      </c>
      <c r="CO191">
        <v>100</v>
      </c>
      <c r="CP191" s="74">
        <f ca="1">INDIRECT(ADDRESS(11+(MATCH(RIGHT(Table11[[#This Row],[spawner_sku]],LEN(Table11[[#This Row],[spawner_sku]])-FIND("/",Table11[[#This Row],[spawner_sku]])),Table1[Entity Prefab],0)),10,1,1,"Entities"))</f>
        <v>25</v>
      </c>
      <c r="CQ191">
        <f ca="1">ROUND((Table11[[#This Row],[XP]]*Table11[[#This Row],[entity_spawned (AVG)]])*(Table11[[#This Row],[activating_chance]]/100),0)</f>
        <v>25</v>
      </c>
      <c r="CR191" s="144" t="str">
        <f ca="1">INDIRECT(ADDRESS(11+(MATCH(RIGHT(Table11[[#This Row],[spawner_sku]],LEN(Table11[[#This Row],[spawner_sku]])-FIND("/",Table11[[#This Row],[spawner_sku]])),Table28[Entity Prefab],0)),25,1,1,"Entities"))</f>
        <v>yes</v>
      </c>
      <c r="CS191" s="71">
        <v>1</v>
      </c>
      <c r="CT191" s="71">
        <v>1</v>
      </c>
      <c r="CU191" s="71" t="b">
        <v>0</v>
      </c>
      <c r="CW191" t="s">
        <v>243</v>
      </c>
      <c r="CX191">
        <v>1.5</v>
      </c>
      <c r="CY191">
        <v>150</v>
      </c>
      <c r="CZ191">
        <v>30</v>
      </c>
      <c r="DA191" s="74">
        <f ca="1">INDIRECT(ADDRESS(11+(MATCH(RIGHT(Table12[[#This Row],[spawner_sku]],LEN(Table12[[#This Row],[spawner_sku]])-FIND("/",Table12[[#This Row],[spawner_sku]])),Table1[Entity Prefab],0)),10,1,1,"Entities"))</f>
        <v>25</v>
      </c>
      <c r="DB191" s="74">
        <f ca="1">ROUND((Table12[[#This Row],[XP]]*Table12[[#This Row],[entity_spawned (AVG)]])*(Table12[[#This Row],[activating_chance]]/100),0)</f>
        <v>11</v>
      </c>
      <c r="DC191" s="144" t="str">
        <f ca="1">INDIRECT(ADDRESS(11+(MATCH(RIGHT(Table12[[#This Row],[spawner_sku]],LEN(Table12[[#This Row],[spawner_sku]])-FIND("/",Table12[[#This Row],[spawner_sku]])),Table28[Entity Prefab],0)),25,1,1,"Entities"))</f>
        <v>no</v>
      </c>
      <c r="DD191" s="71">
        <v>1</v>
      </c>
      <c r="DE191" s="71">
        <v>2</v>
      </c>
      <c r="DF191" s="71" t="b">
        <v>0</v>
      </c>
      <c r="DH191" t="s">
        <v>242</v>
      </c>
      <c r="DI191">
        <v>1</v>
      </c>
      <c r="DJ191">
        <v>150</v>
      </c>
      <c r="DK191">
        <v>100</v>
      </c>
      <c r="DL191" s="74">
        <f ca="1">INDIRECT(ADDRESS(11+(MATCH(RIGHT(Table13[[#This Row],[spawner_sku]],LEN(Table13[[#This Row],[spawner_sku]])-FIND("/",Table13[[#This Row],[spawner_sku]])),Table1[Entity Prefab],0)),10,1,1,"Entities"))</f>
        <v>25</v>
      </c>
      <c r="DM191" s="74">
        <f ca="1">ROUND((Table13[[#This Row],[XP]]*Table13[[#This Row],[entity_spawned (AVG)]])*(Table13[[#This Row],[activating_chance]]/100),0)</f>
        <v>25</v>
      </c>
      <c r="DN191" s="144" t="str">
        <f ca="1">INDIRECT(ADDRESS(11+(MATCH(RIGHT(Table13[[#This Row],[spawner_sku]],LEN(Table13[[#This Row],[spawner_sku]])-FIND("/",Table13[[#This Row],[spawner_sku]])),Table28[Entity Prefab],0)),25,1,1,"Entities"))</f>
        <v>no</v>
      </c>
      <c r="DO191" s="71">
        <v>1</v>
      </c>
      <c r="DP191" s="71">
        <v>1</v>
      </c>
      <c r="DQ191" s="71" t="b">
        <v>0</v>
      </c>
      <c r="DS191" t="s">
        <v>224</v>
      </c>
      <c r="DT191">
        <v>1</v>
      </c>
      <c r="DU191">
        <v>2500</v>
      </c>
      <c r="DV191">
        <v>100</v>
      </c>
      <c r="DW191" s="74">
        <f ca="1">INDIRECT(ADDRESS(11+(MATCH(RIGHT(Table14[[#This Row],[spawner_sku]],LEN(Table14[[#This Row],[spawner_sku]])-FIND("/",Table14[[#This Row],[spawner_sku]])),Table1[Entity Prefab],0)),10,1,1,"Entities"))</f>
        <v>263</v>
      </c>
      <c r="DX191" s="74">
        <f ca="1">ROUND((Table14[[#This Row],[XP]]*Table14[[#This Row],[entity_spawned (AVG)]])*(Table14[[#This Row],[activating_chance]]/100),0)</f>
        <v>263</v>
      </c>
      <c r="DY191" s="144" t="str">
        <f ca="1">INDIRECT(ADDRESS(11+(MATCH(RIGHT(Table14[[#This Row],[spawner_sku]],LEN(Table14[[#This Row],[spawner_sku]])-FIND("/",Table14[[#This Row],[spawner_sku]])),Table28[Entity Prefab],0)),25,1,1,"Entities"))</f>
        <v>yes</v>
      </c>
      <c r="DZ191" s="71">
        <v>1</v>
      </c>
      <c r="EA191" s="71">
        <v>1</v>
      </c>
      <c r="EB191" s="71" t="b">
        <v>0</v>
      </c>
      <c r="EC191" s="71"/>
      <c r="EO191" t="s">
        <v>493</v>
      </c>
      <c r="EP191">
        <v>2</v>
      </c>
      <c r="EQ191">
        <v>120</v>
      </c>
      <c r="ER191">
        <v>100</v>
      </c>
      <c r="ES191" s="74">
        <f ca="1">INDIRECT(ADDRESS(11+(MATCH(RIGHT(Table18[[#This Row],[spawner_sku]],LEN(Table18[[#This Row],[spawner_sku]])-FIND("/",Table18[[#This Row],[spawner_sku]])),Table1[Entity Prefab],0)),10,1,1,"Entities"))</f>
        <v>35</v>
      </c>
      <c r="ET191" s="74">
        <f ca="1">ROUND((Table18[[#This Row],[XP]]*Table18[[#This Row],[entity_spawned (AVG)]])*(Table18[[#This Row],[activating_chance]]/100),0)</f>
        <v>70</v>
      </c>
      <c r="EU191" s="74" t="str">
        <f ca="1">INDIRECT(ADDRESS(11+(MATCH(RIGHT(Table18[[#This Row],[spawner_sku]],LEN(Table18[[#This Row],[spawner_sku]])-FIND("/",Table18[[#This Row],[spawner_sku]])),Table28[Entity Prefab],0)),26,1,1,"Entities"))</f>
        <v>no</v>
      </c>
      <c r="EV191">
        <v>2</v>
      </c>
      <c r="EW191">
        <v>2</v>
      </c>
      <c r="EX191" t="b">
        <v>0</v>
      </c>
      <c r="EZ191" t="s">
        <v>5003</v>
      </c>
      <c r="FA191">
        <v>1</v>
      </c>
      <c r="FB191">
        <v>5000</v>
      </c>
      <c r="FC191">
        <v>50</v>
      </c>
      <c r="FD191" s="74">
        <f ca="1">INDIRECT(ADDRESS(11+(MATCH(RIGHT(Table1820[[#This Row],[spawner_sku]],LEN(Table1820[[#This Row],[spawner_sku]])-FIND("/",Table1820[[#This Row],[spawner_sku]])),Table1[Entity Prefab],0)),10,1,1,"Entities"))</f>
        <v>25</v>
      </c>
      <c r="FE191" s="74">
        <f ca="1">ROUND((Table1820[[#This Row],[XP]]*Table1820[[#This Row],[entity_spawned (AVG)]])*(Table1820[[#This Row],[activating_chance]]/100),0)</f>
        <v>13</v>
      </c>
      <c r="FF191" s="74" t="str">
        <f ca="1">INDIRECT(ADDRESS(11+(MATCH(RIGHT(Table1820[[#This Row],[spawner_sku]],LEN(Table1820[[#This Row],[spawner_sku]])-FIND("/",Table1820[[#This Row],[spawner_sku]])),Table28[Entity Prefab],0)),26,1,1,"Entities"))</f>
        <v>no</v>
      </c>
      <c r="FG191">
        <v>1</v>
      </c>
      <c r="FH191">
        <v>1</v>
      </c>
      <c r="FI191" t="b">
        <v>0</v>
      </c>
      <c r="FV191" t="s">
        <v>2706</v>
      </c>
      <c r="FW191">
        <v>3.5</v>
      </c>
      <c r="FX191">
        <v>90</v>
      </c>
      <c r="FY191">
        <v>100</v>
      </c>
      <c r="FZ191" s="74">
        <f ca="1">INDIRECT(ADDRESS(11+(MATCH(RIGHT(Table18202324[[#This Row],[spawner_sku]],LEN(Table18202324[[#This Row],[spawner_sku]])-FIND("/",Table18202324[[#This Row],[spawner_sku]])),Table1[Entity Prefab],0)),10,1,1,"Entities"))</f>
        <v>50</v>
      </c>
      <c r="GA191" s="74">
        <f ca="1">ROUND((Table18202324[[#This Row],[XP]]*Table18202324[[#This Row],[entity_spawned (AVG)]])*(Table18202324[[#This Row],[activating_chance]]/100),0)</f>
        <v>175</v>
      </c>
      <c r="GB191" s="74" t="str">
        <f ca="1">INDIRECT(ADDRESS(11+(MATCH(RIGHT(Table18202324[[#This Row],[spawner_sku]],LEN(Table18202324[[#This Row],[spawner_sku]])-FIND("/",Table18202324[[#This Row],[spawner_sku]])),Table28[Entity Prefab],0)),26,1,1,"Entities"))</f>
        <v>no</v>
      </c>
      <c r="GC191">
        <v>3</v>
      </c>
      <c r="GD191">
        <v>4</v>
      </c>
      <c r="GE191" t="b">
        <v>0</v>
      </c>
    </row>
    <row r="192" spans="2:187" x14ac:dyDescent="0.25">
      <c r="B192" s="72" t="s">
        <v>372</v>
      </c>
      <c r="C192">
        <v>1</v>
      </c>
      <c r="D192">
        <v>100</v>
      </c>
      <c r="E192">
        <v>100</v>
      </c>
      <c r="F192" s="74">
        <f ca="1">INDIRECT(ADDRESS(11+(MATCH(RIGHT(Table245[[#This Row],[spawner_sku]],LEN(Table245[[#This Row],[spawner_sku]])-FIND("/",Table245[[#This Row],[spawner_sku]])),Table1[Entity Prefab],0)),10,1,1,"Entities"))</f>
        <v>25</v>
      </c>
      <c r="G192" s="74">
        <f ca="1">ROUND((Table245[[#This Row],[XP]]*Table245[[#This Row],[entity_spawned (AVG)]])*(Table245[[#This Row],[activating_chance]]/100),0)</f>
        <v>25</v>
      </c>
      <c r="H192" s="71" t="str">
        <f ca="1">INDIRECT(ADDRESS(11+(MATCH(RIGHT(Table245[[#This Row],[spawner_sku]],LEN(Table245[[#This Row],[spawner_sku]])-FIND("/",Table245[[#This Row],[spawner_sku]])),Table28[Entity Prefab],0)),24,1,1,"Entities"))</f>
        <v>no</v>
      </c>
      <c r="I192" s="71">
        <v>1</v>
      </c>
      <c r="J192" s="71">
        <v>1</v>
      </c>
      <c r="K192" s="71" t="b">
        <v>0</v>
      </c>
      <c r="M192" t="s">
        <v>365</v>
      </c>
      <c r="N192">
        <v>1</v>
      </c>
      <c r="O192">
        <v>275</v>
      </c>
      <c r="P192">
        <v>100</v>
      </c>
      <c r="Q192" s="74">
        <f ca="1">INDIRECT(ADDRESS(11+(MATCH(RIGHT(Table3[[#This Row],[spawner_sku]],LEN(Table3[[#This Row],[spawner_sku]])-FIND("/",Table3[[#This Row],[spawner_sku]])),Table1[Entity Prefab],0)),10,1,1,"Entities"))</f>
        <v>28</v>
      </c>
      <c r="R192" s="74">
        <f ca="1">ROUND((Table3[[#This Row],[XP]]*Table3[[#This Row],[entity_spawned (AVG)]])*(Table3[[#This Row],[activating_chance]]/100),0)</f>
        <v>28</v>
      </c>
      <c r="S192" t="str">
        <f ca="1">INDIRECT(ADDRESS(11+(MATCH(RIGHT(Table3[[#This Row],[spawner_sku]],LEN(Table3[[#This Row],[spawner_sku]])-FIND("/",Table3[[#This Row],[spawner_sku]])),Table28[Entity Prefab],0)),24,1,1,"Entities"))</f>
        <v>yes</v>
      </c>
      <c r="T192">
        <v>1</v>
      </c>
      <c r="U192">
        <v>1</v>
      </c>
      <c r="V192" t="b">
        <v>0</v>
      </c>
      <c r="AI192" t="s">
        <v>228</v>
      </c>
      <c r="AJ192">
        <v>1</v>
      </c>
      <c r="AK192">
        <v>1500</v>
      </c>
      <c r="AL192">
        <v>100</v>
      </c>
      <c r="AM192" s="74">
        <f ca="1">INDIRECT(ADDRESS(11+(MATCH(RIGHT(Table2[[#This Row],[spawner_sku]],LEN(Table2[[#This Row],[spawner_sku]])-FIND("/",Table2[[#This Row],[spawner_sku]])),Table1[Entity Prefab],0)),10,1,1,"Entities"))</f>
        <v>130</v>
      </c>
      <c r="AN192" s="74">
        <f ca="1">ROUND((Table2[[#This Row],[XP]]*Table2[[#This Row],[entity_spawned (AVG)]])*(Table2[[#This Row],[activating_chance]]/100),0)</f>
        <v>130</v>
      </c>
      <c r="AO192" s="71" t="str">
        <f ca="1">INDIRECT(ADDRESS(11+(MATCH(RIGHT(Table2[[#This Row],[spawner_sku]],LEN(Table2[[#This Row],[spawner_sku]])-FIND("/",Table2[[#This Row],[spawner_sku]])),Table28[Entity Prefab],0)),24,1,1,"Entities"))</f>
        <v>yes</v>
      </c>
      <c r="AP192" s="71">
        <v>1</v>
      </c>
      <c r="AQ192" s="71">
        <v>1</v>
      </c>
      <c r="AR192" s="71" t="b">
        <v>0</v>
      </c>
      <c r="BE192" t="s">
        <v>377</v>
      </c>
      <c r="BF192">
        <v>1.5</v>
      </c>
      <c r="BG192">
        <v>90</v>
      </c>
      <c r="BH192">
        <v>100</v>
      </c>
      <c r="BI192" s="74">
        <f ca="1">INDIRECT(ADDRESS(11+(MATCH(RIGHT(Table610[[#This Row],[spawner_sku]],LEN(Table610[[#This Row],[spawner_sku]])-FIND("/",Table610[[#This Row],[spawner_sku]])),Table1[Entity Prefab],0)),10,1,1,"Entities"))</f>
        <v>25</v>
      </c>
      <c r="BJ192" s="74">
        <f ca="1">ROUND((Table610[[#This Row],[XP]]*Table610[[#This Row],[entity_spawned (AVG)]])*(Table610[[#This Row],[activating_chance]]/100),0)</f>
        <v>38</v>
      </c>
      <c r="BK192" s="71" t="str">
        <f ca="1">INDIRECT(ADDRESS(11+(MATCH(RIGHT(Table610[[#This Row],[spawner_sku]],LEN(Table610[[#This Row],[spawner_sku]])-FIND("/",Table610[[#This Row],[spawner_sku]])),Table28[Entity Prefab],0)),24,1,1,"Entities"))</f>
        <v>no</v>
      </c>
      <c r="BL192">
        <v>1</v>
      </c>
      <c r="BM192">
        <v>2</v>
      </c>
      <c r="BN192" t="b">
        <v>0</v>
      </c>
      <c r="BP192" t="s">
        <v>232</v>
      </c>
      <c r="BQ192">
        <v>7.5</v>
      </c>
      <c r="BR192">
        <v>110</v>
      </c>
      <c r="BS192">
        <v>100</v>
      </c>
      <c r="BT192" s="74">
        <f ca="1">INDIRECT(ADDRESS(11+(MATCH(RIGHT(Table61011[[#This Row],[spawner_sku]],LEN(Table61011[[#This Row],[spawner_sku]])-FIND("/",Table61011[[#This Row],[spawner_sku]])),Table1[Entity Prefab],0)),10,1,1,"Entities"))</f>
        <v>25</v>
      </c>
      <c r="BU192" s="74">
        <f ca="1">ROUND((Table61011[[#This Row],[XP]]*Table61011[[#This Row],[entity_spawned (AVG)]])*(Table61011[[#This Row],[activating_chance]]/100),0)</f>
        <v>188</v>
      </c>
      <c r="BV192" s="71" t="str">
        <f ca="1">INDIRECT(ADDRESS(11+(MATCH(RIGHT(Table61011[[#This Row],[spawner_sku]],LEN(Table61011[[#This Row],[spawner_sku]])-FIND("/",Table61011[[#This Row],[spawner_sku]])),Table28[Entity Prefab],0)),24,1,1,"Entities"))</f>
        <v>no</v>
      </c>
      <c r="BW192" s="71">
        <v>5</v>
      </c>
      <c r="BX192" s="71">
        <v>10</v>
      </c>
      <c r="BY192" s="71" t="b">
        <v>1</v>
      </c>
      <c r="BZ192" s="71"/>
      <c r="CA192" s="147" t="s">
        <v>3821</v>
      </c>
      <c r="CB192">
        <v>1</v>
      </c>
      <c r="CC192">
        <v>240</v>
      </c>
      <c r="CD192">
        <v>100</v>
      </c>
      <c r="CE192" s="74">
        <f ca="1">INDIRECT(ADDRESS(11+(MATCH(RIGHT(Table35[[#This Row],[spawner_sku]],LEN(Table35[[#This Row],[spawner_sku]])-FIND("/",Table35[[#This Row],[spawner_sku]])),Table1[Entity Prefab],0)),10,1,1,"Entities"))</f>
        <v>10</v>
      </c>
      <c r="CF192" s="74">
        <f ca="1">ROUND((Table35[[#This Row],[XP]]*Table35[[#This Row],[entity_spawned (AVG)]])*(Table35[[#This Row],[activating_chance]]/100),0)</f>
        <v>10</v>
      </c>
      <c r="CG192" s="144" t="str">
        <f ca="1">INDIRECT(ADDRESS(11+(MATCH(RIGHT(Table35[[#This Row],[spawner_sku]],LEN(Table35[[#This Row],[spawner_sku]])-FIND("/",Table35[[#This Row],[spawner_sku]])),Table28[Entity Prefab],0)),24,1,1,"Entities"))</f>
        <v>no</v>
      </c>
      <c r="CH192">
        <v>1</v>
      </c>
      <c r="CI192">
        <v>1</v>
      </c>
      <c r="CJ192" s="71" t="b">
        <v>0</v>
      </c>
      <c r="CL192" t="s">
        <v>222</v>
      </c>
      <c r="CM192">
        <v>1</v>
      </c>
      <c r="CN192">
        <v>180</v>
      </c>
      <c r="CO192">
        <v>100</v>
      </c>
      <c r="CP192" s="74">
        <f ca="1">INDIRECT(ADDRESS(11+(MATCH(RIGHT(Table11[[#This Row],[spawner_sku]],LEN(Table11[[#This Row],[spawner_sku]])-FIND("/",Table11[[#This Row],[spawner_sku]])),Table1[Entity Prefab],0)),10,1,1,"Entities"))</f>
        <v>25</v>
      </c>
      <c r="CQ192">
        <f ca="1">ROUND((Table11[[#This Row],[XP]]*Table11[[#This Row],[entity_spawned (AVG)]])*(Table11[[#This Row],[activating_chance]]/100),0)</f>
        <v>25</v>
      </c>
      <c r="CR192" s="144" t="str">
        <f ca="1">INDIRECT(ADDRESS(11+(MATCH(RIGHT(Table11[[#This Row],[spawner_sku]],LEN(Table11[[#This Row],[spawner_sku]])-FIND("/",Table11[[#This Row],[spawner_sku]])),Table28[Entity Prefab],0)),25,1,1,"Entities"))</f>
        <v>yes</v>
      </c>
      <c r="CS192" s="71">
        <v>1</v>
      </c>
      <c r="CT192" s="71">
        <v>1</v>
      </c>
      <c r="CU192" s="71" t="b">
        <v>0</v>
      </c>
      <c r="CW192" t="s">
        <v>243</v>
      </c>
      <c r="CX192">
        <v>1</v>
      </c>
      <c r="CY192">
        <v>150</v>
      </c>
      <c r="CZ192">
        <v>100</v>
      </c>
      <c r="DA192" s="74">
        <f ca="1">INDIRECT(ADDRESS(11+(MATCH(RIGHT(Table12[[#This Row],[spawner_sku]],LEN(Table12[[#This Row],[spawner_sku]])-FIND("/",Table12[[#This Row],[spawner_sku]])),Table1[Entity Prefab],0)),10,1,1,"Entities"))</f>
        <v>25</v>
      </c>
      <c r="DB192" s="74">
        <f ca="1">ROUND((Table12[[#This Row],[XP]]*Table12[[#This Row],[entity_spawned (AVG)]])*(Table12[[#This Row],[activating_chance]]/100),0)</f>
        <v>25</v>
      </c>
      <c r="DC192" s="144" t="str">
        <f ca="1">INDIRECT(ADDRESS(11+(MATCH(RIGHT(Table12[[#This Row],[spawner_sku]],LEN(Table12[[#This Row],[spawner_sku]])-FIND("/",Table12[[#This Row],[spawner_sku]])),Table28[Entity Prefab],0)),25,1,1,"Entities"))</f>
        <v>no</v>
      </c>
      <c r="DD192" s="71">
        <v>1</v>
      </c>
      <c r="DE192" s="71">
        <v>1</v>
      </c>
      <c r="DF192" s="71" t="b">
        <v>0</v>
      </c>
      <c r="DH192" t="s">
        <v>242</v>
      </c>
      <c r="DI192">
        <v>1</v>
      </c>
      <c r="DJ192">
        <v>150</v>
      </c>
      <c r="DK192">
        <v>100</v>
      </c>
      <c r="DL192" s="74">
        <f ca="1">INDIRECT(ADDRESS(11+(MATCH(RIGHT(Table13[[#This Row],[spawner_sku]],LEN(Table13[[#This Row],[spawner_sku]])-FIND("/",Table13[[#This Row],[spawner_sku]])),Table1[Entity Prefab],0)),10,1,1,"Entities"))</f>
        <v>25</v>
      </c>
      <c r="DM192" s="74">
        <f ca="1">ROUND((Table13[[#This Row],[XP]]*Table13[[#This Row],[entity_spawned (AVG)]])*(Table13[[#This Row],[activating_chance]]/100),0)</f>
        <v>25</v>
      </c>
      <c r="DN192" s="144" t="str">
        <f ca="1">INDIRECT(ADDRESS(11+(MATCH(RIGHT(Table13[[#This Row],[spawner_sku]],LEN(Table13[[#This Row],[spawner_sku]])-FIND("/",Table13[[#This Row],[spawner_sku]])),Table28[Entity Prefab],0)),25,1,1,"Entities"))</f>
        <v>no</v>
      </c>
      <c r="DO192" s="71">
        <v>1</v>
      </c>
      <c r="DP192" s="71">
        <v>1</v>
      </c>
      <c r="DQ192" s="71" t="b">
        <v>0</v>
      </c>
      <c r="DS192" t="s">
        <v>224</v>
      </c>
      <c r="DT192">
        <v>1</v>
      </c>
      <c r="DU192">
        <v>2500</v>
      </c>
      <c r="DV192">
        <v>100</v>
      </c>
      <c r="DW192" s="74">
        <f ca="1">INDIRECT(ADDRESS(11+(MATCH(RIGHT(Table14[[#This Row],[spawner_sku]],LEN(Table14[[#This Row],[spawner_sku]])-FIND("/",Table14[[#This Row],[spawner_sku]])),Table1[Entity Prefab],0)),10,1,1,"Entities"))</f>
        <v>263</v>
      </c>
      <c r="DX192" s="74">
        <f ca="1">ROUND((Table14[[#This Row],[XP]]*Table14[[#This Row],[entity_spawned (AVG)]])*(Table14[[#This Row],[activating_chance]]/100),0)</f>
        <v>263</v>
      </c>
      <c r="DY192" s="144" t="str">
        <f ca="1">INDIRECT(ADDRESS(11+(MATCH(RIGHT(Table14[[#This Row],[spawner_sku]],LEN(Table14[[#This Row],[spawner_sku]])-FIND("/",Table14[[#This Row],[spawner_sku]])),Table28[Entity Prefab],0)),25,1,1,"Entities"))</f>
        <v>yes</v>
      </c>
      <c r="DZ192" s="71">
        <v>1</v>
      </c>
      <c r="EA192" s="71">
        <v>1</v>
      </c>
      <c r="EB192" s="71" t="b">
        <v>0</v>
      </c>
      <c r="EC192" s="71"/>
      <c r="EO192" t="s">
        <v>493</v>
      </c>
      <c r="EP192">
        <v>3</v>
      </c>
      <c r="EQ192">
        <v>120</v>
      </c>
      <c r="ER192">
        <v>100</v>
      </c>
      <c r="ES192" s="74">
        <f ca="1">INDIRECT(ADDRESS(11+(MATCH(RIGHT(Table18[[#This Row],[spawner_sku]],LEN(Table18[[#This Row],[spawner_sku]])-FIND("/",Table18[[#This Row],[spawner_sku]])),Table1[Entity Prefab],0)),10,1,1,"Entities"))</f>
        <v>35</v>
      </c>
      <c r="ET192" s="74">
        <f ca="1">ROUND((Table18[[#This Row],[XP]]*Table18[[#This Row],[entity_spawned (AVG)]])*(Table18[[#This Row],[activating_chance]]/100),0)</f>
        <v>105</v>
      </c>
      <c r="EU192" s="74" t="str">
        <f ca="1">INDIRECT(ADDRESS(11+(MATCH(RIGHT(Table18[[#This Row],[spawner_sku]],LEN(Table18[[#This Row],[spawner_sku]])-FIND("/",Table18[[#This Row],[spawner_sku]])),Table28[Entity Prefab],0)),26,1,1,"Entities"))</f>
        <v>no</v>
      </c>
      <c r="EV192">
        <v>3</v>
      </c>
      <c r="EW192">
        <v>3</v>
      </c>
      <c r="EX192" t="b">
        <v>0</v>
      </c>
      <c r="EZ192" t="s">
        <v>464</v>
      </c>
      <c r="FA192">
        <v>1</v>
      </c>
      <c r="FB192">
        <v>120</v>
      </c>
      <c r="FC192">
        <v>100</v>
      </c>
      <c r="FD192" s="74">
        <f ca="1">INDIRECT(ADDRESS(11+(MATCH(RIGHT(Table1820[[#This Row],[spawner_sku]],LEN(Table1820[[#This Row],[spawner_sku]])-FIND("/",Table1820[[#This Row],[spawner_sku]])),Table1[Entity Prefab],0)),10,1,1,"Entities"))</f>
        <v>28</v>
      </c>
      <c r="FE192" s="74">
        <f ca="1">ROUND((Table1820[[#This Row],[XP]]*Table1820[[#This Row],[entity_spawned (AVG)]])*(Table1820[[#This Row],[activating_chance]]/100),0)</f>
        <v>28</v>
      </c>
      <c r="FF192" s="74" t="str">
        <f ca="1">INDIRECT(ADDRESS(11+(MATCH(RIGHT(Table1820[[#This Row],[spawner_sku]],LEN(Table1820[[#This Row],[spawner_sku]])-FIND("/",Table1820[[#This Row],[spawner_sku]])),Table28[Entity Prefab],0)),26,1,1,"Entities"))</f>
        <v>no</v>
      </c>
      <c r="FG192">
        <v>1</v>
      </c>
      <c r="FH192">
        <v>1</v>
      </c>
      <c r="FI192" t="b">
        <v>0</v>
      </c>
      <c r="FV192" t="s">
        <v>2706</v>
      </c>
      <c r="FW192">
        <v>13</v>
      </c>
      <c r="FX192">
        <v>90</v>
      </c>
      <c r="FY192">
        <v>100</v>
      </c>
      <c r="FZ192" s="74">
        <f ca="1">INDIRECT(ADDRESS(11+(MATCH(RIGHT(Table18202324[[#This Row],[spawner_sku]],LEN(Table18202324[[#This Row],[spawner_sku]])-FIND("/",Table18202324[[#This Row],[spawner_sku]])),Table1[Entity Prefab],0)),10,1,1,"Entities"))</f>
        <v>50</v>
      </c>
      <c r="GA192" s="74">
        <f ca="1">ROUND((Table18202324[[#This Row],[XP]]*Table18202324[[#This Row],[entity_spawned (AVG)]])*(Table18202324[[#This Row],[activating_chance]]/100),0)</f>
        <v>650</v>
      </c>
      <c r="GB192" s="74" t="str">
        <f ca="1">INDIRECT(ADDRESS(11+(MATCH(RIGHT(Table18202324[[#This Row],[spawner_sku]],LEN(Table18202324[[#This Row],[spawner_sku]])-FIND("/",Table18202324[[#This Row],[spawner_sku]])),Table28[Entity Prefab],0)),26,1,1,"Entities"))</f>
        <v>no</v>
      </c>
      <c r="GC192">
        <v>12</v>
      </c>
      <c r="GD192">
        <v>14</v>
      </c>
      <c r="GE192" t="b">
        <v>1</v>
      </c>
    </row>
    <row r="193" spans="2:187" x14ac:dyDescent="0.25">
      <c r="B193" s="72" t="s">
        <v>376</v>
      </c>
      <c r="C193">
        <v>1</v>
      </c>
      <c r="D193">
        <v>60</v>
      </c>
      <c r="E193">
        <v>100</v>
      </c>
      <c r="F193" s="74">
        <f ca="1">INDIRECT(ADDRESS(11+(MATCH(RIGHT(Table245[[#This Row],[spawner_sku]],LEN(Table245[[#This Row],[spawner_sku]])-FIND("/",Table245[[#This Row],[spawner_sku]])),Table1[Entity Prefab],0)),10,1,1,"Entities"))</f>
        <v>25</v>
      </c>
      <c r="G193" s="74">
        <f ca="1">ROUND((Table245[[#This Row],[XP]]*Table245[[#This Row],[entity_spawned (AVG)]])*(Table245[[#This Row],[activating_chance]]/100),0)</f>
        <v>25</v>
      </c>
      <c r="H193" s="71" t="str">
        <f ca="1">INDIRECT(ADDRESS(11+(MATCH(RIGHT(Table245[[#This Row],[spawner_sku]],LEN(Table245[[#This Row],[spawner_sku]])-FIND("/",Table245[[#This Row],[spawner_sku]])),Table28[Entity Prefab],0)),24,1,1,"Entities"))</f>
        <v>no</v>
      </c>
      <c r="I193" s="71">
        <v>1</v>
      </c>
      <c r="J193" s="71">
        <v>1</v>
      </c>
      <c r="K193" s="71" t="b">
        <v>0</v>
      </c>
      <c r="M193" t="s">
        <v>242</v>
      </c>
      <c r="N193">
        <v>1</v>
      </c>
      <c r="O193">
        <v>180</v>
      </c>
      <c r="P193">
        <v>100</v>
      </c>
      <c r="Q193" s="74">
        <f ca="1">INDIRECT(ADDRESS(11+(MATCH(RIGHT(Table3[[#This Row],[spawner_sku]],LEN(Table3[[#This Row],[spawner_sku]])-FIND("/",Table3[[#This Row],[spawner_sku]])),Table1[Entity Prefab],0)),10,1,1,"Entities"))</f>
        <v>25</v>
      </c>
      <c r="R193" s="74">
        <f ca="1">ROUND((Table3[[#This Row],[XP]]*Table3[[#This Row],[entity_spawned (AVG)]])*(Table3[[#This Row],[activating_chance]]/100),0)</f>
        <v>25</v>
      </c>
      <c r="S193" t="str">
        <f ca="1">INDIRECT(ADDRESS(11+(MATCH(RIGHT(Table3[[#This Row],[spawner_sku]],LEN(Table3[[#This Row],[spawner_sku]])-FIND("/",Table3[[#This Row],[spawner_sku]])),Table28[Entity Prefab],0)),24,1,1,"Entities"))</f>
        <v>no</v>
      </c>
      <c r="T193">
        <v>1</v>
      </c>
      <c r="U193">
        <v>1</v>
      </c>
      <c r="V193" t="b">
        <v>0</v>
      </c>
      <c r="AI193" t="s">
        <v>228</v>
      </c>
      <c r="AJ193">
        <v>1</v>
      </c>
      <c r="AK193">
        <v>1500</v>
      </c>
      <c r="AL193">
        <v>100</v>
      </c>
      <c r="AM193" s="74">
        <f ca="1">INDIRECT(ADDRESS(11+(MATCH(RIGHT(Table2[[#This Row],[spawner_sku]],LEN(Table2[[#This Row],[spawner_sku]])-FIND("/",Table2[[#This Row],[spawner_sku]])),Table1[Entity Prefab],0)),10,1,1,"Entities"))</f>
        <v>130</v>
      </c>
      <c r="AN193" s="74">
        <f ca="1">ROUND((Table2[[#This Row],[XP]]*Table2[[#This Row],[entity_spawned (AVG)]])*(Table2[[#This Row],[activating_chance]]/100),0)</f>
        <v>130</v>
      </c>
      <c r="AO193" s="71" t="str">
        <f ca="1">INDIRECT(ADDRESS(11+(MATCH(RIGHT(Table2[[#This Row],[spawner_sku]],LEN(Table2[[#This Row],[spawner_sku]])-FIND("/",Table2[[#This Row],[spawner_sku]])),Table28[Entity Prefab],0)),24,1,1,"Entities"))</f>
        <v>yes</v>
      </c>
      <c r="AP193" s="71">
        <v>1</v>
      </c>
      <c r="AQ193" s="71">
        <v>1</v>
      </c>
      <c r="AR193" s="71" t="b">
        <v>0</v>
      </c>
      <c r="BE193" t="s">
        <v>377</v>
      </c>
      <c r="BF193">
        <v>1</v>
      </c>
      <c r="BG193">
        <v>150</v>
      </c>
      <c r="BH193">
        <v>100</v>
      </c>
      <c r="BI193" s="74">
        <f ca="1">INDIRECT(ADDRESS(11+(MATCH(RIGHT(Table610[[#This Row],[spawner_sku]],LEN(Table610[[#This Row],[spawner_sku]])-FIND("/",Table610[[#This Row],[spawner_sku]])),Table1[Entity Prefab],0)),10,1,1,"Entities"))</f>
        <v>25</v>
      </c>
      <c r="BJ193" s="74">
        <f ca="1">ROUND((Table610[[#This Row],[XP]]*Table610[[#This Row],[entity_spawned (AVG)]])*(Table610[[#This Row],[activating_chance]]/100),0)</f>
        <v>25</v>
      </c>
      <c r="BK193" s="71" t="str">
        <f ca="1">INDIRECT(ADDRESS(11+(MATCH(RIGHT(Table610[[#This Row],[spawner_sku]],LEN(Table610[[#This Row],[spawner_sku]])-FIND("/",Table610[[#This Row],[spawner_sku]])),Table28[Entity Prefab],0)),24,1,1,"Entities"))</f>
        <v>no</v>
      </c>
      <c r="BL193">
        <v>1</v>
      </c>
      <c r="BM193">
        <v>1</v>
      </c>
      <c r="BN193" t="b">
        <v>0</v>
      </c>
      <c r="BP193" t="s">
        <v>232</v>
      </c>
      <c r="BQ193">
        <v>6</v>
      </c>
      <c r="BR193">
        <v>200</v>
      </c>
      <c r="BS193">
        <v>100</v>
      </c>
      <c r="BT193" s="74">
        <f ca="1">INDIRECT(ADDRESS(11+(MATCH(RIGHT(Table61011[[#This Row],[spawner_sku]],LEN(Table61011[[#This Row],[spawner_sku]])-FIND("/",Table61011[[#This Row],[spawner_sku]])),Table1[Entity Prefab],0)),10,1,1,"Entities"))</f>
        <v>25</v>
      </c>
      <c r="BU193" s="74">
        <f ca="1">ROUND((Table61011[[#This Row],[XP]]*Table61011[[#This Row],[entity_spawned (AVG)]])*(Table61011[[#This Row],[activating_chance]]/100),0)</f>
        <v>150</v>
      </c>
      <c r="BV193" s="71" t="str">
        <f ca="1">INDIRECT(ADDRESS(11+(MATCH(RIGHT(Table61011[[#This Row],[spawner_sku]],LEN(Table61011[[#This Row],[spawner_sku]])-FIND("/",Table61011[[#This Row],[spawner_sku]])),Table28[Entity Prefab],0)),24,1,1,"Entities"))</f>
        <v>no</v>
      </c>
      <c r="BW193" s="71">
        <v>6</v>
      </c>
      <c r="BX193" s="71">
        <v>6</v>
      </c>
      <c r="BY193" s="71" t="b">
        <v>1</v>
      </c>
      <c r="BZ193" s="71"/>
      <c r="CA193" s="147" t="s">
        <v>3821</v>
      </c>
      <c r="CB193">
        <v>1</v>
      </c>
      <c r="CC193">
        <v>240</v>
      </c>
      <c r="CD193">
        <v>100</v>
      </c>
      <c r="CE193" s="74">
        <f ca="1">INDIRECT(ADDRESS(11+(MATCH(RIGHT(Table35[[#This Row],[spawner_sku]],LEN(Table35[[#This Row],[spawner_sku]])-FIND("/",Table35[[#This Row],[spawner_sku]])),Table1[Entity Prefab],0)),10,1,1,"Entities"))</f>
        <v>10</v>
      </c>
      <c r="CF193" s="74">
        <f ca="1">ROUND((Table35[[#This Row],[XP]]*Table35[[#This Row],[entity_spawned (AVG)]])*(Table35[[#This Row],[activating_chance]]/100),0)</f>
        <v>10</v>
      </c>
      <c r="CG193" s="144" t="str">
        <f ca="1">INDIRECT(ADDRESS(11+(MATCH(RIGHT(Table35[[#This Row],[spawner_sku]],LEN(Table35[[#This Row],[spawner_sku]])-FIND("/",Table35[[#This Row],[spawner_sku]])),Table28[Entity Prefab],0)),24,1,1,"Entities"))</f>
        <v>no</v>
      </c>
      <c r="CH193">
        <v>1</v>
      </c>
      <c r="CI193">
        <v>1</v>
      </c>
      <c r="CJ193" s="71" t="b">
        <v>0</v>
      </c>
      <c r="CL193" t="s">
        <v>223</v>
      </c>
      <c r="CM193">
        <v>1</v>
      </c>
      <c r="CN193">
        <v>120</v>
      </c>
      <c r="CO193">
        <v>100</v>
      </c>
      <c r="CP193" s="74">
        <f ca="1">INDIRECT(ADDRESS(11+(MATCH(RIGHT(Table11[[#This Row],[spawner_sku]],LEN(Table11[[#This Row],[spawner_sku]])-FIND("/",Table11[[#This Row],[spawner_sku]])),Table1[Entity Prefab],0)),10,1,1,"Entities"))</f>
        <v>70</v>
      </c>
      <c r="CQ193">
        <f ca="1">ROUND((Table11[[#This Row],[XP]]*Table11[[#This Row],[entity_spawned (AVG)]])*(Table11[[#This Row],[activating_chance]]/100),0)</f>
        <v>70</v>
      </c>
      <c r="CR193" s="144" t="str">
        <f ca="1">INDIRECT(ADDRESS(11+(MATCH(RIGHT(Table11[[#This Row],[spawner_sku]],LEN(Table11[[#This Row],[spawner_sku]])-FIND("/",Table11[[#This Row],[spawner_sku]])),Table28[Entity Prefab],0)),25,1,1,"Entities"))</f>
        <v>no</v>
      </c>
      <c r="CS193" s="71">
        <v>1</v>
      </c>
      <c r="CT193" s="71">
        <v>1</v>
      </c>
      <c r="CU193" s="71" t="b">
        <v>0</v>
      </c>
      <c r="CW193" t="s">
        <v>244</v>
      </c>
      <c r="CX193">
        <v>1</v>
      </c>
      <c r="CY193">
        <v>220</v>
      </c>
      <c r="CZ193">
        <v>30</v>
      </c>
      <c r="DA193" s="74">
        <f ca="1">INDIRECT(ADDRESS(11+(MATCH(RIGHT(Table12[[#This Row],[spawner_sku]],LEN(Table12[[#This Row],[spawner_sku]])-FIND("/",Table12[[#This Row],[spawner_sku]])),Table1[Entity Prefab],0)),10,1,1,"Entities"))</f>
        <v>50</v>
      </c>
      <c r="DB193" s="74">
        <f ca="1">ROUND((Table12[[#This Row],[XP]]*Table12[[#This Row],[entity_spawned (AVG)]])*(Table12[[#This Row],[activating_chance]]/100),0)</f>
        <v>15</v>
      </c>
      <c r="DC193" s="144" t="str">
        <f ca="1">INDIRECT(ADDRESS(11+(MATCH(RIGHT(Table12[[#This Row],[spawner_sku]],LEN(Table12[[#This Row],[spawner_sku]])-FIND("/",Table12[[#This Row],[spawner_sku]])),Table28[Entity Prefab],0)),25,1,1,"Entities"))</f>
        <v>no</v>
      </c>
      <c r="DD193" s="71">
        <v>1</v>
      </c>
      <c r="DE193" s="71">
        <v>1</v>
      </c>
      <c r="DF193" s="71" t="b">
        <v>0</v>
      </c>
      <c r="DH193" t="s">
        <v>242</v>
      </c>
      <c r="DI193">
        <v>1</v>
      </c>
      <c r="DJ193">
        <v>150</v>
      </c>
      <c r="DK193">
        <v>80</v>
      </c>
      <c r="DL193" s="74">
        <f ca="1">INDIRECT(ADDRESS(11+(MATCH(RIGHT(Table13[[#This Row],[spawner_sku]],LEN(Table13[[#This Row],[spawner_sku]])-FIND("/",Table13[[#This Row],[spawner_sku]])),Table1[Entity Prefab],0)),10,1,1,"Entities"))</f>
        <v>25</v>
      </c>
      <c r="DM193" s="74">
        <f ca="1">ROUND((Table13[[#This Row],[XP]]*Table13[[#This Row],[entity_spawned (AVG)]])*(Table13[[#This Row],[activating_chance]]/100),0)</f>
        <v>20</v>
      </c>
      <c r="DN193" s="144" t="str">
        <f ca="1">INDIRECT(ADDRESS(11+(MATCH(RIGHT(Table13[[#This Row],[spawner_sku]],LEN(Table13[[#This Row],[spawner_sku]])-FIND("/",Table13[[#This Row],[spawner_sku]])),Table28[Entity Prefab],0)),25,1,1,"Entities"))</f>
        <v>no</v>
      </c>
      <c r="DO193" s="71">
        <v>1</v>
      </c>
      <c r="DP193" s="71">
        <v>1</v>
      </c>
      <c r="DQ193" s="71" t="b">
        <v>0</v>
      </c>
      <c r="DS193" t="s">
        <v>224</v>
      </c>
      <c r="DT193">
        <v>1</v>
      </c>
      <c r="DU193">
        <v>2500</v>
      </c>
      <c r="DV193">
        <v>100</v>
      </c>
      <c r="DW193" s="74">
        <f ca="1">INDIRECT(ADDRESS(11+(MATCH(RIGHT(Table14[[#This Row],[spawner_sku]],LEN(Table14[[#This Row],[spawner_sku]])-FIND("/",Table14[[#This Row],[spawner_sku]])),Table1[Entity Prefab],0)),10,1,1,"Entities"))</f>
        <v>263</v>
      </c>
      <c r="DX193" s="74">
        <f ca="1">ROUND((Table14[[#This Row],[XP]]*Table14[[#This Row],[entity_spawned (AVG)]])*(Table14[[#This Row],[activating_chance]]/100),0)</f>
        <v>263</v>
      </c>
      <c r="DY193" s="144" t="str">
        <f ca="1">INDIRECT(ADDRESS(11+(MATCH(RIGHT(Table14[[#This Row],[spawner_sku]],LEN(Table14[[#This Row],[spawner_sku]])-FIND("/",Table14[[#This Row],[spawner_sku]])),Table28[Entity Prefab],0)),25,1,1,"Entities"))</f>
        <v>yes</v>
      </c>
      <c r="DZ193" s="71">
        <v>1</v>
      </c>
      <c r="EA193" s="71">
        <v>1</v>
      </c>
      <c r="EB193" s="71" t="b">
        <v>0</v>
      </c>
      <c r="EC193" s="71"/>
      <c r="EO193" t="s">
        <v>570</v>
      </c>
      <c r="EP193">
        <v>2.5</v>
      </c>
      <c r="EQ193">
        <v>120</v>
      </c>
      <c r="ER193">
        <v>100</v>
      </c>
      <c r="ES193" s="74">
        <f ca="1">INDIRECT(ADDRESS(11+(MATCH(RIGHT(Table18[[#This Row],[spawner_sku]],LEN(Table18[[#This Row],[spawner_sku]])-FIND("/",Table18[[#This Row],[spawner_sku]])),Table1[Entity Prefab],0)),10,1,1,"Entities"))</f>
        <v>50</v>
      </c>
      <c r="ET193" s="74">
        <f ca="1">ROUND((Table18[[#This Row],[XP]]*Table18[[#This Row],[entity_spawned (AVG)]])*(Table18[[#This Row],[activating_chance]]/100),0)</f>
        <v>125</v>
      </c>
      <c r="EU193" s="74" t="str">
        <f ca="1">INDIRECT(ADDRESS(11+(MATCH(RIGHT(Table18[[#This Row],[spawner_sku]],LEN(Table18[[#This Row],[spawner_sku]])-FIND("/",Table18[[#This Row],[spawner_sku]])),Table28[Entity Prefab],0)),26,1,1,"Entities"))</f>
        <v>no</v>
      </c>
      <c r="EV193">
        <v>2</v>
      </c>
      <c r="EW193">
        <v>3</v>
      </c>
      <c r="EX193" t="b">
        <v>0</v>
      </c>
      <c r="EZ193" t="s">
        <v>464</v>
      </c>
      <c r="FA193">
        <v>1</v>
      </c>
      <c r="FB193">
        <v>120</v>
      </c>
      <c r="FC193">
        <v>80</v>
      </c>
      <c r="FD193" s="74">
        <f ca="1">INDIRECT(ADDRESS(11+(MATCH(RIGHT(Table1820[[#This Row],[spawner_sku]],LEN(Table1820[[#This Row],[spawner_sku]])-FIND("/",Table1820[[#This Row],[spawner_sku]])),Table1[Entity Prefab],0)),10,1,1,"Entities"))</f>
        <v>28</v>
      </c>
      <c r="FE193" s="74">
        <f ca="1">ROUND((Table1820[[#This Row],[XP]]*Table1820[[#This Row],[entity_spawned (AVG)]])*(Table1820[[#This Row],[activating_chance]]/100),0)</f>
        <v>22</v>
      </c>
      <c r="FF193" s="74" t="str">
        <f ca="1">INDIRECT(ADDRESS(11+(MATCH(RIGHT(Table1820[[#This Row],[spawner_sku]],LEN(Table1820[[#This Row],[spawner_sku]])-FIND("/",Table1820[[#This Row],[spawner_sku]])),Table28[Entity Prefab],0)),26,1,1,"Entities"))</f>
        <v>no</v>
      </c>
      <c r="FG193">
        <v>1</v>
      </c>
      <c r="FH193">
        <v>1</v>
      </c>
      <c r="FI193" t="b">
        <v>0</v>
      </c>
      <c r="FV193" t="s">
        <v>2706</v>
      </c>
      <c r="FW193">
        <v>8</v>
      </c>
      <c r="FX193">
        <v>90</v>
      </c>
      <c r="FY193">
        <v>80</v>
      </c>
      <c r="FZ193" s="74">
        <f ca="1">INDIRECT(ADDRESS(11+(MATCH(RIGHT(Table18202324[[#This Row],[spawner_sku]],LEN(Table18202324[[#This Row],[spawner_sku]])-FIND("/",Table18202324[[#This Row],[spawner_sku]])),Table1[Entity Prefab],0)),10,1,1,"Entities"))</f>
        <v>50</v>
      </c>
      <c r="GA193" s="74">
        <f ca="1">ROUND((Table18202324[[#This Row],[XP]]*Table18202324[[#This Row],[entity_spawned (AVG)]])*(Table18202324[[#This Row],[activating_chance]]/100),0)</f>
        <v>320</v>
      </c>
      <c r="GB193" s="74" t="str">
        <f ca="1">INDIRECT(ADDRESS(11+(MATCH(RIGHT(Table18202324[[#This Row],[spawner_sku]],LEN(Table18202324[[#This Row],[spawner_sku]])-FIND("/",Table18202324[[#This Row],[spawner_sku]])),Table28[Entity Prefab],0)),26,1,1,"Entities"))</f>
        <v>no</v>
      </c>
      <c r="GC193">
        <v>6</v>
      </c>
      <c r="GD193">
        <v>10</v>
      </c>
      <c r="GE193" t="b">
        <v>1</v>
      </c>
    </row>
    <row r="194" spans="2:187" x14ac:dyDescent="0.25">
      <c r="B194" s="72" t="s">
        <v>376</v>
      </c>
      <c r="C194">
        <v>3</v>
      </c>
      <c r="D194">
        <v>180</v>
      </c>
      <c r="E194">
        <v>100</v>
      </c>
      <c r="F194" s="74">
        <f ca="1">INDIRECT(ADDRESS(11+(MATCH(RIGHT(Table245[[#This Row],[spawner_sku]],LEN(Table245[[#This Row],[spawner_sku]])-FIND("/",Table245[[#This Row],[spawner_sku]])),Table1[Entity Prefab],0)),10,1,1,"Entities"))</f>
        <v>25</v>
      </c>
      <c r="G194" s="74">
        <f ca="1">ROUND((Table245[[#This Row],[XP]]*Table245[[#This Row],[entity_spawned (AVG)]])*(Table245[[#This Row],[activating_chance]]/100),0)</f>
        <v>75</v>
      </c>
      <c r="H194" s="71" t="str">
        <f ca="1">INDIRECT(ADDRESS(11+(MATCH(RIGHT(Table245[[#This Row],[spawner_sku]],LEN(Table245[[#This Row],[spawner_sku]])-FIND("/",Table245[[#This Row],[spawner_sku]])),Table28[Entity Prefab],0)),24,1,1,"Entities"))</f>
        <v>no</v>
      </c>
      <c r="I194" s="71">
        <v>3</v>
      </c>
      <c r="J194" s="71">
        <v>3</v>
      </c>
      <c r="K194" s="71" t="b">
        <v>0</v>
      </c>
      <c r="M194" t="s">
        <v>445</v>
      </c>
      <c r="N194">
        <v>1</v>
      </c>
      <c r="O194">
        <v>220</v>
      </c>
      <c r="P194">
        <v>100</v>
      </c>
      <c r="Q194" s="74">
        <f ca="1">INDIRECT(ADDRESS(11+(MATCH(RIGHT(Table3[[#This Row],[spawner_sku]],LEN(Table3[[#This Row],[spawner_sku]])-FIND("/",Table3[[#This Row],[spawner_sku]])),Table1[Entity Prefab],0)),10,1,1,"Entities"))</f>
        <v>50</v>
      </c>
      <c r="R194" s="74">
        <f ca="1">ROUND((Table3[[#This Row],[XP]]*Table3[[#This Row],[entity_spawned (AVG)]])*(Table3[[#This Row],[activating_chance]]/100),0)</f>
        <v>50</v>
      </c>
      <c r="S194" t="str">
        <f ca="1">INDIRECT(ADDRESS(11+(MATCH(RIGHT(Table3[[#This Row],[spawner_sku]],LEN(Table3[[#This Row],[spawner_sku]])-FIND("/",Table3[[#This Row],[spawner_sku]])),Table28[Entity Prefab],0)),24,1,1,"Entities"))</f>
        <v>yes</v>
      </c>
      <c r="T194">
        <v>1</v>
      </c>
      <c r="U194">
        <v>1</v>
      </c>
      <c r="V194" t="b">
        <v>0</v>
      </c>
      <c r="AI194" t="s">
        <v>229</v>
      </c>
      <c r="AJ194">
        <v>1</v>
      </c>
      <c r="AK194">
        <v>1500</v>
      </c>
      <c r="AL194">
        <v>100</v>
      </c>
      <c r="AM194" s="74">
        <f ca="1">INDIRECT(ADDRESS(11+(MATCH(RIGHT(Table2[[#This Row],[spawner_sku]],LEN(Table2[[#This Row],[spawner_sku]])-FIND("/",Table2[[#This Row],[spawner_sku]])),Table1[Entity Prefab],0)),10,1,1,"Entities"))</f>
        <v>130</v>
      </c>
      <c r="AN194" s="74">
        <f ca="1">ROUND((Table2[[#This Row],[XP]]*Table2[[#This Row],[entity_spawned (AVG)]])*(Table2[[#This Row],[activating_chance]]/100),0)</f>
        <v>130</v>
      </c>
      <c r="AO194" s="71" t="str">
        <f ca="1">INDIRECT(ADDRESS(11+(MATCH(RIGHT(Table2[[#This Row],[spawner_sku]],LEN(Table2[[#This Row],[spawner_sku]])-FIND("/",Table2[[#This Row],[spawner_sku]])),Table28[Entity Prefab],0)),24,1,1,"Entities"))</f>
        <v>yes</v>
      </c>
      <c r="AP194" s="71">
        <v>1</v>
      </c>
      <c r="AQ194" s="71">
        <v>1</v>
      </c>
      <c r="AR194" s="71" t="b">
        <v>0</v>
      </c>
      <c r="BE194" t="s">
        <v>377</v>
      </c>
      <c r="BF194">
        <v>1</v>
      </c>
      <c r="BG194">
        <v>150</v>
      </c>
      <c r="BH194">
        <v>100</v>
      </c>
      <c r="BI194" s="74">
        <f ca="1">INDIRECT(ADDRESS(11+(MATCH(RIGHT(Table610[[#This Row],[spawner_sku]],LEN(Table610[[#This Row],[spawner_sku]])-FIND("/",Table610[[#This Row],[spawner_sku]])),Table1[Entity Prefab],0)),10,1,1,"Entities"))</f>
        <v>25</v>
      </c>
      <c r="BJ194" s="74">
        <f ca="1">ROUND((Table610[[#This Row],[XP]]*Table610[[#This Row],[entity_spawned (AVG)]])*(Table610[[#This Row],[activating_chance]]/100),0)</f>
        <v>25</v>
      </c>
      <c r="BK194" s="71" t="str">
        <f ca="1">INDIRECT(ADDRESS(11+(MATCH(RIGHT(Table610[[#This Row],[spawner_sku]],LEN(Table610[[#This Row],[spawner_sku]])-FIND("/",Table610[[#This Row],[spawner_sku]])),Table28[Entity Prefab],0)),24,1,1,"Entities"))</f>
        <v>no</v>
      </c>
      <c r="BL194">
        <v>1</v>
      </c>
      <c r="BM194">
        <v>1</v>
      </c>
      <c r="BN194" t="b">
        <v>0</v>
      </c>
      <c r="BP194" t="s">
        <v>232</v>
      </c>
      <c r="BQ194">
        <v>6</v>
      </c>
      <c r="BR194">
        <v>140</v>
      </c>
      <c r="BS194">
        <v>100</v>
      </c>
      <c r="BT194" s="74">
        <f ca="1">INDIRECT(ADDRESS(11+(MATCH(RIGHT(Table61011[[#This Row],[spawner_sku]],LEN(Table61011[[#This Row],[spawner_sku]])-FIND("/",Table61011[[#This Row],[spawner_sku]])),Table1[Entity Prefab],0)),10,1,1,"Entities"))</f>
        <v>25</v>
      </c>
      <c r="BU194" s="74">
        <f ca="1">ROUND((Table61011[[#This Row],[XP]]*Table61011[[#This Row],[entity_spawned (AVG)]])*(Table61011[[#This Row],[activating_chance]]/100),0)</f>
        <v>150</v>
      </c>
      <c r="BV194" s="71" t="str">
        <f ca="1">INDIRECT(ADDRESS(11+(MATCH(RIGHT(Table61011[[#This Row],[spawner_sku]],LEN(Table61011[[#This Row],[spawner_sku]])-FIND("/",Table61011[[#This Row],[spawner_sku]])),Table28[Entity Prefab],0)),24,1,1,"Entities"))</f>
        <v>no</v>
      </c>
      <c r="BW194" s="71">
        <v>5</v>
      </c>
      <c r="BX194" s="71">
        <v>7</v>
      </c>
      <c r="BY194" s="71" t="b">
        <v>1</v>
      </c>
      <c r="BZ194" s="71"/>
      <c r="CA194" s="147" t="s">
        <v>3821</v>
      </c>
      <c r="CB194">
        <v>1</v>
      </c>
      <c r="CC194">
        <v>240</v>
      </c>
      <c r="CD194">
        <v>100</v>
      </c>
      <c r="CE194" s="74">
        <f ca="1">INDIRECT(ADDRESS(11+(MATCH(RIGHT(Table35[[#This Row],[spawner_sku]],LEN(Table35[[#This Row],[spawner_sku]])-FIND("/",Table35[[#This Row],[spawner_sku]])),Table1[Entity Prefab],0)),10,1,1,"Entities"))</f>
        <v>10</v>
      </c>
      <c r="CF194" s="74">
        <f ca="1">ROUND((Table35[[#This Row],[XP]]*Table35[[#This Row],[entity_spawned (AVG)]])*(Table35[[#This Row],[activating_chance]]/100),0)</f>
        <v>10</v>
      </c>
      <c r="CG194" s="144" t="str">
        <f ca="1">INDIRECT(ADDRESS(11+(MATCH(RIGHT(Table35[[#This Row],[spawner_sku]],LEN(Table35[[#This Row],[spawner_sku]])-FIND("/",Table35[[#This Row],[spawner_sku]])),Table28[Entity Prefab],0)),24,1,1,"Entities"))</f>
        <v>no</v>
      </c>
      <c r="CH194">
        <v>1</v>
      </c>
      <c r="CI194">
        <v>1</v>
      </c>
      <c r="CJ194" s="71" t="b">
        <v>0</v>
      </c>
      <c r="CL194" t="s">
        <v>223</v>
      </c>
      <c r="CM194">
        <v>1</v>
      </c>
      <c r="CN194">
        <v>120</v>
      </c>
      <c r="CO194">
        <v>100</v>
      </c>
      <c r="CP194" s="74">
        <f ca="1">INDIRECT(ADDRESS(11+(MATCH(RIGHT(Table11[[#This Row],[spawner_sku]],LEN(Table11[[#This Row],[spawner_sku]])-FIND("/",Table11[[#This Row],[spawner_sku]])),Table1[Entity Prefab],0)),10,1,1,"Entities"))</f>
        <v>70</v>
      </c>
      <c r="CQ194">
        <f ca="1">ROUND((Table11[[#This Row],[XP]]*Table11[[#This Row],[entity_spawned (AVG)]])*(Table11[[#This Row],[activating_chance]]/100),0)</f>
        <v>70</v>
      </c>
      <c r="CR194" s="144" t="str">
        <f ca="1">INDIRECT(ADDRESS(11+(MATCH(RIGHT(Table11[[#This Row],[spawner_sku]],LEN(Table11[[#This Row],[spawner_sku]])-FIND("/",Table11[[#This Row],[spawner_sku]])),Table28[Entity Prefab],0)),25,1,1,"Entities"))</f>
        <v>no</v>
      </c>
      <c r="CS194" s="71">
        <v>1</v>
      </c>
      <c r="CT194" s="71">
        <v>1</v>
      </c>
      <c r="CU194" s="71" t="b">
        <v>0</v>
      </c>
      <c r="CW194" t="s">
        <v>244</v>
      </c>
      <c r="CX194">
        <v>1</v>
      </c>
      <c r="CY194">
        <v>220</v>
      </c>
      <c r="CZ194">
        <v>100</v>
      </c>
      <c r="DA194" s="74">
        <f ca="1">INDIRECT(ADDRESS(11+(MATCH(RIGHT(Table12[[#This Row],[spawner_sku]],LEN(Table12[[#This Row],[spawner_sku]])-FIND("/",Table12[[#This Row],[spawner_sku]])),Table1[Entity Prefab],0)),10,1,1,"Entities"))</f>
        <v>50</v>
      </c>
      <c r="DB194" s="74">
        <f ca="1">ROUND((Table12[[#This Row],[XP]]*Table12[[#This Row],[entity_spawned (AVG)]])*(Table12[[#This Row],[activating_chance]]/100),0)</f>
        <v>50</v>
      </c>
      <c r="DC194" s="144" t="str">
        <f ca="1">INDIRECT(ADDRESS(11+(MATCH(RIGHT(Table12[[#This Row],[spawner_sku]],LEN(Table12[[#This Row],[spawner_sku]])-FIND("/",Table12[[#This Row],[spawner_sku]])),Table28[Entity Prefab],0)),25,1,1,"Entities"))</f>
        <v>no</v>
      </c>
      <c r="DD194" s="71">
        <v>1</v>
      </c>
      <c r="DE194" s="71">
        <v>1</v>
      </c>
      <c r="DF194" s="71" t="b">
        <v>0</v>
      </c>
      <c r="DH194" t="s">
        <v>242</v>
      </c>
      <c r="DI194">
        <v>1</v>
      </c>
      <c r="DJ194">
        <v>150</v>
      </c>
      <c r="DK194">
        <v>80</v>
      </c>
      <c r="DL194" s="74">
        <f ca="1">INDIRECT(ADDRESS(11+(MATCH(RIGHT(Table13[[#This Row],[spawner_sku]],LEN(Table13[[#This Row],[spawner_sku]])-FIND("/",Table13[[#This Row],[spawner_sku]])),Table1[Entity Prefab],0)),10,1,1,"Entities"))</f>
        <v>25</v>
      </c>
      <c r="DM194" s="74">
        <f ca="1">ROUND((Table13[[#This Row],[XP]]*Table13[[#This Row],[entity_spawned (AVG)]])*(Table13[[#This Row],[activating_chance]]/100),0)</f>
        <v>20</v>
      </c>
      <c r="DN194" s="144" t="str">
        <f ca="1">INDIRECT(ADDRESS(11+(MATCH(RIGHT(Table13[[#This Row],[spawner_sku]],LEN(Table13[[#This Row],[spawner_sku]])-FIND("/",Table13[[#This Row],[spawner_sku]])),Table28[Entity Prefab],0)),25,1,1,"Entities"))</f>
        <v>no</v>
      </c>
      <c r="DO194" s="71">
        <v>1</v>
      </c>
      <c r="DP194" s="71">
        <v>1</v>
      </c>
      <c r="DQ194" s="71" t="b">
        <v>0</v>
      </c>
      <c r="DS194" t="s">
        <v>225</v>
      </c>
      <c r="DT194">
        <v>1</v>
      </c>
      <c r="DU194">
        <v>2500</v>
      </c>
      <c r="DV194">
        <v>100</v>
      </c>
      <c r="DW194" s="74">
        <f ca="1">INDIRECT(ADDRESS(11+(MATCH(RIGHT(Table14[[#This Row],[spawner_sku]],LEN(Table14[[#This Row],[spawner_sku]])-FIND("/",Table14[[#This Row],[spawner_sku]])),Table1[Entity Prefab],0)),10,1,1,"Entities"))</f>
        <v>263</v>
      </c>
      <c r="DX194" s="74">
        <f ca="1">ROUND((Table14[[#This Row],[XP]]*Table14[[#This Row],[entity_spawned (AVG)]])*(Table14[[#This Row],[activating_chance]]/100),0)</f>
        <v>263</v>
      </c>
      <c r="DY194" s="144" t="str">
        <f ca="1">INDIRECT(ADDRESS(11+(MATCH(RIGHT(Table14[[#This Row],[spawner_sku]],LEN(Table14[[#This Row],[spawner_sku]])-FIND("/",Table14[[#This Row],[spawner_sku]])),Table28[Entity Prefab],0)),25,1,1,"Entities"))</f>
        <v>yes</v>
      </c>
      <c r="DZ194" s="71">
        <v>1</v>
      </c>
      <c r="EA194" s="71">
        <v>1</v>
      </c>
      <c r="EB194" s="71" t="b">
        <v>0</v>
      </c>
      <c r="EC194" s="71"/>
      <c r="EO194" t="s">
        <v>570</v>
      </c>
      <c r="EP194">
        <v>2</v>
      </c>
      <c r="EQ194">
        <v>120</v>
      </c>
      <c r="ER194">
        <v>100</v>
      </c>
      <c r="ES194" s="74">
        <f ca="1">INDIRECT(ADDRESS(11+(MATCH(RIGHT(Table18[[#This Row],[spawner_sku]],LEN(Table18[[#This Row],[spawner_sku]])-FIND("/",Table18[[#This Row],[spawner_sku]])),Table1[Entity Prefab],0)),10,1,1,"Entities"))</f>
        <v>50</v>
      </c>
      <c r="ET194" s="74">
        <f ca="1">ROUND((Table18[[#This Row],[XP]]*Table18[[#This Row],[entity_spawned (AVG)]])*(Table18[[#This Row],[activating_chance]]/100),0)</f>
        <v>100</v>
      </c>
      <c r="EU194" s="74" t="str">
        <f ca="1">INDIRECT(ADDRESS(11+(MATCH(RIGHT(Table18[[#This Row],[spawner_sku]],LEN(Table18[[#This Row],[spawner_sku]])-FIND("/",Table18[[#This Row],[spawner_sku]])),Table28[Entity Prefab],0)),26,1,1,"Entities"))</f>
        <v>no</v>
      </c>
      <c r="EV194">
        <v>1</v>
      </c>
      <c r="EW194">
        <v>3</v>
      </c>
      <c r="EX194" t="b">
        <v>0</v>
      </c>
      <c r="EZ194" t="s">
        <v>465</v>
      </c>
      <c r="FA194">
        <v>1</v>
      </c>
      <c r="FB194">
        <v>100</v>
      </c>
      <c r="FC194">
        <v>100</v>
      </c>
      <c r="FD194" s="74">
        <f ca="1">INDIRECT(ADDRESS(11+(MATCH(RIGHT(Table1820[[#This Row],[spawner_sku]],LEN(Table1820[[#This Row],[spawner_sku]])-FIND("/",Table1820[[#This Row],[spawner_sku]])),Table1[Entity Prefab],0)),10,1,1,"Entities"))</f>
        <v>25</v>
      </c>
      <c r="FE194" s="74">
        <f ca="1">ROUND((Table1820[[#This Row],[XP]]*Table1820[[#This Row],[entity_spawned (AVG)]])*(Table1820[[#This Row],[activating_chance]]/100),0)</f>
        <v>25</v>
      </c>
      <c r="FF194" s="74" t="str">
        <f ca="1">INDIRECT(ADDRESS(11+(MATCH(RIGHT(Table1820[[#This Row],[spawner_sku]],LEN(Table1820[[#This Row],[spawner_sku]])-FIND("/",Table1820[[#This Row],[spawner_sku]])),Table28[Entity Prefab],0)),26,1,1,"Entities"))</f>
        <v>no</v>
      </c>
      <c r="FG194">
        <v>1</v>
      </c>
      <c r="FH194">
        <v>1</v>
      </c>
      <c r="FI194" t="b">
        <v>0</v>
      </c>
      <c r="FV194" t="s">
        <v>2706</v>
      </c>
      <c r="FW194">
        <v>7</v>
      </c>
      <c r="FX194">
        <v>80</v>
      </c>
      <c r="FY194">
        <v>100</v>
      </c>
      <c r="FZ194" s="74">
        <f ca="1">INDIRECT(ADDRESS(11+(MATCH(RIGHT(Table18202324[[#This Row],[spawner_sku]],LEN(Table18202324[[#This Row],[spawner_sku]])-FIND("/",Table18202324[[#This Row],[spawner_sku]])),Table1[Entity Prefab],0)),10,1,1,"Entities"))</f>
        <v>50</v>
      </c>
      <c r="GA194" s="74">
        <f ca="1">ROUND((Table18202324[[#This Row],[XP]]*Table18202324[[#This Row],[entity_spawned (AVG)]])*(Table18202324[[#This Row],[activating_chance]]/100),0)</f>
        <v>350</v>
      </c>
      <c r="GB194" s="74" t="str">
        <f ca="1">INDIRECT(ADDRESS(11+(MATCH(RIGHT(Table18202324[[#This Row],[spawner_sku]],LEN(Table18202324[[#This Row],[spawner_sku]])-FIND("/",Table18202324[[#This Row],[spawner_sku]])),Table28[Entity Prefab],0)),26,1,1,"Entities"))</f>
        <v>no</v>
      </c>
      <c r="GC194">
        <v>6</v>
      </c>
      <c r="GD194">
        <v>8</v>
      </c>
      <c r="GE194" t="b">
        <v>1</v>
      </c>
    </row>
    <row r="195" spans="2:187" x14ac:dyDescent="0.25">
      <c r="B195" s="72" t="s">
        <v>376</v>
      </c>
      <c r="C195">
        <v>3</v>
      </c>
      <c r="D195">
        <v>180</v>
      </c>
      <c r="E195">
        <v>100</v>
      </c>
      <c r="F195" s="74">
        <f ca="1">INDIRECT(ADDRESS(11+(MATCH(RIGHT(Table245[[#This Row],[spawner_sku]],LEN(Table245[[#This Row],[spawner_sku]])-FIND("/",Table245[[#This Row],[spawner_sku]])),Table1[Entity Prefab],0)),10,1,1,"Entities"))</f>
        <v>25</v>
      </c>
      <c r="G195" s="74">
        <f ca="1">ROUND((Table245[[#This Row],[XP]]*Table245[[#This Row],[entity_spawned (AVG)]])*(Table245[[#This Row],[activating_chance]]/100),0)</f>
        <v>75</v>
      </c>
      <c r="H195" s="71" t="str">
        <f ca="1">INDIRECT(ADDRESS(11+(MATCH(RIGHT(Table245[[#This Row],[spawner_sku]],LEN(Table245[[#This Row],[spawner_sku]])-FIND("/",Table245[[#This Row],[spawner_sku]])),Table28[Entity Prefab],0)),24,1,1,"Entities"))</f>
        <v>no</v>
      </c>
      <c r="I195" s="71">
        <v>3</v>
      </c>
      <c r="J195" s="71">
        <v>3</v>
      </c>
      <c r="K195" s="71" t="b">
        <v>0</v>
      </c>
      <c r="M195" t="s">
        <v>366</v>
      </c>
      <c r="N195">
        <v>5</v>
      </c>
      <c r="O195">
        <v>100</v>
      </c>
      <c r="P195">
        <v>100</v>
      </c>
      <c r="Q195" s="74">
        <f ca="1">INDIRECT(ADDRESS(11+(MATCH(RIGHT(Table3[[#This Row],[spawner_sku]],LEN(Table3[[#This Row],[spawner_sku]])-FIND("/",Table3[[#This Row],[spawner_sku]])),Table1[Entity Prefab],0)),10,1,1,"Entities"))</f>
        <v>25</v>
      </c>
      <c r="R195" s="74">
        <f ca="1">ROUND((Table3[[#This Row],[XP]]*Table3[[#This Row],[entity_spawned (AVG)]])*(Table3[[#This Row],[activating_chance]]/100),0)</f>
        <v>125</v>
      </c>
      <c r="S195" t="str">
        <f ca="1">INDIRECT(ADDRESS(11+(MATCH(RIGHT(Table3[[#This Row],[spawner_sku]],LEN(Table3[[#This Row],[spawner_sku]])-FIND("/",Table3[[#This Row],[spawner_sku]])),Table28[Entity Prefab],0)),24,1,1,"Entities"))</f>
        <v>no</v>
      </c>
      <c r="T195">
        <v>5</v>
      </c>
      <c r="U195">
        <v>5</v>
      </c>
      <c r="V195" t="b">
        <v>1</v>
      </c>
      <c r="AI195" t="s">
        <v>229</v>
      </c>
      <c r="AJ195">
        <v>1</v>
      </c>
      <c r="AK195">
        <v>1500</v>
      </c>
      <c r="AL195">
        <v>100</v>
      </c>
      <c r="AM195" s="74">
        <f ca="1">INDIRECT(ADDRESS(11+(MATCH(RIGHT(Table2[[#This Row],[spawner_sku]],LEN(Table2[[#This Row],[spawner_sku]])-FIND("/",Table2[[#This Row],[spawner_sku]])),Table1[Entity Prefab],0)),10,1,1,"Entities"))</f>
        <v>130</v>
      </c>
      <c r="AN195" s="74">
        <f ca="1">ROUND((Table2[[#This Row],[XP]]*Table2[[#This Row],[entity_spawned (AVG)]])*(Table2[[#This Row],[activating_chance]]/100),0)</f>
        <v>130</v>
      </c>
      <c r="AO195" s="71" t="str">
        <f ca="1">INDIRECT(ADDRESS(11+(MATCH(RIGHT(Table2[[#This Row],[spawner_sku]],LEN(Table2[[#This Row],[spawner_sku]])-FIND("/",Table2[[#This Row],[spawner_sku]])),Table28[Entity Prefab],0)),24,1,1,"Entities"))</f>
        <v>yes</v>
      </c>
      <c r="AP195" s="71">
        <v>1</v>
      </c>
      <c r="AQ195" s="71">
        <v>1</v>
      </c>
      <c r="AR195" s="71" t="b">
        <v>0</v>
      </c>
      <c r="BE195" t="s">
        <v>427</v>
      </c>
      <c r="BF195">
        <v>1</v>
      </c>
      <c r="BG195">
        <v>150</v>
      </c>
      <c r="BH195">
        <v>100</v>
      </c>
      <c r="BI195" s="74">
        <f ca="1">INDIRECT(ADDRESS(11+(MATCH(RIGHT(Table610[[#This Row],[spawner_sku]],LEN(Table610[[#This Row],[spawner_sku]])-FIND("/",Table610[[#This Row],[spawner_sku]])),Table1[Entity Prefab],0)),10,1,1,"Entities"))</f>
        <v>25</v>
      </c>
      <c r="BJ195" s="74">
        <f ca="1">ROUND((Table610[[#This Row],[XP]]*Table610[[#This Row],[entity_spawned (AVG)]])*(Table610[[#This Row],[activating_chance]]/100),0)</f>
        <v>25</v>
      </c>
      <c r="BK195" s="71" t="str">
        <f ca="1">INDIRECT(ADDRESS(11+(MATCH(RIGHT(Table610[[#This Row],[spawner_sku]],LEN(Table610[[#This Row],[spawner_sku]])-FIND("/",Table610[[#This Row],[spawner_sku]])),Table28[Entity Prefab],0)),24,1,1,"Entities"))</f>
        <v>no</v>
      </c>
      <c r="BL195">
        <v>1</v>
      </c>
      <c r="BM195">
        <v>1</v>
      </c>
      <c r="BN195" t="b">
        <v>0</v>
      </c>
      <c r="BP195" t="s">
        <v>232</v>
      </c>
      <c r="BQ195">
        <v>3</v>
      </c>
      <c r="BR195">
        <v>180</v>
      </c>
      <c r="BS195">
        <v>100</v>
      </c>
      <c r="BT195" s="74">
        <f ca="1">INDIRECT(ADDRESS(11+(MATCH(RIGHT(Table61011[[#This Row],[spawner_sku]],LEN(Table61011[[#This Row],[spawner_sku]])-FIND("/",Table61011[[#This Row],[spawner_sku]])),Table1[Entity Prefab],0)),10,1,1,"Entities"))</f>
        <v>25</v>
      </c>
      <c r="BU195" s="74">
        <f ca="1">ROUND((Table61011[[#This Row],[XP]]*Table61011[[#This Row],[entity_spawned (AVG)]])*(Table61011[[#This Row],[activating_chance]]/100),0)</f>
        <v>75</v>
      </c>
      <c r="BV195" s="71" t="str">
        <f ca="1">INDIRECT(ADDRESS(11+(MATCH(RIGHT(Table61011[[#This Row],[spawner_sku]],LEN(Table61011[[#This Row],[spawner_sku]])-FIND("/",Table61011[[#This Row],[spawner_sku]])),Table28[Entity Prefab],0)),24,1,1,"Entities"))</f>
        <v>no</v>
      </c>
      <c r="BW195" s="71">
        <v>2</v>
      </c>
      <c r="BX195" s="71">
        <v>4</v>
      </c>
      <c r="BY195" s="71" t="b">
        <v>0</v>
      </c>
      <c r="BZ195" s="71"/>
      <c r="CA195" s="147" t="s">
        <v>3821</v>
      </c>
      <c r="CB195">
        <v>1</v>
      </c>
      <c r="CC195">
        <v>240</v>
      </c>
      <c r="CD195">
        <v>100</v>
      </c>
      <c r="CE195" s="74">
        <f ca="1">INDIRECT(ADDRESS(11+(MATCH(RIGHT(Table35[[#This Row],[spawner_sku]],LEN(Table35[[#This Row],[spawner_sku]])-FIND("/",Table35[[#This Row],[spawner_sku]])),Table1[Entity Prefab],0)),10,1,1,"Entities"))</f>
        <v>10</v>
      </c>
      <c r="CF195" s="74">
        <f ca="1">ROUND((Table35[[#This Row],[XP]]*Table35[[#This Row],[entity_spawned (AVG)]])*(Table35[[#This Row],[activating_chance]]/100),0)</f>
        <v>10</v>
      </c>
      <c r="CG195" s="144" t="str">
        <f ca="1">INDIRECT(ADDRESS(11+(MATCH(RIGHT(Table35[[#This Row],[spawner_sku]],LEN(Table35[[#This Row],[spawner_sku]])-FIND("/",Table35[[#This Row],[spawner_sku]])),Table28[Entity Prefab],0)),24,1,1,"Entities"))</f>
        <v>no</v>
      </c>
      <c r="CH195">
        <v>1</v>
      </c>
      <c r="CI195">
        <v>1</v>
      </c>
      <c r="CJ195" s="71" t="b">
        <v>0</v>
      </c>
      <c r="CL195" t="s">
        <v>223</v>
      </c>
      <c r="CM195">
        <v>1</v>
      </c>
      <c r="CN195">
        <v>120</v>
      </c>
      <c r="CO195">
        <v>100</v>
      </c>
      <c r="CP195" s="74">
        <f ca="1">INDIRECT(ADDRESS(11+(MATCH(RIGHT(Table11[[#This Row],[spawner_sku]],LEN(Table11[[#This Row],[spawner_sku]])-FIND("/",Table11[[#This Row],[spawner_sku]])),Table1[Entity Prefab],0)),10,1,1,"Entities"))</f>
        <v>70</v>
      </c>
      <c r="CQ195">
        <f ca="1">ROUND((Table11[[#This Row],[XP]]*Table11[[#This Row],[entity_spawned (AVG)]])*(Table11[[#This Row],[activating_chance]]/100),0)</f>
        <v>70</v>
      </c>
      <c r="CR195" s="144" t="str">
        <f ca="1">INDIRECT(ADDRESS(11+(MATCH(RIGHT(Table11[[#This Row],[spawner_sku]],LEN(Table11[[#This Row],[spawner_sku]])-FIND("/",Table11[[#This Row],[spawner_sku]])),Table28[Entity Prefab],0)),25,1,1,"Entities"))</f>
        <v>no</v>
      </c>
      <c r="CS195" s="71">
        <v>1</v>
      </c>
      <c r="CT195" s="71">
        <v>1</v>
      </c>
      <c r="CU195" s="71" t="b">
        <v>0</v>
      </c>
      <c r="CW195" t="s">
        <v>244</v>
      </c>
      <c r="CX195">
        <v>1</v>
      </c>
      <c r="CY195">
        <v>220</v>
      </c>
      <c r="CZ195">
        <v>100</v>
      </c>
      <c r="DA195" s="74">
        <f ca="1">INDIRECT(ADDRESS(11+(MATCH(RIGHT(Table12[[#This Row],[spawner_sku]],LEN(Table12[[#This Row],[spawner_sku]])-FIND("/",Table12[[#This Row],[spawner_sku]])),Table1[Entity Prefab],0)),10,1,1,"Entities"))</f>
        <v>50</v>
      </c>
      <c r="DB195" s="74">
        <f ca="1">ROUND((Table12[[#This Row],[XP]]*Table12[[#This Row],[entity_spawned (AVG)]])*(Table12[[#This Row],[activating_chance]]/100),0)</f>
        <v>50</v>
      </c>
      <c r="DC195" s="144" t="str">
        <f ca="1">INDIRECT(ADDRESS(11+(MATCH(RIGHT(Table12[[#This Row],[spawner_sku]],LEN(Table12[[#This Row],[spawner_sku]])-FIND("/",Table12[[#This Row],[spawner_sku]])),Table28[Entity Prefab],0)),25,1,1,"Entities"))</f>
        <v>no</v>
      </c>
      <c r="DD195" s="71">
        <v>1</v>
      </c>
      <c r="DE195" s="71">
        <v>1</v>
      </c>
      <c r="DF195" s="71" t="b">
        <v>0</v>
      </c>
      <c r="DH195" t="s">
        <v>242</v>
      </c>
      <c r="DI195">
        <v>1</v>
      </c>
      <c r="DJ195">
        <v>150</v>
      </c>
      <c r="DK195">
        <v>100</v>
      </c>
      <c r="DL195" s="74">
        <f ca="1">INDIRECT(ADDRESS(11+(MATCH(RIGHT(Table13[[#This Row],[spawner_sku]],LEN(Table13[[#This Row],[spawner_sku]])-FIND("/",Table13[[#This Row],[spawner_sku]])),Table1[Entity Prefab],0)),10,1,1,"Entities"))</f>
        <v>25</v>
      </c>
      <c r="DM195" s="74">
        <f ca="1">ROUND((Table13[[#This Row],[XP]]*Table13[[#This Row],[entity_spawned (AVG)]])*(Table13[[#This Row],[activating_chance]]/100),0)</f>
        <v>25</v>
      </c>
      <c r="DN195" s="144" t="str">
        <f ca="1">INDIRECT(ADDRESS(11+(MATCH(RIGHT(Table13[[#This Row],[spawner_sku]],LEN(Table13[[#This Row],[spawner_sku]])-FIND("/",Table13[[#This Row],[spawner_sku]])),Table28[Entity Prefab],0)),25,1,1,"Entities"))</f>
        <v>no</v>
      </c>
      <c r="DO195" s="71">
        <v>1</v>
      </c>
      <c r="DP195" s="71">
        <v>1</v>
      </c>
      <c r="DQ195" s="71" t="b">
        <v>0</v>
      </c>
      <c r="DS195" t="s">
        <v>225</v>
      </c>
      <c r="DT195">
        <v>1</v>
      </c>
      <c r="DU195">
        <v>2500</v>
      </c>
      <c r="DV195">
        <v>100</v>
      </c>
      <c r="DW195" s="74">
        <f ca="1">INDIRECT(ADDRESS(11+(MATCH(RIGHT(Table14[[#This Row],[spawner_sku]],LEN(Table14[[#This Row],[spawner_sku]])-FIND("/",Table14[[#This Row],[spawner_sku]])),Table1[Entity Prefab],0)),10,1,1,"Entities"))</f>
        <v>263</v>
      </c>
      <c r="DX195" s="74">
        <f ca="1">ROUND((Table14[[#This Row],[XP]]*Table14[[#This Row],[entity_spawned (AVG)]])*(Table14[[#This Row],[activating_chance]]/100),0)</f>
        <v>263</v>
      </c>
      <c r="DY195" s="144" t="str">
        <f ca="1">INDIRECT(ADDRESS(11+(MATCH(RIGHT(Table14[[#This Row],[spawner_sku]],LEN(Table14[[#This Row],[spawner_sku]])-FIND("/",Table14[[#This Row],[spawner_sku]])),Table28[Entity Prefab],0)),25,1,1,"Entities"))</f>
        <v>yes</v>
      </c>
      <c r="DZ195" s="71">
        <v>1</v>
      </c>
      <c r="EA195" s="71">
        <v>1</v>
      </c>
      <c r="EB195" s="71" t="b">
        <v>0</v>
      </c>
      <c r="EC195" s="71"/>
      <c r="EO195" t="s">
        <v>570</v>
      </c>
      <c r="EP195">
        <v>3</v>
      </c>
      <c r="EQ195">
        <v>100</v>
      </c>
      <c r="ER195">
        <v>100</v>
      </c>
      <c r="ES195" s="74">
        <f ca="1">INDIRECT(ADDRESS(11+(MATCH(RIGHT(Table18[[#This Row],[spawner_sku]],LEN(Table18[[#This Row],[spawner_sku]])-FIND("/",Table18[[#This Row],[spawner_sku]])),Table1[Entity Prefab],0)),10,1,1,"Entities"))</f>
        <v>50</v>
      </c>
      <c r="ET195" s="74">
        <f ca="1">ROUND((Table18[[#This Row],[XP]]*Table18[[#This Row],[entity_spawned (AVG)]])*(Table18[[#This Row],[activating_chance]]/100),0)</f>
        <v>150</v>
      </c>
      <c r="EU195" s="74" t="str">
        <f ca="1">INDIRECT(ADDRESS(11+(MATCH(RIGHT(Table18[[#This Row],[spawner_sku]],LEN(Table18[[#This Row],[spawner_sku]])-FIND("/",Table18[[#This Row],[spawner_sku]])),Table28[Entity Prefab],0)),26,1,1,"Entities"))</f>
        <v>no</v>
      </c>
      <c r="EV195">
        <v>2</v>
      </c>
      <c r="EW195">
        <v>4</v>
      </c>
      <c r="EX195" t="b">
        <v>0</v>
      </c>
      <c r="EZ195" t="s">
        <v>465</v>
      </c>
      <c r="FA195">
        <v>1</v>
      </c>
      <c r="FB195">
        <v>100</v>
      </c>
      <c r="FC195">
        <v>100</v>
      </c>
      <c r="FD195" s="74">
        <f ca="1">INDIRECT(ADDRESS(11+(MATCH(RIGHT(Table1820[[#This Row],[spawner_sku]],LEN(Table1820[[#This Row],[spawner_sku]])-FIND("/",Table1820[[#This Row],[spawner_sku]])),Table1[Entity Prefab],0)),10,1,1,"Entities"))</f>
        <v>25</v>
      </c>
      <c r="FE195" s="74">
        <f ca="1">ROUND((Table1820[[#This Row],[XP]]*Table1820[[#This Row],[entity_spawned (AVG)]])*(Table1820[[#This Row],[activating_chance]]/100),0)</f>
        <v>25</v>
      </c>
      <c r="FF195" s="74" t="str">
        <f ca="1">INDIRECT(ADDRESS(11+(MATCH(RIGHT(Table1820[[#This Row],[spawner_sku]],LEN(Table1820[[#This Row],[spawner_sku]])-FIND("/",Table1820[[#This Row],[spawner_sku]])),Table28[Entity Prefab],0)),26,1,1,"Entities"))</f>
        <v>no</v>
      </c>
      <c r="FG195">
        <v>1</v>
      </c>
      <c r="FH195">
        <v>1</v>
      </c>
      <c r="FI195" t="b">
        <v>0</v>
      </c>
      <c r="FV195" t="s">
        <v>2706</v>
      </c>
      <c r="FW195">
        <v>2.5</v>
      </c>
      <c r="FX195">
        <v>80</v>
      </c>
      <c r="FY195">
        <v>80</v>
      </c>
      <c r="FZ195" s="74">
        <f ca="1">INDIRECT(ADDRESS(11+(MATCH(RIGHT(Table18202324[[#This Row],[spawner_sku]],LEN(Table18202324[[#This Row],[spawner_sku]])-FIND("/",Table18202324[[#This Row],[spawner_sku]])),Table1[Entity Prefab],0)),10,1,1,"Entities"))</f>
        <v>50</v>
      </c>
      <c r="GA195" s="74">
        <f ca="1">ROUND((Table18202324[[#This Row],[XP]]*Table18202324[[#This Row],[entity_spawned (AVG)]])*(Table18202324[[#This Row],[activating_chance]]/100),0)</f>
        <v>100</v>
      </c>
      <c r="GB195" s="74" t="str">
        <f ca="1">INDIRECT(ADDRESS(11+(MATCH(RIGHT(Table18202324[[#This Row],[spawner_sku]],LEN(Table18202324[[#This Row],[spawner_sku]])-FIND("/",Table18202324[[#This Row],[spawner_sku]])),Table28[Entity Prefab],0)),26,1,1,"Entities"))</f>
        <v>no</v>
      </c>
      <c r="GC195">
        <v>1</v>
      </c>
      <c r="GD195">
        <v>4</v>
      </c>
      <c r="GE195" t="b">
        <v>0</v>
      </c>
    </row>
    <row r="196" spans="2:187" x14ac:dyDescent="0.25">
      <c r="B196" s="72" t="s">
        <v>218</v>
      </c>
      <c r="C196">
        <v>1</v>
      </c>
      <c r="D196">
        <v>5000</v>
      </c>
      <c r="E196">
        <v>75</v>
      </c>
      <c r="F196" s="74">
        <f ca="1">INDIRECT(ADDRESS(11+(MATCH(RIGHT(Table245[[#This Row],[spawner_sku]],LEN(Table245[[#This Row],[spawner_sku]])-FIND("/",Table245[[#This Row],[spawner_sku]])),Table1[Entity Prefab],0)),10,1,1,"Entities"))</f>
        <v>75</v>
      </c>
      <c r="G196" s="74">
        <f ca="1">ROUND((Table245[[#This Row],[XP]]*Table245[[#This Row],[entity_spawned (AVG)]])*(Table245[[#This Row],[activating_chance]]/100),0)</f>
        <v>56</v>
      </c>
      <c r="H196" s="71" t="str">
        <f ca="1">INDIRECT(ADDRESS(11+(MATCH(RIGHT(Table245[[#This Row],[spawner_sku]],LEN(Table245[[#This Row],[spawner_sku]])-FIND("/",Table245[[#This Row],[spawner_sku]])),Table28[Entity Prefab],0)),24,1,1,"Entities"))</f>
        <v>no</v>
      </c>
      <c r="I196" s="71">
        <v>1</v>
      </c>
      <c r="J196" s="71">
        <v>1</v>
      </c>
      <c r="K196" s="71" t="b">
        <v>0</v>
      </c>
      <c r="M196" t="s">
        <v>366</v>
      </c>
      <c r="N196">
        <v>2.5</v>
      </c>
      <c r="O196">
        <v>100</v>
      </c>
      <c r="P196">
        <v>100</v>
      </c>
      <c r="Q196" s="74">
        <f ca="1">INDIRECT(ADDRESS(11+(MATCH(RIGHT(Table3[[#This Row],[spawner_sku]],LEN(Table3[[#This Row],[spawner_sku]])-FIND("/",Table3[[#This Row],[spawner_sku]])),Table1[Entity Prefab],0)),10,1,1,"Entities"))</f>
        <v>25</v>
      </c>
      <c r="R196" s="74">
        <f ca="1">ROUND((Table3[[#This Row],[XP]]*Table3[[#This Row],[entity_spawned (AVG)]])*(Table3[[#This Row],[activating_chance]]/100),0)</f>
        <v>63</v>
      </c>
      <c r="S196" t="str">
        <f ca="1">INDIRECT(ADDRESS(11+(MATCH(RIGHT(Table3[[#This Row],[spawner_sku]],LEN(Table3[[#This Row],[spawner_sku]])-FIND("/",Table3[[#This Row],[spawner_sku]])),Table28[Entity Prefab],0)),24,1,1,"Entities"))</f>
        <v>no</v>
      </c>
      <c r="T196">
        <v>2</v>
      </c>
      <c r="U196">
        <v>3</v>
      </c>
      <c r="V196" t="b">
        <v>0</v>
      </c>
      <c r="AI196" t="s">
        <v>229</v>
      </c>
      <c r="AJ196">
        <v>1</v>
      </c>
      <c r="AK196">
        <v>2000</v>
      </c>
      <c r="AL196">
        <v>100</v>
      </c>
      <c r="AM196" s="74">
        <f ca="1">INDIRECT(ADDRESS(11+(MATCH(RIGHT(Table2[[#This Row],[spawner_sku]],LEN(Table2[[#This Row],[spawner_sku]])-FIND("/",Table2[[#This Row],[spawner_sku]])),Table1[Entity Prefab],0)),10,1,1,"Entities"))</f>
        <v>130</v>
      </c>
      <c r="AN196" s="74">
        <f ca="1">ROUND((Table2[[#This Row],[XP]]*Table2[[#This Row],[entity_spawned (AVG)]])*(Table2[[#This Row],[activating_chance]]/100),0)</f>
        <v>130</v>
      </c>
      <c r="AO196" s="71" t="str">
        <f ca="1">INDIRECT(ADDRESS(11+(MATCH(RIGHT(Table2[[#This Row],[spawner_sku]],LEN(Table2[[#This Row],[spawner_sku]])-FIND("/",Table2[[#This Row],[spawner_sku]])),Table28[Entity Prefab],0)),24,1,1,"Entities"))</f>
        <v>yes</v>
      </c>
      <c r="AP196" s="71">
        <v>1</v>
      </c>
      <c r="AQ196" s="71">
        <v>1</v>
      </c>
      <c r="AR196" s="71" t="b">
        <v>0</v>
      </c>
      <c r="BE196" t="s">
        <v>427</v>
      </c>
      <c r="BF196">
        <v>1</v>
      </c>
      <c r="BG196">
        <v>100</v>
      </c>
      <c r="BH196">
        <v>100</v>
      </c>
      <c r="BI196" s="74">
        <f ca="1">INDIRECT(ADDRESS(11+(MATCH(RIGHT(Table610[[#This Row],[spawner_sku]],LEN(Table610[[#This Row],[spawner_sku]])-FIND("/",Table610[[#This Row],[spawner_sku]])),Table1[Entity Prefab],0)),10,1,1,"Entities"))</f>
        <v>25</v>
      </c>
      <c r="BJ196" s="74">
        <f ca="1">ROUND((Table610[[#This Row],[XP]]*Table610[[#This Row],[entity_spawned (AVG)]])*(Table610[[#This Row],[activating_chance]]/100),0)</f>
        <v>25</v>
      </c>
      <c r="BK196" s="71" t="str">
        <f ca="1">INDIRECT(ADDRESS(11+(MATCH(RIGHT(Table610[[#This Row],[spawner_sku]],LEN(Table610[[#This Row],[spawner_sku]])-FIND("/",Table610[[#This Row],[spawner_sku]])),Table28[Entity Prefab],0)),24,1,1,"Entities"))</f>
        <v>no</v>
      </c>
      <c r="BL196">
        <v>1</v>
      </c>
      <c r="BM196">
        <v>1</v>
      </c>
      <c r="BN196" t="b">
        <v>0</v>
      </c>
      <c r="BP196" t="s">
        <v>232</v>
      </c>
      <c r="BQ196">
        <v>2.5</v>
      </c>
      <c r="BR196">
        <v>200</v>
      </c>
      <c r="BS196">
        <v>100</v>
      </c>
      <c r="BT196" s="74">
        <f ca="1">INDIRECT(ADDRESS(11+(MATCH(RIGHT(Table61011[[#This Row],[spawner_sku]],LEN(Table61011[[#This Row],[spawner_sku]])-FIND("/",Table61011[[#This Row],[spawner_sku]])),Table1[Entity Prefab],0)),10,1,1,"Entities"))</f>
        <v>25</v>
      </c>
      <c r="BU196" s="74">
        <f ca="1">ROUND((Table61011[[#This Row],[XP]]*Table61011[[#This Row],[entity_spawned (AVG)]])*(Table61011[[#This Row],[activating_chance]]/100),0)</f>
        <v>63</v>
      </c>
      <c r="BV196" s="71" t="str">
        <f ca="1">INDIRECT(ADDRESS(11+(MATCH(RIGHT(Table61011[[#This Row],[spawner_sku]],LEN(Table61011[[#This Row],[spawner_sku]])-FIND("/",Table61011[[#This Row],[spawner_sku]])),Table28[Entity Prefab],0)),24,1,1,"Entities"))</f>
        <v>no</v>
      </c>
      <c r="BW196" s="71">
        <v>2</v>
      </c>
      <c r="BX196" s="71">
        <v>3</v>
      </c>
      <c r="BY196" s="71" t="b">
        <v>0</v>
      </c>
      <c r="BZ196" s="71"/>
      <c r="CA196" s="147" t="s">
        <v>3821</v>
      </c>
      <c r="CB196">
        <v>1</v>
      </c>
      <c r="CC196">
        <v>240</v>
      </c>
      <c r="CD196">
        <v>100</v>
      </c>
      <c r="CE196" s="74">
        <f ca="1">INDIRECT(ADDRESS(11+(MATCH(RIGHT(Table35[[#This Row],[spawner_sku]],LEN(Table35[[#This Row],[spawner_sku]])-FIND("/",Table35[[#This Row],[spawner_sku]])),Table1[Entity Prefab],0)),10,1,1,"Entities"))</f>
        <v>10</v>
      </c>
      <c r="CF196" s="74">
        <f ca="1">ROUND((Table35[[#This Row],[XP]]*Table35[[#This Row],[entity_spawned (AVG)]])*(Table35[[#This Row],[activating_chance]]/100),0)</f>
        <v>10</v>
      </c>
      <c r="CG196" s="144" t="str">
        <f ca="1">INDIRECT(ADDRESS(11+(MATCH(RIGHT(Table35[[#This Row],[spawner_sku]],LEN(Table35[[#This Row],[spawner_sku]])-FIND("/",Table35[[#This Row],[spawner_sku]])),Table28[Entity Prefab],0)),24,1,1,"Entities"))</f>
        <v>no</v>
      </c>
      <c r="CH196">
        <v>1</v>
      </c>
      <c r="CI196">
        <v>1</v>
      </c>
      <c r="CJ196" s="71" t="b">
        <v>0</v>
      </c>
      <c r="CL196" t="s">
        <v>223</v>
      </c>
      <c r="CM196">
        <v>1</v>
      </c>
      <c r="CN196">
        <v>120</v>
      </c>
      <c r="CO196">
        <v>100</v>
      </c>
      <c r="CP196" s="74">
        <f ca="1">INDIRECT(ADDRESS(11+(MATCH(RIGHT(Table11[[#This Row],[spawner_sku]],LEN(Table11[[#This Row],[spawner_sku]])-FIND("/",Table11[[#This Row],[spawner_sku]])),Table1[Entity Prefab],0)),10,1,1,"Entities"))</f>
        <v>70</v>
      </c>
      <c r="CQ196">
        <f ca="1">ROUND((Table11[[#This Row],[XP]]*Table11[[#This Row],[entity_spawned (AVG)]])*(Table11[[#This Row],[activating_chance]]/100),0)</f>
        <v>70</v>
      </c>
      <c r="CR196" s="144" t="str">
        <f ca="1">INDIRECT(ADDRESS(11+(MATCH(RIGHT(Table11[[#This Row],[spawner_sku]],LEN(Table11[[#This Row],[spawner_sku]])-FIND("/",Table11[[#This Row],[spawner_sku]])),Table28[Entity Prefab],0)),25,1,1,"Entities"))</f>
        <v>no</v>
      </c>
      <c r="CS196" s="71">
        <v>1</v>
      </c>
      <c r="CT196" s="71">
        <v>1</v>
      </c>
      <c r="CU196" s="71" t="b">
        <v>0</v>
      </c>
      <c r="CW196" t="s">
        <v>244</v>
      </c>
      <c r="CX196">
        <v>1</v>
      </c>
      <c r="CY196">
        <v>220</v>
      </c>
      <c r="CZ196">
        <v>100</v>
      </c>
      <c r="DA196" s="74">
        <f ca="1">INDIRECT(ADDRESS(11+(MATCH(RIGHT(Table12[[#This Row],[spawner_sku]],LEN(Table12[[#This Row],[spawner_sku]])-FIND("/",Table12[[#This Row],[spawner_sku]])),Table1[Entity Prefab],0)),10,1,1,"Entities"))</f>
        <v>50</v>
      </c>
      <c r="DB196" s="74">
        <f ca="1">ROUND((Table12[[#This Row],[XP]]*Table12[[#This Row],[entity_spawned (AVG)]])*(Table12[[#This Row],[activating_chance]]/100),0)</f>
        <v>50</v>
      </c>
      <c r="DC196" s="144" t="str">
        <f ca="1">INDIRECT(ADDRESS(11+(MATCH(RIGHT(Table12[[#This Row],[spawner_sku]],LEN(Table12[[#This Row],[spawner_sku]])-FIND("/",Table12[[#This Row],[spawner_sku]])),Table28[Entity Prefab],0)),25,1,1,"Entities"))</f>
        <v>no</v>
      </c>
      <c r="DD196" s="71">
        <v>1</v>
      </c>
      <c r="DE196" s="71">
        <v>1</v>
      </c>
      <c r="DF196" s="71" t="b">
        <v>0</v>
      </c>
      <c r="DH196" t="s">
        <v>242</v>
      </c>
      <c r="DI196">
        <v>1</v>
      </c>
      <c r="DJ196">
        <v>150</v>
      </c>
      <c r="DK196">
        <v>100</v>
      </c>
      <c r="DL196" s="74">
        <f ca="1">INDIRECT(ADDRESS(11+(MATCH(RIGHT(Table13[[#This Row],[spawner_sku]],LEN(Table13[[#This Row],[spawner_sku]])-FIND("/",Table13[[#This Row],[spawner_sku]])),Table1[Entity Prefab],0)),10,1,1,"Entities"))</f>
        <v>25</v>
      </c>
      <c r="DM196" s="74">
        <f ca="1">ROUND((Table13[[#This Row],[XP]]*Table13[[#This Row],[entity_spawned (AVG)]])*(Table13[[#This Row],[activating_chance]]/100),0)</f>
        <v>25</v>
      </c>
      <c r="DN196" s="144" t="str">
        <f ca="1">INDIRECT(ADDRESS(11+(MATCH(RIGHT(Table13[[#This Row],[spawner_sku]],LEN(Table13[[#This Row],[spawner_sku]])-FIND("/",Table13[[#This Row],[spawner_sku]])),Table28[Entity Prefab],0)),25,1,1,"Entities"))</f>
        <v>no</v>
      </c>
      <c r="DO196" s="71">
        <v>1</v>
      </c>
      <c r="DP196" s="71">
        <v>1</v>
      </c>
      <c r="DQ196" s="71" t="b">
        <v>0</v>
      </c>
      <c r="DS196" t="s">
        <v>225</v>
      </c>
      <c r="DT196">
        <v>1</v>
      </c>
      <c r="DU196">
        <v>2500</v>
      </c>
      <c r="DV196">
        <v>100</v>
      </c>
      <c r="DW196" s="74">
        <f ca="1">INDIRECT(ADDRESS(11+(MATCH(RIGHT(Table14[[#This Row],[spawner_sku]],LEN(Table14[[#This Row],[spawner_sku]])-FIND("/",Table14[[#This Row],[spawner_sku]])),Table1[Entity Prefab],0)),10,1,1,"Entities"))</f>
        <v>263</v>
      </c>
      <c r="DX196" s="74">
        <f ca="1">ROUND((Table14[[#This Row],[XP]]*Table14[[#This Row],[entity_spawned (AVG)]])*(Table14[[#This Row],[activating_chance]]/100),0)</f>
        <v>263</v>
      </c>
      <c r="DY196" s="144" t="str">
        <f ca="1">INDIRECT(ADDRESS(11+(MATCH(RIGHT(Table14[[#This Row],[spawner_sku]],LEN(Table14[[#This Row],[spawner_sku]])-FIND("/",Table14[[#This Row],[spawner_sku]])),Table28[Entity Prefab],0)),25,1,1,"Entities"))</f>
        <v>yes</v>
      </c>
      <c r="DZ196" s="71">
        <v>1</v>
      </c>
      <c r="EA196" s="71">
        <v>1</v>
      </c>
      <c r="EB196" s="71" t="b">
        <v>0</v>
      </c>
      <c r="EC196" s="71"/>
      <c r="EO196" t="s">
        <v>570</v>
      </c>
      <c r="EP196">
        <v>1.5</v>
      </c>
      <c r="EQ196">
        <v>120</v>
      </c>
      <c r="ER196">
        <v>100</v>
      </c>
      <c r="ES196" s="74">
        <f ca="1">INDIRECT(ADDRESS(11+(MATCH(RIGHT(Table18[[#This Row],[spawner_sku]],LEN(Table18[[#This Row],[spawner_sku]])-FIND("/",Table18[[#This Row],[spawner_sku]])),Table1[Entity Prefab],0)),10,1,1,"Entities"))</f>
        <v>50</v>
      </c>
      <c r="ET196" s="74">
        <f ca="1">ROUND((Table18[[#This Row],[XP]]*Table18[[#This Row],[entity_spawned (AVG)]])*(Table18[[#This Row],[activating_chance]]/100),0)</f>
        <v>75</v>
      </c>
      <c r="EU196" s="74" t="str">
        <f ca="1">INDIRECT(ADDRESS(11+(MATCH(RIGHT(Table18[[#This Row],[spawner_sku]],LEN(Table18[[#This Row],[spawner_sku]])-FIND("/",Table18[[#This Row],[spawner_sku]])),Table28[Entity Prefab],0)),26,1,1,"Entities"))</f>
        <v>no</v>
      </c>
      <c r="EV196">
        <v>1</v>
      </c>
      <c r="EW196">
        <v>2</v>
      </c>
      <c r="EX196" t="b">
        <v>0</v>
      </c>
      <c r="EZ196" t="s">
        <v>465</v>
      </c>
      <c r="FA196">
        <v>1</v>
      </c>
      <c r="FB196">
        <v>100</v>
      </c>
      <c r="FC196">
        <v>100</v>
      </c>
      <c r="FD196" s="74">
        <f ca="1">INDIRECT(ADDRESS(11+(MATCH(RIGHT(Table1820[[#This Row],[spawner_sku]],LEN(Table1820[[#This Row],[spawner_sku]])-FIND("/",Table1820[[#This Row],[spawner_sku]])),Table1[Entity Prefab],0)),10,1,1,"Entities"))</f>
        <v>25</v>
      </c>
      <c r="FE196" s="74">
        <f ca="1">ROUND((Table1820[[#This Row],[XP]]*Table1820[[#This Row],[entity_spawned (AVG)]])*(Table1820[[#This Row],[activating_chance]]/100),0)</f>
        <v>25</v>
      </c>
      <c r="FF196" s="74" t="str">
        <f ca="1">INDIRECT(ADDRESS(11+(MATCH(RIGHT(Table1820[[#This Row],[spawner_sku]],LEN(Table1820[[#This Row],[spawner_sku]])-FIND("/",Table1820[[#This Row],[spawner_sku]])),Table28[Entity Prefab],0)),26,1,1,"Entities"))</f>
        <v>no</v>
      </c>
      <c r="FG196">
        <v>1</v>
      </c>
      <c r="FH196">
        <v>1</v>
      </c>
      <c r="FI196" t="b">
        <v>0</v>
      </c>
      <c r="FV196" t="s">
        <v>2706</v>
      </c>
      <c r="FW196">
        <v>5.5</v>
      </c>
      <c r="FX196">
        <v>90</v>
      </c>
      <c r="FY196">
        <v>80</v>
      </c>
      <c r="FZ196" s="74">
        <f ca="1">INDIRECT(ADDRESS(11+(MATCH(RIGHT(Table18202324[[#This Row],[spawner_sku]],LEN(Table18202324[[#This Row],[spawner_sku]])-FIND("/",Table18202324[[#This Row],[spawner_sku]])),Table1[Entity Prefab],0)),10,1,1,"Entities"))</f>
        <v>50</v>
      </c>
      <c r="GA196" s="74">
        <f ca="1">ROUND((Table18202324[[#This Row],[XP]]*Table18202324[[#This Row],[entity_spawned (AVG)]])*(Table18202324[[#This Row],[activating_chance]]/100),0)</f>
        <v>220</v>
      </c>
      <c r="GB196" s="74" t="str">
        <f ca="1">INDIRECT(ADDRESS(11+(MATCH(RIGHT(Table18202324[[#This Row],[spawner_sku]],LEN(Table18202324[[#This Row],[spawner_sku]])-FIND("/",Table18202324[[#This Row],[spawner_sku]])),Table28[Entity Prefab],0)),26,1,1,"Entities"))</f>
        <v>no</v>
      </c>
      <c r="GC196">
        <v>5</v>
      </c>
      <c r="GD196">
        <v>6</v>
      </c>
      <c r="GE196" t="b">
        <v>1</v>
      </c>
    </row>
    <row r="197" spans="2:187" x14ac:dyDescent="0.25">
      <c r="B197" s="72" t="s">
        <v>218</v>
      </c>
      <c r="C197">
        <v>1</v>
      </c>
      <c r="D197">
        <v>5000</v>
      </c>
      <c r="E197">
        <v>45</v>
      </c>
      <c r="F197" s="74">
        <f ca="1">INDIRECT(ADDRESS(11+(MATCH(RIGHT(Table245[[#This Row],[spawner_sku]],LEN(Table245[[#This Row],[spawner_sku]])-FIND("/",Table245[[#This Row],[spawner_sku]])),Table1[Entity Prefab],0)),10,1,1,"Entities"))</f>
        <v>75</v>
      </c>
      <c r="G197" s="74">
        <f ca="1">ROUND((Table245[[#This Row],[XP]]*Table245[[#This Row],[entity_spawned (AVG)]])*(Table245[[#This Row],[activating_chance]]/100),0)</f>
        <v>34</v>
      </c>
      <c r="H197" s="71" t="str">
        <f ca="1">INDIRECT(ADDRESS(11+(MATCH(RIGHT(Table245[[#This Row],[spawner_sku]],LEN(Table245[[#This Row],[spawner_sku]])-FIND("/",Table245[[#This Row],[spawner_sku]])),Table28[Entity Prefab],0)),24,1,1,"Entities"))</f>
        <v>no</v>
      </c>
      <c r="I197" s="71">
        <v>1</v>
      </c>
      <c r="J197" s="71">
        <v>1</v>
      </c>
      <c r="K197" s="71" t="b">
        <v>0</v>
      </c>
      <c r="M197" t="s">
        <v>242</v>
      </c>
      <c r="N197">
        <v>1.5</v>
      </c>
      <c r="O197">
        <v>180</v>
      </c>
      <c r="P197">
        <v>70</v>
      </c>
      <c r="Q197" s="74">
        <f ca="1">INDIRECT(ADDRESS(11+(MATCH(RIGHT(Table3[[#This Row],[spawner_sku]],LEN(Table3[[#This Row],[spawner_sku]])-FIND("/",Table3[[#This Row],[spawner_sku]])),Table1[Entity Prefab],0)),10,1,1,"Entities"))</f>
        <v>25</v>
      </c>
      <c r="R197" s="74">
        <f ca="1">ROUND((Table3[[#This Row],[XP]]*Table3[[#This Row],[entity_spawned (AVG)]])*(Table3[[#This Row],[activating_chance]]/100),0)</f>
        <v>26</v>
      </c>
      <c r="S197" t="str">
        <f ca="1">INDIRECT(ADDRESS(11+(MATCH(RIGHT(Table3[[#This Row],[spawner_sku]],LEN(Table3[[#This Row],[spawner_sku]])-FIND("/",Table3[[#This Row],[spawner_sku]])),Table28[Entity Prefab],0)),24,1,1,"Entities"))</f>
        <v>no</v>
      </c>
      <c r="T197">
        <v>1</v>
      </c>
      <c r="U197">
        <v>2</v>
      </c>
      <c r="V197" t="b">
        <v>0</v>
      </c>
      <c r="AI197" t="s">
        <v>229</v>
      </c>
      <c r="AJ197">
        <v>1</v>
      </c>
      <c r="AK197">
        <v>1500</v>
      </c>
      <c r="AL197">
        <v>40</v>
      </c>
      <c r="AM197" s="74">
        <f ca="1">INDIRECT(ADDRESS(11+(MATCH(RIGHT(Table2[[#This Row],[spawner_sku]],LEN(Table2[[#This Row],[spawner_sku]])-FIND("/",Table2[[#This Row],[spawner_sku]])),Table1[Entity Prefab],0)),10,1,1,"Entities"))</f>
        <v>130</v>
      </c>
      <c r="AN197" s="74">
        <f ca="1">ROUND((Table2[[#This Row],[XP]]*Table2[[#This Row],[entity_spawned (AVG)]])*(Table2[[#This Row],[activating_chance]]/100),0)</f>
        <v>52</v>
      </c>
      <c r="AO197" s="71" t="str">
        <f ca="1">INDIRECT(ADDRESS(11+(MATCH(RIGHT(Table2[[#This Row],[spawner_sku]],LEN(Table2[[#This Row],[spawner_sku]])-FIND("/",Table2[[#This Row],[spawner_sku]])),Table28[Entity Prefab],0)),24,1,1,"Entities"))</f>
        <v>yes</v>
      </c>
      <c r="AP197" s="71">
        <v>1</v>
      </c>
      <c r="AQ197" s="71">
        <v>1</v>
      </c>
      <c r="AR197" s="71" t="b">
        <v>0</v>
      </c>
      <c r="BE197" t="s">
        <v>240</v>
      </c>
      <c r="BF197">
        <v>1</v>
      </c>
      <c r="BG197">
        <v>170</v>
      </c>
      <c r="BH197">
        <v>100</v>
      </c>
      <c r="BI197" s="74">
        <f ca="1">INDIRECT(ADDRESS(11+(MATCH(RIGHT(Table610[[#This Row],[spawner_sku]],LEN(Table610[[#This Row],[spawner_sku]])-FIND("/",Table610[[#This Row],[spawner_sku]])),Table1[Entity Prefab],0)),10,1,1,"Entities"))</f>
        <v>70</v>
      </c>
      <c r="BJ197" s="74">
        <f ca="1">ROUND((Table610[[#This Row],[XP]]*Table610[[#This Row],[entity_spawned (AVG)]])*(Table610[[#This Row],[activating_chance]]/100),0)</f>
        <v>70</v>
      </c>
      <c r="BK197" s="71" t="str">
        <f ca="1">INDIRECT(ADDRESS(11+(MATCH(RIGHT(Table610[[#This Row],[spawner_sku]],LEN(Table610[[#This Row],[spawner_sku]])-FIND("/",Table610[[#This Row],[spawner_sku]])),Table28[Entity Prefab],0)),24,1,1,"Entities"))</f>
        <v>yes</v>
      </c>
      <c r="BL197">
        <v>1</v>
      </c>
      <c r="BM197">
        <v>1</v>
      </c>
      <c r="BN197" t="b">
        <v>0</v>
      </c>
      <c r="BP197" t="s">
        <v>232</v>
      </c>
      <c r="BQ197">
        <v>3.5</v>
      </c>
      <c r="BR197">
        <v>200</v>
      </c>
      <c r="BS197">
        <v>100</v>
      </c>
      <c r="BT197" s="74">
        <f ca="1">INDIRECT(ADDRESS(11+(MATCH(RIGHT(Table61011[[#This Row],[spawner_sku]],LEN(Table61011[[#This Row],[spawner_sku]])-FIND("/",Table61011[[#This Row],[spawner_sku]])),Table1[Entity Prefab],0)),10,1,1,"Entities"))</f>
        <v>25</v>
      </c>
      <c r="BU197" s="74">
        <f ca="1">ROUND((Table61011[[#This Row],[XP]]*Table61011[[#This Row],[entity_spawned (AVG)]])*(Table61011[[#This Row],[activating_chance]]/100),0)</f>
        <v>88</v>
      </c>
      <c r="BV197" s="71" t="str">
        <f ca="1">INDIRECT(ADDRESS(11+(MATCH(RIGHT(Table61011[[#This Row],[spawner_sku]],LEN(Table61011[[#This Row],[spawner_sku]])-FIND("/",Table61011[[#This Row],[spawner_sku]])),Table28[Entity Prefab],0)),24,1,1,"Entities"))</f>
        <v>no</v>
      </c>
      <c r="BW197" s="71">
        <v>3</v>
      </c>
      <c r="BX197" s="71">
        <v>4</v>
      </c>
      <c r="BY197" s="71" t="b">
        <v>0</v>
      </c>
      <c r="BZ197" s="71"/>
      <c r="CA197" s="147" t="s">
        <v>3821</v>
      </c>
      <c r="CB197">
        <v>1</v>
      </c>
      <c r="CC197">
        <v>240</v>
      </c>
      <c r="CD197">
        <v>100</v>
      </c>
      <c r="CE197" s="74">
        <f ca="1">INDIRECT(ADDRESS(11+(MATCH(RIGHT(Table35[[#This Row],[spawner_sku]],LEN(Table35[[#This Row],[spawner_sku]])-FIND("/",Table35[[#This Row],[spawner_sku]])),Table1[Entity Prefab],0)),10,1,1,"Entities"))</f>
        <v>10</v>
      </c>
      <c r="CF197" s="74">
        <f ca="1">ROUND((Table35[[#This Row],[XP]]*Table35[[#This Row],[entity_spawned (AVG)]])*(Table35[[#This Row],[activating_chance]]/100),0)</f>
        <v>10</v>
      </c>
      <c r="CG197" s="144" t="str">
        <f ca="1">INDIRECT(ADDRESS(11+(MATCH(RIGHT(Table35[[#This Row],[spawner_sku]],LEN(Table35[[#This Row],[spawner_sku]])-FIND("/",Table35[[#This Row],[spawner_sku]])),Table28[Entity Prefab],0)),24,1,1,"Entities"))</f>
        <v>no</v>
      </c>
      <c r="CH197">
        <v>1</v>
      </c>
      <c r="CI197">
        <v>1</v>
      </c>
      <c r="CJ197" s="71" t="b">
        <v>0</v>
      </c>
      <c r="CL197" t="s">
        <v>224</v>
      </c>
      <c r="CM197">
        <v>1</v>
      </c>
      <c r="CN197">
        <v>2500</v>
      </c>
      <c r="CO197">
        <v>100</v>
      </c>
      <c r="CP197" s="74">
        <f ca="1">INDIRECT(ADDRESS(11+(MATCH(RIGHT(Table11[[#This Row],[spawner_sku]],LEN(Table11[[#This Row],[spawner_sku]])-FIND("/",Table11[[#This Row],[spawner_sku]])),Table1[Entity Prefab],0)),10,1,1,"Entities"))</f>
        <v>263</v>
      </c>
      <c r="CQ197">
        <f ca="1">ROUND((Table11[[#This Row],[XP]]*Table11[[#This Row],[entity_spawned (AVG)]])*(Table11[[#This Row],[activating_chance]]/100),0)</f>
        <v>263</v>
      </c>
      <c r="CR197" s="144" t="str">
        <f ca="1">INDIRECT(ADDRESS(11+(MATCH(RIGHT(Table11[[#This Row],[spawner_sku]],LEN(Table11[[#This Row],[spawner_sku]])-FIND("/",Table11[[#This Row],[spawner_sku]])),Table28[Entity Prefab],0)),25,1,1,"Entities"))</f>
        <v>yes</v>
      </c>
      <c r="CS197" s="71">
        <v>1</v>
      </c>
      <c r="CT197" s="71">
        <v>1</v>
      </c>
      <c r="CU197" s="71" t="b">
        <v>0</v>
      </c>
      <c r="CW197" t="s">
        <v>244</v>
      </c>
      <c r="CX197">
        <v>1</v>
      </c>
      <c r="CY197">
        <v>220</v>
      </c>
      <c r="CZ197">
        <v>30</v>
      </c>
      <c r="DA197" s="74">
        <f ca="1">INDIRECT(ADDRESS(11+(MATCH(RIGHT(Table12[[#This Row],[spawner_sku]],LEN(Table12[[#This Row],[spawner_sku]])-FIND("/",Table12[[#This Row],[spawner_sku]])),Table1[Entity Prefab],0)),10,1,1,"Entities"))</f>
        <v>50</v>
      </c>
      <c r="DB197" s="74">
        <f ca="1">ROUND((Table12[[#This Row],[XP]]*Table12[[#This Row],[entity_spawned (AVG)]])*(Table12[[#This Row],[activating_chance]]/100),0)</f>
        <v>15</v>
      </c>
      <c r="DC197" s="144" t="str">
        <f ca="1">INDIRECT(ADDRESS(11+(MATCH(RIGHT(Table12[[#This Row],[spawner_sku]],LEN(Table12[[#This Row],[spawner_sku]])-FIND("/",Table12[[#This Row],[spawner_sku]])),Table28[Entity Prefab],0)),25,1,1,"Entities"))</f>
        <v>no</v>
      </c>
      <c r="DD197" s="71">
        <v>1</v>
      </c>
      <c r="DE197" s="71">
        <v>1</v>
      </c>
      <c r="DF197" s="71" t="b">
        <v>0</v>
      </c>
      <c r="DH197" t="s">
        <v>242</v>
      </c>
      <c r="DI197">
        <v>1</v>
      </c>
      <c r="DJ197">
        <v>150</v>
      </c>
      <c r="DK197">
        <v>100</v>
      </c>
      <c r="DL197" s="74">
        <f ca="1">INDIRECT(ADDRESS(11+(MATCH(RIGHT(Table13[[#This Row],[spawner_sku]],LEN(Table13[[#This Row],[spawner_sku]])-FIND("/",Table13[[#This Row],[spawner_sku]])),Table1[Entity Prefab],0)),10,1,1,"Entities"))</f>
        <v>25</v>
      </c>
      <c r="DM197" s="74">
        <f ca="1">ROUND((Table13[[#This Row],[XP]]*Table13[[#This Row],[entity_spawned (AVG)]])*(Table13[[#This Row],[activating_chance]]/100),0)</f>
        <v>25</v>
      </c>
      <c r="DN197" s="144" t="str">
        <f ca="1">INDIRECT(ADDRESS(11+(MATCH(RIGHT(Table13[[#This Row],[spawner_sku]],LEN(Table13[[#This Row],[spawner_sku]])-FIND("/",Table13[[#This Row],[spawner_sku]])),Table28[Entity Prefab],0)),25,1,1,"Entities"))</f>
        <v>no</v>
      </c>
      <c r="DO197" s="71">
        <v>1</v>
      </c>
      <c r="DP197" s="71">
        <v>1</v>
      </c>
      <c r="DQ197" s="71" t="b">
        <v>0</v>
      </c>
      <c r="DS197" t="s">
        <v>225</v>
      </c>
      <c r="DT197">
        <v>1</v>
      </c>
      <c r="DU197">
        <v>2500</v>
      </c>
      <c r="DV197">
        <v>100</v>
      </c>
      <c r="DW197" s="74">
        <f ca="1">INDIRECT(ADDRESS(11+(MATCH(RIGHT(Table14[[#This Row],[spawner_sku]],LEN(Table14[[#This Row],[spawner_sku]])-FIND("/",Table14[[#This Row],[spawner_sku]])),Table1[Entity Prefab],0)),10,1,1,"Entities"))</f>
        <v>263</v>
      </c>
      <c r="DX197" s="74">
        <f ca="1">ROUND((Table14[[#This Row],[XP]]*Table14[[#This Row],[entity_spawned (AVG)]])*(Table14[[#This Row],[activating_chance]]/100),0)</f>
        <v>263</v>
      </c>
      <c r="DY197" s="144" t="str">
        <f ca="1">INDIRECT(ADDRESS(11+(MATCH(RIGHT(Table14[[#This Row],[spawner_sku]],LEN(Table14[[#This Row],[spawner_sku]])-FIND("/",Table14[[#This Row],[spawner_sku]])),Table28[Entity Prefab],0)),25,1,1,"Entities"))</f>
        <v>yes</v>
      </c>
      <c r="DZ197" s="71">
        <v>1</v>
      </c>
      <c r="EA197" s="71">
        <v>1</v>
      </c>
      <c r="EB197" s="71" t="b">
        <v>0</v>
      </c>
      <c r="EC197" s="71"/>
      <c r="EO197" t="s">
        <v>570</v>
      </c>
      <c r="EP197">
        <v>2.5</v>
      </c>
      <c r="EQ197">
        <v>120</v>
      </c>
      <c r="ER197">
        <v>100</v>
      </c>
      <c r="ES197" s="74">
        <f ca="1">INDIRECT(ADDRESS(11+(MATCH(RIGHT(Table18[[#This Row],[spawner_sku]],LEN(Table18[[#This Row],[spawner_sku]])-FIND("/",Table18[[#This Row],[spawner_sku]])),Table1[Entity Prefab],0)),10,1,1,"Entities"))</f>
        <v>50</v>
      </c>
      <c r="ET197" s="74">
        <f ca="1">ROUND((Table18[[#This Row],[XP]]*Table18[[#This Row],[entity_spawned (AVG)]])*(Table18[[#This Row],[activating_chance]]/100),0)</f>
        <v>125</v>
      </c>
      <c r="EU197" s="74" t="str">
        <f ca="1">INDIRECT(ADDRESS(11+(MATCH(RIGHT(Table18[[#This Row],[spawner_sku]],LEN(Table18[[#This Row],[spawner_sku]])-FIND("/",Table18[[#This Row],[spawner_sku]])),Table28[Entity Prefab],0)),26,1,1,"Entities"))</f>
        <v>no</v>
      </c>
      <c r="EV197">
        <v>2</v>
      </c>
      <c r="EW197">
        <v>3</v>
      </c>
      <c r="EX197" t="b">
        <v>0</v>
      </c>
      <c r="EZ197" t="s">
        <v>465</v>
      </c>
      <c r="FA197">
        <v>1</v>
      </c>
      <c r="FB197">
        <v>100</v>
      </c>
      <c r="FC197">
        <v>80</v>
      </c>
      <c r="FD197" s="74">
        <f ca="1">INDIRECT(ADDRESS(11+(MATCH(RIGHT(Table1820[[#This Row],[spawner_sku]],LEN(Table1820[[#This Row],[spawner_sku]])-FIND("/",Table1820[[#This Row],[spawner_sku]])),Table1[Entity Prefab],0)),10,1,1,"Entities"))</f>
        <v>25</v>
      </c>
      <c r="FE197" s="74">
        <f ca="1">ROUND((Table1820[[#This Row],[XP]]*Table1820[[#This Row],[entity_spawned (AVG)]])*(Table1820[[#This Row],[activating_chance]]/100),0)</f>
        <v>20</v>
      </c>
      <c r="FF197" s="74" t="str">
        <f ca="1">INDIRECT(ADDRESS(11+(MATCH(RIGHT(Table1820[[#This Row],[spawner_sku]],LEN(Table1820[[#This Row],[spawner_sku]])-FIND("/",Table1820[[#This Row],[spawner_sku]])),Table28[Entity Prefab],0)),26,1,1,"Entities"))</f>
        <v>no</v>
      </c>
      <c r="FG197">
        <v>1</v>
      </c>
      <c r="FH197">
        <v>1</v>
      </c>
      <c r="FI197" t="b">
        <v>0</v>
      </c>
      <c r="FV197" t="s">
        <v>2707</v>
      </c>
      <c r="FW197">
        <v>5.5</v>
      </c>
      <c r="FX197">
        <v>80</v>
      </c>
      <c r="FY197">
        <v>80</v>
      </c>
      <c r="FZ197" s="74">
        <f ca="1">INDIRECT(ADDRESS(11+(MATCH(RIGHT(Table18202324[[#This Row],[spawner_sku]],LEN(Table18202324[[#This Row],[spawner_sku]])-FIND("/",Table18202324[[#This Row],[spawner_sku]])),Table1[Entity Prefab],0)),10,1,1,"Entities"))</f>
        <v>50</v>
      </c>
      <c r="GA197" s="74">
        <f ca="1">ROUND((Table18202324[[#This Row],[XP]]*Table18202324[[#This Row],[entity_spawned (AVG)]])*(Table18202324[[#This Row],[activating_chance]]/100),0)</f>
        <v>220</v>
      </c>
      <c r="GB197" s="74" t="str">
        <f ca="1">INDIRECT(ADDRESS(11+(MATCH(RIGHT(Table18202324[[#This Row],[spawner_sku]],LEN(Table18202324[[#This Row],[spawner_sku]])-FIND("/",Table18202324[[#This Row],[spawner_sku]])),Table28[Entity Prefab],0)),26,1,1,"Entities"))</f>
        <v>no</v>
      </c>
      <c r="GC197">
        <v>5</v>
      </c>
      <c r="GD197">
        <v>6</v>
      </c>
      <c r="GE197" t="b">
        <v>1</v>
      </c>
    </row>
    <row r="198" spans="2:187" x14ac:dyDescent="0.25">
      <c r="B198" s="72" t="s">
        <v>218</v>
      </c>
      <c r="C198">
        <v>1</v>
      </c>
      <c r="D198">
        <v>5000</v>
      </c>
      <c r="E198">
        <v>45</v>
      </c>
      <c r="F198" s="74">
        <f ca="1">INDIRECT(ADDRESS(11+(MATCH(RIGHT(Table245[[#This Row],[spawner_sku]],LEN(Table245[[#This Row],[spawner_sku]])-FIND("/",Table245[[#This Row],[spawner_sku]])),Table1[Entity Prefab],0)),10,1,1,"Entities"))</f>
        <v>75</v>
      </c>
      <c r="G198" s="74">
        <f ca="1">ROUND((Table245[[#This Row],[XP]]*Table245[[#This Row],[entity_spawned (AVG)]])*(Table245[[#This Row],[activating_chance]]/100),0)</f>
        <v>34</v>
      </c>
      <c r="H198" s="71" t="str">
        <f ca="1">INDIRECT(ADDRESS(11+(MATCH(RIGHT(Table245[[#This Row],[spawner_sku]],LEN(Table245[[#This Row],[spawner_sku]])-FIND("/",Table245[[#This Row],[spawner_sku]])),Table28[Entity Prefab],0)),24,1,1,"Entities"))</f>
        <v>no</v>
      </c>
      <c r="I198" s="71">
        <v>1</v>
      </c>
      <c r="J198" s="71">
        <v>1</v>
      </c>
      <c r="K198" s="71" t="b">
        <v>0</v>
      </c>
      <c r="M198" t="s">
        <v>377</v>
      </c>
      <c r="N198">
        <v>6.5</v>
      </c>
      <c r="O198">
        <v>120</v>
      </c>
      <c r="P198">
        <v>100</v>
      </c>
      <c r="Q198" s="74">
        <f ca="1">INDIRECT(ADDRESS(11+(MATCH(RIGHT(Table3[[#This Row],[spawner_sku]],LEN(Table3[[#This Row],[spawner_sku]])-FIND("/",Table3[[#This Row],[spawner_sku]])),Table1[Entity Prefab],0)),10,1,1,"Entities"))</f>
        <v>25</v>
      </c>
      <c r="R198" s="74">
        <f ca="1">ROUND((Table3[[#This Row],[XP]]*Table3[[#This Row],[entity_spawned (AVG)]])*(Table3[[#This Row],[activating_chance]]/100),0)</f>
        <v>163</v>
      </c>
      <c r="S198" t="str">
        <f ca="1">INDIRECT(ADDRESS(11+(MATCH(RIGHT(Table3[[#This Row],[spawner_sku]],LEN(Table3[[#This Row],[spawner_sku]])-FIND("/",Table3[[#This Row],[spawner_sku]])),Table28[Entity Prefab],0)),24,1,1,"Entities"))</f>
        <v>no</v>
      </c>
      <c r="T198">
        <v>5</v>
      </c>
      <c r="U198">
        <v>8</v>
      </c>
      <c r="V198" t="b">
        <v>1</v>
      </c>
      <c r="AI198" t="s">
        <v>229</v>
      </c>
      <c r="AJ198">
        <v>1</v>
      </c>
      <c r="AK198">
        <v>1500</v>
      </c>
      <c r="AL198">
        <v>100</v>
      </c>
      <c r="AM198" s="74">
        <f ca="1">INDIRECT(ADDRESS(11+(MATCH(RIGHT(Table2[[#This Row],[spawner_sku]],LEN(Table2[[#This Row],[spawner_sku]])-FIND("/",Table2[[#This Row],[spawner_sku]])),Table1[Entity Prefab],0)),10,1,1,"Entities"))</f>
        <v>130</v>
      </c>
      <c r="AN198" s="74">
        <f ca="1">ROUND((Table2[[#This Row],[XP]]*Table2[[#This Row],[entity_spawned (AVG)]])*(Table2[[#This Row],[activating_chance]]/100),0)</f>
        <v>130</v>
      </c>
      <c r="AO198" s="71" t="str">
        <f ca="1">INDIRECT(ADDRESS(11+(MATCH(RIGHT(Table2[[#This Row],[spawner_sku]],LEN(Table2[[#This Row],[spawner_sku]])-FIND("/",Table2[[#This Row],[spawner_sku]])),Table28[Entity Prefab],0)),24,1,1,"Entities"))</f>
        <v>yes</v>
      </c>
      <c r="AP198" s="71">
        <v>1</v>
      </c>
      <c r="AQ198" s="71">
        <v>1</v>
      </c>
      <c r="AR198" s="71" t="b">
        <v>0</v>
      </c>
      <c r="BE198" t="s">
        <v>241</v>
      </c>
      <c r="BF198">
        <v>1</v>
      </c>
      <c r="BG198">
        <v>200</v>
      </c>
      <c r="BH198">
        <v>100</v>
      </c>
      <c r="BI198" s="74">
        <f ca="1">INDIRECT(ADDRESS(11+(MATCH(RIGHT(Table610[[#This Row],[spawner_sku]],LEN(Table610[[#This Row],[spawner_sku]])-FIND("/",Table610[[#This Row],[spawner_sku]])),Table1[Entity Prefab],0)),10,1,1,"Entities"))</f>
        <v>70</v>
      </c>
      <c r="BJ198" s="74">
        <f ca="1">ROUND((Table610[[#This Row],[XP]]*Table610[[#This Row],[entity_spawned (AVG)]])*(Table610[[#This Row],[activating_chance]]/100),0)</f>
        <v>70</v>
      </c>
      <c r="BK198" s="71" t="str">
        <f ca="1">INDIRECT(ADDRESS(11+(MATCH(RIGHT(Table610[[#This Row],[spawner_sku]],LEN(Table610[[#This Row],[spawner_sku]])-FIND("/",Table610[[#This Row],[spawner_sku]])),Table28[Entity Prefab],0)),24,1,1,"Entities"))</f>
        <v>yes</v>
      </c>
      <c r="BL198">
        <v>1</v>
      </c>
      <c r="BM198">
        <v>1</v>
      </c>
      <c r="BN198" t="b">
        <v>0</v>
      </c>
      <c r="BP198" t="s">
        <v>232</v>
      </c>
      <c r="BQ198">
        <v>6</v>
      </c>
      <c r="BR198">
        <v>160</v>
      </c>
      <c r="BS198">
        <v>100</v>
      </c>
      <c r="BT198" s="74">
        <f ca="1">INDIRECT(ADDRESS(11+(MATCH(RIGHT(Table61011[[#This Row],[spawner_sku]],LEN(Table61011[[#This Row],[spawner_sku]])-FIND("/",Table61011[[#This Row],[spawner_sku]])),Table1[Entity Prefab],0)),10,1,1,"Entities"))</f>
        <v>25</v>
      </c>
      <c r="BU198" s="74">
        <f ca="1">ROUND((Table61011[[#This Row],[XP]]*Table61011[[#This Row],[entity_spawned (AVG)]])*(Table61011[[#This Row],[activating_chance]]/100),0)</f>
        <v>150</v>
      </c>
      <c r="BV198" s="71" t="str">
        <f ca="1">INDIRECT(ADDRESS(11+(MATCH(RIGHT(Table61011[[#This Row],[spawner_sku]],LEN(Table61011[[#This Row],[spawner_sku]])-FIND("/",Table61011[[#This Row],[spawner_sku]])),Table28[Entity Prefab],0)),24,1,1,"Entities"))</f>
        <v>no</v>
      </c>
      <c r="BW198" s="71">
        <v>5</v>
      </c>
      <c r="BX198" s="71">
        <v>7</v>
      </c>
      <c r="BY198" s="71" t="b">
        <v>1</v>
      </c>
      <c r="BZ198" s="71"/>
      <c r="CA198" s="147" t="s">
        <v>3821</v>
      </c>
      <c r="CB198">
        <v>1</v>
      </c>
      <c r="CC198">
        <v>240</v>
      </c>
      <c r="CD198">
        <v>100</v>
      </c>
      <c r="CE198" s="74">
        <f ca="1">INDIRECT(ADDRESS(11+(MATCH(RIGHT(Table35[[#This Row],[spawner_sku]],LEN(Table35[[#This Row],[spawner_sku]])-FIND("/",Table35[[#This Row],[spawner_sku]])),Table1[Entity Prefab],0)),10,1,1,"Entities"))</f>
        <v>10</v>
      </c>
      <c r="CF198" s="74">
        <f ca="1">ROUND((Table35[[#This Row],[XP]]*Table35[[#This Row],[entity_spawned (AVG)]])*(Table35[[#This Row],[activating_chance]]/100),0)</f>
        <v>10</v>
      </c>
      <c r="CG198" s="144" t="str">
        <f ca="1">INDIRECT(ADDRESS(11+(MATCH(RIGHT(Table35[[#This Row],[spawner_sku]],LEN(Table35[[#This Row],[spawner_sku]])-FIND("/",Table35[[#This Row],[spawner_sku]])),Table28[Entity Prefab],0)),24,1,1,"Entities"))</f>
        <v>no</v>
      </c>
      <c r="CH198">
        <v>1</v>
      </c>
      <c r="CI198">
        <v>1</v>
      </c>
      <c r="CJ198" s="71" t="b">
        <v>0</v>
      </c>
      <c r="CL198" t="s">
        <v>225</v>
      </c>
      <c r="CM198">
        <v>1</v>
      </c>
      <c r="CN198">
        <v>2500</v>
      </c>
      <c r="CO198">
        <v>100</v>
      </c>
      <c r="CP198" s="74">
        <f ca="1">INDIRECT(ADDRESS(11+(MATCH(RIGHT(Table11[[#This Row],[spawner_sku]],LEN(Table11[[#This Row],[spawner_sku]])-FIND("/",Table11[[#This Row],[spawner_sku]])),Table1[Entity Prefab],0)),10,1,1,"Entities"))</f>
        <v>263</v>
      </c>
      <c r="CQ198">
        <f ca="1">ROUND((Table11[[#This Row],[XP]]*Table11[[#This Row],[entity_spawned (AVG)]])*(Table11[[#This Row],[activating_chance]]/100),0)</f>
        <v>263</v>
      </c>
      <c r="CR198" s="144" t="str">
        <f ca="1">INDIRECT(ADDRESS(11+(MATCH(RIGHT(Table11[[#This Row],[spawner_sku]],LEN(Table11[[#This Row],[spawner_sku]])-FIND("/",Table11[[#This Row],[spawner_sku]])),Table28[Entity Prefab],0)),25,1,1,"Entities"))</f>
        <v>yes</v>
      </c>
      <c r="CS198" s="71">
        <v>1</v>
      </c>
      <c r="CT198" s="71">
        <v>1</v>
      </c>
      <c r="CU198" s="71" t="b">
        <v>0</v>
      </c>
      <c r="CW198" t="s">
        <v>3812</v>
      </c>
      <c r="CX198">
        <v>1</v>
      </c>
      <c r="CY198">
        <v>220</v>
      </c>
      <c r="CZ198">
        <v>100</v>
      </c>
      <c r="DA198" s="74">
        <f ca="1">INDIRECT(ADDRESS(11+(MATCH(RIGHT(Table12[[#This Row],[spawner_sku]],LEN(Table12[[#This Row],[spawner_sku]])-FIND("/",Table12[[#This Row],[spawner_sku]])),Table1[Entity Prefab],0)),10,1,1,"Entities"))</f>
        <v>0</v>
      </c>
      <c r="DB198" s="74">
        <f ca="1">ROUND((Table12[[#This Row],[XP]]*Table12[[#This Row],[entity_spawned (AVG)]])*(Table12[[#This Row],[activating_chance]]/100),0)</f>
        <v>0</v>
      </c>
      <c r="DC198" s="144" t="str">
        <f ca="1">INDIRECT(ADDRESS(11+(MATCH(RIGHT(Table12[[#This Row],[spawner_sku]],LEN(Table12[[#This Row],[spawner_sku]])-FIND("/",Table12[[#This Row],[spawner_sku]])),Table28[Entity Prefab],0)),25,1,1,"Entities"))</f>
        <v>no</v>
      </c>
      <c r="DD198" s="71">
        <v>1</v>
      </c>
      <c r="DE198" s="71">
        <v>1</v>
      </c>
      <c r="DF198" s="71" t="b">
        <v>0</v>
      </c>
      <c r="DH198" t="s">
        <v>242</v>
      </c>
      <c r="DI198">
        <v>2.5</v>
      </c>
      <c r="DJ198">
        <v>110</v>
      </c>
      <c r="DK198">
        <v>100</v>
      </c>
      <c r="DL198" s="74">
        <f ca="1">INDIRECT(ADDRESS(11+(MATCH(RIGHT(Table13[[#This Row],[spawner_sku]],LEN(Table13[[#This Row],[spawner_sku]])-FIND("/",Table13[[#This Row],[spawner_sku]])),Table1[Entity Prefab],0)),10,1,1,"Entities"))</f>
        <v>25</v>
      </c>
      <c r="DM198" s="74">
        <f ca="1">ROUND((Table13[[#This Row],[XP]]*Table13[[#This Row],[entity_spawned (AVG)]])*(Table13[[#This Row],[activating_chance]]/100),0)</f>
        <v>63</v>
      </c>
      <c r="DN198" s="144" t="str">
        <f ca="1">INDIRECT(ADDRESS(11+(MATCH(RIGHT(Table13[[#This Row],[spawner_sku]],LEN(Table13[[#This Row],[spawner_sku]])-FIND("/",Table13[[#This Row],[spawner_sku]])),Table28[Entity Prefab],0)),25,1,1,"Entities"))</f>
        <v>no</v>
      </c>
      <c r="DO198" s="71">
        <v>2</v>
      </c>
      <c r="DP198" s="71">
        <v>3</v>
      </c>
      <c r="DQ198" s="71" t="b">
        <v>0</v>
      </c>
      <c r="DS198" t="s">
        <v>225</v>
      </c>
      <c r="DT198">
        <v>1</v>
      </c>
      <c r="DU198">
        <v>2500</v>
      </c>
      <c r="DV198">
        <v>100</v>
      </c>
      <c r="DW198" s="74">
        <f ca="1">INDIRECT(ADDRESS(11+(MATCH(RIGHT(Table14[[#This Row],[spawner_sku]],LEN(Table14[[#This Row],[spawner_sku]])-FIND("/",Table14[[#This Row],[spawner_sku]])),Table1[Entity Prefab],0)),10,1,1,"Entities"))</f>
        <v>263</v>
      </c>
      <c r="DX198" s="74">
        <f ca="1">ROUND((Table14[[#This Row],[XP]]*Table14[[#This Row],[entity_spawned (AVG)]])*(Table14[[#This Row],[activating_chance]]/100),0)</f>
        <v>263</v>
      </c>
      <c r="DY198" s="144" t="str">
        <f ca="1">INDIRECT(ADDRESS(11+(MATCH(RIGHT(Table14[[#This Row],[spawner_sku]],LEN(Table14[[#This Row],[spawner_sku]])-FIND("/",Table14[[#This Row],[spawner_sku]])),Table28[Entity Prefab],0)),25,1,1,"Entities"))</f>
        <v>yes</v>
      </c>
      <c r="DZ198" s="71">
        <v>1</v>
      </c>
      <c r="EA198" s="71">
        <v>1</v>
      </c>
      <c r="EB198" s="71" t="b">
        <v>0</v>
      </c>
      <c r="EC198" s="71"/>
      <c r="EO198" t="s">
        <v>570</v>
      </c>
      <c r="EP198">
        <v>2</v>
      </c>
      <c r="EQ198">
        <v>120</v>
      </c>
      <c r="ER198">
        <v>80</v>
      </c>
      <c r="ES198" s="74">
        <f ca="1">INDIRECT(ADDRESS(11+(MATCH(RIGHT(Table18[[#This Row],[spawner_sku]],LEN(Table18[[#This Row],[spawner_sku]])-FIND("/",Table18[[#This Row],[spawner_sku]])),Table1[Entity Prefab],0)),10,1,1,"Entities"))</f>
        <v>50</v>
      </c>
      <c r="ET198" s="74">
        <f ca="1">ROUND((Table18[[#This Row],[XP]]*Table18[[#This Row],[entity_spawned (AVG)]])*(Table18[[#This Row],[activating_chance]]/100),0)</f>
        <v>80</v>
      </c>
      <c r="EU198" s="74" t="str">
        <f ca="1">INDIRECT(ADDRESS(11+(MATCH(RIGHT(Table18[[#This Row],[spawner_sku]],LEN(Table18[[#This Row],[spawner_sku]])-FIND("/",Table18[[#This Row],[spawner_sku]])),Table28[Entity Prefab],0)),26,1,1,"Entities"))</f>
        <v>no</v>
      </c>
      <c r="EV198">
        <v>1</v>
      </c>
      <c r="EW198">
        <v>3</v>
      </c>
      <c r="EX198" t="b">
        <v>0</v>
      </c>
      <c r="EZ198" t="s">
        <v>465</v>
      </c>
      <c r="FA198">
        <v>1</v>
      </c>
      <c r="FB198">
        <v>100</v>
      </c>
      <c r="FC198">
        <v>100</v>
      </c>
      <c r="FD198" s="74">
        <f ca="1">INDIRECT(ADDRESS(11+(MATCH(RIGHT(Table1820[[#This Row],[spawner_sku]],LEN(Table1820[[#This Row],[spawner_sku]])-FIND("/",Table1820[[#This Row],[spawner_sku]])),Table1[Entity Prefab],0)),10,1,1,"Entities"))</f>
        <v>25</v>
      </c>
      <c r="FE198" s="74">
        <f ca="1">ROUND((Table1820[[#This Row],[XP]]*Table1820[[#This Row],[entity_spawned (AVG)]])*(Table1820[[#This Row],[activating_chance]]/100),0)</f>
        <v>25</v>
      </c>
      <c r="FF198" s="74" t="str">
        <f ca="1">INDIRECT(ADDRESS(11+(MATCH(RIGHT(Table1820[[#This Row],[spawner_sku]],LEN(Table1820[[#This Row],[spawner_sku]])-FIND("/",Table1820[[#This Row],[spawner_sku]])),Table28[Entity Prefab],0)),26,1,1,"Entities"))</f>
        <v>no</v>
      </c>
      <c r="FG198">
        <v>1</v>
      </c>
      <c r="FH198">
        <v>1</v>
      </c>
      <c r="FI198" t="b">
        <v>0</v>
      </c>
      <c r="FV198" t="s">
        <v>2707</v>
      </c>
      <c r="FW198">
        <v>13</v>
      </c>
      <c r="FX198">
        <v>80</v>
      </c>
      <c r="FY198">
        <v>100</v>
      </c>
      <c r="FZ198" s="74">
        <f ca="1">INDIRECT(ADDRESS(11+(MATCH(RIGHT(Table18202324[[#This Row],[spawner_sku]],LEN(Table18202324[[#This Row],[spawner_sku]])-FIND("/",Table18202324[[#This Row],[spawner_sku]])),Table1[Entity Prefab],0)),10,1,1,"Entities"))</f>
        <v>50</v>
      </c>
      <c r="GA198" s="74">
        <f ca="1">ROUND((Table18202324[[#This Row],[XP]]*Table18202324[[#This Row],[entity_spawned (AVG)]])*(Table18202324[[#This Row],[activating_chance]]/100),0)</f>
        <v>650</v>
      </c>
      <c r="GB198" s="74" t="str">
        <f ca="1">INDIRECT(ADDRESS(11+(MATCH(RIGHT(Table18202324[[#This Row],[spawner_sku]],LEN(Table18202324[[#This Row],[spawner_sku]])-FIND("/",Table18202324[[#This Row],[spawner_sku]])),Table28[Entity Prefab],0)),26,1,1,"Entities"))</f>
        <v>no</v>
      </c>
      <c r="GC198">
        <v>12</v>
      </c>
      <c r="GD198">
        <v>14</v>
      </c>
      <c r="GE198" t="b">
        <v>1</v>
      </c>
    </row>
    <row r="199" spans="2:187" x14ac:dyDescent="0.25">
      <c r="B199" s="72" t="s">
        <v>218</v>
      </c>
      <c r="C199">
        <v>1</v>
      </c>
      <c r="D199">
        <v>5000</v>
      </c>
      <c r="E199">
        <v>45</v>
      </c>
      <c r="F199" s="74">
        <f ca="1">INDIRECT(ADDRESS(11+(MATCH(RIGHT(Table245[[#This Row],[spawner_sku]],LEN(Table245[[#This Row],[spawner_sku]])-FIND("/",Table245[[#This Row],[spawner_sku]])),Table1[Entity Prefab],0)),10,1,1,"Entities"))</f>
        <v>75</v>
      </c>
      <c r="G199" s="74">
        <f ca="1">ROUND((Table245[[#This Row],[XP]]*Table245[[#This Row],[entity_spawned (AVG)]])*(Table245[[#This Row],[activating_chance]]/100),0)</f>
        <v>34</v>
      </c>
      <c r="H199" s="71" t="str">
        <f ca="1">INDIRECT(ADDRESS(11+(MATCH(RIGHT(Table245[[#This Row],[spawner_sku]],LEN(Table245[[#This Row],[spawner_sku]])-FIND("/",Table245[[#This Row],[spawner_sku]])),Table28[Entity Prefab],0)),24,1,1,"Entities"))</f>
        <v>no</v>
      </c>
      <c r="I199" s="71">
        <v>1</v>
      </c>
      <c r="J199" s="71">
        <v>1</v>
      </c>
      <c r="K199" s="71" t="b">
        <v>0</v>
      </c>
      <c r="M199" t="s">
        <v>366</v>
      </c>
      <c r="N199">
        <v>3</v>
      </c>
      <c r="O199">
        <v>100</v>
      </c>
      <c r="P199">
        <v>100</v>
      </c>
      <c r="Q199" s="74">
        <f ca="1">INDIRECT(ADDRESS(11+(MATCH(RIGHT(Table3[[#This Row],[spawner_sku]],LEN(Table3[[#This Row],[spawner_sku]])-FIND("/",Table3[[#This Row],[spawner_sku]])),Table1[Entity Prefab],0)),10,1,1,"Entities"))</f>
        <v>25</v>
      </c>
      <c r="R199" s="74">
        <f ca="1">ROUND((Table3[[#This Row],[XP]]*Table3[[#This Row],[entity_spawned (AVG)]])*(Table3[[#This Row],[activating_chance]]/100),0)</f>
        <v>75</v>
      </c>
      <c r="S199" t="str">
        <f ca="1">INDIRECT(ADDRESS(11+(MATCH(RIGHT(Table3[[#This Row],[spawner_sku]],LEN(Table3[[#This Row],[spawner_sku]])-FIND("/",Table3[[#This Row],[spawner_sku]])),Table28[Entity Prefab],0)),24,1,1,"Entities"))</f>
        <v>no</v>
      </c>
      <c r="T199">
        <v>3</v>
      </c>
      <c r="U199">
        <v>3</v>
      </c>
      <c r="V199" t="b">
        <v>0</v>
      </c>
      <c r="AI199" t="s">
        <v>230</v>
      </c>
      <c r="AJ199">
        <v>1</v>
      </c>
      <c r="AK199">
        <v>200</v>
      </c>
      <c r="AL199">
        <v>100</v>
      </c>
      <c r="AM199" s="74">
        <f ca="1">INDIRECT(ADDRESS(11+(MATCH(RIGHT(Table2[[#This Row],[spawner_sku]],LEN(Table2[[#This Row],[spawner_sku]])-FIND("/",Table2[[#This Row],[spawner_sku]])),Table1[Entity Prefab],0)),10,1,1,"Entities"))</f>
        <v>28</v>
      </c>
      <c r="AN199" s="74">
        <f ca="1">ROUND((Table2[[#This Row],[XP]]*Table2[[#This Row],[entity_spawned (AVG)]])*(Table2[[#This Row],[activating_chance]]/100),0)</f>
        <v>28</v>
      </c>
      <c r="AO199" s="71" t="str">
        <f ca="1">INDIRECT(ADDRESS(11+(MATCH(RIGHT(Table2[[#This Row],[spawner_sku]],LEN(Table2[[#This Row],[spawner_sku]])-FIND("/",Table2[[#This Row],[spawner_sku]])),Table28[Entity Prefab],0)),24,1,1,"Entities"))</f>
        <v>no</v>
      </c>
      <c r="AP199" s="71">
        <v>1</v>
      </c>
      <c r="AQ199" s="71">
        <v>1</v>
      </c>
      <c r="AR199" s="71" t="b">
        <v>0</v>
      </c>
      <c r="BE199" t="s">
        <v>241</v>
      </c>
      <c r="BF199">
        <v>1</v>
      </c>
      <c r="BG199">
        <v>170</v>
      </c>
      <c r="BH199">
        <v>100</v>
      </c>
      <c r="BI199" s="74">
        <f ca="1">INDIRECT(ADDRESS(11+(MATCH(RIGHT(Table610[[#This Row],[spawner_sku]],LEN(Table610[[#This Row],[spawner_sku]])-FIND("/",Table610[[#This Row],[spawner_sku]])),Table1[Entity Prefab],0)),10,1,1,"Entities"))</f>
        <v>70</v>
      </c>
      <c r="BJ199" s="74">
        <f ca="1">ROUND((Table610[[#This Row],[XP]]*Table610[[#This Row],[entity_spawned (AVG)]])*(Table610[[#This Row],[activating_chance]]/100),0)</f>
        <v>70</v>
      </c>
      <c r="BK199" s="71" t="str">
        <f ca="1">INDIRECT(ADDRESS(11+(MATCH(RIGHT(Table610[[#This Row],[spawner_sku]],LEN(Table610[[#This Row],[spawner_sku]])-FIND("/",Table610[[#This Row],[spawner_sku]])),Table28[Entity Prefab],0)),24,1,1,"Entities"))</f>
        <v>yes</v>
      </c>
      <c r="BL199">
        <v>1</v>
      </c>
      <c r="BM199">
        <v>1</v>
      </c>
      <c r="BN199" t="b">
        <v>0</v>
      </c>
      <c r="BP199" t="s">
        <v>232</v>
      </c>
      <c r="BQ199">
        <v>6.5</v>
      </c>
      <c r="BR199">
        <v>200</v>
      </c>
      <c r="BS199">
        <v>100</v>
      </c>
      <c r="BT199" s="74">
        <f ca="1">INDIRECT(ADDRESS(11+(MATCH(RIGHT(Table61011[[#This Row],[spawner_sku]],LEN(Table61011[[#This Row],[spawner_sku]])-FIND("/",Table61011[[#This Row],[spawner_sku]])),Table1[Entity Prefab],0)),10,1,1,"Entities"))</f>
        <v>25</v>
      </c>
      <c r="BU199" s="74">
        <f ca="1">ROUND((Table61011[[#This Row],[XP]]*Table61011[[#This Row],[entity_spawned (AVG)]])*(Table61011[[#This Row],[activating_chance]]/100),0)</f>
        <v>163</v>
      </c>
      <c r="BV199" s="71" t="str">
        <f ca="1">INDIRECT(ADDRESS(11+(MATCH(RIGHT(Table61011[[#This Row],[spawner_sku]],LEN(Table61011[[#This Row],[spawner_sku]])-FIND("/",Table61011[[#This Row],[spawner_sku]])),Table28[Entity Prefab],0)),24,1,1,"Entities"))</f>
        <v>no</v>
      </c>
      <c r="BW199" s="71">
        <v>5</v>
      </c>
      <c r="BX199" s="71">
        <v>8</v>
      </c>
      <c r="BY199" s="71" t="b">
        <v>1</v>
      </c>
      <c r="BZ199" s="71"/>
      <c r="CA199" s="147" t="s">
        <v>3821</v>
      </c>
      <c r="CB199">
        <v>1</v>
      </c>
      <c r="CC199">
        <v>240</v>
      </c>
      <c r="CD199">
        <v>100</v>
      </c>
      <c r="CE199" s="74">
        <f ca="1">INDIRECT(ADDRESS(11+(MATCH(RIGHT(Table35[[#This Row],[spawner_sku]],LEN(Table35[[#This Row],[spawner_sku]])-FIND("/",Table35[[#This Row],[spawner_sku]])),Table1[Entity Prefab],0)),10,1,1,"Entities"))</f>
        <v>10</v>
      </c>
      <c r="CF199" s="74">
        <f ca="1">ROUND((Table35[[#This Row],[XP]]*Table35[[#This Row],[entity_spawned (AVG)]])*(Table35[[#This Row],[activating_chance]]/100),0)</f>
        <v>10</v>
      </c>
      <c r="CG199" s="144" t="str">
        <f ca="1">INDIRECT(ADDRESS(11+(MATCH(RIGHT(Table35[[#This Row],[spawner_sku]],LEN(Table35[[#This Row],[spawner_sku]])-FIND("/",Table35[[#This Row],[spawner_sku]])),Table28[Entity Prefab],0)),24,1,1,"Entities"))</f>
        <v>no</v>
      </c>
      <c r="CH199">
        <v>1</v>
      </c>
      <c r="CI199">
        <v>1</v>
      </c>
      <c r="CJ199" s="71" t="b">
        <v>0</v>
      </c>
      <c r="CL199" t="s">
        <v>225</v>
      </c>
      <c r="CM199">
        <v>1</v>
      </c>
      <c r="CN199">
        <v>2500</v>
      </c>
      <c r="CO199">
        <v>100</v>
      </c>
      <c r="CP199" s="74">
        <f ca="1">INDIRECT(ADDRESS(11+(MATCH(RIGHT(Table11[[#This Row],[spawner_sku]],LEN(Table11[[#This Row],[spawner_sku]])-FIND("/",Table11[[#This Row],[spawner_sku]])),Table1[Entity Prefab],0)),10,1,1,"Entities"))</f>
        <v>263</v>
      </c>
      <c r="CQ199">
        <f ca="1">ROUND((Table11[[#This Row],[XP]]*Table11[[#This Row],[entity_spawned (AVG)]])*(Table11[[#This Row],[activating_chance]]/100),0)</f>
        <v>263</v>
      </c>
      <c r="CR199" s="144" t="str">
        <f ca="1">INDIRECT(ADDRESS(11+(MATCH(RIGHT(Table11[[#This Row],[spawner_sku]],LEN(Table11[[#This Row],[spawner_sku]])-FIND("/",Table11[[#This Row],[spawner_sku]])),Table28[Entity Prefab],0)),25,1,1,"Entities"))</f>
        <v>yes</v>
      </c>
      <c r="CS199" s="71">
        <v>1</v>
      </c>
      <c r="CT199" s="71">
        <v>1</v>
      </c>
      <c r="CU199" s="71" t="b">
        <v>0</v>
      </c>
      <c r="CW199" t="s">
        <v>3812</v>
      </c>
      <c r="CX199">
        <v>1</v>
      </c>
      <c r="CY199">
        <v>220</v>
      </c>
      <c r="CZ199">
        <v>100</v>
      </c>
      <c r="DA199" s="74">
        <f ca="1">INDIRECT(ADDRESS(11+(MATCH(RIGHT(Table12[[#This Row],[spawner_sku]],LEN(Table12[[#This Row],[spawner_sku]])-FIND("/",Table12[[#This Row],[spawner_sku]])),Table1[Entity Prefab],0)),10,1,1,"Entities"))</f>
        <v>0</v>
      </c>
      <c r="DB199" s="74">
        <f ca="1">ROUND((Table12[[#This Row],[XP]]*Table12[[#This Row],[entity_spawned (AVG)]])*(Table12[[#This Row],[activating_chance]]/100),0)</f>
        <v>0</v>
      </c>
      <c r="DC199" s="144" t="str">
        <f ca="1">INDIRECT(ADDRESS(11+(MATCH(RIGHT(Table12[[#This Row],[spawner_sku]],LEN(Table12[[#This Row],[spawner_sku]])-FIND("/",Table12[[#This Row],[spawner_sku]])),Table28[Entity Prefab],0)),25,1,1,"Entities"))</f>
        <v>no</v>
      </c>
      <c r="DD199" s="71">
        <v>1</v>
      </c>
      <c r="DE199" s="71">
        <v>1</v>
      </c>
      <c r="DF199" s="71" t="b">
        <v>0</v>
      </c>
      <c r="DH199" t="s">
        <v>242</v>
      </c>
      <c r="DI199">
        <v>2.5</v>
      </c>
      <c r="DJ199">
        <v>150</v>
      </c>
      <c r="DK199">
        <v>80</v>
      </c>
      <c r="DL199" s="74">
        <f ca="1">INDIRECT(ADDRESS(11+(MATCH(RIGHT(Table13[[#This Row],[spawner_sku]],LEN(Table13[[#This Row],[spawner_sku]])-FIND("/",Table13[[#This Row],[spawner_sku]])),Table1[Entity Prefab],0)),10,1,1,"Entities"))</f>
        <v>25</v>
      </c>
      <c r="DM199" s="74">
        <f ca="1">ROUND((Table13[[#This Row],[XP]]*Table13[[#This Row],[entity_spawned (AVG)]])*(Table13[[#This Row],[activating_chance]]/100),0)</f>
        <v>50</v>
      </c>
      <c r="DN199" s="144" t="str">
        <f ca="1">INDIRECT(ADDRESS(11+(MATCH(RIGHT(Table13[[#This Row],[spawner_sku]],LEN(Table13[[#This Row],[spawner_sku]])-FIND("/",Table13[[#This Row],[spawner_sku]])),Table28[Entity Prefab],0)),25,1,1,"Entities"))</f>
        <v>no</v>
      </c>
      <c r="DO199" s="71">
        <v>2</v>
      </c>
      <c r="DP199" s="71">
        <v>3</v>
      </c>
      <c r="DQ199" s="71" t="b">
        <v>0</v>
      </c>
      <c r="DS199" t="s">
        <v>227</v>
      </c>
      <c r="DT199">
        <v>1</v>
      </c>
      <c r="DU199">
        <v>2000</v>
      </c>
      <c r="DV199">
        <v>100</v>
      </c>
      <c r="DW199" s="74">
        <f ca="1">INDIRECT(ADDRESS(11+(MATCH(RIGHT(Table14[[#This Row],[spawner_sku]],LEN(Table14[[#This Row],[spawner_sku]])-FIND("/",Table14[[#This Row],[spawner_sku]])),Table1[Entity Prefab],0)),10,1,1,"Entities"))</f>
        <v>175</v>
      </c>
      <c r="DX199" s="74">
        <f ca="1">ROUND((Table14[[#This Row],[XP]]*Table14[[#This Row],[entity_spawned (AVG)]])*(Table14[[#This Row],[activating_chance]]/100),0)</f>
        <v>175</v>
      </c>
      <c r="DY199" s="144" t="str">
        <f ca="1">INDIRECT(ADDRESS(11+(MATCH(RIGHT(Table14[[#This Row],[spawner_sku]],LEN(Table14[[#This Row],[spawner_sku]])-FIND("/",Table14[[#This Row],[spawner_sku]])),Table28[Entity Prefab],0)),25,1,1,"Entities"))</f>
        <v>yes</v>
      </c>
      <c r="DZ199" s="71">
        <v>1</v>
      </c>
      <c r="EA199" s="71">
        <v>1</v>
      </c>
      <c r="EB199" s="71" t="b">
        <v>0</v>
      </c>
      <c r="EC199" s="71"/>
      <c r="EO199" t="s">
        <v>570</v>
      </c>
      <c r="EP199">
        <v>1.5</v>
      </c>
      <c r="EQ199">
        <v>120</v>
      </c>
      <c r="ER199">
        <v>80</v>
      </c>
      <c r="ES199" s="74">
        <f ca="1">INDIRECT(ADDRESS(11+(MATCH(RIGHT(Table18[[#This Row],[spawner_sku]],LEN(Table18[[#This Row],[spawner_sku]])-FIND("/",Table18[[#This Row],[spawner_sku]])),Table1[Entity Prefab],0)),10,1,1,"Entities"))</f>
        <v>50</v>
      </c>
      <c r="ET199" s="74">
        <f ca="1">ROUND((Table18[[#This Row],[XP]]*Table18[[#This Row],[entity_spawned (AVG)]])*(Table18[[#This Row],[activating_chance]]/100),0)</f>
        <v>60</v>
      </c>
      <c r="EU199" s="74" t="str">
        <f ca="1">INDIRECT(ADDRESS(11+(MATCH(RIGHT(Table18[[#This Row],[spawner_sku]],LEN(Table18[[#This Row],[spawner_sku]])-FIND("/",Table18[[#This Row],[spawner_sku]])),Table28[Entity Prefab],0)),26,1,1,"Entities"))</f>
        <v>no</v>
      </c>
      <c r="EV199">
        <v>1</v>
      </c>
      <c r="EW199">
        <v>2</v>
      </c>
      <c r="EX199" t="b">
        <v>0</v>
      </c>
      <c r="EZ199" t="s">
        <v>465</v>
      </c>
      <c r="FA199">
        <v>1</v>
      </c>
      <c r="FB199">
        <v>100</v>
      </c>
      <c r="FC199">
        <v>30</v>
      </c>
      <c r="FD199" s="74">
        <f ca="1">INDIRECT(ADDRESS(11+(MATCH(RIGHT(Table1820[[#This Row],[spawner_sku]],LEN(Table1820[[#This Row],[spawner_sku]])-FIND("/",Table1820[[#This Row],[spawner_sku]])),Table1[Entity Prefab],0)),10,1,1,"Entities"))</f>
        <v>25</v>
      </c>
      <c r="FE199" s="74">
        <f ca="1">ROUND((Table1820[[#This Row],[XP]]*Table1820[[#This Row],[entity_spawned (AVG)]])*(Table1820[[#This Row],[activating_chance]]/100),0)</f>
        <v>8</v>
      </c>
      <c r="FF199" s="74" t="str">
        <f ca="1">INDIRECT(ADDRESS(11+(MATCH(RIGHT(Table1820[[#This Row],[spawner_sku]],LEN(Table1820[[#This Row],[spawner_sku]])-FIND("/",Table1820[[#This Row],[spawner_sku]])),Table28[Entity Prefab],0)),26,1,1,"Entities"))</f>
        <v>no</v>
      </c>
      <c r="FG199">
        <v>1</v>
      </c>
      <c r="FH199">
        <v>1</v>
      </c>
      <c r="FI199" t="b">
        <v>0</v>
      </c>
      <c r="FV199" t="s">
        <v>2707</v>
      </c>
      <c r="FW199">
        <v>3.5</v>
      </c>
      <c r="FX199">
        <v>90</v>
      </c>
      <c r="FY199">
        <v>100</v>
      </c>
      <c r="FZ199" s="74">
        <f ca="1">INDIRECT(ADDRESS(11+(MATCH(RIGHT(Table18202324[[#This Row],[spawner_sku]],LEN(Table18202324[[#This Row],[spawner_sku]])-FIND("/",Table18202324[[#This Row],[spawner_sku]])),Table1[Entity Prefab],0)),10,1,1,"Entities"))</f>
        <v>50</v>
      </c>
      <c r="GA199" s="74">
        <f ca="1">ROUND((Table18202324[[#This Row],[XP]]*Table18202324[[#This Row],[entity_spawned (AVG)]])*(Table18202324[[#This Row],[activating_chance]]/100),0)</f>
        <v>175</v>
      </c>
      <c r="GB199" s="74" t="str">
        <f ca="1">INDIRECT(ADDRESS(11+(MATCH(RIGHT(Table18202324[[#This Row],[spawner_sku]],LEN(Table18202324[[#This Row],[spawner_sku]])-FIND("/",Table18202324[[#This Row],[spawner_sku]])),Table28[Entity Prefab],0)),26,1,1,"Entities"))</f>
        <v>no</v>
      </c>
      <c r="GC199">
        <v>3</v>
      </c>
      <c r="GD199">
        <v>4</v>
      </c>
      <c r="GE199" t="b">
        <v>0</v>
      </c>
    </row>
    <row r="200" spans="2:187" x14ac:dyDescent="0.25">
      <c r="B200" s="72" t="s">
        <v>218</v>
      </c>
      <c r="C200">
        <v>1</v>
      </c>
      <c r="D200">
        <v>5000</v>
      </c>
      <c r="E200">
        <v>30</v>
      </c>
      <c r="F200" s="74">
        <f ca="1">INDIRECT(ADDRESS(11+(MATCH(RIGHT(Table245[[#This Row],[spawner_sku]],LEN(Table245[[#This Row],[spawner_sku]])-FIND("/",Table245[[#This Row],[spawner_sku]])),Table1[Entity Prefab],0)),10,1,1,"Entities"))</f>
        <v>75</v>
      </c>
      <c r="G200" s="74">
        <f ca="1">ROUND((Table245[[#This Row],[XP]]*Table245[[#This Row],[entity_spawned (AVG)]])*(Table245[[#This Row],[activating_chance]]/100),0)</f>
        <v>23</v>
      </c>
      <c r="H200" s="71" t="str">
        <f ca="1">INDIRECT(ADDRESS(11+(MATCH(RIGHT(Table245[[#This Row],[spawner_sku]],LEN(Table245[[#This Row],[spawner_sku]])-FIND("/",Table245[[#This Row],[spawner_sku]])),Table28[Entity Prefab],0)),24,1,1,"Entities"))</f>
        <v>no</v>
      </c>
      <c r="I200" s="71">
        <v>1</v>
      </c>
      <c r="J200" s="71">
        <v>1</v>
      </c>
      <c r="K200" s="71" t="b">
        <v>0</v>
      </c>
      <c r="M200" t="s">
        <v>366</v>
      </c>
      <c r="N200">
        <v>3</v>
      </c>
      <c r="O200">
        <v>100</v>
      </c>
      <c r="P200">
        <v>100</v>
      </c>
      <c r="Q200" s="74">
        <f ca="1">INDIRECT(ADDRESS(11+(MATCH(RIGHT(Table3[[#This Row],[spawner_sku]],LEN(Table3[[#This Row],[spawner_sku]])-FIND("/",Table3[[#This Row],[spawner_sku]])),Table1[Entity Prefab],0)),10,1,1,"Entities"))</f>
        <v>25</v>
      </c>
      <c r="R200" s="74">
        <f ca="1">ROUND((Table3[[#This Row],[XP]]*Table3[[#This Row],[entity_spawned (AVG)]])*(Table3[[#This Row],[activating_chance]]/100),0)</f>
        <v>75</v>
      </c>
      <c r="S200" t="str">
        <f ca="1">INDIRECT(ADDRESS(11+(MATCH(RIGHT(Table3[[#This Row],[spawner_sku]],LEN(Table3[[#This Row],[spawner_sku]])-FIND("/",Table3[[#This Row],[spawner_sku]])),Table28[Entity Prefab],0)),24,1,1,"Entities"))</f>
        <v>no</v>
      </c>
      <c r="T200">
        <v>3</v>
      </c>
      <c r="U200">
        <v>3</v>
      </c>
      <c r="V200" t="b">
        <v>0</v>
      </c>
      <c r="AI200" t="s">
        <v>230</v>
      </c>
      <c r="AJ200">
        <v>1</v>
      </c>
      <c r="AK200">
        <v>200</v>
      </c>
      <c r="AL200">
        <v>100</v>
      </c>
      <c r="AM200" s="74">
        <f ca="1">INDIRECT(ADDRESS(11+(MATCH(RIGHT(Table2[[#This Row],[spawner_sku]],LEN(Table2[[#This Row],[spawner_sku]])-FIND("/",Table2[[#This Row],[spawner_sku]])),Table1[Entity Prefab],0)),10,1,1,"Entities"))</f>
        <v>28</v>
      </c>
      <c r="AN200" s="74">
        <f ca="1">ROUND((Table2[[#This Row],[XP]]*Table2[[#This Row],[entity_spawned (AVG)]])*(Table2[[#This Row],[activating_chance]]/100),0)</f>
        <v>28</v>
      </c>
      <c r="AO200" s="71" t="str">
        <f ca="1">INDIRECT(ADDRESS(11+(MATCH(RIGHT(Table2[[#This Row],[spawner_sku]],LEN(Table2[[#This Row],[spawner_sku]])-FIND("/",Table2[[#This Row],[spawner_sku]])),Table28[Entity Prefab],0)),24,1,1,"Entities"))</f>
        <v>no</v>
      </c>
      <c r="AP200" s="71">
        <v>1</v>
      </c>
      <c r="AQ200" s="71">
        <v>1</v>
      </c>
      <c r="AR200" s="71" t="b">
        <v>0</v>
      </c>
      <c r="BE200" t="s">
        <v>241</v>
      </c>
      <c r="BF200">
        <v>1</v>
      </c>
      <c r="BG200">
        <v>170</v>
      </c>
      <c r="BH200">
        <v>100</v>
      </c>
      <c r="BI200" s="74">
        <f ca="1">INDIRECT(ADDRESS(11+(MATCH(RIGHT(Table610[[#This Row],[spawner_sku]],LEN(Table610[[#This Row],[spawner_sku]])-FIND("/",Table610[[#This Row],[spawner_sku]])),Table1[Entity Prefab],0)),10,1,1,"Entities"))</f>
        <v>70</v>
      </c>
      <c r="BJ200" s="74">
        <f ca="1">ROUND((Table610[[#This Row],[XP]]*Table610[[#This Row],[entity_spawned (AVG)]])*(Table610[[#This Row],[activating_chance]]/100),0)</f>
        <v>70</v>
      </c>
      <c r="BK200" s="71" t="str">
        <f ca="1">INDIRECT(ADDRESS(11+(MATCH(RIGHT(Table610[[#This Row],[spawner_sku]],LEN(Table610[[#This Row],[spawner_sku]])-FIND("/",Table610[[#This Row],[spawner_sku]])),Table28[Entity Prefab],0)),24,1,1,"Entities"))</f>
        <v>yes</v>
      </c>
      <c r="BL200">
        <v>1</v>
      </c>
      <c r="BM200">
        <v>1</v>
      </c>
      <c r="BN200" t="b">
        <v>0</v>
      </c>
      <c r="BP200" t="s">
        <v>232</v>
      </c>
      <c r="BQ200">
        <v>5</v>
      </c>
      <c r="BR200">
        <v>200</v>
      </c>
      <c r="BS200">
        <v>100</v>
      </c>
      <c r="BT200" s="74">
        <f ca="1">INDIRECT(ADDRESS(11+(MATCH(RIGHT(Table61011[[#This Row],[spawner_sku]],LEN(Table61011[[#This Row],[spawner_sku]])-FIND("/",Table61011[[#This Row],[spawner_sku]])),Table1[Entity Prefab],0)),10,1,1,"Entities"))</f>
        <v>25</v>
      </c>
      <c r="BU200" s="74">
        <f ca="1">ROUND((Table61011[[#This Row],[XP]]*Table61011[[#This Row],[entity_spawned (AVG)]])*(Table61011[[#This Row],[activating_chance]]/100),0)</f>
        <v>125</v>
      </c>
      <c r="BV200" s="71" t="str">
        <f ca="1">INDIRECT(ADDRESS(11+(MATCH(RIGHT(Table61011[[#This Row],[spawner_sku]],LEN(Table61011[[#This Row],[spawner_sku]])-FIND("/",Table61011[[#This Row],[spawner_sku]])),Table28[Entity Prefab],0)),24,1,1,"Entities"))</f>
        <v>no</v>
      </c>
      <c r="BW200" s="71">
        <v>5</v>
      </c>
      <c r="BX200" s="71">
        <v>5</v>
      </c>
      <c r="BY200" s="71" t="b">
        <v>1</v>
      </c>
      <c r="BZ200" s="71"/>
      <c r="CA200" s="147" t="s">
        <v>3821</v>
      </c>
      <c r="CB200">
        <v>1</v>
      </c>
      <c r="CC200">
        <v>240</v>
      </c>
      <c r="CD200">
        <v>100</v>
      </c>
      <c r="CE200" s="74">
        <f ca="1">INDIRECT(ADDRESS(11+(MATCH(RIGHT(Table35[[#This Row],[spawner_sku]],LEN(Table35[[#This Row],[spawner_sku]])-FIND("/",Table35[[#This Row],[spawner_sku]])),Table1[Entity Prefab],0)),10,1,1,"Entities"))</f>
        <v>10</v>
      </c>
      <c r="CF200" s="74">
        <f ca="1">ROUND((Table35[[#This Row],[XP]]*Table35[[#This Row],[entity_spawned (AVG)]])*(Table35[[#This Row],[activating_chance]]/100),0)</f>
        <v>10</v>
      </c>
      <c r="CG200" s="144" t="str">
        <f ca="1">INDIRECT(ADDRESS(11+(MATCH(RIGHT(Table35[[#This Row],[spawner_sku]],LEN(Table35[[#This Row],[spawner_sku]])-FIND("/",Table35[[#This Row],[spawner_sku]])),Table28[Entity Prefab],0)),24,1,1,"Entities"))</f>
        <v>no</v>
      </c>
      <c r="CH200">
        <v>1</v>
      </c>
      <c r="CI200">
        <v>1</v>
      </c>
      <c r="CJ200" s="71" t="b">
        <v>0</v>
      </c>
      <c r="CL200" t="s">
        <v>226</v>
      </c>
      <c r="CM200">
        <v>1</v>
      </c>
      <c r="CN200">
        <v>2000</v>
      </c>
      <c r="CO200">
        <v>100</v>
      </c>
      <c r="CP200" s="74">
        <f ca="1">INDIRECT(ADDRESS(11+(MATCH(RIGHT(Table11[[#This Row],[spawner_sku]],LEN(Table11[[#This Row],[spawner_sku]])-FIND("/",Table11[[#This Row],[spawner_sku]])),Table1[Entity Prefab],0)),10,1,1,"Entities"))</f>
        <v>175</v>
      </c>
      <c r="CQ200">
        <f ca="1">ROUND((Table11[[#This Row],[XP]]*Table11[[#This Row],[entity_spawned (AVG)]])*(Table11[[#This Row],[activating_chance]]/100),0)</f>
        <v>175</v>
      </c>
      <c r="CR200" s="144" t="str">
        <f ca="1">INDIRECT(ADDRESS(11+(MATCH(RIGHT(Table11[[#This Row],[spawner_sku]],LEN(Table11[[#This Row],[spawner_sku]])-FIND("/",Table11[[#This Row],[spawner_sku]])),Table28[Entity Prefab],0)),25,1,1,"Entities"))</f>
        <v>yes</v>
      </c>
      <c r="CS200" s="71">
        <v>1</v>
      </c>
      <c r="CT200" s="71">
        <v>1</v>
      </c>
      <c r="CU200" s="71" t="b">
        <v>0</v>
      </c>
      <c r="CW200" t="s">
        <v>3812</v>
      </c>
      <c r="CX200">
        <v>1</v>
      </c>
      <c r="CY200">
        <v>220</v>
      </c>
      <c r="CZ200">
        <v>100</v>
      </c>
      <c r="DA200" s="74">
        <f ca="1">INDIRECT(ADDRESS(11+(MATCH(RIGHT(Table12[[#This Row],[spawner_sku]],LEN(Table12[[#This Row],[spawner_sku]])-FIND("/",Table12[[#This Row],[spawner_sku]])),Table1[Entity Prefab],0)),10,1,1,"Entities"))</f>
        <v>0</v>
      </c>
      <c r="DB200" s="74">
        <f ca="1">ROUND((Table12[[#This Row],[XP]]*Table12[[#This Row],[entity_spawned (AVG)]])*(Table12[[#This Row],[activating_chance]]/100),0)</f>
        <v>0</v>
      </c>
      <c r="DC200" s="144" t="str">
        <f ca="1">INDIRECT(ADDRESS(11+(MATCH(RIGHT(Table12[[#This Row],[spawner_sku]],LEN(Table12[[#This Row],[spawner_sku]])-FIND("/",Table12[[#This Row],[spawner_sku]])),Table28[Entity Prefab],0)),25,1,1,"Entities"))</f>
        <v>no</v>
      </c>
      <c r="DD200" s="71">
        <v>1</v>
      </c>
      <c r="DE200" s="71">
        <v>1</v>
      </c>
      <c r="DF200" s="71" t="b">
        <v>0</v>
      </c>
      <c r="DH200" t="s">
        <v>242</v>
      </c>
      <c r="DI200">
        <v>1</v>
      </c>
      <c r="DJ200">
        <v>150</v>
      </c>
      <c r="DK200">
        <v>100</v>
      </c>
      <c r="DL200" s="74">
        <f ca="1">INDIRECT(ADDRESS(11+(MATCH(RIGHT(Table13[[#This Row],[spawner_sku]],LEN(Table13[[#This Row],[spawner_sku]])-FIND("/",Table13[[#This Row],[spawner_sku]])),Table1[Entity Prefab],0)),10,1,1,"Entities"))</f>
        <v>25</v>
      </c>
      <c r="DM200" s="74">
        <f ca="1">ROUND((Table13[[#This Row],[XP]]*Table13[[#This Row],[entity_spawned (AVG)]])*(Table13[[#This Row],[activating_chance]]/100),0)</f>
        <v>25</v>
      </c>
      <c r="DN200" s="144" t="str">
        <f ca="1">INDIRECT(ADDRESS(11+(MATCH(RIGHT(Table13[[#This Row],[spawner_sku]],LEN(Table13[[#This Row],[spawner_sku]])-FIND("/",Table13[[#This Row],[spawner_sku]])),Table28[Entity Prefab],0)),25,1,1,"Entities"))</f>
        <v>no</v>
      </c>
      <c r="DO200" s="71">
        <v>1</v>
      </c>
      <c r="DP200" s="71">
        <v>1</v>
      </c>
      <c r="DQ200" s="71" t="b">
        <v>0</v>
      </c>
      <c r="DS200" t="s">
        <v>227</v>
      </c>
      <c r="DT200">
        <v>1</v>
      </c>
      <c r="DU200">
        <v>2000</v>
      </c>
      <c r="DV200">
        <v>100</v>
      </c>
      <c r="DW200" s="74">
        <f ca="1">INDIRECT(ADDRESS(11+(MATCH(RIGHT(Table14[[#This Row],[spawner_sku]],LEN(Table14[[#This Row],[spawner_sku]])-FIND("/",Table14[[#This Row],[spawner_sku]])),Table1[Entity Prefab],0)),10,1,1,"Entities"))</f>
        <v>175</v>
      </c>
      <c r="DX200" s="74">
        <f ca="1">ROUND((Table14[[#This Row],[XP]]*Table14[[#This Row],[entity_spawned (AVG)]])*(Table14[[#This Row],[activating_chance]]/100),0)</f>
        <v>175</v>
      </c>
      <c r="DY200" s="144" t="str">
        <f ca="1">INDIRECT(ADDRESS(11+(MATCH(RIGHT(Table14[[#This Row],[spawner_sku]],LEN(Table14[[#This Row],[spawner_sku]])-FIND("/",Table14[[#This Row],[spawner_sku]])),Table28[Entity Prefab],0)),25,1,1,"Entities"))</f>
        <v>yes</v>
      </c>
      <c r="DZ200" s="71">
        <v>1</v>
      </c>
      <c r="EA200" s="71">
        <v>1</v>
      </c>
      <c r="EB200" s="71" t="b">
        <v>0</v>
      </c>
      <c r="EC200" s="71"/>
      <c r="EO200" t="s">
        <v>570</v>
      </c>
      <c r="EP200">
        <v>2</v>
      </c>
      <c r="EQ200">
        <v>120</v>
      </c>
      <c r="ER200">
        <v>100</v>
      </c>
      <c r="ES200" s="74">
        <f ca="1">INDIRECT(ADDRESS(11+(MATCH(RIGHT(Table18[[#This Row],[spawner_sku]],LEN(Table18[[#This Row],[spawner_sku]])-FIND("/",Table18[[#This Row],[spawner_sku]])),Table1[Entity Prefab],0)),10,1,1,"Entities"))</f>
        <v>50</v>
      </c>
      <c r="ET200" s="74">
        <f ca="1">ROUND((Table18[[#This Row],[XP]]*Table18[[#This Row],[entity_spawned (AVG)]])*(Table18[[#This Row],[activating_chance]]/100),0)</f>
        <v>100</v>
      </c>
      <c r="EU200" s="74" t="str">
        <f ca="1">INDIRECT(ADDRESS(11+(MATCH(RIGHT(Table18[[#This Row],[spawner_sku]],LEN(Table18[[#This Row],[spawner_sku]])-FIND("/",Table18[[#This Row],[spawner_sku]])),Table28[Entity Prefab],0)),26,1,1,"Entities"))</f>
        <v>no</v>
      </c>
      <c r="EV200">
        <v>1</v>
      </c>
      <c r="EW200">
        <v>3</v>
      </c>
      <c r="EX200" t="b">
        <v>0</v>
      </c>
      <c r="EZ200" t="s">
        <v>465</v>
      </c>
      <c r="FA200">
        <v>1</v>
      </c>
      <c r="FB200">
        <v>100</v>
      </c>
      <c r="FC200">
        <v>30</v>
      </c>
      <c r="FD200" s="74">
        <f ca="1">INDIRECT(ADDRESS(11+(MATCH(RIGHT(Table1820[[#This Row],[spawner_sku]],LEN(Table1820[[#This Row],[spawner_sku]])-FIND("/",Table1820[[#This Row],[spawner_sku]])),Table1[Entity Prefab],0)),10,1,1,"Entities"))</f>
        <v>25</v>
      </c>
      <c r="FE200" s="74">
        <f ca="1">ROUND((Table1820[[#This Row],[XP]]*Table1820[[#This Row],[entity_spawned (AVG)]])*(Table1820[[#This Row],[activating_chance]]/100),0)</f>
        <v>8</v>
      </c>
      <c r="FF200" s="74" t="str">
        <f ca="1">INDIRECT(ADDRESS(11+(MATCH(RIGHT(Table1820[[#This Row],[spawner_sku]],LEN(Table1820[[#This Row],[spawner_sku]])-FIND("/",Table1820[[#This Row],[spawner_sku]])),Table28[Entity Prefab],0)),26,1,1,"Entities"))</f>
        <v>no</v>
      </c>
      <c r="FG200">
        <v>1</v>
      </c>
      <c r="FH200">
        <v>1</v>
      </c>
      <c r="FI200" t="b">
        <v>0</v>
      </c>
      <c r="FV200" t="s">
        <v>2707</v>
      </c>
      <c r="FW200">
        <v>3</v>
      </c>
      <c r="FX200">
        <v>75</v>
      </c>
      <c r="FY200">
        <v>100</v>
      </c>
      <c r="FZ200" s="74">
        <f ca="1">INDIRECT(ADDRESS(11+(MATCH(RIGHT(Table18202324[[#This Row],[spawner_sku]],LEN(Table18202324[[#This Row],[spawner_sku]])-FIND("/",Table18202324[[#This Row],[spawner_sku]])),Table1[Entity Prefab],0)),10,1,1,"Entities"))</f>
        <v>50</v>
      </c>
      <c r="GA200" s="74">
        <f ca="1">ROUND((Table18202324[[#This Row],[XP]]*Table18202324[[#This Row],[entity_spawned (AVG)]])*(Table18202324[[#This Row],[activating_chance]]/100),0)</f>
        <v>150</v>
      </c>
      <c r="GB200" s="74" t="str">
        <f ca="1">INDIRECT(ADDRESS(11+(MATCH(RIGHT(Table18202324[[#This Row],[spawner_sku]],LEN(Table18202324[[#This Row],[spawner_sku]])-FIND("/",Table18202324[[#This Row],[spawner_sku]])),Table28[Entity Prefab],0)),26,1,1,"Entities"))</f>
        <v>no</v>
      </c>
      <c r="GC200">
        <v>2</v>
      </c>
      <c r="GD200">
        <v>4</v>
      </c>
      <c r="GE200" t="b">
        <v>0</v>
      </c>
    </row>
    <row r="201" spans="2:187" x14ac:dyDescent="0.25">
      <c r="B201" s="72" t="s">
        <v>218</v>
      </c>
      <c r="C201">
        <v>1</v>
      </c>
      <c r="D201">
        <v>5000</v>
      </c>
      <c r="E201">
        <v>75</v>
      </c>
      <c r="F201" s="74">
        <f ca="1">INDIRECT(ADDRESS(11+(MATCH(RIGHT(Table245[[#This Row],[spawner_sku]],LEN(Table245[[#This Row],[spawner_sku]])-FIND("/",Table245[[#This Row],[spawner_sku]])),Table1[Entity Prefab],0)),10,1,1,"Entities"))</f>
        <v>75</v>
      </c>
      <c r="G201" s="74">
        <f ca="1">ROUND((Table245[[#This Row],[XP]]*Table245[[#This Row],[entity_spawned (AVG)]])*(Table245[[#This Row],[activating_chance]]/100),0)</f>
        <v>56</v>
      </c>
      <c r="H201" s="71" t="str">
        <f ca="1">INDIRECT(ADDRESS(11+(MATCH(RIGHT(Table245[[#This Row],[spawner_sku]],LEN(Table245[[#This Row],[spawner_sku]])-FIND("/",Table245[[#This Row],[spawner_sku]])),Table28[Entity Prefab],0)),24,1,1,"Entities"))</f>
        <v>no</v>
      </c>
      <c r="I201" s="71">
        <v>1</v>
      </c>
      <c r="J201" s="71">
        <v>1</v>
      </c>
      <c r="K201" s="71" t="b">
        <v>0</v>
      </c>
      <c r="M201" t="s">
        <v>366</v>
      </c>
      <c r="N201">
        <v>2.5</v>
      </c>
      <c r="O201">
        <v>100</v>
      </c>
      <c r="P201">
        <v>100</v>
      </c>
      <c r="Q201" s="74">
        <f ca="1">INDIRECT(ADDRESS(11+(MATCH(RIGHT(Table3[[#This Row],[spawner_sku]],LEN(Table3[[#This Row],[spawner_sku]])-FIND("/",Table3[[#This Row],[spawner_sku]])),Table1[Entity Prefab],0)),10,1,1,"Entities"))</f>
        <v>25</v>
      </c>
      <c r="R201" s="74">
        <f ca="1">ROUND((Table3[[#This Row],[XP]]*Table3[[#This Row],[entity_spawned (AVG)]])*(Table3[[#This Row],[activating_chance]]/100),0)</f>
        <v>63</v>
      </c>
      <c r="S201" t="str">
        <f ca="1">INDIRECT(ADDRESS(11+(MATCH(RIGHT(Table3[[#This Row],[spawner_sku]],LEN(Table3[[#This Row],[spawner_sku]])-FIND("/",Table3[[#This Row],[spawner_sku]])),Table28[Entity Prefab],0)),24,1,1,"Entities"))</f>
        <v>no</v>
      </c>
      <c r="T201">
        <v>2</v>
      </c>
      <c r="U201">
        <v>3</v>
      </c>
      <c r="V201" t="b">
        <v>0</v>
      </c>
      <c r="AI201" t="s">
        <v>230</v>
      </c>
      <c r="AJ201">
        <v>1</v>
      </c>
      <c r="AK201">
        <v>200</v>
      </c>
      <c r="AL201">
        <v>100</v>
      </c>
      <c r="AM201" s="74">
        <f ca="1">INDIRECT(ADDRESS(11+(MATCH(RIGHT(Table2[[#This Row],[spawner_sku]],LEN(Table2[[#This Row],[spawner_sku]])-FIND("/",Table2[[#This Row],[spawner_sku]])),Table1[Entity Prefab],0)),10,1,1,"Entities"))</f>
        <v>28</v>
      </c>
      <c r="AN201" s="74">
        <f ca="1">ROUND((Table2[[#This Row],[XP]]*Table2[[#This Row],[entity_spawned (AVG)]])*(Table2[[#This Row],[activating_chance]]/100),0)</f>
        <v>28</v>
      </c>
      <c r="AO201" s="71" t="str">
        <f ca="1">INDIRECT(ADDRESS(11+(MATCH(RIGHT(Table2[[#This Row],[spawner_sku]],LEN(Table2[[#This Row],[spawner_sku]])-FIND("/",Table2[[#This Row],[spawner_sku]])),Table28[Entity Prefab],0)),24,1,1,"Entities"))</f>
        <v>no</v>
      </c>
      <c r="AP201" s="71">
        <v>1</v>
      </c>
      <c r="AQ201" s="71">
        <v>1</v>
      </c>
      <c r="AR201" s="71" t="b">
        <v>0</v>
      </c>
      <c r="BE201" t="s">
        <v>241</v>
      </c>
      <c r="BF201">
        <v>1</v>
      </c>
      <c r="BG201">
        <v>200</v>
      </c>
      <c r="BH201">
        <v>100</v>
      </c>
      <c r="BI201" s="74">
        <f ca="1">INDIRECT(ADDRESS(11+(MATCH(RIGHT(Table610[[#This Row],[spawner_sku]],LEN(Table610[[#This Row],[spawner_sku]])-FIND("/",Table610[[#This Row],[spawner_sku]])),Table1[Entity Prefab],0)),10,1,1,"Entities"))</f>
        <v>70</v>
      </c>
      <c r="BJ201" s="74">
        <f ca="1">ROUND((Table610[[#This Row],[XP]]*Table610[[#This Row],[entity_spawned (AVG)]])*(Table610[[#This Row],[activating_chance]]/100),0)</f>
        <v>70</v>
      </c>
      <c r="BK201" s="71" t="str">
        <f ca="1">INDIRECT(ADDRESS(11+(MATCH(RIGHT(Table610[[#This Row],[spawner_sku]],LEN(Table610[[#This Row],[spawner_sku]])-FIND("/",Table610[[#This Row],[spawner_sku]])),Table28[Entity Prefab],0)),24,1,1,"Entities"))</f>
        <v>yes</v>
      </c>
      <c r="BL201">
        <v>1</v>
      </c>
      <c r="BM201">
        <v>1</v>
      </c>
      <c r="BN201" t="b">
        <v>0</v>
      </c>
      <c r="BP201" t="s">
        <v>232</v>
      </c>
      <c r="BQ201">
        <v>3.5</v>
      </c>
      <c r="BR201">
        <v>200</v>
      </c>
      <c r="BS201">
        <v>40</v>
      </c>
      <c r="BT201" s="74">
        <f ca="1">INDIRECT(ADDRESS(11+(MATCH(RIGHT(Table61011[[#This Row],[spawner_sku]],LEN(Table61011[[#This Row],[spawner_sku]])-FIND("/",Table61011[[#This Row],[spawner_sku]])),Table1[Entity Prefab],0)),10,1,1,"Entities"))</f>
        <v>25</v>
      </c>
      <c r="BU201" s="74">
        <f ca="1">ROUND((Table61011[[#This Row],[XP]]*Table61011[[#This Row],[entity_spawned (AVG)]])*(Table61011[[#This Row],[activating_chance]]/100),0)</f>
        <v>35</v>
      </c>
      <c r="BV201" s="71" t="str">
        <f ca="1">INDIRECT(ADDRESS(11+(MATCH(RIGHT(Table61011[[#This Row],[spawner_sku]],LEN(Table61011[[#This Row],[spawner_sku]])-FIND("/",Table61011[[#This Row],[spawner_sku]])),Table28[Entity Prefab],0)),24,1,1,"Entities"))</f>
        <v>no</v>
      </c>
      <c r="BW201" s="71">
        <v>3</v>
      </c>
      <c r="BX201" s="71">
        <v>4</v>
      </c>
      <c r="BY201" s="71" t="b">
        <v>0</v>
      </c>
      <c r="BZ201" s="71"/>
      <c r="CA201" s="147" t="s">
        <v>3821</v>
      </c>
      <c r="CB201">
        <v>1</v>
      </c>
      <c r="CC201">
        <v>240</v>
      </c>
      <c r="CD201">
        <v>100</v>
      </c>
      <c r="CE201" s="74">
        <f ca="1">INDIRECT(ADDRESS(11+(MATCH(RIGHT(Table35[[#This Row],[spawner_sku]],LEN(Table35[[#This Row],[spawner_sku]])-FIND("/",Table35[[#This Row],[spawner_sku]])),Table1[Entity Prefab],0)),10,1,1,"Entities"))</f>
        <v>10</v>
      </c>
      <c r="CF201" s="74">
        <f ca="1">ROUND((Table35[[#This Row],[XP]]*Table35[[#This Row],[entity_spawned (AVG)]])*(Table35[[#This Row],[activating_chance]]/100),0)</f>
        <v>10</v>
      </c>
      <c r="CG201" s="144" t="str">
        <f ca="1">INDIRECT(ADDRESS(11+(MATCH(RIGHT(Table35[[#This Row],[spawner_sku]],LEN(Table35[[#This Row],[spawner_sku]])-FIND("/",Table35[[#This Row],[spawner_sku]])),Table28[Entity Prefab],0)),24,1,1,"Entities"))</f>
        <v>no</v>
      </c>
      <c r="CH201">
        <v>1</v>
      </c>
      <c r="CI201">
        <v>1</v>
      </c>
      <c r="CJ201" s="71" t="b">
        <v>0</v>
      </c>
      <c r="CL201" t="s">
        <v>226</v>
      </c>
      <c r="CM201">
        <v>1</v>
      </c>
      <c r="CN201">
        <v>2000</v>
      </c>
      <c r="CO201">
        <v>100</v>
      </c>
      <c r="CP201" s="74">
        <f ca="1">INDIRECT(ADDRESS(11+(MATCH(RIGHT(Table11[[#This Row],[spawner_sku]],LEN(Table11[[#This Row],[spawner_sku]])-FIND("/",Table11[[#This Row],[spawner_sku]])),Table1[Entity Prefab],0)),10,1,1,"Entities"))</f>
        <v>175</v>
      </c>
      <c r="CQ201">
        <f ca="1">ROUND((Table11[[#This Row],[XP]]*Table11[[#This Row],[entity_spawned (AVG)]])*(Table11[[#This Row],[activating_chance]]/100),0)</f>
        <v>175</v>
      </c>
      <c r="CR201" s="144" t="str">
        <f ca="1">INDIRECT(ADDRESS(11+(MATCH(RIGHT(Table11[[#This Row],[spawner_sku]],LEN(Table11[[#This Row],[spawner_sku]])-FIND("/",Table11[[#This Row],[spawner_sku]])),Table28[Entity Prefab],0)),25,1,1,"Entities"))</f>
        <v>yes</v>
      </c>
      <c r="CS201" s="71">
        <v>1</v>
      </c>
      <c r="CT201" s="71">
        <v>1</v>
      </c>
      <c r="CU201" s="71" t="b">
        <v>0</v>
      </c>
      <c r="CW201" t="s">
        <v>3812</v>
      </c>
      <c r="CX201">
        <v>1</v>
      </c>
      <c r="CY201">
        <v>220</v>
      </c>
      <c r="CZ201">
        <v>100</v>
      </c>
      <c r="DA201" s="74">
        <f ca="1">INDIRECT(ADDRESS(11+(MATCH(RIGHT(Table12[[#This Row],[spawner_sku]],LEN(Table12[[#This Row],[spawner_sku]])-FIND("/",Table12[[#This Row],[spawner_sku]])),Table1[Entity Prefab],0)),10,1,1,"Entities"))</f>
        <v>0</v>
      </c>
      <c r="DB201" s="74">
        <f ca="1">ROUND((Table12[[#This Row],[XP]]*Table12[[#This Row],[entity_spawned (AVG)]])*(Table12[[#This Row],[activating_chance]]/100),0)</f>
        <v>0</v>
      </c>
      <c r="DC201" s="144" t="str">
        <f ca="1">INDIRECT(ADDRESS(11+(MATCH(RIGHT(Table12[[#This Row],[spawner_sku]],LEN(Table12[[#This Row],[spawner_sku]])-FIND("/",Table12[[#This Row],[spawner_sku]])),Table28[Entity Prefab],0)),25,1,1,"Entities"))</f>
        <v>no</v>
      </c>
      <c r="DD201" s="71">
        <v>1</v>
      </c>
      <c r="DE201" s="71">
        <v>1</v>
      </c>
      <c r="DF201" s="71" t="b">
        <v>0</v>
      </c>
      <c r="DH201" t="s">
        <v>242</v>
      </c>
      <c r="DI201">
        <v>1</v>
      </c>
      <c r="DJ201">
        <v>150</v>
      </c>
      <c r="DK201">
        <v>100</v>
      </c>
      <c r="DL201" s="74">
        <f ca="1">INDIRECT(ADDRESS(11+(MATCH(RIGHT(Table13[[#This Row],[spawner_sku]],LEN(Table13[[#This Row],[spawner_sku]])-FIND("/",Table13[[#This Row],[spawner_sku]])),Table1[Entity Prefab],0)),10,1,1,"Entities"))</f>
        <v>25</v>
      </c>
      <c r="DM201" s="74">
        <f ca="1">ROUND((Table13[[#This Row],[XP]]*Table13[[#This Row],[entity_spawned (AVG)]])*(Table13[[#This Row],[activating_chance]]/100),0)</f>
        <v>25</v>
      </c>
      <c r="DN201" s="144" t="str">
        <f ca="1">INDIRECT(ADDRESS(11+(MATCH(RIGHT(Table13[[#This Row],[spawner_sku]],LEN(Table13[[#This Row],[spawner_sku]])-FIND("/",Table13[[#This Row],[spawner_sku]])),Table28[Entity Prefab],0)),25,1,1,"Entities"))</f>
        <v>no</v>
      </c>
      <c r="DO201" s="71">
        <v>1</v>
      </c>
      <c r="DP201" s="71">
        <v>1</v>
      </c>
      <c r="DQ201" s="71" t="b">
        <v>0</v>
      </c>
      <c r="DS201" t="s">
        <v>228</v>
      </c>
      <c r="DT201">
        <v>1</v>
      </c>
      <c r="DU201">
        <v>1500</v>
      </c>
      <c r="DV201">
        <v>100</v>
      </c>
      <c r="DW201" s="74">
        <f ca="1">INDIRECT(ADDRESS(11+(MATCH(RIGHT(Table14[[#This Row],[spawner_sku]],LEN(Table14[[#This Row],[spawner_sku]])-FIND("/",Table14[[#This Row],[spawner_sku]])),Table1[Entity Prefab],0)),10,1,1,"Entities"))</f>
        <v>130</v>
      </c>
      <c r="DX201" s="74">
        <f ca="1">ROUND((Table14[[#This Row],[XP]]*Table14[[#This Row],[entity_spawned (AVG)]])*(Table14[[#This Row],[activating_chance]]/100),0)</f>
        <v>130</v>
      </c>
      <c r="DY201" s="144" t="str">
        <f ca="1">INDIRECT(ADDRESS(11+(MATCH(RIGHT(Table14[[#This Row],[spawner_sku]],LEN(Table14[[#This Row],[spawner_sku]])-FIND("/",Table14[[#This Row],[spawner_sku]])),Table28[Entity Prefab],0)),25,1,1,"Entities"))</f>
        <v>yes</v>
      </c>
      <c r="DZ201" s="71">
        <v>1</v>
      </c>
      <c r="EA201" s="71">
        <v>1</v>
      </c>
      <c r="EB201" s="71" t="b">
        <v>0</v>
      </c>
      <c r="EC201" s="71"/>
      <c r="EO201" t="s">
        <v>370</v>
      </c>
      <c r="EP201">
        <v>1</v>
      </c>
      <c r="EQ201">
        <v>350</v>
      </c>
      <c r="ER201">
        <v>100</v>
      </c>
      <c r="ES201" s="74">
        <f ca="1">INDIRECT(ADDRESS(11+(MATCH(RIGHT(Table18[[#This Row],[spawner_sku]],LEN(Table18[[#This Row],[spawner_sku]])-FIND("/",Table18[[#This Row],[spawner_sku]])),Table1[Entity Prefab],0)),10,1,1,"Entities"))</f>
        <v>0</v>
      </c>
      <c r="ET201" s="74">
        <f ca="1">ROUND((Table18[[#This Row],[XP]]*Table18[[#This Row],[entity_spawned (AVG)]])*(Table18[[#This Row],[activating_chance]]/100),0)</f>
        <v>0</v>
      </c>
      <c r="EU201" s="74" t="str">
        <f ca="1">INDIRECT(ADDRESS(11+(MATCH(RIGHT(Table18[[#This Row],[spawner_sku]],LEN(Table18[[#This Row],[spawner_sku]])-FIND("/",Table18[[#This Row],[spawner_sku]])),Table28[Entity Prefab],0)),26,1,1,"Entities"))</f>
        <v>no</v>
      </c>
      <c r="EV201">
        <v>1</v>
      </c>
      <c r="EW201">
        <v>1</v>
      </c>
      <c r="EX201" t="b">
        <v>0</v>
      </c>
      <c r="EZ201" t="s">
        <v>585</v>
      </c>
      <c r="FA201">
        <v>1</v>
      </c>
      <c r="FB201">
        <v>500</v>
      </c>
      <c r="FC201">
        <v>100</v>
      </c>
      <c r="FD201" s="74">
        <f ca="1">INDIRECT(ADDRESS(11+(MATCH(RIGHT(Table1820[[#This Row],[spawner_sku]],LEN(Table1820[[#This Row],[spawner_sku]])-FIND("/",Table1820[[#This Row],[spawner_sku]])),Table1[Entity Prefab],0)),10,1,1,"Entities"))</f>
        <v>130</v>
      </c>
      <c r="FE201" s="74">
        <f ca="1">ROUND((Table1820[[#This Row],[XP]]*Table1820[[#This Row],[entity_spawned (AVG)]])*(Table1820[[#This Row],[activating_chance]]/100),0)</f>
        <v>130</v>
      </c>
      <c r="FF201" s="74" t="str">
        <f ca="1">INDIRECT(ADDRESS(11+(MATCH(RIGHT(Table1820[[#This Row],[spawner_sku]],LEN(Table1820[[#This Row],[spawner_sku]])-FIND("/",Table1820[[#This Row],[spawner_sku]])),Table28[Entity Prefab],0)),26,1,1,"Entities"))</f>
        <v>yes</v>
      </c>
      <c r="FG201">
        <v>1</v>
      </c>
      <c r="FH201">
        <v>1</v>
      </c>
      <c r="FI201" t="b">
        <v>0</v>
      </c>
      <c r="FV201" t="s">
        <v>2704</v>
      </c>
      <c r="FW201">
        <v>7</v>
      </c>
      <c r="FX201">
        <v>240</v>
      </c>
      <c r="FY201">
        <v>100</v>
      </c>
      <c r="FZ201" s="74">
        <f ca="1">INDIRECT(ADDRESS(11+(MATCH(RIGHT(Table18202324[[#This Row],[spawner_sku]],LEN(Table18202324[[#This Row],[spawner_sku]])-FIND("/",Table18202324[[#This Row],[spawner_sku]])),Table1[Entity Prefab],0)),10,1,1,"Entities"))</f>
        <v>50</v>
      </c>
      <c r="GA201" s="74">
        <f ca="1">ROUND((Table18202324[[#This Row],[XP]]*Table18202324[[#This Row],[entity_spawned (AVG)]])*(Table18202324[[#This Row],[activating_chance]]/100),0)</f>
        <v>350</v>
      </c>
      <c r="GB201" s="74" t="str">
        <f ca="1">INDIRECT(ADDRESS(11+(MATCH(RIGHT(Table18202324[[#This Row],[spawner_sku]],LEN(Table18202324[[#This Row],[spawner_sku]])-FIND("/",Table18202324[[#This Row],[spawner_sku]])),Table28[Entity Prefab],0)),26,1,1,"Entities"))</f>
        <v>no</v>
      </c>
      <c r="GC201">
        <v>6</v>
      </c>
      <c r="GD201">
        <v>8</v>
      </c>
      <c r="GE201" t="b">
        <v>1</v>
      </c>
    </row>
    <row r="202" spans="2:187" x14ac:dyDescent="0.25">
      <c r="B202" s="72" t="s">
        <v>218</v>
      </c>
      <c r="C202">
        <v>1</v>
      </c>
      <c r="D202">
        <v>5000</v>
      </c>
      <c r="E202">
        <v>75</v>
      </c>
      <c r="F202" s="74">
        <f ca="1">INDIRECT(ADDRESS(11+(MATCH(RIGHT(Table245[[#This Row],[spawner_sku]],LEN(Table245[[#This Row],[spawner_sku]])-FIND("/",Table245[[#This Row],[spawner_sku]])),Table1[Entity Prefab],0)),10,1,1,"Entities"))</f>
        <v>75</v>
      </c>
      <c r="G202" s="74">
        <f ca="1">ROUND((Table245[[#This Row],[XP]]*Table245[[#This Row],[entity_spawned (AVG)]])*(Table245[[#This Row],[activating_chance]]/100),0)</f>
        <v>56</v>
      </c>
      <c r="H202" s="71" t="str">
        <f ca="1">INDIRECT(ADDRESS(11+(MATCH(RIGHT(Table245[[#This Row],[spawner_sku]],LEN(Table245[[#This Row],[spawner_sku]])-FIND("/",Table245[[#This Row],[spawner_sku]])),Table28[Entity Prefab],0)),24,1,1,"Entities"))</f>
        <v>no</v>
      </c>
      <c r="I202" s="71">
        <v>1</v>
      </c>
      <c r="J202" s="71">
        <v>1</v>
      </c>
      <c r="K202" s="71" t="b">
        <v>0</v>
      </c>
      <c r="M202" t="s">
        <v>366</v>
      </c>
      <c r="N202">
        <v>5</v>
      </c>
      <c r="O202">
        <v>100</v>
      </c>
      <c r="P202">
        <v>100</v>
      </c>
      <c r="Q202" s="74">
        <f ca="1">INDIRECT(ADDRESS(11+(MATCH(RIGHT(Table3[[#This Row],[spawner_sku]],LEN(Table3[[#This Row],[spawner_sku]])-FIND("/",Table3[[#This Row],[spawner_sku]])),Table1[Entity Prefab],0)),10,1,1,"Entities"))</f>
        <v>25</v>
      </c>
      <c r="R202" s="74">
        <f ca="1">ROUND((Table3[[#This Row],[XP]]*Table3[[#This Row],[entity_spawned (AVG)]])*(Table3[[#This Row],[activating_chance]]/100),0)</f>
        <v>125</v>
      </c>
      <c r="S202" t="str">
        <f ca="1">INDIRECT(ADDRESS(11+(MATCH(RIGHT(Table3[[#This Row],[spawner_sku]],LEN(Table3[[#This Row],[spawner_sku]])-FIND("/",Table3[[#This Row],[spawner_sku]])),Table28[Entity Prefab],0)),24,1,1,"Entities"))</f>
        <v>no</v>
      </c>
      <c r="T202">
        <v>5</v>
      </c>
      <c r="U202">
        <v>5</v>
      </c>
      <c r="V202" t="b">
        <v>1</v>
      </c>
      <c r="AI202" t="s">
        <v>232</v>
      </c>
      <c r="AJ202">
        <v>2.5</v>
      </c>
      <c r="AK202">
        <v>180</v>
      </c>
      <c r="AL202">
        <v>100</v>
      </c>
      <c r="AM202" s="74">
        <f ca="1">INDIRECT(ADDRESS(11+(MATCH(RIGHT(Table2[[#This Row],[spawner_sku]],LEN(Table2[[#This Row],[spawner_sku]])-FIND("/",Table2[[#This Row],[spawner_sku]])),Table1[Entity Prefab],0)),10,1,1,"Entities"))</f>
        <v>25</v>
      </c>
      <c r="AN202" s="74">
        <f ca="1">ROUND((Table2[[#This Row],[XP]]*Table2[[#This Row],[entity_spawned (AVG)]])*(Table2[[#This Row],[activating_chance]]/100),0)</f>
        <v>63</v>
      </c>
      <c r="AO202" s="71" t="str">
        <f ca="1">INDIRECT(ADDRESS(11+(MATCH(RIGHT(Table2[[#This Row],[spawner_sku]],LEN(Table2[[#This Row],[spawner_sku]])-FIND("/",Table2[[#This Row],[spawner_sku]])),Table28[Entity Prefab],0)),24,1,1,"Entities"))</f>
        <v>no</v>
      </c>
      <c r="AP202" s="71">
        <v>2</v>
      </c>
      <c r="AQ202" s="71">
        <v>3</v>
      </c>
      <c r="AR202" s="71" t="b">
        <v>0</v>
      </c>
      <c r="BE202" t="s">
        <v>241</v>
      </c>
      <c r="BF202">
        <v>1</v>
      </c>
      <c r="BG202">
        <v>170</v>
      </c>
      <c r="BH202">
        <v>100</v>
      </c>
      <c r="BI202" s="74">
        <f ca="1">INDIRECT(ADDRESS(11+(MATCH(RIGHT(Table610[[#This Row],[spawner_sku]],LEN(Table610[[#This Row],[spawner_sku]])-FIND("/",Table610[[#This Row],[spawner_sku]])),Table1[Entity Prefab],0)),10,1,1,"Entities"))</f>
        <v>70</v>
      </c>
      <c r="BJ202" s="74">
        <f ca="1">ROUND((Table610[[#This Row],[XP]]*Table610[[#This Row],[entity_spawned (AVG)]])*(Table610[[#This Row],[activating_chance]]/100),0)</f>
        <v>70</v>
      </c>
      <c r="BK202" s="71" t="str">
        <f ca="1">INDIRECT(ADDRESS(11+(MATCH(RIGHT(Table610[[#This Row],[spawner_sku]],LEN(Table610[[#This Row],[spawner_sku]])-FIND("/",Table610[[#This Row],[spawner_sku]])),Table28[Entity Prefab],0)),24,1,1,"Entities"))</f>
        <v>yes</v>
      </c>
      <c r="BL202">
        <v>1</v>
      </c>
      <c r="BM202">
        <v>1</v>
      </c>
      <c r="BN202" t="b">
        <v>0</v>
      </c>
      <c r="BP202" t="s">
        <v>232</v>
      </c>
      <c r="BQ202">
        <v>9</v>
      </c>
      <c r="BR202">
        <v>200</v>
      </c>
      <c r="BS202">
        <v>100</v>
      </c>
      <c r="BT202" s="74">
        <f ca="1">INDIRECT(ADDRESS(11+(MATCH(RIGHT(Table61011[[#This Row],[spawner_sku]],LEN(Table61011[[#This Row],[spawner_sku]])-FIND("/",Table61011[[#This Row],[spawner_sku]])),Table1[Entity Prefab],0)),10,1,1,"Entities"))</f>
        <v>25</v>
      </c>
      <c r="BU202" s="74">
        <f ca="1">ROUND((Table61011[[#This Row],[XP]]*Table61011[[#This Row],[entity_spawned (AVG)]])*(Table61011[[#This Row],[activating_chance]]/100),0)</f>
        <v>225</v>
      </c>
      <c r="BV202" s="71" t="str">
        <f ca="1">INDIRECT(ADDRESS(11+(MATCH(RIGHT(Table61011[[#This Row],[spawner_sku]],LEN(Table61011[[#This Row],[spawner_sku]])-FIND("/",Table61011[[#This Row],[spawner_sku]])),Table28[Entity Prefab],0)),24,1,1,"Entities"))</f>
        <v>no</v>
      </c>
      <c r="BW202" s="71">
        <v>8</v>
      </c>
      <c r="BX202" s="71">
        <v>10</v>
      </c>
      <c r="BY202" s="71" t="b">
        <v>1</v>
      </c>
      <c r="BZ202" s="71"/>
      <c r="CA202" s="147" t="s">
        <v>3821</v>
      </c>
      <c r="CB202">
        <v>1</v>
      </c>
      <c r="CC202">
        <v>240</v>
      </c>
      <c r="CD202">
        <v>100</v>
      </c>
      <c r="CE202" s="74">
        <f ca="1">INDIRECT(ADDRESS(11+(MATCH(RIGHT(Table35[[#This Row],[spawner_sku]],LEN(Table35[[#This Row],[spawner_sku]])-FIND("/",Table35[[#This Row],[spawner_sku]])),Table1[Entity Prefab],0)),10,1,1,"Entities"))</f>
        <v>10</v>
      </c>
      <c r="CF202" s="74">
        <f ca="1">ROUND((Table35[[#This Row],[XP]]*Table35[[#This Row],[entity_spawned (AVG)]])*(Table35[[#This Row],[activating_chance]]/100),0)</f>
        <v>10</v>
      </c>
      <c r="CG202" s="144" t="str">
        <f ca="1">INDIRECT(ADDRESS(11+(MATCH(RIGHT(Table35[[#This Row],[spawner_sku]],LEN(Table35[[#This Row],[spawner_sku]])-FIND("/",Table35[[#This Row],[spawner_sku]])),Table28[Entity Prefab],0)),24,1,1,"Entities"))</f>
        <v>no</v>
      </c>
      <c r="CH202">
        <v>1</v>
      </c>
      <c r="CI202">
        <v>1</v>
      </c>
      <c r="CJ202" s="71" t="b">
        <v>0</v>
      </c>
      <c r="CL202" t="s">
        <v>226</v>
      </c>
      <c r="CM202">
        <v>1</v>
      </c>
      <c r="CN202">
        <v>2000</v>
      </c>
      <c r="CO202">
        <v>100</v>
      </c>
      <c r="CP202" s="74">
        <f ca="1">INDIRECT(ADDRESS(11+(MATCH(RIGHT(Table11[[#This Row],[spawner_sku]],LEN(Table11[[#This Row],[spawner_sku]])-FIND("/",Table11[[#This Row],[spawner_sku]])),Table1[Entity Prefab],0)),10,1,1,"Entities"))</f>
        <v>175</v>
      </c>
      <c r="CQ202">
        <f ca="1">ROUND((Table11[[#This Row],[XP]]*Table11[[#This Row],[entity_spawned (AVG)]])*(Table11[[#This Row],[activating_chance]]/100),0)</f>
        <v>175</v>
      </c>
      <c r="CR202" s="144" t="str">
        <f ca="1">INDIRECT(ADDRESS(11+(MATCH(RIGHT(Table11[[#This Row],[spawner_sku]],LEN(Table11[[#This Row],[spawner_sku]])-FIND("/",Table11[[#This Row],[spawner_sku]])),Table28[Entity Prefab],0)),25,1,1,"Entities"))</f>
        <v>yes</v>
      </c>
      <c r="CS202" s="71">
        <v>1</v>
      </c>
      <c r="CT202" s="71">
        <v>1</v>
      </c>
      <c r="CU202" s="71" t="b">
        <v>0</v>
      </c>
      <c r="CW202" t="s">
        <v>503</v>
      </c>
      <c r="CX202">
        <v>1</v>
      </c>
      <c r="CY202">
        <v>240</v>
      </c>
      <c r="CZ202">
        <v>100</v>
      </c>
      <c r="DA202" s="74">
        <f ca="1">INDIRECT(ADDRESS(11+(MATCH(RIGHT(Table12[[#This Row],[spawner_sku]],LEN(Table12[[#This Row],[spawner_sku]])-FIND("/",Table12[[#This Row],[spawner_sku]])),Table1[Entity Prefab],0)),10,1,1,"Entities"))</f>
        <v>55</v>
      </c>
      <c r="DB202" s="74">
        <f ca="1">ROUND((Table12[[#This Row],[XP]]*Table12[[#This Row],[entity_spawned (AVG)]])*(Table12[[#This Row],[activating_chance]]/100),0)</f>
        <v>55</v>
      </c>
      <c r="DC202" s="144" t="str">
        <f ca="1">INDIRECT(ADDRESS(11+(MATCH(RIGHT(Table12[[#This Row],[spawner_sku]],LEN(Table12[[#This Row],[spawner_sku]])-FIND("/",Table12[[#This Row],[spawner_sku]])),Table28[Entity Prefab],0)),25,1,1,"Entities"))</f>
        <v>yes</v>
      </c>
      <c r="DD202" s="71">
        <v>1</v>
      </c>
      <c r="DE202" s="71">
        <v>1</v>
      </c>
      <c r="DF202" s="71" t="b">
        <v>0</v>
      </c>
      <c r="DH202" t="s">
        <v>242</v>
      </c>
      <c r="DI202">
        <v>1</v>
      </c>
      <c r="DJ202">
        <v>150</v>
      </c>
      <c r="DK202">
        <v>100</v>
      </c>
      <c r="DL202" s="74">
        <f ca="1">INDIRECT(ADDRESS(11+(MATCH(RIGHT(Table13[[#This Row],[spawner_sku]],LEN(Table13[[#This Row],[spawner_sku]])-FIND("/",Table13[[#This Row],[spawner_sku]])),Table1[Entity Prefab],0)),10,1,1,"Entities"))</f>
        <v>25</v>
      </c>
      <c r="DM202" s="74">
        <f ca="1">ROUND((Table13[[#This Row],[XP]]*Table13[[#This Row],[entity_spawned (AVG)]])*(Table13[[#This Row],[activating_chance]]/100),0)</f>
        <v>25</v>
      </c>
      <c r="DN202" s="144" t="str">
        <f ca="1">INDIRECT(ADDRESS(11+(MATCH(RIGHT(Table13[[#This Row],[spawner_sku]],LEN(Table13[[#This Row],[spawner_sku]])-FIND("/",Table13[[#This Row],[spawner_sku]])),Table28[Entity Prefab],0)),25,1,1,"Entities"))</f>
        <v>no</v>
      </c>
      <c r="DO202" s="71">
        <v>1</v>
      </c>
      <c r="DP202" s="71">
        <v>1</v>
      </c>
      <c r="DQ202" s="71" t="b">
        <v>0</v>
      </c>
      <c r="DS202" t="s">
        <v>228</v>
      </c>
      <c r="DT202">
        <v>1</v>
      </c>
      <c r="DU202">
        <v>1500</v>
      </c>
      <c r="DV202">
        <v>100</v>
      </c>
      <c r="DW202" s="74">
        <f ca="1">INDIRECT(ADDRESS(11+(MATCH(RIGHT(Table14[[#This Row],[spawner_sku]],LEN(Table14[[#This Row],[spawner_sku]])-FIND("/",Table14[[#This Row],[spawner_sku]])),Table1[Entity Prefab],0)),10,1,1,"Entities"))</f>
        <v>130</v>
      </c>
      <c r="DX202" s="74">
        <f ca="1">ROUND((Table14[[#This Row],[XP]]*Table14[[#This Row],[entity_spawned (AVG)]])*(Table14[[#This Row],[activating_chance]]/100),0)</f>
        <v>130</v>
      </c>
      <c r="DY202" s="144" t="str">
        <f ca="1">INDIRECT(ADDRESS(11+(MATCH(RIGHT(Table14[[#This Row],[spawner_sku]],LEN(Table14[[#This Row],[spawner_sku]])-FIND("/",Table14[[#This Row],[spawner_sku]])),Table28[Entity Prefab],0)),25,1,1,"Entities"))</f>
        <v>yes</v>
      </c>
      <c r="DZ202" s="71">
        <v>1</v>
      </c>
      <c r="EA202" s="71">
        <v>1</v>
      </c>
      <c r="EB202" s="71" t="b">
        <v>0</v>
      </c>
      <c r="EC202" s="71"/>
      <c r="EO202" t="s">
        <v>446</v>
      </c>
      <c r="EP202">
        <v>1</v>
      </c>
      <c r="EQ202">
        <v>240</v>
      </c>
      <c r="ER202">
        <v>100</v>
      </c>
      <c r="ES202" s="74">
        <f ca="1">INDIRECT(ADDRESS(11+(MATCH(RIGHT(Table18[[#This Row],[spawner_sku]],LEN(Table18[[#This Row],[spawner_sku]])-FIND("/",Table18[[#This Row],[spawner_sku]])),Table1[Entity Prefab],0)),10,1,1,"Entities"))</f>
        <v>83</v>
      </c>
      <c r="ET202" s="74">
        <f ca="1">ROUND((Table18[[#This Row],[XP]]*Table18[[#This Row],[entity_spawned (AVG)]])*(Table18[[#This Row],[activating_chance]]/100),0)</f>
        <v>83</v>
      </c>
      <c r="EU202" s="74" t="str">
        <f ca="1">INDIRECT(ADDRESS(11+(MATCH(RIGHT(Table18[[#This Row],[spawner_sku]],LEN(Table18[[#This Row],[spawner_sku]])-FIND("/",Table18[[#This Row],[spawner_sku]])),Table28[Entity Prefab],0)),26,1,1,"Entities"))</f>
        <v>yes</v>
      </c>
      <c r="EV202">
        <v>1</v>
      </c>
      <c r="EW202">
        <v>1</v>
      </c>
      <c r="EX202" t="b">
        <v>0</v>
      </c>
      <c r="EZ202" t="s">
        <v>585</v>
      </c>
      <c r="FA202">
        <v>1</v>
      </c>
      <c r="FB202">
        <v>200</v>
      </c>
      <c r="FC202">
        <v>100</v>
      </c>
      <c r="FD202" s="74">
        <f ca="1">INDIRECT(ADDRESS(11+(MATCH(RIGHT(Table1820[[#This Row],[spawner_sku]],LEN(Table1820[[#This Row],[spawner_sku]])-FIND("/",Table1820[[#This Row],[spawner_sku]])),Table1[Entity Prefab],0)),10,1,1,"Entities"))</f>
        <v>130</v>
      </c>
      <c r="FE202" s="74">
        <f ca="1">ROUND((Table1820[[#This Row],[XP]]*Table1820[[#This Row],[entity_spawned (AVG)]])*(Table1820[[#This Row],[activating_chance]]/100),0)</f>
        <v>130</v>
      </c>
      <c r="FF202" s="74" t="str">
        <f ca="1">INDIRECT(ADDRESS(11+(MATCH(RIGHT(Table1820[[#This Row],[spawner_sku]],LEN(Table1820[[#This Row],[spawner_sku]])-FIND("/",Table1820[[#This Row],[spawner_sku]])),Table28[Entity Prefab],0)),26,1,1,"Entities"))</f>
        <v>yes</v>
      </c>
      <c r="FG202">
        <v>1</v>
      </c>
      <c r="FH202">
        <v>1</v>
      </c>
      <c r="FI202" t="b">
        <v>0</v>
      </c>
      <c r="FV202" t="s">
        <v>2704</v>
      </c>
      <c r="FW202">
        <v>13</v>
      </c>
      <c r="FX202">
        <v>240</v>
      </c>
      <c r="FY202">
        <v>100</v>
      </c>
      <c r="FZ202" s="74">
        <f ca="1">INDIRECT(ADDRESS(11+(MATCH(RIGHT(Table18202324[[#This Row],[spawner_sku]],LEN(Table18202324[[#This Row],[spawner_sku]])-FIND("/",Table18202324[[#This Row],[spawner_sku]])),Table1[Entity Prefab],0)),10,1,1,"Entities"))</f>
        <v>50</v>
      </c>
      <c r="GA202" s="74">
        <f ca="1">ROUND((Table18202324[[#This Row],[XP]]*Table18202324[[#This Row],[entity_spawned (AVG)]])*(Table18202324[[#This Row],[activating_chance]]/100),0)</f>
        <v>650</v>
      </c>
      <c r="GB202" s="74" t="str">
        <f ca="1">INDIRECT(ADDRESS(11+(MATCH(RIGHT(Table18202324[[#This Row],[spawner_sku]],LEN(Table18202324[[#This Row],[spawner_sku]])-FIND("/",Table18202324[[#This Row],[spawner_sku]])),Table28[Entity Prefab],0)),26,1,1,"Entities"))</f>
        <v>no</v>
      </c>
      <c r="GC202">
        <v>12</v>
      </c>
      <c r="GD202">
        <v>14</v>
      </c>
      <c r="GE202" t="b">
        <v>1</v>
      </c>
    </row>
    <row r="203" spans="2:187" x14ac:dyDescent="0.25">
      <c r="B203" s="72" t="s">
        <v>218</v>
      </c>
      <c r="C203">
        <v>1</v>
      </c>
      <c r="D203">
        <v>5000</v>
      </c>
      <c r="E203">
        <v>75</v>
      </c>
      <c r="F203" s="74">
        <f ca="1">INDIRECT(ADDRESS(11+(MATCH(RIGHT(Table245[[#This Row],[spawner_sku]],LEN(Table245[[#This Row],[spawner_sku]])-FIND("/",Table245[[#This Row],[spawner_sku]])),Table1[Entity Prefab],0)),10,1,1,"Entities"))</f>
        <v>75</v>
      </c>
      <c r="G203" s="74">
        <f ca="1">ROUND((Table245[[#This Row],[XP]]*Table245[[#This Row],[entity_spawned (AVG)]])*(Table245[[#This Row],[activating_chance]]/100),0)</f>
        <v>56</v>
      </c>
      <c r="H203" s="71" t="str">
        <f ca="1">INDIRECT(ADDRESS(11+(MATCH(RIGHT(Table245[[#This Row],[spawner_sku]],LEN(Table245[[#This Row],[spawner_sku]])-FIND("/",Table245[[#This Row],[spawner_sku]])),Table28[Entity Prefab],0)),24,1,1,"Entities"))</f>
        <v>no</v>
      </c>
      <c r="I203" s="71">
        <v>1</v>
      </c>
      <c r="J203" s="71">
        <v>1</v>
      </c>
      <c r="K203" s="71" t="b">
        <v>0</v>
      </c>
      <c r="M203" t="s">
        <v>365</v>
      </c>
      <c r="N203">
        <v>1</v>
      </c>
      <c r="O203">
        <v>240</v>
      </c>
      <c r="P203">
        <v>100</v>
      </c>
      <c r="Q203" s="74">
        <f ca="1">INDIRECT(ADDRESS(11+(MATCH(RIGHT(Table3[[#This Row],[spawner_sku]],LEN(Table3[[#This Row],[spawner_sku]])-FIND("/",Table3[[#This Row],[spawner_sku]])),Table1[Entity Prefab],0)),10,1,1,"Entities"))</f>
        <v>28</v>
      </c>
      <c r="R203" s="74">
        <f ca="1">ROUND((Table3[[#This Row],[XP]]*Table3[[#This Row],[entity_spawned (AVG)]])*(Table3[[#This Row],[activating_chance]]/100),0)</f>
        <v>28</v>
      </c>
      <c r="S203" t="str">
        <f ca="1">INDIRECT(ADDRESS(11+(MATCH(RIGHT(Table3[[#This Row],[spawner_sku]],LEN(Table3[[#This Row],[spawner_sku]])-FIND("/",Table3[[#This Row],[spawner_sku]])),Table28[Entity Prefab],0)),24,1,1,"Entities"))</f>
        <v>yes</v>
      </c>
      <c r="T203">
        <v>1</v>
      </c>
      <c r="U203">
        <v>1</v>
      </c>
      <c r="V203" t="b">
        <v>0</v>
      </c>
      <c r="AI203" t="s">
        <v>232</v>
      </c>
      <c r="AJ203">
        <v>3.5</v>
      </c>
      <c r="AK203">
        <v>180</v>
      </c>
      <c r="AL203">
        <v>100</v>
      </c>
      <c r="AM203" s="74">
        <f ca="1">INDIRECT(ADDRESS(11+(MATCH(RIGHT(Table2[[#This Row],[spawner_sku]],LEN(Table2[[#This Row],[spawner_sku]])-FIND("/",Table2[[#This Row],[spawner_sku]])),Table1[Entity Prefab],0)),10,1,1,"Entities"))</f>
        <v>25</v>
      </c>
      <c r="AN203" s="74">
        <f ca="1">ROUND((Table2[[#This Row],[XP]]*Table2[[#This Row],[entity_spawned (AVG)]])*(Table2[[#This Row],[activating_chance]]/100),0)</f>
        <v>88</v>
      </c>
      <c r="AO203" s="71" t="str">
        <f ca="1">INDIRECT(ADDRESS(11+(MATCH(RIGHT(Table2[[#This Row],[spawner_sku]],LEN(Table2[[#This Row],[spawner_sku]])-FIND("/",Table2[[#This Row],[spawner_sku]])),Table28[Entity Prefab],0)),24,1,1,"Entities"))</f>
        <v>no</v>
      </c>
      <c r="AP203" s="71">
        <v>3</v>
      </c>
      <c r="AQ203" s="71">
        <v>4</v>
      </c>
      <c r="AR203" s="71" t="b">
        <v>0</v>
      </c>
      <c r="BE203" t="s">
        <v>241</v>
      </c>
      <c r="BF203">
        <v>1</v>
      </c>
      <c r="BG203">
        <v>200</v>
      </c>
      <c r="BH203">
        <v>100</v>
      </c>
      <c r="BI203" s="74">
        <f ca="1">INDIRECT(ADDRESS(11+(MATCH(RIGHT(Table610[[#This Row],[spawner_sku]],LEN(Table610[[#This Row],[spawner_sku]])-FIND("/",Table610[[#This Row],[spawner_sku]])),Table1[Entity Prefab],0)),10,1,1,"Entities"))</f>
        <v>70</v>
      </c>
      <c r="BJ203" s="74">
        <f ca="1">ROUND((Table610[[#This Row],[XP]]*Table610[[#This Row],[entity_spawned (AVG)]])*(Table610[[#This Row],[activating_chance]]/100),0)</f>
        <v>70</v>
      </c>
      <c r="BK203" s="71" t="str">
        <f ca="1">INDIRECT(ADDRESS(11+(MATCH(RIGHT(Table610[[#This Row],[spawner_sku]],LEN(Table610[[#This Row],[spawner_sku]])-FIND("/",Table610[[#This Row],[spawner_sku]])),Table28[Entity Prefab],0)),24,1,1,"Entities"))</f>
        <v>yes</v>
      </c>
      <c r="BL203">
        <v>1</v>
      </c>
      <c r="BM203">
        <v>1</v>
      </c>
      <c r="BN203" t="b">
        <v>0</v>
      </c>
      <c r="BP203" t="s">
        <v>232</v>
      </c>
      <c r="BQ203">
        <v>7</v>
      </c>
      <c r="BR203">
        <v>220</v>
      </c>
      <c r="BS203">
        <v>80</v>
      </c>
      <c r="BT203" s="74">
        <f ca="1">INDIRECT(ADDRESS(11+(MATCH(RIGHT(Table61011[[#This Row],[spawner_sku]],LEN(Table61011[[#This Row],[spawner_sku]])-FIND("/",Table61011[[#This Row],[spawner_sku]])),Table1[Entity Prefab],0)),10,1,1,"Entities"))</f>
        <v>25</v>
      </c>
      <c r="BU203" s="74">
        <f ca="1">ROUND((Table61011[[#This Row],[XP]]*Table61011[[#This Row],[entity_spawned (AVG)]])*(Table61011[[#This Row],[activating_chance]]/100),0)</f>
        <v>140</v>
      </c>
      <c r="BV203" s="71" t="str">
        <f ca="1">INDIRECT(ADDRESS(11+(MATCH(RIGHT(Table61011[[#This Row],[spawner_sku]],LEN(Table61011[[#This Row],[spawner_sku]])-FIND("/",Table61011[[#This Row],[spawner_sku]])),Table28[Entity Prefab],0)),24,1,1,"Entities"))</f>
        <v>no</v>
      </c>
      <c r="BW203" s="71">
        <v>6</v>
      </c>
      <c r="BX203" s="71">
        <v>8</v>
      </c>
      <c r="BY203" s="71" t="b">
        <v>1</v>
      </c>
      <c r="BZ203" s="71"/>
      <c r="CA203" s="147" t="s">
        <v>3821</v>
      </c>
      <c r="CB203">
        <v>1</v>
      </c>
      <c r="CC203">
        <v>240</v>
      </c>
      <c r="CD203">
        <v>100</v>
      </c>
      <c r="CE203" s="74">
        <f ca="1">INDIRECT(ADDRESS(11+(MATCH(RIGHT(Table35[[#This Row],[spawner_sku]],LEN(Table35[[#This Row],[spawner_sku]])-FIND("/",Table35[[#This Row],[spawner_sku]])),Table1[Entity Prefab],0)),10,1,1,"Entities"))</f>
        <v>10</v>
      </c>
      <c r="CF203" s="74">
        <f ca="1">ROUND((Table35[[#This Row],[XP]]*Table35[[#This Row],[entity_spawned (AVG)]])*(Table35[[#This Row],[activating_chance]]/100),0)</f>
        <v>10</v>
      </c>
      <c r="CG203" s="144" t="str">
        <f ca="1">INDIRECT(ADDRESS(11+(MATCH(RIGHT(Table35[[#This Row],[spawner_sku]],LEN(Table35[[#This Row],[spawner_sku]])-FIND("/",Table35[[#This Row],[spawner_sku]])),Table28[Entity Prefab],0)),24,1,1,"Entities"))</f>
        <v>no</v>
      </c>
      <c r="CH203">
        <v>1</v>
      </c>
      <c r="CI203">
        <v>1</v>
      </c>
      <c r="CJ203" s="71" t="b">
        <v>0</v>
      </c>
      <c r="CL203" t="s">
        <v>226</v>
      </c>
      <c r="CM203">
        <v>1</v>
      </c>
      <c r="CN203">
        <v>2000</v>
      </c>
      <c r="CO203">
        <v>100</v>
      </c>
      <c r="CP203" s="74">
        <f ca="1">INDIRECT(ADDRESS(11+(MATCH(RIGHT(Table11[[#This Row],[spawner_sku]],LEN(Table11[[#This Row],[spawner_sku]])-FIND("/",Table11[[#This Row],[spawner_sku]])),Table1[Entity Prefab],0)),10,1,1,"Entities"))</f>
        <v>175</v>
      </c>
      <c r="CQ203">
        <f ca="1">ROUND((Table11[[#This Row],[XP]]*Table11[[#This Row],[entity_spawned (AVG)]])*(Table11[[#This Row],[activating_chance]]/100),0)</f>
        <v>175</v>
      </c>
      <c r="CR203" s="144" t="str">
        <f ca="1">INDIRECT(ADDRESS(11+(MATCH(RIGHT(Table11[[#This Row],[spawner_sku]],LEN(Table11[[#This Row],[spawner_sku]])-FIND("/",Table11[[#This Row],[spawner_sku]])),Table28[Entity Prefab],0)),25,1,1,"Entities"))</f>
        <v>yes</v>
      </c>
      <c r="CS203" s="71">
        <v>1</v>
      </c>
      <c r="CT203" s="71">
        <v>1</v>
      </c>
      <c r="CU203" s="71" t="b">
        <v>0</v>
      </c>
      <c r="CW203" t="s">
        <v>503</v>
      </c>
      <c r="CX203">
        <v>1</v>
      </c>
      <c r="CY203">
        <v>240</v>
      </c>
      <c r="CZ203">
        <v>100</v>
      </c>
      <c r="DA203" s="74">
        <f ca="1">INDIRECT(ADDRESS(11+(MATCH(RIGHT(Table12[[#This Row],[spawner_sku]],LEN(Table12[[#This Row],[spawner_sku]])-FIND("/",Table12[[#This Row],[spawner_sku]])),Table1[Entity Prefab],0)),10,1,1,"Entities"))</f>
        <v>55</v>
      </c>
      <c r="DB203" s="74">
        <f ca="1">ROUND((Table12[[#This Row],[XP]]*Table12[[#This Row],[entity_spawned (AVG)]])*(Table12[[#This Row],[activating_chance]]/100),0)</f>
        <v>55</v>
      </c>
      <c r="DC203" s="144" t="str">
        <f ca="1">INDIRECT(ADDRESS(11+(MATCH(RIGHT(Table12[[#This Row],[spawner_sku]],LEN(Table12[[#This Row],[spawner_sku]])-FIND("/",Table12[[#This Row],[spawner_sku]])),Table28[Entity Prefab],0)),25,1,1,"Entities"))</f>
        <v>yes</v>
      </c>
      <c r="DD203" s="71">
        <v>1</v>
      </c>
      <c r="DE203" s="71">
        <v>1</v>
      </c>
      <c r="DF203" s="71" t="b">
        <v>0</v>
      </c>
      <c r="DH203" t="s">
        <v>242</v>
      </c>
      <c r="DI203">
        <v>1</v>
      </c>
      <c r="DJ203">
        <v>150</v>
      </c>
      <c r="DK203">
        <v>100</v>
      </c>
      <c r="DL203" s="74">
        <f ca="1">INDIRECT(ADDRESS(11+(MATCH(RIGHT(Table13[[#This Row],[spawner_sku]],LEN(Table13[[#This Row],[spawner_sku]])-FIND("/",Table13[[#This Row],[spawner_sku]])),Table1[Entity Prefab],0)),10,1,1,"Entities"))</f>
        <v>25</v>
      </c>
      <c r="DM203" s="74">
        <f ca="1">ROUND((Table13[[#This Row],[XP]]*Table13[[#This Row],[entity_spawned (AVG)]])*(Table13[[#This Row],[activating_chance]]/100),0)</f>
        <v>25</v>
      </c>
      <c r="DN203" s="144" t="str">
        <f ca="1">INDIRECT(ADDRESS(11+(MATCH(RIGHT(Table13[[#This Row],[spawner_sku]],LEN(Table13[[#This Row],[spawner_sku]])-FIND("/",Table13[[#This Row],[spawner_sku]])),Table28[Entity Prefab],0)),25,1,1,"Entities"))</f>
        <v>no</v>
      </c>
      <c r="DO203" s="71">
        <v>1</v>
      </c>
      <c r="DP203" s="71">
        <v>1</v>
      </c>
      <c r="DQ203" s="71" t="b">
        <v>0</v>
      </c>
      <c r="DS203" t="s">
        <v>370</v>
      </c>
      <c r="DT203">
        <v>1</v>
      </c>
      <c r="DU203">
        <v>450</v>
      </c>
      <c r="DV203">
        <v>30</v>
      </c>
      <c r="DW203" s="74">
        <f ca="1">INDIRECT(ADDRESS(11+(MATCH(RIGHT(Table14[[#This Row],[spawner_sku]],LEN(Table14[[#This Row],[spawner_sku]])-FIND("/",Table14[[#This Row],[spawner_sku]])),Table1[Entity Prefab],0)),10,1,1,"Entities"))</f>
        <v>0</v>
      </c>
      <c r="DX203" s="74">
        <f ca="1">ROUND((Table14[[#This Row],[XP]]*Table14[[#This Row],[entity_spawned (AVG)]])*(Table14[[#This Row],[activating_chance]]/100),0)</f>
        <v>0</v>
      </c>
      <c r="DY203" s="144" t="str">
        <f ca="1">INDIRECT(ADDRESS(11+(MATCH(RIGHT(Table14[[#This Row],[spawner_sku]],LEN(Table14[[#This Row],[spawner_sku]])-FIND("/",Table14[[#This Row],[spawner_sku]])),Table28[Entity Prefab],0)),25,1,1,"Entities"))</f>
        <v>no</v>
      </c>
      <c r="DZ203" s="71">
        <v>1</v>
      </c>
      <c r="EA203" s="71">
        <v>1</v>
      </c>
      <c r="EB203" s="71" t="b">
        <v>0</v>
      </c>
      <c r="EC203" s="71"/>
      <c r="EO203" t="s">
        <v>446</v>
      </c>
      <c r="EP203">
        <v>1</v>
      </c>
      <c r="EQ203">
        <v>240</v>
      </c>
      <c r="ER203">
        <v>100</v>
      </c>
      <c r="ES203" s="74">
        <f ca="1">INDIRECT(ADDRESS(11+(MATCH(RIGHT(Table18[[#This Row],[spawner_sku]],LEN(Table18[[#This Row],[spawner_sku]])-FIND("/",Table18[[#This Row],[spawner_sku]])),Table1[Entity Prefab],0)),10,1,1,"Entities"))</f>
        <v>83</v>
      </c>
      <c r="ET203" s="74">
        <f ca="1">ROUND((Table18[[#This Row],[XP]]*Table18[[#This Row],[entity_spawned (AVG)]])*(Table18[[#This Row],[activating_chance]]/100),0)</f>
        <v>83</v>
      </c>
      <c r="EU203" s="74" t="str">
        <f ca="1">INDIRECT(ADDRESS(11+(MATCH(RIGHT(Table18[[#This Row],[spawner_sku]],LEN(Table18[[#This Row],[spawner_sku]])-FIND("/",Table18[[#This Row],[spawner_sku]])),Table28[Entity Prefab],0)),26,1,1,"Entities"))</f>
        <v>yes</v>
      </c>
      <c r="EV203">
        <v>1</v>
      </c>
      <c r="EW203">
        <v>1</v>
      </c>
      <c r="EX203" t="b">
        <v>0</v>
      </c>
      <c r="EZ203" t="s">
        <v>585</v>
      </c>
      <c r="FA203">
        <v>1</v>
      </c>
      <c r="FB203">
        <v>500</v>
      </c>
      <c r="FC203">
        <v>100</v>
      </c>
      <c r="FD203" s="74">
        <f ca="1">INDIRECT(ADDRESS(11+(MATCH(RIGHT(Table1820[[#This Row],[spawner_sku]],LEN(Table1820[[#This Row],[spawner_sku]])-FIND("/",Table1820[[#This Row],[spawner_sku]])),Table1[Entity Prefab],0)),10,1,1,"Entities"))</f>
        <v>130</v>
      </c>
      <c r="FE203" s="74">
        <f ca="1">ROUND((Table1820[[#This Row],[XP]]*Table1820[[#This Row],[entity_spawned (AVG)]])*(Table1820[[#This Row],[activating_chance]]/100),0)</f>
        <v>130</v>
      </c>
      <c r="FF203" s="74" t="str">
        <f ca="1">INDIRECT(ADDRESS(11+(MATCH(RIGHT(Table1820[[#This Row],[spawner_sku]],LEN(Table1820[[#This Row],[spawner_sku]])-FIND("/",Table1820[[#This Row],[spawner_sku]])),Table28[Entity Prefab],0)),26,1,1,"Entities"))</f>
        <v>yes</v>
      </c>
      <c r="FG203">
        <v>1</v>
      </c>
      <c r="FH203">
        <v>1</v>
      </c>
      <c r="FI203" t="b">
        <v>0</v>
      </c>
      <c r="FV203" t="s">
        <v>2704</v>
      </c>
      <c r="FW203">
        <v>7.5</v>
      </c>
      <c r="FX203">
        <v>240</v>
      </c>
      <c r="FY203">
        <v>100</v>
      </c>
      <c r="FZ203" s="74">
        <f ca="1">INDIRECT(ADDRESS(11+(MATCH(RIGHT(Table18202324[[#This Row],[spawner_sku]],LEN(Table18202324[[#This Row],[spawner_sku]])-FIND("/",Table18202324[[#This Row],[spawner_sku]])),Table1[Entity Prefab],0)),10,1,1,"Entities"))</f>
        <v>50</v>
      </c>
      <c r="GA203" s="74">
        <f ca="1">ROUND((Table18202324[[#This Row],[XP]]*Table18202324[[#This Row],[entity_spawned (AVG)]])*(Table18202324[[#This Row],[activating_chance]]/100),0)</f>
        <v>375</v>
      </c>
      <c r="GB203" s="74" t="str">
        <f ca="1">INDIRECT(ADDRESS(11+(MATCH(RIGHT(Table18202324[[#This Row],[spawner_sku]],LEN(Table18202324[[#This Row],[spawner_sku]])-FIND("/",Table18202324[[#This Row],[spawner_sku]])),Table28[Entity Prefab],0)),26,1,1,"Entities"))</f>
        <v>no</v>
      </c>
      <c r="GC203">
        <v>5</v>
      </c>
      <c r="GD203">
        <v>10</v>
      </c>
      <c r="GE203" t="b">
        <v>1</v>
      </c>
    </row>
    <row r="204" spans="2:187" x14ac:dyDescent="0.25">
      <c r="B204" s="72" t="s">
        <v>218</v>
      </c>
      <c r="C204">
        <v>1</v>
      </c>
      <c r="D204">
        <v>5000</v>
      </c>
      <c r="E204">
        <v>30</v>
      </c>
      <c r="F204" s="74">
        <f ca="1">INDIRECT(ADDRESS(11+(MATCH(RIGHT(Table245[[#This Row],[spawner_sku]],LEN(Table245[[#This Row],[spawner_sku]])-FIND("/",Table245[[#This Row],[spawner_sku]])),Table1[Entity Prefab],0)),10,1,1,"Entities"))</f>
        <v>75</v>
      </c>
      <c r="G204" s="74">
        <f ca="1">ROUND((Table245[[#This Row],[XP]]*Table245[[#This Row],[entity_spawned (AVG)]])*(Table245[[#This Row],[activating_chance]]/100),0)</f>
        <v>23</v>
      </c>
      <c r="H204" s="71" t="str">
        <f ca="1">INDIRECT(ADDRESS(11+(MATCH(RIGHT(Table245[[#This Row],[spawner_sku]],LEN(Table245[[#This Row],[spawner_sku]])-FIND("/",Table245[[#This Row],[spawner_sku]])),Table28[Entity Prefab],0)),24,1,1,"Entities"))</f>
        <v>no</v>
      </c>
      <c r="I204" s="71">
        <v>1</v>
      </c>
      <c r="J204" s="71">
        <v>1</v>
      </c>
      <c r="K204" s="71" t="b">
        <v>0</v>
      </c>
      <c r="M204" t="s">
        <v>223</v>
      </c>
      <c r="N204">
        <v>2</v>
      </c>
      <c r="O204">
        <v>140</v>
      </c>
      <c r="P204">
        <v>70</v>
      </c>
      <c r="Q204" s="74">
        <f ca="1">INDIRECT(ADDRESS(11+(MATCH(RIGHT(Table3[[#This Row],[spawner_sku]],LEN(Table3[[#This Row],[spawner_sku]])-FIND("/",Table3[[#This Row],[spawner_sku]])),Table1[Entity Prefab],0)),10,1,1,"Entities"))</f>
        <v>70</v>
      </c>
      <c r="R204" s="74">
        <f ca="1">ROUND((Table3[[#This Row],[XP]]*Table3[[#This Row],[entity_spawned (AVG)]])*(Table3[[#This Row],[activating_chance]]/100),0)</f>
        <v>98</v>
      </c>
      <c r="S204" t="str">
        <f ca="1">INDIRECT(ADDRESS(11+(MATCH(RIGHT(Table3[[#This Row],[spawner_sku]],LEN(Table3[[#This Row],[spawner_sku]])-FIND("/",Table3[[#This Row],[spawner_sku]])),Table28[Entity Prefab],0)),24,1,1,"Entities"))</f>
        <v>yes</v>
      </c>
      <c r="T204">
        <v>2</v>
      </c>
      <c r="U204">
        <v>2</v>
      </c>
      <c r="V204" t="b">
        <v>0</v>
      </c>
      <c r="AI204" t="s">
        <v>232</v>
      </c>
      <c r="AJ204">
        <v>6</v>
      </c>
      <c r="AK204">
        <v>180</v>
      </c>
      <c r="AL204">
        <v>100</v>
      </c>
      <c r="AM204" s="74">
        <f ca="1">INDIRECT(ADDRESS(11+(MATCH(RIGHT(Table2[[#This Row],[spawner_sku]],LEN(Table2[[#This Row],[spawner_sku]])-FIND("/",Table2[[#This Row],[spawner_sku]])),Table1[Entity Prefab],0)),10,1,1,"Entities"))</f>
        <v>25</v>
      </c>
      <c r="AN204" s="74">
        <f ca="1">ROUND((Table2[[#This Row],[XP]]*Table2[[#This Row],[entity_spawned (AVG)]])*(Table2[[#This Row],[activating_chance]]/100),0)</f>
        <v>150</v>
      </c>
      <c r="AO204" s="71" t="str">
        <f ca="1">INDIRECT(ADDRESS(11+(MATCH(RIGHT(Table2[[#This Row],[spawner_sku]],LEN(Table2[[#This Row],[spawner_sku]])-FIND("/",Table2[[#This Row],[spawner_sku]])),Table28[Entity Prefab],0)),24,1,1,"Entities"))</f>
        <v>no</v>
      </c>
      <c r="AP204" s="71">
        <v>5</v>
      </c>
      <c r="AQ204" s="71">
        <v>7</v>
      </c>
      <c r="AR204" s="71" t="b">
        <v>1</v>
      </c>
      <c r="BE204" t="s">
        <v>241</v>
      </c>
      <c r="BF204">
        <v>1</v>
      </c>
      <c r="BG204">
        <v>170</v>
      </c>
      <c r="BH204">
        <v>100</v>
      </c>
      <c r="BI204" s="74">
        <f ca="1">INDIRECT(ADDRESS(11+(MATCH(RIGHT(Table610[[#This Row],[spawner_sku]],LEN(Table610[[#This Row],[spawner_sku]])-FIND("/",Table610[[#This Row],[spawner_sku]])),Table1[Entity Prefab],0)),10,1,1,"Entities"))</f>
        <v>70</v>
      </c>
      <c r="BJ204" s="74">
        <f ca="1">ROUND((Table610[[#This Row],[XP]]*Table610[[#This Row],[entity_spawned (AVG)]])*(Table610[[#This Row],[activating_chance]]/100),0)</f>
        <v>70</v>
      </c>
      <c r="BK204" s="71" t="str">
        <f ca="1">INDIRECT(ADDRESS(11+(MATCH(RIGHT(Table610[[#This Row],[spawner_sku]],LEN(Table610[[#This Row],[spawner_sku]])-FIND("/",Table610[[#This Row],[spawner_sku]])),Table28[Entity Prefab],0)),24,1,1,"Entities"))</f>
        <v>yes</v>
      </c>
      <c r="BL204">
        <v>1</v>
      </c>
      <c r="BM204">
        <v>1</v>
      </c>
      <c r="BN204" t="b">
        <v>0</v>
      </c>
      <c r="BP204" t="s">
        <v>232</v>
      </c>
      <c r="BQ204">
        <v>3.5</v>
      </c>
      <c r="BR204">
        <v>190</v>
      </c>
      <c r="BS204">
        <v>100</v>
      </c>
      <c r="BT204" s="74">
        <f ca="1">INDIRECT(ADDRESS(11+(MATCH(RIGHT(Table61011[[#This Row],[spawner_sku]],LEN(Table61011[[#This Row],[spawner_sku]])-FIND("/",Table61011[[#This Row],[spawner_sku]])),Table1[Entity Prefab],0)),10,1,1,"Entities"))</f>
        <v>25</v>
      </c>
      <c r="BU204" s="74">
        <f ca="1">ROUND((Table61011[[#This Row],[XP]]*Table61011[[#This Row],[entity_spawned (AVG)]])*(Table61011[[#This Row],[activating_chance]]/100),0)</f>
        <v>88</v>
      </c>
      <c r="BV204" s="71" t="str">
        <f ca="1">INDIRECT(ADDRESS(11+(MATCH(RIGHT(Table61011[[#This Row],[spawner_sku]],LEN(Table61011[[#This Row],[spawner_sku]])-FIND("/",Table61011[[#This Row],[spawner_sku]])),Table28[Entity Prefab],0)),24,1,1,"Entities"))</f>
        <v>no</v>
      </c>
      <c r="BW204" s="71">
        <v>3</v>
      </c>
      <c r="BX204" s="71">
        <v>4</v>
      </c>
      <c r="BY204" s="71" t="b">
        <v>0</v>
      </c>
      <c r="BZ204" s="71"/>
      <c r="CA204" s="147" t="s">
        <v>3821</v>
      </c>
      <c r="CB204">
        <v>1</v>
      </c>
      <c r="CC204">
        <v>240</v>
      </c>
      <c r="CD204">
        <v>100</v>
      </c>
      <c r="CE204" s="74">
        <f ca="1">INDIRECT(ADDRESS(11+(MATCH(RIGHT(Table35[[#This Row],[spawner_sku]],LEN(Table35[[#This Row],[spawner_sku]])-FIND("/",Table35[[#This Row],[spawner_sku]])),Table1[Entity Prefab],0)),10,1,1,"Entities"))</f>
        <v>10</v>
      </c>
      <c r="CF204" s="74">
        <f ca="1">ROUND((Table35[[#This Row],[XP]]*Table35[[#This Row],[entity_spawned (AVG)]])*(Table35[[#This Row],[activating_chance]]/100),0)</f>
        <v>10</v>
      </c>
      <c r="CG204" s="144" t="str">
        <f ca="1">INDIRECT(ADDRESS(11+(MATCH(RIGHT(Table35[[#This Row],[spawner_sku]],LEN(Table35[[#This Row],[spawner_sku]])-FIND("/",Table35[[#This Row],[spawner_sku]])),Table28[Entity Prefab],0)),24,1,1,"Entities"))</f>
        <v>no</v>
      </c>
      <c r="CH204">
        <v>1</v>
      </c>
      <c r="CI204">
        <v>1</v>
      </c>
      <c r="CJ204" s="71" t="b">
        <v>0</v>
      </c>
      <c r="CL204" t="s">
        <v>226</v>
      </c>
      <c r="CM204">
        <v>1</v>
      </c>
      <c r="CN204">
        <v>2000</v>
      </c>
      <c r="CO204">
        <v>100</v>
      </c>
      <c r="CP204" s="74">
        <f ca="1">INDIRECT(ADDRESS(11+(MATCH(RIGHT(Table11[[#This Row],[spawner_sku]],LEN(Table11[[#This Row],[spawner_sku]])-FIND("/",Table11[[#This Row],[spawner_sku]])),Table1[Entity Prefab],0)),10,1,1,"Entities"))</f>
        <v>175</v>
      </c>
      <c r="CQ204">
        <f ca="1">ROUND((Table11[[#This Row],[XP]]*Table11[[#This Row],[entity_spawned (AVG)]])*(Table11[[#This Row],[activating_chance]]/100),0)</f>
        <v>175</v>
      </c>
      <c r="CR204" s="144" t="str">
        <f ca="1">INDIRECT(ADDRESS(11+(MATCH(RIGHT(Table11[[#This Row],[spawner_sku]],LEN(Table11[[#This Row],[spawner_sku]])-FIND("/",Table11[[#This Row],[spawner_sku]])),Table28[Entity Prefab],0)),25,1,1,"Entities"))</f>
        <v>yes</v>
      </c>
      <c r="CS204" s="71">
        <v>1</v>
      </c>
      <c r="CT204" s="71">
        <v>1</v>
      </c>
      <c r="CU204" s="71" t="b">
        <v>0</v>
      </c>
      <c r="CW204" t="s">
        <v>503</v>
      </c>
      <c r="CX204">
        <v>1</v>
      </c>
      <c r="CY204">
        <v>240</v>
      </c>
      <c r="CZ204">
        <v>100</v>
      </c>
      <c r="DA204" s="74">
        <f ca="1">INDIRECT(ADDRESS(11+(MATCH(RIGHT(Table12[[#This Row],[spawner_sku]],LEN(Table12[[#This Row],[spawner_sku]])-FIND("/",Table12[[#This Row],[spawner_sku]])),Table1[Entity Prefab],0)),10,1,1,"Entities"))</f>
        <v>55</v>
      </c>
      <c r="DB204" s="74">
        <f ca="1">ROUND((Table12[[#This Row],[XP]]*Table12[[#This Row],[entity_spawned (AVG)]])*(Table12[[#This Row],[activating_chance]]/100),0)</f>
        <v>55</v>
      </c>
      <c r="DC204" s="144" t="str">
        <f ca="1">INDIRECT(ADDRESS(11+(MATCH(RIGHT(Table12[[#This Row],[spawner_sku]],LEN(Table12[[#This Row],[spawner_sku]])-FIND("/",Table12[[#This Row],[spawner_sku]])),Table28[Entity Prefab],0)),25,1,1,"Entities"))</f>
        <v>yes</v>
      </c>
      <c r="DD204" s="71">
        <v>1</v>
      </c>
      <c r="DE204" s="71">
        <v>1</v>
      </c>
      <c r="DF204" s="71" t="b">
        <v>0</v>
      </c>
      <c r="DH204" t="s">
        <v>242</v>
      </c>
      <c r="DI204">
        <v>1</v>
      </c>
      <c r="DJ204">
        <v>150</v>
      </c>
      <c r="DK204">
        <v>100</v>
      </c>
      <c r="DL204" s="74">
        <f ca="1">INDIRECT(ADDRESS(11+(MATCH(RIGHT(Table13[[#This Row],[spawner_sku]],LEN(Table13[[#This Row],[spawner_sku]])-FIND("/",Table13[[#This Row],[spawner_sku]])),Table1[Entity Prefab],0)),10,1,1,"Entities"))</f>
        <v>25</v>
      </c>
      <c r="DM204" s="74">
        <f ca="1">ROUND((Table13[[#This Row],[XP]]*Table13[[#This Row],[entity_spawned (AVG)]])*(Table13[[#This Row],[activating_chance]]/100),0)</f>
        <v>25</v>
      </c>
      <c r="DN204" s="144" t="str">
        <f ca="1">INDIRECT(ADDRESS(11+(MATCH(RIGHT(Table13[[#This Row],[spawner_sku]],LEN(Table13[[#This Row],[spawner_sku]])-FIND("/",Table13[[#This Row],[spawner_sku]])),Table28[Entity Prefab],0)),25,1,1,"Entities"))</f>
        <v>no</v>
      </c>
      <c r="DO204" s="71">
        <v>1</v>
      </c>
      <c r="DP204" s="71">
        <v>1</v>
      </c>
      <c r="DQ204" s="71" t="b">
        <v>0</v>
      </c>
      <c r="DS204" t="s">
        <v>370</v>
      </c>
      <c r="DT204">
        <v>1</v>
      </c>
      <c r="DU204">
        <v>450</v>
      </c>
      <c r="DV204">
        <v>100</v>
      </c>
      <c r="DW204" s="74">
        <f ca="1">INDIRECT(ADDRESS(11+(MATCH(RIGHT(Table14[[#This Row],[spawner_sku]],LEN(Table14[[#This Row],[spawner_sku]])-FIND("/",Table14[[#This Row],[spawner_sku]])),Table1[Entity Prefab],0)),10,1,1,"Entities"))</f>
        <v>0</v>
      </c>
      <c r="DX204" s="74">
        <f ca="1">ROUND((Table14[[#This Row],[XP]]*Table14[[#This Row],[entity_spawned (AVG)]])*(Table14[[#This Row],[activating_chance]]/100),0)</f>
        <v>0</v>
      </c>
      <c r="DY204" s="144" t="str">
        <f ca="1">INDIRECT(ADDRESS(11+(MATCH(RIGHT(Table14[[#This Row],[spawner_sku]],LEN(Table14[[#This Row],[spawner_sku]])-FIND("/",Table14[[#This Row],[spawner_sku]])),Table28[Entity Prefab],0)),25,1,1,"Entities"))</f>
        <v>no</v>
      </c>
      <c r="DZ204" s="71">
        <v>1</v>
      </c>
      <c r="EA204" s="71">
        <v>1</v>
      </c>
      <c r="EB204" s="71" t="b">
        <v>0</v>
      </c>
      <c r="EC204" s="71"/>
      <c r="EO204" t="s">
        <v>447</v>
      </c>
      <c r="EP204">
        <v>1</v>
      </c>
      <c r="EQ204">
        <v>180</v>
      </c>
      <c r="ER204">
        <v>100</v>
      </c>
      <c r="ES204" s="74">
        <f ca="1">INDIRECT(ADDRESS(11+(MATCH(RIGHT(Table18[[#This Row],[spawner_sku]],LEN(Table18[[#This Row],[spawner_sku]])-FIND("/",Table18[[#This Row],[spawner_sku]])),Table1[Entity Prefab],0)),10,1,1,"Entities"))</f>
        <v>105</v>
      </c>
      <c r="ET204" s="74">
        <f ca="1">ROUND((Table18[[#This Row],[XP]]*Table18[[#This Row],[entity_spawned (AVG)]])*(Table18[[#This Row],[activating_chance]]/100),0)</f>
        <v>105</v>
      </c>
      <c r="EU204" s="74" t="str">
        <f ca="1">INDIRECT(ADDRESS(11+(MATCH(RIGHT(Table18[[#This Row],[spawner_sku]],LEN(Table18[[#This Row],[spawner_sku]])-FIND("/",Table18[[#This Row],[spawner_sku]])),Table28[Entity Prefab],0)),26,1,1,"Entities"))</f>
        <v>yes</v>
      </c>
      <c r="EV204">
        <v>1</v>
      </c>
      <c r="EW204">
        <v>1</v>
      </c>
      <c r="EX204" t="b">
        <v>0</v>
      </c>
      <c r="EZ204" t="s">
        <v>585</v>
      </c>
      <c r="FA204">
        <v>1</v>
      </c>
      <c r="FB204">
        <v>500</v>
      </c>
      <c r="FC204">
        <v>100</v>
      </c>
      <c r="FD204" s="74">
        <f ca="1">INDIRECT(ADDRESS(11+(MATCH(RIGHT(Table1820[[#This Row],[spawner_sku]],LEN(Table1820[[#This Row],[spawner_sku]])-FIND("/",Table1820[[#This Row],[spawner_sku]])),Table1[Entity Prefab],0)),10,1,1,"Entities"))</f>
        <v>130</v>
      </c>
      <c r="FE204" s="74">
        <f ca="1">ROUND((Table1820[[#This Row],[XP]]*Table1820[[#This Row],[entity_spawned (AVG)]])*(Table1820[[#This Row],[activating_chance]]/100),0)</f>
        <v>130</v>
      </c>
      <c r="FF204" s="74" t="str">
        <f ca="1">INDIRECT(ADDRESS(11+(MATCH(RIGHT(Table1820[[#This Row],[spawner_sku]],LEN(Table1820[[#This Row],[spawner_sku]])-FIND("/",Table1820[[#This Row],[spawner_sku]])),Table28[Entity Prefab],0)),26,1,1,"Entities"))</f>
        <v>yes</v>
      </c>
      <c r="FG204">
        <v>1</v>
      </c>
      <c r="FH204">
        <v>1</v>
      </c>
      <c r="FI204" t="b">
        <v>0</v>
      </c>
      <c r="FV204" t="s">
        <v>2704</v>
      </c>
      <c r="FW204">
        <v>7.5</v>
      </c>
      <c r="FX204">
        <v>240</v>
      </c>
      <c r="FY204">
        <v>100</v>
      </c>
      <c r="FZ204" s="74">
        <f ca="1">INDIRECT(ADDRESS(11+(MATCH(RIGHT(Table18202324[[#This Row],[spawner_sku]],LEN(Table18202324[[#This Row],[spawner_sku]])-FIND("/",Table18202324[[#This Row],[spawner_sku]])),Table1[Entity Prefab],0)),10,1,1,"Entities"))</f>
        <v>50</v>
      </c>
      <c r="GA204" s="74">
        <f ca="1">ROUND((Table18202324[[#This Row],[XP]]*Table18202324[[#This Row],[entity_spawned (AVG)]])*(Table18202324[[#This Row],[activating_chance]]/100),0)</f>
        <v>375</v>
      </c>
      <c r="GB204" s="74" t="str">
        <f ca="1">INDIRECT(ADDRESS(11+(MATCH(RIGHT(Table18202324[[#This Row],[spawner_sku]],LEN(Table18202324[[#This Row],[spawner_sku]])-FIND("/",Table18202324[[#This Row],[spawner_sku]])),Table28[Entity Prefab],0)),26,1,1,"Entities"))</f>
        <v>no</v>
      </c>
      <c r="GC204">
        <v>5</v>
      </c>
      <c r="GD204">
        <v>10</v>
      </c>
      <c r="GE204" t="b">
        <v>1</v>
      </c>
    </row>
    <row r="205" spans="2:187" x14ac:dyDescent="0.25">
      <c r="B205" s="72" t="s">
        <v>218</v>
      </c>
      <c r="C205">
        <v>1</v>
      </c>
      <c r="D205">
        <v>5000</v>
      </c>
      <c r="E205">
        <v>75</v>
      </c>
      <c r="F205" s="74">
        <f ca="1">INDIRECT(ADDRESS(11+(MATCH(RIGHT(Table245[[#This Row],[spawner_sku]],LEN(Table245[[#This Row],[spawner_sku]])-FIND("/",Table245[[#This Row],[spawner_sku]])),Table1[Entity Prefab],0)),10,1,1,"Entities"))</f>
        <v>75</v>
      </c>
      <c r="G205" s="74">
        <f ca="1">ROUND((Table245[[#This Row],[XP]]*Table245[[#This Row],[entity_spawned (AVG)]])*(Table245[[#This Row],[activating_chance]]/100),0)</f>
        <v>56</v>
      </c>
      <c r="H205" s="71" t="str">
        <f ca="1">INDIRECT(ADDRESS(11+(MATCH(RIGHT(Table245[[#This Row],[spawner_sku]],LEN(Table245[[#This Row],[spawner_sku]])-FIND("/",Table245[[#This Row],[spawner_sku]])),Table28[Entity Prefab],0)),24,1,1,"Entities"))</f>
        <v>no</v>
      </c>
      <c r="I205" s="71">
        <v>1</v>
      </c>
      <c r="J205" s="71">
        <v>1</v>
      </c>
      <c r="K205" s="71" t="b">
        <v>0</v>
      </c>
      <c r="M205" t="s">
        <v>230</v>
      </c>
      <c r="N205">
        <v>1</v>
      </c>
      <c r="O205">
        <v>200</v>
      </c>
      <c r="P205">
        <v>100</v>
      </c>
      <c r="Q205" s="74">
        <f ca="1">INDIRECT(ADDRESS(11+(MATCH(RIGHT(Table3[[#This Row],[spawner_sku]],LEN(Table3[[#This Row],[spawner_sku]])-FIND("/",Table3[[#This Row],[spawner_sku]])),Table1[Entity Prefab],0)),10,1,1,"Entities"))</f>
        <v>28</v>
      </c>
      <c r="R205" s="74">
        <f ca="1">ROUND((Table3[[#This Row],[XP]]*Table3[[#This Row],[entity_spawned (AVG)]])*(Table3[[#This Row],[activating_chance]]/100),0)</f>
        <v>28</v>
      </c>
      <c r="S205" t="str">
        <f ca="1">INDIRECT(ADDRESS(11+(MATCH(RIGHT(Table3[[#This Row],[spawner_sku]],LEN(Table3[[#This Row],[spawner_sku]])-FIND("/",Table3[[#This Row],[spawner_sku]])),Table28[Entity Prefab],0)),24,1,1,"Entities"))</f>
        <v>no</v>
      </c>
      <c r="T205">
        <v>1</v>
      </c>
      <c r="U205">
        <v>1</v>
      </c>
      <c r="V205" t="b">
        <v>0</v>
      </c>
      <c r="AI205" t="s">
        <v>232</v>
      </c>
      <c r="AJ205">
        <v>8</v>
      </c>
      <c r="AK205">
        <v>180</v>
      </c>
      <c r="AL205">
        <v>100</v>
      </c>
      <c r="AM205" s="74">
        <f ca="1">INDIRECT(ADDRESS(11+(MATCH(RIGHT(Table2[[#This Row],[spawner_sku]],LEN(Table2[[#This Row],[spawner_sku]])-FIND("/",Table2[[#This Row],[spawner_sku]])),Table1[Entity Prefab],0)),10,1,1,"Entities"))</f>
        <v>25</v>
      </c>
      <c r="AN205" s="74">
        <f ca="1">ROUND((Table2[[#This Row],[XP]]*Table2[[#This Row],[entity_spawned (AVG)]])*(Table2[[#This Row],[activating_chance]]/100),0)</f>
        <v>200</v>
      </c>
      <c r="AO205" s="71" t="str">
        <f ca="1">INDIRECT(ADDRESS(11+(MATCH(RIGHT(Table2[[#This Row],[spawner_sku]],LEN(Table2[[#This Row],[spawner_sku]])-FIND("/",Table2[[#This Row],[spawner_sku]])),Table28[Entity Prefab],0)),24,1,1,"Entities"))</f>
        <v>no</v>
      </c>
      <c r="AP205" s="71">
        <v>6</v>
      </c>
      <c r="AQ205" s="71">
        <v>10</v>
      </c>
      <c r="AR205" s="71" t="b">
        <v>1</v>
      </c>
      <c r="BE205" t="s">
        <v>241</v>
      </c>
      <c r="BF205">
        <v>1</v>
      </c>
      <c r="BG205">
        <v>170</v>
      </c>
      <c r="BH205">
        <v>100</v>
      </c>
      <c r="BI205" s="74">
        <f ca="1">INDIRECT(ADDRESS(11+(MATCH(RIGHT(Table610[[#This Row],[spawner_sku]],LEN(Table610[[#This Row],[spawner_sku]])-FIND("/",Table610[[#This Row],[spawner_sku]])),Table1[Entity Prefab],0)),10,1,1,"Entities"))</f>
        <v>70</v>
      </c>
      <c r="BJ205" s="74">
        <f ca="1">ROUND((Table610[[#This Row],[XP]]*Table610[[#This Row],[entity_spawned (AVG)]])*(Table610[[#This Row],[activating_chance]]/100),0)</f>
        <v>70</v>
      </c>
      <c r="BK205" s="71" t="str">
        <f ca="1">INDIRECT(ADDRESS(11+(MATCH(RIGHT(Table610[[#This Row],[spawner_sku]],LEN(Table610[[#This Row],[spawner_sku]])-FIND("/",Table610[[#This Row],[spawner_sku]])),Table28[Entity Prefab],0)),24,1,1,"Entities"))</f>
        <v>yes</v>
      </c>
      <c r="BL205">
        <v>1</v>
      </c>
      <c r="BM205">
        <v>1</v>
      </c>
      <c r="BN205" t="b">
        <v>0</v>
      </c>
      <c r="BP205" t="s">
        <v>232</v>
      </c>
      <c r="BQ205">
        <v>2</v>
      </c>
      <c r="BR205">
        <v>100</v>
      </c>
      <c r="BS205">
        <v>100</v>
      </c>
      <c r="BT205" s="74">
        <f ca="1">INDIRECT(ADDRESS(11+(MATCH(RIGHT(Table61011[[#This Row],[spawner_sku]],LEN(Table61011[[#This Row],[spawner_sku]])-FIND("/",Table61011[[#This Row],[spawner_sku]])),Table1[Entity Prefab],0)),10,1,1,"Entities"))</f>
        <v>25</v>
      </c>
      <c r="BU205" s="74">
        <f ca="1">ROUND((Table61011[[#This Row],[XP]]*Table61011[[#This Row],[entity_spawned (AVG)]])*(Table61011[[#This Row],[activating_chance]]/100),0)</f>
        <v>50</v>
      </c>
      <c r="BV205" s="71" t="str">
        <f ca="1">INDIRECT(ADDRESS(11+(MATCH(RIGHT(Table61011[[#This Row],[spawner_sku]],LEN(Table61011[[#This Row],[spawner_sku]])-FIND("/",Table61011[[#This Row],[spawner_sku]])),Table28[Entity Prefab],0)),24,1,1,"Entities"))</f>
        <v>no</v>
      </c>
      <c r="BW205" s="71">
        <v>2</v>
      </c>
      <c r="BX205" s="71">
        <v>2</v>
      </c>
      <c r="BY205" s="71" t="b">
        <v>0</v>
      </c>
      <c r="BZ205" s="71"/>
      <c r="CA205" s="147" t="s">
        <v>3821</v>
      </c>
      <c r="CB205">
        <v>1</v>
      </c>
      <c r="CC205">
        <v>240</v>
      </c>
      <c r="CD205">
        <v>100</v>
      </c>
      <c r="CE205" s="74">
        <f ca="1">INDIRECT(ADDRESS(11+(MATCH(RIGHT(Table35[[#This Row],[spawner_sku]],LEN(Table35[[#This Row],[spawner_sku]])-FIND("/",Table35[[#This Row],[spawner_sku]])),Table1[Entity Prefab],0)),10,1,1,"Entities"))</f>
        <v>10</v>
      </c>
      <c r="CF205" s="74">
        <f ca="1">ROUND((Table35[[#This Row],[XP]]*Table35[[#This Row],[entity_spawned (AVG)]])*(Table35[[#This Row],[activating_chance]]/100),0)</f>
        <v>10</v>
      </c>
      <c r="CG205" s="144" t="str">
        <f ca="1">INDIRECT(ADDRESS(11+(MATCH(RIGHT(Table35[[#This Row],[spawner_sku]],LEN(Table35[[#This Row],[spawner_sku]])-FIND("/",Table35[[#This Row],[spawner_sku]])),Table28[Entity Prefab],0)),24,1,1,"Entities"))</f>
        <v>no</v>
      </c>
      <c r="CH205">
        <v>1</v>
      </c>
      <c r="CI205">
        <v>1</v>
      </c>
      <c r="CJ205" s="71" t="b">
        <v>0</v>
      </c>
      <c r="CL205" t="s">
        <v>227</v>
      </c>
      <c r="CM205">
        <v>1</v>
      </c>
      <c r="CN205">
        <v>2000</v>
      </c>
      <c r="CO205">
        <v>100</v>
      </c>
      <c r="CP205" s="74">
        <f ca="1">INDIRECT(ADDRESS(11+(MATCH(RIGHT(Table11[[#This Row],[spawner_sku]],LEN(Table11[[#This Row],[spawner_sku]])-FIND("/",Table11[[#This Row],[spawner_sku]])),Table1[Entity Prefab],0)),10,1,1,"Entities"))</f>
        <v>175</v>
      </c>
      <c r="CQ205">
        <f ca="1">ROUND((Table11[[#This Row],[XP]]*Table11[[#This Row],[entity_spawned (AVG)]])*(Table11[[#This Row],[activating_chance]]/100),0)</f>
        <v>175</v>
      </c>
      <c r="CR205" s="144" t="str">
        <f ca="1">INDIRECT(ADDRESS(11+(MATCH(RIGHT(Table11[[#This Row],[spawner_sku]],LEN(Table11[[#This Row],[spawner_sku]])-FIND("/",Table11[[#This Row],[spawner_sku]])),Table28[Entity Prefab],0)),25,1,1,"Entities"))</f>
        <v>yes</v>
      </c>
      <c r="CS205" s="71">
        <v>1</v>
      </c>
      <c r="CT205" s="71">
        <v>1</v>
      </c>
      <c r="CU205" s="71" t="b">
        <v>0</v>
      </c>
      <c r="CW205" t="s">
        <v>503</v>
      </c>
      <c r="CX205">
        <v>1</v>
      </c>
      <c r="CY205">
        <v>240</v>
      </c>
      <c r="CZ205">
        <v>100</v>
      </c>
      <c r="DA205" s="74">
        <f ca="1">INDIRECT(ADDRESS(11+(MATCH(RIGHT(Table12[[#This Row],[spawner_sku]],LEN(Table12[[#This Row],[spawner_sku]])-FIND("/",Table12[[#This Row],[spawner_sku]])),Table1[Entity Prefab],0)),10,1,1,"Entities"))</f>
        <v>55</v>
      </c>
      <c r="DB205" s="74">
        <f ca="1">ROUND((Table12[[#This Row],[XP]]*Table12[[#This Row],[entity_spawned (AVG)]])*(Table12[[#This Row],[activating_chance]]/100),0)</f>
        <v>55</v>
      </c>
      <c r="DC205" s="144" t="str">
        <f ca="1">INDIRECT(ADDRESS(11+(MATCH(RIGHT(Table12[[#This Row],[spawner_sku]],LEN(Table12[[#This Row],[spawner_sku]])-FIND("/",Table12[[#This Row],[spawner_sku]])),Table28[Entity Prefab],0)),25,1,1,"Entities"))</f>
        <v>yes</v>
      </c>
      <c r="DD205" s="71">
        <v>1</v>
      </c>
      <c r="DE205" s="71">
        <v>1</v>
      </c>
      <c r="DF205" s="71" t="b">
        <v>0</v>
      </c>
      <c r="DH205" t="s">
        <v>242</v>
      </c>
      <c r="DI205">
        <v>2.5</v>
      </c>
      <c r="DJ205">
        <v>150</v>
      </c>
      <c r="DK205">
        <v>100</v>
      </c>
      <c r="DL205" s="74">
        <f ca="1">INDIRECT(ADDRESS(11+(MATCH(RIGHT(Table13[[#This Row],[spawner_sku]],LEN(Table13[[#This Row],[spawner_sku]])-FIND("/",Table13[[#This Row],[spawner_sku]])),Table1[Entity Prefab],0)),10,1,1,"Entities"))</f>
        <v>25</v>
      </c>
      <c r="DM205" s="74">
        <f ca="1">ROUND((Table13[[#This Row],[XP]]*Table13[[#This Row],[entity_spawned (AVG)]])*(Table13[[#This Row],[activating_chance]]/100),0)</f>
        <v>63</v>
      </c>
      <c r="DN205" s="144" t="str">
        <f ca="1">INDIRECT(ADDRESS(11+(MATCH(RIGHT(Table13[[#This Row],[spawner_sku]],LEN(Table13[[#This Row],[spawner_sku]])-FIND("/",Table13[[#This Row],[spawner_sku]])),Table28[Entity Prefab],0)),25,1,1,"Entities"))</f>
        <v>no</v>
      </c>
      <c r="DO205" s="71">
        <v>2</v>
      </c>
      <c r="DP205" s="71">
        <v>3</v>
      </c>
      <c r="DQ205" s="71" t="b">
        <v>0</v>
      </c>
      <c r="DS205" t="s">
        <v>370</v>
      </c>
      <c r="DT205">
        <v>1</v>
      </c>
      <c r="DU205">
        <v>450</v>
      </c>
      <c r="DV205">
        <v>100</v>
      </c>
      <c r="DW205" s="74">
        <f ca="1">INDIRECT(ADDRESS(11+(MATCH(RIGHT(Table14[[#This Row],[spawner_sku]],LEN(Table14[[#This Row],[spawner_sku]])-FIND("/",Table14[[#This Row],[spawner_sku]])),Table1[Entity Prefab],0)),10,1,1,"Entities"))</f>
        <v>0</v>
      </c>
      <c r="DX205" s="74">
        <f ca="1">ROUND((Table14[[#This Row],[XP]]*Table14[[#This Row],[entity_spawned (AVG)]])*(Table14[[#This Row],[activating_chance]]/100),0)</f>
        <v>0</v>
      </c>
      <c r="DY205" s="144" t="str">
        <f ca="1">INDIRECT(ADDRESS(11+(MATCH(RIGHT(Table14[[#This Row],[spawner_sku]],LEN(Table14[[#This Row],[spawner_sku]])-FIND("/",Table14[[#This Row],[spawner_sku]])),Table28[Entity Prefab],0)),25,1,1,"Entities"))</f>
        <v>no</v>
      </c>
      <c r="DZ205" s="71">
        <v>1</v>
      </c>
      <c r="EA205" s="71">
        <v>1</v>
      </c>
      <c r="EB205" s="71" t="b">
        <v>0</v>
      </c>
      <c r="EC205" s="71"/>
      <c r="EO205" t="s">
        <v>447</v>
      </c>
      <c r="EP205">
        <v>1</v>
      </c>
      <c r="EQ205">
        <v>180</v>
      </c>
      <c r="ER205">
        <v>100</v>
      </c>
      <c r="ES205" s="74">
        <f ca="1">INDIRECT(ADDRESS(11+(MATCH(RIGHT(Table18[[#This Row],[spawner_sku]],LEN(Table18[[#This Row],[spawner_sku]])-FIND("/",Table18[[#This Row],[spawner_sku]])),Table1[Entity Prefab],0)),10,1,1,"Entities"))</f>
        <v>105</v>
      </c>
      <c r="ET205" s="74">
        <f ca="1">ROUND((Table18[[#This Row],[XP]]*Table18[[#This Row],[entity_spawned (AVG)]])*(Table18[[#This Row],[activating_chance]]/100),0)</f>
        <v>105</v>
      </c>
      <c r="EU205" s="74" t="str">
        <f ca="1">INDIRECT(ADDRESS(11+(MATCH(RIGHT(Table18[[#This Row],[spawner_sku]],LEN(Table18[[#This Row],[spawner_sku]])-FIND("/",Table18[[#This Row],[spawner_sku]])),Table28[Entity Prefab],0)),26,1,1,"Entities"))</f>
        <v>yes</v>
      </c>
      <c r="EV205">
        <v>1</v>
      </c>
      <c r="EW205">
        <v>1</v>
      </c>
      <c r="EX205" t="b">
        <v>0</v>
      </c>
      <c r="EZ205" t="s">
        <v>585</v>
      </c>
      <c r="FA205">
        <v>1</v>
      </c>
      <c r="FB205">
        <v>500</v>
      </c>
      <c r="FC205">
        <v>100</v>
      </c>
      <c r="FD205" s="74">
        <f ca="1">INDIRECT(ADDRESS(11+(MATCH(RIGHT(Table1820[[#This Row],[spawner_sku]],LEN(Table1820[[#This Row],[spawner_sku]])-FIND("/",Table1820[[#This Row],[spawner_sku]])),Table1[Entity Prefab],0)),10,1,1,"Entities"))</f>
        <v>130</v>
      </c>
      <c r="FE205" s="74">
        <f ca="1">ROUND((Table1820[[#This Row],[XP]]*Table1820[[#This Row],[entity_spawned (AVG)]])*(Table1820[[#This Row],[activating_chance]]/100),0)</f>
        <v>130</v>
      </c>
      <c r="FF205" s="74" t="str">
        <f ca="1">INDIRECT(ADDRESS(11+(MATCH(RIGHT(Table1820[[#This Row],[spawner_sku]],LEN(Table1820[[#This Row],[spawner_sku]])-FIND("/",Table1820[[#This Row],[spawner_sku]])),Table28[Entity Prefab],0)),26,1,1,"Entities"))</f>
        <v>yes</v>
      </c>
      <c r="FG205">
        <v>1</v>
      </c>
      <c r="FH205">
        <v>1</v>
      </c>
      <c r="FI205" t="b">
        <v>0</v>
      </c>
      <c r="FV205" t="s">
        <v>2704</v>
      </c>
      <c r="FW205">
        <v>9</v>
      </c>
      <c r="FX205">
        <v>90</v>
      </c>
      <c r="FY205">
        <v>100</v>
      </c>
      <c r="FZ205" s="74">
        <f ca="1">INDIRECT(ADDRESS(11+(MATCH(RIGHT(Table18202324[[#This Row],[spawner_sku]],LEN(Table18202324[[#This Row],[spawner_sku]])-FIND("/",Table18202324[[#This Row],[spawner_sku]])),Table1[Entity Prefab],0)),10,1,1,"Entities"))</f>
        <v>50</v>
      </c>
      <c r="GA205" s="74">
        <f ca="1">ROUND((Table18202324[[#This Row],[XP]]*Table18202324[[#This Row],[entity_spawned (AVG)]])*(Table18202324[[#This Row],[activating_chance]]/100),0)</f>
        <v>450</v>
      </c>
      <c r="GB205" s="74" t="str">
        <f ca="1">INDIRECT(ADDRESS(11+(MATCH(RIGHT(Table18202324[[#This Row],[spawner_sku]],LEN(Table18202324[[#This Row],[spawner_sku]])-FIND("/",Table18202324[[#This Row],[spawner_sku]])),Table28[Entity Prefab],0)),26,1,1,"Entities"))</f>
        <v>no</v>
      </c>
      <c r="GC205">
        <v>6</v>
      </c>
      <c r="GD205">
        <v>12</v>
      </c>
      <c r="GE205" t="b">
        <v>1</v>
      </c>
    </row>
    <row r="206" spans="2:187" x14ac:dyDescent="0.25">
      <c r="B206" s="72" t="s">
        <v>218</v>
      </c>
      <c r="C206">
        <v>1</v>
      </c>
      <c r="D206">
        <v>5000</v>
      </c>
      <c r="E206">
        <v>30</v>
      </c>
      <c r="F206" s="74">
        <f ca="1">INDIRECT(ADDRESS(11+(MATCH(RIGHT(Table245[[#This Row],[spawner_sku]],LEN(Table245[[#This Row],[spawner_sku]])-FIND("/",Table245[[#This Row],[spawner_sku]])),Table1[Entity Prefab],0)),10,1,1,"Entities"))</f>
        <v>75</v>
      </c>
      <c r="G206" s="74">
        <f ca="1">ROUND((Table245[[#This Row],[XP]]*Table245[[#This Row],[entity_spawned (AVG)]])*(Table245[[#This Row],[activating_chance]]/100),0)</f>
        <v>23</v>
      </c>
      <c r="H206" s="71" t="str">
        <f ca="1">INDIRECT(ADDRESS(11+(MATCH(RIGHT(Table245[[#This Row],[spawner_sku]],LEN(Table245[[#This Row],[spawner_sku]])-FIND("/",Table245[[#This Row],[spawner_sku]])),Table28[Entity Prefab],0)),24,1,1,"Entities"))</f>
        <v>no</v>
      </c>
      <c r="I206" s="71">
        <v>1</v>
      </c>
      <c r="J206" s="71">
        <v>1</v>
      </c>
      <c r="K206" s="71" t="b">
        <v>0</v>
      </c>
      <c r="M206" t="s">
        <v>366</v>
      </c>
      <c r="N206">
        <v>3</v>
      </c>
      <c r="O206">
        <v>100</v>
      </c>
      <c r="P206">
        <v>100</v>
      </c>
      <c r="Q206" s="74">
        <f ca="1">INDIRECT(ADDRESS(11+(MATCH(RIGHT(Table3[[#This Row],[spawner_sku]],LEN(Table3[[#This Row],[spawner_sku]])-FIND("/",Table3[[#This Row],[spawner_sku]])),Table1[Entity Prefab],0)),10,1,1,"Entities"))</f>
        <v>25</v>
      </c>
      <c r="R206" s="74">
        <f ca="1">ROUND((Table3[[#This Row],[XP]]*Table3[[#This Row],[entity_spawned (AVG)]])*(Table3[[#This Row],[activating_chance]]/100),0)</f>
        <v>75</v>
      </c>
      <c r="S206" t="str">
        <f ca="1">INDIRECT(ADDRESS(11+(MATCH(RIGHT(Table3[[#This Row],[spawner_sku]],LEN(Table3[[#This Row],[spawner_sku]])-FIND("/",Table3[[#This Row],[spawner_sku]])),Table28[Entity Prefab],0)),24,1,1,"Entities"))</f>
        <v>no</v>
      </c>
      <c r="T206">
        <v>3</v>
      </c>
      <c r="U206">
        <v>3</v>
      </c>
      <c r="V206" t="b">
        <v>0</v>
      </c>
      <c r="AI206" t="s">
        <v>232</v>
      </c>
      <c r="AJ206">
        <v>6</v>
      </c>
      <c r="AK206">
        <v>180</v>
      </c>
      <c r="AL206">
        <v>100</v>
      </c>
      <c r="AM206" s="74">
        <f ca="1">INDIRECT(ADDRESS(11+(MATCH(RIGHT(Table2[[#This Row],[spawner_sku]],LEN(Table2[[#This Row],[spawner_sku]])-FIND("/",Table2[[#This Row],[spawner_sku]])),Table1[Entity Prefab],0)),10,1,1,"Entities"))</f>
        <v>25</v>
      </c>
      <c r="AN206" s="74">
        <f ca="1">ROUND((Table2[[#This Row],[XP]]*Table2[[#This Row],[entity_spawned (AVG)]])*(Table2[[#This Row],[activating_chance]]/100),0)</f>
        <v>150</v>
      </c>
      <c r="AO206" s="71" t="str">
        <f ca="1">INDIRECT(ADDRESS(11+(MATCH(RIGHT(Table2[[#This Row],[spawner_sku]],LEN(Table2[[#This Row],[spawner_sku]])-FIND("/",Table2[[#This Row],[spawner_sku]])),Table28[Entity Prefab],0)),24,1,1,"Entities"))</f>
        <v>no</v>
      </c>
      <c r="AP206" s="71">
        <v>5</v>
      </c>
      <c r="AQ206" s="71">
        <v>7</v>
      </c>
      <c r="AR206" s="71" t="b">
        <v>1</v>
      </c>
      <c r="BE206" t="s">
        <v>241</v>
      </c>
      <c r="BF206">
        <v>1</v>
      </c>
      <c r="BG206">
        <v>170</v>
      </c>
      <c r="BH206">
        <v>100</v>
      </c>
      <c r="BI206" s="74">
        <f ca="1">INDIRECT(ADDRESS(11+(MATCH(RIGHT(Table610[[#This Row],[spawner_sku]],LEN(Table610[[#This Row],[spawner_sku]])-FIND("/",Table610[[#This Row],[spawner_sku]])),Table1[Entity Prefab],0)),10,1,1,"Entities"))</f>
        <v>70</v>
      </c>
      <c r="BJ206" s="74">
        <f ca="1">ROUND((Table610[[#This Row],[XP]]*Table610[[#This Row],[entity_spawned (AVG)]])*(Table610[[#This Row],[activating_chance]]/100),0)</f>
        <v>70</v>
      </c>
      <c r="BK206" s="71" t="str">
        <f ca="1">INDIRECT(ADDRESS(11+(MATCH(RIGHT(Table610[[#This Row],[spawner_sku]],LEN(Table610[[#This Row],[spawner_sku]])-FIND("/",Table610[[#This Row],[spawner_sku]])),Table28[Entity Prefab],0)),24,1,1,"Entities"))</f>
        <v>yes</v>
      </c>
      <c r="BL206">
        <v>1</v>
      </c>
      <c r="BM206">
        <v>1</v>
      </c>
      <c r="BN206" t="b">
        <v>0</v>
      </c>
      <c r="BP206" t="s">
        <v>232</v>
      </c>
      <c r="BQ206">
        <v>4</v>
      </c>
      <c r="BR206">
        <v>200</v>
      </c>
      <c r="BS206">
        <v>100</v>
      </c>
      <c r="BT206" s="74">
        <f ca="1">INDIRECT(ADDRESS(11+(MATCH(RIGHT(Table61011[[#This Row],[spawner_sku]],LEN(Table61011[[#This Row],[spawner_sku]])-FIND("/",Table61011[[#This Row],[spawner_sku]])),Table1[Entity Prefab],0)),10,1,1,"Entities"))</f>
        <v>25</v>
      </c>
      <c r="BU206" s="74">
        <f ca="1">ROUND((Table61011[[#This Row],[XP]]*Table61011[[#This Row],[entity_spawned (AVG)]])*(Table61011[[#This Row],[activating_chance]]/100),0)</f>
        <v>100</v>
      </c>
      <c r="BV206" s="71" t="str">
        <f ca="1">INDIRECT(ADDRESS(11+(MATCH(RIGHT(Table61011[[#This Row],[spawner_sku]],LEN(Table61011[[#This Row],[spawner_sku]])-FIND("/",Table61011[[#This Row],[spawner_sku]])),Table28[Entity Prefab],0)),24,1,1,"Entities"))</f>
        <v>no</v>
      </c>
      <c r="BW206" s="71">
        <v>4</v>
      </c>
      <c r="BX206" s="71">
        <v>4</v>
      </c>
      <c r="BY206" s="71" t="b">
        <v>0</v>
      </c>
      <c r="BZ206" s="71"/>
      <c r="CA206" s="147" t="s">
        <v>3821</v>
      </c>
      <c r="CB206">
        <v>1</v>
      </c>
      <c r="CC206">
        <v>240</v>
      </c>
      <c r="CD206">
        <v>100</v>
      </c>
      <c r="CE206" s="74">
        <f ca="1">INDIRECT(ADDRESS(11+(MATCH(RIGHT(Table35[[#This Row],[spawner_sku]],LEN(Table35[[#This Row],[spawner_sku]])-FIND("/",Table35[[#This Row],[spawner_sku]])),Table1[Entity Prefab],0)),10,1,1,"Entities"))</f>
        <v>10</v>
      </c>
      <c r="CF206" s="74">
        <f ca="1">ROUND((Table35[[#This Row],[XP]]*Table35[[#This Row],[entity_spawned (AVG)]])*(Table35[[#This Row],[activating_chance]]/100),0)</f>
        <v>10</v>
      </c>
      <c r="CG206" s="144" t="str">
        <f ca="1">INDIRECT(ADDRESS(11+(MATCH(RIGHT(Table35[[#This Row],[spawner_sku]],LEN(Table35[[#This Row],[spawner_sku]])-FIND("/",Table35[[#This Row],[spawner_sku]])),Table28[Entity Prefab],0)),24,1,1,"Entities"))</f>
        <v>no</v>
      </c>
      <c r="CH206">
        <v>1</v>
      </c>
      <c r="CI206">
        <v>1</v>
      </c>
      <c r="CJ206" s="71" t="b">
        <v>0</v>
      </c>
      <c r="CL206" t="s">
        <v>227</v>
      </c>
      <c r="CM206">
        <v>1</v>
      </c>
      <c r="CN206">
        <v>2000</v>
      </c>
      <c r="CO206">
        <v>100</v>
      </c>
      <c r="CP206" s="74">
        <f ca="1">INDIRECT(ADDRESS(11+(MATCH(RIGHT(Table11[[#This Row],[spawner_sku]],LEN(Table11[[#This Row],[spawner_sku]])-FIND("/",Table11[[#This Row],[spawner_sku]])),Table1[Entity Prefab],0)),10,1,1,"Entities"))</f>
        <v>175</v>
      </c>
      <c r="CQ206">
        <f ca="1">ROUND((Table11[[#This Row],[XP]]*Table11[[#This Row],[entity_spawned (AVG)]])*(Table11[[#This Row],[activating_chance]]/100),0)</f>
        <v>175</v>
      </c>
      <c r="CR206" s="144" t="str">
        <f ca="1">INDIRECT(ADDRESS(11+(MATCH(RIGHT(Table11[[#This Row],[spawner_sku]],LEN(Table11[[#This Row],[spawner_sku]])-FIND("/",Table11[[#This Row],[spawner_sku]])),Table28[Entity Prefab],0)),25,1,1,"Entities"))</f>
        <v>yes</v>
      </c>
      <c r="CS206" s="71">
        <v>1</v>
      </c>
      <c r="CT206" s="71">
        <v>1</v>
      </c>
      <c r="CU206" s="71" t="b">
        <v>0</v>
      </c>
      <c r="CW206" t="s">
        <v>503</v>
      </c>
      <c r="CX206">
        <v>1</v>
      </c>
      <c r="CY206">
        <v>240</v>
      </c>
      <c r="CZ206">
        <v>100</v>
      </c>
      <c r="DA206" s="74">
        <f ca="1">INDIRECT(ADDRESS(11+(MATCH(RIGHT(Table12[[#This Row],[spawner_sku]],LEN(Table12[[#This Row],[spawner_sku]])-FIND("/",Table12[[#This Row],[spawner_sku]])),Table1[Entity Prefab],0)),10,1,1,"Entities"))</f>
        <v>55</v>
      </c>
      <c r="DB206" s="74">
        <f ca="1">ROUND((Table12[[#This Row],[XP]]*Table12[[#This Row],[entity_spawned (AVG)]])*(Table12[[#This Row],[activating_chance]]/100),0)</f>
        <v>55</v>
      </c>
      <c r="DC206" s="144" t="str">
        <f ca="1">INDIRECT(ADDRESS(11+(MATCH(RIGHT(Table12[[#This Row],[spawner_sku]],LEN(Table12[[#This Row],[spawner_sku]])-FIND("/",Table12[[#This Row],[spawner_sku]])),Table28[Entity Prefab],0)),25,1,1,"Entities"))</f>
        <v>yes</v>
      </c>
      <c r="DD206" s="71">
        <v>1</v>
      </c>
      <c r="DE206" s="71">
        <v>1</v>
      </c>
      <c r="DF206" s="71" t="b">
        <v>0</v>
      </c>
      <c r="DH206" t="s">
        <v>242</v>
      </c>
      <c r="DI206">
        <v>1</v>
      </c>
      <c r="DJ206">
        <v>150</v>
      </c>
      <c r="DK206">
        <v>100</v>
      </c>
      <c r="DL206" s="74">
        <f ca="1">INDIRECT(ADDRESS(11+(MATCH(RIGHT(Table13[[#This Row],[spawner_sku]],LEN(Table13[[#This Row],[spawner_sku]])-FIND("/",Table13[[#This Row],[spawner_sku]])),Table1[Entity Prefab],0)),10,1,1,"Entities"))</f>
        <v>25</v>
      </c>
      <c r="DM206" s="74">
        <f ca="1">ROUND((Table13[[#This Row],[XP]]*Table13[[#This Row],[entity_spawned (AVG)]])*(Table13[[#This Row],[activating_chance]]/100),0)</f>
        <v>25</v>
      </c>
      <c r="DN206" s="144" t="str">
        <f ca="1">INDIRECT(ADDRESS(11+(MATCH(RIGHT(Table13[[#This Row],[spawner_sku]],LEN(Table13[[#This Row],[spawner_sku]])-FIND("/",Table13[[#This Row],[spawner_sku]])),Table28[Entity Prefab],0)),25,1,1,"Entities"))</f>
        <v>no</v>
      </c>
      <c r="DO206" s="71">
        <v>1</v>
      </c>
      <c r="DP206" s="71">
        <v>1</v>
      </c>
      <c r="DQ206" s="71" t="b">
        <v>0</v>
      </c>
      <c r="DS206" t="s">
        <v>370</v>
      </c>
      <c r="DT206">
        <v>1</v>
      </c>
      <c r="DU206">
        <v>450</v>
      </c>
      <c r="DV206">
        <v>100</v>
      </c>
      <c r="DW206" s="74">
        <f ca="1">INDIRECT(ADDRESS(11+(MATCH(RIGHT(Table14[[#This Row],[spawner_sku]],LEN(Table14[[#This Row],[spawner_sku]])-FIND("/",Table14[[#This Row],[spawner_sku]])),Table1[Entity Prefab],0)),10,1,1,"Entities"))</f>
        <v>0</v>
      </c>
      <c r="DX206" s="74">
        <f ca="1">ROUND((Table14[[#This Row],[XP]]*Table14[[#This Row],[entity_spawned (AVG)]])*(Table14[[#This Row],[activating_chance]]/100),0)</f>
        <v>0</v>
      </c>
      <c r="DY206" s="144" t="str">
        <f ca="1">INDIRECT(ADDRESS(11+(MATCH(RIGHT(Table14[[#This Row],[spawner_sku]],LEN(Table14[[#This Row],[spawner_sku]])-FIND("/",Table14[[#This Row],[spawner_sku]])),Table28[Entity Prefab],0)),25,1,1,"Entities"))</f>
        <v>no</v>
      </c>
      <c r="DZ206" s="71">
        <v>1</v>
      </c>
      <c r="EA206" s="71">
        <v>1</v>
      </c>
      <c r="EB206" s="71" t="b">
        <v>0</v>
      </c>
      <c r="EC206" s="71"/>
      <c r="EO206" t="s">
        <v>447</v>
      </c>
      <c r="EP206">
        <v>1</v>
      </c>
      <c r="EQ206">
        <v>180</v>
      </c>
      <c r="ER206">
        <v>100</v>
      </c>
      <c r="ES206" s="74">
        <f ca="1">INDIRECT(ADDRESS(11+(MATCH(RIGHT(Table18[[#This Row],[spawner_sku]],LEN(Table18[[#This Row],[spawner_sku]])-FIND("/",Table18[[#This Row],[spawner_sku]])),Table1[Entity Prefab],0)),10,1,1,"Entities"))</f>
        <v>105</v>
      </c>
      <c r="ET206" s="74">
        <f ca="1">ROUND((Table18[[#This Row],[XP]]*Table18[[#This Row],[entity_spawned (AVG)]])*(Table18[[#This Row],[activating_chance]]/100),0)</f>
        <v>105</v>
      </c>
      <c r="EU206" s="74" t="str">
        <f ca="1">INDIRECT(ADDRESS(11+(MATCH(RIGHT(Table18[[#This Row],[spawner_sku]],LEN(Table18[[#This Row],[spawner_sku]])-FIND("/",Table18[[#This Row],[spawner_sku]])),Table28[Entity Prefab],0)),26,1,1,"Entities"))</f>
        <v>yes</v>
      </c>
      <c r="EV206">
        <v>1</v>
      </c>
      <c r="EW206">
        <v>1</v>
      </c>
      <c r="EX206" t="b">
        <v>0</v>
      </c>
      <c r="EZ206" t="s">
        <v>585</v>
      </c>
      <c r="FA206">
        <v>1</v>
      </c>
      <c r="FB206">
        <v>500</v>
      </c>
      <c r="FC206">
        <v>100</v>
      </c>
      <c r="FD206" s="74">
        <f ca="1">INDIRECT(ADDRESS(11+(MATCH(RIGHT(Table1820[[#This Row],[spawner_sku]],LEN(Table1820[[#This Row],[spawner_sku]])-FIND("/",Table1820[[#This Row],[spawner_sku]])),Table1[Entity Prefab],0)),10,1,1,"Entities"))</f>
        <v>130</v>
      </c>
      <c r="FE206" s="74">
        <f ca="1">ROUND((Table1820[[#This Row],[XP]]*Table1820[[#This Row],[entity_spawned (AVG)]])*(Table1820[[#This Row],[activating_chance]]/100),0)</f>
        <v>130</v>
      </c>
      <c r="FF206" s="74" t="str">
        <f ca="1">INDIRECT(ADDRESS(11+(MATCH(RIGHT(Table1820[[#This Row],[spawner_sku]],LEN(Table1820[[#This Row],[spawner_sku]])-FIND("/",Table1820[[#This Row],[spawner_sku]])),Table28[Entity Prefab],0)),26,1,1,"Entities"))</f>
        <v>yes</v>
      </c>
      <c r="FG206">
        <v>1</v>
      </c>
      <c r="FH206">
        <v>1</v>
      </c>
      <c r="FI206" t="b">
        <v>0</v>
      </c>
      <c r="FV206" t="s">
        <v>2704</v>
      </c>
      <c r="FW206">
        <v>7.5</v>
      </c>
      <c r="FX206">
        <v>240</v>
      </c>
      <c r="FY206">
        <v>100</v>
      </c>
      <c r="FZ206" s="74">
        <f ca="1">INDIRECT(ADDRESS(11+(MATCH(RIGHT(Table18202324[[#This Row],[spawner_sku]],LEN(Table18202324[[#This Row],[spawner_sku]])-FIND("/",Table18202324[[#This Row],[spawner_sku]])),Table1[Entity Prefab],0)),10,1,1,"Entities"))</f>
        <v>50</v>
      </c>
      <c r="GA206" s="74">
        <f ca="1">ROUND((Table18202324[[#This Row],[XP]]*Table18202324[[#This Row],[entity_spawned (AVG)]])*(Table18202324[[#This Row],[activating_chance]]/100),0)</f>
        <v>375</v>
      </c>
      <c r="GB206" s="74" t="str">
        <f ca="1">INDIRECT(ADDRESS(11+(MATCH(RIGHT(Table18202324[[#This Row],[spawner_sku]],LEN(Table18202324[[#This Row],[spawner_sku]])-FIND("/",Table18202324[[#This Row],[spawner_sku]])),Table28[Entity Prefab],0)),26,1,1,"Entities"))</f>
        <v>no</v>
      </c>
      <c r="GC206">
        <v>5</v>
      </c>
      <c r="GD206">
        <v>10</v>
      </c>
      <c r="GE206" t="b">
        <v>1</v>
      </c>
    </row>
    <row r="207" spans="2:187" x14ac:dyDescent="0.25">
      <c r="B207" s="72" t="s">
        <v>218</v>
      </c>
      <c r="C207">
        <v>1</v>
      </c>
      <c r="D207">
        <v>5000</v>
      </c>
      <c r="E207">
        <v>45</v>
      </c>
      <c r="F207" s="74">
        <f ca="1">INDIRECT(ADDRESS(11+(MATCH(RIGHT(Table245[[#This Row],[spawner_sku]],LEN(Table245[[#This Row],[spawner_sku]])-FIND("/",Table245[[#This Row],[spawner_sku]])),Table1[Entity Prefab],0)),10,1,1,"Entities"))</f>
        <v>75</v>
      </c>
      <c r="G207" s="74">
        <f ca="1">ROUND((Table245[[#This Row],[XP]]*Table245[[#This Row],[entity_spawned (AVG)]])*(Table245[[#This Row],[activating_chance]]/100),0)</f>
        <v>34</v>
      </c>
      <c r="H207" s="71" t="str">
        <f ca="1">INDIRECT(ADDRESS(11+(MATCH(RIGHT(Table245[[#This Row],[spawner_sku]],LEN(Table245[[#This Row],[spawner_sku]])-FIND("/",Table245[[#This Row],[spawner_sku]])),Table28[Entity Prefab],0)),24,1,1,"Entities"))</f>
        <v>no</v>
      </c>
      <c r="I207" s="71">
        <v>1</v>
      </c>
      <c r="J207" s="71">
        <v>1</v>
      </c>
      <c r="K207" s="71" t="b">
        <v>0</v>
      </c>
      <c r="M207" t="s">
        <v>365</v>
      </c>
      <c r="N207">
        <v>1</v>
      </c>
      <c r="O207">
        <v>275</v>
      </c>
      <c r="P207">
        <v>100</v>
      </c>
      <c r="Q207" s="74">
        <f ca="1">INDIRECT(ADDRESS(11+(MATCH(RIGHT(Table3[[#This Row],[spawner_sku]],LEN(Table3[[#This Row],[spawner_sku]])-FIND("/",Table3[[#This Row],[spawner_sku]])),Table1[Entity Prefab],0)),10,1,1,"Entities"))</f>
        <v>28</v>
      </c>
      <c r="R207" s="74">
        <f ca="1">ROUND((Table3[[#This Row],[XP]]*Table3[[#This Row],[entity_spawned (AVG)]])*(Table3[[#This Row],[activating_chance]]/100),0)</f>
        <v>28</v>
      </c>
      <c r="S207" t="str">
        <f ca="1">INDIRECT(ADDRESS(11+(MATCH(RIGHT(Table3[[#This Row],[spawner_sku]],LEN(Table3[[#This Row],[spawner_sku]])-FIND("/",Table3[[#This Row],[spawner_sku]])),Table28[Entity Prefab],0)),24,1,1,"Entities"))</f>
        <v>yes</v>
      </c>
      <c r="T207">
        <v>1</v>
      </c>
      <c r="U207">
        <v>1</v>
      </c>
      <c r="V207" t="b">
        <v>0</v>
      </c>
      <c r="AI207" t="s">
        <v>232</v>
      </c>
      <c r="AJ207">
        <v>6</v>
      </c>
      <c r="AK207">
        <v>180</v>
      </c>
      <c r="AL207">
        <v>100</v>
      </c>
      <c r="AM207" s="74">
        <f ca="1">INDIRECT(ADDRESS(11+(MATCH(RIGHT(Table2[[#This Row],[spawner_sku]],LEN(Table2[[#This Row],[spawner_sku]])-FIND("/",Table2[[#This Row],[spawner_sku]])),Table1[Entity Prefab],0)),10,1,1,"Entities"))</f>
        <v>25</v>
      </c>
      <c r="AN207" s="74">
        <f ca="1">ROUND((Table2[[#This Row],[XP]]*Table2[[#This Row],[entity_spawned (AVG)]])*(Table2[[#This Row],[activating_chance]]/100),0)</f>
        <v>150</v>
      </c>
      <c r="AO207" s="71" t="str">
        <f ca="1">INDIRECT(ADDRESS(11+(MATCH(RIGHT(Table2[[#This Row],[spawner_sku]],LEN(Table2[[#This Row],[spawner_sku]])-FIND("/",Table2[[#This Row],[spawner_sku]])),Table28[Entity Prefab],0)),24,1,1,"Entities"))</f>
        <v>no</v>
      </c>
      <c r="AP207" s="71">
        <v>5</v>
      </c>
      <c r="AQ207" s="71">
        <v>7</v>
      </c>
      <c r="AR207" s="71" t="b">
        <v>1</v>
      </c>
      <c r="BE207" t="s">
        <v>242</v>
      </c>
      <c r="BF207">
        <v>1</v>
      </c>
      <c r="BG207">
        <v>200</v>
      </c>
      <c r="BH207">
        <v>80</v>
      </c>
      <c r="BI207" s="74">
        <f ca="1">INDIRECT(ADDRESS(11+(MATCH(RIGHT(Table610[[#This Row],[spawner_sku]],LEN(Table610[[#This Row],[spawner_sku]])-FIND("/",Table610[[#This Row],[spawner_sku]])),Table1[Entity Prefab],0)),10,1,1,"Entities"))</f>
        <v>25</v>
      </c>
      <c r="BJ207" s="74">
        <f ca="1">ROUND((Table610[[#This Row],[XP]]*Table610[[#This Row],[entity_spawned (AVG)]])*(Table610[[#This Row],[activating_chance]]/100),0)</f>
        <v>20</v>
      </c>
      <c r="BK207" s="71" t="str">
        <f ca="1">INDIRECT(ADDRESS(11+(MATCH(RIGHT(Table610[[#This Row],[spawner_sku]],LEN(Table610[[#This Row],[spawner_sku]])-FIND("/",Table610[[#This Row],[spawner_sku]])),Table28[Entity Prefab],0)),24,1,1,"Entities"))</f>
        <v>no</v>
      </c>
      <c r="BL207">
        <v>1</v>
      </c>
      <c r="BM207">
        <v>1</v>
      </c>
      <c r="BN207" t="b">
        <v>0</v>
      </c>
      <c r="BP207" t="s">
        <v>232</v>
      </c>
      <c r="BQ207">
        <v>6</v>
      </c>
      <c r="BR207">
        <v>180</v>
      </c>
      <c r="BS207">
        <v>100</v>
      </c>
      <c r="BT207" s="74">
        <f ca="1">INDIRECT(ADDRESS(11+(MATCH(RIGHT(Table61011[[#This Row],[spawner_sku]],LEN(Table61011[[#This Row],[spawner_sku]])-FIND("/",Table61011[[#This Row],[spawner_sku]])),Table1[Entity Prefab],0)),10,1,1,"Entities"))</f>
        <v>25</v>
      </c>
      <c r="BU207" s="74">
        <f ca="1">ROUND((Table61011[[#This Row],[XP]]*Table61011[[#This Row],[entity_spawned (AVG)]])*(Table61011[[#This Row],[activating_chance]]/100),0)</f>
        <v>150</v>
      </c>
      <c r="BV207" s="71" t="str">
        <f ca="1">INDIRECT(ADDRESS(11+(MATCH(RIGHT(Table61011[[#This Row],[spawner_sku]],LEN(Table61011[[#This Row],[spawner_sku]])-FIND("/",Table61011[[#This Row],[spawner_sku]])),Table28[Entity Prefab],0)),24,1,1,"Entities"))</f>
        <v>no</v>
      </c>
      <c r="BW207" s="71">
        <v>5</v>
      </c>
      <c r="BX207" s="71">
        <v>7</v>
      </c>
      <c r="BY207" s="71" t="b">
        <v>1</v>
      </c>
      <c r="BZ207" s="71"/>
      <c r="CA207" s="147" t="s">
        <v>3821</v>
      </c>
      <c r="CB207">
        <v>1</v>
      </c>
      <c r="CC207">
        <v>240</v>
      </c>
      <c r="CD207">
        <v>100</v>
      </c>
      <c r="CE207" s="74">
        <f ca="1">INDIRECT(ADDRESS(11+(MATCH(RIGHT(Table35[[#This Row],[spawner_sku]],LEN(Table35[[#This Row],[spawner_sku]])-FIND("/",Table35[[#This Row],[spawner_sku]])),Table1[Entity Prefab],0)),10,1,1,"Entities"))</f>
        <v>10</v>
      </c>
      <c r="CF207" s="74">
        <f ca="1">ROUND((Table35[[#This Row],[XP]]*Table35[[#This Row],[entity_spawned (AVG)]])*(Table35[[#This Row],[activating_chance]]/100),0)</f>
        <v>10</v>
      </c>
      <c r="CG207" s="144" t="str">
        <f ca="1">INDIRECT(ADDRESS(11+(MATCH(RIGHT(Table35[[#This Row],[spawner_sku]],LEN(Table35[[#This Row],[spawner_sku]])-FIND("/",Table35[[#This Row],[spawner_sku]])),Table28[Entity Prefab],0)),24,1,1,"Entities"))</f>
        <v>no</v>
      </c>
      <c r="CH207">
        <v>1</v>
      </c>
      <c r="CI207">
        <v>1</v>
      </c>
      <c r="CJ207" s="71" t="b">
        <v>0</v>
      </c>
      <c r="CL207" t="s">
        <v>227</v>
      </c>
      <c r="CM207">
        <v>1</v>
      </c>
      <c r="CN207">
        <v>2000</v>
      </c>
      <c r="CO207">
        <v>100</v>
      </c>
      <c r="CP207" s="74">
        <f ca="1">INDIRECT(ADDRESS(11+(MATCH(RIGHT(Table11[[#This Row],[spawner_sku]],LEN(Table11[[#This Row],[spawner_sku]])-FIND("/",Table11[[#This Row],[spawner_sku]])),Table1[Entity Prefab],0)),10,1,1,"Entities"))</f>
        <v>175</v>
      </c>
      <c r="CQ207">
        <f ca="1">ROUND((Table11[[#This Row],[XP]]*Table11[[#This Row],[entity_spawned (AVG)]])*(Table11[[#This Row],[activating_chance]]/100),0)</f>
        <v>175</v>
      </c>
      <c r="CR207" s="144" t="str">
        <f ca="1">INDIRECT(ADDRESS(11+(MATCH(RIGHT(Table11[[#This Row],[spawner_sku]],LEN(Table11[[#This Row],[spawner_sku]])-FIND("/",Table11[[#This Row],[spawner_sku]])),Table28[Entity Prefab],0)),25,1,1,"Entities"))</f>
        <v>yes</v>
      </c>
      <c r="CS207" s="71">
        <v>1</v>
      </c>
      <c r="CT207" s="71">
        <v>1</v>
      </c>
      <c r="CU207" s="71" t="b">
        <v>0</v>
      </c>
      <c r="CW207" t="s">
        <v>503</v>
      </c>
      <c r="CX207">
        <v>1</v>
      </c>
      <c r="CY207">
        <v>240</v>
      </c>
      <c r="CZ207">
        <v>100</v>
      </c>
      <c r="DA207" s="74">
        <f ca="1">INDIRECT(ADDRESS(11+(MATCH(RIGHT(Table12[[#This Row],[spawner_sku]],LEN(Table12[[#This Row],[spawner_sku]])-FIND("/",Table12[[#This Row],[spawner_sku]])),Table1[Entity Prefab],0)),10,1,1,"Entities"))</f>
        <v>55</v>
      </c>
      <c r="DB207" s="74">
        <f ca="1">ROUND((Table12[[#This Row],[XP]]*Table12[[#This Row],[entity_spawned (AVG)]])*(Table12[[#This Row],[activating_chance]]/100),0)</f>
        <v>55</v>
      </c>
      <c r="DC207" s="144" t="str">
        <f ca="1">INDIRECT(ADDRESS(11+(MATCH(RIGHT(Table12[[#This Row],[spawner_sku]],LEN(Table12[[#This Row],[spawner_sku]])-FIND("/",Table12[[#This Row],[spawner_sku]])),Table28[Entity Prefab],0)),25,1,1,"Entities"))</f>
        <v>yes</v>
      </c>
      <c r="DD207" s="71">
        <v>1</v>
      </c>
      <c r="DE207" s="71">
        <v>1</v>
      </c>
      <c r="DF207" s="71" t="b">
        <v>0</v>
      </c>
      <c r="DH207" t="s">
        <v>242</v>
      </c>
      <c r="DI207">
        <v>2.5</v>
      </c>
      <c r="DJ207">
        <v>150</v>
      </c>
      <c r="DK207">
        <v>100</v>
      </c>
      <c r="DL207" s="74">
        <f ca="1">INDIRECT(ADDRESS(11+(MATCH(RIGHT(Table13[[#This Row],[spawner_sku]],LEN(Table13[[#This Row],[spawner_sku]])-FIND("/",Table13[[#This Row],[spawner_sku]])),Table1[Entity Prefab],0)),10,1,1,"Entities"))</f>
        <v>25</v>
      </c>
      <c r="DM207" s="74">
        <f ca="1">ROUND((Table13[[#This Row],[XP]]*Table13[[#This Row],[entity_spawned (AVG)]])*(Table13[[#This Row],[activating_chance]]/100),0)</f>
        <v>63</v>
      </c>
      <c r="DN207" s="144" t="str">
        <f ca="1">INDIRECT(ADDRESS(11+(MATCH(RIGHT(Table13[[#This Row],[spawner_sku]],LEN(Table13[[#This Row],[spawner_sku]])-FIND("/",Table13[[#This Row],[spawner_sku]])),Table28[Entity Prefab],0)),25,1,1,"Entities"))</f>
        <v>no</v>
      </c>
      <c r="DO207" s="71">
        <v>2</v>
      </c>
      <c r="DP207" s="71">
        <v>3</v>
      </c>
      <c r="DQ207" s="71" t="b">
        <v>0</v>
      </c>
      <c r="DS207" t="s">
        <v>370</v>
      </c>
      <c r="DT207">
        <v>1</v>
      </c>
      <c r="DU207">
        <v>450</v>
      </c>
      <c r="DV207">
        <v>100</v>
      </c>
      <c r="DW207" s="74">
        <f ca="1">INDIRECT(ADDRESS(11+(MATCH(RIGHT(Table14[[#This Row],[spawner_sku]],LEN(Table14[[#This Row],[spawner_sku]])-FIND("/",Table14[[#This Row],[spawner_sku]])),Table1[Entity Prefab],0)),10,1,1,"Entities"))</f>
        <v>0</v>
      </c>
      <c r="DX207" s="74">
        <f ca="1">ROUND((Table14[[#This Row],[XP]]*Table14[[#This Row],[entity_spawned (AVG)]])*(Table14[[#This Row],[activating_chance]]/100),0)</f>
        <v>0</v>
      </c>
      <c r="DY207" s="144" t="str">
        <f ca="1">INDIRECT(ADDRESS(11+(MATCH(RIGHT(Table14[[#This Row],[spawner_sku]],LEN(Table14[[#This Row],[spawner_sku]])-FIND("/",Table14[[#This Row],[spawner_sku]])),Table28[Entity Prefab],0)),25,1,1,"Entities"))</f>
        <v>no</v>
      </c>
      <c r="DZ207" s="71">
        <v>1</v>
      </c>
      <c r="EA207" s="71">
        <v>1</v>
      </c>
      <c r="EB207" s="71" t="b">
        <v>0</v>
      </c>
      <c r="EC207" s="71"/>
      <c r="EO207" t="s">
        <v>448</v>
      </c>
      <c r="EP207">
        <v>1</v>
      </c>
      <c r="EQ207">
        <v>280</v>
      </c>
      <c r="ER207">
        <v>100</v>
      </c>
      <c r="ES207" s="74">
        <f ca="1">INDIRECT(ADDRESS(11+(MATCH(RIGHT(Table18[[#This Row],[spawner_sku]],LEN(Table18[[#This Row],[spawner_sku]])-FIND("/",Table18[[#This Row],[spawner_sku]])),Table1[Entity Prefab],0)),10,1,1,"Entities"))</f>
        <v>143</v>
      </c>
      <c r="ET207" s="74">
        <f ca="1">ROUND((Table18[[#This Row],[XP]]*Table18[[#This Row],[entity_spawned (AVG)]])*(Table18[[#This Row],[activating_chance]]/100),0)</f>
        <v>143</v>
      </c>
      <c r="EU207" s="74" t="str">
        <f ca="1">INDIRECT(ADDRESS(11+(MATCH(RIGHT(Table18[[#This Row],[spawner_sku]],LEN(Table18[[#This Row],[spawner_sku]])-FIND("/",Table18[[#This Row],[spawner_sku]])),Table28[Entity Prefab],0)),26,1,1,"Entities"))</f>
        <v>yes</v>
      </c>
      <c r="EV207">
        <v>1</v>
      </c>
      <c r="EW207">
        <v>1</v>
      </c>
      <c r="EX207" t="b">
        <v>0</v>
      </c>
      <c r="EZ207" t="s">
        <v>573</v>
      </c>
      <c r="FA207">
        <v>1</v>
      </c>
      <c r="FB207">
        <v>210</v>
      </c>
      <c r="FC207">
        <v>100</v>
      </c>
      <c r="FD207" s="74">
        <f ca="1">INDIRECT(ADDRESS(11+(MATCH(RIGHT(Table1820[[#This Row],[spawner_sku]],LEN(Table1820[[#This Row],[spawner_sku]])-FIND("/",Table1820[[#This Row],[spawner_sku]])),Table1[Entity Prefab],0)),10,1,1,"Entities"))</f>
        <v>65</v>
      </c>
      <c r="FE207" s="74">
        <f ca="1">ROUND((Table1820[[#This Row],[XP]]*Table1820[[#This Row],[entity_spawned (AVG)]])*(Table1820[[#This Row],[activating_chance]]/100),0)</f>
        <v>65</v>
      </c>
      <c r="FF207" s="74" t="str">
        <f ca="1">INDIRECT(ADDRESS(11+(MATCH(RIGHT(Table1820[[#This Row],[spawner_sku]],LEN(Table1820[[#This Row],[spawner_sku]])-FIND("/",Table1820[[#This Row],[spawner_sku]])),Table28[Entity Prefab],0)),26,1,1,"Entities"))</f>
        <v>yes</v>
      </c>
      <c r="FG207">
        <v>1</v>
      </c>
      <c r="FH207">
        <v>1</v>
      </c>
      <c r="FI207" t="b">
        <v>0</v>
      </c>
      <c r="FV207" t="s">
        <v>2704</v>
      </c>
      <c r="FW207">
        <v>5.5</v>
      </c>
      <c r="FX207">
        <v>240</v>
      </c>
      <c r="FY207">
        <v>100</v>
      </c>
      <c r="FZ207" s="74">
        <f ca="1">INDIRECT(ADDRESS(11+(MATCH(RIGHT(Table18202324[[#This Row],[spawner_sku]],LEN(Table18202324[[#This Row],[spawner_sku]])-FIND("/",Table18202324[[#This Row],[spawner_sku]])),Table1[Entity Prefab],0)),10,1,1,"Entities"))</f>
        <v>50</v>
      </c>
      <c r="GA207" s="74">
        <f ca="1">ROUND((Table18202324[[#This Row],[XP]]*Table18202324[[#This Row],[entity_spawned (AVG)]])*(Table18202324[[#This Row],[activating_chance]]/100),0)</f>
        <v>275</v>
      </c>
      <c r="GB207" s="74" t="str">
        <f ca="1">INDIRECT(ADDRESS(11+(MATCH(RIGHT(Table18202324[[#This Row],[spawner_sku]],LEN(Table18202324[[#This Row],[spawner_sku]])-FIND("/",Table18202324[[#This Row],[spawner_sku]])),Table28[Entity Prefab],0)),26,1,1,"Entities"))</f>
        <v>no</v>
      </c>
      <c r="GC207">
        <v>5</v>
      </c>
      <c r="GD207">
        <v>6</v>
      </c>
      <c r="GE207" t="b">
        <v>1</v>
      </c>
    </row>
    <row r="208" spans="2:187" x14ac:dyDescent="0.25">
      <c r="B208" s="72" t="s">
        <v>218</v>
      </c>
      <c r="C208">
        <v>1</v>
      </c>
      <c r="D208">
        <v>5000</v>
      </c>
      <c r="E208">
        <v>75</v>
      </c>
      <c r="F208" s="74">
        <f ca="1">INDIRECT(ADDRESS(11+(MATCH(RIGHT(Table245[[#This Row],[spawner_sku]],LEN(Table245[[#This Row],[spawner_sku]])-FIND("/",Table245[[#This Row],[spawner_sku]])),Table1[Entity Prefab],0)),10,1,1,"Entities"))</f>
        <v>75</v>
      </c>
      <c r="G208" s="74">
        <f ca="1">ROUND((Table245[[#This Row],[XP]]*Table245[[#This Row],[entity_spawned (AVG)]])*(Table245[[#This Row],[activating_chance]]/100),0)</f>
        <v>56</v>
      </c>
      <c r="H208" s="71" t="str">
        <f ca="1">INDIRECT(ADDRESS(11+(MATCH(RIGHT(Table245[[#This Row],[spawner_sku]],LEN(Table245[[#This Row],[spawner_sku]])-FIND("/",Table245[[#This Row],[spawner_sku]])),Table28[Entity Prefab],0)),24,1,1,"Entities"))</f>
        <v>no</v>
      </c>
      <c r="I208" s="71">
        <v>1</v>
      </c>
      <c r="J208" s="71">
        <v>1</v>
      </c>
      <c r="K208" s="71" t="b">
        <v>0</v>
      </c>
      <c r="M208" t="s">
        <v>230</v>
      </c>
      <c r="N208">
        <v>1</v>
      </c>
      <c r="O208">
        <v>200</v>
      </c>
      <c r="P208">
        <v>100</v>
      </c>
      <c r="Q208" s="74">
        <f ca="1">INDIRECT(ADDRESS(11+(MATCH(RIGHT(Table3[[#This Row],[spawner_sku]],LEN(Table3[[#This Row],[spawner_sku]])-FIND("/",Table3[[#This Row],[spawner_sku]])),Table1[Entity Prefab],0)),10,1,1,"Entities"))</f>
        <v>28</v>
      </c>
      <c r="R208" s="74">
        <f ca="1">ROUND((Table3[[#This Row],[XP]]*Table3[[#This Row],[entity_spawned (AVG)]])*(Table3[[#This Row],[activating_chance]]/100),0)</f>
        <v>28</v>
      </c>
      <c r="S208" t="str">
        <f ca="1">INDIRECT(ADDRESS(11+(MATCH(RIGHT(Table3[[#This Row],[spawner_sku]],LEN(Table3[[#This Row],[spawner_sku]])-FIND("/",Table3[[#This Row],[spawner_sku]])),Table28[Entity Prefab],0)),24,1,1,"Entities"))</f>
        <v>no</v>
      </c>
      <c r="T208">
        <v>1</v>
      </c>
      <c r="U208">
        <v>1</v>
      </c>
      <c r="V208" t="b">
        <v>0</v>
      </c>
      <c r="AI208" t="s">
        <v>232</v>
      </c>
      <c r="AJ208">
        <v>6</v>
      </c>
      <c r="AK208">
        <v>180</v>
      </c>
      <c r="AL208">
        <v>100</v>
      </c>
      <c r="AM208" s="74">
        <f ca="1">INDIRECT(ADDRESS(11+(MATCH(RIGHT(Table2[[#This Row],[spawner_sku]],LEN(Table2[[#This Row],[spawner_sku]])-FIND("/",Table2[[#This Row],[spawner_sku]])),Table1[Entity Prefab],0)),10,1,1,"Entities"))</f>
        <v>25</v>
      </c>
      <c r="AN208" s="74">
        <f ca="1">ROUND((Table2[[#This Row],[XP]]*Table2[[#This Row],[entity_spawned (AVG)]])*(Table2[[#This Row],[activating_chance]]/100),0)</f>
        <v>150</v>
      </c>
      <c r="AO208" s="71" t="str">
        <f ca="1">INDIRECT(ADDRESS(11+(MATCH(RIGHT(Table2[[#This Row],[spawner_sku]],LEN(Table2[[#This Row],[spawner_sku]])-FIND("/",Table2[[#This Row],[spawner_sku]])),Table28[Entity Prefab],0)),24,1,1,"Entities"))</f>
        <v>no</v>
      </c>
      <c r="AP208" s="71">
        <v>5</v>
      </c>
      <c r="AQ208" s="71">
        <v>7</v>
      </c>
      <c r="AR208" s="71" t="b">
        <v>1</v>
      </c>
      <c r="BE208" t="s">
        <v>242</v>
      </c>
      <c r="BF208">
        <v>1</v>
      </c>
      <c r="BG208">
        <v>200</v>
      </c>
      <c r="BH208">
        <v>80</v>
      </c>
      <c r="BI208" s="74">
        <f ca="1">INDIRECT(ADDRESS(11+(MATCH(RIGHT(Table610[[#This Row],[spawner_sku]],LEN(Table610[[#This Row],[spawner_sku]])-FIND("/",Table610[[#This Row],[spawner_sku]])),Table1[Entity Prefab],0)),10,1,1,"Entities"))</f>
        <v>25</v>
      </c>
      <c r="BJ208" s="74">
        <f ca="1">ROUND((Table610[[#This Row],[XP]]*Table610[[#This Row],[entity_spawned (AVG)]])*(Table610[[#This Row],[activating_chance]]/100),0)</f>
        <v>20</v>
      </c>
      <c r="BK208" s="71" t="str">
        <f ca="1">INDIRECT(ADDRESS(11+(MATCH(RIGHT(Table610[[#This Row],[spawner_sku]],LEN(Table610[[#This Row],[spawner_sku]])-FIND("/",Table610[[#This Row],[spawner_sku]])),Table28[Entity Prefab],0)),24,1,1,"Entities"))</f>
        <v>no</v>
      </c>
      <c r="BL208">
        <v>1</v>
      </c>
      <c r="BM208">
        <v>1</v>
      </c>
      <c r="BN208" t="b">
        <v>0</v>
      </c>
      <c r="BP208" t="s">
        <v>232</v>
      </c>
      <c r="BQ208">
        <v>9</v>
      </c>
      <c r="BR208">
        <v>200</v>
      </c>
      <c r="BS208">
        <v>100</v>
      </c>
      <c r="BT208" s="74">
        <f ca="1">INDIRECT(ADDRESS(11+(MATCH(RIGHT(Table61011[[#This Row],[spawner_sku]],LEN(Table61011[[#This Row],[spawner_sku]])-FIND("/",Table61011[[#This Row],[spawner_sku]])),Table1[Entity Prefab],0)),10,1,1,"Entities"))</f>
        <v>25</v>
      </c>
      <c r="BU208" s="74">
        <f ca="1">ROUND((Table61011[[#This Row],[XP]]*Table61011[[#This Row],[entity_spawned (AVG)]])*(Table61011[[#This Row],[activating_chance]]/100),0)</f>
        <v>225</v>
      </c>
      <c r="BV208" s="71" t="str">
        <f ca="1">INDIRECT(ADDRESS(11+(MATCH(RIGHT(Table61011[[#This Row],[spawner_sku]],LEN(Table61011[[#This Row],[spawner_sku]])-FIND("/",Table61011[[#This Row],[spawner_sku]])),Table28[Entity Prefab],0)),24,1,1,"Entities"))</f>
        <v>no</v>
      </c>
      <c r="BW208" s="71">
        <v>8</v>
      </c>
      <c r="BX208" s="71">
        <v>10</v>
      </c>
      <c r="BY208" s="71" t="b">
        <v>1</v>
      </c>
      <c r="BZ208" s="71"/>
      <c r="CA208" s="147" t="s">
        <v>3821</v>
      </c>
      <c r="CB208">
        <v>1</v>
      </c>
      <c r="CC208">
        <v>240</v>
      </c>
      <c r="CD208">
        <v>100</v>
      </c>
      <c r="CE208" s="74">
        <f ca="1">INDIRECT(ADDRESS(11+(MATCH(RIGHT(Table35[[#This Row],[spawner_sku]],LEN(Table35[[#This Row],[spawner_sku]])-FIND("/",Table35[[#This Row],[spawner_sku]])),Table1[Entity Prefab],0)),10,1,1,"Entities"))</f>
        <v>10</v>
      </c>
      <c r="CF208" s="74">
        <f ca="1">ROUND((Table35[[#This Row],[XP]]*Table35[[#This Row],[entity_spawned (AVG)]])*(Table35[[#This Row],[activating_chance]]/100),0)</f>
        <v>10</v>
      </c>
      <c r="CG208" s="144" t="str">
        <f ca="1">INDIRECT(ADDRESS(11+(MATCH(RIGHT(Table35[[#This Row],[spawner_sku]],LEN(Table35[[#This Row],[spawner_sku]])-FIND("/",Table35[[#This Row],[spawner_sku]])),Table28[Entity Prefab],0)),24,1,1,"Entities"))</f>
        <v>no</v>
      </c>
      <c r="CH208">
        <v>1</v>
      </c>
      <c r="CI208">
        <v>1</v>
      </c>
      <c r="CJ208" s="71" t="b">
        <v>0</v>
      </c>
      <c r="CL208" t="s">
        <v>227</v>
      </c>
      <c r="CM208">
        <v>1</v>
      </c>
      <c r="CN208">
        <v>2000</v>
      </c>
      <c r="CO208">
        <v>100</v>
      </c>
      <c r="CP208" s="74">
        <f ca="1">INDIRECT(ADDRESS(11+(MATCH(RIGHT(Table11[[#This Row],[spawner_sku]],LEN(Table11[[#This Row],[spawner_sku]])-FIND("/",Table11[[#This Row],[spawner_sku]])),Table1[Entity Prefab],0)),10,1,1,"Entities"))</f>
        <v>175</v>
      </c>
      <c r="CQ208">
        <f ca="1">ROUND((Table11[[#This Row],[XP]]*Table11[[#This Row],[entity_spawned (AVG)]])*(Table11[[#This Row],[activating_chance]]/100),0)</f>
        <v>175</v>
      </c>
      <c r="CR208" s="144" t="str">
        <f ca="1">INDIRECT(ADDRESS(11+(MATCH(RIGHT(Table11[[#This Row],[spawner_sku]],LEN(Table11[[#This Row],[spawner_sku]])-FIND("/",Table11[[#This Row],[spawner_sku]])),Table28[Entity Prefab],0)),25,1,1,"Entities"))</f>
        <v>yes</v>
      </c>
      <c r="CS208" s="71">
        <v>1</v>
      </c>
      <c r="CT208" s="71">
        <v>1</v>
      </c>
      <c r="CU208" s="71" t="b">
        <v>0</v>
      </c>
      <c r="CW208" t="s">
        <v>503</v>
      </c>
      <c r="CX208">
        <v>1</v>
      </c>
      <c r="CY208">
        <v>240</v>
      </c>
      <c r="CZ208">
        <v>100</v>
      </c>
      <c r="DA208" s="74">
        <f ca="1">INDIRECT(ADDRESS(11+(MATCH(RIGHT(Table12[[#This Row],[spawner_sku]],LEN(Table12[[#This Row],[spawner_sku]])-FIND("/",Table12[[#This Row],[spawner_sku]])),Table1[Entity Prefab],0)),10,1,1,"Entities"))</f>
        <v>55</v>
      </c>
      <c r="DB208" s="74">
        <f ca="1">ROUND((Table12[[#This Row],[XP]]*Table12[[#This Row],[entity_spawned (AVG)]])*(Table12[[#This Row],[activating_chance]]/100),0)</f>
        <v>55</v>
      </c>
      <c r="DC208" s="144" t="str">
        <f ca="1">INDIRECT(ADDRESS(11+(MATCH(RIGHT(Table12[[#This Row],[spawner_sku]],LEN(Table12[[#This Row],[spawner_sku]])-FIND("/",Table12[[#This Row],[spawner_sku]])),Table28[Entity Prefab],0)),25,1,1,"Entities"))</f>
        <v>yes</v>
      </c>
      <c r="DD208" s="71">
        <v>1</v>
      </c>
      <c r="DE208" s="71">
        <v>1</v>
      </c>
      <c r="DF208" s="71" t="b">
        <v>0</v>
      </c>
      <c r="DH208" t="s">
        <v>242</v>
      </c>
      <c r="DI208">
        <v>1</v>
      </c>
      <c r="DJ208">
        <v>150</v>
      </c>
      <c r="DK208">
        <v>10</v>
      </c>
      <c r="DL208" s="74">
        <f ca="1">INDIRECT(ADDRESS(11+(MATCH(RIGHT(Table13[[#This Row],[spawner_sku]],LEN(Table13[[#This Row],[spawner_sku]])-FIND("/",Table13[[#This Row],[spawner_sku]])),Table1[Entity Prefab],0)),10,1,1,"Entities"))</f>
        <v>25</v>
      </c>
      <c r="DM208" s="74">
        <f ca="1">ROUND((Table13[[#This Row],[XP]]*Table13[[#This Row],[entity_spawned (AVG)]])*(Table13[[#This Row],[activating_chance]]/100),0)</f>
        <v>3</v>
      </c>
      <c r="DN208" s="144" t="str">
        <f ca="1">INDIRECT(ADDRESS(11+(MATCH(RIGHT(Table13[[#This Row],[spawner_sku]],LEN(Table13[[#This Row],[spawner_sku]])-FIND("/",Table13[[#This Row],[spawner_sku]])),Table28[Entity Prefab],0)),25,1,1,"Entities"))</f>
        <v>no</v>
      </c>
      <c r="DO208" s="71">
        <v>1</v>
      </c>
      <c r="DP208" s="71">
        <v>1</v>
      </c>
      <c r="DQ208" s="71" t="b">
        <v>0</v>
      </c>
      <c r="DS208" t="s">
        <v>370</v>
      </c>
      <c r="DT208">
        <v>1</v>
      </c>
      <c r="DU208">
        <v>450</v>
      </c>
      <c r="DV208">
        <v>100</v>
      </c>
      <c r="DW208" s="74">
        <f ca="1">INDIRECT(ADDRESS(11+(MATCH(RIGHT(Table14[[#This Row],[spawner_sku]],LEN(Table14[[#This Row],[spawner_sku]])-FIND("/",Table14[[#This Row],[spawner_sku]])),Table1[Entity Prefab],0)),10,1,1,"Entities"))</f>
        <v>0</v>
      </c>
      <c r="DX208" s="74">
        <f ca="1">ROUND((Table14[[#This Row],[XP]]*Table14[[#This Row],[entity_spawned (AVG)]])*(Table14[[#This Row],[activating_chance]]/100),0)</f>
        <v>0</v>
      </c>
      <c r="DY208" s="144" t="str">
        <f ca="1">INDIRECT(ADDRESS(11+(MATCH(RIGHT(Table14[[#This Row],[spawner_sku]],LEN(Table14[[#This Row],[spawner_sku]])-FIND("/",Table14[[#This Row],[spawner_sku]])),Table28[Entity Prefab],0)),25,1,1,"Entities"))</f>
        <v>no</v>
      </c>
      <c r="DZ208" s="71">
        <v>1</v>
      </c>
      <c r="EA208" s="71">
        <v>1</v>
      </c>
      <c r="EB208" s="71" t="b">
        <v>0</v>
      </c>
      <c r="EC208" s="71"/>
      <c r="EO208" t="s">
        <v>448</v>
      </c>
      <c r="EP208">
        <v>1</v>
      </c>
      <c r="EQ208">
        <v>280</v>
      </c>
      <c r="ER208">
        <v>100</v>
      </c>
      <c r="ES208" s="74">
        <f ca="1">INDIRECT(ADDRESS(11+(MATCH(RIGHT(Table18[[#This Row],[spawner_sku]],LEN(Table18[[#This Row],[spawner_sku]])-FIND("/",Table18[[#This Row],[spawner_sku]])),Table1[Entity Prefab],0)),10,1,1,"Entities"))</f>
        <v>143</v>
      </c>
      <c r="ET208" s="74">
        <f ca="1">ROUND((Table18[[#This Row],[XP]]*Table18[[#This Row],[entity_spawned (AVG)]])*(Table18[[#This Row],[activating_chance]]/100),0)</f>
        <v>143</v>
      </c>
      <c r="EU208" s="74" t="str">
        <f ca="1">INDIRECT(ADDRESS(11+(MATCH(RIGHT(Table18[[#This Row],[spawner_sku]],LEN(Table18[[#This Row],[spawner_sku]])-FIND("/",Table18[[#This Row],[spawner_sku]])),Table28[Entity Prefab],0)),26,1,1,"Entities"))</f>
        <v>yes</v>
      </c>
      <c r="EV208">
        <v>1</v>
      </c>
      <c r="EW208">
        <v>1</v>
      </c>
      <c r="EX208" t="b">
        <v>0</v>
      </c>
      <c r="EZ208" t="s">
        <v>573</v>
      </c>
      <c r="FA208">
        <v>1</v>
      </c>
      <c r="FB208">
        <v>210</v>
      </c>
      <c r="FC208">
        <v>100</v>
      </c>
      <c r="FD208" s="74">
        <f ca="1">INDIRECT(ADDRESS(11+(MATCH(RIGHT(Table1820[[#This Row],[spawner_sku]],LEN(Table1820[[#This Row],[spawner_sku]])-FIND("/",Table1820[[#This Row],[spawner_sku]])),Table1[Entity Prefab],0)),10,1,1,"Entities"))</f>
        <v>65</v>
      </c>
      <c r="FE208" s="74">
        <f ca="1">ROUND((Table1820[[#This Row],[XP]]*Table1820[[#This Row],[entity_spawned (AVG)]])*(Table1820[[#This Row],[activating_chance]]/100),0)</f>
        <v>65</v>
      </c>
      <c r="FF208" s="74" t="str">
        <f ca="1">INDIRECT(ADDRESS(11+(MATCH(RIGHT(Table1820[[#This Row],[spawner_sku]],LEN(Table1820[[#This Row],[spawner_sku]])-FIND("/",Table1820[[#This Row],[spawner_sku]])),Table28[Entity Prefab],0)),26,1,1,"Entities"))</f>
        <v>yes</v>
      </c>
      <c r="FG208">
        <v>1</v>
      </c>
      <c r="FH208">
        <v>1</v>
      </c>
      <c r="FI208" t="b">
        <v>0</v>
      </c>
      <c r="FV208" t="s">
        <v>2704</v>
      </c>
      <c r="FW208">
        <v>7.5</v>
      </c>
      <c r="FX208">
        <v>240</v>
      </c>
      <c r="FY208">
        <v>100</v>
      </c>
      <c r="FZ208" s="74">
        <f ca="1">INDIRECT(ADDRESS(11+(MATCH(RIGHT(Table18202324[[#This Row],[spawner_sku]],LEN(Table18202324[[#This Row],[spawner_sku]])-FIND("/",Table18202324[[#This Row],[spawner_sku]])),Table1[Entity Prefab],0)),10,1,1,"Entities"))</f>
        <v>50</v>
      </c>
      <c r="GA208" s="74">
        <f ca="1">ROUND((Table18202324[[#This Row],[XP]]*Table18202324[[#This Row],[entity_spawned (AVG)]])*(Table18202324[[#This Row],[activating_chance]]/100),0)</f>
        <v>375</v>
      </c>
      <c r="GB208" s="74" t="str">
        <f ca="1">INDIRECT(ADDRESS(11+(MATCH(RIGHT(Table18202324[[#This Row],[spawner_sku]],LEN(Table18202324[[#This Row],[spawner_sku]])-FIND("/",Table18202324[[#This Row],[spawner_sku]])),Table28[Entity Prefab],0)),26,1,1,"Entities"))</f>
        <v>no</v>
      </c>
      <c r="GC208">
        <v>5</v>
      </c>
      <c r="GD208">
        <v>10</v>
      </c>
      <c r="GE208" t="b">
        <v>1</v>
      </c>
    </row>
    <row r="209" spans="2:187" x14ac:dyDescent="0.25">
      <c r="B209" s="72" t="s">
        <v>218</v>
      </c>
      <c r="C209">
        <v>1</v>
      </c>
      <c r="D209">
        <v>5000</v>
      </c>
      <c r="E209">
        <v>75</v>
      </c>
      <c r="F209" s="74">
        <f ca="1">INDIRECT(ADDRESS(11+(MATCH(RIGHT(Table245[[#This Row],[spawner_sku]],LEN(Table245[[#This Row],[spawner_sku]])-FIND("/",Table245[[#This Row],[spawner_sku]])),Table1[Entity Prefab],0)),10,1,1,"Entities"))</f>
        <v>75</v>
      </c>
      <c r="G209" s="74">
        <f ca="1">ROUND((Table245[[#This Row],[XP]]*Table245[[#This Row],[entity_spawned (AVG)]])*(Table245[[#This Row],[activating_chance]]/100),0)</f>
        <v>56</v>
      </c>
      <c r="H209" s="71" t="str">
        <f ca="1">INDIRECT(ADDRESS(11+(MATCH(RIGHT(Table245[[#This Row],[spawner_sku]],LEN(Table245[[#This Row],[spawner_sku]])-FIND("/",Table245[[#This Row],[spawner_sku]])),Table28[Entity Prefab],0)),24,1,1,"Entities"))</f>
        <v>no</v>
      </c>
      <c r="I209" s="71">
        <v>1</v>
      </c>
      <c r="J209" s="71">
        <v>1</v>
      </c>
      <c r="K209" s="71" t="b">
        <v>0</v>
      </c>
      <c r="M209" t="s">
        <v>365</v>
      </c>
      <c r="N209">
        <v>1</v>
      </c>
      <c r="O209">
        <v>240</v>
      </c>
      <c r="P209">
        <v>100</v>
      </c>
      <c r="Q209" s="74">
        <f ca="1">INDIRECT(ADDRESS(11+(MATCH(RIGHT(Table3[[#This Row],[spawner_sku]],LEN(Table3[[#This Row],[spawner_sku]])-FIND("/",Table3[[#This Row],[spawner_sku]])),Table1[Entity Prefab],0)),10,1,1,"Entities"))</f>
        <v>28</v>
      </c>
      <c r="R209" s="74">
        <f ca="1">ROUND((Table3[[#This Row],[XP]]*Table3[[#This Row],[entity_spawned (AVG)]])*(Table3[[#This Row],[activating_chance]]/100),0)</f>
        <v>28</v>
      </c>
      <c r="S209" t="str">
        <f ca="1">INDIRECT(ADDRESS(11+(MATCH(RIGHT(Table3[[#This Row],[spawner_sku]],LEN(Table3[[#This Row],[spawner_sku]])-FIND("/",Table3[[#This Row],[spawner_sku]])),Table28[Entity Prefab],0)),24,1,1,"Entities"))</f>
        <v>yes</v>
      </c>
      <c r="T209">
        <v>1</v>
      </c>
      <c r="U209">
        <v>1</v>
      </c>
      <c r="V209" t="b">
        <v>0</v>
      </c>
      <c r="AI209" t="s">
        <v>570</v>
      </c>
      <c r="AJ209">
        <v>1</v>
      </c>
      <c r="AK209">
        <v>85</v>
      </c>
      <c r="AL209">
        <v>100</v>
      </c>
      <c r="AM209" s="74">
        <f ca="1">INDIRECT(ADDRESS(11+(MATCH(RIGHT(Table2[[#This Row],[spawner_sku]],LEN(Table2[[#This Row],[spawner_sku]])-FIND("/",Table2[[#This Row],[spawner_sku]])),Table1[Entity Prefab],0)),10,1,1,"Entities"))</f>
        <v>50</v>
      </c>
      <c r="AN209" s="74">
        <f ca="1">ROUND((Table2[[#This Row],[XP]]*Table2[[#This Row],[entity_spawned (AVG)]])*(Table2[[#This Row],[activating_chance]]/100),0)</f>
        <v>50</v>
      </c>
      <c r="AO209" s="71" t="str">
        <f ca="1">INDIRECT(ADDRESS(11+(MATCH(RIGHT(Table2[[#This Row],[spawner_sku]],LEN(Table2[[#This Row],[spawner_sku]])-FIND("/",Table2[[#This Row],[spawner_sku]])),Table28[Entity Prefab],0)),24,1,1,"Entities"))</f>
        <v>no</v>
      </c>
      <c r="AP209" s="71">
        <v>1</v>
      </c>
      <c r="AQ209" s="71">
        <v>1</v>
      </c>
      <c r="AR209" s="71" t="b">
        <v>0</v>
      </c>
      <c r="BE209" t="s">
        <v>242</v>
      </c>
      <c r="BF209">
        <v>1</v>
      </c>
      <c r="BG209">
        <v>200</v>
      </c>
      <c r="BH209">
        <v>40</v>
      </c>
      <c r="BI209" s="74">
        <f ca="1">INDIRECT(ADDRESS(11+(MATCH(RIGHT(Table610[[#This Row],[spawner_sku]],LEN(Table610[[#This Row],[spawner_sku]])-FIND("/",Table610[[#This Row],[spawner_sku]])),Table1[Entity Prefab],0)),10,1,1,"Entities"))</f>
        <v>25</v>
      </c>
      <c r="BJ209" s="74">
        <f ca="1">ROUND((Table610[[#This Row],[XP]]*Table610[[#This Row],[entity_spawned (AVG)]])*(Table610[[#This Row],[activating_chance]]/100),0)</f>
        <v>10</v>
      </c>
      <c r="BK209" s="71" t="str">
        <f ca="1">INDIRECT(ADDRESS(11+(MATCH(RIGHT(Table610[[#This Row],[spawner_sku]],LEN(Table610[[#This Row],[spawner_sku]])-FIND("/",Table610[[#This Row],[spawner_sku]])),Table28[Entity Prefab],0)),24,1,1,"Entities"))</f>
        <v>no</v>
      </c>
      <c r="BL209">
        <v>1</v>
      </c>
      <c r="BM209">
        <v>1</v>
      </c>
      <c r="BN209" t="b">
        <v>0</v>
      </c>
      <c r="BP209" t="s">
        <v>232</v>
      </c>
      <c r="BQ209">
        <v>2.5</v>
      </c>
      <c r="BR209">
        <v>90</v>
      </c>
      <c r="BS209">
        <v>100</v>
      </c>
      <c r="BT209" s="74">
        <f ca="1">INDIRECT(ADDRESS(11+(MATCH(RIGHT(Table61011[[#This Row],[spawner_sku]],LEN(Table61011[[#This Row],[spawner_sku]])-FIND("/",Table61011[[#This Row],[spawner_sku]])),Table1[Entity Prefab],0)),10,1,1,"Entities"))</f>
        <v>25</v>
      </c>
      <c r="BU209" s="74">
        <f ca="1">ROUND((Table61011[[#This Row],[XP]]*Table61011[[#This Row],[entity_spawned (AVG)]])*(Table61011[[#This Row],[activating_chance]]/100),0)</f>
        <v>63</v>
      </c>
      <c r="BV209" s="71" t="str">
        <f ca="1">INDIRECT(ADDRESS(11+(MATCH(RIGHT(Table61011[[#This Row],[spawner_sku]],LEN(Table61011[[#This Row],[spawner_sku]])-FIND("/",Table61011[[#This Row],[spawner_sku]])),Table28[Entity Prefab],0)),24,1,1,"Entities"))</f>
        <v>no</v>
      </c>
      <c r="BW209" s="71">
        <v>2</v>
      </c>
      <c r="BX209" s="71">
        <v>3</v>
      </c>
      <c r="BY209" s="71" t="b">
        <v>0</v>
      </c>
      <c r="BZ209" s="71"/>
      <c r="CA209" s="147" t="s">
        <v>3823</v>
      </c>
      <c r="CB209">
        <v>1</v>
      </c>
      <c r="CC209">
        <v>240</v>
      </c>
      <c r="CD209">
        <v>100</v>
      </c>
      <c r="CE209" s="74">
        <f ca="1">INDIRECT(ADDRESS(11+(MATCH(RIGHT(Table35[[#This Row],[spawner_sku]],LEN(Table35[[#This Row],[spawner_sku]])-FIND("/",Table35[[#This Row],[spawner_sku]])),Table1[Entity Prefab],0)),10,1,1,"Entities"))</f>
        <v>10</v>
      </c>
      <c r="CF209" s="74">
        <f ca="1">ROUND((Table35[[#This Row],[XP]]*Table35[[#This Row],[entity_spawned (AVG)]])*(Table35[[#This Row],[activating_chance]]/100),0)</f>
        <v>10</v>
      </c>
      <c r="CG209" s="144" t="str">
        <f ca="1">INDIRECT(ADDRESS(11+(MATCH(RIGHT(Table35[[#This Row],[spawner_sku]],LEN(Table35[[#This Row],[spawner_sku]])-FIND("/",Table35[[#This Row],[spawner_sku]])),Table28[Entity Prefab],0)),24,1,1,"Entities"))</f>
        <v>no</v>
      </c>
      <c r="CH209">
        <v>1</v>
      </c>
      <c r="CI209">
        <v>1</v>
      </c>
      <c r="CJ209" s="71" t="b">
        <v>0</v>
      </c>
      <c r="CL209" t="s">
        <v>227</v>
      </c>
      <c r="CM209">
        <v>1</v>
      </c>
      <c r="CN209">
        <v>2000</v>
      </c>
      <c r="CO209">
        <v>100</v>
      </c>
      <c r="CP209" s="74">
        <f ca="1">INDIRECT(ADDRESS(11+(MATCH(RIGHT(Table11[[#This Row],[spawner_sku]],LEN(Table11[[#This Row],[spawner_sku]])-FIND("/",Table11[[#This Row],[spawner_sku]])),Table1[Entity Prefab],0)),10,1,1,"Entities"))</f>
        <v>175</v>
      </c>
      <c r="CQ209">
        <f ca="1">ROUND((Table11[[#This Row],[XP]]*Table11[[#This Row],[entity_spawned (AVG)]])*(Table11[[#This Row],[activating_chance]]/100),0)</f>
        <v>175</v>
      </c>
      <c r="CR209" s="144" t="str">
        <f ca="1">INDIRECT(ADDRESS(11+(MATCH(RIGHT(Table11[[#This Row],[spawner_sku]],LEN(Table11[[#This Row],[spawner_sku]])-FIND("/",Table11[[#This Row],[spawner_sku]])),Table28[Entity Prefab],0)),25,1,1,"Entities"))</f>
        <v>yes</v>
      </c>
      <c r="CS209" s="71">
        <v>1</v>
      </c>
      <c r="CT209" s="71">
        <v>1</v>
      </c>
      <c r="CU209" s="71" t="b">
        <v>0</v>
      </c>
      <c r="CW209" t="s">
        <v>504</v>
      </c>
      <c r="CX209">
        <v>1</v>
      </c>
      <c r="CY209">
        <v>240</v>
      </c>
      <c r="CZ209">
        <v>100</v>
      </c>
      <c r="DA209" s="74">
        <f ca="1">INDIRECT(ADDRESS(11+(MATCH(RIGHT(Table12[[#This Row],[spawner_sku]],LEN(Table12[[#This Row],[spawner_sku]])-FIND("/",Table12[[#This Row],[spawner_sku]])),Table1[Entity Prefab],0)),10,1,1,"Entities"))</f>
        <v>55</v>
      </c>
      <c r="DB209" s="74">
        <f ca="1">ROUND((Table12[[#This Row],[XP]]*Table12[[#This Row],[entity_spawned (AVG)]])*(Table12[[#This Row],[activating_chance]]/100),0)</f>
        <v>55</v>
      </c>
      <c r="DC209" s="144" t="str">
        <f ca="1">INDIRECT(ADDRESS(11+(MATCH(RIGHT(Table12[[#This Row],[spawner_sku]],LEN(Table12[[#This Row],[spawner_sku]])-FIND("/",Table12[[#This Row],[spawner_sku]])),Table28[Entity Prefab],0)),25,1,1,"Entities"))</f>
        <v>no</v>
      </c>
      <c r="DD209" s="71">
        <v>1</v>
      </c>
      <c r="DE209" s="71">
        <v>1</v>
      </c>
      <c r="DF209" s="71" t="b">
        <v>0</v>
      </c>
      <c r="DH209" t="s">
        <v>242</v>
      </c>
      <c r="DI209">
        <v>1</v>
      </c>
      <c r="DJ209">
        <v>150</v>
      </c>
      <c r="DK209">
        <v>100</v>
      </c>
      <c r="DL209" s="74">
        <f ca="1">INDIRECT(ADDRESS(11+(MATCH(RIGHT(Table13[[#This Row],[spawner_sku]],LEN(Table13[[#This Row],[spawner_sku]])-FIND("/",Table13[[#This Row],[spawner_sku]])),Table1[Entity Prefab],0)),10,1,1,"Entities"))</f>
        <v>25</v>
      </c>
      <c r="DM209" s="74">
        <f ca="1">ROUND((Table13[[#This Row],[XP]]*Table13[[#This Row],[entity_spawned (AVG)]])*(Table13[[#This Row],[activating_chance]]/100),0)</f>
        <v>25</v>
      </c>
      <c r="DN209" s="144" t="str">
        <f ca="1">INDIRECT(ADDRESS(11+(MATCH(RIGHT(Table13[[#This Row],[spawner_sku]],LEN(Table13[[#This Row],[spawner_sku]])-FIND("/",Table13[[#This Row],[spawner_sku]])),Table28[Entity Prefab],0)),25,1,1,"Entities"))</f>
        <v>no</v>
      </c>
      <c r="DO209" s="71">
        <v>1</v>
      </c>
      <c r="DP209" s="71">
        <v>1</v>
      </c>
      <c r="DQ209" s="71" t="b">
        <v>0</v>
      </c>
      <c r="DS209" t="s">
        <v>446</v>
      </c>
      <c r="DT209">
        <v>1</v>
      </c>
      <c r="DU209">
        <v>240</v>
      </c>
      <c r="DV209">
        <v>100</v>
      </c>
      <c r="DW209" s="74">
        <f ca="1">INDIRECT(ADDRESS(11+(MATCH(RIGHT(Table14[[#This Row],[spawner_sku]],LEN(Table14[[#This Row],[spawner_sku]])-FIND("/",Table14[[#This Row],[spawner_sku]])),Table1[Entity Prefab],0)),10,1,1,"Entities"))</f>
        <v>83</v>
      </c>
      <c r="DX209" s="74">
        <f ca="1">ROUND((Table14[[#This Row],[XP]]*Table14[[#This Row],[entity_spawned (AVG)]])*(Table14[[#This Row],[activating_chance]]/100),0)</f>
        <v>83</v>
      </c>
      <c r="DY209" s="144" t="str">
        <f ca="1">INDIRECT(ADDRESS(11+(MATCH(RIGHT(Table14[[#This Row],[spawner_sku]],LEN(Table14[[#This Row],[spawner_sku]])-FIND("/",Table14[[#This Row],[spawner_sku]])),Table28[Entity Prefab],0)),25,1,1,"Entities"))</f>
        <v>yes</v>
      </c>
      <c r="DZ209" s="71">
        <v>1</v>
      </c>
      <c r="EA209" s="71">
        <v>1</v>
      </c>
      <c r="EB209" s="71" t="b">
        <v>0</v>
      </c>
      <c r="EC209" s="71"/>
      <c r="EO209" t="s">
        <v>448</v>
      </c>
      <c r="EP209">
        <v>1</v>
      </c>
      <c r="EQ209">
        <v>280</v>
      </c>
      <c r="ER209">
        <v>100</v>
      </c>
      <c r="ES209" s="74">
        <f ca="1">INDIRECT(ADDRESS(11+(MATCH(RIGHT(Table18[[#This Row],[spawner_sku]],LEN(Table18[[#This Row],[spawner_sku]])-FIND("/",Table18[[#This Row],[spawner_sku]])),Table1[Entity Prefab],0)),10,1,1,"Entities"))</f>
        <v>143</v>
      </c>
      <c r="ET209" s="74">
        <f ca="1">ROUND((Table18[[#This Row],[XP]]*Table18[[#This Row],[entity_spawned (AVG)]])*(Table18[[#This Row],[activating_chance]]/100),0)</f>
        <v>143</v>
      </c>
      <c r="EU209" s="74" t="str">
        <f ca="1">INDIRECT(ADDRESS(11+(MATCH(RIGHT(Table18[[#This Row],[spawner_sku]],LEN(Table18[[#This Row],[spawner_sku]])-FIND("/",Table18[[#This Row],[spawner_sku]])),Table28[Entity Prefab],0)),26,1,1,"Entities"))</f>
        <v>yes</v>
      </c>
      <c r="EV209">
        <v>1</v>
      </c>
      <c r="EW209">
        <v>1</v>
      </c>
      <c r="EX209" t="b">
        <v>0</v>
      </c>
      <c r="EZ209" t="s">
        <v>573</v>
      </c>
      <c r="FA209">
        <v>1</v>
      </c>
      <c r="FB209">
        <v>210</v>
      </c>
      <c r="FC209">
        <v>100</v>
      </c>
      <c r="FD209" s="74">
        <f ca="1">INDIRECT(ADDRESS(11+(MATCH(RIGHT(Table1820[[#This Row],[spawner_sku]],LEN(Table1820[[#This Row],[spawner_sku]])-FIND("/",Table1820[[#This Row],[spawner_sku]])),Table1[Entity Prefab],0)),10,1,1,"Entities"))</f>
        <v>65</v>
      </c>
      <c r="FE209" s="74">
        <f ca="1">ROUND((Table1820[[#This Row],[XP]]*Table1820[[#This Row],[entity_spawned (AVG)]])*(Table1820[[#This Row],[activating_chance]]/100),0)</f>
        <v>65</v>
      </c>
      <c r="FF209" s="74" t="str">
        <f ca="1">INDIRECT(ADDRESS(11+(MATCH(RIGHT(Table1820[[#This Row],[spawner_sku]],LEN(Table1820[[#This Row],[spawner_sku]])-FIND("/",Table1820[[#This Row],[spawner_sku]])),Table28[Entity Prefab],0)),26,1,1,"Entities"))</f>
        <v>yes</v>
      </c>
      <c r="FG209">
        <v>1</v>
      </c>
      <c r="FH209">
        <v>1</v>
      </c>
      <c r="FI209" t="b">
        <v>0</v>
      </c>
      <c r="FV209" t="s">
        <v>2704</v>
      </c>
      <c r="FW209">
        <v>7.5</v>
      </c>
      <c r="FX209">
        <v>240</v>
      </c>
      <c r="FY209">
        <v>100</v>
      </c>
      <c r="FZ209" s="74">
        <f ca="1">INDIRECT(ADDRESS(11+(MATCH(RIGHT(Table18202324[[#This Row],[spawner_sku]],LEN(Table18202324[[#This Row],[spawner_sku]])-FIND("/",Table18202324[[#This Row],[spawner_sku]])),Table1[Entity Prefab],0)),10,1,1,"Entities"))</f>
        <v>50</v>
      </c>
      <c r="GA209" s="74">
        <f ca="1">ROUND((Table18202324[[#This Row],[XP]]*Table18202324[[#This Row],[entity_spawned (AVG)]])*(Table18202324[[#This Row],[activating_chance]]/100),0)</f>
        <v>375</v>
      </c>
      <c r="GB209" s="74" t="str">
        <f ca="1">INDIRECT(ADDRESS(11+(MATCH(RIGHT(Table18202324[[#This Row],[spawner_sku]],LEN(Table18202324[[#This Row],[spawner_sku]])-FIND("/",Table18202324[[#This Row],[spawner_sku]])),Table28[Entity Prefab],0)),26,1,1,"Entities"))</f>
        <v>no</v>
      </c>
      <c r="GC209">
        <v>5</v>
      </c>
      <c r="GD209">
        <v>10</v>
      </c>
      <c r="GE209" t="b">
        <v>1</v>
      </c>
    </row>
    <row r="210" spans="2:187" x14ac:dyDescent="0.25">
      <c r="B210" s="72" t="s">
        <v>218</v>
      </c>
      <c r="C210">
        <v>1</v>
      </c>
      <c r="D210">
        <v>5000</v>
      </c>
      <c r="E210">
        <v>30</v>
      </c>
      <c r="F210" s="74">
        <f ca="1">INDIRECT(ADDRESS(11+(MATCH(RIGHT(Table245[[#This Row],[spawner_sku]],LEN(Table245[[#This Row],[spawner_sku]])-FIND("/",Table245[[#This Row],[spawner_sku]])),Table1[Entity Prefab],0)),10,1,1,"Entities"))</f>
        <v>75</v>
      </c>
      <c r="G210" s="74">
        <f ca="1">ROUND((Table245[[#This Row],[XP]]*Table245[[#This Row],[entity_spawned (AVG)]])*(Table245[[#This Row],[activating_chance]]/100),0)</f>
        <v>23</v>
      </c>
      <c r="H210" s="71" t="str">
        <f ca="1">INDIRECT(ADDRESS(11+(MATCH(RIGHT(Table245[[#This Row],[spawner_sku]],LEN(Table245[[#This Row],[spawner_sku]])-FIND("/",Table245[[#This Row],[spawner_sku]])),Table28[Entity Prefab],0)),24,1,1,"Entities"))</f>
        <v>no</v>
      </c>
      <c r="I210" s="71">
        <v>1</v>
      </c>
      <c r="J210" s="71">
        <v>1</v>
      </c>
      <c r="K210" s="71" t="b">
        <v>0</v>
      </c>
      <c r="M210" t="s">
        <v>242</v>
      </c>
      <c r="N210">
        <v>1</v>
      </c>
      <c r="O210">
        <v>170</v>
      </c>
      <c r="P210">
        <v>100</v>
      </c>
      <c r="Q210" s="74">
        <f ca="1">INDIRECT(ADDRESS(11+(MATCH(RIGHT(Table3[[#This Row],[spawner_sku]],LEN(Table3[[#This Row],[spawner_sku]])-FIND("/",Table3[[#This Row],[spawner_sku]])),Table1[Entity Prefab],0)),10,1,1,"Entities"))</f>
        <v>25</v>
      </c>
      <c r="R210" s="74">
        <f ca="1">ROUND((Table3[[#This Row],[XP]]*Table3[[#This Row],[entity_spawned (AVG)]])*(Table3[[#This Row],[activating_chance]]/100),0)</f>
        <v>25</v>
      </c>
      <c r="S210" t="str">
        <f ca="1">INDIRECT(ADDRESS(11+(MATCH(RIGHT(Table3[[#This Row],[spawner_sku]],LEN(Table3[[#This Row],[spawner_sku]])-FIND("/",Table3[[#This Row],[spawner_sku]])),Table28[Entity Prefab],0)),24,1,1,"Entities"))</f>
        <v>no</v>
      </c>
      <c r="T210">
        <v>1</v>
      </c>
      <c r="U210">
        <v>1</v>
      </c>
      <c r="V210" t="b">
        <v>0</v>
      </c>
      <c r="AI210" t="s">
        <v>570</v>
      </c>
      <c r="AJ210">
        <v>1</v>
      </c>
      <c r="AK210">
        <v>120</v>
      </c>
      <c r="AL210">
        <v>100</v>
      </c>
      <c r="AM210" s="74">
        <f ca="1">INDIRECT(ADDRESS(11+(MATCH(RIGHT(Table2[[#This Row],[spawner_sku]],LEN(Table2[[#This Row],[spawner_sku]])-FIND("/",Table2[[#This Row],[spawner_sku]])),Table1[Entity Prefab],0)),10,1,1,"Entities"))</f>
        <v>50</v>
      </c>
      <c r="AN210" s="74">
        <f ca="1">ROUND((Table2[[#This Row],[XP]]*Table2[[#This Row],[entity_spawned (AVG)]])*(Table2[[#This Row],[activating_chance]]/100),0)</f>
        <v>50</v>
      </c>
      <c r="AO210" s="71" t="str">
        <f ca="1">INDIRECT(ADDRESS(11+(MATCH(RIGHT(Table2[[#This Row],[spawner_sku]],LEN(Table2[[#This Row],[spawner_sku]])-FIND("/",Table2[[#This Row],[spawner_sku]])),Table28[Entity Prefab],0)),24,1,1,"Entities"))</f>
        <v>no</v>
      </c>
      <c r="AP210" s="71">
        <v>1</v>
      </c>
      <c r="AQ210" s="71">
        <v>1</v>
      </c>
      <c r="AR210" s="71" t="b">
        <v>0</v>
      </c>
      <c r="BE210" t="s">
        <v>242</v>
      </c>
      <c r="BF210">
        <v>1</v>
      </c>
      <c r="BG210">
        <v>200</v>
      </c>
      <c r="BH210">
        <v>80</v>
      </c>
      <c r="BI210" s="74">
        <f ca="1">INDIRECT(ADDRESS(11+(MATCH(RIGHT(Table610[[#This Row],[spawner_sku]],LEN(Table610[[#This Row],[spawner_sku]])-FIND("/",Table610[[#This Row],[spawner_sku]])),Table1[Entity Prefab],0)),10,1,1,"Entities"))</f>
        <v>25</v>
      </c>
      <c r="BJ210" s="74">
        <f ca="1">ROUND((Table610[[#This Row],[XP]]*Table610[[#This Row],[entity_spawned (AVG)]])*(Table610[[#This Row],[activating_chance]]/100),0)</f>
        <v>20</v>
      </c>
      <c r="BK210" s="71" t="str">
        <f ca="1">INDIRECT(ADDRESS(11+(MATCH(RIGHT(Table610[[#This Row],[spawner_sku]],LEN(Table610[[#This Row],[spawner_sku]])-FIND("/",Table610[[#This Row],[spawner_sku]])),Table28[Entity Prefab],0)),24,1,1,"Entities"))</f>
        <v>no</v>
      </c>
      <c r="BL210">
        <v>1</v>
      </c>
      <c r="BM210">
        <v>1</v>
      </c>
      <c r="BN210" t="b">
        <v>0</v>
      </c>
      <c r="BP210" t="s">
        <v>232</v>
      </c>
      <c r="BQ210">
        <v>6</v>
      </c>
      <c r="BR210">
        <v>180</v>
      </c>
      <c r="BS210">
        <v>100</v>
      </c>
      <c r="BT210" s="74">
        <f ca="1">INDIRECT(ADDRESS(11+(MATCH(RIGHT(Table61011[[#This Row],[spawner_sku]],LEN(Table61011[[#This Row],[spawner_sku]])-FIND("/",Table61011[[#This Row],[spawner_sku]])),Table1[Entity Prefab],0)),10,1,1,"Entities"))</f>
        <v>25</v>
      </c>
      <c r="BU210" s="74">
        <f ca="1">ROUND((Table61011[[#This Row],[XP]]*Table61011[[#This Row],[entity_spawned (AVG)]])*(Table61011[[#This Row],[activating_chance]]/100),0)</f>
        <v>150</v>
      </c>
      <c r="BV210" s="71" t="str">
        <f ca="1">INDIRECT(ADDRESS(11+(MATCH(RIGHT(Table61011[[#This Row],[spawner_sku]],LEN(Table61011[[#This Row],[spawner_sku]])-FIND("/",Table61011[[#This Row],[spawner_sku]])),Table28[Entity Prefab],0)),24,1,1,"Entities"))</f>
        <v>no</v>
      </c>
      <c r="BW210" s="71">
        <v>5</v>
      </c>
      <c r="BX210" s="71">
        <v>7</v>
      </c>
      <c r="BY210" s="71" t="b">
        <v>1</v>
      </c>
      <c r="BZ210" s="71"/>
      <c r="CA210" s="147" t="s">
        <v>3823</v>
      </c>
      <c r="CB210">
        <v>1</v>
      </c>
      <c r="CC210">
        <v>240</v>
      </c>
      <c r="CD210">
        <v>100</v>
      </c>
      <c r="CE210" s="74">
        <f ca="1">INDIRECT(ADDRESS(11+(MATCH(RIGHT(Table35[[#This Row],[spawner_sku]],LEN(Table35[[#This Row],[spawner_sku]])-FIND("/",Table35[[#This Row],[spawner_sku]])),Table1[Entity Prefab],0)),10,1,1,"Entities"))</f>
        <v>10</v>
      </c>
      <c r="CF210" s="74">
        <f ca="1">ROUND((Table35[[#This Row],[XP]]*Table35[[#This Row],[entity_spawned (AVG)]])*(Table35[[#This Row],[activating_chance]]/100),0)</f>
        <v>10</v>
      </c>
      <c r="CG210" s="144" t="str">
        <f ca="1">INDIRECT(ADDRESS(11+(MATCH(RIGHT(Table35[[#This Row],[spawner_sku]],LEN(Table35[[#This Row],[spawner_sku]])-FIND("/",Table35[[#This Row],[spawner_sku]])),Table28[Entity Prefab],0)),24,1,1,"Entities"))</f>
        <v>no</v>
      </c>
      <c r="CH210">
        <v>1</v>
      </c>
      <c r="CI210">
        <v>1</v>
      </c>
      <c r="CJ210" s="71" t="b">
        <v>0</v>
      </c>
      <c r="CL210" t="s">
        <v>228</v>
      </c>
      <c r="CM210">
        <v>1</v>
      </c>
      <c r="CN210">
        <v>1500</v>
      </c>
      <c r="CO210">
        <v>100</v>
      </c>
      <c r="CP210" s="74">
        <f ca="1">INDIRECT(ADDRESS(11+(MATCH(RIGHT(Table11[[#This Row],[spawner_sku]],LEN(Table11[[#This Row],[spawner_sku]])-FIND("/",Table11[[#This Row],[spawner_sku]])),Table1[Entity Prefab],0)),10,1,1,"Entities"))</f>
        <v>130</v>
      </c>
      <c r="CQ210">
        <f ca="1">ROUND((Table11[[#This Row],[XP]]*Table11[[#This Row],[entity_spawned (AVG)]])*(Table11[[#This Row],[activating_chance]]/100),0)</f>
        <v>130</v>
      </c>
      <c r="CR210" s="144" t="str">
        <f ca="1">INDIRECT(ADDRESS(11+(MATCH(RIGHT(Table11[[#This Row],[spawner_sku]],LEN(Table11[[#This Row],[spawner_sku]])-FIND("/",Table11[[#This Row],[spawner_sku]])),Table28[Entity Prefab],0)),25,1,1,"Entities"))</f>
        <v>yes</v>
      </c>
      <c r="CS210" s="71">
        <v>1</v>
      </c>
      <c r="CT210" s="71">
        <v>1</v>
      </c>
      <c r="CU210" s="71" t="b">
        <v>0</v>
      </c>
      <c r="CW210" t="s">
        <v>504</v>
      </c>
      <c r="CX210">
        <v>1</v>
      </c>
      <c r="CY210">
        <v>240</v>
      </c>
      <c r="CZ210">
        <v>100</v>
      </c>
      <c r="DA210" s="74">
        <f ca="1">INDIRECT(ADDRESS(11+(MATCH(RIGHT(Table12[[#This Row],[spawner_sku]],LEN(Table12[[#This Row],[spawner_sku]])-FIND("/",Table12[[#This Row],[spawner_sku]])),Table1[Entity Prefab],0)),10,1,1,"Entities"))</f>
        <v>55</v>
      </c>
      <c r="DB210" s="74">
        <f ca="1">ROUND((Table12[[#This Row],[XP]]*Table12[[#This Row],[entity_spawned (AVG)]])*(Table12[[#This Row],[activating_chance]]/100),0)</f>
        <v>55</v>
      </c>
      <c r="DC210" s="144" t="str">
        <f ca="1">INDIRECT(ADDRESS(11+(MATCH(RIGHT(Table12[[#This Row],[spawner_sku]],LEN(Table12[[#This Row],[spawner_sku]])-FIND("/",Table12[[#This Row],[spawner_sku]])),Table28[Entity Prefab],0)),25,1,1,"Entities"))</f>
        <v>no</v>
      </c>
      <c r="DD210" s="71">
        <v>1</v>
      </c>
      <c r="DE210" s="71">
        <v>1</v>
      </c>
      <c r="DF210" s="71" t="b">
        <v>0</v>
      </c>
      <c r="DH210" t="s">
        <v>242</v>
      </c>
      <c r="DI210">
        <v>1</v>
      </c>
      <c r="DJ210">
        <v>150</v>
      </c>
      <c r="DK210">
        <v>100</v>
      </c>
      <c r="DL210" s="74">
        <f ca="1">INDIRECT(ADDRESS(11+(MATCH(RIGHT(Table13[[#This Row],[spawner_sku]],LEN(Table13[[#This Row],[spawner_sku]])-FIND("/",Table13[[#This Row],[spawner_sku]])),Table1[Entity Prefab],0)),10,1,1,"Entities"))</f>
        <v>25</v>
      </c>
      <c r="DM210" s="74">
        <f ca="1">ROUND((Table13[[#This Row],[XP]]*Table13[[#This Row],[entity_spawned (AVG)]])*(Table13[[#This Row],[activating_chance]]/100),0)</f>
        <v>25</v>
      </c>
      <c r="DN210" s="144" t="str">
        <f ca="1">INDIRECT(ADDRESS(11+(MATCH(RIGHT(Table13[[#This Row],[spawner_sku]],LEN(Table13[[#This Row],[spawner_sku]])-FIND("/",Table13[[#This Row],[spawner_sku]])),Table28[Entity Prefab],0)),25,1,1,"Entities"))</f>
        <v>no</v>
      </c>
      <c r="DO210" s="71">
        <v>1</v>
      </c>
      <c r="DP210" s="71">
        <v>1</v>
      </c>
      <c r="DQ210" s="71" t="b">
        <v>0</v>
      </c>
      <c r="DS210" t="s">
        <v>448</v>
      </c>
      <c r="DT210">
        <v>1</v>
      </c>
      <c r="DU210">
        <v>280</v>
      </c>
      <c r="DV210">
        <v>100</v>
      </c>
      <c r="DW210" s="74">
        <f ca="1">INDIRECT(ADDRESS(11+(MATCH(RIGHT(Table14[[#This Row],[spawner_sku]],LEN(Table14[[#This Row],[spawner_sku]])-FIND("/",Table14[[#This Row],[spawner_sku]])),Table1[Entity Prefab],0)),10,1,1,"Entities"))</f>
        <v>143</v>
      </c>
      <c r="DX210" s="74">
        <f ca="1">ROUND((Table14[[#This Row],[XP]]*Table14[[#This Row],[entity_spawned (AVG)]])*(Table14[[#This Row],[activating_chance]]/100),0)</f>
        <v>143</v>
      </c>
      <c r="DY210" s="144" t="str">
        <f ca="1">INDIRECT(ADDRESS(11+(MATCH(RIGHT(Table14[[#This Row],[spawner_sku]],LEN(Table14[[#This Row],[spawner_sku]])-FIND("/",Table14[[#This Row],[spawner_sku]])),Table28[Entity Prefab],0)),25,1,1,"Entities"))</f>
        <v>yes</v>
      </c>
      <c r="DZ210" s="71">
        <v>1</v>
      </c>
      <c r="EA210" s="71">
        <v>1</v>
      </c>
      <c r="EB210" s="71" t="b">
        <v>0</v>
      </c>
      <c r="EC210" s="71"/>
      <c r="EO210" t="s">
        <v>449</v>
      </c>
      <c r="EP210">
        <v>1</v>
      </c>
      <c r="EQ210">
        <v>300</v>
      </c>
      <c r="ER210">
        <v>100</v>
      </c>
      <c r="ES210" s="74">
        <f ca="1">INDIRECT(ADDRESS(11+(MATCH(RIGHT(Table18[[#This Row],[spawner_sku]],LEN(Table18[[#This Row],[spawner_sku]])-FIND("/",Table18[[#This Row],[spawner_sku]])),Table1[Entity Prefab],0)),10,1,1,"Entities"))</f>
        <v>130</v>
      </c>
      <c r="ET210" s="74">
        <f ca="1">ROUND((Table18[[#This Row],[XP]]*Table18[[#This Row],[entity_spawned (AVG)]])*(Table18[[#This Row],[activating_chance]]/100),0)</f>
        <v>130</v>
      </c>
      <c r="EU210" s="74" t="str">
        <f ca="1">INDIRECT(ADDRESS(11+(MATCH(RIGHT(Table18[[#This Row],[spawner_sku]],LEN(Table18[[#This Row],[spawner_sku]])-FIND("/",Table18[[#This Row],[spawner_sku]])),Table28[Entity Prefab],0)),26,1,1,"Entities"))</f>
        <v>yes</v>
      </c>
      <c r="EV210">
        <v>1</v>
      </c>
      <c r="EW210">
        <v>1</v>
      </c>
      <c r="EX210" t="b">
        <v>0</v>
      </c>
      <c r="EZ210" t="s">
        <v>573</v>
      </c>
      <c r="FA210">
        <v>1</v>
      </c>
      <c r="FB210">
        <v>210</v>
      </c>
      <c r="FC210">
        <v>100</v>
      </c>
      <c r="FD210" s="74">
        <f ca="1">INDIRECT(ADDRESS(11+(MATCH(RIGHT(Table1820[[#This Row],[spawner_sku]],LEN(Table1820[[#This Row],[spawner_sku]])-FIND("/",Table1820[[#This Row],[spawner_sku]])),Table1[Entity Prefab],0)),10,1,1,"Entities"))</f>
        <v>65</v>
      </c>
      <c r="FE210" s="74">
        <f ca="1">ROUND((Table1820[[#This Row],[XP]]*Table1820[[#This Row],[entity_spawned (AVG)]])*(Table1820[[#This Row],[activating_chance]]/100),0)</f>
        <v>65</v>
      </c>
      <c r="FF210" s="74" t="str">
        <f ca="1">INDIRECT(ADDRESS(11+(MATCH(RIGHT(Table1820[[#This Row],[spawner_sku]],LEN(Table1820[[#This Row],[spawner_sku]])-FIND("/",Table1820[[#This Row],[spawner_sku]])),Table28[Entity Prefab],0)),26,1,1,"Entities"))</f>
        <v>yes</v>
      </c>
      <c r="FG210">
        <v>1</v>
      </c>
      <c r="FH210">
        <v>1</v>
      </c>
      <c r="FI210" t="b">
        <v>0</v>
      </c>
      <c r="FV210" t="s">
        <v>2704</v>
      </c>
      <c r="FW210">
        <v>11</v>
      </c>
      <c r="FX210">
        <v>240</v>
      </c>
      <c r="FY210">
        <v>100</v>
      </c>
      <c r="FZ210" s="74">
        <f ca="1">INDIRECT(ADDRESS(11+(MATCH(RIGHT(Table18202324[[#This Row],[spawner_sku]],LEN(Table18202324[[#This Row],[spawner_sku]])-FIND("/",Table18202324[[#This Row],[spawner_sku]])),Table1[Entity Prefab],0)),10,1,1,"Entities"))</f>
        <v>50</v>
      </c>
      <c r="GA210" s="74">
        <f ca="1">ROUND((Table18202324[[#This Row],[XP]]*Table18202324[[#This Row],[entity_spawned (AVG)]])*(Table18202324[[#This Row],[activating_chance]]/100),0)</f>
        <v>550</v>
      </c>
      <c r="GB210" s="74" t="str">
        <f ca="1">INDIRECT(ADDRESS(11+(MATCH(RIGHT(Table18202324[[#This Row],[spawner_sku]],LEN(Table18202324[[#This Row],[spawner_sku]])-FIND("/",Table18202324[[#This Row],[spawner_sku]])),Table28[Entity Prefab],0)),26,1,1,"Entities"))</f>
        <v>no</v>
      </c>
      <c r="GC210">
        <v>10</v>
      </c>
      <c r="GD210">
        <v>12</v>
      </c>
      <c r="GE210" t="b">
        <v>1</v>
      </c>
    </row>
    <row r="211" spans="2:187" x14ac:dyDescent="0.25">
      <c r="B211" s="72" t="s">
        <v>218</v>
      </c>
      <c r="C211">
        <v>1</v>
      </c>
      <c r="D211">
        <v>5000</v>
      </c>
      <c r="E211">
        <v>45</v>
      </c>
      <c r="F211" s="74">
        <f ca="1">INDIRECT(ADDRESS(11+(MATCH(RIGHT(Table245[[#This Row],[spawner_sku]],LEN(Table245[[#This Row],[spawner_sku]])-FIND("/",Table245[[#This Row],[spawner_sku]])),Table1[Entity Prefab],0)),10,1,1,"Entities"))</f>
        <v>75</v>
      </c>
      <c r="G211" s="74">
        <f ca="1">ROUND((Table245[[#This Row],[XP]]*Table245[[#This Row],[entity_spawned (AVG)]])*(Table245[[#This Row],[activating_chance]]/100),0)</f>
        <v>34</v>
      </c>
      <c r="H211" s="71" t="str">
        <f ca="1">INDIRECT(ADDRESS(11+(MATCH(RIGHT(Table245[[#This Row],[spawner_sku]],LEN(Table245[[#This Row],[spawner_sku]])-FIND("/",Table245[[#This Row],[spawner_sku]])),Table28[Entity Prefab],0)),24,1,1,"Entities"))</f>
        <v>no</v>
      </c>
      <c r="I211" s="71">
        <v>1</v>
      </c>
      <c r="J211" s="71">
        <v>1</v>
      </c>
      <c r="K211" s="71" t="b">
        <v>0</v>
      </c>
      <c r="M211" t="s">
        <v>366</v>
      </c>
      <c r="N211">
        <v>3</v>
      </c>
      <c r="O211">
        <v>100</v>
      </c>
      <c r="P211">
        <v>100</v>
      </c>
      <c r="Q211" s="74">
        <f ca="1">INDIRECT(ADDRESS(11+(MATCH(RIGHT(Table3[[#This Row],[spawner_sku]],LEN(Table3[[#This Row],[spawner_sku]])-FIND("/",Table3[[#This Row],[spawner_sku]])),Table1[Entity Prefab],0)),10,1,1,"Entities"))</f>
        <v>25</v>
      </c>
      <c r="R211" s="74">
        <f ca="1">ROUND((Table3[[#This Row],[XP]]*Table3[[#This Row],[entity_spawned (AVG)]])*(Table3[[#This Row],[activating_chance]]/100),0)</f>
        <v>75</v>
      </c>
      <c r="S211" t="str">
        <f ca="1">INDIRECT(ADDRESS(11+(MATCH(RIGHT(Table3[[#This Row],[spawner_sku]],LEN(Table3[[#This Row],[spawner_sku]])-FIND("/",Table3[[#This Row],[spawner_sku]])),Table28[Entity Prefab],0)),24,1,1,"Entities"))</f>
        <v>no</v>
      </c>
      <c r="T211">
        <v>3</v>
      </c>
      <c r="U211">
        <v>3</v>
      </c>
      <c r="V211" t="b">
        <v>0</v>
      </c>
      <c r="AI211" t="s">
        <v>570</v>
      </c>
      <c r="AJ211">
        <v>1</v>
      </c>
      <c r="AK211">
        <v>85</v>
      </c>
      <c r="AL211">
        <v>100</v>
      </c>
      <c r="AM211" s="74">
        <f ca="1">INDIRECT(ADDRESS(11+(MATCH(RIGHT(Table2[[#This Row],[spawner_sku]],LEN(Table2[[#This Row],[spawner_sku]])-FIND("/",Table2[[#This Row],[spawner_sku]])),Table1[Entity Prefab],0)),10,1,1,"Entities"))</f>
        <v>50</v>
      </c>
      <c r="AN211" s="74">
        <f ca="1">ROUND((Table2[[#This Row],[XP]]*Table2[[#This Row],[entity_spawned (AVG)]])*(Table2[[#This Row],[activating_chance]]/100),0)</f>
        <v>50</v>
      </c>
      <c r="AO211" s="71" t="str">
        <f ca="1">INDIRECT(ADDRESS(11+(MATCH(RIGHT(Table2[[#This Row],[spawner_sku]],LEN(Table2[[#This Row],[spawner_sku]])-FIND("/",Table2[[#This Row],[spawner_sku]])),Table28[Entity Prefab],0)),24,1,1,"Entities"))</f>
        <v>no</v>
      </c>
      <c r="AP211" s="71">
        <v>1</v>
      </c>
      <c r="AQ211" s="71">
        <v>1</v>
      </c>
      <c r="AR211" s="71" t="b">
        <v>0</v>
      </c>
      <c r="BE211" t="s">
        <v>242</v>
      </c>
      <c r="BF211">
        <v>1</v>
      </c>
      <c r="BG211">
        <v>200</v>
      </c>
      <c r="BH211">
        <v>40</v>
      </c>
      <c r="BI211" s="74">
        <f ca="1">INDIRECT(ADDRESS(11+(MATCH(RIGHT(Table610[[#This Row],[spawner_sku]],LEN(Table610[[#This Row],[spawner_sku]])-FIND("/",Table610[[#This Row],[spawner_sku]])),Table1[Entity Prefab],0)),10,1,1,"Entities"))</f>
        <v>25</v>
      </c>
      <c r="BJ211" s="74">
        <f ca="1">ROUND((Table610[[#This Row],[XP]]*Table610[[#This Row],[entity_spawned (AVG)]])*(Table610[[#This Row],[activating_chance]]/100),0)</f>
        <v>10</v>
      </c>
      <c r="BK211" s="71" t="str">
        <f ca="1">INDIRECT(ADDRESS(11+(MATCH(RIGHT(Table610[[#This Row],[spawner_sku]],LEN(Table610[[#This Row],[spawner_sku]])-FIND("/",Table610[[#This Row],[spawner_sku]])),Table28[Entity Prefab],0)),24,1,1,"Entities"))</f>
        <v>no</v>
      </c>
      <c r="BL211">
        <v>1</v>
      </c>
      <c r="BM211">
        <v>1</v>
      </c>
      <c r="BN211" t="b">
        <v>0</v>
      </c>
      <c r="BP211" t="s">
        <v>232</v>
      </c>
      <c r="BQ211">
        <v>6</v>
      </c>
      <c r="BR211">
        <v>130</v>
      </c>
      <c r="BS211">
        <v>100</v>
      </c>
      <c r="BT211" s="74">
        <f ca="1">INDIRECT(ADDRESS(11+(MATCH(RIGHT(Table61011[[#This Row],[spawner_sku]],LEN(Table61011[[#This Row],[spawner_sku]])-FIND("/",Table61011[[#This Row],[spawner_sku]])),Table1[Entity Prefab],0)),10,1,1,"Entities"))</f>
        <v>25</v>
      </c>
      <c r="BU211" s="74">
        <f ca="1">ROUND((Table61011[[#This Row],[XP]]*Table61011[[#This Row],[entity_spawned (AVG)]])*(Table61011[[#This Row],[activating_chance]]/100),0)</f>
        <v>150</v>
      </c>
      <c r="BV211" s="71" t="str">
        <f ca="1">INDIRECT(ADDRESS(11+(MATCH(RIGHT(Table61011[[#This Row],[spawner_sku]],LEN(Table61011[[#This Row],[spawner_sku]])-FIND("/",Table61011[[#This Row],[spawner_sku]])),Table28[Entity Prefab],0)),24,1,1,"Entities"))</f>
        <v>no</v>
      </c>
      <c r="BW211" s="71">
        <v>6</v>
      </c>
      <c r="BX211" s="71">
        <v>6</v>
      </c>
      <c r="BY211" s="71" t="b">
        <v>1</v>
      </c>
      <c r="BZ211" s="71"/>
      <c r="CA211" s="147" t="s">
        <v>3823</v>
      </c>
      <c r="CB211">
        <v>1</v>
      </c>
      <c r="CC211">
        <v>240</v>
      </c>
      <c r="CD211">
        <v>100</v>
      </c>
      <c r="CE211" s="74">
        <f ca="1">INDIRECT(ADDRESS(11+(MATCH(RIGHT(Table35[[#This Row],[spawner_sku]],LEN(Table35[[#This Row],[spawner_sku]])-FIND("/",Table35[[#This Row],[spawner_sku]])),Table1[Entity Prefab],0)),10,1,1,"Entities"))</f>
        <v>10</v>
      </c>
      <c r="CF211" s="74">
        <f ca="1">ROUND((Table35[[#This Row],[XP]]*Table35[[#This Row],[entity_spawned (AVG)]])*(Table35[[#This Row],[activating_chance]]/100),0)</f>
        <v>10</v>
      </c>
      <c r="CG211" s="144" t="str">
        <f ca="1">INDIRECT(ADDRESS(11+(MATCH(RIGHT(Table35[[#This Row],[spawner_sku]],LEN(Table35[[#This Row],[spawner_sku]])-FIND("/",Table35[[#This Row],[spawner_sku]])),Table28[Entity Prefab],0)),24,1,1,"Entities"))</f>
        <v>no</v>
      </c>
      <c r="CH211">
        <v>1</v>
      </c>
      <c r="CI211">
        <v>1</v>
      </c>
      <c r="CJ211" s="71" t="b">
        <v>0</v>
      </c>
      <c r="CL211" t="s">
        <v>228</v>
      </c>
      <c r="CM211">
        <v>1</v>
      </c>
      <c r="CN211">
        <v>1500</v>
      </c>
      <c r="CO211">
        <v>100</v>
      </c>
      <c r="CP211" s="74">
        <f ca="1">INDIRECT(ADDRESS(11+(MATCH(RIGHT(Table11[[#This Row],[spawner_sku]],LEN(Table11[[#This Row],[spawner_sku]])-FIND("/",Table11[[#This Row],[spawner_sku]])),Table1[Entity Prefab],0)),10,1,1,"Entities"))</f>
        <v>130</v>
      </c>
      <c r="CQ211">
        <f ca="1">ROUND((Table11[[#This Row],[XP]]*Table11[[#This Row],[entity_spawned (AVG)]])*(Table11[[#This Row],[activating_chance]]/100),0)</f>
        <v>130</v>
      </c>
      <c r="CR211" s="144" t="str">
        <f ca="1">INDIRECT(ADDRESS(11+(MATCH(RIGHT(Table11[[#This Row],[spawner_sku]],LEN(Table11[[#This Row],[spawner_sku]])-FIND("/",Table11[[#This Row],[spawner_sku]])),Table28[Entity Prefab],0)),25,1,1,"Entities"))</f>
        <v>yes</v>
      </c>
      <c r="CS211" s="71">
        <v>1</v>
      </c>
      <c r="CT211" s="71">
        <v>1</v>
      </c>
      <c r="CU211" s="71" t="b">
        <v>0</v>
      </c>
      <c r="CW211" t="s">
        <v>366</v>
      </c>
      <c r="CX211">
        <v>2.5</v>
      </c>
      <c r="CY211">
        <v>100</v>
      </c>
      <c r="CZ211">
        <v>80</v>
      </c>
      <c r="DA211" s="74">
        <f ca="1">INDIRECT(ADDRESS(11+(MATCH(RIGHT(Table12[[#This Row],[spawner_sku]],LEN(Table12[[#This Row],[spawner_sku]])-FIND("/",Table12[[#This Row],[spawner_sku]])),Table1[Entity Prefab],0)),10,1,1,"Entities"))</f>
        <v>25</v>
      </c>
      <c r="DB211" s="74">
        <f ca="1">ROUND((Table12[[#This Row],[XP]]*Table12[[#This Row],[entity_spawned (AVG)]])*(Table12[[#This Row],[activating_chance]]/100),0)</f>
        <v>50</v>
      </c>
      <c r="DC211" s="144" t="str">
        <f ca="1">INDIRECT(ADDRESS(11+(MATCH(RIGHT(Table12[[#This Row],[spawner_sku]],LEN(Table12[[#This Row],[spawner_sku]])-FIND("/",Table12[[#This Row],[spawner_sku]])),Table28[Entity Prefab],0)),25,1,1,"Entities"))</f>
        <v>no</v>
      </c>
      <c r="DD211" s="71">
        <v>2</v>
      </c>
      <c r="DE211" s="71">
        <v>3</v>
      </c>
      <c r="DF211" s="71" t="b">
        <v>0</v>
      </c>
      <c r="DH211" t="s">
        <v>242</v>
      </c>
      <c r="DI211">
        <v>2.5</v>
      </c>
      <c r="DJ211">
        <v>150</v>
      </c>
      <c r="DK211">
        <v>100</v>
      </c>
      <c r="DL211" s="74">
        <f ca="1">INDIRECT(ADDRESS(11+(MATCH(RIGHT(Table13[[#This Row],[spawner_sku]],LEN(Table13[[#This Row],[spawner_sku]])-FIND("/",Table13[[#This Row],[spawner_sku]])),Table1[Entity Prefab],0)),10,1,1,"Entities"))</f>
        <v>25</v>
      </c>
      <c r="DM211" s="74">
        <f ca="1">ROUND((Table13[[#This Row],[XP]]*Table13[[#This Row],[entity_spawned (AVG)]])*(Table13[[#This Row],[activating_chance]]/100),0)</f>
        <v>63</v>
      </c>
      <c r="DN211" s="144" t="str">
        <f ca="1">INDIRECT(ADDRESS(11+(MATCH(RIGHT(Table13[[#This Row],[spawner_sku]],LEN(Table13[[#This Row],[spawner_sku]])-FIND("/",Table13[[#This Row],[spawner_sku]])),Table28[Entity Prefab],0)),25,1,1,"Entities"))</f>
        <v>no</v>
      </c>
      <c r="DO211" s="71">
        <v>2</v>
      </c>
      <c r="DP211" s="71">
        <v>3</v>
      </c>
      <c r="DQ211" s="71" t="b">
        <v>0</v>
      </c>
      <c r="DS211" t="s">
        <v>448</v>
      </c>
      <c r="DT211">
        <v>1</v>
      </c>
      <c r="DU211">
        <v>280</v>
      </c>
      <c r="DV211">
        <v>100</v>
      </c>
      <c r="DW211" s="74">
        <f ca="1">INDIRECT(ADDRESS(11+(MATCH(RIGHT(Table14[[#This Row],[spawner_sku]],LEN(Table14[[#This Row],[spawner_sku]])-FIND("/",Table14[[#This Row],[spawner_sku]])),Table1[Entity Prefab],0)),10,1,1,"Entities"))</f>
        <v>143</v>
      </c>
      <c r="DX211" s="74">
        <f ca="1">ROUND((Table14[[#This Row],[XP]]*Table14[[#This Row],[entity_spawned (AVG)]])*(Table14[[#This Row],[activating_chance]]/100),0)</f>
        <v>143</v>
      </c>
      <c r="DY211" s="144" t="str">
        <f ca="1">INDIRECT(ADDRESS(11+(MATCH(RIGHT(Table14[[#This Row],[spawner_sku]],LEN(Table14[[#This Row],[spawner_sku]])-FIND("/",Table14[[#This Row],[spawner_sku]])),Table28[Entity Prefab],0)),25,1,1,"Entities"))</f>
        <v>yes</v>
      </c>
      <c r="DZ211" s="71">
        <v>1</v>
      </c>
      <c r="EA211" s="71">
        <v>1</v>
      </c>
      <c r="EB211" s="71" t="b">
        <v>0</v>
      </c>
      <c r="EC211" s="71"/>
      <c r="EO211" t="s">
        <v>8112</v>
      </c>
      <c r="EP211">
        <v>1</v>
      </c>
      <c r="EQ211">
        <v>300</v>
      </c>
      <c r="ER211">
        <v>100</v>
      </c>
      <c r="ES211" s="74">
        <f ca="1">INDIRECT(ADDRESS(11+(MATCH(RIGHT(Table18[[#This Row],[spawner_sku]],LEN(Table18[[#This Row],[spawner_sku]])-FIND("/",Table18[[#This Row],[spawner_sku]])),Table1[Entity Prefab],0)),10,1,1,"Entities"))</f>
        <v>150</v>
      </c>
      <c r="ET211" s="74">
        <f ca="1">ROUND((Table18[[#This Row],[XP]]*Table18[[#This Row],[entity_spawned (AVG)]])*(Table18[[#This Row],[activating_chance]]/100),0)</f>
        <v>150</v>
      </c>
      <c r="EU211" s="74" t="str">
        <f ca="1">INDIRECT(ADDRESS(11+(MATCH(RIGHT(Table18[[#This Row],[spawner_sku]],LEN(Table18[[#This Row],[spawner_sku]])-FIND("/",Table18[[#This Row],[spawner_sku]])),Table28[Entity Prefab],0)),26,1,1,"Entities"))</f>
        <v>yes</v>
      </c>
      <c r="EV211">
        <v>1</v>
      </c>
      <c r="EW211">
        <v>1</v>
      </c>
      <c r="EX211" t="b">
        <v>0</v>
      </c>
      <c r="EZ211" t="s">
        <v>573</v>
      </c>
      <c r="FA211">
        <v>1</v>
      </c>
      <c r="FB211">
        <v>210</v>
      </c>
      <c r="FC211">
        <v>100</v>
      </c>
      <c r="FD211" s="74">
        <f ca="1">INDIRECT(ADDRESS(11+(MATCH(RIGHT(Table1820[[#This Row],[spawner_sku]],LEN(Table1820[[#This Row],[spawner_sku]])-FIND("/",Table1820[[#This Row],[spawner_sku]])),Table1[Entity Prefab],0)),10,1,1,"Entities"))</f>
        <v>65</v>
      </c>
      <c r="FE211" s="74">
        <f ca="1">ROUND((Table1820[[#This Row],[XP]]*Table1820[[#This Row],[entity_spawned (AVG)]])*(Table1820[[#This Row],[activating_chance]]/100),0)</f>
        <v>65</v>
      </c>
      <c r="FF211" s="74" t="str">
        <f ca="1">INDIRECT(ADDRESS(11+(MATCH(RIGHT(Table1820[[#This Row],[spawner_sku]],LEN(Table1820[[#This Row],[spawner_sku]])-FIND("/",Table1820[[#This Row],[spawner_sku]])),Table28[Entity Prefab],0)),26,1,1,"Entities"))</f>
        <v>yes</v>
      </c>
      <c r="FG211">
        <v>1</v>
      </c>
      <c r="FH211">
        <v>1</v>
      </c>
      <c r="FI211" t="b">
        <v>0</v>
      </c>
      <c r="FV211" t="s">
        <v>2704</v>
      </c>
      <c r="FW211">
        <v>7.5</v>
      </c>
      <c r="FX211">
        <v>240</v>
      </c>
      <c r="FY211">
        <v>100</v>
      </c>
      <c r="FZ211" s="74">
        <f ca="1">INDIRECT(ADDRESS(11+(MATCH(RIGHT(Table18202324[[#This Row],[spawner_sku]],LEN(Table18202324[[#This Row],[spawner_sku]])-FIND("/",Table18202324[[#This Row],[spawner_sku]])),Table1[Entity Prefab],0)),10,1,1,"Entities"))</f>
        <v>50</v>
      </c>
      <c r="GA211" s="74">
        <f ca="1">ROUND((Table18202324[[#This Row],[XP]]*Table18202324[[#This Row],[entity_spawned (AVG)]])*(Table18202324[[#This Row],[activating_chance]]/100),0)</f>
        <v>375</v>
      </c>
      <c r="GB211" s="74" t="str">
        <f ca="1">INDIRECT(ADDRESS(11+(MATCH(RIGHT(Table18202324[[#This Row],[spawner_sku]],LEN(Table18202324[[#This Row],[spawner_sku]])-FIND("/",Table18202324[[#This Row],[spawner_sku]])),Table28[Entity Prefab],0)),26,1,1,"Entities"))</f>
        <v>no</v>
      </c>
      <c r="GC211">
        <v>5</v>
      </c>
      <c r="GD211">
        <v>10</v>
      </c>
      <c r="GE211" t="b">
        <v>1</v>
      </c>
    </row>
    <row r="212" spans="2:187" x14ac:dyDescent="0.25">
      <c r="B212" s="72" t="s">
        <v>218</v>
      </c>
      <c r="C212">
        <v>1</v>
      </c>
      <c r="D212">
        <v>5000</v>
      </c>
      <c r="E212">
        <v>30</v>
      </c>
      <c r="F212" s="74">
        <f ca="1">INDIRECT(ADDRESS(11+(MATCH(RIGHT(Table245[[#This Row],[spawner_sku]],LEN(Table245[[#This Row],[spawner_sku]])-FIND("/",Table245[[#This Row],[spawner_sku]])),Table1[Entity Prefab],0)),10,1,1,"Entities"))</f>
        <v>75</v>
      </c>
      <c r="G212" s="74">
        <f ca="1">ROUND((Table245[[#This Row],[XP]]*Table245[[#This Row],[entity_spawned (AVG)]])*(Table245[[#This Row],[activating_chance]]/100),0)</f>
        <v>23</v>
      </c>
      <c r="H212" s="71" t="str">
        <f ca="1">INDIRECT(ADDRESS(11+(MATCH(RIGHT(Table245[[#This Row],[spawner_sku]],LEN(Table245[[#This Row],[spawner_sku]])-FIND("/",Table245[[#This Row],[spawner_sku]])),Table28[Entity Prefab],0)),24,1,1,"Entities"))</f>
        <v>no</v>
      </c>
      <c r="I212" s="71">
        <v>1</v>
      </c>
      <c r="J212" s="71">
        <v>1</v>
      </c>
      <c r="K212" s="71" t="b">
        <v>0</v>
      </c>
      <c r="M212" t="s">
        <v>365</v>
      </c>
      <c r="N212">
        <v>2</v>
      </c>
      <c r="O212">
        <v>240</v>
      </c>
      <c r="P212">
        <v>30</v>
      </c>
      <c r="Q212" s="74">
        <f ca="1">INDIRECT(ADDRESS(11+(MATCH(RIGHT(Table3[[#This Row],[spawner_sku]],LEN(Table3[[#This Row],[spawner_sku]])-FIND("/",Table3[[#This Row],[spawner_sku]])),Table1[Entity Prefab],0)),10,1,1,"Entities"))</f>
        <v>28</v>
      </c>
      <c r="R212" s="74">
        <f ca="1">ROUND((Table3[[#This Row],[XP]]*Table3[[#This Row],[entity_spawned (AVG)]])*(Table3[[#This Row],[activating_chance]]/100),0)</f>
        <v>17</v>
      </c>
      <c r="S212" t="str">
        <f ca="1">INDIRECT(ADDRESS(11+(MATCH(RIGHT(Table3[[#This Row],[spawner_sku]],LEN(Table3[[#This Row],[spawner_sku]])-FIND("/",Table3[[#This Row],[spawner_sku]])),Table28[Entity Prefab],0)),24,1,1,"Entities"))</f>
        <v>yes</v>
      </c>
      <c r="T212">
        <v>1</v>
      </c>
      <c r="U212">
        <v>3</v>
      </c>
      <c r="V212" t="b">
        <v>0</v>
      </c>
      <c r="AI212" t="s">
        <v>570</v>
      </c>
      <c r="AJ212">
        <v>1</v>
      </c>
      <c r="AK212">
        <v>120</v>
      </c>
      <c r="AL212">
        <v>100</v>
      </c>
      <c r="AM212" s="74">
        <f ca="1">INDIRECT(ADDRESS(11+(MATCH(RIGHT(Table2[[#This Row],[spawner_sku]],LEN(Table2[[#This Row],[spawner_sku]])-FIND("/",Table2[[#This Row],[spawner_sku]])),Table1[Entity Prefab],0)),10,1,1,"Entities"))</f>
        <v>50</v>
      </c>
      <c r="AN212" s="74">
        <f ca="1">ROUND((Table2[[#This Row],[XP]]*Table2[[#This Row],[entity_spawned (AVG)]])*(Table2[[#This Row],[activating_chance]]/100),0)</f>
        <v>50</v>
      </c>
      <c r="AO212" s="71" t="str">
        <f ca="1">INDIRECT(ADDRESS(11+(MATCH(RIGHT(Table2[[#This Row],[spawner_sku]],LEN(Table2[[#This Row],[spawner_sku]])-FIND("/",Table2[[#This Row],[spawner_sku]])),Table28[Entity Prefab],0)),24,1,1,"Entities"))</f>
        <v>no</v>
      </c>
      <c r="AP212" s="71">
        <v>1</v>
      </c>
      <c r="AQ212" s="71">
        <v>1</v>
      </c>
      <c r="AR212" s="71" t="b">
        <v>0</v>
      </c>
      <c r="BE212" t="s">
        <v>242</v>
      </c>
      <c r="BF212">
        <v>1</v>
      </c>
      <c r="BG212">
        <v>200</v>
      </c>
      <c r="BH212">
        <v>80</v>
      </c>
      <c r="BI212" s="74">
        <f ca="1">INDIRECT(ADDRESS(11+(MATCH(RIGHT(Table610[[#This Row],[spawner_sku]],LEN(Table610[[#This Row],[spawner_sku]])-FIND("/",Table610[[#This Row],[spawner_sku]])),Table1[Entity Prefab],0)),10,1,1,"Entities"))</f>
        <v>25</v>
      </c>
      <c r="BJ212" s="74">
        <f ca="1">ROUND((Table610[[#This Row],[XP]]*Table610[[#This Row],[entity_spawned (AVG)]])*(Table610[[#This Row],[activating_chance]]/100),0)</f>
        <v>20</v>
      </c>
      <c r="BK212" s="71" t="str">
        <f ca="1">INDIRECT(ADDRESS(11+(MATCH(RIGHT(Table610[[#This Row],[spawner_sku]],LEN(Table610[[#This Row],[spawner_sku]])-FIND("/",Table610[[#This Row],[spawner_sku]])),Table28[Entity Prefab],0)),24,1,1,"Entities"))</f>
        <v>no</v>
      </c>
      <c r="BL212">
        <v>1</v>
      </c>
      <c r="BM212">
        <v>1</v>
      </c>
      <c r="BN212" t="b">
        <v>0</v>
      </c>
      <c r="BP212" t="s">
        <v>232</v>
      </c>
      <c r="BQ212">
        <v>3.5</v>
      </c>
      <c r="BR212">
        <v>110</v>
      </c>
      <c r="BS212">
        <v>100</v>
      </c>
      <c r="BT212" s="74">
        <f ca="1">INDIRECT(ADDRESS(11+(MATCH(RIGHT(Table61011[[#This Row],[spawner_sku]],LEN(Table61011[[#This Row],[spawner_sku]])-FIND("/",Table61011[[#This Row],[spawner_sku]])),Table1[Entity Prefab],0)),10,1,1,"Entities"))</f>
        <v>25</v>
      </c>
      <c r="BU212" s="74">
        <f ca="1">ROUND((Table61011[[#This Row],[XP]]*Table61011[[#This Row],[entity_spawned (AVG)]])*(Table61011[[#This Row],[activating_chance]]/100),0)</f>
        <v>88</v>
      </c>
      <c r="BV212" s="71" t="str">
        <f ca="1">INDIRECT(ADDRESS(11+(MATCH(RIGHT(Table61011[[#This Row],[spawner_sku]],LEN(Table61011[[#This Row],[spawner_sku]])-FIND("/",Table61011[[#This Row],[spawner_sku]])),Table28[Entity Prefab],0)),24,1,1,"Entities"))</f>
        <v>no</v>
      </c>
      <c r="BW212" s="71">
        <v>3</v>
      </c>
      <c r="BX212" s="71">
        <v>4</v>
      </c>
      <c r="BY212" s="71" t="b">
        <v>0</v>
      </c>
      <c r="BZ212" s="71"/>
      <c r="CA212" s="147" t="s">
        <v>3823</v>
      </c>
      <c r="CB212">
        <v>1</v>
      </c>
      <c r="CC212">
        <v>240</v>
      </c>
      <c r="CD212">
        <v>100</v>
      </c>
      <c r="CE212" s="74">
        <f ca="1">INDIRECT(ADDRESS(11+(MATCH(RIGHT(Table35[[#This Row],[spawner_sku]],LEN(Table35[[#This Row],[spawner_sku]])-FIND("/",Table35[[#This Row],[spawner_sku]])),Table1[Entity Prefab],0)),10,1,1,"Entities"))</f>
        <v>10</v>
      </c>
      <c r="CF212" s="74">
        <f ca="1">ROUND((Table35[[#This Row],[XP]]*Table35[[#This Row],[entity_spawned (AVG)]])*(Table35[[#This Row],[activating_chance]]/100),0)</f>
        <v>10</v>
      </c>
      <c r="CG212" s="144" t="str">
        <f ca="1">INDIRECT(ADDRESS(11+(MATCH(RIGHT(Table35[[#This Row],[spawner_sku]],LEN(Table35[[#This Row],[spawner_sku]])-FIND("/",Table35[[#This Row],[spawner_sku]])),Table28[Entity Prefab],0)),24,1,1,"Entities"))</f>
        <v>no</v>
      </c>
      <c r="CH212">
        <v>1</v>
      </c>
      <c r="CI212">
        <v>1</v>
      </c>
      <c r="CJ212" s="71" t="b">
        <v>0</v>
      </c>
      <c r="CL212" t="s">
        <v>228</v>
      </c>
      <c r="CM212">
        <v>1</v>
      </c>
      <c r="CN212">
        <v>1500</v>
      </c>
      <c r="CO212">
        <v>100</v>
      </c>
      <c r="CP212" s="74">
        <f ca="1">INDIRECT(ADDRESS(11+(MATCH(RIGHT(Table11[[#This Row],[spawner_sku]],LEN(Table11[[#This Row],[spawner_sku]])-FIND("/",Table11[[#This Row],[spawner_sku]])),Table1[Entity Prefab],0)),10,1,1,"Entities"))</f>
        <v>130</v>
      </c>
      <c r="CQ212">
        <f ca="1">ROUND((Table11[[#This Row],[XP]]*Table11[[#This Row],[entity_spawned (AVG)]])*(Table11[[#This Row],[activating_chance]]/100),0)</f>
        <v>130</v>
      </c>
      <c r="CR212" s="144" t="str">
        <f ca="1">INDIRECT(ADDRESS(11+(MATCH(RIGHT(Table11[[#This Row],[spawner_sku]],LEN(Table11[[#This Row],[spawner_sku]])-FIND("/",Table11[[#This Row],[spawner_sku]])),Table28[Entity Prefab],0)),25,1,1,"Entities"))</f>
        <v>yes</v>
      </c>
      <c r="CS212" s="71">
        <v>1</v>
      </c>
      <c r="CT212" s="71">
        <v>1</v>
      </c>
      <c r="CU212" s="71" t="b">
        <v>0</v>
      </c>
      <c r="CW212" t="s">
        <v>366</v>
      </c>
      <c r="CX212">
        <v>5.5</v>
      </c>
      <c r="CY212">
        <v>100</v>
      </c>
      <c r="CZ212">
        <v>30</v>
      </c>
      <c r="DA212" s="74">
        <f ca="1">INDIRECT(ADDRESS(11+(MATCH(RIGHT(Table12[[#This Row],[spawner_sku]],LEN(Table12[[#This Row],[spawner_sku]])-FIND("/",Table12[[#This Row],[spawner_sku]])),Table1[Entity Prefab],0)),10,1,1,"Entities"))</f>
        <v>25</v>
      </c>
      <c r="DB212" s="74">
        <f ca="1">ROUND((Table12[[#This Row],[XP]]*Table12[[#This Row],[entity_spawned (AVG)]])*(Table12[[#This Row],[activating_chance]]/100),0)</f>
        <v>41</v>
      </c>
      <c r="DC212" s="144" t="str">
        <f ca="1">INDIRECT(ADDRESS(11+(MATCH(RIGHT(Table12[[#This Row],[spawner_sku]],LEN(Table12[[#This Row],[spawner_sku]])-FIND("/",Table12[[#This Row],[spawner_sku]])),Table28[Entity Prefab],0)),25,1,1,"Entities"))</f>
        <v>no</v>
      </c>
      <c r="DD212" s="71">
        <v>5</v>
      </c>
      <c r="DE212" s="71">
        <v>6</v>
      </c>
      <c r="DF212" s="71" t="b">
        <v>1</v>
      </c>
      <c r="DH212" t="s">
        <v>242</v>
      </c>
      <c r="DI212">
        <v>1</v>
      </c>
      <c r="DJ212">
        <v>150</v>
      </c>
      <c r="DK212">
        <v>100</v>
      </c>
      <c r="DL212" s="74">
        <f ca="1">INDIRECT(ADDRESS(11+(MATCH(RIGHT(Table13[[#This Row],[spawner_sku]],LEN(Table13[[#This Row],[spawner_sku]])-FIND("/",Table13[[#This Row],[spawner_sku]])),Table1[Entity Prefab],0)),10,1,1,"Entities"))</f>
        <v>25</v>
      </c>
      <c r="DM212" s="74">
        <f ca="1">ROUND((Table13[[#This Row],[XP]]*Table13[[#This Row],[entity_spawned (AVG)]])*(Table13[[#This Row],[activating_chance]]/100),0)</f>
        <v>25</v>
      </c>
      <c r="DN212" s="144" t="str">
        <f ca="1">INDIRECT(ADDRESS(11+(MATCH(RIGHT(Table13[[#This Row],[spawner_sku]],LEN(Table13[[#This Row],[spawner_sku]])-FIND("/",Table13[[#This Row],[spawner_sku]])),Table28[Entity Prefab],0)),25,1,1,"Entities"))</f>
        <v>no</v>
      </c>
      <c r="DO212" s="71">
        <v>1</v>
      </c>
      <c r="DP212" s="71">
        <v>1</v>
      </c>
      <c r="DQ212" s="71" t="b">
        <v>0</v>
      </c>
      <c r="DS212" t="s">
        <v>449</v>
      </c>
      <c r="DT212">
        <v>1</v>
      </c>
      <c r="DU212">
        <v>300</v>
      </c>
      <c r="DV212">
        <v>100</v>
      </c>
      <c r="DW212" s="74">
        <f ca="1">INDIRECT(ADDRESS(11+(MATCH(RIGHT(Table14[[#This Row],[spawner_sku]],LEN(Table14[[#This Row],[spawner_sku]])-FIND("/",Table14[[#This Row],[spawner_sku]])),Table1[Entity Prefab],0)),10,1,1,"Entities"))</f>
        <v>130</v>
      </c>
      <c r="DX212" s="74">
        <f ca="1">ROUND((Table14[[#This Row],[XP]]*Table14[[#This Row],[entity_spawned (AVG)]])*(Table14[[#This Row],[activating_chance]]/100),0)</f>
        <v>130</v>
      </c>
      <c r="DY212" s="144" t="str">
        <f ca="1">INDIRECT(ADDRESS(11+(MATCH(RIGHT(Table14[[#This Row],[spawner_sku]],LEN(Table14[[#This Row],[spawner_sku]])-FIND("/",Table14[[#This Row],[spawner_sku]])),Table28[Entity Prefab],0)),25,1,1,"Entities"))</f>
        <v>yes</v>
      </c>
      <c r="DZ212" s="71">
        <v>1</v>
      </c>
      <c r="EA212" s="71">
        <v>1</v>
      </c>
      <c r="EB212" s="71" t="b">
        <v>0</v>
      </c>
      <c r="EC212" s="71"/>
      <c r="EO212" t="s">
        <v>423</v>
      </c>
      <c r="EP212">
        <v>4</v>
      </c>
      <c r="EQ212">
        <v>160</v>
      </c>
      <c r="ER212">
        <v>100</v>
      </c>
      <c r="ES212" s="74">
        <f ca="1">INDIRECT(ADDRESS(11+(MATCH(RIGHT(Table18[[#This Row],[spawner_sku]],LEN(Table18[[#This Row],[spawner_sku]])-FIND("/",Table18[[#This Row],[spawner_sku]])),Table1[Entity Prefab],0)),10,1,1,"Entities"))</f>
        <v>0</v>
      </c>
      <c r="ET212" s="74">
        <f ca="1">ROUND((Table18[[#This Row],[XP]]*Table18[[#This Row],[entity_spawned (AVG)]])*(Table18[[#This Row],[activating_chance]]/100),0)</f>
        <v>0</v>
      </c>
      <c r="EU212" s="74" t="str">
        <f ca="1">INDIRECT(ADDRESS(11+(MATCH(RIGHT(Table18[[#This Row],[spawner_sku]],LEN(Table18[[#This Row],[spawner_sku]])-FIND("/",Table18[[#This Row],[spawner_sku]])),Table28[Entity Prefab],0)),26,1,1,"Entities"))</f>
        <v>yes</v>
      </c>
      <c r="EV212">
        <v>4</v>
      </c>
      <c r="EW212">
        <v>4</v>
      </c>
      <c r="EX212" t="b">
        <v>0</v>
      </c>
      <c r="EZ212" t="s">
        <v>2700</v>
      </c>
      <c r="FA212">
        <v>1.5</v>
      </c>
      <c r="FB212">
        <v>90</v>
      </c>
      <c r="FC212">
        <v>100</v>
      </c>
      <c r="FD212" s="74">
        <f ca="1">INDIRECT(ADDRESS(11+(MATCH(RIGHT(Table1820[[#This Row],[spawner_sku]],LEN(Table1820[[#This Row],[spawner_sku]])-FIND("/",Table1820[[#This Row],[spawner_sku]])),Table1[Entity Prefab],0)),10,1,1,"Entities"))</f>
        <v>50</v>
      </c>
      <c r="FE212" s="74">
        <f ca="1">ROUND((Table1820[[#This Row],[XP]]*Table1820[[#This Row],[entity_spawned (AVG)]])*(Table1820[[#This Row],[activating_chance]]/100),0)</f>
        <v>75</v>
      </c>
      <c r="FF212" s="74" t="str">
        <f ca="1">INDIRECT(ADDRESS(11+(MATCH(RIGHT(Table1820[[#This Row],[spawner_sku]],LEN(Table1820[[#This Row],[spawner_sku]])-FIND("/",Table1820[[#This Row],[spawner_sku]])),Table28[Entity Prefab],0)),26,1,1,"Entities"))</f>
        <v>no</v>
      </c>
      <c r="FG212">
        <v>1</v>
      </c>
      <c r="FH212">
        <v>2</v>
      </c>
      <c r="FI212" t="b">
        <v>0</v>
      </c>
      <c r="FV212" t="s">
        <v>2704</v>
      </c>
      <c r="FW212">
        <v>8</v>
      </c>
      <c r="FX212">
        <v>240</v>
      </c>
      <c r="FY212">
        <v>100</v>
      </c>
      <c r="FZ212" s="74">
        <f ca="1">INDIRECT(ADDRESS(11+(MATCH(RIGHT(Table18202324[[#This Row],[spawner_sku]],LEN(Table18202324[[#This Row],[spawner_sku]])-FIND("/",Table18202324[[#This Row],[spawner_sku]])),Table1[Entity Prefab],0)),10,1,1,"Entities"))</f>
        <v>50</v>
      </c>
      <c r="GA212" s="74">
        <f ca="1">ROUND((Table18202324[[#This Row],[XP]]*Table18202324[[#This Row],[entity_spawned (AVG)]])*(Table18202324[[#This Row],[activating_chance]]/100),0)</f>
        <v>400</v>
      </c>
      <c r="GB212" s="74" t="str">
        <f ca="1">INDIRECT(ADDRESS(11+(MATCH(RIGHT(Table18202324[[#This Row],[spawner_sku]],LEN(Table18202324[[#This Row],[spawner_sku]])-FIND("/",Table18202324[[#This Row],[spawner_sku]])),Table28[Entity Prefab],0)),26,1,1,"Entities"))</f>
        <v>no</v>
      </c>
      <c r="GC212">
        <v>6</v>
      </c>
      <c r="GD212">
        <v>10</v>
      </c>
      <c r="GE212" t="b">
        <v>1</v>
      </c>
    </row>
    <row r="213" spans="2:187" x14ac:dyDescent="0.25">
      <c r="B213" s="72" t="s">
        <v>218</v>
      </c>
      <c r="C213">
        <v>1</v>
      </c>
      <c r="D213">
        <v>5000</v>
      </c>
      <c r="E213">
        <v>30</v>
      </c>
      <c r="F213" s="74">
        <f ca="1">INDIRECT(ADDRESS(11+(MATCH(RIGHT(Table245[[#This Row],[spawner_sku]],LEN(Table245[[#This Row],[spawner_sku]])-FIND("/",Table245[[#This Row],[spawner_sku]])),Table1[Entity Prefab],0)),10,1,1,"Entities"))</f>
        <v>75</v>
      </c>
      <c r="G213" s="74">
        <f ca="1">ROUND((Table245[[#This Row],[XP]]*Table245[[#This Row],[entity_spawned (AVG)]])*(Table245[[#This Row],[activating_chance]]/100),0)</f>
        <v>23</v>
      </c>
      <c r="H213" s="71" t="str">
        <f ca="1">INDIRECT(ADDRESS(11+(MATCH(RIGHT(Table245[[#This Row],[spawner_sku]],LEN(Table245[[#This Row],[spawner_sku]])-FIND("/",Table245[[#This Row],[spawner_sku]])),Table28[Entity Prefab],0)),24,1,1,"Entities"))</f>
        <v>no</v>
      </c>
      <c r="I213" s="71">
        <v>1</v>
      </c>
      <c r="J213" s="71">
        <v>1</v>
      </c>
      <c r="K213" s="71" t="b">
        <v>0</v>
      </c>
      <c r="M213" t="s">
        <v>230</v>
      </c>
      <c r="N213">
        <v>1</v>
      </c>
      <c r="O213">
        <v>200</v>
      </c>
      <c r="P213">
        <v>100</v>
      </c>
      <c r="Q213" s="74">
        <f ca="1">INDIRECT(ADDRESS(11+(MATCH(RIGHT(Table3[[#This Row],[spawner_sku]],LEN(Table3[[#This Row],[spawner_sku]])-FIND("/",Table3[[#This Row],[spawner_sku]])),Table1[Entity Prefab],0)),10,1,1,"Entities"))</f>
        <v>28</v>
      </c>
      <c r="R213" s="74">
        <f ca="1">ROUND((Table3[[#This Row],[XP]]*Table3[[#This Row],[entity_spawned (AVG)]])*(Table3[[#This Row],[activating_chance]]/100),0)</f>
        <v>28</v>
      </c>
      <c r="S213" t="str">
        <f ca="1">INDIRECT(ADDRESS(11+(MATCH(RIGHT(Table3[[#This Row],[spawner_sku]],LEN(Table3[[#This Row],[spawner_sku]])-FIND("/",Table3[[#This Row],[spawner_sku]])),Table28[Entity Prefab],0)),24,1,1,"Entities"))</f>
        <v>no</v>
      </c>
      <c r="T213">
        <v>1</v>
      </c>
      <c r="U213">
        <v>1</v>
      </c>
      <c r="V213" t="b">
        <v>0</v>
      </c>
      <c r="AI213" t="s">
        <v>570</v>
      </c>
      <c r="AJ213">
        <v>1</v>
      </c>
      <c r="AK213">
        <v>110</v>
      </c>
      <c r="AL213">
        <v>100</v>
      </c>
      <c r="AM213" s="74">
        <f ca="1">INDIRECT(ADDRESS(11+(MATCH(RIGHT(Table2[[#This Row],[spawner_sku]],LEN(Table2[[#This Row],[spawner_sku]])-FIND("/",Table2[[#This Row],[spawner_sku]])),Table1[Entity Prefab],0)),10,1,1,"Entities"))</f>
        <v>50</v>
      </c>
      <c r="AN213" s="74">
        <f ca="1">ROUND((Table2[[#This Row],[XP]]*Table2[[#This Row],[entity_spawned (AVG)]])*(Table2[[#This Row],[activating_chance]]/100),0)</f>
        <v>50</v>
      </c>
      <c r="AO213" s="71" t="str">
        <f ca="1">INDIRECT(ADDRESS(11+(MATCH(RIGHT(Table2[[#This Row],[spawner_sku]],LEN(Table2[[#This Row],[spawner_sku]])-FIND("/",Table2[[#This Row],[spawner_sku]])),Table28[Entity Prefab],0)),24,1,1,"Entities"))</f>
        <v>no</v>
      </c>
      <c r="AP213" s="71">
        <v>1</v>
      </c>
      <c r="AQ213" s="71">
        <v>1</v>
      </c>
      <c r="AR213" s="71" t="b">
        <v>0</v>
      </c>
      <c r="BE213" t="s">
        <v>242</v>
      </c>
      <c r="BF213">
        <v>1</v>
      </c>
      <c r="BG213">
        <v>200</v>
      </c>
      <c r="BH213">
        <v>80</v>
      </c>
      <c r="BI213" s="74">
        <f ca="1">INDIRECT(ADDRESS(11+(MATCH(RIGHT(Table610[[#This Row],[spawner_sku]],LEN(Table610[[#This Row],[spawner_sku]])-FIND("/",Table610[[#This Row],[spawner_sku]])),Table1[Entity Prefab],0)),10,1,1,"Entities"))</f>
        <v>25</v>
      </c>
      <c r="BJ213" s="74">
        <f ca="1">ROUND((Table610[[#This Row],[XP]]*Table610[[#This Row],[entity_spawned (AVG)]])*(Table610[[#This Row],[activating_chance]]/100),0)</f>
        <v>20</v>
      </c>
      <c r="BK213" s="71" t="str">
        <f ca="1">INDIRECT(ADDRESS(11+(MATCH(RIGHT(Table610[[#This Row],[spawner_sku]],LEN(Table610[[#This Row],[spawner_sku]])-FIND("/",Table610[[#This Row],[spawner_sku]])),Table28[Entity Prefab],0)),24,1,1,"Entities"))</f>
        <v>no</v>
      </c>
      <c r="BL213">
        <v>1</v>
      </c>
      <c r="BM213">
        <v>1</v>
      </c>
      <c r="BN213" t="b">
        <v>0</v>
      </c>
      <c r="BP213" t="s">
        <v>232</v>
      </c>
      <c r="BQ213">
        <v>2.5</v>
      </c>
      <c r="BR213">
        <v>200</v>
      </c>
      <c r="BS213">
        <v>100</v>
      </c>
      <c r="BT213" s="74">
        <f ca="1">INDIRECT(ADDRESS(11+(MATCH(RIGHT(Table61011[[#This Row],[spawner_sku]],LEN(Table61011[[#This Row],[spawner_sku]])-FIND("/",Table61011[[#This Row],[spawner_sku]])),Table1[Entity Prefab],0)),10,1,1,"Entities"))</f>
        <v>25</v>
      </c>
      <c r="BU213" s="74">
        <f ca="1">ROUND((Table61011[[#This Row],[XP]]*Table61011[[#This Row],[entity_spawned (AVG)]])*(Table61011[[#This Row],[activating_chance]]/100),0)</f>
        <v>63</v>
      </c>
      <c r="BV213" s="71" t="str">
        <f ca="1">INDIRECT(ADDRESS(11+(MATCH(RIGHT(Table61011[[#This Row],[spawner_sku]],LEN(Table61011[[#This Row],[spawner_sku]])-FIND("/",Table61011[[#This Row],[spawner_sku]])),Table28[Entity Prefab],0)),24,1,1,"Entities"))</f>
        <v>no</v>
      </c>
      <c r="BW213" s="71">
        <v>2</v>
      </c>
      <c r="BX213" s="71">
        <v>3</v>
      </c>
      <c r="BY213" s="71" t="b">
        <v>0</v>
      </c>
      <c r="BZ213" s="71"/>
      <c r="CA213" s="147" t="s">
        <v>3823</v>
      </c>
      <c r="CB213">
        <v>1</v>
      </c>
      <c r="CC213">
        <v>240</v>
      </c>
      <c r="CD213">
        <v>100</v>
      </c>
      <c r="CE213" s="74">
        <f ca="1">INDIRECT(ADDRESS(11+(MATCH(RIGHT(Table35[[#This Row],[spawner_sku]],LEN(Table35[[#This Row],[spawner_sku]])-FIND("/",Table35[[#This Row],[spawner_sku]])),Table1[Entity Prefab],0)),10,1,1,"Entities"))</f>
        <v>10</v>
      </c>
      <c r="CF213" s="74">
        <f ca="1">ROUND((Table35[[#This Row],[XP]]*Table35[[#This Row],[entity_spawned (AVG)]])*(Table35[[#This Row],[activating_chance]]/100),0)</f>
        <v>10</v>
      </c>
      <c r="CG213" s="144" t="str">
        <f ca="1">INDIRECT(ADDRESS(11+(MATCH(RIGHT(Table35[[#This Row],[spawner_sku]],LEN(Table35[[#This Row],[spawner_sku]])-FIND("/",Table35[[#This Row],[spawner_sku]])),Table28[Entity Prefab],0)),24,1,1,"Entities"))</f>
        <v>no</v>
      </c>
      <c r="CH213">
        <v>1</v>
      </c>
      <c r="CI213">
        <v>1</v>
      </c>
      <c r="CJ213" s="71" t="b">
        <v>0</v>
      </c>
      <c r="CL213" t="s">
        <v>229</v>
      </c>
      <c r="CM213">
        <v>1</v>
      </c>
      <c r="CN213">
        <v>1500</v>
      </c>
      <c r="CO213">
        <v>100</v>
      </c>
      <c r="CP213" s="74">
        <f ca="1">INDIRECT(ADDRESS(11+(MATCH(RIGHT(Table11[[#This Row],[spawner_sku]],LEN(Table11[[#This Row],[spawner_sku]])-FIND("/",Table11[[#This Row],[spawner_sku]])),Table1[Entity Prefab],0)),10,1,1,"Entities"))</f>
        <v>130</v>
      </c>
      <c r="CQ213">
        <f ca="1">ROUND((Table11[[#This Row],[XP]]*Table11[[#This Row],[entity_spawned (AVG)]])*(Table11[[#This Row],[activating_chance]]/100),0)</f>
        <v>130</v>
      </c>
      <c r="CR213" s="144" t="str">
        <f ca="1">INDIRECT(ADDRESS(11+(MATCH(RIGHT(Table11[[#This Row],[spawner_sku]],LEN(Table11[[#This Row],[spawner_sku]])-FIND("/",Table11[[#This Row],[spawner_sku]])),Table28[Entity Prefab],0)),25,1,1,"Entities"))</f>
        <v>yes</v>
      </c>
      <c r="CS213" s="71">
        <v>1</v>
      </c>
      <c r="CT213" s="71">
        <v>1</v>
      </c>
      <c r="CU213" s="71" t="b">
        <v>0</v>
      </c>
      <c r="CW213" t="s">
        <v>366</v>
      </c>
      <c r="CX213">
        <v>5.5</v>
      </c>
      <c r="CY213">
        <v>100</v>
      </c>
      <c r="CZ213">
        <v>100</v>
      </c>
      <c r="DA213" s="74">
        <f ca="1">INDIRECT(ADDRESS(11+(MATCH(RIGHT(Table12[[#This Row],[spawner_sku]],LEN(Table12[[#This Row],[spawner_sku]])-FIND("/",Table12[[#This Row],[spawner_sku]])),Table1[Entity Prefab],0)),10,1,1,"Entities"))</f>
        <v>25</v>
      </c>
      <c r="DB213" s="74">
        <f ca="1">ROUND((Table12[[#This Row],[XP]]*Table12[[#This Row],[entity_spawned (AVG)]])*(Table12[[#This Row],[activating_chance]]/100),0)</f>
        <v>138</v>
      </c>
      <c r="DC213" s="144" t="str">
        <f ca="1">INDIRECT(ADDRESS(11+(MATCH(RIGHT(Table12[[#This Row],[spawner_sku]],LEN(Table12[[#This Row],[spawner_sku]])-FIND("/",Table12[[#This Row],[spawner_sku]])),Table28[Entity Prefab],0)),25,1,1,"Entities"))</f>
        <v>no</v>
      </c>
      <c r="DD213" s="71">
        <v>5</v>
      </c>
      <c r="DE213" s="71">
        <v>6</v>
      </c>
      <c r="DF213" s="71" t="b">
        <v>1</v>
      </c>
      <c r="DH213" t="s">
        <v>242</v>
      </c>
      <c r="DI213">
        <v>1</v>
      </c>
      <c r="DJ213">
        <v>150</v>
      </c>
      <c r="DK213">
        <v>100</v>
      </c>
      <c r="DL213" s="74">
        <f ca="1">INDIRECT(ADDRESS(11+(MATCH(RIGHT(Table13[[#This Row],[spawner_sku]],LEN(Table13[[#This Row],[spawner_sku]])-FIND("/",Table13[[#This Row],[spawner_sku]])),Table1[Entity Prefab],0)),10,1,1,"Entities"))</f>
        <v>25</v>
      </c>
      <c r="DM213" s="74">
        <f ca="1">ROUND((Table13[[#This Row],[XP]]*Table13[[#This Row],[entity_spawned (AVG)]])*(Table13[[#This Row],[activating_chance]]/100),0)</f>
        <v>25</v>
      </c>
      <c r="DN213" s="144" t="str">
        <f ca="1">INDIRECT(ADDRESS(11+(MATCH(RIGHT(Table13[[#This Row],[spawner_sku]],LEN(Table13[[#This Row],[spawner_sku]])-FIND("/",Table13[[#This Row],[spawner_sku]])),Table28[Entity Prefab],0)),25,1,1,"Entities"))</f>
        <v>no</v>
      </c>
      <c r="DO213" s="71">
        <v>1</v>
      </c>
      <c r="DP213" s="71">
        <v>1</v>
      </c>
      <c r="DQ213" s="71" t="b">
        <v>0</v>
      </c>
      <c r="DS213" t="s">
        <v>449</v>
      </c>
      <c r="DT213">
        <v>1</v>
      </c>
      <c r="DU213">
        <v>300</v>
      </c>
      <c r="DV213">
        <v>100</v>
      </c>
      <c r="DW213" s="74">
        <f ca="1">INDIRECT(ADDRESS(11+(MATCH(RIGHT(Table14[[#This Row],[spawner_sku]],LEN(Table14[[#This Row],[spawner_sku]])-FIND("/",Table14[[#This Row],[spawner_sku]])),Table1[Entity Prefab],0)),10,1,1,"Entities"))</f>
        <v>130</v>
      </c>
      <c r="DX213" s="74">
        <f ca="1">ROUND((Table14[[#This Row],[XP]]*Table14[[#This Row],[entity_spawned (AVG)]])*(Table14[[#This Row],[activating_chance]]/100),0)</f>
        <v>130</v>
      </c>
      <c r="DY213" s="144" t="str">
        <f ca="1">INDIRECT(ADDRESS(11+(MATCH(RIGHT(Table14[[#This Row],[spawner_sku]],LEN(Table14[[#This Row],[spawner_sku]])-FIND("/",Table14[[#This Row],[spawner_sku]])),Table28[Entity Prefab],0)),25,1,1,"Entities"))</f>
        <v>yes</v>
      </c>
      <c r="DZ213" s="71">
        <v>1</v>
      </c>
      <c r="EA213" s="71">
        <v>1</v>
      </c>
      <c r="EB213" s="71" t="b">
        <v>0</v>
      </c>
      <c r="EC213" s="71"/>
      <c r="EO213" t="s">
        <v>423</v>
      </c>
      <c r="EP213">
        <v>4</v>
      </c>
      <c r="EQ213">
        <v>160</v>
      </c>
      <c r="ER213">
        <v>100</v>
      </c>
      <c r="ES213" s="74">
        <f ca="1">INDIRECT(ADDRESS(11+(MATCH(RIGHT(Table18[[#This Row],[spawner_sku]],LEN(Table18[[#This Row],[spawner_sku]])-FIND("/",Table18[[#This Row],[spawner_sku]])),Table1[Entity Prefab],0)),10,1,1,"Entities"))</f>
        <v>0</v>
      </c>
      <c r="ET213" s="74">
        <f ca="1">ROUND((Table18[[#This Row],[XP]]*Table18[[#This Row],[entity_spawned (AVG)]])*(Table18[[#This Row],[activating_chance]]/100),0)</f>
        <v>0</v>
      </c>
      <c r="EU213" s="74" t="str">
        <f ca="1">INDIRECT(ADDRESS(11+(MATCH(RIGHT(Table18[[#This Row],[spawner_sku]],LEN(Table18[[#This Row],[spawner_sku]])-FIND("/",Table18[[#This Row],[spawner_sku]])),Table28[Entity Prefab],0)),26,1,1,"Entities"))</f>
        <v>yes</v>
      </c>
      <c r="EV213">
        <v>4</v>
      </c>
      <c r="EW213">
        <v>4</v>
      </c>
      <c r="EX213" t="b">
        <v>0</v>
      </c>
      <c r="EZ213" t="s">
        <v>2700</v>
      </c>
      <c r="FA213">
        <v>1</v>
      </c>
      <c r="FB213">
        <v>90</v>
      </c>
      <c r="FC213">
        <v>100</v>
      </c>
      <c r="FD213" s="74">
        <f ca="1">INDIRECT(ADDRESS(11+(MATCH(RIGHT(Table1820[[#This Row],[spawner_sku]],LEN(Table1820[[#This Row],[spawner_sku]])-FIND("/",Table1820[[#This Row],[spawner_sku]])),Table1[Entity Prefab],0)),10,1,1,"Entities"))</f>
        <v>50</v>
      </c>
      <c r="FE213" s="74">
        <f ca="1">ROUND((Table1820[[#This Row],[XP]]*Table1820[[#This Row],[entity_spawned (AVG)]])*(Table1820[[#This Row],[activating_chance]]/100),0)</f>
        <v>50</v>
      </c>
      <c r="FF213" s="74" t="str">
        <f ca="1">INDIRECT(ADDRESS(11+(MATCH(RIGHT(Table1820[[#This Row],[spawner_sku]],LEN(Table1820[[#This Row],[spawner_sku]])-FIND("/",Table1820[[#This Row],[spawner_sku]])),Table28[Entity Prefab],0)),26,1,1,"Entities"))</f>
        <v>no</v>
      </c>
      <c r="FG213">
        <v>1</v>
      </c>
      <c r="FH213">
        <v>1</v>
      </c>
      <c r="FI213" t="b">
        <v>0</v>
      </c>
      <c r="FV213" t="s">
        <v>2704</v>
      </c>
      <c r="FW213">
        <v>7.5</v>
      </c>
      <c r="FX213">
        <v>240</v>
      </c>
      <c r="FY213">
        <v>100</v>
      </c>
      <c r="FZ213" s="74">
        <f ca="1">INDIRECT(ADDRESS(11+(MATCH(RIGHT(Table18202324[[#This Row],[spawner_sku]],LEN(Table18202324[[#This Row],[spawner_sku]])-FIND("/",Table18202324[[#This Row],[spawner_sku]])),Table1[Entity Prefab],0)),10,1,1,"Entities"))</f>
        <v>50</v>
      </c>
      <c r="GA213" s="74">
        <f ca="1">ROUND((Table18202324[[#This Row],[XP]]*Table18202324[[#This Row],[entity_spawned (AVG)]])*(Table18202324[[#This Row],[activating_chance]]/100),0)</f>
        <v>375</v>
      </c>
      <c r="GB213" s="74" t="str">
        <f ca="1">INDIRECT(ADDRESS(11+(MATCH(RIGHT(Table18202324[[#This Row],[spawner_sku]],LEN(Table18202324[[#This Row],[spawner_sku]])-FIND("/",Table18202324[[#This Row],[spawner_sku]])),Table28[Entity Prefab],0)),26,1,1,"Entities"))</f>
        <v>no</v>
      </c>
      <c r="GC213">
        <v>5</v>
      </c>
      <c r="GD213">
        <v>10</v>
      </c>
      <c r="GE213" t="b">
        <v>1</v>
      </c>
    </row>
    <row r="214" spans="2:187" x14ac:dyDescent="0.25">
      <c r="B214" s="72" t="s">
        <v>218</v>
      </c>
      <c r="C214">
        <v>1</v>
      </c>
      <c r="D214">
        <v>5000</v>
      </c>
      <c r="E214">
        <v>45</v>
      </c>
      <c r="F214" s="74">
        <f ca="1">INDIRECT(ADDRESS(11+(MATCH(RIGHT(Table245[[#This Row],[spawner_sku]],LEN(Table245[[#This Row],[spawner_sku]])-FIND("/",Table245[[#This Row],[spawner_sku]])),Table1[Entity Prefab],0)),10,1,1,"Entities"))</f>
        <v>75</v>
      </c>
      <c r="G214" s="74">
        <f ca="1">ROUND((Table245[[#This Row],[XP]]*Table245[[#This Row],[entity_spawned (AVG)]])*(Table245[[#This Row],[activating_chance]]/100),0)</f>
        <v>34</v>
      </c>
      <c r="H214" s="71" t="str">
        <f ca="1">INDIRECT(ADDRESS(11+(MATCH(RIGHT(Table245[[#This Row],[spawner_sku]],LEN(Table245[[#This Row],[spawner_sku]])-FIND("/",Table245[[#This Row],[spawner_sku]])),Table28[Entity Prefab],0)),24,1,1,"Entities"))</f>
        <v>no</v>
      </c>
      <c r="I214" s="71">
        <v>1</v>
      </c>
      <c r="J214" s="71">
        <v>1</v>
      </c>
      <c r="K214" s="71" t="b">
        <v>0</v>
      </c>
      <c r="M214" t="s">
        <v>8112</v>
      </c>
      <c r="N214">
        <v>1</v>
      </c>
      <c r="O214">
        <v>300</v>
      </c>
      <c r="P214">
        <v>100</v>
      </c>
      <c r="Q214" s="74">
        <f ca="1">INDIRECT(ADDRESS(11+(MATCH(RIGHT(Table3[[#This Row],[spawner_sku]],LEN(Table3[[#This Row],[spawner_sku]])-FIND("/",Table3[[#This Row],[spawner_sku]])),Table1[Entity Prefab],0)),10,1,1,"Entities"))</f>
        <v>150</v>
      </c>
      <c r="R214" s="74">
        <f ca="1">ROUND((Table3[[#This Row],[XP]]*Table3[[#This Row],[entity_spawned (AVG)]])*(Table3[[#This Row],[activating_chance]]/100),0)</f>
        <v>150</v>
      </c>
      <c r="S214" t="str">
        <f ca="1">INDIRECT(ADDRESS(11+(MATCH(RIGHT(Table3[[#This Row],[spawner_sku]],LEN(Table3[[#This Row],[spawner_sku]])-FIND("/",Table3[[#This Row],[spawner_sku]])),Table28[Entity Prefab],0)),24,1,1,"Entities"))</f>
        <v>yes</v>
      </c>
      <c r="T214">
        <v>1</v>
      </c>
      <c r="U214">
        <v>1</v>
      </c>
      <c r="V214" t="b">
        <v>0</v>
      </c>
      <c r="AI214" t="s">
        <v>570</v>
      </c>
      <c r="AJ214">
        <v>1</v>
      </c>
      <c r="AK214">
        <v>110</v>
      </c>
      <c r="AL214">
        <v>100</v>
      </c>
      <c r="AM214" s="74">
        <f ca="1">INDIRECT(ADDRESS(11+(MATCH(RIGHT(Table2[[#This Row],[spawner_sku]],LEN(Table2[[#This Row],[spawner_sku]])-FIND("/",Table2[[#This Row],[spawner_sku]])),Table1[Entity Prefab],0)),10,1,1,"Entities"))</f>
        <v>50</v>
      </c>
      <c r="AN214" s="74">
        <f ca="1">ROUND((Table2[[#This Row],[XP]]*Table2[[#This Row],[entity_spawned (AVG)]])*(Table2[[#This Row],[activating_chance]]/100),0)</f>
        <v>50</v>
      </c>
      <c r="AO214" s="71" t="str">
        <f ca="1">INDIRECT(ADDRESS(11+(MATCH(RIGHT(Table2[[#This Row],[spawner_sku]],LEN(Table2[[#This Row],[spawner_sku]])-FIND("/",Table2[[#This Row],[spawner_sku]])),Table28[Entity Prefab],0)),24,1,1,"Entities"))</f>
        <v>no</v>
      </c>
      <c r="AP214" s="71">
        <v>1</v>
      </c>
      <c r="AQ214" s="71">
        <v>1</v>
      </c>
      <c r="AR214" s="71" t="b">
        <v>0</v>
      </c>
      <c r="BE214" t="s">
        <v>242</v>
      </c>
      <c r="BF214">
        <v>1</v>
      </c>
      <c r="BG214">
        <v>200</v>
      </c>
      <c r="BH214">
        <v>80</v>
      </c>
      <c r="BI214" s="74">
        <f ca="1">INDIRECT(ADDRESS(11+(MATCH(RIGHT(Table610[[#This Row],[spawner_sku]],LEN(Table610[[#This Row],[spawner_sku]])-FIND("/",Table610[[#This Row],[spawner_sku]])),Table1[Entity Prefab],0)),10,1,1,"Entities"))</f>
        <v>25</v>
      </c>
      <c r="BJ214" s="74">
        <f ca="1">ROUND((Table610[[#This Row],[XP]]*Table610[[#This Row],[entity_spawned (AVG)]])*(Table610[[#This Row],[activating_chance]]/100),0)</f>
        <v>20</v>
      </c>
      <c r="BK214" s="71" t="str">
        <f ca="1">INDIRECT(ADDRESS(11+(MATCH(RIGHT(Table610[[#This Row],[spawner_sku]],LEN(Table610[[#This Row],[spawner_sku]])-FIND("/",Table610[[#This Row],[spawner_sku]])),Table28[Entity Prefab],0)),24,1,1,"Entities"))</f>
        <v>no</v>
      </c>
      <c r="BL214">
        <v>1</v>
      </c>
      <c r="BM214">
        <v>1</v>
      </c>
      <c r="BN214" t="b">
        <v>0</v>
      </c>
      <c r="BP214" t="s">
        <v>232</v>
      </c>
      <c r="BQ214">
        <v>2</v>
      </c>
      <c r="BR214">
        <v>120</v>
      </c>
      <c r="BS214">
        <v>100</v>
      </c>
      <c r="BT214" s="74">
        <f ca="1">INDIRECT(ADDRESS(11+(MATCH(RIGHT(Table61011[[#This Row],[spawner_sku]],LEN(Table61011[[#This Row],[spawner_sku]])-FIND("/",Table61011[[#This Row],[spawner_sku]])),Table1[Entity Prefab],0)),10,1,1,"Entities"))</f>
        <v>25</v>
      </c>
      <c r="BU214" s="74">
        <f ca="1">ROUND((Table61011[[#This Row],[XP]]*Table61011[[#This Row],[entity_spawned (AVG)]])*(Table61011[[#This Row],[activating_chance]]/100),0)</f>
        <v>50</v>
      </c>
      <c r="BV214" s="71" t="str">
        <f ca="1">INDIRECT(ADDRESS(11+(MATCH(RIGHT(Table61011[[#This Row],[spawner_sku]],LEN(Table61011[[#This Row],[spawner_sku]])-FIND("/",Table61011[[#This Row],[spawner_sku]])),Table28[Entity Prefab],0)),24,1,1,"Entities"))</f>
        <v>no</v>
      </c>
      <c r="BW214" s="71">
        <v>2</v>
      </c>
      <c r="BX214" s="71">
        <v>2</v>
      </c>
      <c r="BY214" s="71" t="b">
        <v>0</v>
      </c>
      <c r="BZ214" s="71"/>
      <c r="CA214" s="147" t="s">
        <v>3818</v>
      </c>
      <c r="CB214">
        <v>1</v>
      </c>
      <c r="CC214">
        <v>240</v>
      </c>
      <c r="CD214">
        <v>100</v>
      </c>
      <c r="CE214" s="74">
        <f ca="1">INDIRECT(ADDRESS(11+(MATCH(RIGHT(Table35[[#This Row],[spawner_sku]],LEN(Table35[[#This Row],[spawner_sku]])-FIND("/",Table35[[#This Row],[spawner_sku]])),Table1[Entity Prefab],0)),10,1,1,"Entities"))</f>
        <v>10</v>
      </c>
      <c r="CF214" s="74">
        <f ca="1">ROUND((Table35[[#This Row],[XP]]*Table35[[#This Row],[entity_spawned (AVG)]])*(Table35[[#This Row],[activating_chance]]/100),0)</f>
        <v>10</v>
      </c>
      <c r="CG214" s="144" t="str">
        <f ca="1">INDIRECT(ADDRESS(11+(MATCH(RIGHT(Table35[[#This Row],[spawner_sku]],LEN(Table35[[#This Row],[spawner_sku]])-FIND("/",Table35[[#This Row],[spawner_sku]])),Table28[Entity Prefab],0)),24,1,1,"Entities"))</f>
        <v>no</v>
      </c>
      <c r="CH214">
        <v>1</v>
      </c>
      <c r="CI214">
        <v>1</v>
      </c>
      <c r="CJ214" s="71" t="b">
        <v>0</v>
      </c>
      <c r="CL214" t="s">
        <v>229</v>
      </c>
      <c r="CM214">
        <v>1</v>
      </c>
      <c r="CN214">
        <v>1500</v>
      </c>
      <c r="CO214">
        <v>100</v>
      </c>
      <c r="CP214" s="74">
        <f ca="1">INDIRECT(ADDRESS(11+(MATCH(RIGHT(Table11[[#This Row],[spawner_sku]],LEN(Table11[[#This Row],[spawner_sku]])-FIND("/",Table11[[#This Row],[spawner_sku]])),Table1[Entity Prefab],0)),10,1,1,"Entities"))</f>
        <v>130</v>
      </c>
      <c r="CQ214">
        <f ca="1">ROUND((Table11[[#This Row],[XP]]*Table11[[#This Row],[entity_spawned (AVG)]])*(Table11[[#This Row],[activating_chance]]/100),0)</f>
        <v>130</v>
      </c>
      <c r="CR214" s="144" t="str">
        <f ca="1">INDIRECT(ADDRESS(11+(MATCH(RIGHT(Table11[[#This Row],[spawner_sku]],LEN(Table11[[#This Row],[spawner_sku]])-FIND("/",Table11[[#This Row],[spawner_sku]])),Table28[Entity Prefab],0)),25,1,1,"Entities"))</f>
        <v>yes</v>
      </c>
      <c r="CS214" s="71">
        <v>1</v>
      </c>
      <c r="CT214" s="71">
        <v>1</v>
      </c>
      <c r="CU214" s="71" t="b">
        <v>0</v>
      </c>
      <c r="CW214" t="s">
        <v>366</v>
      </c>
      <c r="CX214">
        <v>3</v>
      </c>
      <c r="CY214">
        <v>100</v>
      </c>
      <c r="CZ214">
        <v>80</v>
      </c>
      <c r="DA214" s="74">
        <f ca="1">INDIRECT(ADDRESS(11+(MATCH(RIGHT(Table12[[#This Row],[spawner_sku]],LEN(Table12[[#This Row],[spawner_sku]])-FIND("/",Table12[[#This Row],[spawner_sku]])),Table1[Entity Prefab],0)),10,1,1,"Entities"))</f>
        <v>25</v>
      </c>
      <c r="DB214" s="74">
        <f ca="1">ROUND((Table12[[#This Row],[XP]]*Table12[[#This Row],[entity_spawned (AVG)]])*(Table12[[#This Row],[activating_chance]]/100),0)</f>
        <v>60</v>
      </c>
      <c r="DC214" s="144" t="str">
        <f ca="1">INDIRECT(ADDRESS(11+(MATCH(RIGHT(Table12[[#This Row],[spawner_sku]],LEN(Table12[[#This Row],[spawner_sku]])-FIND("/",Table12[[#This Row],[spawner_sku]])),Table28[Entity Prefab],0)),25,1,1,"Entities"))</f>
        <v>no</v>
      </c>
      <c r="DD214" s="71">
        <v>2</v>
      </c>
      <c r="DE214" s="71">
        <v>4</v>
      </c>
      <c r="DF214" s="71" t="b">
        <v>0</v>
      </c>
      <c r="DH214" t="s">
        <v>242</v>
      </c>
      <c r="DI214">
        <v>1</v>
      </c>
      <c r="DJ214">
        <v>150</v>
      </c>
      <c r="DK214">
        <v>100</v>
      </c>
      <c r="DL214" s="74">
        <f ca="1">INDIRECT(ADDRESS(11+(MATCH(RIGHT(Table13[[#This Row],[spawner_sku]],LEN(Table13[[#This Row],[spawner_sku]])-FIND("/",Table13[[#This Row],[spawner_sku]])),Table1[Entity Prefab],0)),10,1,1,"Entities"))</f>
        <v>25</v>
      </c>
      <c r="DM214" s="74">
        <f ca="1">ROUND((Table13[[#This Row],[XP]]*Table13[[#This Row],[entity_spawned (AVG)]])*(Table13[[#This Row],[activating_chance]]/100),0)</f>
        <v>25</v>
      </c>
      <c r="DN214" s="144" t="str">
        <f ca="1">INDIRECT(ADDRESS(11+(MATCH(RIGHT(Table13[[#This Row],[spawner_sku]],LEN(Table13[[#This Row],[spawner_sku]])-FIND("/",Table13[[#This Row],[spawner_sku]])),Table28[Entity Prefab],0)),25,1,1,"Entities"))</f>
        <v>no</v>
      </c>
      <c r="DO214" s="71">
        <v>1</v>
      </c>
      <c r="DP214" s="71">
        <v>1</v>
      </c>
      <c r="DQ214" s="71" t="b">
        <v>0</v>
      </c>
      <c r="DS214" t="s">
        <v>8112</v>
      </c>
      <c r="DT214">
        <v>1</v>
      </c>
      <c r="DU214">
        <v>300</v>
      </c>
      <c r="DV214">
        <v>100</v>
      </c>
      <c r="DW214" s="74">
        <f ca="1">INDIRECT(ADDRESS(11+(MATCH(RIGHT(Table14[[#This Row],[spawner_sku]],LEN(Table14[[#This Row],[spawner_sku]])-FIND("/",Table14[[#This Row],[spawner_sku]])),Table1[Entity Prefab],0)),10,1,1,"Entities"))</f>
        <v>150</v>
      </c>
      <c r="DX214" s="74">
        <f ca="1">ROUND((Table14[[#This Row],[XP]]*Table14[[#This Row],[entity_spawned (AVG)]])*(Table14[[#This Row],[activating_chance]]/100),0)</f>
        <v>150</v>
      </c>
      <c r="DY214" s="144" t="str">
        <f ca="1">INDIRECT(ADDRESS(11+(MATCH(RIGHT(Table14[[#This Row],[spawner_sku]],LEN(Table14[[#This Row],[spawner_sku]])-FIND("/",Table14[[#This Row],[spawner_sku]])),Table28[Entity Prefab],0)),25,1,1,"Entities"))</f>
        <v>yes</v>
      </c>
      <c r="DZ214" s="71">
        <v>1</v>
      </c>
      <c r="EA214" s="71">
        <v>1</v>
      </c>
      <c r="EB214" s="71" t="b">
        <v>0</v>
      </c>
      <c r="EC214" s="71"/>
      <c r="EO214" t="s">
        <v>423</v>
      </c>
      <c r="EP214">
        <v>4</v>
      </c>
      <c r="EQ214">
        <v>160</v>
      </c>
      <c r="ER214">
        <v>100</v>
      </c>
      <c r="ES214" s="74">
        <f ca="1">INDIRECT(ADDRESS(11+(MATCH(RIGHT(Table18[[#This Row],[spawner_sku]],LEN(Table18[[#This Row],[spawner_sku]])-FIND("/",Table18[[#This Row],[spawner_sku]])),Table1[Entity Prefab],0)),10,1,1,"Entities"))</f>
        <v>0</v>
      </c>
      <c r="ET214" s="74">
        <f ca="1">ROUND((Table18[[#This Row],[XP]]*Table18[[#This Row],[entity_spawned (AVG)]])*(Table18[[#This Row],[activating_chance]]/100),0)</f>
        <v>0</v>
      </c>
      <c r="EU214" s="74" t="str">
        <f ca="1">INDIRECT(ADDRESS(11+(MATCH(RIGHT(Table18[[#This Row],[spawner_sku]],LEN(Table18[[#This Row],[spawner_sku]])-FIND("/",Table18[[#This Row],[spawner_sku]])),Table28[Entity Prefab],0)),26,1,1,"Entities"))</f>
        <v>yes</v>
      </c>
      <c r="EV214">
        <v>4</v>
      </c>
      <c r="EW214">
        <v>4</v>
      </c>
      <c r="EX214" t="b">
        <v>0</v>
      </c>
      <c r="EZ214" t="s">
        <v>2700</v>
      </c>
      <c r="FA214">
        <v>3</v>
      </c>
      <c r="FB214">
        <v>90</v>
      </c>
      <c r="FC214">
        <v>100</v>
      </c>
      <c r="FD214" s="74">
        <f ca="1">INDIRECT(ADDRESS(11+(MATCH(RIGHT(Table1820[[#This Row],[spawner_sku]],LEN(Table1820[[#This Row],[spawner_sku]])-FIND("/",Table1820[[#This Row],[spawner_sku]])),Table1[Entity Prefab],0)),10,1,1,"Entities"))</f>
        <v>50</v>
      </c>
      <c r="FE214" s="74">
        <f ca="1">ROUND((Table1820[[#This Row],[XP]]*Table1820[[#This Row],[entity_spawned (AVG)]])*(Table1820[[#This Row],[activating_chance]]/100),0)</f>
        <v>150</v>
      </c>
      <c r="FF214" s="74" t="str">
        <f ca="1">INDIRECT(ADDRESS(11+(MATCH(RIGHT(Table1820[[#This Row],[spawner_sku]],LEN(Table1820[[#This Row],[spawner_sku]])-FIND("/",Table1820[[#This Row],[spawner_sku]])),Table28[Entity Prefab],0)),26,1,1,"Entities"))</f>
        <v>no</v>
      </c>
      <c r="FG214">
        <v>3</v>
      </c>
      <c r="FH214">
        <v>3</v>
      </c>
      <c r="FI214" t="b">
        <v>0</v>
      </c>
      <c r="FV214" t="s">
        <v>2704</v>
      </c>
      <c r="FW214">
        <v>13</v>
      </c>
      <c r="FX214">
        <v>240</v>
      </c>
      <c r="FY214">
        <v>100</v>
      </c>
      <c r="FZ214" s="74">
        <f ca="1">INDIRECT(ADDRESS(11+(MATCH(RIGHT(Table18202324[[#This Row],[spawner_sku]],LEN(Table18202324[[#This Row],[spawner_sku]])-FIND("/",Table18202324[[#This Row],[spawner_sku]])),Table1[Entity Prefab],0)),10,1,1,"Entities"))</f>
        <v>50</v>
      </c>
      <c r="GA214" s="74">
        <f ca="1">ROUND((Table18202324[[#This Row],[XP]]*Table18202324[[#This Row],[entity_spawned (AVG)]])*(Table18202324[[#This Row],[activating_chance]]/100),0)</f>
        <v>650</v>
      </c>
      <c r="GB214" s="74" t="str">
        <f ca="1">INDIRECT(ADDRESS(11+(MATCH(RIGHT(Table18202324[[#This Row],[spawner_sku]],LEN(Table18202324[[#This Row],[spawner_sku]])-FIND("/",Table18202324[[#This Row],[spawner_sku]])),Table28[Entity Prefab],0)),26,1,1,"Entities"))</f>
        <v>no</v>
      </c>
      <c r="GC214">
        <v>12</v>
      </c>
      <c r="GD214">
        <v>14</v>
      </c>
      <c r="GE214" t="b">
        <v>1</v>
      </c>
    </row>
    <row r="215" spans="2:187" x14ac:dyDescent="0.25">
      <c r="B215" s="72" t="s">
        <v>218</v>
      </c>
      <c r="C215">
        <v>1</v>
      </c>
      <c r="D215">
        <v>5000</v>
      </c>
      <c r="E215">
        <v>75</v>
      </c>
      <c r="F215" s="74">
        <f ca="1">INDIRECT(ADDRESS(11+(MATCH(RIGHT(Table245[[#This Row],[spawner_sku]],LEN(Table245[[#This Row],[spawner_sku]])-FIND("/",Table245[[#This Row],[spawner_sku]])),Table1[Entity Prefab],0)),10,1,1,"Entities"))</f>
        <v>75</v>
      </c>
      <c r="G215" s="74">
        <f ca="1">ROUND((Table245[[#This Row],[XP]]*Table245[[#This Row],[entity_spawned (AVG)]])*(Table245[[#This Row],[activating_chance]]/100),0)</f>
        <v>56</v>
      </c>
      <c r="H215" s="71" t="str">
        <f ca="1">INDIRECT(ADDRESS(11+(MATCH(RIGHT(Table245[[#This Row],[spawner_sku]],LEN(Table245[[#This Row],[spawner_sku]])-FIND("/",Table245[[#This Row],[spawner_sku]])),Table28[Entity Prefab],0)),24,1,1,"Entities"))</f>
        <v>no</v>
      </c>
      <c r="I215" s="71">
        <v>1</v>
      </c>
      <c r="J215" s="71">
        <v>1</v>
      </c>
      <c r="K215" s="71" t="b">
        <v>0</v>
      </c>
      <c r="M215" t="s">
        <v>230</v>
      </c>
      <c r="N215">
        <v>1</v>
      </c>
      <c r="O215">
        <v>200</v>
      </c>
      <c r="P215">
        <v>100</v>
      </c>
      <c r="Q215" s="74">
        <f ca="1">INDIRECT(ADDRESS(11+(MATCH(RIGHT(Table3[[#This Row],[spawner_sku]],LEN(Table3[[#This Row],[spawner_sku]])-FIND("/",Table3[[#This Row],[spawner_sku]])),Table1[Entity Prefab],0)),10,1,1,"Entities"))</f>
        <v>28</v>
      </c>
      <c r="R215" s="74">
        <f ca="1">ROUND((Table3[[#This Row],[XP]]*Table3[[#This Row],[entity_spawned (AVG)]])*(Table3[[#This Row],[activating_chance]]/100),0)</f>
        <v>28</v>
      </c>
      <c r="S215" t="str">
        <f ca="1">INDIRECT(ADDRESS(11+(MATCH(RIGHT(Table3[[#This Row],[spawner_sku]],LEN(Table3[[#This Row],[spawner_sku]])-FIND("/",Table3[[#This Row],[spawner_sku]])),Table28[Entity Prefab],0)),24,1,1,"Entities"))</f>
        <v>no</v>
      </c>
      <c r="T215">
        <v>1</v>
      </c>
      <c r="U215">
        <v>1</v>
      </c>
      <c r="V215" t="b">
        <v>0</v>
      </c>
      <c r="AI215" t="s">
        <v>370</v>
      </c>
      <c r="AJ215">
        <v>1</v>
      </c>
      <c r="AK215">
        <v>450</v>
      </c>
      <c r="AL215">
        <v>100</v>
      </c>
      <c r="AM215" s="74">
        <f ca="1">INDIRECT(ADDRESS(11+(MATCH(RIGHT(Table2[[#This Row],[spawner_sku]],LEN(Table2[[#This Row],[spawner_sku]])-FIND("/",Table2[[#This Row],[spawner_sku]])),Table1[Entity Prefab],0)),10,1,1,"Entities"))</f>
        <v>0</v>
      </c>
      <c r="AN215" s="74">
        <f ca="1">ROUND((Table2[[#This Row],[XP]]*Table2[[#This Row],[entity_spawned (AVG)]])*(Table2[[#This Row],[activating_chance]]/100),0)</f>
        <v>0</v>
      </c>
      <c r="AO215" s="71" t="str">
        <f ca="1">INDIRECT(ADDRESS(11+(MATCH(RIGHT(Table2[[#This Row],[spawner_sku]],LEN(Table2[[#This Row],[spawner_sku]])-FIND("/",Table2[[#This Row],[spawner_sku]])),Table28[Entity Prefab],0)),24,1,1,"Entities"))</f>
        <v>no</v>
      </c>
      <c r="AP215" s="71">
        <v>1</v>
      </c>
      <c r="AQ215" s="71">
        <v>1</v>
      </c>
      <c r="AR215" s="71" t="b">
        <v>0</v>
      </c>
      <c r="BE215" t="s">
        <v>242</v>
      </c>
      <c r="BF215">
        <v>1</v>
      </c>
      <c r="BG215">
        <v>200</v>
      </c>
      <c r="BH215">
        <v>80</v>
      </c>
      <c r="BI215" s="74">
        <f ca="1">INDIRECT(ADDRESS(11+(MATCH(RIGHT(Table610[[#This Row],[spawner_sku]],LEN(Table610[[#This Row],[spawner_sku]])-FIND("/",Table610[[#This Row],[spawner_sku]])),Table1[Entity Prefab],0)),10,1,1,"Entities"))</f>
        <v>25</v>
      </c>
      <c r="BJ215" s="74">
        <f ca="1">ROUND((Table610[[#This Row],[XP]]*Table610[[#This Row],[entity_spawned (AVG)]])*(Table610[[#This Row],[activating_chance]]/100),0)</f>
        <v>20</v>
      </c>
      <c r="BK215" s="71" t="str">
        <f ca="1">INDIRECT(ADDRESS(11+(MATCH(RIGHT(Table610[[#This Row],[spawner_sku]],LEN(Table610[[#This Row],[spawner_sku]])-FIND("/",Table610[[#This Row],[spawner_sku]])),Table28[Entity Prefab],0)),24,1,1,"Entities"))</f>
        <v>no</v>
      </c>
      <c r="BL215">
        <v>1</v>
      </c>
      <c r="BM215">
        <v>1</v>
      </c>
      <c r="BN215" t="b">
        <v>0</v>
      </c>
      <c r="BP215" t="s">
        <v>232</v>
      </c>
      <c r="BQ215">
        <v>3</v>
      </c>
      <c r="BR215">
        <v>130</v>
      </c>
      <c r="BS215">
        <v>100</v>
      </c>
      <c r="BT215" s="74">
        <f ca="1">INDIRECT(ADDRESS(11+(MATCH(RIGHT(Table61011[[#This Row],[spawner_sku]],LEN(Table61011[[#This Row],[spawner_sku]])-FIND("/",Table61011[[#This Row],[spawner_sku]])),Table1[Entity Prefab],0)),10,1,1,"Entities"))</f>
        <v>25</v>
      </c>
      <c r="BU215" s="74">
        <f ca="1">ROUND((Table61011[[#This Row],[XP]]*Table61011[[#This Row],[entity_spawned (AVG)]])*(Table61011[[#This Row],[activating_chance]]/100),0)</f>
        <v>75</v>
      </c>
      <c r="BV215" s="71" t="str">
        <f ca="1">INDIRECT(ADDRESS(11+(MATCH(RIGHT(Table61011[[#This Row],[spawner_sku]],LEN(Table61011[[#This Row],[spawner_sku]])-FIND("/",Table61011[[#This Row],[spawner_sku]])),Table28[Entity Prefab],0)),24,1,1,"Entities"))</f>
        <v>no</v>
      </c>
      <c r="BW215" s="71">
        <v>2</v>
      </c>
      <c r="BX215" s="71">
        <v>4</v>
      </c>
      <c r="BY215" s="71" t="b">
        <v>0</v>
      </c>
      <c r="BZ215" s="71"/>
      <c r="CA215" s="147" t="s">
        <v>3818</v>
      </c>
      <c r="CB215">
        <v>1</v>
      </c>
      <c r="CC215">
        <v>240</v>
      </c>
      <c r="CD215">
        <v>100</v>
      </c>
      <c r="CE215" s="74">
        <f ca="1">INDIRECT(ADDRESS(11+(MATCH(RIGHT(Table35[[#This Row],[spawner_sku]],LEN(Table35[[#This Row],[spawner_sku]])-FIND("/",Table35[[#This Row],[spawner_sku]])),Table1[Entity Prefab],0)),10,1,1,"Entities"))</f>
        <v>10</v>
      </c>
      <c r="CF215" s="74">
        <f ca="1">ROUND((Table35[[#This Row],[XP]]*Table35[[#This Row],[entity_spawned (AVG)]])*(Table35[[#This Row],[activating_chance]]/100),0)</f>
        <v>10</v>
      </c>
      <c r="CG215" s="144" t="str">
        <f ca="1">INDIRECT(ADDRESS(11+(MATCH(RIGHT(Table35[[#This Row],[spawner_sku]],LEN(Table35[[#This Row],[spawner_sku]])-FIND("/",Table35[[#This Row],[spawner_sku]])),Table28[Entity Prefab],0)),24,1,1,"Entities"))</f>
        <v>no</v>
      </c>
      <c r="CH215">
        <v>1</v>
      </c>
      <c r="CI215">
        <v>1</v>
      </c>
      <c r="CJ215" s="71" t="b">
        <v>0</v>
      </c>
      <c r="CL215" t="s">
        <v>229</v>
      </c>
      <c r="CM215">
        <v>1</v>
      </c>
      <c r="CN215">
        <v>1500</v>
      </c>
      <c r="CO215">
        <v>100</v>
      </c>
      <c r="CP215" s="74">
        <f ca="1">INDIRECT(ADDRESS(11+(MATCH(RIGHT(Table11[[#This Row],[spawner_sku]],LEN(Table11[[#This Row],[spawner_sku]])-FIND("/",Table11[[#This Row],[spawner_sku]])),Table1[Entity Prefab],0)),10,1,1,"Entities"))</f>
        <v>130</v>
      </c>
      <c r="CQ215">
        <f ca="1">ROUND((Table11[[#This Row],[XP]]*Table11[[#This Row],[entity_spawned (AVG)]])*(Table11[[#This Row],[activating_chance]]/100),0)</f>
        <v>130</v>
      </c>
      <c r="CR215" s="144" t="str">
        <f ca="1">INDIRECT(ADDRESS(11+(MATCH(RIGHT(Table11[[#This Row],[spawner_sku]],LEN(Table11[[#This Row],[spawner_sku]])-FIND("/",Table11[[#This Row],[spawner_sku]])),Table28[Entity Prefab],0)),25,1,1,"Entities"))</f>
        <v>yes</v>
      </c>
      <c r="CS215" s="71">
        <v>1</v>
      </c>
      <c r="CT215" s="71">
        <v>1</v>
      </c>
      <c r="CU215" s="71" t="b">
        <v>0</v>
      </c>
      <c r="CW215" t="s">
        <v>366</v>
      </c>
      <c r="CX215">
        <v>5.5</v>
      </c>
      <c r="CY215">
        <v>100</v>
      </c>
      <c r="CZ215">
        <v>100</v>
      </c>
      <c r="DA215" s="74">
        <f ca="1">INDIRECT(ADDRESS(11+(MATCH(RIGHT(Table12[[#This Row],[spawner_sku]],LEN(Table12[[#This Row],[spawner_sku]])-FIND("/",Table12[[#This Row],[spawner_sku]])),Table1[Entity Prefab],0)),10,1,1,"Entities"))</f>
        <v>25</v>
      </c>
      <c r="DB215" s="74">
        <f ca="1">ROUND((Table12[[#This Row],[XP]]*Table12[[#This Row],[entity_spawned (AVG)]])*(Table12[[#This Row],[activating_chance]]/100),0)</f>
        <v>138</v>
      </c>
      <c r="DC215" s="144" t="str">
        <f ca="1">INDIRECT(ADDRESS(11+(MATCH(RIGHT(Table12[[#This Row],[spawner_sku]],LEN(Table12[[#This Row],[spawner_sku]])-FIND("/",Table12[[#This Row],[spawner_sku]])),Table28[Entity Prefab],0)),25,1,1,"Entities"))</f>
        <v>no</v>
      </c>
      <c r="DD215" s="71">
        <v>5</v>
      </c>
      <c r="DE215" s="71">
        <v>6</v>
      </c>
      <c r="DF215" s="71" t="b">
        <v>1</v>
      </c>
      <c r="DH215" t="s">
        <v>242</v>
      </c>
      <c r="DI215">
        <v>1</v>
      </c>
      <c r="DJ215">
        <v>150</v>
      </c>
      <c r="DK215">
        <v>100</v>
      </c>
      <c r="DL215" s="74">
        <f ca="1">INDIRECT(ADDRESS(11+(MATCH(RIGHT(Table13[[#This Row],[spawner_sku]],LEN(Table13[[#This Row],[spawner_sku]])-FIND("/",Table13[[#This Row],[spawner_sku]])),Table1[Entity Prefab],0)),10,1,1,"Entities"))</f>
        <v>25</v>
      </c>
      <c r="DM215" s="74">
        <f ca="1">ROUND((Table13[[#This Row],[XP]]*Table13[[#This Row],[entity_spawned (AVG)]])*(Table13[[#This Row],[activating_chance]]/100),0)</f>
        <v>25</v>
      </c>
      <c r="DN215" s="144" t="str">
        <f ca="1">INDIRECT(ADDRESS(11+(MATCH(RIGHT(Table13[[#This Row],[spawner_sku]],LEN(Table13[[#This Row],[spawner_sku]])-FIND("/",Table13[[#This Row],[spawner_sku]])),Table28[Entity Prefab],0)),25,1,1,"Entities"))</f>
        <v>no</v>
      </c>
      <c r="DO215" s="71">
        <v>1</v>
      </c>
      <c r="DP215" s="71">
        <v>1</v>
      </c>
      <c r="DQ215" s="71" t="b">
        <v>0</v>
      </c>
      <c r="DS215" t="s">
        <v>8112</v>
      </c>
      <c r="DT215">
        <v>1</v>
      </c>
      <c r="DU215">
        <v>300</v>
      </c>
      <c r="DV215">
        <v>100</v>
      </c>
      <c r="DW215" s="74">
        <f ca="1">INDIRECT(ADDRESS(11+(MATCH(RIGHT(Table14[[#This Row],[spawner_sku]],LEN(Table14[[#This Row],[spawner_sku]])-FIND("/",Table14[[#This Row],[spawner_sku]])),Table1[Entity Prefab],0)),10,1,1,"Entities"))</f>
        <v>150</v>
      </c>
      <c r="DX215" s="74">
        <f ca="1">ROUND((Table14[[#This Row],[XP]]*Table14[[#This Row],[entity_spawned (AVG)]])*(Table14[[#This Row],[activating_chance]]/100),0)</f>
        <v>150</v>
      </c>
      <c r="DY215" s="144" t="str">
        <f ca="1">INDIRECT(ADDRESS(11+(MATCH(RIGHT(Table14[[#This Row],[spawner_sku]],LEN(Table14[[#This Row],[spawner_sku]])-FIND("/",Table14[[#This Row],[spawner_sku]])),Table28[Entity Prefab],0)),25,1,1,"Entities"))</f>
        <v>yes</v>
      </c>
      <c r="DZ215" s="71">
        <v>1</v>
      </c>
      <c r="EA215" s="71">
        <v>1</v>
      </c>
      <c r="EB215" s="71" t="b">
        <v>0</v>
      </c>
      <c r="EC215" s="71"/>
      <c r="EO215" t="s">
        <v>423</v>
      </c>
      <c r="EP215">
        <v>4</v>
      </c>
      <c r="EQ215">
        <v>160</v>
      </c>
      <c r="ER215">
        <v>100</v>
      </c>
      <c r="ES215" s="74">
        <f ca="1">INDIRECT(ADDRESS(11+(MATCH(RIGHT(Table18[[#This Row],[spawner_sku]],LEN(Table18[[#This Row],[spawner_sku]])-FIND("/",Table18[[#This Row],[spawner_sku]])),Table1[Entity Prefab],0)),10,1,1,"Entities"))</f>
        <v>0</v>
      </c>
      <c r="ET215" s="74">
        <f ca="1">ROUND((Table18[[#This Row],[XP]]*Table18[[#This Row],[entity_spawned (AVG)]])*(Table18[[#This Row],[activating_chance]]/100),0)</f>
        <v>0</v>
      </c>
      <c r="EU215" s="74" t="str">
        <f ca="1">INDIRECT(ADDRESS(11+(MATCH(RIGHT(Table18[[#This Row],[spawner_sku]],LEN(Table18[[#This Row],[spawner_sku]])-FIND("/",Table18[[#This Row],[spawner_sku]])),Table28[Entity Prefab],0)),26,1,1,"Entities"))</f>
        <v>yes</v>
      </c>
      <c r="EV215">
        <v>4</v>
      </c>
      <c r="EW215">
        <v>4</v>
      </c>
      <c r="EX215" t="b">
        <v>0</v>
      </c>
      <c r="EZ215" t="s">
        <v>2700</v>
      </c>
      <c r="FA215">
        <v>1.5</v>
      </c>
      <c r="FB215">
        <v>90</v>
      </c>
      <c r="FC215">
        <v>100</v>
      </c>
      <c r="FD215" s="74">
        <f ca="1">INDIRECT(ADDRESS(11+(MATCH(RIGHT(Table1820[[#This Row],[spawner_sku]],LEN(Table1820[[#This Row],[spawner_sku]])-FIND("/",Table1820[[#This Row],[spawner_sku]])),Table1[Entity Prefab],0)),10,1,1,"Entities"))</f>
        <v>50</v>
      </c>
      <c r="FE215" s="74">
        <f ca="1">ROUND((Table1820[[#This Row],[XP]]*Table1820[[#This Row],[entity_spawned (AVG)]])*(Table1820[[#This Row],[activating_chance]]/100),0)</f>
        <v>75</v>
      </c>
      <c r="FF215" s="74" t="str">
        <f ca="1">INDIRECT(ADDRESS(11+(MATCH(RIGHT(Table1820[[#This Row],[spawner_sku]],LEN(Table1820[[#This Row],[spawner_sku]])-FIND("/",Table1820[[#This Row],[spawner_sku]])),Table28[Entity Prefab],0)),26,1,1,"Entities"))</f>
        <v>no</v>
      </c>
      <c r="FG215">
        <v>1</v>
      </c>
      <c r="FH215">
        <v>2</v>
      </c>
      <c r="FI215" t="b">
        <v>0</v>
      </c>
      <c r="FV215" t="s">
        <v>8011</v>
      </c>
      <c r="FW215">
        <v>1</v>
      </c>
      <c r="FX215">
        <v>120</v>
      </c>
      <c r="FY215">
        <v>100</v>
      </c>
      <c r="FZ215" s="74">
        <v>195</v>
      </c>
      <c r="GA215" s="74">
        <f>ROUND((Table18202324[[#This Row],[XP]]*Table18202324[[#This Row],[entity_spawned (AVG)]])*(Table18202324[[#This Row],[activating_chance]]/100),0)</f>
        <v>195</v>
      </c>
      <c r="GB215" s="74" t="str">
        <f ca="1">INDIRECT(ADDRESS(11+(MATCH(RIGHT(Table18202324[[#This Row],[spawner_sku]],LEN(Table18202324[[#This Row],[spawner_sku]])-FIND("/",Table18202324[[#This Row],[spawner_sku]])),Table28[Entity Prefab],0)),26,1,1,"Entities"))</f>
        <v>yes</v>
      </c>
      <c r="GC215">
        <v>1</v>
      </c>
      <c r="GD215">
        <v>1</v>
      </c>
      <c r="GE215" t="b">
        <v>0</v>
      </c>
    </row>
    <row r="216" spans="2:187" x14ac:dyDescent="0.25">
      <c r="B216" s="72" t="s">
        <v>218</v>
      </c>
      <c r="C216">
        <v>1</v>
      </c>
      <c r="D216">
        <v>5000</v>
      </c>
      <c r="E216">
        <v>45</v>
      </c>
      <c r="F216" s="74">
        <f ca="1">INDIRECT(ADDRESS(11+(MATCH(RIGHT(Table245[[#This Row],[spawner_sku]],LEN(Table245[[#This Row],[spawner_sku]])-FIND("/",Table245[[#This Row],[spawner_sku]])),Table1[Entity Prefab],0)),10,1,1,"Entities"))</f>
        <v>75</v>
      </c>
      <c r="G216" s="74">
        <f ca="1">ROUND((Table245[[#This Row],[XP]]*Table245[[#This Row],[entity_spawned (AVG)]])*(Table245[[#This Row],[activating_chance]]/100),0)</f>
        <v>34</v>
      </c>
      <c r="H216" s="71" t="str">
        <f ca="1">INDIRECT(ADDRESS(11+(MATCH(RIGHT(Table245[[#This Row],[spawner_sku]],LEN(Table245[[#This Row],[spawner_sku]])-FIND("/",Table245[[#This Row],[spawner_sku]])),Table28[Entity Prefab],0)),24,1,1,"Entities"))</f>
        <v>no</v>
      </c>
      <c r="I216" s="71">
        <v>1</v>
      </c>
      <c r="J216" s="71">
        <v>1</v>
      </c>
      <c r="K216" s="71" t="b">
        <v>0</v>
      </c>
      <c r="M216" t="s">
        <v>242</v>
      </c>
      <c r="N216">
        <v>1</v>
      </c>
      <c r="O216">
        <v>180</v>
      </c>
      <c r="P216">
        <v>100</v>
      </c>
      <c r="Q216" s="74">
        <f ca="1">INDIRECT(ADDRESS(11+(MATCH(RIGHT(Table3[[#This Row],[spawner_sku]],LEN(Table3[[#This Row],[spawner_sku]])-FIND("/",Table3[[#This Row],[spawner_sku]])),Table1[Entity Prefab],0)),10,1,1,"Entities"))</f>
        <v>25</v>
      </c>
      <c r="R216" s="74">
        <f ca="1">ROUND((Table3[[#This Row],[XP]]*Table3[[#This Row],[entity_spawned (AVG)]])*(Table3[[#This Row],[activating_chance]]/100),0)</f>
        <v>25</v>
      </c>
      <c r="S216" t="str">
        <f ca="1">INDIRECT(ADDRESS(11+(MATCH(RIGHT(Table3[[#This Row],[spawner_sku]],LEN(Table3[[#This Row],[spawner_sku]])-FIND("/",Table3[[#This Row],[spawner_sku]])),Table28[Entity Prefab],0)),24,1,1,"Entities"))</f>
        <v>no</v>
      </c>
      <c r="T216">
        <v>1</v>
      </c>
      <c r="U216">
        <v>1</v>
      </c>
      <c r="V216" t="b">
        <v>0</v>
      </c>
      <c r="AI216" t="s">
        <v>370</v>
      </c>
      <c r="AJ216">
        <v>1</v>
      </c>
      <c r="AK216">
        <v>450</v>
      </c>
      <c r="AL216">
        <v>100</v>
      </c>
      <c r="AM216" s="74">
        <f ca="1">INDIRECT(ADDRESS(11+(MATCH(RIGHT(Table2[[#This Row],[spawner_sku]],LEN(Table2[[#This Row],[spawner_sku]])-FIND("/",Table2[[#This Row],[spawner_sku]])),Table1[Entity Prefab],0)),10,1,1,"Entities"))</f>
        <v>0</v>
      </c>
      <c r="AN216" s="74">
        <f ca="1">ROUND((Table2[[#This Row],[XP]]*Table2[[#This Row],[entity_spawned (AVG)]])*(Table2[[#This Row],[activating_chance]]/100),0)</f>
        <v>0</v>
      </c>
      <c r="AO216" s="71" t="str">
        <f ca="1">INDIRECT(ADDRESS(11+(MATCH(RIGHT(Table2[[#This Row],[spawner_sku]],LEN(Table2[[#This Row],[spawner_sku]])-FIND("/",Table2[[#This Row],[spawner_sku]])),Table28[Entity Prefab],0)),24,1,1,"Entities"))</f>
        <v>no</v>
      </c>
      <c r="AP216" s="71">
        <v>1</v>
      </c>
      <c r="AQ216" s="71">
        <v>1</v>
      </c>
      <c r="AR216" s="71" t="b">
        <v>0</v>
      </c>
      <c r="BE216" t="s">
        <v>242</v>
      </c>
      <c r="BF216">
        <v>3.5</v>
      </c>
      <c r="BG216">
        <v>170</v>
      </c>
      <c r="BH216">
        <v>100</v>
      </c>
      <c r="BI216" s="74">
        <f ca="1">INDIRECT(ADDRESS(11+(MATCH(RIGHT(Table610[[#This Row],[spawner_sku]],LEN(Table610[[#This Row],[spawner_sku]])-FIND("/",Table610[[#This Row],[spawner_sku]])),Table1[Entity Prefab],0)),10,1,1,"Entities"))</f>
        <v>25</v>
      </c>
      <c r="BJ216" s="74">
        <f ca="1">ROUND((Table610[[#This Row],[XP]]*Table610[[#This Row],[entity_spawned (AVG)]])*(Table610[[#This Row],[activating_chance]]/100),0)</f>
        <v>88</v>
      </c>
      <c r="BK216" s="71" t="str">
        <f ca="1">INDIRECT(ADDRESS(11+(MATCH(RIGHT(Table610[[#This Row],[spawner_sku]],LEN(Table610[[#This Row],[spawner_sku]])-FIND("/",Table610[[#This Row],[spawner_sku]])),Table28[Entity Prefab],0)),24,1,1,"Entities"))</f>
        <v>no</v>
      </c>
      <c r="BL216">
        <v>3</v>
      </c>
      <c r="BM216">
        <v>4</v>
      </c>
      <c r="BN216" t="b">
        <v>0</v>
      </c>
      <c r="BP216" t="s">
        <v>570</v>
      </c>
      <c r="BQ216">
        <v>1</v>
      </c>
      <c r="BR216">
        <v>110</v>
      </c>
      <c r="BS216">
        <v>100</v>
      </c>
      <c r="BT216" s="74">
        <f ca="1">INDIRECT(ADDRESS(11+(MATCH(RIGHT(Table61011[[#This Row],[spawner_sku]],LEN(Table61011[[#This Row],[spawner_sku]])-FIND("/",Table61011[[#This Row],[spawner_sku]])),Table1[Entity Prefab],0)),10,1,1,"Entities"))</f>
        <v>50</v>
      </c>
      <c r="BU216" s="74">
        <f ca="1">ROUND((Table61011[[#This Row],[XP]]*Table61011[[#This Row],[entity_spawned (AVG)]])*(Table61011[[#This Row],[activating_chance]]/100),0)</f>
        <v>50</v>
      </c>
      <c r="BV216" s="71" t="str">
        <f ca="1">INDIRECT(ADDRESS(11+(MATCH(RIGHT(Table61011[[#This Row],[spawner_sku]],LEN(Table61011[[#This Row],[spawner_sku]])-FIND("/",Table61011[[#This Row],[spawner_sku]])),Table28[Entity Prefab],0)),24,1,1,"Entities"))</f>
        <v>no</v>
      </c>
      <c r="BW216" s="71">
        <v>1</v>
      </c>
      <c r="BX216" s="71">
        <v>1</v>
      </c>
      <c r="BY216" s="71" t="b">
        <v>0</v>
      </c>
      <c r="BZ216" s="71"/>
      <c r="CA216" s="147" t="s">
        <v>3818</v>
      </c>
      <c r="CB216">
        <v>1</v>
      </c>
      <c r="CC216">
        <v>240</v>
      </c>
      <c r="CD216">
        <v>100</v>
      </c>
      <c r="CE216" s="74">
        <f ca="1">INDIRECT(ADDRESS(11+(MATCH(RIGHT(Table35[[#This Row],[spawner_sku]],LEN(Table35[[#This Row],[spawner_sku]])-FIND("/",Table35[[#This Row],[spawner_sku]])),Table1[Entity Prefab],0)),10,1,1,"Entities"))</f>
        <v>10</v>
      </c>
      <c r="CF216" s="74">
        <f ca="1">ROUND((Table35[[#This Row],[XP]]*Table35[[#This Row],[entity_spawned (AVG)]])*(Table35[[#This Row],[activating_chance]]/100),0)</f>
        <v>10</v>
      </c>
      <c r="CG216" s="144" t="str">
        <f ca="1">INDIRECT(ADDRESS(11+(MATCH(RIGHT(Table35[[#This Row],[spawner_sku]],LEN(Table35[[#This Row],[spawner_sku]])-FIND("/",Table35[[#This Row],[spawner_sku]])),Table28[Entity Prefab],0)),24,1,1,"Entities"))</f>
        <v>no</v>
      </c>
      <c r="CH216">
        <v>1</v>
      </c>
      <c r="CI216">
        <v>1</v>
      </c>
      <c r="CJ216" s="71" t="b">
        <v>0</v>
      </c>
      <c r="CL216" t="s">
        <v>229</v>
      </c>
      <c r="CM216">
        <v>1</v>
      </c>
      <c r="CN216">
        <v>1500</v>
      </c>
      <c r="CO216">
        <v>100</v>
      </c>
      <c r="CP216" s="74">
        <f ca="1">INDIRECT(ADDRESS(11+(MATCH(RIGHT(Table11[[#This Row],[spawner_sku]],LEN(Table11[[#This Row],[spawner_sku]])-FIND("/",Table11[[#This Row],[spawner_sku]])),Table1[Entity Prefab],0)),10,1,1,"Entities"))</f>
        <v>130</v>
      </c>
      <c r="CQ216">
        <f ca="1">ROUND((Table11[[#This Row],[XP]]*Table11[[#This Row],[entity_spawned (AVG)]])*(Table11[[#This Row],[activating_chance]]/100),0)</f>
        <v>130</v>
      </c>
      <c r="CR216" s="144" t="str">
        <f ca="1">INDIRECT(ADDRESS(11+(MATCH(RIGHT(Table11[[#This Row],[spawner_sku]],LEN(Table11[[#This Row],[spawner_sku]])-FIND("/",Table11[[#This Row],[spawner_sku]])),Table28[Entity Prefab],0)),25,1,1,"Entities"))</f>
        <v>yes</v>
      </c>
      <c r="CS216" s="71">
        <v>1</v>
      </c>
      <c r="CT216" s="71">
        <v>1</v>
      </c>
      <c r="CU216" s="71" t="b">
        <v>0</v>
      </c>
      <c r="CW216" t="s">
        <v>366</v>
      </c>
      <c r="CX216">
        <v>5.5</v>
      </c>
      <c r="CY216">
        <v>100</v>
      </c>
      <c r="CZ216">
        <v>30</v>
      </c>
      <c r="DA216" s="74">
        <f ca="1">INDIRECT(ADDRESS(11+(MATCH(RIGHT(Table12[[#This Row],[spawner_sku]],LEN(Table12[[#This Row],[spawner_sku]])-FIND("/",Table12[[#This Row],[spawner_sku]])),Table1[Entity Prefab],0)),10,1,1,"Entities"))</f>
        <v>25</v>
      </c>
      <c r="DB216" s="74">
        <f ca="1">ROUND((Table12[[#This Row],[XP]]*Table12[[#This Row],[entity_spawned (AVG)]])*(Table12[[#This Row],[activating_chance]]/100),0)</f>
        <v>41</v>
      </c>
      <c r="DC216" s="144" t="str">
        <f ca="1">INDIRECT(ADDRESS(11+(MATCH(RIGHT(Table12[[#This Row],[spawner_sku]],LEN(Table12[[#This Row],[spawner_sku]])-FIND("/",Table12[[#This Row],[spawner_sku]])),Table28[Entity Prefab],0)),25,1,1,"Entities"))</f>
        <v>no</v>
      </c>
      <c r="DD216" s="71">
        <v>5</v>
      </c>
      <c r="DE216" s="71">
        <v>6</v>
      </c>
      <c r="DF216" s="71" t="b">
        <v>1</v>
      </c>
      <c r="DH216" t="s">
        <v>242</v>
      </c>
      <c r="DI216">
        <v>1</v>
      </c>
      <c r="DJ216">
        <v>150</v>
      </c>
      <c r="DK216">
        <v>100</v>
      </c>
      <c r="DL216" s="74">
        <f ca="1">INDIRECT(ADDRESS(11+(MATCH(RIGHT(Table13[[#This Row],[spawner_sku]],LEN(Table13[[#This Row],[spawner_sku]])-FIND("/",Table13[[#This Row],[spawner_sku]])),Table1[Entity Prefab],0)),10,1,1,"Entities"))</f>
        <v>25</v>
      </c>
      <c r="DM216" s="74">
        <f ca="1">ROUND((Table13[[#This Row],[XP]]*Table13[[#This Row],[entity_spawned (AVG)]])*(Table13[[#This Row],[activating_chance]]/100),0)</f>
        <v>25</v>
      </c>
      <c r="DN216" s="144" t="str">
        <f ca="1">INDIRECT(ADDRESS(11+(MATCH(RIGHT(Table13[[#This Row],[spawner_sku]],LEN(Table13[[#This Row],[spawner_sku]])-FIND("/",Table13[[#This Row],[spawner_sku]])),Table28[Entity Prefab],0)),25,1,1,"Entities"))</f>
        <v>no</v>
      </c>
      <c r="DO216" s="71">
        <v>1</v>
      </c>
      <c r="DP216" s="71">
        <v>1</v>
      </c>
      <c r="DQ216" s="71" t="b">
        <v>0</v>
      </c>
      <c r="DS216" t="s">
        <v>8112</v>
      </c>
      <c r="DT216">
        <v>1</v>
      </c>
      <c r="DU216">
        <v>300</v>
      </c>
      <c r="DV216">
        <v>100</v>
      </c>
      <c r="DW216" s="74">
        <f ca="1">INDIRECT(ADDRESS(11+(MATCH(RIGHT(Table14[[#This Row],[spawner_sku]],LEN(Table14[[#This Row],[spawner_sku]])-FIND("/",Table14[[#This Row],[spawner_sku]])),Table1[Entity Prefab],0)),10,1,1,"Entities"))</f>
        <v>150</v>
      </c>
      <c r="DX216" s="74">
        <f ca="1">ROUND((Table14[[#This Row],[XP]]*Table14[[#This Row],[entity_spawned (AVG)]])*(Table14[[#This Row],[activating_chance]]/100),0)</f>
        <v>150</v>
      </c>
      <c r="DY216" s="144" t="str">
        <f ca="1">INDIRECT(ADDRESS(11+(MATCH(RIGHT(Table14[[#This Row],[spawner_sku]],LEN(Table14[[#This Row],[spawner_sku]])-FIND("/",Table14[[#This Row],[spawner_sku]])),Table28[Entity Prefab],0)),25,1,1,"Entities"))</f>
        <v>yes</v>
      </c>
      <c r="DZ216" s="71">
        <v>1</v>
      </c>
      <c r="EA216" s="71">
        <v>1</v>
      </c>
      <c r="EB216" s="71" t="b">
        <v>0</v>
      </c>
      <c r="EC216" s="71"/>
      <c r="EO216" t="s">
        <v>233</v>
      </c>
      <c r="EP216">
        <v>1</v>
      </c>
      <c r="EQ216">
        <v>500</v>
      </c>
      <c r="ER216">
        <v>75</v>
      </c>
      <c r="ES216" s="74">
        <f ca="1">INDIRECT(ADDRESS(11+(MATCH(RIGHT(Table18[[#This Row],[spawner_sku]],LEN(Table18[[#This Row],[spawner_sku]])-FIND("/",Table18[[#This Row],[spawner_sku]])),Table1[Entity Prefab],0)),10,1,1,"Entities"))</f>
        <v>25</v>
      </c>
      <c r="ET216" s="74">
        <f ca="1">ROUND((Table18[[#This Row],[XP]]*Table18[[#This Row],[entity_spawned (AVG)]])*(Table18[[#This Row],[activating_chance]]/100),0)</f>
        <v>19</v>
      </c>
      <c r="EU216" s="74" t="str">
        <f ca="1">INDIRECT(ADDRESS(11+(MATCH(RIGHT(Table18[[#This Row],[spawner_sku]],LEN(Table18[[#This Row],[spawner_sku]])-FIND("/",Table18[[#This Row],[spawner_sku]])),Table28[Entity Prefab],0)),26,1,1,"Entities"))</f>
        <v>no</v>
      </c>
      <c r="EV216">
        <v>1</v>
      </c>
      <c r="EW216">
        <v>1</v>
      </c>
      <c r="EX216" t="b">
        <v>0</v>
      </c>
      <c r="EZ216" t="s">
        <v>572</v>
      </c>
      <c r="FA216">
        <v>1</v>
      </c>
      <c r="FB216">
        <v>120</v>
      </c>
      <c r="FC216">
        <v>100</v>
      </c>
      <c r="FD216" s="74">
        <f ca="1">INDIRECT(ADDRESS(11+(MATCH(RIGHT(Table1820[[#This Row],[spawner_sku]],LEN(Table1820[[#This Row],[spawner_sku]])-FIND("/",Table1820[[#This Row],[spawner_sku]])),Table1[Entity Prefab],0)),10,1,1,"Entities"))</f>
        <v>130</v>
      </c>
      <c r="FE216" s="74">
        <f ca="1">ROUND((Table1820[[#This Row],[XP]]*Table1820[[#This Row],[entity_spawned (AVG)]])*(Table1820[[#This Row],[activating_chance]]/100),0)</f>
        <v>130</v>
      </c>
      <c r="FF216" s="74" t="str">
        <f ca="1">INDIRECT(ADDRESS(11+(MATCH(RIGHT(Table1820[[#This Row],[spawner_sku]],LEN(Table1820[[#This Row],[spawner_sku]])-FIND("/",Table1820[[#This Row],[spawner_sku]])),Table28[Entity Prefab],0)),26,1,1,"Entities"))</f>
        <v>yes</v>
      </c>
      <c r="FG216">
        <v>1</v>
      </c>
      <c r="FH216">
        <v>1</v>
      </c>
      <c r="FI216" t="b">
        <v>0</v>
      </c>
      <c r="FV216" t="s">
        <v>8011</v>
      </c>
      <c r="FW216">
        <v>1</v>
      </c>
      <c r="FX216">
        <v>120</v>
      </c>
      <c r="FY216">
        <v>80</v>
      </c>
      <c r="FZ216" s="74">
        <v>195</v>
      </c>
      <c r="GA216" s="74">
        <f>ROUND((Table18202324[[#This Row],[XP]]*Table18202324[[#This Row],[entity_spawned (AVG)]])*(Table18202324[[#This Row],[activating_chance]]/100),0)</f>
        <v>156</v>
      </c>
      <c r="GB216" s="74" t="str">
        <f ca="1">INDIRECT(ADDRESS(11+(MATCH(RIGHT(Table18202324[[#This Row],[spawner_sku]],LEN(Table18202324[[#This Row],[spawner_sku]])-FIND("/",Table18202324[[#This Row],[spawner_sku]])),Table28[Entity Prefab],0)),26,1,1,"Entities"))</f>
        <v>yes</v>
      </c>
      <c r="GC216">
        <v>1</v>
      </c>
      <c r="GD216">
        <v>1</v>
      </c>
      <c r="GE216" t="b">
        <v>0</v>
      </c>
    </row>
    <row r="217" spans="2:187" x14ac:dyDescent="0.25">
      <c r="B217" s="72" t="s">
        <v>218</v>
      </c>
      <c r="C217">
        <v>1</v>
      </c>
      <c r="D217">
        <v>5000</v>
      </c>
      <c r="E217">
        <v>45</v>
      </c>
      <c r="F217" s="74">
        <f ca="1">INDIRECT(ADDRESS(11+(MATCH(RIGHT(Table245[[#This Row],[spawner_sku]],LEN(Table245[[#This Row],[spawner_sku]])-FIND("/",Table245[[#This Row],[spawner_sku]])),Table1[Entity Prefab],0)),10,1,1,"Entities"))</f>
        <v>75</v>
      </c>
      <c r="G217" s="74">
        <f ca="1">ROUND((Table245[[#This Row],[XP]]*Table245[[#This Row],[entity_spawned (AVG)]])*(Table245[[#This Row],[activating_chance]]/100),0)</f>
        <v>34</v>
      </c>
      <c r="H217" s="71" t="str">
        <f ca="1">INDIRECT(ADDRESS(11+(MATCH(RIGHT(Table245[[#This Row],[spawner_sku]],LEN(Table245[[#This Row],[spawner_sku]])-FIND("/",Table245[[#This Row],[spawner_sku]])),Table28[Entity Prefab],0)),24,1,1,"Entities"))</f>
        <v>no</v>
      </c>
      <c r="I217" s="71">
        <v>1</v>
      </c>
      <c r="J217" s="71">
        <v>1</v>
      </c>
      <c r="K217" s="71" t="b">
        <v>0</v>
      </c>
      <c r="M217" t="s">
        <v>366</v>
      </c>
      <c r="N217">
        <v>3</v>
      </c>
      <c r="O217">
        <v>100</v>
      </c>
      <c r="P217">
        <v>100</v>
      </c>
      <c r="Q217" s="74">
        <f ca="1">INDIRECT(ADDRESS(11+(MATCH(RIGHT(Table3[[#This Row],[spawner_sku]],LEN(Table3[[#This Row],[spawner_sku]])-FIND("/",Table3[[#This Row],[spawner_sku]])),Table1[Entity Prefab],0)),10,1,1,"Entities"))</f>
        <v>25</v>
      </c>
      <c r="R217" s="74">
        <f ca="1">ROUND((Table3[[#This Row],[XP]]*Table3[[#This Row],[entity_spawned (AVG)]])*(Table3[[#This Row],[activating_chance]]/100),0)</f>
        <v>75</v>
      </c>
      <c r="S217" t="str">
        <f ca="1">INDIRECT(ADDRESS(11+(MATCH(RIGHT(Table3[[#This Row],[spawner_sku]],LEN(Table3[[#This Row],[spawner_sku]])-FIND("/",Table3[[#This Row],[spawner_sku]])),Table28[Entity Prefab],0)),24,1,1,"Entities"))</f>
        <v>no</v>
      </c>
      <c r="T217">
        <v>3</v>
      </c>
      <c r="U217">
        <v>3</v>
      </c>
      <c r="V217" t="b">
        <v>0</v>
      </c>
      <c r="AI217" t="s">
        <v>370</v>
      </c>
      <c r="AJ217">
        <v>1</v>
      </c>
      <c r="AK217">
        <v>450</v>
      </c>
      <c r="AL217">
        <v>100</v>
      </c>
      <c r="AM217" s="74">
        <f ca="1">INDIRECT(ADDRESS(11+(MATCH(RIGHT(Table2[[#This Row],[spawner_sku]],LEN(Table2[[#This Row],[spawner_sku]])-FIND("/",Table2[[#This Row],[spawner_sku]])),Table1[Entity Prefab],0)),10,1,1,"Entities"))</f>
        <v>0</v>
      </c>
      <c r="AN217" s="74">
        <f ca="1">ROUND((Table2[[#This Row],[XP]]*Table2[[#This Row],[entity_spawned (AVG)]])*(Table2[[#This Row],[activating_chance]]/100),0)</f>
        <v>0</v>
      </c>
      <c r="AO217" s="71" t="str">
        <f ca="1">INDIRECT(ADDRESS(11+(MATCH(RIGHT(Table2[[#This Row],[spawner_sku]],LEN(Table2[[#This Row],[spawner_sku]])-FIND("/",Table2[[#This Row],[spawner_sku]])),Table28[Entity Prefab],0)),24,1,1,"Entities"))</f>
        <v>no</v>
      </c>
      <c r="AP217" s="71">
        <v>1</v>
      </c>
      <c r="AQ217" s="71">
        <v>1</v>
      </c>
      <c r="AR217" s="71" t="b">
        <v>0</v>
      </c>
      <c r="BE217" t="s">
        <v>242</v>
      </c>
      <c r="BF217">
        <v>1</v>
      </c>
      <c r="BG217">
        <v>200</v>
      </c>
      <c r="BH217">
        <v>100</v>
      </c>
      <c r="BI217" s="74">
        <f ca="1">INDIRECT(ADDRESS(11+(MATCH(RIGHT(Table610[[#This Row],[spawner_sku]],LEN(Table610[[#This Row],[spawner_sku]])-FIND("/",Table610[[#This Row],[spawner_sku]])),Table1[Entity Prefab],0)),10,1,1,"Entities"))</f>
        <v>25</v>
      </c>
      <c r="BJ217" s="74">
        <f ca="1">ROUND((Table610[[#This Row],[XP]]*Table610[[#This Row],[entity_spawned (AVG)]])*(Table610[[#This Row],[activating_chance]]/100),0)</f>
        <v>25</v>
      </c>
      <c r="BK217" s="71" t="str">
        <f ca="1">INDIRECT(ADDRESS(11+(MATCH(RIGHT(Table610[[#This Row],[spawner_sku]],LEN(Table610[[#This Row],[spawner_sku]])-FIND("/",Table610[[#This Row],[spawner_sku]])),Table28[Entity Prefab],0)),24,1,1,"Entities"))</f>
        <v>no</v>
      </c>
      <c r="BL217">
        <v>1</v>
      </c>
      <c r="BM217">
        <v>1</v>
      </c>
      <c r="BN217" t="b">
        <v>0</v>
      </c>
      <c r="BP217" t="s">
        <v>570</v>
      </c>
      <c r="BQ217">
        <v>1</v>
      </c>
      <c r="BR217">
        <v>120</v>
      </c>
      <c r="BS217">
        <v>100</v>
      </c>
      <c r="BT217" s="74">
        <f ca="1">INDIRECT(ADDRESS(11+(MATCH(RIGHT(Table61011[[#This Row],[spawner_sku]],LEN(Table61011[[#This Row],[spawner_sku]])-FIND("/",Table61011[[#This Row],[spawner_sku]])),Table1[Entity Prefab],0)),10,1,1,"Entities"))</f>
        <v>50</v>
      </c>
      <c r="BU217" s="74">
        <f ca="1">ROUND((Table61011[[#This Row],[XP]]*Table61011[[#This Row],[entity_spawned (AVG)]])*(Table61011[[#This Row],[activating_chance]]/100),0)</f>
        <v>50</v>
      </c>
      <c r="BV217" s="71" t="str">
        <f ca="1">INDIRECT(ADDRESS(11+(MATCH(RIGHT(Table61011[[#This Row],[spawner_sku]],LEN(Table61011[[#This Row],[spawner_sku]])-FIND("/",Table61011[[#This Row],[spawner_sku]])),Table28[Entity Prefab],0)),24,1,1,"Entities"))</f>
        <v>no</v>
      </c>
      <c r="BW217" s="71">
        <v>1</v>
      </c>
      <c r="BX217" s="71">
        <v>1</v>
      </c>
      <c r="BY217" s="71" t="b">
        <v>0</v>
      </c>
      <c r="BZ217" s="71"/>
      <c r="CA217" s="147" t="s">
        <v>3818</v>
      </c>
      <c r="CB217">
        <v>1</v>
      </c>
      <c r="CC217">
        <v>240</v>
      </c>
      <c r="CD217">
        <v>100</v>
      </c>
      <c r="CE217" s="74">
        <f ca="1">INDIRECT(ADDRESS(11+(MATCH(RIGHT(Table35[[#This Row],[spawner_sku]],LEN(Table35[[#This Row],[spawner_sku]])-FIND("/",Table35[[#This Row],[spawner_sku]])),Table1[Entity Prefab],0)),10,1,1,"Entities"))</f>
        <v>10</v>
      </c>
      <c r="CF217" s="74">
        <f ca="1">ROUND((Table35[[#This Row],[XP]]*Table35[[#This Row],[entity_spawned (AVG)]])*(Table35[[#This Row],[activating_chance]]/100),0)</f>
        <v>10</v>
      </c>
      <c r="CG217" s="144" t="str">
        <f ca="1">INDIRECT(ADDRESS(11+(MATCH(RIGHT(Table35[[#This Row],[spawner_sku]],LEN(Table35[[#This Row],[spawner_sku]])-FIND("/",Table35[[#This Row],[spawner_sku]])),Table28[Entity Prefab],0)),24,1,1,"Entities"))</f>
        <v>no</v>
      </c>
      <c r="CH217">
        <v>1</v>
      </c>
      <c r="CI217">
        <v>1</v>
      </c>
      <c r="CJ217" s="71" t="b">
        <v>0</v>
      </c>
      <c r="CL217" t="s">
        <v>229</v>
      </c>
      <c r="CM217">
        <v>1</v>
      </c>
      <c r="CN217">
        <v>1500</v>
      </c>
      <c r="CO217">
        <v>100</v>
      </c>
      <c r="CP217" s="74">
        <f ca="1">INDIRECT(ADDRESS(11+(MATCH(RIGHT(Table11[[#This Row],[spawner_sku]],LEN(Table11[[#This Row],[spawner_sku]])-FIND("/",Table11[[#This Row],[spawner_sku]])),Table1[Entity Prefab],0)),10,1,1,"Entities"))</f>
        <v>130</v>
      </c>
      <c r="CQ217">
        <f ca="1">ROUND((Table11[[#This Row],[XP]]*Table11[[#This Row],[entity_spawned (AVG)]])*(Table11[[#This Row],[activating_chance]]/100),0)</f>
        <v>130</v>
      </c>
      <c r="CR217" s="144" t="str">
        <f ca="1">INDIRECT(ADDRESS(11+(MATCH(RIGHT(Table11[[#This Row],[spawner_sku]],LEN(Table11[[#This Row],[spawner_sku]])-FIND("/",Table11[[#This Row],[spawner_sku]])),Table28[Entity Prefab],0)),25,1,1,"Entities"))</f>
        <v>yes</v>
      </c>
      <c r="CS217" s="71">
        <v>1</v>
      </c>
      <c r="CT217" s="71">
        <v>1</v>
      </c>
      <c r="CU217" s="71" t="b">
        <v>0</v>
      </c>
      <c r="CW217" t="s">
        <v>366</v>
      </c>
      <c r="CX217">
        <v>3</v>
      </c>
      <c r="CY217">
        <v>100</v>
      </c>
      <c r="CZ217">
        <v>80</v>
      </c>
      <c r="DA217" s="74">
        <f ca="1">INDIRECT(ADDRESS(11+(MATCH(RIGHT(Table12[[#This Row],[spawner_sku]],LEN(Table12[[#This Row],[spawner_sku]])-FIND("/",Table12[[#This Row],[spawner_sku]])),Table1[Entity Prefab],0)),10,1,1,"Entities"))</f>
        <v>25</v>
      </c>
      <c r="DB217" s="74">
        <f ca="1">ROUND((Table12[[#This Row],[XP]]*Table12[[#This Row],[entity_spawned (AVG)]])*(Table12[[#This Row],[activating_chance]]/100),0)</f>
        <v>60</v>
      </c>
      <c r="DC217" s="144" t="str">
        <f ca="1">INDIRECT(ADDRESS(11+(MATCH(RIGHT(Table12[[#This Row],[spawner_sku]],LEN(Table12[[#This Row],[spawner_sku]])-FIND("/",Table12[[#This Row],[spawner_sku]])),Table28[Entity Prefab],0)),25,1,1,"Entities"))</f>
        <v>no</v>
      </c>
      <c r="DD217" s="71">
        <v>2</v>
      </c>
      <c r="DE217" s="71">
        <v>4</v>
      </c>
      <c r="DF217" s="71" t="b">
        <v>0</v>
      </c>
      <c r="DH217" t="s">
        <v>242</v>
      </c>
      <c r="DI217">
        <v>1</v>
      </c>
      <c r="DJ217">
        <v>150</v>
      </c>
      <c r="DK217">
        <v>80</v>
      </c>
      <c r="DL217" s="74">
        <f ca="1">INDIRECT(ADDRESS(11+(MATCH(RIGHT(Table13[[#This Row],[spawner_sku]],LEN(Table13[[#This Row],[spawner_sku]])-FIND("/",Table13[[#This Row],[spawner_sku]])),Table1[Entity Prefab],0)),10,1,1,"Entities"))</f>
        <v>25</v>
      </c>
      <c r="DM217" s="74">
        <f ca="1">ROUND((Table13[[#This Row],[XP]]*Table13[[#This Row],[entity_spawned (AVG)]])*(Table13[[#This Row],[activating_chance]]/100),0)</f>
        <v>20</v>
      </c>
      <c r="DN217" s="144" t="str">
        <f ca="1">INDIRECT(ADDRESS(11+(MATCH(RIGHT(Table13[[#This Row],[spawner_sku]],LEN(Table13[[#This Row],[spawner_sku]])-FIND("/",Table13[[#This Row],[spawner_sku]])),Table28[Entity Prefab],0)),25,1,1,"Entities"))</f>
        <v>no</v>
      </c>
      <c r="DO217" s="71">
        <v>1</v>
      </c>
      <c r="DP217" s="71">
        <v>1</v>
      </c>
      <c r="DQ217" s="71" t="b">
        <v>0</v>
      </c>
      <c r="DS217" t="s">
        <v>8112</v>
      </c>
      <c r="DT217">
        <v>1</v>
      </c>
      <c r="DU217">
        <v>300</v>
      </c>
      <c r="DV217">
        <v>100</v>
      </c>
      <c r="DW217" s="74">
        <f ca="1">INDIRECT(ADDRESS(11+(MATCH(RIGHT(Table14[[#This Row],[spawner_sku]],LEN(Table14[[#This Row],[spawner_sku]])-FIND("/",Table14[[#This Row],[spawner_sku]])),Table1[Entity Prefab],0)),10,1,1,"Entities"))</f>
        <v>150</v>
      </c>
      <c r="DX217" s="74">
        <f ca="1">ROUND((Table14[[#This Row],[XP]]*Table14[[#This Row],[entity_spawned (AVG)]])*(Table14[[#This Row],[activating_chance]]/100),0)</f>
        <v>150</v>
      </c>
      <c r="DY217" s="144" t="str">
        <f ca="1">INDIRECT(ADDRESS(11+(MATCH(RIGHT(Table14[[#This Row],[spawner_sku]],LEN(Table14[[#This Row],[spawner_sku]])-FIND("/",Table14[[#This Row],[spawner_sku]])),Table28[Entity Prefab],0)),25,1,1,"Entities"))</f>
        <v>yes</v>
      </c>
      <c r="DZ217" s="71">
        <v>1</v>
      </c>
      <c r="EA217" s="71">
        <v>1</v>
      </c>
      <c r="EB217" s="71" t="b">
        <v>0</v>
      </c>
      <c r="EC217" s="71"/>
      <c r="EO217" t="s">
        <v>233</v>
      </c>
      <c r="EP217">
        <v>1</v>
      </c>
      <c r="EQ217">
        <v>500</v>
      </c>
      <c r="ER217">
        <v>75</v>
      </c>
      <c r="ES217" s="74">
        <f ca="1">INDIRECT(ADDRESS(11+(MATCH(RIGHT(Table18[[#This Row],[spawner_sku]],LEN(Table18[[#This Row],[spawner_sku]])-FIND("/",Table18[[#This Row],[spawner_sku]])),Table1[Entity Prefab],0)),10,1,1,"Entities"))</f>
        <v>25</v>
      </c>
      <c r="ET217" s="74">
        <f ca="1">ROUND((Table18[[#This Row],[XP]]*Table18[[#This Row],[entity_spawned (AVG)]])*(Table18[[#This Row],[activating_chance]]/100),0)</f>
        <v>19</v>
      </c>
      <c r="EU217" s="74" t="str">
        <f ca="1">INDIRECT(ADDRESS(11+(MATCH(RIGHT(Table18[[#This Row],[spawner_sku]],LEN(Table18[[#This Row],[spawner_sku]])-FIND("/",Table18[[#This Row],[spawner_sku]])),Table28[Entity Prefab],0)),26,1,1,"Entities"))</f>
        <v>no</v>
      </c>
      <c r="EV217">
        <v>1</v>
      </c>
      <c r="EW217">
        <v>1</v>
      </c>
      <c r="EX217" t="b">
        <v>0</v>
      </c>
      <c r="EZ217" t="s">
        <v>584</v>
      </c>
      <c r="FA217">
        <v>1</v>
      </c>
      <c r="FB217">
        <v>120</v>
      </c>
      <c r="FC217">
        <v>100</v>
      </c>
      <c r="FD217" s="74">
        <f ca="1">INDIRECT(ADDRESS(11+(MATCH(RIGHT(Table1820[[#This Row],[spawner_sku]],LEN(Table1820[[#This Row],[spawner_sku]])-FIND("/",Table1820[[#This Row],[spawner_sku]])),Table1[Entity Prefab],0)),10,1,1,"Entities"))</f>
        <v>48</v>
      </c>
      <c r="FE217" s="74">
        <f ca="1">ROUND((Table1820[[#This Row],[XP]]*Table1820[[#This Row],[entity_spawned (AVG)]])*(Table1820[[#This Row],[activating_chance]]/100),0)</f>
        <v>48</v>
      </c>
      <c r="FF217" s="74" t="str">
        <f ca="1">INDIRECT(ADDRESS(11+(MATCH(RIGHT(Table1820[[#This Row],[spawner_sku]],LEN(Table1820[[#This Row],[spawner_sku]])-FIND("/",Table1820[[#This Row],[spawner_sku]])),Table28[Entity Prefab],0)),26,1,1,"Entities"))</f>
        <v>no</v>
      </c>
      <c r="FG217">
        <v>1</v>
      </c>
      <c r="FH217">
        <v>1</v>
      </c>
      <c r="FI217" t="b">
        <v>0</v>
      </c>
      <c r="FV217" t="s">
        <v>8011</v>
      </c>
      <c r="FW217">
        <v>1</v>
      </c>
      <c r="FX217">
        <v>140</v>
      </c>
      <c r="FY217">
        <v>100</v>
      </c>
      <c r="FZ217" s="74">
        <v>195</v>
      </c>
      <c r="GA217" s="74">
        <f>ROUND((Table18202324[[#This Row],[XP]]*Table18202324[[#This Row],[entity_spawned (AVG)]])*(Table18202324[[#This Row],[activating_chance]]/100),0)</f>
        <v>195</v>
      </c>
      <c r="GB217" s="74" t="str">
        <f ca="1">INDIRECT(ADDRESS(11+(MATCH(RIGHT(Table18202324[[#This Row],[spawner_sku]],LEN(Table18202324[[#This Row],[spawner_sku]])-FIND("/",Table18202324[[#This Row],[spawner_sku]])),Table28[Entity Prefab],0)),26,1,1,"Entities"))</f>
        <v>yes</v>
      </c>
      <c r="GC217">
        <v>1</v>
      </c>
      <c r="GD217">
        <v>1</v>
      </c>
      <c r="GE217" t="b">
        <v>0</v>
      </c>
    </row>
    <row r="218" spans="2:187" x14ac:dyDescent="0.25">
      <c r="B218" s="72" t="s">
        <v>218</v>
      </c>
      <c r="C218">
        <v>1</v>
      </c>
      <c r="D218">
        <v>5000</v>
      </c>
      <c r="E218">
        <v>75</v>
      </c>
      <c r="F218" s="74">
        <f ca="1">INDIRECT(ADDRESS(11+(MATCH(RIGHT(Table245[[#This Row],[spawner_sku]],LEN(Table245[[#This Row],[spawner_sku]])-FIND("/",Table245[[#This Row],[spawner_sku]])),Table1[Entity Prefab],0)),10,1,1,"Entities"))</f>
        <v>75</v>
      </c>
      <c r="G218" s="74">
        <f ca="1">ROUND((Table245[[#This Row],[XP]]*Table245[[#This Row],[entity_spawned (AVG)]])*(Table245[[#This Row],[activating_chance]]/100),0)</f>
        <v>56</v>
      </c>
      <c r="H218" s="71" t="str">
        <f ca="1">INDIRECT(ADDRESS(11+(MATCH(RIGHT(Table245[[#This Row],[spawner_sku]],LEN(Table245[[#This Row],[spawner_sku]])-FIND("/",Table245[[#This Row],[spawner_sku]])),Table28[Entity Prefab],0)),24,1,1,"Entities"))</f>
        <v>no</v>
      </c>
      <c r="I218" s="71">
        <v>1</v>
      </c>
      <c r="J218" s="71">
        <v>1</v>
      </c>
      <c r="K218" s="71" t="b">
        <v>0</v>
      </c>
      <c r="M218" t="s">
        <v>366</v>
      </c>
      <c r="N218">
        <v>3</v>
      </c>
      <c r="O218">
        <v>100</v>
      </c>
      <c r="P218">
        <v>100</v>
      </c>
      <c r="Q218" s="74">
        <f ca="1">INDIRECT(ADDRESS(11+(MATCH(RIGHT(Table3[[#This Row],[spawner_sku]],LEN(Table3[[#This Row],[spawner_sku]])-FIND("/",Table3[[#This Row],[spawner_sku]])),Table1[Entity Prefab],0)),10,1,1,"Entities"))</f>
        <v>25</v>
      </c>
      <c r="R218" s="74">
        <f ca="1">ROUND((Table3[[#This Row],[XP]]*Table3[[#This Row],[entity_spawned (AVG)]])*(Table3[[#This Row],[activating_chance]]/100),0)</f>
        <v>75</v>
      </c>
      <c r="S218" t="str">
        <f ca="1">INDIRECT(ADDRESS(11+(MATCH(RIGHT(Table3[[#This Row],[spawner_sku]],LEN(Table3[[#This Row],[spawner_sku]])-FIND("/",Table3[[#This Row],[spawner_sku]])),Table28[Entity Prefab],0)),24,1,1,"Entities"))</f>
        <v>no</v>
      </c>
      <c r="T218">
        <v>3</v>
      </c>
      <c r="U218">
        <v>3</v>
      </c>
      <c r="V218" t="b">
        <v>0</v>
      </c>
      <c r="AI218" t="s">
        <v>445</v>
      </c>
      <c r="AJ218">
        <v>1</v>
      </c>
      <c r="AK218">
        <v>220</v>
      </c>
      <c r="AL218">
        <v>100</v>
      </c>
      <c r="AM218" s="74">
        <f ca="1">INDIRECT(ADDRESS(11+(MATCH(RIGHT(Table2[[#This Row],[spawner_sku]],LEN(Table2[[#This Row],[spawner_sku]])-FIND("/",Table2[[#This Row],[spawner_sku]])),Table1[Entity Prefab],0)),10,1,1,"Entities"))</f>
        <v>50</v>
      </c>
      <c r="AN218" s="74">
        <f ca="1">ROUND((Table2[[#This Row],[XP]]*Table2[[#This Row],[entity_spawned (AVG)]])*(Table2[[#This Row],[activating_chance]]/100),0)</f>
        <v>50</v>
      </c>
      <c r="AO218" s="71" t="str">
        <f ca="1">INDIRECT(ADDRESS(11+(MATCH(RIGHT(Table2[[#This Row],[spawner_sku]],LEN(Table2[[#This Row],[spawner_sku]])-FIND("/",Table2[[#This Row],[spawner_sku]])),Table28[Entity Prefab],0)),24,1,1,"Entities"))</f>
        <v>yes</v>
      </c>
      <c r="AP218" s="71">
        <v>1</v>
      </c>
      <c r="AQ218" s="71">
        <v>1</v>
      </c>
      <c r="AR218" s="71" t="b">
        <v>0</v>
      </c>
      <c r="BE218" t="s">
        <v>242</v>
      </c>
      <c r="BF218">
        <v>1</v>
      </c>
      <c r="BG218">
        <v>170</v>
      </c>
      <c r="BH218">
        <v>40</v>
      </c>
      <c r="BI218" s="74">
        <f ca="1">INDIRECT(ADDRESS(11+(MATCH(RIGHT(Table610[[#This Row],[spawner_sku]],LEN(Table610[[#This Row],[spawner_sku]])-FIND("/",Table610[[#This Row],[spawner_sku]])),Table1[Entity Prefab],0)),10,1,1,"Entities"))</f>
        <v>25</v>
      </c>
      <c r="BJ218" s="74">
        <f ca="1">ROUND((Table610[[#This Row],[XP]]*Table610[[#This Row],[entity_spawned (AVG)]])*(Table610[[#This Row],[activating_chance]]/100),0)</f>
        <v>10</v>
      </c>
      <c r="BK218" s="71" t="str">
        <f ca="1">INDIRECT(ADDRESS(11+(MATCH(RIGHT(Table610[[#This Row],[spawner_sku]],LEN(Table610[[#This Row],[spawner_sku]])-FIND("/",Table610[[#This Row],[spawner_sku]])),Table28[Entity Prefab],0)),24,1,1,"Entities"))</f>
        <v>no</v>
      </c>
      <c r="BL218">
        <v>1</v>
      </c>
      <c r="BM218">
        <v>1</v>
      </c>
      <c r="BN218" t="b">
        <v>0</v>
      </c>
      <c r="BP218" t="s">
        <v>570</v>
      </c>
      <c r="BQ218">
        <v>1</v>
      </c>
      <c r="BR218">
        <v>120</v>
      </c>
      <c r="BS218">
        <v>100</v>
      </c>
      <c r="BT218" s="74">
        <f ca="1">INDIRECT(ADDRESS(11+(MATCH(RIGHT(Table61011[[#This Row],[spawner_sku]],LEN(Table61011[[#This Row],[spawner_sku]])-FIND("/",Table61011[[#This Row],[spawner_sku]])),Table1[Entity Prefab],0)),10,1,1,"Entities"))</f>
        <v>50</v>
      </c>
      <c r="BU218" s="74">
        <f ca="1">ROUND((Table61011[[#This Row],[XP]]*Table61011[[#This Row],[entity_spawned (AVG)]])*(Table61011[[#This Row],[activating_chance]]/100),0)</f>
        <v>50</v>
      </c>
      <c r="BV218" s="71" t="str">
        <f ca="1">INDIRECT(ADDRESS(11+(MATCH(RIGHT(Table61011[[#This Row],[spawner_sku]],LEN(Table61011[[#This Row],[spawner_sku]])-FIND("/",Table61011[[#This Row],[spawner_sku]])),Table28[Entity Prefab],0)),24,1,1,"Entities"))</f>
        <v>no</v>
      </c>
      <c r="BW218" s="71">
        <v>1</v>
      </c>
      <c r="BX218" s="71">
        <v>1</v>
      </c>
      <c r="BY218" s="71" t="b">
        <v>0</v>
      </c>
      <c r="BZ218" s="71"/>
      <c r="CA218" s="147" t="s">
        <v>3818</v>
      </c>
      <c r="CB218">
        <v>1</v>
      </c>
      <c r="CC218">
        <v>240</v>
      </c>
      <c r="CD218">
        <v>100</v>
      </c>
      <c r="CE218" s="74">
        <f ca="1">INDIRECT(ADDRESS(11+(MATCH(RIGHT(Table35[[#This Row],[spawner_sku]],LEN(Table35[[#This Row],[spawner_sku]])-FIND("/",Table35[[#This Row],[spawner_sku]])),Table1[Entity Prefab],0)),10,1,1,"Entities"))</f>
        <v>10</v>
      </c>
      <c r="CF218" s="74">
        <f ca="1">ROUND((Table35[[#This Row],[XP]]*Table35[[#This Row],[entity_spawned (AVG)]])*(Table35[[#This Row],[activating_chance]]/100),0)</f>
        <v>10</v>
      </c>
      <c r="CG218" s="144" t="str">
        <f ca="1">INDIRECT(ADDRESS(11+(MATCH(RIGHT(Table35[[#This Row],[spawner_sku]],LEN(Table35[[#This Row],[spawner_sku]])-FIND("/",Table35[[#This Row],[spawner_sku]])),Table28[Entity Prefab],0)),24,1,1,"Entities"))</f>
        <v>no</v>
      </c>
      <c r="CH218">
        <v>1</v>
      </c>
      <c r="CI218">
        <v>1</v>
      </c>
      <c r="CJ218" s="71" t="b">
        <v>0</v>
      </c>
      <c r="CL218" t="s">
        <v>229</v>
      </c>
      <c r="CM218">
        <v>1</v>
      </c>
      <c r="CN218">
        <v>1500</v>
      </c>
      <c r="CO218">
        <v>100</v>
      </c>
      <c r="CP218" s="74">
        <f ca="1">INDIRECT(ADDRESS(11+(MATCH(RIGHT(Table11[[#This Row],[spawner_sku]],LEN(Table11[[#This Row],[spawner_sku]])-FIND("/",Table11[[#This Row],[spawner_sku]])),Table1[Entity Prefab],0)),10,1,1,"Entities"))</f>
        <v>130</v>
      </c>
      <c r="CQ218">
        <f ca="1">ROUND((Table11[[#This Row],[XP]]*Table11[[#This Row],[entity_spawned (AVG)]])*(Table11[[#This Row],[activating_chance]]/100),0)</f>
        <v>130</v>
      </c>
      <c r="CR218" s="144" t="str">
        <f ca="1">INDIRECT(ADDRESS(11+(MATCH(RIGHT(Table11[[#This Row],[spawner_sku]],LEN(Table11[[#This Row],[spawner_sku]])-FIND("/",Table11[[#This Row],[spawner_sku]])),Table28[Entity Prefab],0)),25,1,1,"Entities"))</f>
        <v>yes</v>
      </c>
      <c r="CS218" s="71">
        <v>1</v>
      </c>
      <c r="CT218" s="71">
        <v>1</v>
      </c>
      <c r="CU218" s="71" t="b">
        <v>0</v>
      </c>
      <c r="CW218" t="s">
        <v>366</v>
      </c>
      <c r="CX218">
        <v>2.5</v>
      </c>
      <c r="CY218">
        <v>100</v>
      </c>
      <c r="CZ218">
        <v>100</v>
      </c>
      <c r="DA218" s="74">
        <f ca="1">INDIRECT(ADDRESS(11+(MATCH(RIGHT(Table12[[#This Row],[spawner_sku]],LEN(Table12[[#This Row],[spawner_sku]])-FIND("/",Table12[[#This Row],[spawner_sku]])),Table1[Entity Prefab],0)),10,1,1,"Entities"))</f>
        <v>25</v>
      </c>
      <c r="DB218" s="74">
        <f ca="1">ROUND((Table12[[#This Row],[XP]]*Table12[[#This Row],[entity_spawned (AVG)]])*(Table12[[#This Row],[activating_chance]]/100),0)</f>
        <v>63</v>
      </c>
      <c r="DC218" s="144" t="str">
        <f ca="1">INDIRECT(ADDRESS(11+(MATCH(RIGHT(Table12[[#This Row],[spawner_sku]],LEN(Table12[[#This Row],[spawner_sku]])-FIND("/",Table12[[#This Row],[spawner_sku]])),Table28[Entity Prefab],0)),25,1,1,"Entities"))</f>
        <v>no</v>
      </c>
      <c r="DD218" s="71">
        <v>2</v>
      </c>
      <c r="DE218" s="71">
        <v>3</v>
      </c>
      <c r="DF218" s="71" t="b">
        <v>0</v>
      </c>
      <c r="DH218" t="s">
        <v>242</v>
      </c>
      <c r="DI218">
        <v>1.5</v>
      </c>
      <c r="DJ218">
        <v>150</v>
      </c>
      <c r="DK218">
        <v>100</v>
      </c>
      <c r="DL218" s="74">
        <f ca="1">INDIRECT(ADDRESS(11+(MATCH(RIGHT(Table13[[#This Row],[spawner_sku]],LEN(Table13[[#This Row],[spawner_sku]])-FIND("/",Table13[[#This Row],[spawner_sku]])),Table1[Entity Prefab],0)),10,1,1,"Entities"))</f>
        <v>25</v>
      </c>
      <c r="DM218" s="74">
        <f ca="1">ROUND((Table13[[#This Row],[XP]]*Table13[[#This Row],[entity_spawned (AVG)]])*(Table13[[#This Row],[activating_chance]]/100),0)</f>
        <v>38</v>
      </c>
      <c r="DN218" s="144" t="str">
        <f ca="1">INDIRECT(ADDRESS(11+(MATCH(RIGHT(Table13[[#This Row],[spawner_sku]],LEN(Table13[[#This Row],[spawner_sku]])-FIND("/",Table13[[#This Row],[spawner_sku]])),Table28[Entity Prefab],0)),25,1,1,"Entities"))</f>
        <v>no</v>
      </c>
      <c r="DO218" s="71">
        <v>1</v>
      </c>
      <c r="DP218" s="71">
        <v>2</v>
      </c>
      <c r="DQ218" s="71" t="b">
        <v>0</v>
      </c>
      <c r="DS218" t="s">
        <v>369</v>
      </c>
      <c r="DT218">
        <v>1</v>
      </c>
      <c r="DU218">
        <v>180</v>
      </c>
      <c r="DV218">
        <v>100</v>
      </c>
      <c r="DW218" s="74">
        <f ca="1">INDIRECT(ADDRESS(11+(MATCH(RIGHT(Table14[[#This Row],[spawner_sku]],LEN(Table14[[#This Row],[spawner_sku]])-FIND("/",Table14[[#This Row],[spawner_sku]])),Table1[Entity Prefab],0)),10,1,1,"Entities"))</f>
        <v>75</v>
      </c>
      <c r="DX218" s="74">
        <f ca="1">ROUND((Table14[[#This Row],[XP]]*Table14[[#This Row],[entity_spawned (AVG)]])*(Table14[[#This Row],[activating_chance]]/100),0)</f>
        <v>75</v>
      </c>
      <c r="DY218" s="144" t="str">
        <f ca="1">INDIRECT(ADDRESS(11+(MATCH(RIGHT(Table14[[#This Row],[spawner_sku]],LEN(Table14[[#This Row],[spawner_sku]])-FIND("/",Table14[[#This Row],[spawner_sku]])),Table28[Entity Prefab],0)),25,1,1,"Entities"))</f>
        <v>yes</v>
      </c>
      <c r="DZ218" s="71">
        <v>1</v>
      </c>
      <c r="EA218" s="71">
        <v>1</v>
      </c>
      <c r="EB218" s="71" t="b">
        <v>0</v>
      </c>
      <c r="EC218" s="71"/>
      <c r="EO218" t="s">
        <v>233</v>
      </c>
      <c r="EP218">
        <v>3</v>
      </c>
      <c r="EQ218">
        <v>500</v>
      </c>
      <c r="ER218">
        <v>100</v>
      </c>
      <c r="ES218" s="74">
        <f ca="1">INDIRECT(ADDRESS(11+(MATCH(RIGHT(Table18[[#This Row],[spawner_sku]],LEN(Table18[[#This Row],[spawner_sku]])-FIND("/",Table18[[#This Row],[spawner_sku]])),Table1[Entity Prefab],0)),10,1,1,"Entities"))</f>
        <v>25</v>
      </c>
      <c r="ET218" s="74">
        <f ca="1">ROUND((Table18[[#This Row],[XP]]*Table18[[#This Row],[entity_spawned (AVG)]])*(Table18[[#This Row],[activating_chance]]/100),0)</f>
        <v>75</v>
      </c>
      <c r="EU218" s="74" t="str">
        <f ca="1">INDIRECT(ADDRESS(11+(MATCH(RIGHT(Table18[[#This Row],[spawner_sku]],LEN(Table18[[#This Row],[spawner_sku]])-FIND("/",Table18[[#This Row],[spawner_sku]])),Table28[Entity Prefab],0)),26,1,1,"Entities"))</f>
        <v>no</v>
      </c>
      <c r="EV218">
        <v>3</v>
      </c>
      <c r="EW218">
        <v>3</v>
      </c>
      <c r="EX218" t="b">
        <v>0</v>
      </c>
      <c r="EZ218" t="s">
        <v>584</v>
      </c>
      <c r="FA218">
        <v>1</v>
      </c>
      <c r="FB218">
        <v>120</v>
      </c>
      <c r="FC218">
        <v>100</v>
      </c>
      <c r="FD218" s="74">
        <f ca="1">INDIRECT(ADDRESS(11+(MATCH(RIGHT(Table1820[[#This Row],[spawner_sku]],LEN(Table1820[[#This Row],[spawner_sku]])-FIND("/",Table1820[[#This Row],[spawner_sku]])),Table1[Entity Prefab],0)),10,1,1,"Entities"))</f>
        <v>48</v>
      </c>
      <c r="FE218" s="74">
        <f ca="1">ROUND((Table1820[[#This Row],[XP]]*Table1820[[#This Row],[entity_spawned (AVG)]])*(Table1820[[#This Row],[activating_chance]]/100),0)</f>
        <v>48</v>
      </c>
      <c r="FF218" s="74" t="str">
        <f ca="1">INDIRECT(ADDRESS(11+(MATCH(RIGHT(Table1820[[#This Row],[spawner_sku]],LEN(Table1820[[#This Row],[spawner_sku]])-FIND("/",Table1820[[#This Row],[spawner_sku]])),Table28[Entity Prefab],0)),26,1,1,"Entities"))</f>
        <v>no</v>
      </c>
      <c r="FG218">
        <v>1</v>
      </c>
      <c r="FH218">
        <v>1</v>
      </c>
      <c r="FI218" t="b">
        <v>0</v>
      </c>
      <c r="FV218" t="s">
        <v>8011</v>
      </c>
      <c r="FW218">
        <v>1</v>
      </c>
      <c r="FX218">
        <v>140</v>
      </c>
      <c r="FY218">
        <v>100</v>
      </c>
      <c r="FZ218" s="74">
        <v>195</v>
      </c>
      <c r="GA218" s="74">
        <f>ROUND((Table18202324[[#This Row],[XP]]*Table18202324[[#This Row],[entity_spawned (AVG)]])*(Table18202324[[#This Row],[activating_chance]]/100),0)</f>
        <v>195</v>
      </c>
      <c r="GB218" s="74" t="str">
        <f ca="1">INDIRECT(ADDRESS(11+(MATCH(RIGHT(Table18202324[[#This Row],[spawner_sku]],LEN(Table18202324[[#This Row],[spawner_sku]])-FIND("/",Table18202324[[#This Row],[spawner_sku]])),Table28[Entity Prefab],0)),26,1,1,"Entities"))</f>
        <v>yes</v>
      </c>
      <c r="GC218">
        <v>1</v>
      </c>
      <c r="GD218">
        <v>1</v>
      </c>
      <c r="GE218" t="b">
        <v>0</v>
      </c>
    </row>
    <row r="219" spans="2:187" x14ac:dyDescent="0.25">
      <c r="B219" s="72" t="s">
        <v>218</v>
      </c>
      <c r="C219">
        <v>1</v>
      </c>
      <c r="D219">
        <v>5000</v>
      </c>
      <c r="E219">
        <v>30</v>
      </c>
      <c r="F219" s="74">
        <f ca="1">INDIRECT(ADDRESS(11+(MATCH(RIGHT(Table245[[#This Row],[spawner_sku]],LEN(Table245[[#This Row],[spawner_sku]])-FIND("/",Table245[[#This Row],[spawner_sku]])),Table1[Entity Prefab],0)),10,1,1,"Entities"))</f>
        <v>75</v>
      </c>
      <c r="G219" s="74">
        <f ca="1">ROUND((Table245[[#This Row],[XP]]*Table245[[#This Row],[entity_spawned (AVG)]])*(Table245[[#This Row],[activating_chance]]/100),0)</f>
        <v>23</v>
      </c>
      <c r="H219" s="71" t="str">
        <f ca="1">INDIRECT(ADDRESS(11+(MATCH(RIGHT(Table245[[#This Row],[spawner_sku]],LEN(Table245[[#This Row],[spawner_sku]])-FIND("/",Table245[[#This Row],[spawner_sku]])),Table28[Entity Prefab],0)),24,1,1,"Entities"))</f>
        <v>no</v>
      </c>
      <c r="I219" s="71">
        <v>1</v>
      </c>
      <c r="J219" s="71">
        <v>1</v>
      </c>
      <c r="K219" s="71" t="b">
        <v>0</v>
      </c>
      <c r="M219" t="s">
        <v>366</v>
      </c>
      <c r="N219">
        <v>3</v>
      </c>
      <c r="O219">
        <v>100</v>
      </c>
      <c r="P219">
        <v>100</v>
      </c>
      <c r="Q219" s="74">
        <f ca="1">INDIRECT(ADDRESS(11+(MATCH(RIGHT(Table3[[#This Row],[spawner_sku]],LEN(Table3[[#This Row],[spawner_sku]])-FIND("/",Table3[[#This Row],[spawner_sku]])),Table1[Entity Prefab],0)),10,1,1,"Entities"))</f>
        <v>25</v>
      </c>
      <c r="R219" s="74">
        <f ca="1">ROUND((Table3[[#This Row],[XP]]*Table3[[#This Row],[entity_spawned (AVG)]])*(Table3[[#This Row],[activating_chance]]/100),0)</f>
        <v>75</v>
      </c>
      <c r="S219" t="str">
        <f ca="1">INDIRECT(ADDRESS(11+(MATCH(RIGHT(Table3[[#This Row],[spawner_sku]],LEN(Table3[[#This Row],[spawner_sku]])-FIND("/",Table3[[#This Row],[spawner_sku]])),Table28[Entity Prefab],0)),24,1,1,"Entities"))</f>
        <v>no</v>
      </c>
      <c r="T219">
        <v>3</v>
      </c>
      <c r="U219">
        <v>3</v>
      </c>
      <c r="V219" t="b">
        <v>0</v>
      </c>
      <c r="AI219" t="s">
        <v>445</v>
      </c>
      <c r="AJ219">
        <v>1</v>
      </c>
      <c r="AK219">
        <v>220</v>
      </c>
      <c r="AL219">
        <v>100</v>
      </c>
      <c r="AM219" s="74">
        <f ca="1">INDIRECT(ADDRESS(11+(MATCH(RIGHT(Table2[[#This Row],[spawner_sku]],LEN(Table2[[#This Row],[spawner_sku]])-FIND("/",Table2[[#This Row],[spawner_sku]])),Table1[Entity Prefab],0)),10,1,1,"Entities"))</f>
        <v>50</v>
      </c>
      <c r="AN219" s="74">
        <f ca="1">ROUND((Table2[[#This Row],[XP]]*Table2[[#This Row],[entity_spawned (AVG)]])*(Table2[[#This Row],[activating_chance]]/100),0)</f>
        <v>50</v>
      </c>
      <c r="AO219" s="71" t="str">
        <f ca="1">INDIRECT(ADDRESS(11+(MATCH(RIGHT(Table2[[#This Row],[spawner_sku]],LEN(Table2[[#This Row],[spawner_sku]])-FIND("/",Table2[[#This Row],[spawner_sku]])),Table28[Entity Prefab],0)),24,1,1,"Entities"))</f>
        <v>yes</v>
      </c>
      <c r="AP219" s="71">
        <v>1</v>
      </c>
      <c r="AQ219" s="71">
        <v>1</v>
      </c>
      <c r="AR219" s="71" t="b">
        <v>0</v>
      </c>
      <c r="BE219" t="s">
        <v>242</v>
      </c>
      <c r="BF219">
        <v>1</v>
      </c>
      <c r="BG219">
        <v>170</v>
      </c>
      <c r="BH219">
        <v>40</v>
      </c>
      <c r="BI219" s="74">
        <f ca="1">INDIRECT(ADDRESS(11+(MATCH(RIGHT(Table610[[#This Row],[spawner_sku]],LEN(Table610[[#This Row],[spawner_sku]])-FIND("/",Table610[[#This Row],[spawner_sku]])),Table1[Entity Prefab],0)),10,1,1,"Entities"))</f>
        <v>25</v>
      </c>
      <c r="BJ219" s="74">
        <f ca="1">ROUND((Table610[[#This Row],[XP]]*Table610[[#This Row],[entity_spawned (AVG)]])*(Table610[[#This Row],[activating_chance]]/100),0)</f>
        <v>10</v>
      </c>
      <c r="BK219" s="71" t="str">
        <f ca="1">INDIRECT(ADDRESS(11+(MATCH(RIGHT(Table610[[#This Row],[spawner_sku]],LEN(Table610[[#This Row],[spawner_sku]])-FIND("/",Table610[[#This Row],[spawner_sku]])),Table28[Entity Prefab],0)),24,1,1,"Entities"))</f>
        <v>no</v>
      </c>
      <c r="BL219">
        <v>1</v>
      </c>
      <c r="BM219">
        <v>1</v>
      </c>
      <c r="BN219" t="b">
        <v>0</v>
      </c>
      <c r="BP219" t="s">
        <v>570</v>
      </c>
      <c r="BQ219">
        <v>1</v>
      </c>
      <c r="BR219">
        <v>110</v>
      </c>
      <c r="BS219">
        <v>100</v>
      </c>
      <c r="BT219" s="74">
        <f ca="1">INDIRECT(ADDRESS(11+(MATCH(RIGHT(Table61011[[#This Row],[spawner_sku]],LEN(Table61011[[#This Row],[spawner_sku]])-FIND("/",Table61011[[#This Row],[spawner_sku]])),Table1[Entity Prefab],0)),10,1,1,"Entities"))</f>
        <v>50</v>
      </c>
      <c r="BU219" s="74">
        <f ca="1">ROUND((Table61011[[#This Row],[XP]]*Table61011[[#This Row],[entity_spawned (AVG)]])*(Table61011[[#This Row],[activating_chance]]/100),0)</f>
        <v>50</v>
      </c>
      <c r="BV219" s="71" t="str">
        <f ca="1">INDIRECT(ADDRESS(11+(MATCH(RIGHT(Table61011[[#This Row],[spawner_sku]],LEN(Table61011[[#This Row],[spawner_sku]])-FIND("/",Table61011[[#This Row],[spawner_sku]])),Table28[Entity Prefab],0)),24,1,1,"Entities"))</f>
        <v>no</v>
      </c>
      <c r="BW219" s="71">
        <v>1</v>
      </c>
      <c r="BX219" s="71">
        <v>1</v>
      </c>
      <c r="BY219" s="71" t="b">
        <v>0</v>
      </c>
      <c r="BZ219" s="71"/>
      <c r="CA219" s="147" t="s">
        <v>3818</v>
      </c>
      <c r="CB219">
        <v>1</v>
      </c>
      <c r="CC219">
        <v>240</v>
      </c>
      <c r="CD219">
        <v>100</v>
      </c>
      <c r="CE219" s="74">
        <f ca="1">INDIRECT(ADDRESS(11+(MATCH(RIGHT(Table35[[#This Row],[spawner_sku]],LEN(Table35[[#This Row],[spawner_sku]])-FIND("/",Table35[[#This Row],[spawner_sku]])),Table1[Entity Prefab],0)),10,1,1,"Entities"))</f>
        <v>10</v>
      </c>
      <c r="CF219" s="74">
        <f ca="1">ROUND((Table35[[#This Row],[XP]]*Table35[[#This Row],[entity_spawned (AVG)]])*(Table35[[#This Row],[activating_chance]]/100),0)</f>
        <v>10</v>
      </c>
      <c r="CG219" s="144" t="str">
        <f ca="1">INDIRECT(ADDRESS(11+(MATCH(RIGHT(Table35[[#This Row],[spawner_sku]],LEN(Table35[[#This Row],[spawner_sku]])-FIND("/",Table35[[#This Row],[spawner_sku]])),Table28[Entity Prefab],0)),24,1,1,"Entities"))</f>
        <v>no</v>
      </c>
      <c r="CH219">
        <v>1</v>
      </c>
      <c r="CI219">
        <v>1</v>
      </c>
      <c r="CJ219" s="71" t="b">
        <v>0</v>
      </c>
      <c r="CL219" t="s">
        <v>229</v>
      </c>
      <c r="CM219">
        <v>1</v>
      </c>
      <c r="CN219">
        <v>1500</v>
      </c>
      <c r="CO219">
        <v>100</v>
      </c>
      <c r="CP219" s="74">
        <f ca="1">INDIRECT(ADDRESS(11+(MATCH(RIGHT(Table11[[#This Row],[spawner_sku]],LEN(Table11[[#This Row],[spawner_sku]])-FIND("/",Table11[[#This Row],[spawner_sku]])),Table1[Entity Prefab],0)),10,1,1,"Entities"))</f>
        <v>130</v>
      </c>
      <c r="CQ219">
        <f ca="1">ROUND((Table11[[#This Row],[XP]]*Table11[[#This Row],[entity_spawned (AVG)]])*(Table11[[#This Row],[activating_chance]]/100),0)</f>
        <v>130</v>
      </c>
      <c r="CR219" s="144" t="str">
        <f ca="1">INDIRECT(ADDRESS(11+(MATCH(RIGHT(Table11[[#This Row],[spawner_sku]],LEN(Table11[[#This Row],[spawner_sku]])-FIND("/",Table11[[#This Row],[spawner_sku]])),Table28[Entity Prefab],0)),25,1,1,"Entities"))</f>
        <v>yes</v>
      </c>
      <c r="CS219" s="71">
        <v>1</v>
      </c>
      <c r="CT219" s="71">
        <v>1</v>
      </c>
      <c r="CU219" s="71" t="b">
        <v>0</v>
      </c>
      <c r="CW219" t="s">
        <v>366</v>
      </c>
      <c r="CX219">
        <v>1.5</v>
      </c>
      <c r="CY219">
        <v>100</v>
      </c>
      <c r="CZ219">
        <v>30</v>
      </c>
      <c r="DA219" s="74">
        <f ca="1">INDIRECT(ADDRESS(11+(MATCH(RIGHT(Table12[[#This Row],[spawner_sku]],LEN(Table12[[#This Row],[spawner_sku]])-FIND("/",Table12[[#This Row],[spawner_sku]])),Table1[Entity Prefab],0)),10,1,1,"Entities"))</f>
        <v>25</v>
      </c>
      <c r="DB219" s="74">
        <f ca="1">ROUND((Table12[[#This Row],[XP]]*Table12[[#This Row],[entity_spawned (AVG)]])*(Table12[[#This Row],[activating_chance]]/100),0)</f>
        <v>11</v>
      </c>
      <c r="DC219" s="144" t="str">
        <f ca="1">INDIRECT(ADDRESS(11+(MATCH(RIGHT(Table12[[#This Row],[spawner_sku]],LEN(Table12[[#This Row],[spawner_sku]])-FIND("/",Table12[[#This Row],[spawner_sku]])),Table28[Entity Prefab],0)),25,1,1,"Entities"))</f>
        <v>no</v>
      </c>
      <c r="DD219" s="71">
        <v>1</v>
      </c>
      <c r="DE219" s="71">
        <v>2</v>
      </c>
      <c r="DF219" s="71" t="b">
        <v>0</v>
      </c>
      <c r="DH219" t="s">
        <v>242</v>
      </c>
      <c r="DI219">
        <v>1</v>
      </c>
      <c r="DJ219">
        <v>150</v>
      </c>
      <c r="DK219">
        <v>80</v>
      </c>
      <c r="DL219" s="74">
        <f ca="1">INDIRECT(ADDRESS(11+(MATCH(RIGHT(Table13[[#This Row],[spawner_sku]],LEN(Table13[[#This Row],[spawner_sku]])-FIND("/",Table13[[#This Row],[spawner_sku]])),Table1[Entity Prefab],0)),10,1,1,"Entities"))</f>
        <v>25</v>
      </c>
      <c r="DM219" s="74">
        <f ca="1">ROUND((Table13[[#This Row],[XP]]*Table13[[#This Row],[entity_spawned (AVG)]])*(Table13[[#This Row],[activating_chance]]/100),0)</f>
        <v>20</v>
      </c>
      <c r="DN219" s="144" t="str">
        <f ca="1">INDIRECT(ADDRESS(11+(MATCH(RIGHT(Table13[[#This Row],[spawner_sku]],LEN(Table13[[#This Row],[spawner_sku]])-FIND("/",Table13[[#This Row],[spawner_sku]])),Table28[Entity Prefab],0)),25,1,1,"Entities"))</f>
        <v>no</v>
      </c>
      <c r="DO219" s="71">
        <v>1</v>
      </c>
      <c r="DP219" s="71">
        <v>1</v>
      </c>
      <c r="DQ219" s="71" t="b">
        <v>0</v>
      </c>
      <c r="DS219" t="s">
        <v>369</v>
      </c>
      <c r="DT219">
        <v>1</v>
      </c>
      <c r="DU219">
        <v>220</v>
      </c>
      <c r="DV219">
        <v>100</v>
      </c>
      <c r="DW219" s="74">
        <f ca="1">INDIRECT(ADDRESS(11+(MATCH(RIGHT(Table14[[#This Row],[spawner_sku]],LEN(Table14[[#This Row],[spawner_sku]])-FIND("/",Table14[[#This Row],[spawner_sku]])),Table1[Entity Prefab],0)),10,1,1,"Entities"))</f>
        <v>75</v>
      </c>
      <c r="DX219" s="74">
        <f ca="1">ROUND((Table14[[#This Row],[XP]]*Table14[[#This Row],[entity_spawned (AVG)]])*(Table14[[#This Row],[activating_chance]]/100),0)</f>
        <v>75</v>
      </c>
      <c r="DY219" s="144" t="str">
        <f ca="1">INDIRECT(ADDRESS(11+(MATCH(RIGHT(Table14[[#This Row],[spawner_sku]],LEN(Table14[[#This Row],[spawner_sku]])-FIND("/",Table14[[#This Row],[spawner_sku]])),Table28[Entity Prefab],0)),25,1,1,"Entities"))</f>
        <v>yes</v>
      </c>
      <c r="DZ219" s="71">
        <v>1</v>
      </c>
      <c r="EA219" s="71">
        <v>1</v>
      </c>
      <c r="EB219" s="71" t="b">
        <v>0</v>
      </c>
      <c r="EC219" s="71"/>
      <c r="EO219" t="s">
        <v>233</v>
      </c>
      <c r="EP219">
        <v>1</v>
      </c>
      <c r="EQ219">
        <v>500</v>
      </c>
      <c r="ER219">
        <v>75</v>
      </c>
      <c r="ES219" s="74">
        <f ca="1">INDIRECT(ADDRESS(11+(MATCH(RIGHT(Table18[[#This Row],[spawner_sku]],LEN(Table18[[#This Row],[spawner_sku]])-FIND("/",Table18[[#This Row],[spawner_sku]])),Table1[Entity Prefab],0)),10,1,1,"Entities"))</f>
        <v>25</v>
      </c>
      <c r="ET219" s="74">
        <f ca="1">ROUND((Table18[[#This Row],[XP]]*Table18[[#This Row],[entity_spawned (AVG)]])*(Table18[[#This Row],[activating_chance]]/100),0)</f>
        <v>19</v>
      </c>
      <c r="EU219" s="74" t="str">
        <f ca="1">INDIRECT(ADDRESS(11+(MATCH(RIGHT(Table18[[#This Row],[spawner_sku]],LEN(Table18[[#This Row],[spawner_sku]])-FIND("/",Table18[[#This Row],[spawner_sku]])),Table28[Entity Prefab],0)),26,1,1,"Entities"))</f>
        <v>no</v>
      </c>
      <c r="EV219">
        <v>1</v>
      </c>
      <c r="EW219">
        <v>1</v>
      </c>
      <c r="EX219" t="b">
        <v>0</v>
      </c>
      <c r="EZ219" t="s">
        <v>584</v>
      </c>
      <c r="FA219">
        <v>1</v>
      </c>
      <c r="FB219">
        <v>120</v>
      </c>
      <c r="FC219">
        <v>100</v>
      </c>
      <c r="FD219" s="74">
        <f ca="1">INDIRECT(ADDRESS(11+(MATCH(RIGHT(Table1820[[#This Row],[spawner_sku]],LEN(Table1820[[#This Row],[spawner_sku]])-FIND("/",Table1820[[#This Row],[spawner_sku]])),Table1[Entity Prefab],0)),10,1,1,"Entities"))</f>
        <v>48</v>
      </c>
      <c r="FE219" s="74">
        <f ca="1">ROUND((Table1820[[#This Row],[XP]]*Table1820[[#This Row],[entity_spawned (AVG)]])*(Table1820[[#This Row],[activating_chance]]/100),0)</f>
        <v>48</v>
      </c>
      <c r="FF219" s="74" t="str">
        <f ca="1">INDIRECT(ADDRESS(11+(MATCH(RIGHT(Table1820[[#This Row],[spawner_sku]],LEN(Table1820[[#This Row],[spawner_sku]])-FIND("/",Table1820[[#This Row],[spawner_sku]])),Table28[Entity Prefab],0)),26,1,1,"Entities"))</f>
        <v>no</v>
      </c>
      <c r="FG219">
        <v>1</v>
      </c>
      <c r="FH219">
        <v>1</v>
      </c>
      <c r="FI219" t="b">
        <v>0</v>
      </c>
      <c r="FV219" t="s">
        <v>2702</v>
      </c>
      <c r="FW219">
        <v>3.5</v>
      </c>
      <c r="FX219">
        <v>100</v>
      </c>
      <c r="FY219">
        <v>100</v>
      </c>
      <c r="FZ219" s="74">
        <f ca="1">INDIRECT(ADDRESS(11+(MATCH(RIGHT(Table18202324[[#This Row],[spawner_sku]],LEN(Table18202324[[#This Row],[spawner_sku]])-FIND("/",Table18202324[[#This Row],[spawner_sku]])),Table1[Entity Prefab],0)),10,1,1,"Entities"))</f>
        <v>70</v>
      </c>
      <c r="GA219" s="74">
        <f ca="1">ROUND((Table18202324[[#This Row],[XP]]*Table18202324[[#This Row],[entity_spawned (AVG)]])*(Table18202324[[#This Row],[activating_chance]]/100),0)</f>
        <v>245</v>
      </c>
      <c r="GB219" s="74" t="str">
        <f ca="1">INDIRECT(ADDRESS(11+(MATCH(RIGHT(Table18202324[[#This Row],[spawner_sku]],LEN(Table18202324[[#This Row],[spawner_sku]])-FIND("/",Table18202324[[#This Row],[spawner_sku]])),Table28[Entity Prefab],0)),26,1,1,"Entities"))</f>
        <v>yes</v>
      </c>
      <c r="GC219">
        <v>3</v>
      </c>
      <c r="GD219">
        <v>4</v>
      </c>
      <c r="GE219" t="b">
        <v>0</v>
      </c>
    </row>
    <row r="220" spans="2:187" x14ac:dyDescent="0.25">
      <c r="B220" s="72" t="s">
        <v>218</v>
      </c>
      <c r="C220">
        <v>1</v>
      </c>
      <c r="D220">
        <v>5000</v>
      </c>
      <c r="E220">
        <v>30</v>
      </c>
      <c r="F220" s="74">
        <f ca="1">INDIRECT(ADDRESS(11+(MATCH(RIGHT(Table245[[#This Row],[spawner_sku]],LEN(Table245[[#This Row],[spawner_sku]])-FIND("/",Table245[[#This Row],[spawner_sku]])),Table1[Entity Prefab],0)),10,1,1,"Entities"))</f>
        <v>75</v>
      </c>
      <c r="G220" s="74">
        <f ca="1">ROUND((Table245[[#This Row],[XP]]*Table245[[#This Row],[entity_spawned (AVG)]])*(Table245[[#This Row],[activating_chance]]/100),0)</f>
        <v>23</v>
      </c>
      <c r="H220" s="71" t="str">
        <f ca="1">INDIRECT(ADDRESS(11+(MATCH(RIGHT(Table245[[#This Row],[spawner_sku]],LEN(Table245[[#This Row],[spawner_sku]])-FIND("/",Table245[[#This Row],[spawner_sku]])),Table28[Entity Prefab],0)),24,1,1,"Entities"))</f>
        <v>no</v>
      </c>
      <c r="I220" s="71">
        <v>1</v>
      </c>
      <c r="J220" s="71">
        <v>1</v>
      </c>
      <c r="K220" s="71" t="b">
        <v>0</v>
      </c>
      <c r="M220" t="s">
        <v>242</v>
      </c>
      <c r="N220">
        <v>1.5</v>
      </c>
      <c r="O220">
        <v>180</v>
      </c>
      <c r="P220">
        <v>70</v>
      </c>
      <c r="Q220" s="74">
        <f ca="1">INDIRECT(ADDRESS(11+(MATCH(RIGHT(Table3[[#This Row],[spawner_sku]],LEN(Table3[[#This Row],[spawner_sku]])-FIND("/",Table3[[#This Row],[spawner_sku]])),Table1[Entity Prefab],0)),10,1,1,"Entities"))</f>
        <v>25</v>
      </c>
      <c r="R220" s="74">
        <f ca="1">ROUND((Table3[[#This Row],[XP]]*Table3[[#This Row],[entity_spawned (AVG)]])*(Table3[[#This Row],[activating_chance]]/100),0)</f>
        <v>26</v>
      </c>
      <c r="S220" t="str">
        <f ca="1">INDIRECT(ADDRESS(11+(MATCH(RIGHT(Table3[[#This Row],[spawner_sku]],LEN(Table3[[#This Row],[spawner_sku]])-FIND("/",Table3[[#This Row],[spawner_sku]])),Table28[Entity Prefab],0)),24,1,1,"Entities"))</f>
        <v>no</v>
      </c>
      <c r="T220">
        <v>1</v>
      </c>
      <c r="U220">
        <v>2</v>
      </c>
      <c r="V220" t="b">
        <v>0</v>
      </c>
      <c r="AI220" t="s">
        <v>445</v>
      </c>
      <c r="AJ220">
        <v>1</v>
      </c>
      <c r="AK220">
        <v>220</v>
      </c>
      <c r="AL220">
        <v>100</v>
      </c>
      <c r="AM220" s="74">
        <f ca="1">INDIRECT(ADDRESS(11+(MATCH(RIGHT(Table2[[#This Row],[spawner_sku]],LEN(Table2[[#This Row],[spawner_sku]])-FIND("/",Table2[[#This Row],[spawner_sku]])),Table1[Entity Prefab],0)),10,1,1,"Entities"))</f>
        <v>50</v>
      </c>
      <c r="AN220" s="74">
        <f ca="1">ROUND((Table2[[#This Row],[XP]]*Table2[[#This Row],[entity_spawned (AVG)]])*(Table2[[#This Row],[activating_chance]]/100),0)</f>
        <v>50</v>
      </c>
      <c r="AO220" s="71" t="str">
        <f ca="1">INDIRECT(ADDRESS(11+(MATCH(RIGHT(Table2[[#This Row],[spawner_sku]],LEN(Table2[[#This Row],[spawner_sku]])-FIND("/",Table2[[#This Row],[spawner_sku]])),Table28[Entity Prefab],0)),24,1,1,"Entities"))</f>
        <v>yes</v>
      </c>
      <c r="AP220" s="71">
        <v>1</v>
      </c>
      <c r="AQ220" s="71">
        <v>1</v>
      </c>
      <c r="AR220" s="71" t="b">
        <v>0</v>
      </c>
      <c r="BE220" t="s">
        <v>242</v>
      </c>
      <c r="BF220">
        <v>1</v>
      </c>
      <c r="BG220">
        <v>170</v>
      </c>
      <c r="BH220">
        <v>50</v>
      </c>
      <c r="BI220" s="74">
        <f ca="1">INDIRECT(ADDRESS(11+(MATCH(RIGHT(Table610[[#This Row],[spawner_sku]],LEN(Table610[[#This Row],[spawner_sku]])-FIND("/",Table610[[#This Row],[spawner_sku]])),Table1[Entity Prefab],0)),10,1,1,"Entities"))</f>
        <v>25</v>
      </c>
      <c r="BJ220" s="74">
        <f ca="1">ROUND((Table610[[#This Row],[XP]]*Table610[[#This Row],[entity_spawned (AVG)]])*(Table610[[#This Row],[activating_chance]]/100),0)</f>
        <v>13</v>
      </c>
      <c r="BK220" s="71" t="str">
        <f ca="1">INDIRECT(ADDRESS(11+(MATCH(RIGHT(Table610[[#This Row],[spawner_sku]],LEN(Table610[[#This Row],[spawner_sku]])-FIND("/",Table610[[#This Row],[spawner_sku]])),Table28[Entity Prefab],0)),24,1,1,"Entities"))</f>
        <v>no</v>
      </c>
      <c r="BL220">
        <v>1</v>
      </c>
      <c r="BM220">
        <v>1</v>
      </c>
      <c r="BN220" t="b">
        <v>0</v>
      </c>
      <c r="BP220" t="s">
        <v>570</v>
      </c>
      <c r="BQ220">
        <v>1</v>
      </c>
      <c r="BR220">
        <v>110</v>
      </c>
      <c r="BS220">
        <v>100</v>
      </c>
      <c r="BT220" s="74">
        <f ca="1">INDIRECT(ADDRESS(11+(MATCH(RIGHT(Table61011[[#This Row],[spawner_sku]],LEN(Table61011[[#This Row],[spawner_sku]])-FIND("/",Table61011[[#This Row],[spawner_sku]])),Table1[Entity Prefab],0)),10,1,1,"Entities"))</f>
        <v>50</v>
      </c>
      <c r="BU220" s="74">
        <f ca="1">ROUND((Table61011[[#This Row],[XP]]*Table61011[[#This Row],[entity_spawned (AVG)]])*(Table61011[[#This Row],[activating_chance]]/100),0)</f>
        <v>50</v>
      </c>
      <c r="BV220" s="71" t="str">
        <f ca="1">INDIRECT(ADDRESS(11+(MATCH(RIGHT(Table61011[[#This Row],[spawner_sku]],LEN(Table61011[[#This Row],[spawner_sku]])-FIND("/",Table61011[[#This Row],[spawner_sku]])),Table28[Entity Prefab],0)),24,1,1,"Entities"))</f>
        <v>no</v>
      </c>
      <c r="BW220" s="71">
        <v>1</v>
      </c>
      <c r="BX220" s="71">
        <v>1</v>
      </c>
      <c r="BY220" s="71" t="b">
        <v>0</v>
      </c>
      <c r="BZ220" s="71"/>
      <c r="CA220" s="147" t="s">
        <v>3818</v>
      </c>
      <c r="CB220">
        <v>1</v>
      </c>
      <c r="CC220">
        <v>240</v>
      </c>
      <c r="CD220">
        <v>100</v>
      </c>
      <c r="CE220" s="74">
        <f ca="1">INDIRECT(ADDRESS(11+(MATCH(RIGHT(Table35[[#This Row],[spawner_sku]],LEN(Table35[[#This Row],[spawner_sku]])-FIND("/",Table35[[#This Row],[spawner_sku]])),Table1[Entity Prefab],0)),10,1,1,"Entities"))</f>
        <v>10</v>
      </c>
      <c r="CF220" s="74">
        <f ca="1">ROUND((Table35[[#This Row],[XP]]*Table35[[#This Row],[entity_spawned (AVG)]])*(Table35[[#This Row],[activating_chance]]/100),0)</f>
        <v>10</v>
      </c>
      <c r="CG220" s="144" t="str">
        <f ca="1">INDIRECT(ADDRESS(11+(MATCH(RIGHT(Table35[[#This Row],[spawner_sku]],LEN(Table35[[#This Row],[spawner_sku]])-FIND("/",Table35[[#This Row],[spawner_sku]])),Table28[Entity Prefab],0)),24,1,1,"Entities"))</f>
        <v>no</v>
      </c>
      <c r="CH220">
        <v>1</v>
      </c>
      <c r="CI220">
        <v>1</v>
      </c>
      <c r="CJ220" s="71" t="b">
        <v>0</v>
      </c>
      <c r="CL220" t="s">
        <v>229</v>
      </c>
      <c r="CM220">
        <v>1</v>
      </c>
      <c r="CN220">
        <v>1500</v>
      </c>
      <c r="CO220">
        <v>100</v>
      </c>
      <c r="CP220" s="74">
        <f ca="1">INDIRECT(ADDRESS(11+(MATCH(RIGHT(Table11[[#This Row],[spawner_sku]],LEN(Table11[[#This Row],[spawner_sku]])-FIND("/",Table11[[#This Row],[spawner_sku]])),Table1[Entity Prefab],0)),10,1,1,"Entities"))</f>
        <v>130</v>
      </c>
      <c r="CQ220">
        <f ca="1">ROUND((Table11[[#This Row],[XP]]*Table11[[#This Row],[entity_spawned (AVG)]])*(Table11[[#This Row],[activating_chance]]/100),0)</f>
        <v>130</v>
      </c>
      <c r="CR220" s="144" t="str">
        <f ca="1">INDIRECT(ADDRESS(11+(MATCH(RIGHT(Table11[[#This Row],[spawner_sku]],LEN(Table11[[#This Row],[spawner_sku]])-FIND("/",Table11[[#This Row],[spawner_sku]])),Table28[Entity Prefab],0)),25,1,1,"Entities"))</f>
        <v>yes</v>
      </c>
      <c r="CS220" s="71">
        <v>1</v>
      </c>
      <c r="CT220" s="71">
        <v>1</v>
      </c>
      <c r="CU220" s="71" t="b">
        <v>0</v>
      </c>
      <c r="CW220" t="s">
        <v>366</v>
      </c>
      <c r="CX220">
        <v>1.5</v>
      </c>
      <c r="CY220">
        <v>100</v>
      </c>
      <c r="CZ220">
        <v>80</v>
      </c>
      <c r="DA220" s="74">
        <f ca="1">INDIRECT(ADDRESS(11+(MATCH(RIGHT(Table12[[#This Row],[spawner_sku]],LEN(Table12[[#This Row],[spawner_sku]])-FIND("/",Table12[[#This Row],[spawner_sku]])),Table1[Entity Prefab],0)),10,1,1,"Entities"))</f>
        <v>25</v>
      </c>
      <c r="DB220" s="74">
        <f ca="1">ROUND((Table12[[#This Row],[XP]]*Table12[[#This Row],[entity_spawned (AVG)]])*(Table12[[#This Row],[activating_chance]]/100),0)</f>
        <v>30</v>
      </c>
      <c r="DC220" s="144" t="str">
        <f ca="1">INDIRECT(ADDRESS(11+(MATCH(RIGHT(Table12[[#This Row],[spawner_sku]],LEN(Table12[[#This Row],[spawner_sku]])-FIND("/",Table12[[#This Row],[spawner_sku]])),Table28[Entity Prefab],0)),25,1,1,"Entities"))</f>
        <v>no</v>
      </c>
      <c r="DD220" s="71">
        <v>1</v>
      </c>
      <c r="DE220" s="71">
        <v>2</v>
      </c>
      <c r="DF220" s="71" t="b">
        <v>0</v>
      </c>
      <c r="DH220" t="s">
        <v>242</v>
      </c>
      <c r="DI220">
        <v>1</v>
      </c>
      <c r="DJ220">
        <v>150</v>
      </c>
      <c r="DK220">
        <v>80</v>
      </c>
      <c r="DL220" s="74">
        <f ca="1">INDIRECT(ADDRESS(11+(MATCH(RIGHT(Table13[[#This Row],[spawner_sku]],LEN(Table13[[#This Row],[spawner_sku]])-FIND("/",Table13[[#This Row],[spawner_sku]])),Table1[Entity Prefab],0)),10,1,1,"Entities"))</f>
        <v>25</v>
      </c>
      <c r="DM220" s="74">
        <f ca="1">ROUND((Table13[[#This Row],[XP]]*Table13[[#This Row],[entity_spawned (AVG)]])*(Table13[[#This Row],[activating_chance]]/100),0)</f>
        <v>20</v>
      </c>
      <c r="DN220" s="144" t="str">
        <f ca="1">INDIRECT(ADDRESS(11+(MATCH(RIGHT(Table13[[#This Row],[spawner_sku]],LEN(Table13[[#This Row],[spawner_sku]])-FIND("/",Table13[[#This Row],[spawner_sku]])),Table28[Entity Prefab],0)),25,1,1,"Entities"))</f>
        <v>no</v>
      </c>
      <c r="DO220" s="71">
        <v>1</v>
      </c>
      <c r="DP220" s="71">
        <v>1</v>
      </c>
      <c r="DQ220" s="71" t="b">
        <v>0</v>
      </c>
      <c r="DS220" t="s">
        <v>369</v>
      </c>
      <c r="DT220">
        <v>1</v>
      </c>
      <c r="DU220">
        <v>150</v>
      </c>
      <c r="DV220">
        <v>100</v>
      </c>
      <c r="DW220" s="74">
        <f ca="1">INDIRECT(ADDRESS(11+(MATCH(RIGHT(Table14[[#This Row],[spawner_sku]],LEN(Table14[[#This Row],[spawner_sku]])-FIND("/",Table14[[#This Row],[spawner_sku]])),Table1[Entity Prefab],0)),10,1,1,"Entities"))</f>
        <v>75</v>
      </c>
      <c r="DX220" s="74">
        <f ca="1">ROUND((Table14[[#This Row],[XP]]*Table14[[#This Row],[entity_spawned (AVG)]])*(Table14[[#This Row],[activating_chance]]/100),0)</f>
        <v>75</v>
      </c>
      <c r="DY220" s="144" t="str">
        <f ca="1">INDIRECT(ADDRESS(11+(MATCH(RIGHT(Table14[[#This Row],[spawner_sku]],LEN(Table14[[#This Row],[spawner_sku]])-FIND("/",Table14[[#This Row],[spawner_sku]])),Table28[Entity Prefab],0)),25,1,1,"Entities"))</f>
        <v>yes</v>
      </c>
      <c r="DZ220" s="71">
        <v>1</v>
      </c>
      <c r="EA220" s="71">
        <v>1</v>
      </c>
      <c r="EB220" s="71" t="b">
        <v>0</v>
      </c>
      <c r="EC220" s="71"/>
      <c r="EO220" t="s">
        <v>233</v>
      </c>
      <c r="EP220">
        <v>1</v>
      </c>
      <c r="EQ220">
        <v>500</v>
      </c>
      <c r="ER220">
        <v>75</v>
      </c>
      <c r="ES220" s="74">
        <f ca="1">INDIRECT(ADDRESS(11+(MATCH(RIGHT(Table18[[#This Row],[spawner_sku]],LEN(Table18[[#This Row],[spawner_sku]])-FIND("/",Table18[[#This Row],[spawner_sku]])),Table1[Entity Prefab],0)),10,1,1,"Entities"))</f>
        <v>25</v>
      </c>
      <c r="ET220" s="74">
        <f ca="1">ROUND((Table18[[#This Row],[XP]]*Table18[[#This Row],[entity_spawned (AVG)]])*(Table18[[#This Row],[activating_chance]]/100),0)</f>
        <v>19</v>
      </c>
      <c r="EU220" s="74" t="str">
        <f ca="1">INDIRECT(ADDRESS(11+(MATCH(RIGHT(Table18[[#This Row],[spawner_sku]],LEN(Table18[[#This Row],[spawner_sku]])-FIND("/",Table18[[#This Row],[spawner_sku]])),Table28[Entity Prefab],0)),26,1,1,"Entities"))</f>
        <v>no</v>
      </c>
      <c r="EV220">
        <v>1</v>
      </c>
      <c r="EW220">
        <v>1</v>
      </c>
      <c r="EX220" t="b">
        <v>0</v>
      </c>
      <c r="EZ220" t="s">
        <v>584</v>
      </c>
      <c r="FA220">
        <v>1</v>
      </c>
      <c r="FB220">
        <v>120</v>
      </c>
      <c r="FC220">
        <v>100</v>
      </c>
      <c r="FD220" s="74">
        <f ca="1">INDIRECT(ADDRESS(11+(MATCH(RIGHT(Table1820[[#This Row],[spawner_sku]],LEN(Table1820[[#This Row],[spawner_sku]])-FIND("/",Table1820[[#This Row],[spawner_sku]])),Table1[Entity Prefab],0)),10,1,1,"Entities"))</f>
        <v>48</v>
      </c>
      <c r="FE220" s="74">
        <f ca="1">ROUND((Table1820[[#This Row],[XP]]*Table1820[[#This Row],[entity_spawned (AVG)]])*(Table1820[[#This Row],[activating_chance]]/100),0)</f>
        <v>48</v>
      </c>
      <c r="FF220" s="74" t="str">
        <f ca="1">INDIRECT(ADDRESS(11+(MATCH(RIGHT(Table1820[[#This Row],[spawner_sku]],LEN(Table1820[[#This Row],[spawner_sku]])-FIND("/",Table1820[[#This Row],[spawner_sku]])),Table28[Entity Prefab],0)),26,1,1,"Entities"))</f>
        <v>no</v>
      </c>
      <c r="FG220">
        <v>1</v>
      </c>
      <c r="FH220">
        <v>1</v>
      </c>
      <c r="FI220" t="b">
        <v>0</v>
      </c>
      <c r="FV220" t="s">
        <v>2702</v>
      </c>
      <c r="FW220">
        <v>3.5</v>
      </c>
      <c r="FX220">
        <v>100</v>
      </c>
      <c r="FY220">
        <v>100</v>
      </c>
      <c r="FZ220" s="74">
        <f ca="1">INDIRECT(ADDRESS(11+(MATCH(RIGHT(Table18202324[[#This Row],[spawner_sku]],LEN(Table18202324[[#This Row],[spawner_sku]])-FIND("/",Table18202324[[#This Row],[spawner_sku]])),Table1[Entity Prefab],0)),10,1,1,"Entities"))</f>
        <v>70</v>
      </c>
      <c r="GA220" s="74">
        <f ca="1">ROUND((Table18202324[[#This Row],[XP]]*Table18202324[[#This Row],[entity_spawned (AVG)]])*(Table18202324[[#This Row],[activating_chance]]/100),0)</f>
        <v>245</v>
      </c>
      <c r="GB220" s="74" t="str">
        <f ca="1">INDIRECT(ADDRESS(11+(MATCH(RIGHT(Table18202324[[#This Row],[spawner_sku]],LEN(Table18202324[[#This Row],[spawner_sku]])-FIND("/",Table18202324[[#This Row],[spawner_sku]])),Table28[Entity Prefab],0)),26,1,1,"Entities"))</f>
        <v>yes</v>
      </c>
      <c r="GC220">
        <v>3</v>
      </c>
      <c r="GD220">
        <v>4</v>
      </c>
      <c r="GE220" t="b">
        <v>0</v>
      </c>
    </row>
    <row r="221" spans="2:187" x14ac:dyDescent="0.25">
      <c r="B221" s="72" t="s">
        <v>219</v>
      </c>
      <c r="C221">
        <v>1</v>
      </c>
      <c r="D221">
        <v>180</v>
      </c>
      <c r="E221">
        <v>100</v>
      </c>
      <c r="F221" s="74">
        <f ca="1">INDIRECT(ADDRESS(11+(MATCH(RIGHT(Table245[[#This Row],[spawner_sku]],LEN(Table245[[#This Row],[spawner_sku]])-FIND("/",Table245[[#This Row],[spawner_sku]])),Table1[Entity Prefab],0)),10,1,1,"Entities"))</f>
        <v>143</v>
      </c>
      <c r="G221" s="74">
        <f ca="1">ROUND((Table245[[#This Row],[XP]]*Table245[[#This Row],[entity_spawned (AVG)]])*(Table245[[#This Row],[activating_chance]]/100),0)</f>
        <v>143</v>
      </c>
      <c r="H221" s="71" t="str">
        <f ca="1">INDIRECT(ADDRESS(11+(MATCH(RIGHT(Table245[[#This Row],[spawner_sku]],LEN(Table245[[#This Row],[spawner_sku]])-FIND("/",Table245[[#This Row],[spawner_sku]])),Table28[Entity Prefab],0)),24,1,1,"Entities"))</f>
        <v>yes</v>
      </c>
      <c r="I221" s="71">
        <v>1</v>
      </c>
      <c r="J221" s="71">
        <v>1</v>
      </c>
      <c r="K221" s="71" t="b">
        <v>0</v>
      </c>
      <c r="M221" t="s">
        <v>242</v>
      </c>
      <c r="N221">
        <v>1.5</v>
      </c>
      <c r="O221">
        <v>180</v>
      </c>
      <c r="P221">
        <v>70</v>
      </c>
      <c r="Q221" s="74">
        <f ca="1">INDIRECT(ADDRESS(11+(MATCH(RIGHT(Table3[[#This Row],[spawner_sku]],LEN(Table3[[#This Row],[spawner_sku]])-FIND("/",Table3[[#This Row],[spawner_sku]])),Table1[Entity Prefab],0)),10,1,1,"Entities"))</f>
        <v>25</v>
      </c>
      <c r="R221" s="74">
        <f ca="1">ROUND((Table3[[#This Row],[XP]]*Table3[[#This Row],[entity_spawned (AVG)]])*(Table3[[#This Row],[activating_chance]]/100),0)</f>
        <v>26</v>
      </c>
      <c r="S221" t="str">
        <f ca="1">INDIRECT(ADDRESS(11+(MATCH(RIGHT(Table3[[#This Row],[spawner_sku]],LEN(Table3[[#This Row],[spawner_sku]])-FIND("/",Table3[[#This Row],[spawner_sku]])),Table28[Entity Prefab],0)),24,1,1,"Entities"))</f>
        <v>no</v>
      </c>
      <c r="T221">
        <v>1</v>
      </c>
      <c r="U221">
        <v>2</v>
      </c>
      <c r="V221" t="b">
        <v>0</v>
      </c>
      <c r="AI221" t="s">
        <v>445</v>
      </c>
      <c r="AJ221">
        <v>1</v>
      </c>
      <c r="AK221">
        <v>220</v>
      </c>
      <c r="AL221">
        <v>100</v>
      </c>
      <c r="AM221" s="74">
        <f ca="1">INDIRECT(ADDRESS(11+(MATCH(RIGHT(Table2[[#This Row],[spawner_sku]],LEN(Table2[[#This Row],[spawner_sku]])-FIND("/",Table2[[#This Row],[spawner_sku]])),Table1[Entity Prefab],0)),10,1,1,"Entities"))</f>
        <v>50</v>
      </c>
      <c r="AN221" s="74">
        <f ca="1">ROUND((Table2[[#This Row],[XP]]*Table2[[#This Row],[entity_spawned (AVG)]])*(Table2[[#This Row],[activating_chance]]/100),0)</f>
        <v>50</v>
      </c>
      <c r="AO221" s="71" t="str">
        <f ca="1">INDIRECT(ADDRESS(11+(MATCH(RIGHT(Table2[[#This Row],[spawner_sku]],LEN(Table2[[#This Row],[spawner_sku]])-FIND("/",Table2[[#This Row],[spawner_sku]])),Table28[Entity Prefab],0)),24,1,1,"Entities"))</f>
        <v>yes</v>
      </c>
      <c r="AP221" s="71">
        <v>1</v>
      </c>
      <c r="AQ221" s="71">
        <v>1</v>
      </c>
      <c r="AR221" s="71" t="b">
        <v>0</v>
      </c>
      <c r="BE221" t="s">
        <v>242</v>
      </c>
      <c r="BF221">
        <v>1.5</v>
      </c>
      <c r="BG221">
        <v>200</v>
      </c>
      <c r="BH221">
        <v>100</v>
      </c>
      <c r="BI221" s="74">
        <f ca="1">INDIRECT(ADDRESS(11+(MATCH(RIGHT(Table610[[#This Row],[spawner_sku]],LEN(Table610[[#This Row],[spawner_sku]])-FIND("/",Table610[[#This Row],[spawner_sku]])),Table1[Entity Prefab],0)),10,1,1,"Entities"))</f>
        <v>25</v>
      </c>
      <c r="BJ221" s="74">
        <f ca="1">ROUND((Table610[[#This Row],[XP]]*Table610[[#This Row],[entity_spawned (AVG)]])*(Table610[[#This Row],[activating_chance]]/100),0)</f>
        <v>38</v>
      </c>
      <c r="BK221" s="71" t="str">
        <f ca="1">INDIRECT(ADDRESS(11+(MATCH(RIGHT(Table610[[#This Row],[spawner_sku]],LEN(Table610[[#This Row],[spawner_sku]])-FIND("/",Table610[[#This Row],[spawner_sku]])),Table28[Entity Prefab],0)),24,1,1,"Entities"))</f>
        <v>no</v>
      </c>
      <c r="BL221">
        <v>1</v>
      </c>
      <c r="BM221">
        <v>2</v>
      </c>
      <c r="BN221" t="b">
        <v>0</v>
      </c>
      <c r="BP221" t="s">
        <v>570</v>
      </c>
      <c r="BQ221">
        <v>1</v>
      </c>
      <c r="BR221">
        <v>120</v>
      </c>
      <c r="BS221">
        <v>100</v>
      </c>
      <c r="BT221" s="74">
        <f ca="1">INDIRECT(ADDRESS(11+(MATCH(RIGHT(Table61011[[#This Row],[spawner_sku]],LEN(Table61011[[#This Row],[spawner_sku]])-FIND("/",Table61011[[#This Row],[spawner_sku]])),Table1[Entity Prefab],0)),10,1,1,"Entities"))</f>
        <v>50</v>
      </c>
      <c r="BU221" s="74">
        <f ca="1">ROUND((Table61011[[#This Row],[XP]]*Table61011[[#This Row],[entity_spawned (AVG)]])*(Table61011[[#This Row],[activating_chance]]/100),0)</f>
        <v>50</v>
      </c>
      <c r="BV221" s="71" t="str">
        <f ca="1">INDIRECT(ADDRESS(11+(MATCH(RIGHT(Table61011[[#This Row],[spawner_sku]],LEN(Table61011[[#This Row],[spawner_sku]])-FIND("/",Table61011[[#This Row],[spawner_sku]])),Table28[Entity Prefab],0)),24,1,1,"Entities"))</f>
        <v>no</v>
      </c>
      <c r="BW221" s="71">
        <v>1</v>
      </c>
      <c r="BX221" s="71">
        <v>1</v>
      </c>
      <c r="BY221" s="71" t="b">
        <v>0</v>
      </c>
      <c r="BZ221" s="71"/>
      <c r="CA221" s="147" t="s">
        <v>3818</v>
      </c>
      <c r="CB221">
        <v>1</v>
      </c>
      <c r="CC221">
        <v>240</v>
      </c>
      <c r="CD221">
        <v>100</v>
      </c>
      <c r="CE221" s="74">
        <f ca="1">INDIRECT(ADDRESS(11+(MATCH(RIGHT(Table35[[#This Row],[spawner_sku]],LEN(Table35[[#This Row],[spawner_sku]])-FIND("/",Table35[[#This Row],[spawner_sku]])),Table1[Entity Prefab],0)),10,1,1,"Entities"))</f>
        <v>10</v>
      </c>
      <c r="CF221" s="74">
        <f ca="1">ROUND((Table35[[#This Row],[XP]]*Table35[[#This Row],[entity_spawned (AVG)]])*(Table35[[#This Row],[activating_chance]]/100),0)</f>
        <v>10</v>
      </c>
      <c r="CG221" s="144" t="str">
        <f ca="1">INDIRECT(ADDRESS(11+(MATCH(RIGHT(Table35[[#This Row],[spawner_sku]],LEN(Table35[[#This Row],[spawner_sku]])-FIND("/",Table35[[#This Row],[spawner_sku]])),Table28[Entity Prefab],0)),24,1,1,"Entities"))</f>
        <v>no</v>
      </c>
      <c r="CH221">
        <v>1</v>
      </c>
      <c r="CI221">
        <v>1</v>
      </c>
      <c r="CJ221" s="71" t="b">
        <v>0</v>
      </c>
      <c r="CL221" t="s">
        <v>229</v>
      </c>
      <c r="CM221">
        <v>1</v>
      </c>
      <c r="CN221">
        <v>1500</v>
      </c>
      <c r="CO221">
        <v>100</v>
      </c>
      <c r="CP221" s="74">
        <f ca="1">INDIRECT(ADDRESS(11+(MATCH(RIGHT(Table11[[#This Row],[spawner_sku]],LEN(Table11[[#This Row],[spawner_sku]])-FIND("/",Table11[[#This Row],[spawner_sku]])),Table1[Entity Prefab],0)),10,1,1,"Entities"))</f>
        <v>130</v>
      </c>
      <c r="CQ221">
        <f ca="1">ROUND((Table11[[#This Row],[XP]]*Table11[[#This Row],[entity_spawned (AVG)]])*(Table11[[#This Row],[activating_chance]]/100),0)</f>
        <v>130</v>
      </c>
      <c r="CR221" s="144" t="str">
        <f ca="1">INDIRECT(ADDRESS(11+(MATCH(RIGHT(Table11[[#This Row],[spawner_sku]],LEN(Table11[[#This Row],[spawner_sku]])-FIND("/",Table11[[#This Row],[spawner_sku]])),Table28[Entity Prefab],0)),25,1,1,"Entities"))</f>
        <v>yes</v>
      </c>
      <c r="CS221" s="71">
        <v>1</v>
      </c>
      <c r="CT221" s="71">
        <v>1</v>
      </c>
      <c r="CU221" s="71" t="b">
        <v>0</v>
      </c>
      <c r="CW221" t="s">
        <v>366</v>
      </c>
      <c r="CX221">
        <v>9</v>
      </c>
      <c r="CY221">
        <v>100</v>
      </c>
      <c r="CZ221">
        <v>80</v>
      </c>
      <c r="DA221" s="74">
        <f ca="1">INDIRECT(ADDRESS(11+(MATCH(RIGHT(Table12[[#This Row],[spawner_sku]],LEN(Table12[[#This Row],[spawner_sku]])-FIND("/",Table12[[#This Row],[spawner_sku]])),Table1[Entity Prefab],0)),10,1,1,"Entities"))</f>
        <v>25</v>
      </c>
      <c r="DB221" s="74">
        <f ca="1">ROUND((Table12[[#This Row],[XP]]*Table12[[#This Row],[entity_spawned (AVG)]])*(Table12[[#This Row],[activating_chance]]/100),0)</f>
        <v>180</v>
      </c>
      <c r="DC221" s="144" t="str">
        <f ca="1">INDIRECT(ADDRESS(11+(MATCH(RIGHT(Table12[[#This Row],[spawner_sku]],LEN(Table12[[#This Row],[spawner_sku]])-FIND("/",Table12[[#This Row],[spawner_sku]])),Table28[Entity Prefab],0)),25,1,1,"Entities"))</f>
        <v>no</v>
      </c>
      <c r="DD221" s="71">
        <v>8</v>
      </c>
      <c r="DE221" s="71">
        <v>10</v>
      </c>
      <c r="DF221" s="71" t="b">
        <v>1</v>
      </c>
      <c r="DH221" t="s">
        <v>242</v>
      </c>
      <c r="DI221">
        <v>1</v>
      </c>
      <c r="DJ221">
        <v>150</v>
      </c>
      <c r="DK221">
        <v>100</v>
      </c>
      <c r="DL221" s="74">
        <f ca="1">INDIRECT(ADDRESS(11+(MATCH(RIGHT(Table13[[#This Row],[spawner_sku]],LEN(Table13[[#This Row],[spawner_sku]])-FIND("/",Table13[[#This Row],[spawner_sku]])),Table1[Entity Prefab],0)),10,1,1,"Entities"))</f>
        <v>25</v>
      </c>
      <c r="DM221" s="74">
        <f ca="1">ROUND((Table13[[#This Row],[XP]]*Table13[[#This Row],[entity_spawned (AVG)]])*(Table13[[#This Row],[activating_chance]]/100),0)</f>
        <v>25</v>
      </c>
      <c r="DN221" s="144" t="str">
        <f ca="1">INDIRECT(ADDRESS(11+(MATCH(RIGHT(Table13[[#This Row],[spawner_sku]],LEN(Table13[[#This Row],[spawner_sku]])-FIND("/",Table13[[#This Row],[spawner_sku]])),Table28[Entity Prefab],0)),25,1,1,"Entities"))</f>
        <v>no</v>
      </c>
      <c r="DO221" s="71">
        <v>1</v>
      </c>
      <c r="DP221" s="71">
        <v>1</v>
      </c>
      <c r="DQ221" s="71" t="b">
        <v>0</v>
      </c>
      <c r="DS221" t="s">
        <v>369</v>
      </c>
      <c r="DT221">
        <v>1</v>
      </c>
      <c r="DU221">
        <v>180</v>
      </c>
      <c r="DV221">
        <v>80</v>
      </c>
      <c r="DW221" s="74">
        <f ca="1">INDIRECT(ADDRESS(11+(MATCH(RIGHT(Table14[[#This Row],[spawner_sku]],LEN(Table14[[#This Row],[spawner_sku]])-FIND("/",Table14[[#This Row],[spawner_sku]])),Table1[Entity Prefab],0)),10,1,1,"Entities"))</f>
        <v>75</v>
      </c>
      <c r="DX221" s="74">
        <f ca="1">ROUND((Table14[[#This Row],[XP]]*Table14[[#This Row],[entity_spawned (AVG)]])*(Table14[[#This Row],[activating_chance]]/100),0)</f>
        <v>60</v>
      </c>
      <c r="DY221" s="144" t="str">
        <f ca="1">INDIRECT(ADDRESS(11+(MATCH(RIGHT(Table14[[#This Row],[spawner_sku]],LEN(Table14[[#This Row],[spawner_sku]])-FIND("/",Table14[[#This Row],[spawner_sku]])),Table28[Entity Prefab],0)),25,1,1,"Entities"))</f>
        <v>yes</v>
      </c>
      <c r="DZ221" s="71">
        <v>1</v>
      </c>
      <c r="EA221" s="71">
        <v>1</v>
      </c>
      <c r="EB221" s="71" t="b">
        <v>0</v>
      </c>
      <c r="EC221" s="71"/>
      <c r="EO221" t="s">
        <v>233</v>
      </c>
      <c r="EP221">
        <v>1</v>
      </c>
      <c r="EQ221">
        <v>500</v>
      </c>
      <c r="ER221">
        <v>75</v>
      </c>
      <c r="ES221" s="74">
        <f ca="1">INDIRECT(ADDRESS(11+(MATCH(RIGHT(Table18[[#This Row],[spawner_sku]],LEN(Table18[[#This Row],[spawner_sku]])-FIND("/",Table18[[#This Row],[spawner_sku]])),Table1[Entity Prefab],0)),10,1,1,"Entities"))</f>
        <v>25</v>
      </c>
      <c r="ET221" s="74">
        <f ca="1">ROUND((Table18[[#This Row],[XP]]*Table18[[#This Row],[entity_spawned (AVG)]])*(Table18[[#This Row],[activating_chance]]/100),0)</f>
        <v>19</v>
      </c>
      <c r="EU221" s="74" t="str">
        <f ca="1">INDIRECT(ADDRESS(11+(MATCH(RIGHT(Table18[[#This Row],[spawner_sku]],LEN(Table18[[#This Row],[spawner_sku]])-FIND("/",Table18[[#This Row],[spawner_sku]])),Table28[Entity Prefab],0)),26,1,1,"Entities"))</f>
        <v>no</v>
      </c>
      <c r="EV221">
        <v>1</v>
      </c>
      <c r="EW221">
        <v>1</v>
      </c>
      <c r="EX221" t="b">
        <v>0</v>
      </c>
      <c r="EZ221" t="s">
        <v>234</v>
      </c>
      <c r="FA221">
        <v>1</v>
      </c>
      <c r="FB221">
        <v>420</v>
      </c>
      <c r="FC221">
        <v>100</v>
      </c>
      <c r="FD221" s="74">
        <f ca="1">INDIRECT(ADDRESS(11+(MATCH(RIGHT(Table1820[[#This Row],[spawner_sku]],LEN(Table1820[[#This Row],[spawner_sku]])-FIND("/",Table1820[[#This Row],[spawner_sku]])),Table1[Entity Prefab],0)),10,1,1,"Entities"))</f>
        <v>83</v>
      </c>
      <c r="FE221" s="74">
        <f ca="1">ROUND((Table1820[[#This Row],[XP]]*Table1820[[#This Row],[entity_spawned (AVG)]])*(Table1820[[#This Row],[activating_chance]]/100),0)</f>
        <v>83</v>
      </c>
      <c r="FF221" s="74" t="str">
        <f ca="1">INDIRECT(ADDRESS(11+(MATCH(RIGHT(Table1820[[#This Row],[spawner_sku]],LEN(Table1820[[#This Row],[spawner_sku]])-FIND("/",Table1820[[#This Row],[spawner_sku]])),Table28[Entity Prefab],0)),26,1,1,"Entities"))</f>
        <v>yes</v>
      </c>
      <c r="FG221">
        <v>1</v>
      </c>
      <c r="FH221">
        <v>1</v>
      </c>
      <c r="FI221" t="b">
        <v>0</v>
      </c>
      <c r="FV221" t="s">
        <v>2702</v>
      </c>
      <c r="FW221">
        <v>3</v>
      </c>
      <c r="FX221">
        <v>100</v>
      </c>
      <c r="FY221">
        <v>100</v>
      </c>
      <c r="FZ221" s="74">
        <f ca="1">INDIRECT(ADDRESS(11+(MATCH(RIGHT(Table18202324[[#This Row],[spawner_sku]],LEN(Table18202324[[#This Row],[spawner_sku]])-FIND("/",Table18202324[[#This Row],[spawner_sku]])),Table1[Entity Prefab],0)),10,1,1,"Entities"))</f>
        <v>70</v>
      </c>
      <c r="GA221" s="74">
        <f ca="1">ROUND((Table18202324[[#This Row],[XP]]*Table18202324[[#This Row],[entity_spawned (AVG)]])*(Table18202324[[#This Row],[activating_chance]]/100),0)</f>
        <v>210</v>
      </c>
      <c r="GB221" s="74" t="str">
        <f ca="1">INDIRECT(ADDRESS(11+(MATCH(RIGHT(Table18202324[[#This Row],[spawner_sku]],LEN(Table18202324[[#This Row],[spawner_sku]])-FIND("/",Table18202324[[#This Row],[spawner_sku]])),Table28[Entity Prefab],0)),26,1,1,"Entities"))</f>
        <v>yes</v>
      </c>
      <c r="GC221">
        <v>2</v>
      </c>
      <c r="GD221">
        <v>4</v>
      </c>
      <c r="GE221" t="b">
        <v>0</v>
      </c>
    </row>
    <row r="222" spans="2:187" x14ac:dyDescent="0.25">
      <c r="B222" s="72" t="s">
        <v>219</v>
      </c>
      <c r="C222">
        <v>1</v>
      </c>
      <c r="D222">
        <v>180</v>
      </c>
      <c r="E222">
        <v>100</v>
      </c>
      <c r="F222" s="74">
        <f ca="1">INDIRECT(ADDRESS(11+(MATCH(RIGHT(Table245[[#This Row],[spawner_sku]],LEN(Table245[[#This Row],[spawner_sku]])-FIND("/",Table245[[#This Row],[spawner_sku]])),Table1[Entity Prefab],0)),10,1,1,"Entities"))</f>
        <v>143</v>
      </c>
      <c r="G222" s="74">
        <f ca="1">ROUND((Table245[[#This Row],[XP]]*Table245[[#This Row],[entity_spawned (AVG)]])*(Table245[[#This Row],[activating_chance]]/100),0)</f>
        <v>143</v>
      </c>
      <c r="H222" s="71" t="str">
        <f ca="1">INDIRECT(ADDRESS(11+(MATCH(RIGHT(Table245[[#This Row],[spawner_sku]],LEN(Table245[[#This Row],[spawner_sku]])-FIND("/",Table245[[#This Row],[spawner_sku]])),Table28[Entity Prefab],0)),24,1,1,"Entities"))</f>
        <v>yes</v>
      </c>
      <c r="I222" s="71">
        <v>1</v>
      </c>
      <c r="J222" s="71">
        <v>1</v>
      </c>
      <c r="K222" s="71" t="b">
        <v>0</v>
      </c>
      <c r="M222" t="s">
        <v>223</v>
      </c>
      <c r="N222">
        <v>1</v>
      </c>
      <c r="O222">
        <v>140</v>
      </c>
      <c r="P222">
        <v>100</v>
      </c>
      <c r="Q222" s="74">
        <f ca="1">INDIRECT(ADDRESS(11+(MATCH(RIGHT(Table3[[#This Row],[spawner_sku]],LEN(Table3[[#This Row],[spawner_sku]])-FIND("/",Table3[[#This Row],[spawner_sku]])),Table1[Entity Prefab],0)),10,1,1,"Entities"))</f>
        <v>70</v>
      </c>
      <c r="R222" s="74">
        <f ca="1">ROUND((Table3[[#This Row],[XP]]*Table3[[#This Row],[entity_spawned (AVG)]])*(Table3[[#This Row],[activating_chance]]/100),0)</f>
        <v>70</v>
      </c>
      <c r="S222" t="str">
        <f ca="1">INDIRECT(ADDRESS(11+(MATCH(RIGHT(Table3[[#This Row],[spawner_sku]],LEN(Table3[[#This Row],[spawner_sku]])-FIND("/",Table3[[#This Row],[spawner_sku]])),Table28[Entity Prefab],0)),24,1,1,"Entities"))</f>
        <v>yes</v>
      </c>
      <c r="T222">
        <v>1</v>
      </c>
      <c r="U222">
        <v>1</v>
      </c>
      <c r="V222" t="b">
        <v>0</v>
      </c>
      <c r="AI222" t="s">
        <v>445</v>
      </c>
      <c r="AJ222">
        <v>1</v>
      </c>
      <c r="AK222">
        <v>220</v>
      </c>
      <c r="AL222">
        <v>100</v>
      </c>
      <c r="AM222" s="74">
        <f ca="1">INDIRECT(ADDRESS(11+(MATCH(RIGHT(Table2[[#This Row],[spawner_sku]],LEN(Table2[[#This Row],[spawner_sku]])-FIND("/",Table2[[#This Row],[spawner_sku]])),Table1[Entity Prefab],0)),10,1,1,"Entities"))</f>
        <v>50</v>
      </c>
      <c r="AN222" s="74">
        <f ca="1">ROUND((Table2[[#This Row],[XP]]*Table2[[#This Row],[entity_spawned (AVG)]])*(Table2[[#This Row],[activating_chance]]/100),0)</f>
        <v>50</v>
      </c>
      <c r="AO222" s="71" t="str">
        <f ca="1">INDIRECT(ADDRESS(11+(MATCH(RIGHT(Table2[[#This Row],[spawner_sku]],LEN(Table2[[#This Row],[spawner_sku]])-FIND("/",Table2[[#This Row],[spawner_sku]])),Table28[Entity Prefab],0)),24,1,1,"Entities"))</f>
        <v>yes</v>
      </c>
      <c r="AP222" s="71">
        <v>1</v>
      </c>
      <c r="AQ222" s="71">
        <v>1</v>
      </c>
      <c r="AR222" s="71" t="b">
        <v>0</v>
      </c>
      <c r="BE222" t="s">
        <v>242</v>
      </c>
      <c r="BF222">
        <v>1</v>
      </c>
      <c r="BG222">
        <v>200</v>
      </c>
      <c r="BH222">
        <v>80</v>
      </c>
      <c r="BI222" s="74">
        <f ca="1">INDIRECT(ADDRESS(11+(MATCH(RIGHT(Table610[[#This Row],[spawner_sku]],LEN(Table610[[#This Row],[spawner_sku]])-FIND("/",Table610[[#This Row],[spawner_sku]])),Table1[Entity Prefab],0)),10,1,1,"Entities"))</f>
        <v>25</v>
      </c>
      <c r="BJ222" s="74">
        <f ca="1">ROUND((Table610[[#This Row],[XP]]*Table610[[#This Row],[entity_spawned (AVG)]])*(Table610[[#This Row],[activating_chance]]/100),0)</f>
        <v>20</v>
      </c>
      <c r="BK222" s="71" t="str">
        <f ca="1">INDIRECT(ADDRESS(11+(MATCH(RIGHT(Table610[[#This Row],[spawner_sku]],LEN(Table610[[#This Row],[spawner_sku]])-FIND("/",Table610[[#This Row],[spawner_sku]])),Table28[Entity Prefab],0)),24,1,1,"Entities"))</f>
        <v>no</v>
      </c>
      <c r="BL222">
        <v>1</v>
      </c>
      <c r="BM222">
        <v>1</v>
      </c>
      <c r="BN222" t="b">
        <v>0</v>
      </c>
      <c r="BP222" t="s">
        <v>570</v>
      </c>
      <c r="BQ222">
        <v>1</v>
      </c>
      <c r="BR222">
        <v>110</v>
      </c>
      <c r="BS222">
        <v>100</v>
      </c>
      <c r="BT222" s="74">
        <f ca="1">INDIRECT(ADDRESS(11+(MATCH(RIGHT(Table61011[[#This Row],[spawner_sku]],LEN(Table61011[[#This Row],[spawner_sku]])-FIND("/",Table61011[[#This Row],[spawner_sku]])),Table1[Entity Prefab],0)),10,1,1,"Entities"))</f>
        <v>50</v>
      </c>
      <c r="BU222" s="74">
        <f ca="1">ROUND((Table61011[[#This Row],[XP]]*Table61011[[#This Row],[entity_spawned (AVG)]])*(Table61011[[#This Row],[activating_chance]]/100),0)</f>
        <v>50</v>
      </c>
      <c r="BV222" s="71" t="str">
        <f ca="1">INDIRECT(ADDRESS(11+(MATCH(RIGHT(Table61011[[#This Row],[spawner_sku]],LEN(Table61011[[#This Row],[spawner_sku]])-FIND("/",Table61011[[#This Row],[spawner_sku]])),Table28[Entity Prefab],0)),24,1,1,"Entities"))</f>
        <v>no</v>
      </c>
      <c r="BW222" s="71">
        <v>1</v>
      </c>
      <c r="BX222" s="71">
        <v>1</v>
      </c>
      <c r="BY222" s="71" t="b">
        <v>0</v>
      </c>
      <c r="BZ222" s="71"/>
      <c r="CA222" s="147" t="s">
        <v>3818</v>
      </c>
      <c r="CB222">
        <v>1</v>
      </c>
      <c r="CC222">
        <v>240</v>
      </c>
      <c r="CD222">
        <v>100</v>
      </c>
      <c r="CE222" s="74">
        <f ca="1">INDIRECT(ADDRESS(11+(MATCH(RIGHT(Table35[[#This Row],[spawner_sku]],LEN(Table35[[#This Row],[spawner_sku]])-FIND("/",Table35[[#This Row],[spawner_sku]])),Table1[Entity Prefab],0)),10,1,1,"Entities"))</f>
        <v>10</v>
      </c>
      <c r="CF222" s="74">
        <f ca="1">ROUND((Table35[[#This Row],[XP]]*Table35[[#This Row],[entity_spawned (AVG)]])*(Table35[[#This Row],[activating_chance]]/100),0)</f>
        <v>10</v>
      </c>
      <c r="CG222" s="144" t="str">
        <f ca="1">INDIRECT(ADDRESS(11+(MATCH(RIGHT(Table35[[#This Row],[spawner_sku]],LEN(Table35[[#This Row],[spawner_sku]])-FIND("/",Table35[[#This Row],[spawner_sku]])),Table28[Entity Prefab],0)),24,1,1,"Entities"))</f>
        <v>no</v>
      </c>
      <c r="CH222">
        <v>1</v>
      </c>
      <c r="CI222">
        <v>1</v>
      </c>
      <c r="CJ222" s="71" t="b">
        <v>0</v>
      </c>
      <c r="CL222" t="s">
        <v>230</v>
      </c>
      <c r="CM222">
        <v>1.5</v>
      </c>
      <c r="CN222">
        <v>200</v>
      </c>
      <c r="CO222">
        <v>100</v>
      </c>
      <c r="CP222" s="74">
        <f ca="1">INDIRECT(ADDRESS(11+(MATCH(RIGHT(Table11[[#This Row],[spawner_sku]],LEN(Table11[[#This Row],[spawner_sku]])-FIND("/",Table11[[#This Row],[spawner_sku]])),Table1[Entity Prefab],0)),10,1,1,"Entities"))</f>
        <v>28</v>
      </c>
      <c r="CQ222">
        <f ca="1">ROUND((Table11[[#This Row],[XP]]*Table11[[#This Row],[entity_spawned (AVG)]])*(Table11[[#This Row],[activating_chance]]/100),0)</f>
        <v>42</v>
      </c>
      <c r="CR222" s="144" t="str">
        <f ca="1">INDIRECT(ADDRESS(11+(MATCH(RIGHT(Table11[[#This Row],[spawner_sku]],LEN(Table11[[#This Row],[spawner_sku]])-FIND("/",Table11[[#This Row],[spawner_sku]])),Table28[Entity Prefab],0)),25,1,1,"Entities"))</f>
        <v>no</v>
      </c>
      <c r="CS222" s="71">
        <v>1</v>
      </c>
      <c r="CT222" s="71">
        <v>2</v>
      </c>
      <c r="CU222" s="71" t="b">
        <v>0</v>
      </c>
      <c r="CW222" t="s">
        <v>366</v>
      </c>
      <c r="CX222">
        <v>1.5</v>
      </c>
      <c r="CY222">
        <v>100</v>
      </c>
      <c r="CZ222">
        <v>100</v>
      </c>
      <c r="DA222" s="74">
        <f ca="1">INDIRECT(ADDRESS(11+(MATCH(RIGHT(Table12[[#This Row],[spawner_sku]],LEN(Table12[[#This Row],[spawner_sku]])-FIND("/",Table12[[#This Row],[spawner_sku]])),Table1[Entity Prefab],0)),10,1,1,"Entities"))</f>
        <v>25</v>
      </c>
      <c r="DB222" s="74">
        <f ca="1">ROUND((Table12[[#This Row],[XP]]*Table12[[#This Row],[entity_spawned (AVG)]])*(Table12[[#This Row],[activating_chance]]/100),0)</f>
        <v>38</v>
      </c>
      <c r="DC222" s="144" t="str">
        <f ca="1">INDIRECT(ADDRESS(11+(MATCH(RIGHT(Table12[[#This Row],[spawner_sku]],LEN(Table12[[#This Row],[spawner_sku]])-FIND("/",Table12[[#This Row],[spawner_sku]])),Table28[Entity Prefab],0)),25,1,1,"Entities"))</f>
        <v>no</v>
      </c>
      <c r="DD222" s="71">
        <v>1</v>
      </c>
      <c r="DE222" s="71">
        <v>2</v>
      </c>
      <c r="DF222" s="71" t="b">
        <v>0</v>
      </c>
      <c r="DH222" t="s">
        <v>242</v>
      </c>
      <c r="DI222">
        <v>1</v>
      </c>
      <c r="DJ222">
        <v>150</v>
      </c>
      <c r="DK222">
        <v>100</v>
      </c>
      <c r="DL222" s="74">
        <f ca="1">INDIRECT(ADDRESS(11+(MATCH(RIGHT(Table13[[#This Row],[spawner_sku]],LEN(Table13[[#This Row],[spawner_sku]])-FIND("/",Table13[[#This Row],[spawner_sku]])),Table1[Entity Prefab],0)),10,1,1,"Entities"))</f>
        <v>25</v>
      </c>
      <c r="DM222" s="74">
        <f ca="1">ROUND((Table13[[#This Row],[XP]]*Table13[[#This Row],[entity_spawned (AVG)]])*(Table13[[#This Row],[activating_chance]]/100),0)</f>
        <v>25</v>
      </c>
      <c r="DN222" s="144" t="str">
        <f ca="1">INDIRECT(ADDRESS(11+(MATCH(RIGHT(Table13[[#This Row],[spawner_sku]],LEN(Table13[[#This Row],[spawner_sku]])-FIND("/",Table13[[#This Row],[spawner_sku]])),Table28[Entity Prefab],0)),25,1,1,"Entities"))</f>
        <v>no</v>
      </c>
      <c r="DO222" s="71">
        <v>1</v>
      </c>
      <c r="DP222" s="71">
        <v>1</v>
      </c>
      <c r="DQ222" s="71" t="b">
        <v>0</v>
      </c>
      <c r="DS222" t="s">
        <v>369</v>
      </c>
      <c r="DT222">
        <v>1</v>
      </c>
      <c r="DU222">
        <v>90</v>
      </c>
      <c r="DV222">
        <v>100</v>
      </c>
      <c r="DW222" s="74">
        <f ca="1">INDIRECT(ADDRESS(11+(MATCH(RIGHT(Table14[[#This Row],[spawner_sku]],LEN(Table14[[#This Row],[spawner_sku]])-FIND("/",Table14[[#This Row],[spawner_sku]])),Table1[Entity Prefab],0)),10,1,1,"Entities"))</f>
        <v>75</v>
      </c>
      <c r="DX222" s="74">
        <f ca="1">ROUND((Table14[[#This Row],[XP]]*Table14[[#This Row],[entity_spawned (AVG)]])*(Table14[[#This Row],[activating_chance]]/100),0)</f>
        <v>75</v>
      </c>
      <c r="DY222" s="144" t="str">
        <f ca="1">INDIRECT(ADDRESS(11+(MATCH(RIGHT(Table14[[#This Row],[spawner_sku]],LEN(Table14[[#This Row],[spawner_sku]])-FIND("/",Table14[[#This Row],[spawner_sku]])),Table28[Entity Prefab],0)),25,1,1,"Entities"))</f>
        <v>yes</v>
      </c>
      <c r="DZ222" s="71">
        <v>1</v>
      </c>
      <c r="EA222" s="71">
        <v>1</v>
      </c>
      <c r="EB222" s="71" t="b">
        <v>0</v>
      </c>
      <c r="EC222" s="71"/>
      <c r="EO222" t="s">
        <v>233</v>
      </c>
      <c r="EP222">
        <v>1</v>
      </c>
      <c r="EQ222">
        <v>500</v>
      </c>
      <c r="ER222">
        <v>75</v>
      </c>
      <c r="ES222" s="74">
        <f ca="1">INDIRECT(ADDRESS(11+(MATCH(RIGHT(Table18[[#This Row],[spawner_sku]],LEN(Table18[[#This Row],[spawner_sku]])-FIND("/",Table18[[#This Row],[spawner_sku]])),Table1[Entity Prefab],0)),10,1,1,"Entities"))</f>
        <v>25</v>
      </c>
      <c r="ET222" s="74">
        <f ca="1">ROUND((Table18[[#This Row],[XP]]*Table18[[#This Row],[entity_spawned (AVG)]])*(Table18[[#This Row],[activating_chance]]/100),0)</f>
        <v>19</v>
      </c>
      <c r="EU222" s="74" t="str">
        <f ca="1">INDIRECT(ADDRESS(11+(MATCH(RIGHT(Table18[[#This Row],[spawner_sku]],LEN(Table18[[#This Row],[spawner_sku]])-FIND("/",Table18[[#This Row],[spawner_sku]])),Table28[Entity Prefab],0)),26,1,1,"Entities"))</f>
        <v>no</v>
      </c>
      <c r="EV222">
        <v>1</v>
      </c>
      <c r="EW222">
        <v>1</v>
      </c>
      <c r="EX222" t="b">
        <v>0</v>
      </c>
      <c r="EZ222" t="s">
        <v>234</v>
      </c>
      <c r="FA222">
        <v>1</v>
      </c>
      <c r="FB222">
        <v>420</v>
      </c>
      <c r="FC222">
        <v>100</v>
      </c>
      <c r="FD222" s="74">
        <f ca="1">INDIRECT(ADDRESS(11+(MATCH(RIGHT(Table1820[[#This Row],[spawner_sku]],LEN(Table1820[[#This Row],[spawner_sku]])-FIND("/",Table1820[[#This Row],[spawner_sku]])),Table1[Entity Prefab],0)),10,1,1,"Entities"))</f>
        <v>83</v>
      </c>
      <c r="FE222" s="74">
        <f ca="1">ROUND((Table1820[[#This Row],[XP]]*Table1820[[#This Row],[entity_spawned (AVG)]])*(Table1820[[#This Row],[activating_chance]]/100),0)</f>
        <v>83</v>
      </c>
      <c r="FF222" s="74" t="str">
        <f ca="1">INDIRECT(ADDRESS(11+(MATCH(RIGHT(Table1820[[#This Row],[spawner_sku]],LEN(Table1820[[#This Row],[spawner_sku]])-FIND("/",Table1820[[#This Row],[spawner_sku]])),Table28[Entity Prefab],0)),26,1,1,"Entities"))</f>
        <v>yes</v>
      </c>
      <c r="FG222">
        <v>1</v>
      </c>
      <c r="FH222">
        <v>1</v>
      </c>
      <c r="FI222" t="b">
        <v>0</v>
      </c>
      <c r="FV222" t="s">
        <v>2702</v>
      </c>
      <c r="FW222">
        <v>3.5</v>
      </c>
      <c r="FX222">
        <v>90</v>
      </c>
      <c r="FY222">
        <v>100</v>
      </c>
      <c r="FZ222" s="74">
        <f ca="1">INDIRECT(ADDRESS(11+(MATCH(RIGHT(Table18202324[[#This Row],[spawner_sku]],LEN(Table18202324[[#This Row],[spawner_sku]])-FIND("/",Table18202324[[#This Row],[spawner_sku]])),Table1[Entity Prefab],0)),10,1,1,"Entities"))</f>
        <v>70</v>
      </c>
      <c r="GA222" s="74">
        <f ca="1">ROUND((Table18202324[[#This Row],[XP]]*Table18202324[[#This Row],[entity_spawned (AVG)]])*(Table18202324[[#This Row],[activating_chance]]/100),0)</f>
        <v>245</v>
      </c>
      <c r="GB222" s="74" t="str">
        <f ca="1">INDIRECT(ADDRESS(11+(MATCH(RIGHT(Table18202324[[#This Row],[spawner_sku]],LEN(Table18202324[[#This Row],[spawner_sku]])-FIND("/",Table18202324[[#This Row],[spawner_sku]])),Table28[Entity Prefab],0)),26,1,1,"Entities"))</f>
        <v>yes</v>
      </c>
      <c r="GC222">
        <v>3</v>
      </c>
      <c r="GD222">
        <v>4</v>
      </c>
      <c r="GE222" t="b">
        <v>0</v>
      </c>
    </row>
    <row r="223" spans="2:187" x14ac:dyDescent="0.25">
      <c r="B223" s="72" t="s">
        <v>219</v>
      </c>
      <c r="C223">
        <v>1.5</v>
      </c>
      <c r="D223">
        <v>200</v>
      </c>
      <c r="E223">
        <v>100</v>
      </c>
      <c r="F223" s="74">
        <f ca="1">INDIRECT(ADDRESS(11+(MATCH(RIGHT(Table245[[#This Row],[spawner_sku]],LEN(Table245[[#This Row],[spawner_sku]])-FIND("/",Table245[[#This Row],[spawner_sku]])),Table1[Entity Prefab],0)),10,1,1,"Entities"))</f>
        <v>143</v>
      </c>
      <c r="G223" s="74">
        <f ca="1">ROUND((Table245[[#This Row],[XP]]*Table245[[#This Row],[entity_spawned (AVG)]])*(Table245[[#This Row],[activating_chance]]/100),0)</f>
        <v>215</v>
      </c>
      <c r="H223" s="71" t="str">
        <f ca="1">INDIRECT(ADDRESS(11+(MATCH(RIGHT(Table245[[#This Row],[spawner_sku]],LEN(Table245[[#This Row],[spawner_sku]])-FIND("/",Table245[[#This Row],[spawner_sku]])),Table28[Entity Prefab],0)),24,1,1,"Entities"))</f>
        <v>yes</v>
      </c>
      <c r="I223" s="71">
        <v>1</v>
      </c>
      <c r="J223" s="71">
        <v>2</v>
      </c>
      <c r="K223" s="71" t="b">
        <v>0</v>
      </c>
      <c r="M223" t="s">
        <v>366</v>
      </c>
      <c r="N223">
        <v>1</v>
      </c>
      <c r="O223">
        <v>100</v>
      </c>
      <c r="P223">
        <v>100</v>
      </c>
      <c r="Q223" s="74">
        <f ca="1">INDIRECT(ADDRESS(11+(MATCH(RIGHT(Table3[[#This Row],[spawner_sku]],LEN(Table3[[#This Row],[spawner_sku]])-FIND("/",Table3[[#This Row],[spawner_sku]])),Table1[Entity Prefab],0)),10,1,1,"Entities"))</f>
        <v>25</v>
      </c>
      <c r="R223" s="74">
        <f ca="1">ROUND((Table3[[#This Row],[XP]]*Table3[[#This Row],[entity_spawned (AVG)]])*(Table3[[#This Row],[activating_chance]]/100),0)</f>
        <v>25</v>
      </c>
      <c r="S223" t="str">
        <f ca="1">INDIRECT(ADDRESS(11+(MATCH(RIGHT(Table3[[#This Row],[spawner_sku]],LEN(Table3[[#This Row],[spawner_sku]])-FIND("/",Table3[[#This Row],[spawner_sku]])),Table28[Entity Prefab],0)),24,1,1,"Entities"))</f>
        <v>no</v>
      </c>
      <c r="T223">
        <v>1</v>
      </c>
      <c r="U223">
        <v>1</v>
      </c>
      <c r="V223" t="b">
        <v>0</v>
      </c>
      <c r="AI223" t="s">
        <v>445</v>
      </c>
      <c r="AJ223">
        <v>1</v>
      </c>
      <c r="AK223">
        <v>220</v>
      </c>
      <c r="AL223">
        <v>100</v>
      </c>
      <c r="AM223" s="74">
        <f ca="1">INDIRECT(ADDRESS(11+(MATCH(RIGHT(Table2[[#This Row],[spawner_sku]],LEN(Table2[[#This Row],[spawner_sku]])-FIND("/",Table2[[#This Row],[spawner_sku]])),Table1[Entity Prefab],0)),10,1,1,"Entities"))</f>
        <v>50</v>
      </c>
      <c r="AN223" s="74">
        <f ca="1">ROUND((Table2[[#This Row],[XP]]*Table2[[#This Row],[entity_spawned (AVG)]])*(Table2[[#This Row],[activating_chance]]/100),0)</f>
        <v>50</v>
      </c>
      <c r="AO223" s="71" t="str">
        <f ca="1">INDIRECT(ADDRESS(11+(MATCH(RIGHT(Table2[[#This Row],[spawner_sku]],LEN(Table2[[#This Row],[spawner_sku]])-FIND("/",Table2[[#This Row],[spawner_sku]])),Table28[Entity Prefab],0)),24,1,1,"Entities"))</f>
        <v>yes</v>
      </c>
      <c r="AP223" s="71">
        <v>1</v>
      </c>
      <c r="AQ223" s="71">
        <v>1</v>
      </c>
      <c r="AR223" s="71" t="b">
        <v>0</v>
      </c>
      <c r="BE223" t="s">
        <v>242</v>
      </c>
      <c r="BF223">
        <v>1</v>
      </c>
      <c r="BG223">
        <v>170</v>
      </c>
      <c r="BH223">
        <v>40</v>
      </c>
      <c r="BI223" s="74">
        <f ca="1">INDIRECT(ADDRESS(11+(MATCH(RIGHT(Table610[[#This Row],[spawner_sku]],LEN(Table610[[#This Row],[spawner_sku]])-FIND("/",Table610[[#This Row],[spawner_sku]])),Table1[Entity Prefab],0)),10,1,1,"Entities"))</f>
        <v>25</v>
      </c>
      <c r="BJ223" s="74">
        <f ca="1">ROUND((Table610[[#This Row],[XP]]*Table610[[#This Row],[entity_spawned (AVG)]])*(Table610[[#This Row],[activating_chance]]/100),0)</f>
        <v>10</v>
      </c>
      <c r="BK223" s="71" t="str">
        <f ca="1">INDIRECT(ADDRESS(11+(MATCH(RIGHT(Table610[[#This Row],[spawner_sku]],LEN(Table610[[#This Row],[spawner_sku]])-FIND("/",Table610[[#This Row],[spawner_sku]])),Table28[Entity Prefab],0)),24,1,1,"Entities"))</f>
        <v>no</v>
      </c>
      <c r="BL223">
        <v>1</v>
      </c>
      <c r="BM223">
        <v>1</v>
      </c>
      <c r="BN223" t="b">
        <v>0</v>
      </c>
      <c r="BP223" t="s">
        <v>570</v>
      </c>
      <c r="BQ223">
        <v>1</v>
      </c>
      <c r="BR223">
        <v>110</v>
      </c>
      <c r="BS223">
        <v>100</v>
      </c>
      <c r="BT223" s="74">
        <f ca="1">INDIRECT(ADDRESS(11+(MATCH(RIGHT(Table61011[[#This Row],[spawner_sku]],LEN(Table61011[[#This Row],[spawner_sku]])-FIND("/",Table61011[[#This Row],[spawner_sku]])),Table1[Entity Prefab],0)),10,1,1,"Entities"))</f>
        <v>50</v>
      </c>
      <c r="BU223" s="74">
        <f ca="1">ROUND((Table61011[[#This Row],[XP]]*Table61011[[#This Row],[entity_spawned (AVG)]])*(Table61011[[#This Row],[activating_chance]]/100),0)</f>
        <v>50</v>
      </c>
      <c r="BV223" s="71" t="str">
        <f ca="1">INDIRECT(ADDRESS(11+(MATCH(RIGHT(Table61011[[#This Row],[spawner_sku]],LEN(Table61011[[#This Row],[spawner_sku]])-FIND("/",Table61011[[#This Row],[spawner_sku]])),Table28[Entity Prefab],0)),24,1,1,"Entities"))</f>
        <v>no</v>
      </c>
      <c r="BW223" s="71">
        <v>1</v>
      </c>
      <c r="BX223" s="71">
        <v>1</v>
      </c>
      <c r="BY223" s="71" t="b">
        <v>0</v>
      </c>
      <c r="BZ223" s="71"/>
      <c r="CA223" s="147" t="s">
        <v>3816</v>
      </c>
      <c r="CB223">
        <v>1</v>
      </c>
      <c r="CC223">
        <v>240</v>
      </c>
      <c r="CD223">
        <v>100</v>
      </c>
      <c r="CE223" s="74">
        <f ca="1">INDIRECT(ADDRESS(11+(MATCH(RIGHT(Table35[[#This Row],[spawner_sku]],LEN(Table35[[#This Row],[spawner_sku]])-FIND("/",Table35[[#This Row],[spawner_sku]])),Table1[Entity Prefab],0)),10,1,1,"Entities"))</f>
        <v>50</v>
      </c>
      <c r="CF223" s="74">
        <f ca="1">ROUND((Table35[[#This Row],[XP]]*Table35[[#This Row],[entity_spawned (AVG)]])*(Table35[[#This Row],[activating_chance]]/100),0)</f>
        <v>50</v>
      </c>
      <c r="CG223" s="144" t="str">
        <f ca="1">INDIRECT(ADDRESS(11+(MATCH(RIGHT(Table35[[#This Row],[spawner_sku]],LEN(Table35[[#This Row],[spawner_sku]])-FIND("/",Table35[[#This Row],[spawner_sku]])),Table28[Entity Prefab],0)),24,1,1,"Entities"))</f>
        <v>no</v>
      </c>
      <c r="CH223">
        <v>1</v>
      </c>
      <c r="CI223">
        <v>1</v>
      </c>
      <c r="CJ223" s="71" t="b">
        <v>0</v>
      </c>
      <c r="CL223" t="s">
        <v>230</v>
      </c>
      <c r="CM223">
        <v>1.5</v>
      </c>
      <c r="CN223">
        <v>200</v>
      </c>
      <c r="CO223">
        <v>100</v>
      </c>
      <c r="CP223" s="74">
        <f ca="1">INDIRECT(ADDRESS(11+(MATCH(RIGHT(Table11[[#This Row],[spawner_sku]],LEN(Table11[[#This Row],[spawner_sku]])-FIND("/",Table11[[#This Row],[spawner_sku]])),Table1[Entity Prefab],0)),10,1,1,"Entities"))</f>
        <v>28</v>
      </c>
      <c r="CQ223">
        <f ca="1">ROUND((Table11[[#This Row],[XP]]*Table11[[#This Row],[entity_spawned (AVG)]])*(Table11[[#This Row],[activating_chance]]/100),0)</f>
        <v>42</v>
      </c>
      <c r="CR223" s="144" t="str">
        <f ca="1">INDIRECT(ADDRESS(11+(MATCH(RIGHT(Table11[[#This Row],[spawner_sku]],LEN(Table11[[#This Row],[spawner_sku]])-FIND("/",Table11[[#This Row],[spawner_sku]])),Table28[Entity Prefab],0)),25,1,1,"Entities"))</f>
        <v>no</v>
      </c>
      <c r="CS223" s="71">
        <v>1</v>
      </c>
      <c r="CT223" s="71">
        <v>2</v>
      </c>
      <c r="CU223" s="71" t="b">
        <v>0</v>
      </c>
      <c r="CW223" t="s">
        <v>366</v>
      </c>
      <c r="CX223">
        <v>1.5</v>
      </c>
      <c r="CY223">
        <v>100</v>
      </c>
      <c r="CZ223">
        <v>100</v>
      </c>
      <c r="DA223" s="74">
        <f ca="1">INDIRECT(ADDRESS(11+(MATCH(RIGHT(Table12[[#This Row],[spawner_sku]],LEN(Table12[[#This Row],[spawner_sku]])-FIND("/",Table12[[#This Row],[spawner_sku]])),Table1[Entity Prefab],0)),10,1,1,"Entities"))</f>
        <v>25</v>
      </c>
      <c r="DB223" s="74">
        <f ca="1">ROUND((Table12[[#This Row],[XP]]*Table12[[#This Row],[entity_spawned (AVG)]])*(Table12[[#This Row],[activating_chance]]/100),0)</f>
        <v>38</v>
      </c>
      <c r="DC223" s="144" t="str">
        <f ca="1">INDIRECT(ADDRESS(11+(MATCH(RIGHT(Table12[[#This Row],[spawner_sku]],LEN(Table12[[#This Row],[spawner_sku]])-FIND("/",Table12[[#This Row],[spawner_sku]])),Table28[Entity Prefab],0)),25,1,1,"Entities"))</f>
        <v>no</v>
      </c>
      <c r="DD223" s="71">
        <v>1</v>
      </c>
      <c r="DE223" s="71">
        <v>2</v>
      </c>
      <c r="DF223" s="71" t="b">
        <v>0</v>
      </c>
      <c r="DH223" t="s">
        <v>242</v>
      </c>
      <c r="DI223">
        <v>1.5</v>
      </c>
      <c r="DJ223">
        <v>150</v>
      </c>
      <c r="DK223">
        <v>100</v>
      </c>
      <c r="DL223" s="74">
        <f ca="1">INDIRECT(ADDRESS(11+(MATCH(RIGHT(Table13[[#This Row],[spawner_sku]],LEN(Table13[[#This Row],[spawner_sku]])-FIND("/",Table13[[#This Row],[spawner_sku]])),Table1[Entity Prefab],0)),10,1,1,"Entities"))</f>
        <v>25</v>
      </c>
      <c r="DM223" s="74">
        <f ca="1">ROUND((Table13[[#This Row],[XP]]*Table13[[#This Row],[entity_spawned (AVG)]])*(Table13[[#This Row],[activating_chance]]/100),0)</f>
        <v>38</v>
      </c>
      <c r="DN223" s="144" t="str">
        <f ca="1">INDIRECT(ADDRESS(11+(MATCH(RIGHT(Table13[[#This Row],[spawner_sku]],LEN(Table13[[#This Row],[spawner_sku]])-FIND("/",Table13[[#This Row],[spawner_sku]])),Table28[Entity Prefab],0)),25,1,1,"Entities"))</f>
        <v>no</v>
      </c>
      <c r="DO223" s="71">
        <v>1</v>
      </c>
      <c r="DP223" s="71">
        <v>2</v>
      </c>
      <c r="DQ223" s="71" t="b">
        <v>0</v>
      </c>
      <c r="DS223" t="s">
        <v>369</v>
      </c>
      <c r="DT223">
        <v>1</v>
      </c>
      <c r="DU223">
        <v>180</v>
      </c>
      <c r="DV223">
        <v>100</v>
      </c>
      <c r="DW223" s="74">
        <f ca="1">INDIRECT(ADDRESS(11+(MATCH(RIGHT(Table14[[#This Row],[spawner_sku]],LEN(Table14[[#This Row],[spawner_sku]])-FIND("/",Table14[[#This Row],[spawner_sku]])),Table1[Entity Prefab],0)),10,1,1,"Entities"))</f>
        <v>75</v>
      </c>
      <c r="DX223" s="74">
        <f ca="1">ROUND((Table14[[#This Row],[XP]]*Table14[[#This Row],[entity_spawned (AVG)]])*(Table14[[#This Row],[activating_chance]]/100),0)</f>
        <v>75</v>
      </c>
      <c r="DY223" s="144" t="str">
        <f ca="1">INDIRECT(ADDRESS(11+(MATCH(RIGHT(Table14[[#This Row],[spawner_sku]],LEN(Table14[[#This Row],[spawner_sku]])-FIND("/",Table14[[#This Row],[spawner_sku]])),Table28[Entity Prefab],0)),25,1,1,"Entities"))</f>
        <v>yes</v>
      </c>
      <c r="DZ223" s="71">
        <v>1</v>
      </c>
      <c r="EA223" s="71">
        <v>1</v>
      </c>
      <c r="EB223" s="71" t="b">
        <v>0</v>
      </c>
      <c r="EC223" s="71"/>
      <c r="EO223" t="s">
        <v>5003</v>
      </c>
      <c r="EP223">
        <v>1</v>
      </c>
      <c r="EQ223">
        <v>5000</v>
      </c>
      <c r="ER223">
        <v>80</v>
      </c>
      <c r="ES223" s="74">
        <f ca="1">INDIRECT(ADDRESS(11+(MATCH(RIGHT(Table18[[#This Row],[spawner_sku]],LEN(Table18[[#This Row],[spawner_sku]])-FIND("/",Table18[[#This Row],[spawner_sku]])),Table1[Entity Prefab],0)),10,1,1,"Entities"))</f>
        <v>25</v>
      </c>
      <c r="ET223" s="74">
        <f ca="1">ROUND((Table18[[#This Row],[XP]]*Table18[[#This Row],[entity_spawned (AVG)]])*(Table18[[#This Row],[activating_chance]]/100),0)</f>
        <v>20</v>
      </c>
      <c r="EU223" s="74" t="str">
        <f ca="1">INDIRECT(ADDRESS(11+(MATCH(RIGHT(Table18[[#This Row],[spawner_sku]],LEN(Table18[[#This Row],[spawner_sku]])-FIND("/",Table18[[#This Row],[spawner_sku]])),Table28[Entity Prefab],0)),26,1,1,"Entities"))</f>
        <v>no</v>
      </c>
      <c r="EV223">
        <v>1</v>
      </c>
      <c r="EW223">
        <v>1</v>
      </c>
      <c r="EX223" t="b">
        <v>0</v>
      </c>
      <c r="EZ223" t="s">
        <v>5002</v>
      </c>
      <c r="FA223">
        <v>2.5</v>
      </c>
      <c r="FB223">
        <v>95</v>
      </c>
      <c r="FC223">
        <v>100</v>
      </c>
      <c r="FD223" s="74">
        <f ca="1">INDIRECT(ADDRESS(11+(MATCH(RIGHT(Table1820[[#This Row],[spawner_sku]],LEN(Table1820[[#This Row],[spawner_sku]])-FIND("/",Table1820[[#This Row],[spawner_sku]])),Table1[Entity Prefab],0)),10,1,1,"Entities"))</f>
        <v>40</v>
      </c>
      <c r="FE223" s="74">
        <f ca="1">ROUND((Table1820[[#This Row],[XP]]*Table1820[[#This Row],[entity_spawned (AVG)]])*(Table1820[[#This Row],[activating_chance]]/100),0)</f>
        <v>100</v>
      </c>
      <c r="FF223" s="74" t="str">
        <f ca="1">INDIRECT(ADDRESS(11+(MATCH(RIGHT(Table1820[[#This Row],[spawner_sku]],LEN(Table1820[[#This Row],[spawner_sku]])-FIND("/",Table1820[[#This Row],[spawner_sku]])),Table28[Entity Prefab],0)),26,1,1,"Entities"))</f>
        <v>no</v>
      </c>
      <c r="FG223">
        <v>2</v>
      </c>
      <c r="FH223">
        <v>3</v>
      </c>
      <c r="FI223" t="b">
        <v>0</v>
      </c>
      <c r="FV223" t="s">
        <v>2702</v>
      </c>
      <c r="FW223">
        <v>5.5</v>
      </c>
      <c r="FX223">
        <v>100</v>
      </c>
      <c r="FY223">
        <v>100</v>
      </c>
      <c r="FZ223" s="74">
        <f ca="1">INDIRECT(ADDRESS(11+(MATCH(RIGHT(Table18202324[[#This Row],[spawner_sku]],LEN(Table18202324[[#This Row],[spawner_sku]])-FIND("/",Table18202324[[#This Row],[spawner_sku]])),Table1[Entity Prefab],0)),10,1,1,"Entities"))</f>
        <v>70</v>
      </c>
      <c r="GA223" s="74">
        <f ca="1">ROUND((Table18202324[[#This Row],[XP]]*Table18202324[[#This Row],[entity_spawned (AVG)]])*(Table18202324[[#This Row],[activating_chance]]/100),0)</f>
        <v>385</v>
      </c>
      <c r="GB223" s="74" t="str">
        <f ca="1">INDIRECT(ADDRESS(11+(MATCH(RIGHT(Table18202324[[#This Row],[spawner_sku]],LEN(Table18202324[[#This Row],[spawner_sku]])-FIND("/",Table18202324[[#This Row],[spawner_sku]])),Table28[Entity Prefab],0)),26,1,1,"Entities"))</f>
        <v>yes</v>
      </c>
      <c r="GC223">
        <v>5</v>
      </c>
      <c r="GD223">
        <v>6</v>
      </c>
      <c r="GE223" t="b">
        <v>1</v>
      </c>
    </row>
    <row r="224" spans="2:187" x14ac:dyDescent="0.25">
      <c r="B224" s="72" t="s">
        <v>219</v>
      </c>
      <c r="C224">
        <v>1.5</v>
      </c>
      <c r="D224">
        <v>200</v>
      </c>
      <c r="E224">
        <v>100</v>
      </c>
      <c r="F224" s="74">
        <f ca="1">INDIRECT(ADDRESS(11+(MATCH(RIGHT(Table245[[#This Row],[spawner_sku]],LEN(Table245[[#This Row],[spawner_sku]])-FIND("/",Table245[[#This Row],[spawner_sku]])),Table1[Entity Prefab],0)),10,1,1,"Entities"))</f>
        <v>143</v>
      </c>
      <c r="G224" s="74">
        <f ca="1">ROUND((Table245[[#This Row],[XP]]*Table245[[#This Row],[entity_spawned (AVG)]])*(Table245[[#This Row],[activating_chance]]/100),0)</f>
        <v>215</v>
      </c>
      <c r="H224" s="71" t="str">
        <f ca="1">INDIRECT(ADDRESS(11+(MATCH(RIGHT(Table245[[#This Row],[spawner_sku]],LEN(Table245[[#This Row],[spawner_sku]])-FIND("/",Table245[[#This Row],[spawner_sku]])),Table28[Entity Prefab],0)),24,1,1,"Entities"))</f>
        <v>yes</v>
      </c>
      <c r="I224" s="71">
        <v>1</v>
      </c>
      <c r="J224" s="71">
        <v>2</v>
      </c>
      <c r="K224" s="71" t="b">
        <v>0</v>
      </c>
      <c r="M224" t="s">
        <v>366</v>
      </c>
      <c r="N224">
        <v>3.5</v>
      </c>
      <c r="O224">
        <v>100</v>
      </c>
      <c r="P224">
        <v>100</v>
      </c>
      <c r="Q224" s="74">
        <f ca="1">INDIRECT(ADDRESS(11+(MATCH(RIGHT(Table3[[#This Row],[spawner_sku]],LEN(Table3[[#This Row],[spawner_sku]])-FIND("/",Table3[[#This Row],[spawner_sku]])),Table1[Entity Prefab],0)),10,1,1,"Entities"))</f>
        <v>25</v>
      </c>
      <c r="R224" s="74">
        <f ca="1">ROUND((Table3[[#This Row],[XP]]*Table3[[#This Row],[entity_spawned (AVG)]])*(Table3[[#This Row],[activating_chance]]/100),0)</f>
        <v>88</v>
      </c>
      <c r="S224" t="str">
        <f ca="1">INDIRECT(ADDRESS(11+(MATCH(RIGHT(Table3[[#This Row],[spawner_sku]],LEN(Table3[[#This Row],[spawner_sku]])-FIND("/",Table3[[#This Row],[spawner_sku]])),Table28[Entity Prefab],0)),24,1,1,"Entities"))</f>
        <v>no</v>
      </c>
      <c r="T224">
        <v>3</v>
      </c>
      <c r="U224">
        <v>4</v>
      </c>
      <c r="V224" t="b">
        <v>0</v>
      </c>
      <c r="AI224" t="s">
        <v>446</v>
      </c>
      <c r="AJ224">
        <v>1</v>
      </c>
      <c r="AK224">
        <v>240</v>
      </c>
      <c r="AL224">
        <v>100</v>
      </c>
      <c r="AM224" s="74">
        <f ca="1">INDIRECT(ADDRESS(11+(MATCH(RIGHT(Table2[[#This Row],[spawner_sku]],LEN(Table2[[#This Row],[spawner_sku]])-FIND("/",Table2[[#This Row],[spawner_sku]])),Table1[Entity Prefab],0)),10,1,1,"Entities"))</f>
        <v>83</v>
      </c>
      <c r="AN224" s="74">
        <f ca="1">ROUND((Table2[[#This Row],[XP]]*Table2[[#This Row],[entity_spawned (AVG)]])*(Table2[[#This Row],[activating_chance]]/100),0)</f>
        <v>83</v>
      </c>
      <c r="AO224" s="71" t="str">
        <f ca="1">INDIRECT(ADDRESS(11+(MATCH(RIGHT(Table2[[#This Row],[spawner_sku]],LEN(Table2[[#This Row],[spawner_sku]])-FIND("/",Table2[[#This Row],[spawner_sku]])),Table28[Entity Prefab],0)),24,1,1,"Entities"))</f>
        <v>yes</v>
      </c>
      <c r="AP224" s="71">
        <v>1</v>
      </c>
      <c r="AQ224" s="71">
        <v>1</v>
      </c>
      <c r="AR224" s="71" t="b">
        <v>0</v>
      </c>
      <c r="BE224" t="s">
        <v>242</v>
      </c>
      <c r="BF224">
        <v>1</v>
      </c>
      <c r="BG224">
        <v>200</v>
      </c>
      <c r="BH224">
        <v>80</v>
      </c>
      <c r="BI224" s="74">
        <f ca="1">INDIRECT(ADDRESS(11+(MATCH(RIGHT(Table610[[#This Row],[spawner_sku]],LEN(Table610[[#This Row],[spawner_sku]])-FIND("/",Table610[[#This Row],[spawner_sku]])),Table1[Entity Prefab],0)),10,1,1,"Entities"))</f>
        <v>25</v>
      </c>
      <c r="BJ224" s="74">
        <f ca="1">ROUND((Table610[[#This Row],[XP]]*Table610[[#This Row],[entity_spawned (AVG)]])*(Table610[[#This Row],[activating_chance]]/100),0)</f>
        <v>20</v>
      </c>
      <c r="BK224" s="71" t="str">
        <f ca="1">INDIRECT(ADDRESS(11+(MATCH(RIGHT(Table610[[#This Row],[spawner_sku]],LEN(Table610[[#This Row],[spawner_sku]])-FIND("/",Table610[[#This Row],[spawner_sku]])),Table28[Entity Prefab],0)),24,1,1,"Entities"))</f>
        <v>no</v>
      </c>
      <c r="BL224">
        <v>1</v>
      </c>
      <c r="BM224">
        <v>1</v>
      </c>
      <c r="BN224" t="b">
        <v>0</v>
      </c>
      <c r="BP224" t="s">
        <v>570</v>
      </c>
      <c r="BQ224">
        <v>1</v>
      </c>
      <c r="BR224">
        <v>110</v>
      </c>
      <c r="BS224">
        <v>100</v>
      </c>
      <c r="BT224" s="74">
        <f ca="1">INDIRECT(ADDRESS(11+(MATCH(RIGHT(Table61011[[#This Row],[spawner_sku]],LEN(Table61011[[#This Row],[spawner_sku]])-FIND("/",Table61011[[#This Row],[spawner_sku]])),Table1[Entity Prefab],0)),10,1,1,"Entities"))</f>
        <v>50</v>
      </c>
      <c r="BU224" s="74">
        <f ca="1">ROUND((Table61011[[#This Row],[XP]]*Table61011[[#This Row],[entity_spawned (AVG)]])*(Table61011[[#This Row],[activating_chance]]/100),0)</f>
        <v>50</v>
      </c>
      <c r="BV224" s="71" t="str">
        <f ca="1">INDIRECT(ADDRESS(11+(MATCH(RIGHT(Table61011[[#This Row],[spawner_sku]],LEN(Table61011[[#This Row],[spawner_sku]])-FIND("/",Table61011[[#This Row],[spawner_sku]])),Table28[Entity Prefab],0)),24,1,1,"Entities"))</f>
        <v>no</v>
      </c>
      <c r="BW224" s="71">
        <v>1</v>
      </c>
      <c r="BX224" s="71">
        <v>1</v>
      </c>
      <c r="BY224" s="71" t="b">
        <v>0</v>
      </c>
      <c r="BZ224" s="71"/>
      <c r="CA224" s="147" t="s">
        <v>3816</v>
      </c>
      <c r="CB224">
        <v>1</v>
      </c>
      <c r="CC224">
        <v>240</v>
      </c>
      <c r="CD224">
        <v>100</v>
      </c>
      <c r="CE224" s="74">
        <f ca="1">INDIRECT(ADDRESS(11+(MATCH(RIGHT(Table35[[#This Row],[spawner_sku]],LEN(Table35[[#This Row],[spawner_sku]])-FIND("/",Table35[[#This Row],[spawner_sku]])),Table1[Entity Prefab],0)),10,1,1,"Entities"))</f>
        <v>50</v>
      </c>
      <c r="CF224" s="74">
        <f ca="1">ROUND((Table35[[#This Row],[XP]]*Table35[[#This Row],[entity_spawned (AVG)]])*(Table35[[#This Row],[activating_chance]]/100),0)</f>
        <v>50</v>
      </c>
      <c r="CG224" s="144" t="str">
        <f ca="1">INDIRECT(ADDRESS(11+(MATCH(RIGHT(Table35[[#This Row],[spawner_sku]],LEN(Table35[[#This Row],[spawner_sku]])-FIND("/",Table35[[#This Row],[spawner_sku]])),Table28[Entity Prefab],0)),24,1,1,"Entities"))</f>
        <v>no</v>
      </c>
      <c r="CH224">
        <v>1</v>
      </c>
      <c r="CI224">
        <v>1</v>
      </c>
      <c r="CJ224" s="71" t="b">
        <v>0</v>
      </c>
      <c r="CL224" t="s">
        <v>230</v>
      </c>
      <c r="CM224">
        <v>1.5</v>
      </c>
      <c r="CN224">
        <v>200</v>
      </c>
      <c r="CO224">
        <v>100</v>
      </c>
      <c r="CP224" s="74">
        <f ca="1">INDIRECT(ADDRESS(11+(MATCH(RIGHT(Table11[[#This Row],[spawner_sku]],LEN(Table11[[#This Row],[spawner_sku]])-FIND("/",Table11[[#This Row],[spawner_sku]])),Table1[Entity Prefab],0)),10,1,1,"Entities"))</f>
        <v>28</v>
      </c>
      <c r="CQ224">
        <f ca="1">ROUND((Table11[[#This Row],[XP]]*Table11[[#This Row],[entity_spawned (AVG)]])*(Table11[[#This Row],[activating_chance]]/100),0)</f>
        <v>42</v>
      </c>
      <c r="CR224" s="144" t="str">
        <f ca="1">INDIRECT(ADDRESS(11+(MATCH(RIGHT(Table11[[#This Row],[spawner_sku]],LEN(Table11[[#This Row],[spawner_sku]])-FIND("/",Table11[[#This Row],[spawner_sku]])),Table28[Entity Prefab],0)),25,1,1,"Entities"))</f>
        <v>no</v>
      </c>
      <c r="CS224" s="71">
        <v>1</v>
      </c>
      <c r="CT224" s="71">
        <v>2</v>
      </c>
      <c r="CU224" s="71" t="b">
        <v>0</v>
      </c>
      <c r="CW224" t="s">
        <v>366</v>
      </c>
      <c r="CX224">
        <v>2.5</v>
      </c>
      <c r="CY224">
        <v>100</v>
      </c>
      <c r="CZ224">
        <v>30</v>
      </c>
      <c r="DA224" s="74">
        <f ca="1">INDIRECT(ADDRESS(11+(MATCH(RIGHT(Table12[[#This Row],[spawner_sku]],LEN(Table12[[#This Row],[spawner_sku]])-FIND("/",Table12[[#This Row],[spawner_sku]])),Table1[Entity Prefab],0)),10,1,1,"Entities"))</f>
        <v>25</v>
      </c>
      <c r="DB224" s="74">
        <f ca="1">ROUND((Table12[[#This Row],[XP]]*Table12[[#This Row],[entity_spawned (AVG)]])*(Table12[[#This Row],[activating_chance]]/100),0)</f>
        <v>19</v>
      </c>
      <c r="DC224" s="144" t="str">
        <f ca="1">INDIRECT(ADDRESS(11+(MATCH(RIGHT(Table12[[#This Row],[spawner_sku]],LEN(Table12[[#This Row],[spawner_sku]])-FIND("/",Table12[[#This Row],[spawner_sku]])),Table28[Entity Prefab],0)),25,1,1,"Entities"))</f>
        <v>no</v>
      </c>
      <c r="DD224" s="71">
        <v>2</v>
      </c>
      <c r="DE224" s="71">
        <v>3</v>
      </c>
      <c r="DF224" s="71" t="b">
        <v>0</v>
      </c>
      <c r="DH224" t="s">
        <v>242</v>
      </c>
      <c r="DI224">
        <v>1</v>
      </c>
      <c r="DJ224">
        <v>150</v>
      </c>
      <c r="DK224">
        <v>100</v>
      </c>
      <c r="DL224" s="74">
        <f ca="1">INDIRECT(ADDRESS(11+(MATCH(RIGHT(Table13[[#This Row],[spawner_sku]],LEN(Table13[[#This Row],[spawner_sku]])-FIND("/",Table13[[#This Row],[spawner_sku]])),Table1[Entity Prefab],0)),10,1,1,"Entities"))</f>
        <v>25</v>
      </c>
      <c r="DM224" s="74">
        <f ca="1">ROUND((Table13[[#This Row],[XP]]*Table13[[#This Row],[entity_spawned (AVG)]])*(Table13[[#This Row],[activating_chance]]/100),0)</f>
        <v>25</v>
      </c>
      <c r="DN224" s="144" t="str">
        <f ca="1">INDIRECT(ADDRESS(11+(MATCH(RIGHT(Table13[[#This Row],[spawner_sku]],LEN(Table13[[#This Row],[spawner_sku]])-FIND("/",Table13[[#This Row],[spawner_sku]])),Table28[Entity Prefab],0)),25,1,1,"Entities"))</f>
        <v>no</v>
      </c>
      <c r="DO224" s="71">
        <v>1</v>
      </c>
      <c r="DP224" s="71">
        <v>1</v>
      </c>
      <c r="DQ224" s="71" t="b">
        <v>0</v>
      </c>
      <c r="DS224" t="s">
        <v>369</v>
      </c>
      <c r="DT224">
        <v>1</v>
      </c>
      <c r="DU224">
        <v>150</v>
      </c>
      <c r="DV224">
        <v>100</v>
      </c>
      <c r="DW224" s="74">
        <f ca="1">INDIRECT(ADDRESS(11+(MATCH(RIGHT(Table14[[#This Row],[spawner_sku]],LEN(Table14[[#This Row],[spawner_sku]])-FIND("/",Table14[[#This Row],[spawner_sku]])),Table1[Entity Prefab],0)),10,1,1,"Entities"))</f>
        <v>75</v>
      </c>
      <c r="DX224" s="74">
        <f ca="1">ROUND((Table14[[#This Row],[XP]]*Table14[[#This Row],[entity_spawned (AVG)]])*(Table14[[#This Row],[activating_chance]]/100),0)</f>
        <v>75</v>
      </c>
      <c r="DY224" s="144" t="str">
        <f ca="1">INDIRECT(ADDRESS(11+(MATCH(RIGHT(Table14[[#This Row],[spawner_sku]],LEN(Table14[[#This Row],[spawner_sku]])-FIND("/",Table14[[#This Row],[spawner_sku]])),Table28[Entity Prefab],0)),25,1,1,"Entities"))</f>
        <v>yes</v>
      </c>
      <c r="DZ224" s="71">
        <v>1</v>
      </c>
      <c r="EA224" s="71">
        <v>1</v>
      </c>
      <c r="EB224" s="71" t="b">
        <v>0</v>
      </c>
      <c r="EC224" s="71"/>
      <c r="EO224" t="s">
        <v>5003</v>
      </c>
      <c r="EP224">
        <v>1</v>
      </c>
      <c r="EQ224">
        <v>5000</v>
      </c>
      <c r="ER224">
        <v>50</v>
      </c>
      <c r="ES224" s="74">
        <f ca="1">INDIRECT(ADDRESS(11+(MATCH(RIGHT(Table18[[#This Row],[spawner_sku]],LEN(Table18[[#This Row],[spawner_sku]])-FIND("/",Table18[[#This Row],[spawner_sku]])),Table1[Entity Prefab],0)),10,1,1,"Entities"))</f>
        <v>25</v>
      </c>
      <c r="ET224" s="74">
        <f ca="1">ROUND((Table18[[#This Row],[XP]]*Table18[[#This Row],[entity_spawned (AVG)]])*(Table18[[#This Row],[activating_chance]]/100),0)</f>
        <v>13</v>
      </c>
      <c r="EU224" s="74" t="str">
        <f ca="1">INDIRECT(ADDRESS(11+(MATCH(RIGHT(Table18[[#This Row],[spawner_sku]],LEN(Table18[[#This Row],[spawner_sku]])-FIND("/",Table18[[#This Row],[spawner_sku]])),Table28[Entity Prefab],0)),26,1,1,"Entities"))</f>
        <v>no</v>
      </c>
      <c r="EV224">
        <v>1</v>
      </c>
      <c r="EW224">
        <v>1</v>
      </c>
      <c r="EX224" t="b">
        <v>0</v>
      </c>
      <c r="EZ224" t="s">
        <v>5002</v>
      </c>
      <c r="FA224">
        <v>3.5</v>
      </c>
      <c r="FB224">
        <v>85</v>
      </c>
      <c r="FC224">
        <v>100</v>
      </c>
      <c r="FD224" s="74">
        <f ca="1">INDIRECT(ADDRESS(11+(MATCH(RIGHT(Table1820[[#This Row],[spawner_sku]],LEN(Table1820[[#This Row],[spawner_sku]])-FIND("/",Table1820[[#This Row],[spawner_sku]])),Table1[Entity Prefab],0)),10,1,1,"Entities"))</f>
        <v>40</v>
      </c>
      <c r="FE224" s="74">
        <f ca="1">ROUND((Table1820[[#This Row],[XP]]*Table1820[[#This Row],[entity_spawned (AVG)]])*(Table1820[[#This Row],[activating_chance]]/100),0)</f>
        <v>140</v>
      </c>
      <c r="FF224" s="74" t="str">
        <f ca="1">INDIRECT(ADDRESS(11+(MATCH(RIGHT(Table1820[[#This Row],[spawner_sku]],LEN(Table1820[[#This Row],[spawner_sku]])-FIND("/",Table1820[[#This Row],[spawner_sku]])),Table28[Entity Prefab],0)),26,1,1,"Entities"))</f>
        <v>no</v>
      </c>
      <c r="FG224">
        <v>3</v>
      </c>
      <c r="FH224">
        <v>4</v>
      </c>
      <c r="FI224" t="b">
        <v>0</v>
      </c>
      <c r="FV224" t="s">
        <v>2703</v>
      </c>
      <c r="FW224">
        <v>1</v>
      </c>
      <c r="FX224">
        <v>140</v>
      </c>
      <c r="FY224">
        <v>100</v>
      </c>
      <c r="FZ224" s="74">
        <f ca="1">INDIRECT(ADDRESS(11+(MATCH(RIGHT(Table18202324[[#This Row],[spawner_sku]],LEN(Table18202324[[#This Row],[spawner_sku]])-FIND("/",Table18202324[[#This Row],[spawner_sku]])),Table1[Entity Prefab],0)),10,1,1,"Entities"))</f>
        <v>195</v>
      </c>
      <c r="GA224" s="74">
        <f ca="1">ROUND((Table18202324[[#This Row],[XP]]*Table18202324[[#This Row],[entity_spawned (AVG)]])*(Table18202324[[#This Row],[activating_chance]]/100),0)</f>
        <v>195</v>
      </c>
      <c r="GB224" s="74" t="str">
        <f ca="1">INDIRECT(ADDRESS(11+(MATCH(RIGHT(Table18202324[[#This Row],[spawner_sku]],LEN(Table18202324[[#This Row],[spawner_sku]])-FIND("/",Table18202324[[#This Row],[spawner_sku]])),Table28[Entity Prefab],0)),26,1,1,"Entities"))</f>
        <v>yes</v>
      </c>
      <c r="GC224">
        <v>1</v>
      </c>
      <c r="GD224">
        <v>1</v>
      </c>
      <c r="GE224" t="b">
        <v>0</v>
      </c>
    </row>
    <row r="225" spans="2:187" x14ac:dyDescent="0.25">
      <c r="B225" s="72" t="s">
        <v>219</v>
      </c>
      <c r="C225">
        <v>2</v>
      </c>
      <c r="D225">
        <v>250</v>
      </c>
      <c r="E225">
        <v>100</v>
      </c>
      <c r="F225" s="74">
        <f ca="1">INDIRECT(ADDRESS(11+(MATCH(RIGHT(Table245[[#This Row],[spawner_sku]],LEN(Table245[[#This Row],[spawner_sku]])-FIND("/",Table245[[#This Row],[spawner_sku]])),Table1[Entity Prefab],0)),10,1,1,"Entities"))</f>
        <v>143</v>
      </c>
      <c r="G225" s="74">
        <f ca="1">ROUND((Table245[[#This Row],[XP]]*Table245[[#This Row],[entity_spawned (AVG)]])*(Table245[[#This Row],[activating_chance]]/100),0)</f>
        <v>286</v>
      </c>
      <c r="H225" s="71" t="str">
        <f ca="1">INDIRECT(ADDRESS(11+(MATCH(RIGHT(Table245[[#This Row],[spawner_sku]],LEN(Table245[[#This Row],[spawner_sku]])-FIND("/",Table245[[#This Row],[spawner_sku]])),Table28[Entity Prefab],0)),24,1,1,"Entities"))</f>
        <v>yes</v>
      </c>
      <c r="I225" s="71">
        <v>1</v>
      </c>
      <c r="J225" s="71">
        <v>3</v>
      </c>
      <c r="K225" s="71" t="b">
        <v>0</v>
      </c>
      <c r="M225" t="s">
        <v>321</v>
      </c>
      <c r="N225">
        <v>2.5</v>
      </c>
      <c r="O225">
        <v>250</v>
      </c>
      <c r="P225">
        <v>80</v>
      </c>
      <c r="Q225" s="74">
        <f ca="1">INDIRECT(ADDRESS(11+(MATCH(RIGHT(Table3[[#This Row],[spawner_sku]],LEN(Table3[[#This Row],[spawner_sku]])-FIND("/",Table3[[#This Row],[spawner_sku]])),Table1[Entity Prefab],0)),10,1,1,"Entities"))</f>
        <v>195</v>
      </c>
      <c r="R225" s="74">
        <f ca="1">ROUND((Table3[[#This Row],[XP]]*Table3[[#This Row],[entity_spawned (AVG)]])*(Table3[[#This Row],[activating_chance]]/100),0)</f>
        <v>390</v>
      </c>
      <c r="S225" t="str">
        <f ca="1">INDIRECT(ADDRESS(11+(MATCH(RIGHT(Table3[[#This Row],[spawner_sku]],LEN(Table3[[#This Row],[spawner_sku]])-FIND("/",Table3[[#This Row],[spawner_sku]])),Table28[Entity Prefab],0)),24,1,1,"Entities"))</f>
        <v>yes</v>
      </c>
      <c r="T225">
        <v>2</v>
      </c>
      <c r="U225">
        <v>3</v>
      </c>
      <c r="V225" t="b">
        <v>0</v>
      </c>
      <c r="AI225" t="s">
        <v>446</v>
      </c>
      <c r="AJ225">
        <v>1</v>
      </c>
      <c r="AK225">
        <v>240</v>
      </c>
      <c r="AL225">
        <v>100</v>
      </c>
      <c r="AM225" s="74">
        <f ca="1">INDIRECT(ADDRESS(11+(MATCH(RIGHT(Table2[[#This Row],[spawner_sku]],LEN(Table2[[#This Row],[spawner_sku]])-FIND("/",Table2[[#This Row],[spawner_sku]])),Table1[Entity Prefab],0)),10,1,1,"Entities"))</f>
        <v>83</v>
      </c>
      <c r="AN225" s="74">
        <f ca="1">ROUND((Table2[[#This Row],[XP]]*Table2[[#This Row],[entity_spawned (AVG)]])*(Table2[[#This Row],[activating_chance]]/100),0)</f>
        <v>83</v>
      </c>
      <c r="AO225" s="71" t="str">
        <f ca="1">INDIRECT(ADDRESS(11+(MATCH(RIGHT(Table2[[#This Row],[spawner_sku]],LEN(Table2[[#This Row],[spawner_sku]])-FIND("/",Table2[[#This Row],[spawner_sku]])),Table28[Entity Prefab],0)),24,1,1,"Entities"))</f>
        <v>yes</v>
      </c>
      <c r="AP225" s="71">
        <v>1</v>
      </c>
      <c r="AQ225" s="71">
        <v>1</v>
      </c>
      <c r="AR225" s="71" t="b">
        <v>0</v>
      </c>
      <c r="BE225" t="s">
        <v>242</v>
      </c>
      <c r="BF225">
        <v>1</v>
      </c>
      <c r="BG225">
        <v>200</v>
      </c>
      <c r="BH225">
        <v>40</v>
      </c>
      <c r="BI225" s="74">
        <f ca="1">INDIRECT(ADDRESS(11+(MATCH(RIGHT(Table610[[#This Row],[spawner_sku]],LEN(Table610[[#This Row],[spawner_sku]])-FIND("/",Table610[[#This Row],[spawner_sku]])),Table1[Entity Prefab],0)),10,1,1,"Entities"))</f>
        <v>25</v>
      </c>
      <c r="BJ225" s="74">
        <f ca="1">ROUND((Table610[[#This Row],[XP]]*Table610[[#This Row],[entity_spawned (AVG)]])*(Table610[[#This Row],[activating_chance]]/100),0)</f>
        <v>10</v>
      </c>
      <c r="BK225" s="71" t="str">
        <f ca="1">INDIRECT(ADDRESS(11+(MATCH(RIGHT(Table610[[#This Row],[spawner_sku]],LEN(Table610[[#This Row],[spawner_sku]])-FIND("/",Table610[[#This Row],[spawner_sku]])),Table28[Entity Prefab],0)),24,1,1,"Entities"))</f>
        <v>no</v>
      </c>
      <c r="BL225">
        <v>1</v>
      </c>
      <c r="BM225">
        <v>1</v>
      </c>
      <c r="BN225" t="b">
        <v>0</v>
      </c>
      <c r="BP225" t="s">
        <v>570</v>
      </c>
      <c r="BQ225">
        <v>1</v>
      </c>
      <c r="BR225">
        <v>120</v>
      </c>
      <c r="BS225">
        <v>100</v>
      </c>
      <c r="BT225" s="74">
        <f ca="1">INDIRECT(ADDRESS(11+(MATCH(RIGHT(Table61011[[#This Row],[spawner_sku]],LEN(Table61011[[#This Row],[spawner_sku]])-FIND("/",Table61011[[#This Row],[spawner_sku]])),Table1[Entity Prefab],0)),10,1,1,"Entities"))</f>
        <v>50</v>
      </c>
      <c r="BU225" s="74">
        <f ca="1">ROUND((Table61011[[#This Row],[XP]]*Table61011[[#This Row],[entity_spawned (AVG)]])*(Table61011[[#This Row],[activating_chance]]/100),0)</f>
        <v>50</v>
      </c>
      <c r="BV225" s="71" t="str">
        <f ca="1">INDIRECT(ADDRESS(11+(MATCH(RIGHT(Table61011[[#This Row],[spawner_sku]],LEN(Table61011[[#This Row],[spawner_sku]])-FIND("/",Table61011[[#This Row],[spawner_sku]])),Table28[Entity Prefab],0)),24,1,1,"Entities"))</f>
        <v>no</v>
      </c>
      <c r="BW225" s="71">
        <v>1</v>
      </c>
      <c r="BX225" s="71">
        <v>1</v>
      </c>
      <c r="BY225" s="71" t="b">
        <v>0</v>
      </c>
      <c r="BZ225" s="71"/>
      <c r="CA225" s="147" t="s">
        <v>3816</v>
      </c>
      <c r="CB225">
        <v>1</v>
      </c>
      <c r="CC225">
        <v>240</v>
      </c>
      <c r="CD225">
        <v>100</v>
      </c>
      <c r="CE225" s="74">
        <f ca="1">INDIRECT(ADDRESS(11+(MATCH(RIGHT(Table35[[#This Row],[spawner_sku]],LEN(Table35[[#This Row],[spawner_sku]])-FIND("/",Table35[[#This Row],[spawner_sku]])),Table1[Entity Prefab],0)),10,1,1,"Entities"))</f>
        <v>50</v>
      </c>
      <c r="CF225" s="74">
        <f ca="1">ROUND((Table35[[#This Row],[XP]]*Table35[[#This Row],[entity_spawned (AVG)]])*(Table35[[#This Row],[activating_chance]]/100),0)</f>
        <v>50</v>
      </c>
      <c r="CG225" s="144" t="str">
        <f ca="1">INDIRECT(ADDRESS(11+(MATCH(RIGHT(Table35[[#This Row],[spawner_sku]],LEN(Table35[[#This Row],[spawner_sku]])-FIND("/",Table35[[#This Row],[spawner_sku]])),Table28[Entity Prefab],0)),24,1,1,"Entities"))</f>
        <v>no</v>
      </c>
      <c r="CH225">
        <v>1</v>
      </c>
      <c r="CI225">
        <v>1</v>
      </c>
      <c r="CJ225" s="71" t="b">
        <v>0</v>
      </c>
      <c r="CL225" t="s">
        <v>230</v>
      </c>
      <c r="CM225">
        <v>1.5</v>
      </c>
      <c r="CN225">
        <v>200</v>
      </c>
      <c r="CO225">
        <v>100</v>
      </c>
      <c r="CP225" s="74">
        <f ca="1">INDIRECT(ADDRESS(11+(MATCH(RIGHT(Table11[[#This Row],[spawner_sku]],LEN(Table11[[#This Row],[spawner_sku]])-FIND("/",Table11[[#This Row],[spawner_sku]])),Table1[Entity Prefab],0)),10,1,1,"Entities"))</f>
        <v>28</v>
      </c>
      <c r="CQ225">
        <f ca="1">ROUND((Table11[[#This Row],[XP]]*Table11[[#This Row],[entity_spawned (AVG)]])*(Table11[[#This Row],[activating_chance]]/100),0)</f>
        <v>42</v>
      </c>
      <c r="CR225" s="144" t="str">
        <f ca="1">INDIRECT(ADDRESS(11+(MATCH(RIGHT(Table11[[#This Row],[spawner_sku]],LEN(Table11[[#This Row],[spawner_sku]])-FIND("/",Table11[[#This Row],[spawner_sku]])),Table28[Entity Prefab],0)),25,1,1,"Entities"))</f>
        <v>no</v>
      </c>
      <c r="CS225" s="71">
        <v>1</v>
      </c>
      <c r="CT225" s="71">
        <v>2</v>
      </c>
      <c r="CU225" s="71" t="b">
        <v>0</v>
      </c>
      <c r="CW225" t="s">
        <v>366</v>
      </c>
      <c r="CX225">
        <v>1.5</v>
      </c>
      <c r="CY225">
        <v>100</v>
      </c>
      <c r="CZ225">
        <v>100</v>
      </c>
      <c r="DA225" s="74">
        <f ca="1">INDIRECT(ADDRESS(11+(MATCH(RIGHT(Table12[[#This Row],[spawner_sku]],LEN(Table12[[#This Row],[spawner_sku]])-FIND("/",Table12[[#This Row],[spawner_sku]])),Table1[Entity Prefab],0)),10,1,1,"Entities"))</f>
        <v>25</v>
      </c>
      <c r="DB225" s="74">
        <f ca="1">ROUND((Table12[[#This Row],[XP]]*Table12[[#This Row],[entity_spawned (AVG)]])*(Table12[[#This Row],[activating_chance]]/100),0)</f>
        <v>38</v>
      </c>
      <c r="DC225" s="144" t="str">
        <f ca="1">INDIRECT(ADDRESS(11+(MATCH(RIGHT(Table12[[#This Row],[spawner_sku]],LEN(Table12[[#This Row],[spawner_sku]])-FIND("/",Table12[[#This Row],[spawner_sku]])),Table28[Entity Prefab],0)),25,1,1,"Entities"))</f>
        <v>no</v>
      </c>
      <c r="DD225" s="71">
        <v>1</v>
      </c>
      <c r="DE225" s="71">
        <v>2</v>
      </c>
      <c r="DF225" s="71" t="b">
        <v>0</v>
      </c>
      <c r="DH225" t="s">
        <v>243</v>
      </c>
      <c r="DI225">
        <v>1</v>
      </c>
      <c r="DJ225">
        <v>150</v>
      </c>
      <c r="DK225">
        <v>100</v>
      </c>
      <c r="DL225" s="74">
        <f ca="1">INDIRECT(ADDRESS(11+(MATCH(RIGHT(Table13[[#This Row],[spawner_sku]],LEN(Table13[[#This Row],[spawner_sku]])-FIND("/",Table13[[#This Row],[spawner_sku]])),Table1[Entity Prefab],0)),10,1,1,"Entities"))</f>
        <v>25</v>
      </c>
      <c r="DM225" s="74">
        <f ca="1">ROUND((Table13[[#This Row],[XP]]*Table13[[#This Row],[entity_spawned (AVG)]])*(Table13[[#This Row],[activating_chance]]/100),0)</f>
        <v>25</v>
      </c>
      <c r="DN225" s="144" t="str">
        <f ca="1">INDIRECT(ADDRESS(11+(MATCH(RIGHT(Table13[[#This Row],[spawner_sku]],LEN(Table13[[#This Row],[spawner_sku]])-FIND("/",Table13[[#This Row],[spawner_sku]])),Table28[Entity Prefab],0)),25,1,1,"Entities"))</f>
        <v>no</v>
      </c>
      <c r="DO225" s="71">
        <v>1</v>
      </c>
      <c r="DP225" s="71">
        <v>1</v>
      </c>
      <c r="DQ225" s="71" t="b">
        <v>0</v>
      </c>
      <c r="DS225" t="s">
        <v>369</v>
      </c>
      <c r="DT225">
        <v>1</v>
      </c>
      <c r="DU225">
        <v>220</v>
      </c>
      <c r="DV225">
        <v>100</v>
      </c>
      <c r="DW225" s="74">
        <f ca="1">INDIRECT(ADDRESS(11+(MATCH(RIGHT(Table14[[#This Row],[spawner_sku]],LEN(Table14[[#This Row],[spawner_sku]])-FIND("/",Table14[[#This Row],[spawner_sku]])),Table1[Entity Prefab],0)),10,1,1,"Entities"))</f>
        <v>75</v>
      </c>
      <c r="DX225" s="74">
        <f ca="1">ROUND((Table14[[#This Row],[XP]]*Table14[[#This Row],[entity_spawned (AVG)]])*(Table14[[#This Row],[activating_chance]]/100),0)</f>
        <v>75</v>
      </c>
      <c r="DY225" s="144" t="str">
        <f ca="1">INDIRECT(ADDRESS(11+(MATCH(RIGHT(Table14[[#This Row],[spawner_sku]],LEN(Table14[[#This Row],[spawner_sku]])-FIND("/",Table14[[#This Row],[spawner_sku]])),Table28[Entity Prefab],0)),25,1,1,"Entities"))</f>
        <v>yes</v>
      </c>
      <c r="DZ225" s="71">
        <v>1</v>
      </c>
      <c r="EA225" s="71">
        <v>1</v>
      </c>
      <c r="EB225" s="71" t="b">
        <v>0</v>
      </c>
      <c r="EC225" s="71"/>
      <c r="EO225" t="s">
        <v>5003</v>
      </c>
      <c r="EP225">
        <v>1</v>
      </c>
      <c r="EQ225">
        <v>5000</v>
      </c>
      <c r="ER225">
        <v>80</v>
      </c>
      <c r="ES225" s="74">
        <f ca="1">INDIRECT(ADDRESS(11+(MATCH(RIGHT(Table18[[#This Row],[spawner_sku]],LEN(Table18[[#This Row],[spawner_sku]])-FIND("/",Table18[[#This Row],[spawner_sku]])),Table1[Entity Prefab],0)),10,1,1,"Entities"))</f>
        <v>25</v>
      </c>
      <c r="ET225" s="74">
        <f ca="1">ROUND((Table18[[#This Row],[XP]]*Table18[[#This Row],[entity_spawned (AVG)]])*(Table18[[#This Row],[activating_chance]]/100),0)</f>
        <v>20</v>
      </c>
      <c r="EU225" s="74" t="str">
        <f ca="1">INDIRECT(ADDRESS(11+(MATCH(RIGHT(Table18[[#This Row],[spawner_sku]],LEN(Table18[[#This Row],[spawner_sku]])-FIND("/",Table18[[#This Row],[spawner_sku]])),Table28[Entity Prefab],0)),26,1,1,"Entities"))</f>
        <v>no</v>
      </c>
      <c r="EV225">
        <v>1</v>
      </c>
      <c r="EW225">
        <v>1</v>
      </c>
      <c r="EX225" t="b">
        <v>0</v>
      </c>
      <c r="EZ225" t="s">
        <v>5002</v>
      </c>
      <c r="FA225">
        <v>3</v>
      </c>
      <c r="FB225">
        <v>80</v>
      </c>
      <c r="FC225">
        <v>100</v>
      </c>
      <c r="FD225" s="74">
        <f ca="1">INDIRECT(ADDRESS(11+(MATCH(RIGHT(Table1820[[#This Row],[spawner_sku]],LEN(Table1820[[#This Row],[spawner_sku]])-FIND("/",Table1820[[#This Row],[spawner_sku]])),Table1[Entity Prefab],0)),10,1,1,"Entities"))</f>
        <v>40</v>
      </c>
      <c r="FE225" s="74">
        <f ca="1">ROUND((Table1820[[#This Row],[XP]]*Table1820[[#This Row],[entity_spawned (AVG)]])*(Table1820[[#This Row],[activating_chance]]/100),0)</f>
        <v>120</v>
      </c>
      <c r="FF225" s="74" t="str">
        <f ca="1">INDIRECT(ADDRESS(11+(MATCH(RIGHT(Table1820[[#This Row],[spawner_sku]],LEN(Table1820[[#This Row],[spawner_sku]])-FIND("/",Table1820[[#This Row],[spawner_sku]])),Table28[Entity Prefab],0)),26,1,1,"Entities"))</f>
        <v>no</v>
      </c>
      <c r="FG225">
        <v>3</v>
      </c>
      <c r="FH225">
        <v>3</v>
      </c>
      <c r="FI225" t="b">
        <v>0</v>
      </c>
      <c r="FV225" t="s">
        <v>2703</v>
      </c>
      <c r="FW225">
        <v>1</v>
      </c>
      <c r="FX225">
        <v>120</v>
      </c>
      <c r="FY225">
        <v>100</v>
      </c>
      <c r="FZ225" s="74">
        <f ca="1">INDIRECT(ADDRESS(11+(MATCH(RIGHT(Table18202324[[#This Row],[spawner_sku]],LEN(Table18202324[[#This Row],[spawner_sku]])-FIND("/",Table18202324[[#This Row],[spawner_sku]])),Table1[Entity Prefab],0)),10,1,1,"Entities"))</f>
        <v>195</v>
      </c>
      <c r="GA225" s="74">
        <f ca="1">ROUND((Table18202324[[#This Row],[XP]]*Table18202324[[#This Row],[entity_spawned (AVG)]])*(Table18202324[[#This Row],[activating_chance]]/100),0)</f>
        <v>195</v>
      </c>
      <c r="GB225" s="74" t="str">
        <f ca="1">INDIRECT(ADDRESS(11+(MATCH(RIGHT(Table18202324[[#This Row],[spawner_sku]],LEN(Table18202324[[#This Row],[spawner_sku]])-FIND("/",Table18202324[[#This Row],[spawner_sku]])),Table28[Entity Prefab],0)),26,1,1,"Entities"))</f>
        <v>yes</v>
      </c>
      <c r="GC225">
        <v>1</v>
      </c>
      <c r="GD225">
        <v>1</v>
      </c>
      <c r="GE225" t="b">
        <v>0</v>
      </c>
    </row>
    <row r="226" spans="2:187" x14ac:dyDescent="0.25">
      <c r="B226" s="72" t="s">
        <v>219</v>
      </c>
      <c r="C226">
        <v>1</v>
      </c>
      <c r="D226">
        <v>200</v>
      </c>
      <c r="E226">
        <v>100</v>
      </c>
      <c r="F226" s="74">
        <f ca="1">INDIRECT(ADDRESS(11+(MATCH(RIGHT(Table245[[#This Row],[spawner_sku]],LEN(Table245[[#This Row],[spawner_sku]])-FIND("/",Table245[[#This Row],[spawner_sku]])),Table1[Entity Prefab],0)),10,1,1,"Entities"))</f>
        <v>143</v>
      </c>
      <c r="G226" s="74">
        <f ca="1">ROUND((Table245[[#This Row],[XP]]*Table245[[#This Row],[entity_spawned (AVG)]])*(Table245[[#This Row],[activating_chance]]/100),0)</f>
        <v>143</v>
      </c>
      <c r="H226" s="71" t="str">
        <f ca="1">INDIRECT(ADDRESS(11+(MATCH(RIGHT(Table245[[#This Row],[spawner_sku]],LEN(Table245[[#This Row],[spawner_sku]])-FIND("/",Table245[[#This Row],[spawner_sku]])),Table28[Entity Prefab],0)),24,1,1,"Entities"))</f>
        <v>yes</v>
      </c>
      <c r="I226" s="71">
        <v>1</v>
      </c>
      <c r="J226" s="71">
        <v>1</v>
      </c>
      <c r="K226" s="71" t="b">
        <v>0</v>
      </c>
      <c r="M226" t="s">
        <v>366</v>
      </c>
      <c r="N226">
        <v>3</v>
      </c>
      <c r="O226">
        <v>100</v>
      </c>
      <c r="P226">
        <v>100</v>
      </c>
      <c r="Q226" s="74">
        <f ca="1">INDIRECT(ADDRESS(11+(MATCH(RIGHT(Table3[[#This Row],[spawner_sku]],LEN(Table3[[#This Row],[spawner_sku]])-FIND("/",Table3[[#This Row],[spawner_sku]])),Table1[Entity Prefab],0)),10,1,1,"Entities"))</f>
        <v>25</v>
      </c>
      <c r="R226" s="74">
        <f ca="1">ROUND((Table3[[#This Row],[XP]]*Table3[[#This Row],[entity_spawned (AVG)]])*(Table3[[#This Row],[activating_chance]]/100),0)</f>
        <v>75</v>
      </c>
      <c r="S226" t="str">
        <f ca="1">INDIRECT(ADDRESS(11+(MATCH(RIGHT(Table3[[#This Row],[spawner_sku]],LEN(Table3[[#This Row],[spawner_sku]])-FIND("/",Table3[[#This Row],[spawner_sku]])),Table28[Entity Prefab],0)),24,1,1,"Entities"))</f>
        <v>no</v>
      </c>
      <c r="T226">
        <v>3</v>
      </c>
      <c r="U226">
        <v>3</v>
      </c>
      <c r="V226" t="b">
        <v>0</v>
      </c>
      <c r="AI226" t="s">
        <v>448</v>
      </c>
      <c r="AJ226">
        <v>1</v>
      </c>
      <c r="AK226">
        <v>280</v>
      </c>
      <c r="AL226">
        <v>100</v>
      </c>
      <c r="AM226" s="74">
        <f ca="1">INDIRECT(ADDRESS(11+(MATCH(RIGHT(Table2[[#This Row],[spawner_sku]],LEN(Table2[[#This Row],[spawner_sku]])-FIND("/",Table2[[#This Row],[spawner_sku]])),Table1[Entity Prefab],0)),10,1,1,"Entities"))</f>
        <v>143</v>
      </c>
      <c r="AN226" s="74">
        <f ca="1">ROUND((Table2[[#This Row],[XP]]*Table2[[#This Row],[entity_spawned (AVG)]])*(Table2[[#This Row],[activating_chance]]/100),0)</f>
        <v>143</v>
      </c>
      <c r="AO226" s="71" t="str">
        <f ca="1">INDIRECT(ADDRESS(11+(MATCH(RIGHT(Table2[[#This Row],[spawner_sku]],LEN(Table2[[#This Row],[spawner_sku]])-FIND("/",Table2[[#This Row],[spawner_sku]])),Table28[Entity Prefab],0)),24,1,1,"Entities"))</f>
        <v>yes</v>
      </c>
      <c r="AP226" s="71">
        <v>1</v>
      </c>
      <c r="AQ226" s="71">
        <v>1</v>
      </c>
      <c r="AR226" s="71" t="b">
        <v>0</v>
      </c>
      <c r="BE226" t="s">
        <v>242</v>
      </c>
      <c r="BF226">
        <v>1</v>
      </c>
      <c r="BG226">
        <v>170</v>
      </c>
      <c r="BH226">
        <v>40</v>
      </c>
      <c r="BI226" s="74">
        <f ca="1">INDIRECT(ADDRESS(11+(MATCH(RIGHT(Table610[[#This Row],[spawner_sku]],LEN(Table610[[#This Row],[spawner_sku]])-FIND("/",Table610[[#This Row],[spawner_sku]])),Table1[Entity Prefab],0)),10,1,1,"Entities"))</f>
        <v>25</v>
      </c>
      <c r="BJ226" s="74">
        <f ca="1">ROUND((Table610[[#This Row],[XP]]*Table610[[#This Row],[entity_spawned (AVG)]])*(Table610[[#This Row],[activating_chance]]/100),0)</f>
        <v>10</v>
      </c>
      <c r="BK226" s="71" t="str">
        <f ca="1">INDIRECT(ADDRESS(11+(MATCH(RIGHT(Table610[[#This Row],[spawner_sku]],LEN(Table610[[#This Row],[spawner_sku]])-FIND("/",Table610[[#This Row],[spawner_sku]])),Table28[Entity Prefab],0)),24,1,1,"Entities"))</f>
        <v>no</v>
      </c>
      <c r="BL226">
        <v>1</v>
      </c>
      <c r="BM226">
        <v>1</v>
      </c>
      <c r="BN226" t="b">
        <v>0</v>
      </c>
      <c r="BP226" t="s">
        <v>370</v>
      </c>
      <c r="BQ226">
        <v>1</v>
      </c>
      <c r="BR226">
        <v>450</v>
      </c>
      <c r="BS226">
        <v>100</v>
      </c>
      <c r="BT226" s="74">
        <f ca="1">INDIRECT(ADDRESS(11+(MATCH(RIGHT(Table61011[[#This Row],[spawner_sku]],LEN(Table61011[[#This Row],[spawner_sku]])-FIND("/",Table61011[[#This Row],[spawner_sku]])),Table1[Entity Prefab],0)),10,1,1,"Entities"))</f>
        <v>0</v>
      </c>
      <c r="BU226" s="74">
        <f ca="1">ROUND((Table61011[[#This Row],[XP]]*Table61011[[#This Row],[entity_spawned (AVG)]])*(Table61011[[#This Row],[activating_chance]]/100),0)</f>
        <v>0</v>
      </c>
      <c r="BV226" s="71" t="str">
        <f ca="1">INDIRECT(ADDRESS(11+(MATCH(RIGHT(Table61011[[#This Row],[spawner_sku]],LEN(Table61011[[#This Row],[spawner_sku]])-FIND("/",Table61011[[#This Row],[spawner_sku]])),Table28[Entity Prefab],0)),24,1,1,"Entities"))</f>
        <v>no</v>
      </c>
      <c r="BW226" s="71">
        <v>1</v>
      </c>
      <c r="BX226" s="71">
        <v>1</v>
      </c>
      <c r="BY226" s="71" t="b">
        <v>0</v>
      </c>
      <c r="BZ226" s="71"/>
      <c r="CA226" s="147" t="s">
        <v>3816</v>
      </c>
      <c r="CB226">
        <v>1</v>
      </c>
      <c r="CC226">
        <v>240</v>
      </c>
      <c r="CD226">
        <v>100</v>
      </c>
      <c r="CE226" s="74">
        <f ca="1">INDIRECT(ADDRESS(11+(MATCH(RIGHT(Table35[[#This Row],[spawner_sku]],LEN(Table35[[#This Row],[spawner_sku]])-FIND("/",Table35[[#This Row],[spawner_sku]])),Table1[Entity Prefab],0)),10,1,1,"Entities"))</f>
        <v>50</v>
      </c>
      <c r="CF226" s="74">
        <f ca="1">ROUND((Table35[[#This Row],[XP]]*Table35[[#This Row],[entity_spawned (AVG)]])*(Table35[[#This Row],[activating_chance]]/100),0)</f>
        <v>50</v>
      </c>
      <c r="CG226" s="144" t="str">
        <f ca="1">INDIRECT(ADDRESS(11+(MATCH(RIGHT(Table35[[#This Row],[spawner_sku]],LEN(Table35[[#This Row],[spawner_sku]])-FIND("/",Table35[[#This Row],[spawner_sku]])),Table28[Entity Prefab],0)),24,1,1,"Entities"))</f>
        <v>no</v>
      </c>
      <c r="CH226">
        <v>1</v>
      </c>
      <c r="CI226">
        <v>1</v>
      </c>
      <c r="CJ226" s="71" t="b">
        <v>0</v>
      </c>
      <c r="CL226" t="s">
        <v>230</v>
      </c>
      <c r="CM226">
        <v>1.5</v>
      </c>
      <c r="CN226">
        <v>200</v>
      </c>
      <c r="CO226">
        <v>100</v>
      </c>
      <c r="CP226" s="74">
        <f ca="1">INDIRECT(ADDRESS(11+(MATCH(RIGHT(Table11[[#This Row],[spawner_sku]],LEN(Table11[[#This Row],[spawner_sku]])-FIND("/",Table11[[#This Row],[spawner_sku]])),Table1[Entity Prefab],0)),10,1,1,"Entities"))</f>
        <v>28</v>
      </c>
      <c r="CQ226">
        <f ca="1">ROUND((Table11[[#This Row],[XP]]*Table11[[#This Row],[entity_spawned (AVG)]])*(Table11[[#This Row],[activating_chance]]/100),0)</f>
        <v>42</v>
      </c>
      <c r="CR226" s="144" t="str">
        <f ca="1">INDIRECT(ADDRESS(11+(MATCH(RIGHT(Table11[[#This Row],[spawner_sku]],LEN(Table11[[#This Row],[spawner_sku]])-FIND("/",Table11[[#This Row],[spawner_sku]])),Table28[Entity Prefab],0)),25,1,1,"Entities"))</f>
        <v>no</v>
      </c>
      <c r="CS226" s="71">
        <v>1</v>
      </c>
      <c r="CT226" s="71">
        <v>2</v>
      </c>
      <c r="CU226" s="71" t="b">
        <v>0</v>
      </c>
      <c r="CW226" t="s">
        <v>366</v>
      </c>
      <c r="CX226">
        <v>5.5</v>
      </c>
      <c r="CY226">
        <v>100</v>
      </c>
      <c r="CZ226">
        <v>30</v>
      </c>
      <c r="DA226" s="74">
        <f ca="1">INDIRECT(ADDRESS(11+(MATCH(RIGHT(Table12[[#This Row],[spawner_sku]],LEN(Table12[[#This Row],[spawner_sku]])-FIND("/",Table12[[#This Row],[spawner_sku]])),Table1[Entity Prefab],0)),10,1,1,"Entities"))</f>
        <v>25</v>
      </c>
      <c r="DB226" s="74">
        <f ca="1">ROUND((Table12[[#This Row],[XP]]*Table12[[#This Row],[entity_spawned (AVG)]])*(Table12[[#This Row],[activating_chance]]/100),0)</f>
        <v>41</v>
      </c>
      <c r="DC226" s="144" t="str">
        <f ca="1">INDIRECT(ADDRESS(11+(MATCH(RIGHT(Table12[[#This Row],[spawner_sku]],LEN(Table12[[#This Row],[spawner_sku]])-FIND("/",Table12[[#This Row],[spawner_sku]])),Table28[Entity Prefab],0)),25,1,1,"Entities"))</f>
        <v>no</v>
      </c>
      <c r="DD226" s="71">
        <v>5</v>
      </c>
      <c r="DE226" s="71">
        <v>6</v>
      </c>
      <c r="DF226" s="71" t="b">
        <v>1</v>
      </c>
      <c r="DH226" t="s">
        <v>243</v>
      </c>
      <c r="DI226">
        <v>2</v>
      </c>
      <c r="DJ226">
        <v>110</v>
      </c>
      <c r="DK226">
        <v>100</v>
      </c>
      <c r="DL226" s="74">
        <f ca="1">INDIRECT(ADDRESS(11+(MATCH(RIGHT(Table13[[#This Row],[spawner_sku]],LEN(Table13[[#This Row],[spawner_sku]])-FIND("/",Table13[[#This Row],[spawner_sku]])),Table1[Entity Prefab],0)),10,1,1,"Entities"))</f>
        <v>25</v>
      </c>
      <c r="DM226" s="74">
        <f ca="1">ROUND((Table13[[#This Row],[XP]]*Table13[[#This Row],[entity_spawned (AVG)]])*(Table13[[#This Row],[activating_chance]]/100),0)</f>
        <v>50</v>
      </c>
      <c r="DN226" s="144" t="str">
        <f ca="1">INDIRECT(ADDRESS(11+(MATCH(RIGHT(Table13[[#This Row],[spawner_sku]],LEN(Table13[[#This Row],[spawner_sku]])-FIND("/",Table13[[#This Row],[spawner_sku]])),Table28[Entity Prefab],0)),25,1,1,"Entities"))</f>
        <v>no</v>
      </c>
      <c r="DO226" s="71">
        <v>2</v>
      </c>
      <c r="DP226" s="71">
        <v>2</v>
      </c>
      <c r="DQ226" s="71" t="b">
        <v>0</v>
      </c>
      <c r="DS226" t="s">
        <v>369</v>
      </c>
      <c r="DT226">
        <v>1</v>
      </c>
      <c r="DU226">
        <v>220</v>
      </c>
      <c r="DV226">
        <v>100</v>
      </c>
      <c r="DW226" s="74">
        <f ca="1">INDIRECT(ADDRESS(11+(MATCH(RIGHT(Table14[[#This Row],[spawner_sku]],LEN(Table14[[#This Row],[spawner_sku]])-FIND("/",Table14[[#This Row],[spawner_sku]])),Table1[Entity Prefab],0)),10,1,1,"Entities"))</f>
        <v>75</v>
      </c>
      <c r="DX226" s="74">
        <f ca="1">ROUND((Table14[[#This Row],[XP]]*Table14[[#This Row],[entity_spawned (AVG)]])*(Table14[[#This Row],[activating_chance]]/100),0)</f>
        <v>75</v>
      </c>
      <c r="DY226" s="144" t="str">
        <f ca="1">INDIRECT(ADDRESS(11+(MATCH(RIGHT(Table14[[#This Row],[spawner_sku]],LEN(Table14[[#This Row],[spawner_sku]])-FIND("/",Table14[[#This Row],[spawner_sku]])),Table28[Entity Prefab],0)),25,1,1,"Entities"))</f>
        <v>yes</v>
      </c>
      <c r="DZ226" s="71">
        <v>1</v>
      </c>
      <c r="EA226" s="71">
        <v>1</v>
      </c>
      <c r="EB226" s="71" t="b">
        <v>0</v>
      </c>
      <c r="EC226" s="71"/>
      <c r="EO226" t="s">
        <v>464</v>
      </c>
      <c r="EP226">
        <v>1</v>
      </c>
      <c r="EQ226">
        <v>110</v>
      </c>
      <c r="ER226">
        <v>100</v>
      </c>
      <c r="ES226" s="74">
        <f ca="1">INDIRECT(ADDRESS(11+(MATCH(RIGHT(Table18[[#This Row],[spawner_sku]],LEN(Table18[[#This Row],[spawner_sku]])-FIND("/",Table18[[#This Row],[spawner_sku]])),Table1[Entity Prefab],0)),10,1,1,"Entities"))</f>
        <v>28</v>
      </c>
      <c r="ET226" s="74">
        <f ca="1">ROUND((Table18[[#This Row],[XP]]*Table18[[#This Row],[entity_spawned (AVG)]])*(Table18[[#This Row],[activating_chance]]/100),0)</f>
        <v>28</v>
      </c>
      <c r="EU226" s="74" t="str">
        <f ca="1">INDIRECT(ADDRESS(11+(MATCH(RIGHT(Table18[[#This Row],[spawner_sku]],LEN(Table18[[#This Row],[spawner_sku]])-FIND("/",Table18[[#This Row],[spawner_sku]])),Table28[Entity Prefab],0)),26,1,1,"Entities"))</f>
        <v>no</v>
      </c>
      <c r="EV226">
        <v>1</v>
      </c>
      <c r="EW226">
        <v>1</v>
      </c>
      <c r="EX226" t="b">
        <v>0</v>
      </c>
      <c r="EZ226" t="s">
        <v>5002</v>
      </c>
      <c r="FA226">
        <v>3</v>
      </c>
      <c r="FB226">
        <v>80</v>
      </c>
      <c r="FC226">
        <v>100</v>
      </c>
      <c r="FD226" s="74">
        <f ca="1">INDIRECT(ADDRESS(11+(MATCH(RIGHT(Table1820[[#This Row],[spawner_sku]],LEN(Table1820[[#This Row],[spawner_sku]])-FIND("/",Table1820[[#This Row],[spawner_sku]])),Table1[Entity Prefab],0)),10,1,1,"Entities"))</f>
        <v>40</v>
      </c>
      <c r="FE226" s="74">
        <f ca="1">ROUND((Table1820[[#This Row],[XP]]*Table1820[[#This Row],[entity_spawned (AVG)]])*(Table1820[[#This Row],[activating_chance]]/100),0)</f>
        <v>120</v>
      </c>
      <c r="FF226" s="74" t="str">
        <f ca="1">INDIRECT(ADDRESS(11+(MATCH(RIGHT(Table1820[[#This Row],[spawner_sku]],LEN(Table1820[[#This Row],[spawner_sku]])-FIND("/",Table1820[[#This Row],[spawner_sku]])),Table28[Entity Prefab],0)),26,1,1,"Entities"))</f>
        <v>no</v>
      </c>
      <c r="FG226">
        <v>2</v>
      </c>
      <c r="FH226">
        <v>4</v>
      </c>
      <c r="FI226" t="b">
        <v>0</v>
      </c>
      <c r="FV226" t="s">
        <v>2703</v>
      </c>
      <c r="FW226">
        <v>1</v>
      </c>
      <c r="FX226">
        <v>140</v>
      </c>
      <c r="FY226">
        <v>100</v>
      </c>
      <c r="FZ226" s="74">
        <f ca="1">INDIRECT(ADDRESS(11+(MATCH(RIGHT(Table18202324[[#This Row],[spawner_sku]],LEN(Table18202324[[#This Row],[spawner_sku]])-FIND("/",Table18202324[[#This Row],[spawner_sku]])),Table1[Entity Prefab],0)),10,1,1,"Entities"))</f>
        <v>195</v>
      </c>
      <c r="GA226" s="74">
        <f ca="1">ROUND((Table18202324[[#This Row],[XP]]*Table18202324[[#This Row],[entity_spawned (AVG)]])*(Table18202324[[#This Row],[activating_chance]]/100),0)</f>
        <v>195</v>
      </c>
      <c r="GB226" s="74" t="str">
        <f ca="1">INDIRECT(ADDRESS(11+(MATCH(RIGHT(Table18202324[[#This Row],[spawner_sku]],LEN(Table18202324[[#This Row],[spawner_sku]])-FIND("/",Table18202324[[#This Row],[spawner_sku]])),Table28[Entity Prefab],0)),26,1,1,"Entities"))</f>
        <v>yes</v>
      </c>
      <c r="GC226">
        <v>1</v>
      </c>
      <c r="GD226">
        <v>1</v>
      </c>
      <c r="GE226" t="b">
        <v>0</v>
      </c>
    </row>
    <row r="227" spans="2:187" x14ac:dyDescent="0.25">
      <c r="B227" s="72" t="s">
        <v>219</v>
      </c>
      <c r="C227">
        <v>2</v>
      </c>
      <c r="D227">
        <v>180</v>
      </c>
      <c r="E227">
        <v>100</v>
      </c>
      <c r="F227" s="74">
        <f ca="1">INDIRECT(ADDRESS(11+(MATCH(RIGHT(Table245[[#This Row],[spawner_sku]],LEN(Table245[[#This Row],[spawner_sku]])-FIND("/",Table245[[#This Row],[spawner_sku]])),Table1[Entity Prefab],0)),10,1,1,"Entities"))</f>
        <v>143</v>
      </c>
      <c r="G227" s="74">
        <f ca="1">ROUND((Table245[[#This Row],[XP]]*Table245[[#This Row],[entity_spawned (AVG)]])*(Table245[[#This Row],[activating_chance]]/100),0)</f>
        <v>286</v>
      </c>
      <c r="H227" s="71" t="str">
        <f ca="1">INDIRECT(ADDRESS(11+(MATCH(RIGHT(Table245[[#This Row],[spawner_sku]],LEN(Table245[[#This Row],[spawner_sku]])-FIND("/",Table245[[#This Row],[spawner_sku]])),Table28[Entity Prefab],0)),24,1,1,"Entities"))</f>
        <v>yes</v>
      </c>
      <c r="I227" s="71">
        <v>2</v>
      </c>
      <c r="J227" s="71">
        <v>2</v>
      </c>
      <c r="K227" s="71" t="b">
        <v>0</v>
      </c>
      <c r="M227" t="s">
        <v>366</v>
      </c>
      <c r="N227">
        <v>3</v>
      </c>
      <c r="O227">
        <v>100</v>
      </c>
      <c r="P227">
        <v>100</v>
      </c>
      <c r="Q227" s="74">
        <f ca="1">INDIRECT(ADDRESS(11+(MATCH(RIGHT(Table3[[#This Row],[spawner_sku]],LEN(Table3[[#This Row],[spawner_sku]])-FIND("/",Table3[[#This Row],[spawner_sku]])),Table1[Entity Prefab],0)),10,1,1,"Entities"))</f>
        <v>25</v>
      </c>
      <c r="R227" s="74">
        <f ca="1">ROUND((Table3[[#This Row],[XP]]*Table3[[#This Row],[entity_spawned (AVG)]])*(Table3[[#This Row],[activating_chance]]/100),0)</f>
        <v>75</v>
      </c>
      <c r="S227" t="str">
        <f ca="1">INDIRECT(ADDRESS(11+(MATCH(RIGHT(Table3[[#This Row],[spawner_sku]],LEN(Table3[[#This Row],[spawner_sku]])-FIND("/",Table3[[#This Row],[spawner_sku]])),Table28[Entity Prefab],0)),24,1,1,"Entities"))</f>
        <v>no</v>
      </c>
      <c r="T227">
        <v>3</v>
      </c>
      <c r="U227">
        <v>3</v>
      </c>
      <c r="V227" t="b">
        <v>0</v>
      </c>
      <c r="AI227" t="s">
        <v>448</v>
      </c>
      <c r="AJ227">
        <v>1</v>
      </c>
      <c r="AK227">
        <v>280</v>
      </c>
      <c r="AL227">
        <v>100</v>
      </c>
      <c r="AM227" s="74">
        <f ca="1">INDIRECT(ADDRESS(11+(MATCH(RIGHT(Table2[[#This Row],[spawner_sku]],LEN(Table2[[#This Row],[spawner_sku]])-FIND("/",Table2[[#This Row],[spawner_sku]])),Table1[Entity Prefab],0)),10,1,1,"Entities"))</f>
        <v>143</v>
      </c>
      <c r="AN227" s="74">
        <f ca="1">ROUND((Table2[[#This Row],[XP]]*Table2[[#This Row],[entity_spawned (AVG)]])*(Table2[[#This Row],[activating_chance]]/100),0)</f>
        <v>143</v>
      </c>
      <c r="AO227" s="71" t="str">
        <f ca="1">INDIRECT(ADDRESS(11+(MATCH(RIGHT(Table2[[#This Row],[spawner_sku]],LEN(Table2[[#This Row],[spawner_sku]])-FIND("/",Table2[[#This Row],[spawner_sku]])),Table28[Entity Prefab],0)),24,1,1,"Entities"))</f>
        <v>yes</v>
      </c>
      <c r="AP227" s="71">
        <v>1</v>
      </c>
      <c r="AQ227" s="71">
        <v>1</v>
      </c>
      <c r="AR227" s="71" t="b">
        <v>0</v>
      </c>
      <c r="BE227" t="s">
        <v>242</v>
      </c>
      <c r="BF227">
        <v>1</v>
      </c>
      <c r="BG227">
        <v>200</v>
      </c>
      <c r="BH227">
        <v>80</v>
      </c>
      <c r="BI227" s="74">
        <f ca="1">INDIRECT(ADDRESS(11+(MATCH(RIGHT(Table610[[#This Row],[spawner_sku]],LEN(Table610[[#This Row],[spawner_sku]])-FIND("/",Table610[[#This Row],[spawner_sku]])),Table1[Entity Prefab],0)),10,1,1,"Entities"))</f>
        <v>25</v>
      </c>
      <c r="BJ227" s="74">
        <f ca="1">ROUND((Table610[[#This Row],[XP]]*Table610[[#This Row],[entity_spawned (AVG)]])*(Table610[[#This Row],[activating_chance]]/100),0)</f>
        <v>20</v>
      </c>
      <c r="BK227" s="71" t="str">
        <f ca="1">INDIRECT(ADDRESS(11+(MATCH(RIGHT(Table610[[#This Row],[spawner_sku]],LEN(Table610[[#This Row],[spawner_sku]])-FIND("/",Table610[[#This Row],[spawner_sku]])),Table28[Entity Prefab],0)),24,1,1,"Entities"))</f>
        <v>no</v>
      </c>
      <c r="BL227">
        <v>1</v>
      </c>
      <c r="BM227">
        <v>1</v>
      </c>
      <c r="BN227" t="b">
        <v>0</v>
      </c>
      <c r="BP227" t="s">
        <v>370</v>
      </c>
      <c r="BQ227">
        <v>1</v>
      </c>
      <c r="BR227">
        <v>450</v>
      </c>
      <c r="BS227">
        <v>100</v>
      </c>
      <c r="BT227" s="74">
        <f ca="1">INDIRECT(ADDRESS(11+(MATCH(RIGHT(Table61011[[#This Row],[spawner_sku]],LEN(Table61011[[#This Row],[spawner_sku]])-FIND("/",Table61011[[#This Row],[spawner_sku]])),Table1[Entity Prefab],0)),10,1,1,"Entities"))</f>
        <v>0</v>
      </c>
      <c r="BU227" s="74">
        <f ca="1">ROUND((Table61011[[#This Row],[XP]]*Table61011[[#This Row],[entity_spawned (AVG)]])*(Table61011[[#This Row],[activating_chance]]/100),0)</f>
        <v>0</v>
      </c>
      <c r="BV227" s="71" t="str">
        <f ca="1">INDIRECT(ADDRESS(11+(MATCH(RIGHT(Table61011[[#This Row],[spawner_sku]],LEN(Table61011[[#This Row],[spawner_sku]])-FIND("/",Table61011[[#This Row],[spawner_sku]])),Table28[Entity Prefab],0)),24,1,1,"Entities"))</f>
        <v>no</v>
      </c>
      <c r="BW227" s="71">
        <v>1</v>
      </c>
      <c r="BX227" s="71">
        <v>1</v>
      </c>
      <c r="BY227" s="71" t="b">
        <v>0</v>
      </c>
      <c r="BZ227" s="71"/>
      <c r="CA227" s="147" t="s">
        <v>3816</v>
      </c>
      <c r="CB227">
        <v>1</v>
      </c>
      <c r="CC227">
        <v>240</v>
      </c>
      <c r="CD227">
        <v>100</v>
      </c>
      <c r="CE227" s="74">
        <f ca="1">INDIRECT(ADDRESS(11+(MATCH(RIGHT(Table35[[#This Row],[spawner_sku]],LEN(Table35[[#This Row],[spawner_sku]])-FIND("/",Table35[[#This Row],[spawner_sku]])),Table1[Entity Prefab],0)),10,1,1,"Entities"))</f>
        <v>50</v>
      </c>
      <c r="CF227" s="74">
        <f ca="1">ROUND((Table35[[#This Row],[XP]]*Table35[[#This Row],[entity_spawned (AVG)]])*(Table35[[#This Row],[activating_chance]]/100),0)</f>
        <v>50</v>
      </c>
      <c r="CG227" s="144" t="str">
        <f ca="1">INDIRECT(ADDRESS(11+(MATCH(RIGHT(Table35[[#This Row],[spawner_sku]],LEN(Table35[[#This Row],[spawner_sku]])-FIND("/",Table35[[#This Row],[spawner_sku]])),Table28[Entity Prefab],0)),24,1,1,"Entities"))</f>
        <v>no</v>
      </c>
      <c r="CH227">
        <v>1</v>
      </c>
      <c r="CI227">
        <v>1</v>
      </c>
      <c r="CJ227" s="71" t="b">
        <v>0</v>
      </c>
      <c r="CL227" t="s">
        <v>230</v>
      </c>
      <c r="CM227">
        <v>1.5</v>
      </c>
      <c r="CN227">
        <v>200</v>
      </c>
      <c r="CO227">
        <v>100</v>
      </c>
      <c r="CP227" s="74">
        <f ca="1">INDIRECT(ADDRESS(11+(MATCH(RIGHT(Table11[[#This Row],[spawner_sku]],LEN(Table11[[#This Row],[spawner_sku]])-FIND("/",Table11[[#This Row],[spawner_sku]])),Table1[Entity Prefab],0)),10,1,1,"Entities"))</f>
        <v>28</v>
      </c>
      <c r="CQ227">
        <f ca="1">ROUND((Table11[[#This Row],[XP]]*Table11[[#This Row],[entity_spawned (AVG)]])*(Table11[[#This Row],[activating_chance]]/100),0)</f>
        <v>42</v>
      </c>
      <c r="CR227" s="144" t="str">
        <f ca="1">INDIRECT(ADDRESS(11+(MATCH(RIGHT(Table11[[#This Row],[spawner_sku]],LEN(Table11[[#This Row],[spawner_sku]])-FIND("/",Table11[[#This Row],[spawner_sku]])),Table28[Entity Prefab],0)),25,1,1,"Entities"))</f>
        <v>no</v>
      </c>
      <c r="CS227" s="71">
        <v>1</v>
      </c>
      <c r="CT227" s="71">
        <v>2</v>
      </c>
      <c r="CU227" s="71" t="b">
        <v>0</v>
      </c>
      <c r="CW227" t="s">
        <v>366</v>
      </c>
      <c r="CX227">
        <v>1.5</v>
      </c>
      <c r="CY227">
        <v>100</v>
      </c>
      <c r="CZ227">
        <v>30</v>
      </c>
      <c r="DA227" s="74">
        <f ca="1">INDIRECT(ADDRESS(11+(MATCH(RIGHT(Table12[[#This Row],[spawner_sku]],LEN(Table12[[#This Row],[spawner_sku]])-FIND("/",Table12[[#This Row],[spawner_sku]])),Table1[Entity Prefab],0)),10,1,1,"Entities"))</f>
        <v>25</v>
      </c>
      <c r="DB227" s="74">
        <f ca="1">ROUND((Table12[[#This Row],[XP]]*Table12[[#This Row],[entity_spawned (AVG)]])*(Table12[[#This Row],[activating_chance]]/100),0)</f>
        <v>11</v>
      </c>
      <c r="DC227" s="144" t="str">
        <f ca="1">INDIRECT(ADDRESS(11+(MATCH(RIGHT(Table12[[#This Row],[spawner_sku]],LEN(Table12[[#This Row],[spawner_sku]])-FIND("/",Table12[[#This Row],[spawner_sku]])),Table28[Entity Prefab],0)),25,1,1,"Entities"))</f>
        <v>no</v>
      </c>
      <c r="DD227" s="71">
        <v>1</v>
      </c>
      <c r="DE227" s="71">
        <v>2</v>
      </c>
      <c r="DF227" s="71" t="b">
        <v>0</v>
      </c>
      <c r="DH227" t="s">
        <v>243</v>
      </c>
      <c r="DI227">
        <v>1</v>
      </c>
      <c r="DJ227">
        <v>150</v>
      </c>
      <c r="DK227">
        <v>80</v>
      </c>
      <c r="DL227" s="74">
        <f ca="1">INDIRECT(ADDRESS(11+(MATCH(RIGHT(Table13[[#This Row],[spawner_sku]],LEN(Table13[[#This Row],[spawner_sku]])-FIND("/",Table13[[#This Row],[spawner_sku]])),Table1[Entity Prefab],0)),10,1,1,"Entities"))</f>
        <v>25</v>
      </c>
      <c r="DM227" s="74">
        <f ca="1">ROUND((Table13[[#This Row],[XP]]*Table13[[#This Row],[entity_spawned (AVG)]])*(Table13[[#This Row],[activating_chance]]/100),0)</f>
        <v>20</v>
      </c>
      <c r="DN227" s="144" t="str">
        <f ca="1">INDIRECT(ADDRESS(11+(MATCH(RIGHT(Table13[[#This Row],[spawner_sku]],LEN(Table13[[#This Row],[spawner_sku]])-FIND("/",Table13[[#This Row],[spawner_sku]])),Table28[Entity Prefab],0)),25,1,1,"Entities"))</f>
        <v>no</v>
      </c>
      <c r="DO227" s="71">
        <v>1</v>
      </c>
      <c r="DP227" s="71">
        <v>1</v>
      </c>
      <c r="DQ227" s="71" t="b">
        <v>0</v>
      </c>
      <c r="DS227" t="s">
        <v>369</v>
      </c>
      <c r="DT227">
        <v>1</v>
      </c>
      <c r="DU227">
        <v>80</v>
      </c>
      <c r="DV227">
        <v>80</v>
      </c>
      <c r="DW227" s="74">
        <f ca="1">INDIRECT(ADDRESS(11+(MATCH(RIGHT(Table14[[#This Row],[spawner_sku]],LEN(Table14[[#This Row],[spawner_sku]])-FIND("/",Table14[[#This Row],[spawner_sku]])),Table1[Entity Prefab],0)),10,1,1,"Entities"))</f>
        <v>75</v>
      </c>
      <c r="DX227" s="74">
        <f ca="1">ROUND((Table14[[#This Row],[XP]]*Table14[[#This Row],[entity_spawned (AVG)]])*(Table14[[#This Row],[activating_chance]]/100),0)</f>
        <v>60</v>
      </c>
      <c r="DY227" s="144" t="str">
        <f ca="1">INDIRECT(ADDRESS(11+(MATCH(RIGHT(Table14[[#This Row],[spawner_sku]],LEN(Table14[[#This Row],[spawner_sku]])-FIND("/",Table14[[#This Row],[spawner_sku]])),Table28[Entity Prefab],0)),25,1,1,"Entities"))</f>
        <v>yes</v>
      </c>
      <c r="DZ227" s="71">
        <v>1</v>
      </c>
      <c r="EA227" s="71">
        <v>1</v>
      </c>
      <c r="EB227" s="71" t="b">
        <v>0</v>
      </c>
      <c r="EC227" s="71"/>
      <c r="EO227" t="s">
        <v>464</v>
      </c>
      <c r="EP227">
        <v>1</v>
      </c>
      <c r="EQ227">
        <v>110</v>
      </c>
      <c r="ER227">
        <v>100</v>
      </c>
      <c r="ES227" s="74">
        <f ca="1">INDIRECT(ADDRESS(11+(MATCH(RIGHT(Table18[[#This Row],[spawner_sku]],LEN(Table18[[#This Row],[spawner_sku]])-FIND("/",Table18[[#This Row],[spawner_sku]])),Table1[Entity Prefab],0)),10,1,1,"Entities"))</f>
        <v>28</v>
      </c>
      <c r="ET227" s="74">
        <f ca="1">ROUND((Table18[[#This Row],[XP]]*Table18[[#This Row],[entity_spawned (AVG)]])*(Table18[[#This Row],[activating_chance]]/100),0)</f>
        <v>28</v>
      </c>
      <c r="EU227" s="74" t="str">
        <f ca="1">INDIRECT(ADDRESS(11+(MATCH(RIGHT(Table18[[#This Row],[spawner_sku]],LEN(Table18[[#This Row],[spawner_sku]])-FIND("/",Table18[[#This Row],[spawner_sku]])),Table28[Entity Prefab],0)),26,1,1,"Entities"))</f>
        <v>no</v>
      </c>
      <c r="EV227">
        <v>1</v>
      </c>
      <c r="EW227">
        <v>1</v>
      </c>
      <c r="EX227" t="b">
        <v>0</v>
      </c>
      <c r="EZ227" t="s">
        <v>240</v>
      </c>
      <c r="FA227">
        <v>1</v>
      </c>
      <c r="FB227">
        <v>170</v>
      </c>
      <c r="FC227">
        <v>100</v>
      </c>
      <c r="FD227" s="74">
        <f ca="1">INDIRECT(ADDRESS(11+(MATCH(RIGHT(Table1820[[#This Row],[spawner_sku]],LEN(Table1820[[#This Row],[spawner_sku]])-FIND("/",Table1820[[#This Row],[spawner_sku]])),Table1[Entity Prefab],0)),10,1,1,"Entities"))</f>
        <v>70</v>
      </c>
      <c r="FE227" s="74">
        <f ca="1">ROUND((Table1820[[#This Row],[XP]]*Table1820[[#This Row],[entity_spawned (AVG)]])*(Table1820[[#This Row],[activating_chance]]/100),0)</f>
        <v>70</v>
      </c>
      <c r="FF227" s="74" t="str">
        <f ca="1">INDIRECT(ADDRESS(11+(MATCH(RIGHT(Table1820[[#This Row],[spawner_sku]],LEN(Table1820[[#This Row],[spawner_sku]])-FIND("/",Table1820[[#This Row],[spawner_sku]])),Table28[Entity Prefab],0)),26,1,1,"Entities"))</f>
        <v>yes</v>
      </c>
      <c r="FG227">
        <v>1</v>
      </c>
      <c r="FH227">
        <v>1</v>
      </c>
      <c r="FI227" t="b">
        <v>0</v>
      </c>
      <c r="FV227" t="s">
        <v>2703</v>
      </c>
      <c r="FW227">
        <v>1</v>
      </c>
      <c r="FX227">
        <v>120</v>
      </c>
      <c r="FY227">
        <v>80</v>
      </c>
      <c r="FZ227" s="74">
        <f ca="1">INDIRECT(ADDRESS(11+(MATCH(RIGHT(Table18202324[[#This Row],[spawner_sku]],LEN(Table18202324[[#This Row],[spawner_sku]])-FIND("/",Table18202324[[#This Row],[spawner_sku]])),Table1[Entity Prefab],0)),10,1,1,"Entities"))</f>
        <v>195</v>
      </c>
      <c r="GA227" s="74">
        <f ca="1">ROUND((Table18202324[[#This Row],[XP]]*Table18202324[[#This Row],[entity_spawned (AVG)]])*(Table18202324[[#This Row],[activating_chance]]/100),0)</f>
        <v>156</v>
      </c>
      <c r="GB227" s="74" t="str">
        <f ca="1">INDIRECT(ADDRESS(11+(MATCH(RIGHT(Table18202324[[#This Row],[spawner_sku]],LEN(Table18202324[[#This Row],[spawner_sku]])-FIND("/",Table18202324[[#This Row],[spawner_sku]])),Table28[Entity Prefab],0)),26,1,1,"Entities"))</f>
        <v>yes</v>
      </c>
      <c r="GC227">
        <v>1</v>
      </c>
      <c r="GD227">
        <v>1</v>
      </c>
      <c r="GE227" t="b">
        <v>0</v>
      </c>
    </row>
    <row r="228" spans="2:187" x14ac:dyDescent="0.25">
      <c r="B228" s="72" t="s">
        <v>219</v>
      </c>
      <c r="C228">
        <v>1</v>
      </c>
      <c r="D228">
        <v>230</v>
      </c>
      <c r="E228">
        <v>100</v>
      </c>
      <c r="F228" s="74">
        <f ca="1">INDIRECT(ADDRESS(11+(MATCH(RIGHT(Table245[[#This Row],[spawner_sku]],LEN(Table245[[#This Row],[spawner_sku]])-FIND("/",Table245[[#This Row],[spawner_sku]])),Table1[Entity Prefab],0)),10,1,1,"Entities"))</f>
        <v>143</v>
      </c>
      <c r="G228" s="74">
        <f ca="1">ROUND((Table245[[#This Row],[XP]]*Table245[[#This Row],[entity_spawned (AVG)]])*(Table245[[#This Row],[activating_chance]]/100),0)</f>
        <v>143</v>
      </c>
      <c r="H228" s="71" t="str">
        <f ca="1">INDIRECT(ADDRESS(11+(MATCH(RIGHT(Table245[[#This Row],[spawner_sku]],LEN(Table245[[#This Row],[spawner_sku]])-FIND("/",Table245[[#This Row],[spawner_sku]])),Table28[Entity Prefab],0)),24,1,1,"Entities"))</f>
        <v>yes</v>
      </c>
      <c r="I228" s="71">
        <v>1</v>
      </c>
      <c r="J228" s="71">
        <v>1</v>
      </c>
      <c r="K228" s="71" t="b">
        <v>0</v>
      </c>
      <c r="M228" t="s">
        <v>366</v>
      </c>
      <c r="N228">
        <v>2</v>
      </c>
      <c r="O228">
        <v>100</v>
      </c>
      <c r="P228">
        <v>100</v>
      </c>
      <c r="Q228" s="74">
        <f ca="1">INDIRECT(ADDRESS(11+(MATCH(RIGHT(Table3[[#This Row],[spawner_sku]],LEN(Table3[[#This Row],[spawner_sku]])-FIND("/",Table3[[#This Row],[spawner_sku]])),Table1[Entity Prefab],0)),10,1,1,"Entities"))</f>
        <v>25</v>
      </c>
      <c r="R228" s="74">
        <f ca="1">ROUND((Table3[[#This Row],[XP]]*Table3[[#This Row],[entity_spawned (AVG)]])*(Table3[[#This Row],[activating_chance]]/100),0)</f>
        <v>50</v>
      </c>
      <c r="S228" t="str">
        <f ca="1">INDIRECT(ADDRESS(11+(MATCH(RIGHT(Table3[[#This Row],[spawner_sku]],LEN(Table3[[#This Row],[spawner_sku]])-FIND("/",Table3[[#This Row],[spawner_sku]])),Table28[Entity Prefab],0)),24,1,1,"Entities"))</f>
        <v>no</v>
      </c>
      <c r="T228">
        <v>2</v>
      </c>
      <c r="U228">
        <v>2</v>
      </c>
      <c r="V228" t="b">
        <v>0</v>
      </c>
      <c r="AI228" t="s">
        <v>449</v>
      </c>
      <c r="AJ228">
        <v>1</v>
      </c>
      <c r="AK228">
        <v>300</v>
      </c>
      <c r="AL228">
        <v>100</v>
      </c>
      <c r="AM228" s="74">
        <f ca="1">INDIRECT(ADDRESS(11+(MATCH(RIGHT(Table2[[#This Row],[spawner_sku]],LEN(Table2[[#This Row],[spawner_sku]])-FIND("/",Table2[[#This Row],[spawner_sku]])),Table1[Entity Prefab],0)),10,1,1,"Entities"))</f>
        <v>130</v>
      </c>
      <c r="AN228" s="74">
        <f ca="1">ROUND((Table2[[#This Row],[XP]]*Table2[[#This Row],[entity_spawned (AVG)]])*(Table2[[#This Row],[activating_chance]]/100),0)</f>
        <v>130</v>
      </c>
      <c r="AO228" s="71" t="str">
        <f ca="1">INDIRECT(ADDRESS(11+(MATCH(RIGHT(Table2[[#This Row],[spawner_sku]],LEN(Table2[[#This Row],[spawner_sku]])-FIND("/",Table2[[#This Row],[spawner_sku]])),Table28[Entity Prefab],0)),24,1,1,"Entities"))</f>
        <v>yes</v>
      </c>
      <c r="AP228" s="71">
        <v>1</v>
      </c>
      <c r="AQ228" s="71">
        <v>1</v>
      </c>
      <c r="AR228" s="71" t="b">
        <v>0</v>
      </c>
      <c r="BE228" t="s">
        <v>242</v>
      </c>
      <c r="BF228">
        <v>1</v>
      </c>
      <c r="BG228">
        <v>170</v>
      </c>
      <c r="BH228">
        <v>40</v>
      </c>
      <c r="BI228" s="74">
        <f ca="1">INDIRECT(ADDRESS(11+(MATCH(RIGHT(Table610[[#This Row],[spawner_sku]],LEN(Table610[[#This Row],[spawner_sku]])-FIND("/",Table610[[#This Row],[spawner_sku]])),Table1[Entity Prefab],0)),10,1,1,"Entities"))</f>
        <v>25</v>
      </c>
      <c r="BJ228" s="74">
        <f ca="1">ROUND((Table610[[#This Row],[XP]]*Table610[[#This Row],[entity_spawned (AVG)]])*(Table610[[#This Row],[activating_chance]]/100),0)</f>
        <v>10</v>
      </c>
      <c r="BK228" s="71" t="str">
        <f ca="1">INDIRECT(ADDRESS(11+(MATCH(RIGHT(Table610[[#This Row],[spawner_sku]],LEN(Table610[[#This Row],[spawner_sku]])-FIND("/",Table610[[#This Row],[spawner_sku]])),Table28[Entity Prefab],0)),24,1,1,"Entities"))</f>
        <v>no</v>
      </c>
      <c r="BL228">
        <v>1</v>
      </c>
      <c r="BM228">
        <v>1</v>
      </c>
      <c r="BN228" t="b">
        <v>0</v>
      </c>
      <c r="BP228" t="s">
        <v>445</v>
      </c>
      <c r="BQ228">
        <v>1</v>
      </c>
      <c r="BR228">
        <v>220</v>
      </c>
      <c r="BS228">
        <v>100</v>
      </c>
      <c r="BT228" s="74">
        <f ca="1">INDIRECT(ADDRESS(11+(MATCH(RIGHT(Table61011[[#This Row],[spawner_sku]],LEN(Table61011[[#This Row],[spawner_sku]])-FIND("/",Table61011[[#This Row],[spawner_sku]])),Table1[Entity Prefab],0)),10,1,1,"Entities"))</f>
        <v>50</v>
      </c>
      <c r="BU228" s="74">
        <f ca="1">ROUND((Table61011[[#This Row],[XP]]*Table61011[[#This Row],[entity_spawned (AVG)]])*(Table61011[[#This Row],[activating_chance]]/100),0)</f>
        <v>50</v>
      </c>
      <c r="BV228" s="71" t="str">
        <f ca="1">INDIRECT(ADDRESS(11+(MATCH(RIGHT(Table61011[[#This Row],[spawner_sku]],LEN(Table61011[[#This Row],[spawner_sku]])-FIND("/",Table61011[[#This Row],[spawner_sku]])),Table28[Entity Prefab],0)),24,1,1,"Entities"))</f>
        <v>yes</v>
      </c>
      <c r="BW228" s="71">
        <v>1</v>
      </c>
      <c r="BX228" s="71">
        <v>1</v>
      </c>
      <c r="BY228" s="71" t="b">
        <v>0</v>
      </c>
      <c r="BZ228" s="71"/>
      <c r="CA228" s="147" t="s">
        <v>3816</v>
      </c>
      <c r="CB228">
        <v>1</v>
      </c>
      <c r="CC228">
        <v>240</v>
      </c>
      <c r="CD228">
        <v>100</v>
      </c>
      <c r="CE228" s="74">
        <f ca="1">INDIRECT(ADDRESS(11+(MATCH(RIGHT(Table35[[#This Row],[spawner_sku]],LEN(Table35[[#This Row],[spawner_sku]])-FIND("/",Table35[[#This Row],[spawner_sku]])),Table1[Entity Prefab],0)),10,1,1,"Entities"))</f>
        <v>50</v>
      </c>
      <c r="CF228" s="74">
        <f ca="1">ROUND((Table35[[#This Row],[XP]]*Table35[[#This Row],[entity_spawned (AVG)]])*(Table35[[#This Row],[activating_chance]]/100),0)</f>
        <v>50</v>
      </c>
      <c r="CG228" s="144" t="str">
        <f ca="1">INDIRECT(ADDRESS(11+(MATCH(RIGHT(Table35[[#This Row],[spawner_sku]],LEN(Table35[[#This Row],[spawner_sku]])-FIND("/",Table35[[#This Row],[spawner_sku]])),Table28[Entity Prefab],0)),24,1,1,"Entities"))</f>
        <v>no</v>
      </c>
      <c r="CH228">
        <v>1</v>
      </c>
      <c r="CI228">
        <v>1</v>
      </c>
      <c r="CJ228" s="71" t="b">
        <v>0</v>
      </c>
      <c r="CL228" t="s">
        <v>230</v>
      </c>
      <c r="CM228">
        <v>1</v>
      </c>
      <c r="CN228">
        <v>200</v>
      </c>
      <c r="CO228">
        <v>100</v>
      </c>
      <c r="CP228" s="74">
        <f ca="1">INDIRECT(ADDRESS(11+(MATCH(RIGHT(Table11[[#This Row],[spawner_sku]],LEN(Table11[[#This Row],[spawner_sku]])-FIND("/",Table11[[#This Row],[spawner_sku]])),Table1[Entity Prefab],0)),10,1,1,"Entities"))</f>
        <v>28</v>
      </c>
      <c r="CQ228">
        <f ca="1">ROUND((Table11[[#This Row],[XP]]*Table11[[#This Row],[entity_spawned (AVG)]])*(Table11[[#This Row],[activating_chance]]/100),0)</f>
        <v>28</v>
      </c>
      <c r="CR228" s="144" t="str">
        <f ca="1">INDIRECT(ADDRESS(11+(MATCH(RIGHT(Table11[[#This Row],[spawner_sku]],LEN(Table11[[#This Row],[spawner_sku]])-FIND("/",Table11[[#This Row],[spawner_sku]])),Table28[Entity Prefab],0)),25,1,1,"Entities"))</f>
        <v>no</v>
      </c>
      <c r="CS228" s="71">
        <v>1</v>
      </c>
      <c r="CT228" s="71">
        <v>1</v>
      </c>
      <c r="CU228" s="71" t="b">
        <v>0</v>
      </c>
      <c r="CW228" t="s">
        <v>366</v>
      </c>
      <c r="CX228">
        <v>3</v>
      </c>
      <c r="CY228">
        <v>100</v>
      </c>
      <c r="CZ228">
        <v>100</v>
      </c>
      <c r="DA228" s="74">
        <f ca="1">INDIRECT(ADDRESS(11+(MATCH(RIGHT(Table12[[#This Row],[spawner_sku]],LEN(Table12[[#This Row],[spawner_sku]])-FIND("/",Table12[[#This Row],[spawner_sku]])),Table1[Entity Prefab],0)),10,1,1,"Entities"))</f>
        <v>25</v>
      </c>
      <c r="DB228" s="74">
        <f ca="1">ROUND((Table12[[#This Row],[XP]]*Table12[[#This Row],[entity_spawned (AVG)]])*(Table12[[#This Row],[activating_chance]]/100),0)</f>
        <v>75</v>
      </c>
      <c r="DC228" s="144" t="str">
        <f ca="1">INDIRECT(ADDRESS(11+(MATCH(RIGHT(Table12[[#This Row],[spawner_sku]],LEN(Table12[[#This Row],[spawner_sku]])-FIND("/",Table12[[#This Row],[spawner_sku]])),Table28[Entity Prefab],0)),25,1,1,"Entities"))</f>
        <v>no</v>
      </c>
      <c r="DD228" s="71">
        <v>2</v>
      </c>
      <c r="DE228" s="71">
        <v>4</v>
      </c>
      <c r="DF228" s="71" t="b">
        <v>0</v>
      </c>
      <c r="DH228" t="s">
        <v>243</v>
      </c>
      <c r="DI228">
        <v>2</v>
      </c>
      <c r="DJ228">
        <v>150</v>
      </c>
      <c r="DK228">
        <v>80</v>
      </c>
      <c r="DL228" s="74">
        <f ca="1">INDIRECT(ADDRESS(11+(MATCH(RIGHT(Table13[[#This Row],[spawner_sku]],LEN(Table13[[#This Row],[spawner_sku]])-FIND("/",Table13[[#This Row],[spawner_sku]])),Table1[Entity Prefab],0)),10,1,1,"Entities"))</f>
        <v>25</v>
      </c>
      <c r="DM228" s="74">
        <f ca="1">ROUND((Table13[[#This Row],[XP]]*Table13[[#This Row],[entity_spawned (AVG)]])*(Table13[[#This Row],[activating_chance]]/100),0)</f>
        <v>40</v>
      </c>
      <c r="DN228" s="144" t="str">
        <f ca="1">INDIRECT(ADDRESS(11+(MATCH(RIGHT(Table13[[#This Row],[spawner_sku]],LEN(Table13[[#This Row],[spawner_sku]])-FIND("/",Table13[[#This Row],[spawner_sku]])),Table28[Entity Prefab],0)),25,1,1,"Entities"))</f>
        <v>no</v>
      </c>
      <c r="DO228" s="71">
        <v>1</v>
      </c>
      <c r="DP228" s="71">
        <v>3</v>
      </c>
      <c r="DQ228" s="71" t="b">
        <v>0</v>
      </c>
      <c r="DS228" t="s">
        <v>369</v>
      </c>
      <c r="DT228">
        <v>1</v>
      </c>
      <c r="DU228">
        <v>220</v>
      </c>
      <c r="DV228">
        <v>100</v>
      </c>
      <c r="DW228" s="74">
        <f ca="1">INDIRECT(ADDRESS(11+(MATCH(RIGHT(Table14[[#This Row],[spawner_sku]],LEN(Table14[[#This Row],[spawner_sku]])-FIND("/",Table14[[#This Row],[spawner_sku]])),Table1[Entity Prefab],0)),10,1,1,"Entities"))</f>
        <v>75</v>
      </c>
      <c r="DX228" s="74">
        <f ca="1">ROUND((Table14[[#This Row],[XP]]*Table14[[#This Row],[entity_spawned (AVG)]])*(Table14[[#This Row],[activating_chance]]/100),0)</f>
        <v>75</v>
      </c>
      <c r="DY228" s="144" t="str">
        <f ca="1">INDIRECT(ADDRESS(11+(MATCH(RIGHT(Table14[[#This Row],[spawner_sku]],LEN(Table14[[#This Row],[spawner_sku]])-FIND("/",Table14[[#This Row],[spawner_sku]])),Table28[Entity Prefab],0)),25,1,1,"Entities"))</f>
        <v>yes</v>
      </c>
      <c r="DZ228" s="71">
        <v>1</v>
      </c>
      <c r="EA228" s="71">
        <v>1</v>
      </c>
      <c r="EB228" s="71" t="b">
        <v>0</v>
      </c>
      <c r="EC228" s="71"/>
      <c r="EO228" t="s">
        <v>464</v>
      </c>
      <c r="EP228">
        <v>1</v>
      </c>
      <c r="EQ228">
        <v>110</v>
      </c>
      <c r="ER228">
        <v>100</v>
      </c>
      <c r="ES228" s="74">
        <f ca="1">INDIRECT(ADDRESS(11+(MATCH(RIGHT(Table18[[#This Row],[spawner_sku]],LEN(Table18[[#This Row],[spawner_sku]])-FIND("/",Table18[[#This Row],[spawner_sku]])),Table1[Entity Prefab],0)),10,1,1,"Entities"))</f>
        <v>28</v>
      </c>
      <c r="ET228" s="74">
        <f ca="1">ROUND((Table18[[#This Row],[XP]]*Table18[[#This Row],[entity_spawned (AVG)]])*(Table18[[#This Row],[activating_chance]]/100),0)</f>
        <v>28</v>
      </c>
      <c r="EU228" s="74" t="str">
        <f ca="1">INDIRECT(ADDRESS(11+(MATCH(RIGHT(Table18[[#This Row],[spawner_sku]],LEN(Table18[[#This Row],[spawner_sku]])-FIND("/",Table18[[#This Row],[spawner_sku]])),Table28[Entity Prefab],0)),26,1,1,"Entities"))</f>
        <v>no</v>
      </c>
      <c r="EV228">
        <v>1</v>
      </c>
      <c r="EW228">
        <v>1</v>
      </c>
      <c r="EX228" t="b">
        <v>0</v>
      </c>
      <c r="EZ228" t="s">
        <v>242</v>
      </c>
      <c r="FA228">
        <v>2.5</v>
      </c>
      <c r="FB228">
        <v>135</v>
      </c>
      <c r="FC228">
        <v>100</v>
      </c>
      <c r="FD228" s="74">
        <f ca="1">INDIRECT(ADDRESS(11+(MATCH(RIGHT(Table1820[[#This Row],[spawner_sku]],LEN(Table1820[[#This Row],[spawner_sku]])-FIND("/",Table1820[[#This Row],[spawner_sku]])),Table1[Entity Prefab],0)),10,1,1,"Entities"))</f>
        <v>25</v>
      </c>
      <c r="FE228" s="74">
        <f ca="1">ROUND((Table1820[[#This Row],[XP]]*Table1820[[#This Row],[entity_spawned (AVG)]])*(Table1820[[#This Row],[activating_chance]]/100),0)</f>
        <v>63</v>
      </c>
      <c r="FF228" s="74" t="str">
        <f ca="1">INDIRECT(ADDRESS(11+(MATCH(RIGHT(Table1820[[#This Row],[spawner_sku]],LEN(Table1820[[#This Row],[spawner_sku]])-FIND("/",Table1820[[#This Row],[spawner_sku]])),Table28[Entity Prefab],0)),26,1,1,"Entities"))</f>
        <v>no</v>
      </c>
      <c r="FG228">
        <v>2</v>
      </c>
      <c r="FH228">
        <v>3</v>
      </c>
      <c r="FI228" t="b">
        <v>0</v>
      </c>
    </row>
    <row r="229" spans="2:187" x14ac:dyDescent="0.25">
      <c r="B229" s="72" t="s">
        <v>219</v>
      </c>
      <c r="C229">
        <v>1</v>
      </c>
      <c r="D229">
        <v>200</v>
      </c>
      <c r="E229">
        <v>100</v>
      </c>
      <c r="F229" s="74">
        <f ca="1">INDIRECT(ADDRESS(11+(MATCH(RIGHT(Table245[[#This Row],[spawner_sku]],LEN(Table245[[#This Row],[spawner_sku]])-FIND("/",Table245[[#This Row],[spawner_sku]])),Table1[Entity Prefab],0)),10,1,1,"Entities"))</f>
        <v>143</v>
      </c>
      <c r="G229" s="74">
        <f ca="1">ROUND((Table245[[#This Row],[XP]]*Table245[[#This Row],[entity_spawned (AVG)]])*(Table245[[#This Row],[activating_chance]]/100),0)</f>
        <v>143</v>
      </c>
      <c r="H229" s="71" t="str">
        <f ca="1">INDIRECT(ADDRESS(11+(MATCH(RIGHT(Table245[[#This Row],[spawner_sku]],LEN(Table245[[#This Row],[spawner_sku]])-FIND("/",Table245[[#This Row],[spawner_sku]])),Table28[Entity Prefab],0)),24,1,1,"Entities"))</f>
        <v>yes</v>
      </c>
      <c r="I229" s="71">
        <v>1</v>
      </c>
      <c r="J229" s="71">
        <v>1</v>
      </c>
      <c r="K229" s="71" t="b">
        <v>0</v>
      </c>
      <c r="M229" t="s">
        <v>366</v>
      </c>
      <c r="N229">
        <v>3</v>
      </c>
      <c r="O229">
        <v>100</v>
      </c>
      <c r="P229">
        <v>100</v>
      </c>
      <c r="Q229" s="74">
        <f ca="1">INDIRECT(ADDRESS(11+(MATCH(RIGHT(Table3[[#This Row],[spawner_sku]],LEN(Table3[[#This Row],[spawner_sku]])-FIND("/",Table3[[#This Row],[spawner_sku]])),Table1[Entity Prefab],0)),10,1,1,"Entities"))</f>
        <v>25</v>
      </c>
      <c r="R229" s="74">
        <f ca="1">ROUND((Table3[[#This Row],[XP]]*Table3[[#This Row],[entity_spawned (AVG)]])*(Table3[[#This Row],[activating_chance]]/100),0)</f>
        <v>75</v>
      </c>
      <c r="S229" t="str">
        <f ca="1">INDIRECT(ADDRESS(11+(MATCH(RIGHT(Table3[[#This Row],[spawner_sku]],LEN(Table3[[#This Row],[spawner_sku]])-FIND("/",Table3[[#This Row],[spawner_sku]])),Table28[Entity Prefab],0)),24,1,1,"Entities"))</f>
        <v>no</v>
      </c>
      <c r="T229">
        <v>3</v>
      </c>
      <c r="U229">
        <v>3</v>
      </c>
      <c r="V229" t="b">
        <v>0</v>
      </c>
      <c r="AI229" t="s">
        <v>8112</v>
      </c>
      <c r="AJ229">
        <v>1</v>
      </c>
      <c r="AK229">
        <v>300</v>
      </c>
      <c r="AL229">
        <v>100</v>
      </c>
      <c r="AM229" s="74">
        <f ca="1">INDIRECT(ADDRESS(11+(MATCH(RIGHT(Table2[[#This Row],[spawner_sku]],LEN(Table2[[#This Row],[spawner_sku]])-FIND("/",Table2[[#This Row],[spawner_sku]])),Table1[Entity Prefab],0)),10,1,1,"Entities"))</f>
        <v>150</v>
      </c>
      <c r="AN229" s="74">
        <f ca="1">ROUND((Table2[[#This Row],[XP]]*Table2[[#This Row],[entity_spawned (AVG)]])*(Table2[[#This Row],[activating_chance]]/100),0)</f>
        <v>150</v>
      </c>
      <c r="AO229" s="71" t="str">
        <f ca="1">INDIRECT(ADDRESS(11+(MATCH(RIGHT(Table2[[#This Row],[spawner_sku]],LEN(Table2[[#This Row],[spawner_sku]])-FIND("/",Table2[[#This Row],[spawner_sku]])),Table28[Entity Prefab],0)),24,1,1,"Entities"))</f>
        <v>yes</v>
      </c>
      <c r="AP229" s="71">
        <v>1</v>
      </c>
      <c r="AQ229" s="71">
        <v>1</v>
      </c>
      <c r="AR229" s="71" t="b">
        <v>0</v>
      </c>
      <c r="BE229" t="s">
        <v>242</v>
      </c>
      <c r="BF229">
        <v>1.5</v>
      </c>
      <c r="BG229">
        <v>200</v>
      </c>
      <c r="BH229">
        <v>60</v>
      </c>
      <c r="BI229" s="74">
        <f ca="1">INDIRECT(ADDRESS(11+(MATCH(RIGHT(Table610[[#This Row],[spawner_sku]],LEN(Table610[[#This Row],[spawner_sku]])-FIND("/",Table610[[#This Row],[spawner_sku]])),Table1[Entity Prefab],0)),10,1,1,"Entities"))</f>
        <v>25</v>
      </c>
      <c r="BJ229" s="74">
        <f ca="1">ROUND((Table610[[#This Row],[XP]]*Table610[[#This Row],[entity_spawned (AVG)]])*(Table610[[#This Row],[activating_chance]]/100),0)</f>
        <v>23</v>
      </c>
      <c r="BK229" s="71" t="str">
        <f ca="1">INDIRECT(ADDRESS(11+(MATCH(RIGHT(Table610[[#This Row],[spawner_sku]],LEN(Table610[[#This Row],[spawner_sku]])-FIND("/",Table610[[#This Row],[spawner_sku]])),Table28[Entity Prefab],0)),24,1,1,"Entities"))</f>
        <v>no</v>
      </c>
      <c r="BL229">
        <v>1</v>
      </c>
      <c r="BM229">
        <v>2</v>
      </c>
      <c r="BN229" t="b">
        <v>0</v>
      </c>
      <c r="BP229" t="s">
        <v>445</v>
      </c>
      <c r="BQ229">
        <v>1</v>
      </c>
      <c r="BR229">
        <v>220</v>
      </c>
      <c r="BS229">
        <v>100</v>
      </c>
      <c r="BT229" s="74">
        <f ca="1">INDIRECT(ADDRESS(11+(MATCH(RIGHT(Table61011[[#This Row],[spawner_sku]],LEN(Table61011[[#This Row],[spawner_sku]])-FIND("/",Table61011[[#This Row],[spawner_sku]])),Table1[Entity Prefab],0)),10,1,1,"Entities"))</f>
        <v>50</v>
      </c>
      <c r="BU229" s="74">
        <f ca="1">ROUND((Table61011[[#This Row],[XP]]*Table61011[[#This Row],[entity_spawned (AVG)]])*(Table61011[[#This Row],[activating_chance]]/100),0)</f>
        <v>50</v>
      </c>
      <c r="BV229" s="71" t="str">
        <f ca="1">INDIRECT(ADDRESS(11+(MATCH(RIGHT(Table61011[[#This Row],[spawner_sku]],LEN(Table61011[[#This Row],[spawner_sku]])-FIND("/",Table61011[[#This Row],[spawner_sku]])),Table28[Entity Prefab],0)),24,1,1,"Entities"))</f>
        <v>yes</v>
      </c>
      <c r="BW229" s="71">
        <v>1</v>
      </c>
      <c r="BX229" s="71">
        <v>1</v>
      </c>
      <c r="BY229" s="71" t="b">
        <v>0</v>
      </c>
      <c r="BZ229" s="71"/>
      <c r="CA229" s="147" t="s">
        <v>3816</v>
      </c>
      <c r="CB229">
        <v>1</v>
      </c>
      <c r="CC229">
        <v>240</v>
      </c>
      <c r="CD229">
        <v>100</v>
      </c>
      <c r="CE229" s="74">
        <f ca="1">INDIRECT(ADDRESS(11+(MATCH(RIGHT(Table35[[#This Row],[spawner_sku]],LEN(Table35[[#This Row],[spawner_sku]])-FIND("/",Table35[[#This Row],[spawner_sku]])),Table1[Entity Prefab],0)),10,1,1,"Entities"))</f>
        <v>50</v>
      </c>
      <c r="CF229" s="74">
        <f ca="1">ROUND((Table35[[#This Row],[XP]]*Table35[[#This Row],[entity_spawned (AVG)]])*(Table35[[#This Row],[activating_chance]]/100),0)</f>
        <v>50</v>
      </c>
      <c r="CG229" s="144" t="str">
        <f ca="1">INDIRECT(ADDRESS(11+(MATCH(RIGHT(Table35[[#This Row],[spawner_sku]],LEN(Table35[[#This Row],[spawner_sku]])-FIND("/",Table35[[#This Row],[spawner_sku]])),Table28[Entity Prefab],0)),24,1,1,"Entities"))</f>
        <v>no</v>
      </c>
      <c r="CH229">
        <v>1</v>
      </c>
      <c r="CI229">
        <v>1</v>
      </c>
      <c r="CJ229" s="71" t="b">
        <v>0</v>
      </c>
      <c r="CL229" t="s">
        <v>230</v>
      </c>
      <c r="CM229">
        <v>1.5</v>
      </c>
      <c r="CN229">
        <v>200</v>
      </c>
      <c r="CO229">
        <v>100</v>
      </c>
      <c r="CP229" s="74">
        <f ca="1">INDIRECT(ADDRESS(11+(MATCH(RIGHT(Table11[[#This Row],[spawner_sku]],LEN(Table11[[#This Row],[spawner_sku]])-FIND("/",Table11[[#This Row],[spawner_sku]])),Table1[Entity Prefab],0)),10,1,1,"Entities"))</f>
        <v>28</v>
      </c>
      <c r="CQ229">
        <f ca="1">ROUND((Table11[[#This Row],[XP]]*Table11[[#This Row],[entity_spawned (AVG)]])*(Table11[[#This Row],[activating_chance]]/100),0)</f>
        <v>42</v>
      </c>
      <c r="CR229" s="144" t="str">
        <f ca="1">INDIRECT(ADDRESS(11+(MATCH(RIGHT(Table11[[#This Row],[spawner_sku]],LEN(Table11[[#This Row],[spawner_sku]])-FIND("/",Table11[[#This Row],[spawner_sku]])),Table28[Entity Prefab],0)),25,1,1,"Entities"))</f>
        <v>no</v>
      </c>
      <c r="CS229" s="71">
        <v>1</v>
      </c>
      <c r="CT229" s="71">
        <v>2</v>
      </c>
      <c r="CU229" s="71" t="b">
        <v>0</v>
      </c>
      <c r="CW229" t="s">
        <v>366</v>
      </c>
      <c r="CX229">
        <v>1.5</v>
      </c>
      <c r="CY229">
        <v>100</v>
      </c>
      <c r="CZ229">
        <v>30</v>
      </c>
      <c r="DA229" s="74">
        <f ca="1">INDIRECT(ADDRESS(11+(MATCH(RIGHT(Table12[[#This Row],[spawner_sku]],LEN(Table12[[#This Row],[spawner_sku]])-FIND("/",Table12[[#This Row],[spawner_sku]])),Table1[Entity Prefab],0)),10,1,1,"Entities"))</f>
        <v>25</v>
      </c>
      <c r="DB229" s="74">
        <f ca="1">ROUND((Table12[[#This Row],[XP]]*Table12[[#This Row],[entity_spawned (AVG)]])*(Table12[[#This Row],[activating_chance]]/100),0)</f>
        <v>11</v>
      </c>
      <c r="DC229" s="144" t="str">
        <f ca="1">INDIRECT(ADDRESS(11+(MATCH(RIGHT(Table12[[#This Row],[spawner_sku]],LEN(Table12[[#This Row],[spawner_sku]])-FIND("/",Table12[[#This Row],[spawner_sku]])),Table28[Entity Prefab],0)),25,1,1,"Entities"))</f>
        <v>no</v>
      </c>
      <c r="DD229" s="71">
        <v>1</v>
      </c>
      <c r="DE229" s="71">
        <v>2</v>
      </c>
      <c r="DF229" s="71" t="b">
        <v>0</v>
      </c>
      <c r="DH229" t="s">
        <v>243</v>
      </c>
      <c r="DI229">
        <v>1</v>
      </c>
      <c r="DJ229">
        <v>150</v>
      </c>
      <c r="DK229">
        <v>100</v>
      </c>
      <c r="DL229" s="74">
        <f ca="1">INDIRECT(ADDRESS(11+(MATCH(RIGHT(Table13[[#This Row],[spawner_sku]],LEN(Table13[[#This Row],[spawner_sku]])-FIND("/",Table13[[#This Row],[spawner_sku]])),Table1[Entity Prefab],0)),10,1,1,"Entities"))</f>
        <v>25</v>
      </c>
      <c r="DM229" s="74">
        <f ca="1">ROUND((Table13[[#This Row],[XP]]*Table13[[#This Row],[entity_spawned (AVG)]])*(Table13[[#This Row],[activating_chance]]/100),0)</f>
        <v>25</v>
      </c>
      <c r="DN229" s="144" t="str">
        <f ca="1">INDIRECT(ADDRESS(11+(MATCH(RIGHT(Table13[[#This Row],[spawner_sku]],LEN(Table13[[#This Row],[spawner_sku]])-FIND("/",Table13[[#This Row],[spawner_sku]])),Table28[Entity Prefab],0)),25,1,1,"Entities"))</f>
        <v>no</v>
      </c>
      <c r="DO229" s="71">
        <v>1</v>
      </c>
      <c r="DP229" s="71">
        <v>1</v>
      </c>
      <c r="DQ229" s="71" t="b">
        <v>0</v>
      </c>
      <c r="DS229" t="s">
        <v>369</v>
      </c>
      <c r="DT229">
        <v>1</v>
      </c>
      <c r="DU229">
        <v>220</v>
      </c>
      <c r="DV229">
        <v>80</v>
      </c>
      <c r="DW229" s="74">
        <f ca="1">INDIRECT(ADDRESS(11+(MATCH(RIGHT(Table14[[#This Row],[spawner_sku]],LEN(Table14[[#This Row],[spawner_sku]])-FIND("/",Table14[[#This Row],[spawner_sku]])),Table1[Entity Prefab],0)),10,1,1,"Entities"))</f>
        <v>75</v>
      </c>
      <c r="DX229" s="74">
        <f ca="1">ROUND((Table14[[#This Row],[XP]]*Table14[[#This Row],[entity_spawned (AVG)]])*(Table14[[#This Row],[activating_chance]]/100),0)</f>
        <v>60</v>
      </c>
      <c r="DY229" s="144" t="str">
        <f ca="1">INDIRECT(ADDRESS(11+(MATCH(RIGHT(Table14[[#This Row],[spawner_sku]],LEN(Table14[[#This Row],[spawner_sku]])-FIND("/",Table14[[#This Row],[spawner_sku]])),Table28[Entity Prefab],0)),25,1,1,"Entities"))</f>
        <v>yes</v>
      </c>
      <c r="DZ229" s="71">
        <v>1</v>
      </c>
      <c r="EA229" s="71">
        <v>1</v>
      </c>
      <c r="EB229" s="71" t="b">
        <v>0</v>
      </c>
      <c r="EC229" s="71"/>
      <c r="EO229" t="s">
        <v>464</v>
      </c>
      <c r="EP229">
        <v>1</v>
      </c>
      <c r="EQ229">
        <v>110</v>
      </c>
      <c r="ER229">
        <v>100</v>
      </c>
      <c r="ES229" s="74">
        <f ca="1">INDIRECT(ADDRESS(11+(MATCH(RIGHT(Table18[[#This Row],[spawner_sku]],LEN(Table18[[#This Row],[spawner_sku]])-FIND("/",Table18[[#This Row],[spawner_sku]])),Table1[Entity Prefab],0)),10,1,1,"Entities"))</f>
        <v>28</v>
      </c>
      <c r="ET229" s="74">
        <f ca="1">ROUND((Table18[[#This Row],[XP]]*Table18[[#This Row],[entity_spawned (AVG)]])*(Table18[[#This Row],[activating_chance]]/100),0)</f>
        <v>28</v>
      </c>
      <c r="EU229" s="74" t="str">
        <f ca="1">INDIRECT(ADDRESS(11+(MATCH(RIGHT(Table18[[#This Row],[spawner_sku]],LEN(Table18[[#This Row],[spawner_sku]])-FIND("/",Table18[[#This Row],[spawner_sku]])),Table28[Entity Prefab],0)),26,1,1,"Entities"))</f>
        <v>no</v>
      </c>
      <c r="EV229">
        <v>1</v>
      </c>
      <c r="EW229">
        <v>1</v>
      </c>
      <c r="EX229" t="b">
        <v>0</v>
      </c>
      <c r="EZ229" t="s">
        <v>242</v>
      </c>
      <c r="FA229">
        <v>2</v>
      </c>
      <c r="FB229">
        <v>150</v>
      </c>
      <c r="FC229">
        <v>80</v>
      </c>
      <c r="FD229" s="74">
        <f ca="1">INDIRECT(ADDRESS(11+(MATCH(RIGHT(Table1820[[#This Row],[spawner_sku]],LEN(Table1820[[#This Row],[spawner_sku]])-FIND("/",Table1820[[#This Row],[spawner_sku]])),Table1[Entity Prefab],0)),10,1,1,"Entities"))</f>
        <v>25</v>
      </c>
      <c r="FE229" s="74">
        <f ca="1">ROUND((Table1820[[#This Row],[XP]]*Table1820[[#This Row],[entity_spawned (AVG)]])*(Table1820[[#This Row],[activating_chance]]/100),0)</f>
        <v>40</v>
      </c>
      <c r="FF229" s="74" t="str">
        <f ca="1">INDIRECT(ADDRESS(11+(MATCH(RIGHT(Table1820[[#This Row],[spawner_sku]],LEN(Table1820[[#This Row],[spawner_sku]])-FIND("/",Table1820[[#This Row],[spawner_sku]])),Table28[Entity Prefab],0)),26,1,1,"Entities"))</f>
        <v>no</v>
      </c>
      <c r="FG229">
        <v>1</v>
      </c>
      <c r="FH229">
        <v>3</v>
      </c>
      <c r="FI229" t="b">
        <v>0</v>
      </c>
    </row>
    <row r="230" spans="2:187" x14ac:dyDescent="0.25">
      <c r="B230" s="72" t="s">
        <v>219</v>
      </c>
      <c r="C230">
        <v>1</v>
      </c>
      <c r="D230">
        <v>180</v>
      </c>
      <c r="E230">
        <v>100</v>
      </c>
      <c r="F230" s="74">
        <f ca="1">INDIRECT(ADDRESS(11+(MATCH(RIGHT(Table245[[#This Row],[spawner_sku]],LEN(Table245[[#This Row],[spawner_sku]])-FIND("/",Table245[[#This Row],[spawner_sku]])),Table1[Entity Prefab],0)),10,1,1,"Entities"))</f>
        <v>143</v>
      </c>
      <c r="G230" s="74">
        <f ca="1">ROUND((Table245[[#This Row],[XP]]*Table245[[#This Row],[entity_spawned (AVG)]])*(Table245[[#This Row],[activating_chance]]/100),0)</f>
        <v>143</v>
      </c>
      <c r="H230" s="71" t="str">
        <f ca="1">INDIRECT(ADDRESS(11+(MATCH(RIGHT(Table245[[#This Row],[spawner_sku]],LEN(Table245[[#This Row],[spawner_sku]])-FIND("/",Table245[[#This Row],[spawner_sku]])),Table28[Entity Prefab],0)),24,1,1,"Entities"))</f>
        <v>yes</v>
      </c>
      <c r="I230" s="71">
        <v>1</v>
      </c>
      <c r="J230" s="71">
        <v>1</v>
      </c>
      <c r="K230" s="71" t="b">
        <v>0</v>
      </c>
      <c r="M230" t="s">
        <v>321</v>
      </c>
      <c r="N230">
        <v>1.5</v>
      </c>
      <c r="O230">
        <v>250</v>
      </c>
      <c r="P230">
        <v>50</v>
      </c>
      <c r="Q230" s="74">
        <f ca="1">INDIRECT(ADDRESS(11+(MATCH(RIGHT(Table3[[#This Row],[spawner_sku]],LEN(Table3[[#This Row],[spawner_sku]])-FIND("/",Table3[[#This Row],[spawner_sku]])),Table1[Entity Prefab],0)),10,1,1,"Entities"))</f>
        <v>195</v>
      </c>
      <c r="R230" s="74">
        <f ca="1">ROUND((Table3[[#This Row],[XP]]*Table3[[#This Row],[entity_spawned (AVG)]])*(Table3[[#This Row],[activating_chance]]/100),0)</f>
        <v>146</v>
      </c>
      <c r="S230" t="str">
        <f ca="1">INDIRECT(ADDRESS(11+(MATCH(RIGHT(Table3[[#This Row],[spawner_sku]],LEN(Table3[[#This Row],[spawner_sku]])-FIND("/",Table3[[#This Row],[spawner_sku]])),Table28[Entity Prefab],0)),24,1,1,"Entities"))</f>
        <v>yes</v>
      </c>
      <c r="T230">
        <v>1</v>
      </c>
      <c r="U230">
        <v>2</v>
      </c>
      <c r="V230" t="b">
        <v>0</v>
      </c>
      <c r="AI230" t="s">
        <v>369</v>
      </c>
      <c r="AJ230">
        <v>1</v>
      </c>
      <c r="AK230">
        <v>220</v>
      </c>
      <c r="AL230">
        <v>100</v>
      </c>
      <c r="AM230" s="74">
        <f ca="1">INDIRECT(ADDRESS(11+(MATCH(RIGHT(Table2[[#This Row],[spawner_sku]],LEN(Table2[[#This Row],[spawner_sku]])-FIND("/",Table2[[#This Row],[spawner_sku]])),Table1[Entity Prefab],0)),10,1,1,"Entities"))</f>
        <v>75</v>
      </c>
      <c r="AN230" s="74">
        <f ca="1">ROUND((Table2[[#This Row],[XP]]*Table2[[#This Row],[entity_spawned (AVG)]])*(Table2[[#This Row],[activating_chance]]/100),0)</f>
        <v>75</v>
      </c>
      <c r="AO230" s="71" t="str">
        <f ca="1">INDIRECT(ADDRESS(11+(MATCH(RIGHT(Table2[[#This Row],[spawner_sku]],LEN(Table2[[#This Row],[spawner_sku]])-FIND("/",Table2[[#This Row],[spawner_sku]])),Table28[Entity Prefab],0)),24,1,1,"Entities"))</f>
        <v>yes</v>
      </c>
      <c r="AP230" s="71">
        <v>1</v>
      </c>
      <c r="AQ230" s="71">
        <v>1</v>
      </c>
      <c r="AR230" s="71" t="b">
        <v>0</v>
      </c>
      <c r="BE230" t="s">
        <v>242</v>
      </c>
      <c r="BF230">
        <v>1</v>
      </c>
      <c r="BG230">
        <v>200</v>
      </c>
      <c r="BH230">
        <v>40</v>
      </c>
      <c r="BI230" s="74">
        <f ca="1">INDIRECT(ADDRESS(11+(MATCH(RIGHT(Table610[[#This Row],[spawner_sku]],LEN(Table610[[#This Row],[spawner_sku]])-FIND("/",Table610[[#This Row],[spawner_sku]])),Table1[Entity Prefab],0)),10,1,1,"Entities"))</f>
        <v>25</v>
      </c>
      <c r="BJ230" s="74">
        <f ca="1">ROUND((Table610[[#This Row],[XP]]*Table610[[#This Row],[entity_spawned (AVG)]])*(Table610[[#This Row],[activating_chance]]/100),0)</f>
        <v>10</v>
      </c>
      <c r="BK230" s="71" t="str">
        <f ca="1">INDIRECT(ADDRESS(11+(MATCH(RIGHT(Table610[[#This Row],[spawner_sku]],LEN(Table610[[#This Row],[spawner_sku]])-FIND("/",Table610[[#This Row],[spawner_sku]])),Table28[Entity Prefab],0)),24,1,1,"Entities"))</f>
        <v>no</v>
      </c>
      <c r="BL230">
        <v>1</v>
      </c>
      <c r="BM230">
        <v>1</v>
      </c>
      <c r="BN230" t="b">
        <v>0</v>
      </c>
      <c r="BP230" t="s">
        <v>445</v>
      </c>
      <c r="BQ230">
        <v>1</v>
      </c>
      <c r="BR230">
        <v>220</v>
      </c>
      <c r="BS230">
        <v>100</v>
      </c>
      <c r="BT230" s="74">
        <f ca="1">INDIRECT(ADDRESS(11+(MATCH(RIGHT(Table61011[[#This Row],[spawner_sku]],LEN(Table61011[[#This Row],[spawner_sku]])-FIND("/",Table61011[[#This Row],[spawner_sku]])),Table1[Entity Prefab],0)),10,1,1,"Entities"))</f>
        <v>50</v>
      </c>
      <c r="BU230" s="74">
        <f ca="1">ROUND((Table61011[[#This Row],[XP]]*Table61011[[#This Row],[entity_spawned (AVG)]])*(Table61011[[#This Row],[activating_chance]]/100),0)</f>
        <v>50</v>
      </c>
      <c r="BV230" s="71" t="str">
        <f ca="1">INDIRECT(ADDRESS(11+(MATCH(RIGHT(Table61011[[#This Row],[spawner_sku]],LEN(Table61011[[#This Row],[spawner_sku]])-FIND("/",Table61011[[#This Row],[spawner_sku]])),Table28[Entity Prefab],0)),24,1,1,"Entities"))</f>
        <v>yes</v>
      </c>
      <c r="BW230" s="71">
        <v>1</v>
      </c>
      <c r="BX230" s="71">
        <v>1</v>
      </c>
      <c r="BY230" s="71" t="b">
        <v>0</v>
      </c>
      <c r="BZ230" s="71"/>
      <c r="CA230" s="147" t="s">
        <v>3816</v>
      </c>
      <c r="CB230">
        <v>1</v>
      </c>
      <c r="CC230">
        <v>240</v>
      </c>
      <c r="CD230">
        <v>100</v>
      </c>
      <c r="CE230" s="74">
        <f ca="1">INDIRECT(ADDRESS(11+(MATCH(RIGHT(Table35[[#This Row],[spawner_sku]],LEN(Table35[[#This Row],[spawner_sku]])-FIND("/",Table35[[#This Row],[spawner_sku]])),Table1[Entity Prefab],0)),10,1,1,"Entities"))</f>
        <v>50</v>
      </c>
      <c r="CF230" s="74">
        <f ca="1">ROUND((Table35[[#This Row],[XP]]*Table35[[#This Row],[entity_spawned (AVG)]])*(Table35[[#This Row],[activating_chance]]/100),0)</f>
        <v>50</v>
      </c>
      <c r="CG230" s="144" t="str">
        <f ca="1">INDIRECT(ADDRESS(11+(MATCH(RIGHT(Table35[[#This Row],[spawner_sku]],LEN(Table35[[#This Row],[spawner_sku]])-FIND("/",Table35[[#This Row],[spawner_sku]])),Table28[Entity Prefab],0)),24,1,1,"Entities"))</f>
        <v>no</v>
      </c>
      <c r="CH230">
        <v>1</v>
      </c>
      <c r="CI230">
        <v>1</v>
      </c>
      <c r="CJ230" s="71" t="b">
        <v>0</v>
      </c>
      <c r="CL230" t="s">
        <v>230</v>
      </c>
      <c r="CM230">
        <v>1</v>
      </c>
      <c r="CN230">
        <v>200</v>
      </c>
      <c r="CO230">
        <v>100</v>
      </c>
      <c r="CP230" s="74">
        <f ca="1">INDIRECT(ADDRESS(11+(MATCH(RIGHT(Table11[[#This Row],[spawner_sku]],LEN(Table11[[#This Row],[spawner_sku]])-FIND("/",Table11[[#This Row],[spawner_sku]])),Table1[Entity Prefab],0)),10,1,1,"Entities"))</f>
        <v>28</v>
      </c>
      <c r="CQ230">
        <f ca="1">ROUND((Table11[[#This Row],[XP]]*Table11[[#This Row],[entity_spawned (AVG)]])*(Table11[[#This Row],[activating_chance]]/100),0)</f>
        <v>28</v>
      </c>
      <c r="CR230" s="144" t="str">
        <f ca="1">INDIRECT(ADDRESS(11+(MATCH(RIGHT(Table11[[#This Row],[spawner_sku]],LEN(Table11[[#This Row],[spawner_sku]])-FIND("/",Table11[[#This Row],[spawner_sku]])),Table28[Entity Prefab],0)),25,1,1,"Entities"))</f>
        <v>no</v>
      </c>
      <c r="CS230" s="71">
        <v>1</v>
      </c>
      <c r="CT230" s="71">
        <v>1</v>
      </c>
      <c r="CU230" s="71" t="b">
        <v>0</v>
      </c>
      <c r="CW230" t="s">
        <v>366</v>
      </c>
      <c r="CX230">
        <v>6.5</v>
      </c>
      <c r="CY230">
        <v>100</v>
      </c>
      <c r="CZ230">
        <v>80</v>
      </c>
      <c r="DA230" s="74">
        <f ca="1">INDIRECT(ADDRESS(11+(MATCH(RIGHT(Table12[[#This Row],[spawner_sku]],LEN(Table12[[#This Row],[spawner_sku]])-FIND("/",Table12[[#This Row],[spawner_sku]])),Table1[Entity Prefab],0)),10,1,1,"Entities"))</f>
        <v>25</v>
      </c>
      <c r="DB230" s="74">
        <f ca="1">ROUND((Table12[[#This Row],[XP]]*Table12[[#This Row],[entity_spawned (AVG)]])*(Table12[[#This Row],[activating_chance]]/100),0)</f>
        <v>130</v>
      </c>
      <c r="DC230" s="144" t="str">
        <f ca="1">INDIRECT(ADDRESS(11+(MATCH(RIGHT(Table12[[#This Row],[spawner_sku]],LEN(Table12[[#This Row],[spawner_sku]])-FIND("/",Table12[[#This Row],[spawner_sku]])),Table28[Entity Prefab],0)),25,1,1,"Entities"))</f>
        <v>no</v>
      </c>
      <c r="DD230" s="71">
        <v>5</v>
      </c>
      <c r="DE230" s="71">
        <v>8</v>
      </c>
      <c r="DF230" s="71" t="b">
        <v>1</v>
      </c>
      <c r="DH230" t="s">
        <v>243</v>
      </c>
      <c r="DI230">
        <v>2</v>
      </c>
      <c r="DJ230">
        <v>150</v>
      </c>
      <c r="DK230">
        <v>100</v>
      </c>
      <c r="DL230" s="74">
        <f ca="1">INDIRECT(ADDRESS(11+(MATCH(RIGHT(Table13[[#This Row],[spawner_sku]],LEN(Table13[[#This Row],[spawner_sku]])-FIND("/",Table13[[#This Row],[spawner_sku]])),Table1[Entity Prefab],0)),10,1,1,"Entities"))</f>
        <v>25</v>
      </c>
      <c r="DM230" s="74">
        <f ca="1">ROUND((Table13[[#This Row],[XP]]*Table13[[#This Row],[entity_spawned (AVG)]])*(Table13[[#This Row],[activating_chance]]/100),0)</f>
        <v>50</v>
      </c>
      <c r="DN230" s="144" t="str">
        <f ca="1">INDIRECT(ADDRESS(11+(MATCH(RIGHT(Table13[[#This Row],[spawner_sku]],LEN(Table13[[#This Row],[spawner_sku]])-FIND("/",Table13[[#This Row],[spawner_sku]])),Table28[Entity Prefab],0)),25,1,1,"Entities"))</f>
        <v>no</v>
      </c>
      <c r="DO230" s="71">
        <v>1</v>
      </c>
      <c r="DP230" s="71">
        <v>3</v>
      </c>
      <c r="DQ230" s="71" t="b">
        <v>0</v>
      </c>
      <c r="DS230" t="s">
        <v>369</v>
      </c>
      <c r="DT230">
        <v>1</v>
      </c>
      <c r="DU230">
        <v>150</v>
      </c>
      <c r="DV230">
        <v>100</v>
      </c>
      <c r="DW230" s="74">
        <f ca="1">INDIRECT(ADDRESS(11+(MATCH(RIGHT(Table14[[#This Row],[spawner_sku]],LEN(Table14[[#This Row],[spawner_sku]])-FIND("/",Table14[[#This Row],[spawner_sku]])),Table1[Entity Prefab],0)),10,1,1,"Entities"))</f>
        <v>75</v>
      </c>
      <c r="DX230" s="74">
        <f ca="1">ROUND((Table14[[#This Row],[XP]]*Table14[[#This Row],[entity_spawned (AVG)]])*(Table14[[#This Row],[activating_chance]]/100),0)</f>
        <v>75</v>
      </c>
      <c r="DY230" s="144" t="str">
        <f ca="1">INDIRECT(ADDRESS(11+(MATCH(RIGHT(Table14[[#This Row],[spawner_sku]],LEN(Table14[[#This Row],[spawner_sku]])-FIND("/",Table14[[#This Row],[spawner_sku]])),Table28[Entity Prefab],0)),25,1,1,"Entities"))</f>
        <v>yes</v>
      </c>
      <c r="DZ230" s="71">
        <v>1</v>
      </c>
      <c r="EA230" s="71">
        <v>1</v>
      </c>
      <c r="EB230" s="71" t="b">
        <v>0</v>
      </c>
      <c r="EC230" s="71"/>
      <c r="EO230" t="s">
        <v>465</v>
      </c>
      <c r="EP230">
        <v>2</v>
      </c>
      <c r="EQ230">
        <v>100</v>
      </c>
      <c r="ER230">
        <v>100</v>
      </c>
      <c r="ES230" s="74">
        <f ca="1">INDIRECT(ADDRESS(11+(MATCH(RIGHT(Table18[[#This Row],[spawner_sku]],LEN(Table18[[#This Row],[spawner_sku]])-FIND("/",Table18[[#This Row],[spawner_sku]])),Table1[Entity Prefab],0)),10,1,1,"Entities"))</f>
        <v>25</v>
      </c>
      <c r="ET230" s="74">
        <f ca="1">ROUND((Table18[[#This Row],[XP]]*Table18[[#This Row],[entity_spawned (AVG)]])*(Table18[[#This Row],[activating_chance]]/100),0)</f>
        <v>50</v>
      </c>
      <c r="EU230" s="74" t="str">
        <f ca="1">INDIRECT(ADDRESS(11+(MATCH(RIGHT(Table18[[#This Row],[spawner_sku]],LEN(Table18[[#This Row],[spawner_sku]])-FIND("/",Table18[[#This Row],[spawner_sku]])),Table28[Entity Prefab],0)),26,1,1,"Entities"))</f>
        <v>no</v>
      </c>
      <c r="EV230">
        <v>2</v>
      </c>
      <c r="EW230">
        <v>2</v>
      </c>
      <c r="EX230" t="b">
        <v>0</v>
      </c>
      <c r="EZ230" t="s">
        <v>242</v>
      </c>
      <c r="FA230">
        <v>2</v>
      </c>
      <c r="FB230">
        <v>150</v>
      </c>
      <c r="FC230">
        <v>40</v>
      </c>
      <c r="FD230" s="74">
        <f ca="1">INDIRECT(ADDRESS(11+(MATCH(RIGHT(Table1820[[#This Row],[spawner_sku]],LEN(Table1820[[#This Row],[spawner_sku]])-FIND("/",Table1820[[#This Row],[spawner_sku]])),Table1[Entity Prefab],0)),10,1,1,"Entities"))</f>
        <v>25</v>
      </c>
      <c r="FE230" s="74">
        <f ca="1">ROUND((Table1820[[#This Row],[XP]]*Table1820[[#This Row],[entity_spawned (AVG)]])*(Table1820[[#This Row],[activating_chance]]/100),0)</f>
        <v>20</v>
      </c>
      <c r="FF230" s="74" t="str">
        <f ca="1">INDIRECT(ADDRESS(11+(MATCH(RIGHT(Table1820[[#This Row],[spawner_sku]],LEN(Table1820[[#This Row],[spawner_sku]])-FIND("/",Table1820[[#This Row],[spawner_sku]])),Table28[Entity Prefab],0)),26,1,1,"Entities"))</f>
        <v>no</v>
      </c>
      <c r="FG230">
        <v>1</v>
      </c>
      <c r="FH230">
        <v>3</v>
      </c>
      <c r="FI230" t="b">
        <v>0</v>
      </c>
    </row>
    <row r="231" spans="2:187" x14ac:dyDescent="0.25">
      <c r="B231" s="72" t="s">
        <v>219</v>
      </c>
      <c r="C231">
        <v>1</v>
      </c>
      <c r="D231">
        <v>180</v>
      </c>
      <c r="E231">
        <v>90</v>
      </c>
      <c r="F231" s="74">
        <f ca="1">INDIRECT(ADDRESS(11+(MATCH(RIGHT(Table245[[#This Row],[spawner_sku]],LEN(Table245[[#This Row],[spawner_sku]])-FIND("/",Table245[[#This Row],[spawner_sku]])),Table1[Entity Prefab],0)),10,1,1,"Entities"))</f>
        <v>143</v>
      </c>
      <c r="G231" s="74">
        <f ca="1">ROUND((Table245[[#This Row],[XP]]*Table245[[#This Row],[entity_spawned (AVG)]])*(Table245[[#This Row],[activating_chance]]/100),0)</f>
        <v>129</v>
      </c>
      <c r="H231" s="71" t="str">
        <f ca="1">INDIRECT(ADDRESS(11+(MATCH(RIGHT(Table245[[#This Row],[spawner_sku]],LEN(Table245[[#This Row],[spawner_sku]])-FIND("/",Table245[[#This Row],[spawner_sku]])),Table28[Entity Prefab],0)),24,1,1,"Entities"))</f>
        <v>yes</v>
      </c>
      <c r="I231" s="71">
        <v>1</v>
      </c>
      <c r="J231" s="71">
        <v>1</v>
      </c>
      <c r="K231" s="71" t="b">
        <v>0</v>
      </c>
      <c r="M231" t="s">
        <v>242</v>
      </c>
      <c r="N231">
        <v>1</v>
      </c>
      <c r="O231">
        <v>170</v>
      </c>
      <c r="P231">
        <v>100</v>
      </c>
      <c r="Q231" s="74">
        <f ca="1">INDIRECT(ADDRESS(11+(MATCH(RIGHT(Table3[[#This Row],[spawner_sku]],LEN(Table3[[#This Row],[spawner_sku]])-FIND("/",Table3[[#This Row],[spawner_sku]])),Table1[Entity Prefab],0)),10,1,1,"Entities"))</f>
        <v>25</v>
      </c>
      <c r="R231" s="74">
        <f ca="1">ROUND((Table3[[#This Row],[XP]]*Table3[[#This Row],[entity_spawned (AVG)]])*(Table3[[#This Row],[activating_chance]]/100),0)</f>
        <v>25</v>
      </c>
      <c r="S231" t="str">
        <f ca="1">INDIRECT(ADDRESS(11+(MATCH(RIGHT(Table3[[#This Row],[spawner_sku]],LEN(Table3[[#This Row],[spawner_sku]])-FIND("/",Table3[[#This Row],[spawner_sku]])),Table28[Entity Prefab],0)),24,1,1,"Entities"))</f>
        <v>no</v>
      </c>
      <c r="T231">
        <v>1</v>
      </c>
      <c r="U231">
        <v>1</v>
      </c>
      <c r="V231" t="b">
        <v>0</v>
      </c>
      <c r="AI231" t="s">
        <v>369</v>
      </c>
      <c r="AJ231">
        <v>1</v>
      </c>
      <c r="AK231">
        <v>220</v>
      </c>
      <c r="AL231">
        <v>100</v>
      </c>
      <c r="AM231" s="74">
        <f ca="1">INDIRECT(ADDRESS(11+(MATCH(RIGHT(Table2[[#This Row],[spawner_sku]],LEN(Table2[[#This Row],[spawner_sku]])-FIND("/",Table2[[#This Row],[spawner_sku]])),Table1[Entity Prefab],0)),10,1,1,"Entities"))</f>
        <v>75</v>
      </c>
      <c r="AN231" s="74">
        <f ca="1">ROUND((Table2[[#This Row],[XP]]*Table2[[#This Row],[entity_spawned (AVG)]])*(Table2[[#This Row],[activating_chance]]/100),0)</f>
        <v>75</v>
      </c>
      <c r="AO231" s="71" t="str">
        <f ca="1">INDIRECT(ADDRESS(11+(MATCH(RIGHT(Table2[[#This Row],[spawner_sku]],LEN(Table2[[#This Row],[spawner_sku]])-FIND("/",Table2[[#This Row],[spawner_sku]])),Table28[Entity Prefab],0)),24,1,1,"Entities"))</f>
        <v>yes</v>
      </c>
      <c r="AP231" s="71">
        <v>1</v>
      </c>
      <c r="AQ231" s="71">
        <v>1</v>
      </c>
      <c r="AR231" s="71" t="b">
        <v>0</v>
      </c>
      <c r="BE231" t="s">
        <v>242</v>
      </c>
      <c r="BF231">
        <v>1</v>
      </c>
      <c r="BG231">
        <v>170</v>
      </c>
      <c r="BH231">
        <v>40</v>
      </c>
      <c r="BI231" s="74">
        <f ca="1">INDIRECT(ADDRESS(11+(MATCH(RIGHT(Table610[[#This Row],[spawner_sku]],LEN(Table610[[#This Row],[spawner_sku]])-FIND("/",Table610[[#This Row],[spawner_sku]])),Table1[Entity Prefab],0)),10,1,1,"Entities"))</f>
        <v>25</v>
      </c>
      <c r="BJ231" s="74">
        <f ca="1">ROUND((Table610[[#This Row],[XP]]*Table610[[#This Row],[entity_spawned (AVG)]])*(Table610[[#This Row],[activating_chance]]/100),0)</f>
        <v>10</v>
      </c>
      <c r="BK231" s="71" t="str">
        <f ca="1">INDIRECT(ADDRESS(11+(MATCH(RIGHT(Table610[[#This Row],[spawner_sku]],LEN(Table610[[#This Row],[spawner_sku]])-FIND("/",Table610[[#This Row],[spawner_sku]])),Table28[Entity Prefab],0)),24,1,1,"Entities"))</f>
        <v>no</v>
      </c>
      <c r="BL231">
        <v>1</v>
      </c>
      <c r="BM231">
        <v>1</v>
      </c>
      <c r="BN231" t="b">
        <v>0</v>
      </c>
      <c r="BP231" t="s">
        <v>445</v>
      </c>
      <c r="BQ231">
        <v>1</v>
      </c>
      <c r="BR231">
        <v>220</v>
      </c>
      <c r="BS231">
        <v>100</v>
      </c>
      <c r="BT231" s="74">
        <f ca="1">INDIRECT(ADDRESS(11+(MATCH(RIGHT(Table61011[[#This Row],[spawner_sku]],LEN(Table61011[[#This Row],[spawner_sku]])-FIND("/",Table61011[[#This Row],[spawner_sku]])),Table1[Entity Prefab],0)),10,1,1,"Entities"))</f>
        <v>50</v>
      </c>
      <c r="BU231" s="74">
        <f ca="1">ROUND((Table61011[[#This Row],[XP]]*Table61011[[#This Row],[entity_spawned (AVG)]])*(Table61011[[#This Row],[activating_chance]]/100),0)</f>
        <v>50</v>
      </c>
      <c r="BV231" s="71" t="str">
        <f ca="1">INDIRECT(ADDRESS(11+(MATCH(RIGHT(Table61011[[#This Row],[spawner_sku]],LEN(Table61011[[#This Row],[spawner_sku]])-FIND("/",Table61011[[#This Row],[spawner_sku]])),Table28[Entity Prefab],0)),24,1,1,"Entities"))</f>
        <v>yes</v>
      </c>
      <c r="BW231" s="71">
        <v>1</v>
      </c>
      <c r="BX231" s="71">
        <v>1</v>
      </c>
      <c r="BY231" s="71" t="b">
        <v>0</v>
      </c>
      <c r="BZ231" s="71"/>
      <c r="CA231" s="147" t="s">
        <v>3816</v>
      </c>
      <c r="CB231">
        <v>1</v>
      </c>
      <c r="CC231">
        <v>240</v>
      </c>
      <c r="CD231">
        <v>100</v>
      </c>
      <c r="CE231" s="74">
        <f ca="1">INDIRECT(ADDRESS(11+(MATCH(RIGHT(Table35[[#This Row],[spawner_sku]],LEN(Table35[[#This Row],[spawner_sku]])-FIND("/",Table35[[#This Row],[spawner_sku]])),Table1[Entity Prefab],0)),10,1,1,"Entities"))</f>
        <v>50</v>
      </c>
      <c r="CF231" s="74">
        <f ca="1">ROUND((Table35[[#This Row],[XP]]*Table35[[#This Row],[entity_spawned (AVG)]])*(Table35[[#This Row],[activating_chance]]/100),0)</f>
        <v>50</v>
      </c>
      <c r="CG231" s="144" t="str">
        <f ca="1">INDIRECT(ADDRESS(11+(MATCH(RIGHT(Table35[[#This Row],[spawner_sku]],LEN(Table35[[#This Row],[spawner_sku]])-FIND("/",Table35[[#This Row],[spawner_sku]])),Table28[Entity Prefab],0)),24,1,1,"Entities"))</f>
        <v>no</v>
      </c>
      <c r="CH231">
        <v>1</v>
      </c>
      <c r="CI231">
        <v>1</v>
      </c>
      <c r="CJ231" s="71" t="b">
        <v>0</v>
      </c>
      <c r="CL231" t="s">
        <v>231</v>
      </c>
      <c r="CM231">
        <v>1</v>
      </c>
      <c r="CN231">
        <v>220</v>
      </c>
      <c r="CO231">
        <v>100</v>
      </c>
      <c r="CP231" s="74">
        <f ca="1">INDIRECT(ADDRESS(11+(MATCH(RIGHT(Table11[[#This Row],[spawner_sku]],LEN(Table11[[#This Row],[spawner_sku]])-FIND("/",Table11[[#This Row],[spawner_sku]])),Table1[Entity Prefab],0)),10,1,1,"Entities"))</f>
        <v>25</v>
      </c>
      <c r="CQ231">
        <f ca="1">ROUND((Table11[[#This Row],[XP]]*Table11[[#This Row],[entity_spawned (AVG)]])*(Table11[[#This Row],[activating_chance]]/100),0)</f>
        <v>25</v>
      </c>
      <c r="CR231" s="144" t="str">
        <f ca="1">INDIRECT(ADDRESS(11+(MATCH(RIGHT(Table11[[#This Row],[spawner_sku]],LEN(Table11[[#This Row],[spawner_sku]])-FIND("/",Table11[[#This Row],[spawner_sku]])),Table28[Entity Prefab],0)),25,1,1,"Entities"))</f>
        <v>no</v>
      </c>
      <c r="CS231" s="71">
        <v>1</v>
      </c>
      <c r="CT231" s="71">
        <v>1</v>
      </c>
      <c r="CU231" s="71" t="b">
        <v>0</v>
      </c>
      <c r="CW231" t="s">
        <v>366</v>
      </c>
      <c r="CX231">
        <v>1.5</v>
      </c>
      <c r="CY231">
        <v>100</v>
      </c>
      <c r="CZ231">
        <v>80</v>
      </c>
      <c r="DA231" s="74">
        <f ca="1">INDIRECT(ADDRESS(11+(MATCH(RIGHT(Table12[[#This Row],[spawner_sku]],LEN(Table12[[#This Row],[spawner_sku]])-FIND("/",Table12[[#This Row],[spawner_sku]])),Table1[Entity Prefab],0)),10,1,1,"Entities"))</f>
        <v>25</v>
      </c>
      <c r="DB231" s="74">
        <f ca="1">ROUND((Table12[[#This Row],[XP]]*Table12[[#This Row],[entity_spawned (AVG)]])*(Table12[[#This Row],[activating_chance]]/100),0)</f>
        <v>30</v>
      </c>
      <c r="DC231" s="144" t="str">
        <f ca="1">INDIRECT(ADDRESS(11+(MATCH(RIGHT(Table12[[#This Row],[spawner_sku]],LEN(Table12[[#This Row],[spawner_sku]])-FIND("/",Table12[[#This Row],[spawner_sku]])),Table28[Entity Prefab],0)),25,1,1,"Entities"))</f>
        <v>no</v>
      </c>
      <c r="DD231" s="71">
        <v>1</v>
      </c>
      <c r="DE231" s="71">
        <v>2</v>
      </c>
      <c r="DF231" s="71" t="b">
        <v>0</v>
      </c>
      <c r="DH231" t="s">
        <v>243</v>
      </c>
      <c r="DI231">
        <v>1</v>
      </c>
      <c r="DJ231">
        <v>150</v>
      </c>
      <c r="DK231">
        <v>80</v>
      </c>
      <c r="DL231" s="74">
        <f ca="1">INDIRECT(ADDRESS(11+(MATCH(RIGHT(Table13[[#This Row],[spawner_sku]],LEN(Table13[[#This Row],[spawner_sku]])-FIND("/",Table13[[#This Row],[spawner_sku]])),Table1[Entity Prefab],0)),10,1,1,"Entities"))</f>
        <v>25</v>
      </c>
      <c r="DM231" s="74">
        <f ca="1">ROUND((Table13[[#This Row],[XP]]*Table13[[#This Row],[entity_spawned (AVG)]])*(Table13[[#This Row],[activating_chance]]/100),0)</f>
        <v>20</v>
      </c>
      <c r="DN231" s="144" t="str">
        <f ca="1">INDIRECT(ADDRESS(11+(MATCH(RIGHT(Table13[[#This Row],[spawner_sku]],LEN(Table13[[#This Row],[spawner_sku]])-FIND("/",Table13[[#This Row],[spawner_sku]])),Table28[Entity Prefab],0)),25,1,1,"Entities"))</f>
        <v>no</v>
      </c>
      <c r="DO231" s="71">
        <v>1</v>
      </c>
      <c r="DP231" s="71">
        <v>1</v>
      </c>
      <c r="DQ231" s="71" t="b">
        <v>0</v>
      </c>
      <c r="DS231" t="s">
        <v>369</v>
      </c>
      <c r="DT231">
        <v>1</v>
      </c>
      <c r="DU231">
        <v>150</v>
      </c>
      <c r="DV231">
        <v>50</v>
      </c>
      <c r="DW231" s="74">
        <f ca="1">INDIRECT(ADDRESS(11+(MATCH(RIGHT(Table14[[#This Row],[spawner_sku]],LEN(Table14[[#This Row],[spawner_sku]])-FIND("/",Table14[[#This Row],[spawner_sku]])),Table1[Entity Prefab],0)),10,1,1,"Entities"))</f>
        <v>75</v>
      </c>
      <c r="DX231" s="74">
        <f ca="1">ROUND((Table14[[#This Row],[XP]]*Table14[[#This Row],[entity_spawned (AVG)]])*(Table14[[#This Row],[activating_chance]]/100),0)</f>
        <v>38</v>
      </c>
      <c r="DY231" s="144" t="str">
        <f ca="1">INDIRECT(ADDRESS(11+(MATCH(RIGHT(Table14[[#This Row],[spawner_sku]],LEN(Table14[[#This Row],[spawner_sku]])-FIND("/",Table14[[#This Row],[spawner_sku]])),Table28[Entity Prefab],0)),25,1,1,"Entities"))</f>
        <v>yes</v>
      </c>
      <c r="DZ231" s="71">
        <v>1</v>
      </c>
      <c r="EA231" s="71">
        <v>1</v>
      </c>
      <c r="EB231" s="71" t="b">
        <v>0</v>
      </c>
      <c r="EC231" s="71"/>
      <c r="EO231" t="s">
        <v>465</v>
      </c>
      <c r="EP231">
        <v>2</v>
      </c>
      <c r="EQ231">
        <v>100</v>
      </c>
      <c r="ER231">
        <v>100</v>
      </c>
      <c r="ES231" s="74">
        <f ca="1">INDIRECT(ADDRESS(11+(MATCH(RIGHT(Table18[[#This Row],[spawner_sku]],LEN(Table18[[#This Row],[spawner_sku]])-FIND("/",Table18[[#This Row],[spawner_sku]])),Table1[Entity Prefab],0)),10,1,1,"Entities"))</f>
        <v>25</v>
      </c>
      <c r="ET231" s="74">
        <f ca="1">ROUND((Table18[[#This Row],[XP]]*Table18[[#This Row],[entity_spawned (AVG)]])*(Table18[[#This Row],[activating_chance]]/100),0)</f>
        <v>50</v>
      </c>
      <c r="EU231" s="74" t="str">
        <f ca="1">INDIRECT(ADDRESS(11+(MATCH(RIGHT(Table18[[#This Row],[spawner_sku]],LEN(Table18[[#This Row],[spawner_sku]])-FIND("/",Table18[[#This Row],[spawner_sku]])),Table28[Entity Prefab],0)),26,1,1,"Entities"))</f>
        <v>no</v>
      </c>
      <c r="EV231">
        <v>2</v>
      </c>
      <c r="EW231">
        <v>2</v>
      </c>
      <c r="EX231" t="b">
        <v>0</v>
      </c>
      <c r="EZ231" t="s">
        <v>242</v>
      </c>
      <c r="FA231">
        <v>2.5</v>
      </c>
      <c r="FB231">
        <v>150</v>
      </c>
      <c r="FC231">
        <v>80</v>
      </c>
      <c r="FD231" s="74">
        <f ca="1">INDIRECT(ADDRESS(11+(MATCH(RIGHT(Table1820[[#This Row],[spawner_sku]],LEN(Table1820[[#This Row],[spawner_sku]])-FIND("/",Table1820[[#This Row],[spawner_sku]])),Table1[Entity Prefab],0)),10,1,1,"Entities"))</f>
        <v>25</v>
      </c>
      <c r="FE231" s="74">
        <f ca="1">ROUND((Table1820[[#This Row],[XP]]*Table1820[[#This Row],[entity_spawned (AVG)]])*(Table1820[[#This Row],[activating_chance]]/100),0)</f>
        <v>50</v>
      </c>
      <c r="FF231" s="74" t="str">
        <f ca="1">INDIRECT(ADDRESS(11+(MATCH(RIGHT(Table1820[[#This Row],[spawner_sku]],LEN(Table1820[[#This Row],[spawner_sku]])-FIND("/",Table1820[[#This Row],[spawner_sku]])),Table28[Entity Prefab],0)),26,1,1,"Entities"))</f>
        <v>no</v>
      </c>
      <c r="FG231">
        <v>2</v>
      </c>
      <c r="FH231">
        <v>3</v>
      </c>
      <c r="FI231" t="b">
        <v>0</v>
      </c>
    </row>
    <row r="232" spans="2:187" x14ac:dyDescent="0.25">
      <c r="B232" s="72" t="s">
        <v>219</v>
      </c>
      <c r="C232">
        <v>2</v>
      </c>
      <c r="D232">
        <v>250</v>
      </c>
      <c r="E232">
        <v>100</v>
      </c>
      <c r="F232" s="74">
        <f ca="1">INDIRECT(ADDRESS(11+(MATCH(RIGHT(Table245[[#This Row],[spawner_sku]],LEN(Table245[[#This Row],[spawner_sku]])-FIND("/",Table245[[#This Row],[spawner_sku]])),Table1[Entity Prefab],0)),10,1,1,"Entities"))</f>
        <v>143</v>
      </c>
      <c r="G232" s="74">
        <f ca="1">ROUND((Table245[[#This Row],[XP]]*Table245[[#This Row],[entity_spawned (AVG)]])*(Table245[[#This Row],[activating_chance]]/100),0)</f>
        <v>286</v>
      </c>
      <c r="H232" s="71" t="str">
        <f ca="1">INDIRECT(ADDRESS(11+(MATCH(RIGHT(Table245[[#This Row],[spawner_sku]],LEN(Table245[[#This Row],[spawner_sku]])-FIND("/",Table245[[#This Row],[spawner_sku]])),Table28[Entity Prefab],0)),24,1,1,"Entities"))</f>
        <v>yes</v>
      </c>
      <c r="I232" s="71">
        <v>2</v>
      </c>
      <c r="J232" s="71">
        <v>2</v>
      </c>
      <c r="K232" s="71" t="b">
        <v>0</v>
      </c>
      <c r="M232" t="s">
        <v>230</v>
      </c>
      <c r="N232">
        <v>1</v>
      </c>
      <c r="O232">
        <v>200</v>
      </c>
      <c r="P232">
        <v>80</v>
      </c>
      <c r="Q232" s="74">
        <f ca="1">INDIRECT(ADDRESS(11+(MATCH(RIGHT(Table3[[#This Row],[spawner_sku]],LEN(Table3[[#This Row],[spawner_sku]])-FIND("/",Table3[[#This Row],[spawner_sku]])),Table1[Entity Prefab],0)),10,1,1,"Entities"))</f>
        <v>28</v>
      </c>
      <c r="R232" s="74">
        <f ca="1">ROUND((Table3[[#This Row],[XP]]*Table3[[#This Row],[entity_spawned (AVG)]])*(Table3[[#This Row],[activating_chance]]/100),0)</f>
        <v>22</v>
      </c>
      <c r="S232" t="str">
        <f ca="1">INDIRECT(ADDRESS(11+(MATCH(RIGHT(Table3[[#This Row],[spawner_sku]],LEN(Table3[[#This Row],[spawner_sku]])-FIND("/",Table3[[#This Row],[spawner_sku]])),Table28[Entity Prefab],0)),24,1,1,"Entities"))</f>
        <v>no</v>
      </c>
      <c r="T232">
        <v>1</v>
      </c>
      <c r="U232">
        <v>1</v>
      </c>
      <c r="V232" t="b">
        <v>0</v>
      </c>
      <c r="AI232" t="s">
        <v>369</v>
      </c>
      <c r="AJ232">
        <v>1</v>
      </c>
      <c r="AK232">
        <v>220</v>
      </c>
      <c r="AL232">
        <v>100</v>
      </c>
      <c r="AM232" s="74">
        <f ca="1">INDIRECT(ADDRESS(11+(MATCH(RIGHT(Table2[[#This Row],[spawner_sku]],LEN(Table2[[#This Row],[spawner_sku]])-FIND("/",Table2[[#This Row],[spawner_sku]])),Table1[Entity Prefab],0)),10,1,1,"Entities"))</f>
        <v>75</v>
      </c>
      <c r="AN232" s="74">
        <f ca="1">ROUND((Table2[[#This Row],[XP]]*Table2[[#This Row],[entity_spawned (AVG)]])*(Table2[[#This Row],[activating_chance]]/100),0)</f>
        <v>75</v>
      </c>
      <c r="AO232" s="71" t="str">
        <f ca="1">INDIRECT(ADDRESS(11+(MATCH(RIGHT(Table2[[#This Row],[spawner_sku]],LEN(Table2[[#This Row],[spawner_sku]])-FIND("/",Table2[[#This Row],[spawner_sku]])),Table28[Entity Prefab],0)),24,1,1,"Entities"))</f>
        <v>yes</v>
      </c>
      <c r="AP232" s="71">
        <v>1</v>
      </c>
      <c r="AQ232" s="71">
        <v>1</v>
      </c>
      <c r="AR232" s="71" t="b">
        <v>0</v>
      </c>
      <c r="BE232" t="s">
        <v>242</v>
      </c>
      <c r="BF232">
        <v>1</v>
      </c>
      <c r="BG232">
        <v>200</v>
      </c>
      <c r="BH232">
        <v>80</v>
      </c>
      <c r="BI232" s="74">
        <f ca="1">INDIRECT(ADDRESS(11+(MATCH(RIGHT(Table610[[#This Row],[spawner_sku]],LEN(Table610[[#This Row],[spawner_sku]])-FIND("/",Table610[[#This Row],[spawner_sku]])),Table1[Entity Prefab],0)),10,1,1,"Entities"))</f>
        <v>25</v>
      </c>
      <c r="BJ232" s="74">
        <f ca="1">ROUND((Table610[[#This Row],[XP]]*Table610[[#This Row],[entity_spawned (AVG)]])*(Table610[[#This Row],[activating_chance]]/100),0)</f>
        <v>20</v>
      </c>
      <c r="BK232" s="71" t="str">
        <f ca="1">INDIRECT(ADDRESS(11+(MATCH(RIGHT(Table610[[#This Row],[spawner_sku]],LEN(Table610[[#This Row],[spawner_sku]])-FIND("/",Table610[[#This Row],[spawner_sku]])),Table28[Entity Prefab],0)),24,1,1,"Entities"))</f>
        <v>no</v>
      </c>
      <c r="BL232">
        <v>1</v>
      </c>
      <c r="BM232">
        <v>1</v>
      </c>
      <c r="BN232" t="b">
        <v>0</v>
      </c>
      <c r="BP232" t="s">
        <v>445</v>
      </c>
      <c r="BQ232">
        <v>1.5</v>
      </c>
      <c r="BR232">
        <v>220</v>
      </c>
      <c r="BS232">
        <v>80</v>
      </c>
      <c r="BT232" s="74">
        <f ca="1">INDIRECT(ADDRESS(11+(MATCH(RIGHT(Table61011[[#This Row],[spawner_sku]],LEN(Table61011[[#This Row],[spawner_sku]])-FIND("/",Table61011[[#This Row],[spawner_sku]])),Table1[Entity Prefab],0)),10,1,1,"Entities"))</f>
        <v>50</v>
      </c>
      <c r="BU232" s="74">
        <f ca="1">ROUND((Table61011[[#This Row],[XP]]*Table61011[[#This Row],[entity_spawned (AVG)]])*(Table61011[[#This Row],[activating_chance]]/100),0)</f>
        <v>60</v>
      </c>
      <c r="BV232" s="71" t="str">
        <f ca="1">INDIRECT(ADDRESS(11+(MATCH(RIGHT(Table61011[[#This Row],[spawner_sku]],LEN(Table61011[[#This Row],[spawner_sku]])-FIND("/",Table61011[[#This Row],[spawner_sku]])),Table28[Entity Prefab],0)),24,1,1,"Entities"))</f>
        <v>yes</v>
      </c>
      <c r="BW232" s="71">
        <v>1</v>
      </c>
      <c r="BX232" s="71">
        <v>2</v>
      </c>
      <c r="BY232" s="71" t="b">
        <v>0</v>
      </c>
      <c r="BZ232" s="71"/>
      <c r="CA232" s="147" t="s">
        <v>3816</v>
      </c>
      <c r="CB232">
        <v>1</v>
      </c>
      <c r="CC232">
        <v>240</v>
      </c>
      <c r="CD232">
        <v>100</v>
      </c>
      <c r="CE232" s="74">
        <f ca="1">INDIRECT(ADDRESS(11+(MATCH(RIGHT(Table35[[#This Row],[spawner_sku]],LEN(Table35[[#This Row],[spawner_sku]])-FIND("/",Table35[[#This Row],[spawner_sku]])),Table1[Entity Prefab],0)),10,1,1,"Entities"))</f>
        <v>50</v>
      </c>
      <c r="CF232" s="74">
        <f ca="1">ROUND((Table35[[#This Row],[XP]]*Table35[[#This Row],[entity_spawned (AVG)]])*(Table35[[#This Row],[activating_chance]]/100),0)</f>
        <v>50</v>
      </c>
      <c r="CG232" s="144" t="str">
        <f ca="1">INDIRECT(ADDRESS(11+(MATCH(RIGHT(Table35[[#This Row],[spawner_sku]],LEN(Table35[[#This Row],[spawner_sku]])-FIND("/",Table35[[#This Row],[spawner_sku]])),Table28[Entity Prefab],0)),24,1,1,"Entities"))</f>
        <v>no</v>
      </c>
      <c r="CH232">
        <v>1</v>
      </c>
      <c r="CI232">
        <v>1</v>
      </c>
      <c r="CJ232" s="71" t="b">
        <v>0</v>
      </c>
      <c r="CL232" t="s">
        <v>231</v>
      </c>
      <c r="CM232">
        <v>1</v>
      </c>
      <c r="CN232">
        <v>220</v>
      </c>
      <c r="CO232">
        <v>80</v>
      </c>
      <c r="CP232" s="74">
        <f ca="1">INDIRECT(ADDRESS(11+(MATCH(RIGHT(Table11[[#This Row],[spawner_sku]],LEN(Table11[[#This Row],[spawner_sku]])-FIND("/",Table11[[#This Row],[spawner_sku]])),Table1[Entity Prefab],0)),10,1,1,"Entities"))</f>
        <v>25</v>
      </c>
      <c r="CQ232">
        <f ca="1">ROUND((Table11[[#This Row],[XP]]*Table11[[#This Row],[entity_spawned (AVG)]])*(Table11[[#This Row],[activating_chance]]/100),0)</f>
        <v>20</v>
      </c>
      <c r="CR232" s="144" t="str">
        <f ca="1">INDIRECT(ADDRESS(11+(MATCH(RIGHT(Table11[[#This Row],[spawner_sku]],LEN(Table11[[#This Row],[spawner_sku]])-FIND("/",Table11[[#This Row],[spawner_sku]])),Table28[Entity Prefab],0)),25,1,1,"Entities"))</f>
        <v>no</v>
      </c>
      <c r="CS232" s="71">
        <v>1</v>
      </c>
      <c r="CT232" s="71">
        <v>1</v>
      </c>
      <c r="CU232" s="71" t="b">
        <v>0</v>
      </c>
      <c r="CW232" t="s">
        <v>366</v>
      </c>
      <c r="CX232">
        <v>1.5</v>
      </c>
      <c r="CY232">
        <v>100</v>
      </c>
      <c r="CZ232">
        <v>80</v>
      </c>
      <c r="DA232" s="74">
        <f ca="1">INDIRECT(ADDRESS(11+(MATCH(RIGHT(Table12[[#This Row],[spawner_sku]],LEN(Table12[[#This Row],[spawner_sku]])-FIND("/",Table12[[#This Row],[spawner_sku]])),Table1[Entity Prefab],0)),10,1,1,"Entities"))</f>
        <v>25</v>
      </c>
      <c r="DB232" s="74">
        <f ca="1">ROUND((Table12[[#This Row],[XP]]*Table12[[#This Row],[entity_spawned (AVG)]])*(Table12[[#This Row],[activating_chance]]/100),0)</f>
        <v>30</v>
      </c>
      <c r="DC232" s="144" t="str">
        <f ca="1">INDIRECT(ADDRESS(11+(MATCH(RIGHT(Table12[[#This Row],[spawner_sku]],LEN(Table12[[#This Row],[spawner_sku]])-FIND("/",Table12[[#This Row],[spawner_sku]])),Table28[Entity Prefab],0)),25,1,1,"Entities"))</f>
        <v>no</v>
      </c>
      <c r="DD232" s="71">
        <v>1</v>
      </c>
      <c r="DE232" s="71">
        <v>2</v>
      </c>
      <c r="DF232" s="71" t="b">
        <v>0</v>
      </c>
      <c r="DH232" t="s">
        <v>243</v>
      </c>
      <c r="DI232">
        <v>2.5</v>
      </c>
      <c r="DJ232">
        <v>150</v>
      </c>
      <c r="DK232">
        <v>100</v>
      </c>
      <c r="DL232" s="74">
        <f ca="1">INDIRECT(ADDRESS(11+(MATCH(RIGHT(Table13[[#This Row],[spawner_sku]],LEN(Table13[[#This Row],[spawner_sku]])-FIND("/",Table13[[#This Row],[spawner_sku]])),Table1[Entity Prefab],0)),10,1,1,"Entities"))</f>
        <v>25</v>
      </c>
      <c r="DM232" s="74">
        <f ca="1">ROUND((Table13[[#This Row],[XP]]*Table13[[#This Row],[entity_spawned (AVG)]])*(Table13[[#This Row],[activating_chance]]/100),0)</f>
        <v>63</v>
      </c>
      <c r="DN232" s="144" t="str">
        <f ca="1">INDIRECT(ADDRESS(11+(MATCH(RIGHT(Table13[[#This Row],[spawner_sku]],LEN(Table13[[#This Row],[spawner_sku]])-FIND("/",Table13[[#This Row],[spawner_sku]])),Table28[Entity Prefab],0)),25,1,1,"Entities"))</f>
        <v>no</v>
      </c>
      <c r="DO232" s="71">
        <v>2</v>
      </c>
      <c r="DP232" s="71">
        <v>3</v>
      </c>
      <c r="DQ232" s="71" t="b">
        <v>0</v>
      </c>
      <c r="DS232" t="s">
        <v>512</v>
      </c>
      <c r="DT232">
        <v>1</v>
      </c>
      <c r="DU232">
        <v>240</v>
      </c>
      <c r="DV232">
        <v>100</v>
      </c>
      <c r="DW232" s="74">
        <f ca="1">INDIRECT(ADDRESS(11+(MATCH(RIGHT(Table14[[#This Row],[spawner_sku]],LEN(Table14[[#This Row],[spawner_sku]])-FIND("/",Table14[[#This Row],[spawner_sku]])),Table1[Entity Prefab],0)),10,1,1,"Entities"))</f>
        <v>105</v>
      </c>
      <c r="DX232" s="74">
        <f ca="1">ROUND((Table14[[#This Row],[XP]]*Table14[[#This Row],[entity_spawned (AVG)]])*(Table14[[#This Row],[activating_chance]]/100),0)</f>
        <v>105</v>
      </c>
      <c r="DY232" s="144" t="str">
        <f ca="1">INDIRECT(ADDRESS(11+(MATCH(RIGHT(Table14[[#This Row],[spawner_sku]],LEN(Table14[[#This Row],[spawner_sku]])-FIND("/",Table14[[#This Row],[spawner_sku]])),Table28[Entity Prefab],0)),25,1,1,"Entities"))</f>
        <v>yes</v>
      </c>
      <c r="DZ232" s="71">
        <v>1</v>
      </c>
      <c r="EA232" s="71">
        <v>1</v>
      </c>
      <c r="EB232" s="71" t="b">
        <v>0</v>
      </c>
      <c r="EC232" s="71"/>
      <c r="EO232" t="s">
        <v>465</v>
      </c>
      <c r="EP232">
        <v>1</v>
      </c>
      <c r="EQ232">
        <v>110</v>
      </c>
      <c r="ER232">
        <v>100</v>
      </c>
      <c r="ES232" s="74">
        <f ca="1">INDIRECT(ADDRESS(11+(MATCH(RIGHT(Table18[[#This Row],[spawner_sku]],LEN(Table18[[#This Row],[spawner_sku]])-FIND("/",Table18[[#This Row],[spawner_sku]])),Table1[Entity Prefab],0)),10,1,1,"Entities"))</f>
        <v>25</v>
      </c>
      <c r="ET232" s="74">
        <f ca="1">ROUND((Table18[[#This Row],[XP]]*Table18[[#This Row],[entity_spawned (AVG)]])*(Table18[[#This Row],[activating_chance]]/100),0)</f>
        <v>25</v>
      </c>
      <c r="EU232" s="74" t="str">
        <f ca="1">INDIRECT(ADDRESS(11+(MATCH(RIGHT(Table18[[#This Row],[spawner_sku]],LEN(Table18[[#This Row],[spawner_sku]])-FIND("/",Table18[[#This Row],[spawner_sku]])),Table28[Entity Prefab],0)),26,1,1,"Entities"))</f>
        <v>no</v>
      </c>
      <c r="EV232">
        <v>1</v>
      </c>
      <c r="EW232">
        <v>1</v>
      </c>
      <c r="EX232" t="b">
        <v>0</v>
      </c>
      <c r="EZ232" t="s">
        <v>242</v>
      </c>
      <c r="FA232">
        <v>1.5</v>
      </c>
      <c r="FB232">
        <v>120</v>
      </c>
      <c r="FC232">
        <v>80</v>
      </c>
      <c r="FD232" s="74">
        <f ca="1">INDIRECT(ADDRESS(11+(MATCH(RIGHT(Table1820[[#This Row],[spawner_sku]],LEN(Table1820[[#This Row],[spawner_sku]])-FIND("/",Table1820[[#This Row],[spawner_sku]])),Table1[Entity Prefab],0)),10,1,1,"Entities"))</f>
        <v>25</v>
      </c>
      <c r="FE232" s="74">
        <f ca="1">ROUND((Table1820[[#This Row],[XP]]*Table1820[[#This Row],[entity_spawned (AVG)]])*(Table1820[[#This Row],[activating_chance]]/100),0)</f>
        <v>30</v>
      </c>
      <c r="FF232" s="74" t="str">
        <f ca="1">INDIRECT(ADDRESS(11+(MATCH(RIGHT(Table1820[[#This Row],[spawner_sku]],LEN(Table1820[[#This Row],[spawner_sku]])-FIND("/",Table1820[[#This Row],[spawner_sku]])),Table28[Entity Prefab],0)),26,1,1,"Entities"))</f>
        <v>no</v>
      </c>
      <c r="FG232">
        <v>1</v>
      </c>
      <c r="FH232">
        <v>2</v>
      </c>
      <c r="FI232" t="b">
        <v>0</v>
      </c>
    </row>
    <row r="233" spans="2:187" x14ac:dyDescent="0.25">
      <c r="B233" s="72" t="s">
        <v>219</v>
      </c>
      <c r="C233">
        <v>1.5</v>
      </c>
      <c r="D233">
        <v>250</v>
      </c>
      <c r="E233">
        <v>90</v>
      </c>
      <c r="F233" s="74">
        <f ca="1">INDIRECT(ADDRESS(11+(MATCH(RIGHT(Table245[[#This Row],[spawner_sku]],LEN(Table245[[#This Row],[spawner_sku]])-FIND("/",Table245[[#This Row],[spawner_sku]])),Table1[Entity Prefab],0)),10,1,1,"Entities"))</f>
        <v>143</v>
      </c>
      <c r="G233" s="74">
        <f ca="1">ROUND((Table245[[#This Row],[XP]]*Table245[[#This Row],[entity_spawned (AVG)]])*(Table245[[#This Row],[activating_chance]]/100),0)</f>
        <v>193</v>
      </c>
      <c r="H233" s="71" t="str">
        <f ca="1">INDIRECT(ADDRESS(11+(MATCH(RIGHT(Table245[[#This Row],[spawner_sku]],LEN(Table245[[#This Row],[spawner_sku]])-FIND("/",Table245[[#This Row],[spawner_sku]])),Table28[Entity Prefab],0)),24,1,1,"Entities"))</f>
        <v>yes</v>
      </c>
      <c r="I233" s="71">
        <v>1</v>
      </c>
      <c r="J233" s="71">
        <v>2</v>
      </c>
      <c r="K233" s="71" t="b">
        <v>0</v>
      </c>
      <c r="M233" t="s">
        <v>365</v>
      </c>
      <c r="N233">
        <v>1</v>
      </c>
      <c r="O233">
        <v>240</v>
      </c>
      <c r="P233">
        <v>100</v>
      </c>
      <c r="Q233" s="74">
        <f ca="1">INDIRECT(ADDRESS(11+(MATCH(RIGHT(Table3[[#This Row],[spawner_sku]],LEN(Table3[[#This Row],[spawner_sku]])-FIND("/",Table3[[#This Row],[spawner_sku]])),Table1[Entity Prefab],0)),10,1,1,"Entities"))</f>
        <v>28</v>
      </c>
      <c r="R233" s="74">
        <f ca="1">ROUND((Table3[[#This Row],[XP]]*Table3[[#This Row],[entity_spawned (AVG)]])*(Table3[[#This Row],[activating_chance]]/100),0)</f>
        <v>28</v>
      </c>
      <c r="S233" t="str">
        <f ca="1">INDIRECT(ADDRESS(11+(MATCH(RIGHT(Table3[[#This Row],[spawner_sku]],LEN(Table3[[#This Row],[spawner_sku]])-FIND("/",Table3[[#This Row],[spawner_sku]])),Table28[Entity Prefab],0)),24,1,1,"Entities"))</f>
        <v>yes</v>
      </c>
      <c r="T233">
        <v>1</v>
      </c>
      <c r="U233">
        <v>1</v>
      </c>
      <c r="V233" t="b">
        <v>0</v>
      </c>
      <c r="AI233" t="s">
        <v>369</v>
      </c>
      <c r="AJ233">
        <v>1</v>
      </c>
      <c r="AK233">
        <v>220</v>
      </c>
      <c r="AL233">
        <v>100</v>
      </c>
      <c r="AM233" s="74">
        <f ca="1">INDIRECT(ADDRESS(11+(MATCH(RIGHT(Table2[[#This Row],[spawner_sku]],LEN(Table2[[#This Row],[spawner_sku]])-FIND("/",Table2[[#This Row],[spawner_sku]])),Table1[Entity Prefab],0)),10,1,1,"Entities"))</f>
        <v>75</v>
      </c>
      <c r="AN233" s="74">
        <f ca="1">ROUND((Table2[[#This Row],[XP]]*Table2[[#This Row],[entity_spawned (AVG)]])*(Table2[[#This Row],[activating_chance]]/100),0)</f>
        <v>75</v>
      </c>
      <c r="AO233" s="71" t="str">
        <f ca="1">INDIRECT(ADDRESS(11+(MATCH(RIGHT(Table2[[#This Row],[spawner_sku]],LEN(Table2[[#This Row],[spawner_sku]])-FIND("/",Table2[[#This Row],[spawner_sku]])),Table28[Entity Prefab],0)),24,1,1,"Entities"))</f>
        <v>yes</v>
      </c>
      <c r="AP233" s="71">
        <v>1</v>
      </c>
      <c r="AQ233" s="71">
        <v>1</v>
      </c>
      <c r="AR233" s="71" t="b">
        <v>0</v>
      </c>
      <c r="BE233" t="s">
        <v>242</v>
      </c>
      <c r="BF233">
        <v>1</v>
      </c>
      <c r="BG233">
        <v>170</v>
      </c>
      <c r="BH233">
        <v>100</v>
      </c>
      <c r="BI233" s="74">
        <f ca="1">INDIRECT(ADDRESS(11+(MATCH(RIGHT(Table610[[#This Row],[spawner_sku]],LEN(Table610[[#This Row],[spawner_sku]])-FIND("/",Table610[[#This Row],[spawner_sku]])),Table1[Entity Prefab],0)),10,1,1,"Entities"))</f>
        <v>25</v>
      </c>
      <c r="BJ233" s="74">
        <f ca="1">ROUND((Table610[[#This Row],[XP]]*Table610[[#This Row],[entity_spawned (AVG)]])*(Table610[[#This Row],[activating_chance]]/100),0)</f>
        <v>25</v>
      </c>
      <c r="BK233" s="71" t="str">
        <f ca="1">INDIRECT(ADDRESS(11+(MATCH(RIGHT(Table610[[#This Row],[spawner_sku]],LEN(Table610[[#This Row],[spawner_sku]])-FIND("/",Table610[[#This Row],[spawner_sku]])),Table28[Entity Prefab],0)),24,1,1,"Entities"))</f>
        <v>no</v>
      </c>
      <c r="BL233">
        <v>1</v>
      </c>
      <c r="BM233">
        <v>1</v>
      </c>
      <c r="BN233" t="b">
        <v>0</v>
      </c>
      <c r="BP233" t="s">
        <v>445</v>
      </c>
      <c r="BQ233">
        <v>1.5</v>
      </c>
      <c r="BR233">
        <v>220</v>
      </c>
      <c r="BS233">
        <v>100</v>
      </c>
      <c r="BT233" s="74">
        <f ca="1">INDIRECT(ADDRESS(11+(MATCH(RIGHT(Table61011[[#This Row],[spawner_sku]],LEN(Table61011[[#This Row],[spawner_sku]])-FIND("/",Table61011[[#This Row],[spawner_sku]])),Table1[Entity Prefab],0)),10,1,1,"Entities"))</f>
        <v>50</v>
      </c>
      <c r="BU233" s="74">
        <f ca="1">ROUND((Table61011[[#This Row],[XP]]*Table61011[[#This Row],[entity_spawned (AVG)]])*(Table61011[[#This Row],[activating_chance]]/100),0)</f>
        <v>75</v>
      </c>
      <c r="BV233" s="71" t="str">
        <f ca="1">INDIRECT(ADDRESS(11+(MATCH(RIGHT(Table61011[[#This Row],[spawner_sku]],LEN(Table61011[[#This Row],[spawner_sku]])-FIND("/",Table61011[[#This Row],[spawner_sku]])),Table28[Entity Prefab],0)),24,1,1,"Entities"))</f>
        <v>yes</v>
      </c>
      <c r="BW233" s="71">
        <v>1</v>
      </c>
      <c r="BX233" s="71">
        <v>2</v>
      </c>
      <c r="BY233" s="71" t="b">
        <v>0</v>
      </c>
      <c r="BZ233" s="71"/>
      <c r="CA233" s="147" t="s">
        <v>3816</v>
      </c>
      <c r="CB233">
        <v>1</v>
      </c>
      <c r="CC233">
        <v>240</v>
      </c>
      <c r="CD233">
        <v>100</v>
      </c>
      <c r="CE233" s="74">
        <f ca="1">INDIRECT(ADDRESS(11+(MATCH(RIGHT(Table35[[#This Row],[spawner_sku]],LEN(Table35[[#This Row],[spawner_sku]])-FIND("/",Table35[[#This Row],[spawner_sku]])),Table1[Entity Prefab],0)),10,1,1,"Entities"))</f>
        <v>50</v>
      </c>
      <c r="CF233" s="74">
        <f ca="1">ROUND((Table35[[#This Row],[XP]]*Table35[[#This Row],[entity_spawned (AVG)]])*(Table35[[#This Row],[activating_chance]]/100),0)</f>
        <v>50</v>
      </c>
      <c r="CG233" s="144" t="str">
        <f ca="1">INDIRECT(ADDRESS(11+(MATCH(RIGHT(Table35[[#This Row],[spawner_sku]],LEN(Table35[[#This Row],[spawner_sku]])-FIND("/",Table35[[#This Row],[spawner_sku]])),Table28[Entity Prefab],0)),24,1,1,"Entities"))</f>
        <v>no</v>
      </c>
      <c r="CH233">
        <v>1</v>
      </c>
      <c r="CI233">
        <v>1</v>
      </c>
      <c r="CJ233" s="71" t="b">
        <v>0</v>
      </c>
      <c r="CL233" t="s">
        <v>231</v>
      </c>
      <c r="CM233">
        <v>1</v>
      </c>
      <c r="CN233">
        <v>180</v>
      </c>
      <c r="CO233">
        <v>100</v>
      </c>
      <c r="CP233" s="74">
        <f ca="1">INDIRECT(ADDRESS(11+(MATCH(RIGHT(Table11[[#This Row],[spawner_sku]],LEN(Table11[[#This Row],[spawner_sku]])-FIND("/",Table11[[#This Row],[spawner_sku]])),Table1[Entity Prefab],0)),10,1,1,"Entities"))</f>
        <v>25</v>
      </c>
      <c r="CQ233">
        <f ca="1">ROUND((Table11[[#This Row],[XP]]*Table11[[#This Row],[entity_spawned (AVG)]])*(Table11[[#This Row],[activating_chance]]/100),0)</f>
        <v>25</v>
      </c>
      <c r="CR233" s="144" t="str">
        <f ca="1">INDIRECT(ADDRESS(11+(MATCH(RIGHT(Table11[[#This Row],[spawner_sku]],LEN(Table11[[#This Row],[spawner_sku]])-FIND("/",Table11[[#This Row],[spawner_sku]])),Table28[Entity Prefab],0)),25,1,1,"Entities"))</f>
        <v>no</v>
      </c>
      <c r="CS233" s="71">
        <v>1</v>
      </c>
      <c r="CT233" s="71">
        <v>1</v>
      </c>
      <c r="CU233" s="71" t="b">
        <v>0</v>
      </c>
      <c r="CW233" t="s">
        <v>366</v>
      </c>
      <c r="CX233">
        <v>3</v>
      </c>
      <c r="CY233">
        <v>100</v>
      </c>
      <c r="CZ233">
        <v>100</v>
      </c>
      <c r="DA233" s="74">
        <f ca="1">INDIRECT(ADDRESS(11+(MATCH(RIGHT(Table12[[#This Row],[spawner_sku]],LEN(Table12[[#This Row],[spawner_sku]])-FIND("/",Table12[[#This Row],[spawner_sku]])),Table1[Entity Prefab],0)),10,1,1,"Entities"))</f>
        <v>25</v>
      </c>
      <c r="DB233" s="74">
        <f ca="1">ROUND((Table12[[#This Row],[XP]]*Table12[[#This Row],[entity_spawned (AVG)]])*(Table12[[#This Row],[activating_chance]]/100),0)</f>
        <v>75</v>
      </c>
      <c r="DC233" s="144" t="str">
        <f ca="1">INDIRECT(ADDRESS(11+(MATCH(RIGHT(Table12[[#This Row],[spawner_sku]],LEN(Table12[[#This Row],[spawner_sku]])-FIND("/",Table12[[#This Row],[spawner_sku]])),Table28[Entity Prefab],0)),25,1,1,"Entities"))</f>
        <v>no</v>
      </c>
      <c r="DD233" s="71">
        <v>2</v>
      </c>
      <c r="DE233" s="71">
        <v>4</v>
      </c>
      <c r="DF233" s="71" t="b">
        <v>0</v>
      </c>
      <c r="DH233" t="s">
        <v>243</v>
      </c>
      <c r="DI233">
        <v>2</v>
      </c>
      <c r="DJ233">
        <v>80</v>
      </c>
      <c r="DK233">
        <v>100</v>
      </c>
      <c r="DL233" s="74">
        <f ca="1">INDIRECT(ADDRESS(11+(MATCH(RIGHT(Table13[[#This Row],[spawner_sku]],LEN(Table13[[#This Row],[spawner_sku]])-FIND("/",Table13[[#This Row],[spawner_sku]])),Table1[Entity Prefab],0)),10,1,1,"Entities"))</f>
        <v>25</v>
      </c>
      <c r="DM233" s="74">
        <f ca="1">ROUND((Table13[[#This Row],[XP]]*Table13[[#This Row],[entity_spawned (AVG)]])*(Table13[[#This Row],[activating_chance]]/100),0)</f>
        <v>50</v>
      </c>
      <c r="DN233" s="144" t="str">
        <f ca="1">INDIRECT(ADDRESS(11+(MATCH(RIGHT(Table13[[#This Row],[spawner_sku]],LEN(Table13[[#This Row],[spawner_sku]])-FIND("/",Table13[[#This Row],[spawner_sku]])),Table28[Entity Prefab],0)),25,1,1,"Entities"))</f>
        <v>no</v>
      </c>
      <c r="DO233" s="71">
        <v>2</v>
      </c>
      <c r="DP233" s="71">
        <v>2</v>
      </c>
      <c r="DQ233" s="71" t="b">
        <v>0</v>
      </c>
      <c r="DS233" t="s">
        <v>512</v>
      </c>
      <c r="DT233">
        <v>1</v>
      </c>
      <c r="DU233">
        <v>240</v>
      </c>
      <c r="DV233">
        <v>100</v>
      </c>
      <c r="DW233" s="74">
        <f ca="1">INDIRECT(ADDRESS(11+(MATCH(RIGHT(Table14[[#This Row],[spawner_sku]],LEN(Table14[[#This Row],[spawner_sku]])-FIND("/",Table14[[#This Row],[spawner_sku]])),Table1[Entity Prefab],0)),10,1,1,"Entities"))</f>
        <v>105</v>
      </c>
      <c r="DX233" s="74">
        <f ca="1">ROUND((Table14[[#This Row],[XP]]*Table14[[#This Row],[entity_spawned (AVG)]])*(Table14[[#This Row],[activating_chance]]/100),0)</f>
        <v>105</v>
      </c>
      <c r="DY233" s="144" t="str">
        <f ca="1">INDIRECT(ADDRESS(11+(MATCH(RIGHT(Table14[[#This Row],[spawner_sku]],LEN(Table14[[#This Row],[spawner_sku]])-FIND("/",Table14[[#This Row],[spawner_sku]])),Table28[Entity Prefab],0)),25,1,1,"Entities"))</f>
        <v>yes</v>
      </c>
      <c r="DZ233" s="71">
        <v>1</v>
      </c>
      <c r="EA233" s="71">
        <v>1</v>
      </c>
      <c r="EB233" s="71" t="b">
        <v>0</v>
      </c>
      <c r="EC233" s="71"/>
      <c r="EO233" t="s">
        <v>465</v>
      </c>
      <c r="EP233">
        <v>1</v>
      </c>
      <c r="EQ233">
        <v>100</v>
      </c>
      <c r="ER233">
        <v>100</v>
      </c>
      <c r="ES233" s="74">
        <f ca="1">INDIRECT(ADDRESS(11+(MATCH(RIGHT(Table18[[#This Row],[spawner_sku]],LEN(Table18[[#This Row],[spawner_sku]])-FIND("/",Table18[[#This Row],[spawner_sku]])),Table1[Entity Prefab],0)),10,1,1,"Entities"))</f>
        <v>25</v>
      </c>
      <c r="ET233" s="74">
        <f ca="1">ROUND((Table18[[#This Row],[XP]]*Table18[[#This Row],[entity_spawned (AVG)]])*(Table18[[#This Row],[activating_chance]]/100),0)</f>
        <v>25</v>
      </c>
      <c r="EU233" s="74" t="str">
        <f ca="1">INDIRECT(ADDRESS(11+(MATCH(RIGHT(Table18[[#This Row],[spawner_sku]],LEN(Table18[[#This Row],[spawner_sku]])-FIND("/",Table18[[#This Row],[spawner_sku]])),Table28[Entity Prefab],0)),26,1,1,"Entities"))</f>
        <v>no</v>
      </c>
      <c r="EV233">
        <v>1</v>
      </c>
      <c r="EW233">
        <v>1</v>
      </c>
      <c r="EX233" t="b">
        <v>0</v>
      </c>
      <c r="EZ233" t="s">
        <v>242</v>
      </c>
      <c r="FA233">
        <v>3</v>
      </c>
      <c r="FB233">
        <v>120</v>
      </c>
      <c r="FC233">
        <v>80</v>
      </c>
      <c r="FD233" s="74">
        <f ca="1">INDIRECT(ADDRESS(11+(MATCH(RIGHT(Table1820[[#This Row],[spawner_sku]],LEN(Table1820[[#This Row],[spawner_sku]])-FIND("/",Table1820[[#This Row],[spawner_sku]])),Table1[Entity Prefab],0)),10,1,1,"Entities"))</f>
        <v>25</v>
      </c>
      <c r="FE233" s="74">
        <f ca="1">ROUND((Table1820[[#This Row],[XP]]*Table1820[[#This Row],[entity_spawned (AVG)]])*(Table1820[[#This Row],[activating_chance]]/100),0)</f>
        <v>60</v>
      </c>
      <c r="FF233" s="74" t="str">
        <f ca="1">INDIRECT(ADDRESS(11+(MATCH(RIGHT(Table1820[[#This Row],[spawner_sku]],LEN(Table1820[[#This Row],[spawner_sku]])-FIND("/",Table1820[[#This Row],[spawner_sku]])),Table28[Entity Prefab],0)),26,1,1,"Entities"))</f>
        <v>no</v>
      </c>
      <c r="FG233">
        <v>3</v>
      </c>
      <c r="FH233">
        <v>3</v>
      </c>
      <c r="FI233" t="b">
        <v>0</v>
      </c>
    </row>
    <row r="234" spans="2:187" x14ac:dyDescent="0.25">
      <c r="B234" s="72" t="s">
        <v>219</v>
      </c>
      <c r="C234">
        <v>1.5</v>
      </c>
      <c r="D234">
        <v>200</v>
      </c>
      <c r="E234">
        <v>100</v>
      </c>
      <c r="F234" s="74">
        <f ca="1">INDIRECT(ADDRESS(11+(MATCH(RIGHT(Table245[[#This Row],[spawner_sku]],LEN(Table245[[#This Row],[spawner_sku]])-FIND("/",Table245[[#This Row],[spawner_sku]])),Table1[Entity Prefab],0)),10,1,1,"Entities"))</f>
        <v>143</v>
      </c>
      <c r="G234" s="74">
        <f ca="1">ROUND((Table245[[#This Row],[XP]]*Table245[[#This Row],[entity_spawned (AVG)]])*(Table245[[#This Row],[activating_chance]]/100),0)</f>
        <v>215</v>
      </c>
      <c r="H234" s="71" t="str">
        <f ca="1">INDIRECT(ADDRESS(11+(MATCH(RIGHT(Table245[[#This Row],[spawner_sku]],LEN(Table245[[#This Row],[spawner_sku]])-FIND("/",Table245[[#This Row],[spawner_sku]])),Table28[Entity Prefab],0)),24,1,1,"Entities"))</f>
        <v>yes</v>
      </c>
      <c r="I234" s="71">
        <v>1</v>
      </c>
      <c r="J234" s="71">
        <v>2</v>
      </c>
      <c r="K234" s="71" t="b">
        <v>0</v>
      </c>
      <c r="M234" t="s">
        <v>215</v>
      </c>
      <c r="N234">
        <v>10</v>
      </c>
      <c r="O234">
        <v>210</v>
      </c>
      <c r="P234">
        <v>80</v>
      </c>
      <c r="Q234" s="74">
        <f ca="1">INDIRECT(ADDRESS(11+(MATCH(RIGHT(Table3[[#This Row],[spawner_sku]],LEN(Table3[[#This Row],[spawner_sku]])-FIND("/",Table3[[#This Row],[spawner_sku]])),Table1[Entity Prefab],0)),10,1,1,"Entities"))</f>
        <v>25</v>
      </c>
      <c r="R234" s="74">
        <f ca="1">ROUND((Table3[[#This Row],[XP]]*Table3[[#This Row],[entity_spawned (AVG)]])*(Table3[[#This Row],[activating_chance]]/100),0)</f>
        <v>200</v>
      </c>
      <c r="S234" t="str">
        <f ca="1">INDIRECT(ADDRESS(11+(MATCH(RIGHT(Table3[[#This Row],[spawner_sku]],LEN(Table3[[#This Row],[spawner_sku]])-FIND("/",Table3[[#This Row],[spawner_sku]])),Table28[Entity Prefab],0)),24,1,1,"Entities"))</f>
        <v>no</v>
      </c>
      <c r="T234">
        <v>10</v>
      </c>
      <c r="U234">
        <v>10</v>
      </c>
      <c r="V234" t="b">
        <v>1</v>
      </c>
      <c r="AI234" t="s">
        <v>369</v>
      </c>
      <c r="AJ234">
        <v>1</v>
      </c>
      <c r="AK234">
        <v>220</v>
      </c>
      <c r="AL234">
        <v>100</v>
      </c>
      <c r="AM234" s="74">
        <f ca="1">INDIRECT(ADDRESS(11+(MATCH(RIGHT(Table2[[#This Row],[spawner_sku]],LEN(Table2[[#This Row],[spawner_sku]])-FIND("/",Table2[[#This Row],[spawner_sku]])),Table1[Entity Prefab],0)),10,1,1,"Entities"))</f>
        <v>75</v>
      </c>
      <c r="AN234" s="74">
        <f ca="1">ROUND((Table2[[#This Row],[XP]]*Table2[[#This Row],[entity_spawned (AVG)]])*(Table2[[#This Row],[activating_chance]]/100),0)</f>
        <v>75</v>
      </c>
      <c r="AO234" s="71" t="str">
        <f ca="1">INDIRECT(ADDRESS(11+(MATCH(RIGHT(Table2[[#This Row],[spawner_sku]],LEN(Table2[[#This Row],[spawner_sku]])-FIND("/",Table2[[#This Row],[spawner_sku]])),Table28[Entity Prefab],0)),24,1,1,"Entities"))</f>
        <v>yes</v>
      </c>
      <c r="AP234" s="71">
        <v>1</v>
      </c>
      <c r="AQ234" s="71">
        <v>1</v>
      </c>
      <c r="AR234" s="71" t="b">
        <v>0</v>
      </c>
      <c r="BE234" t="s">
        <v>242</v>
      </c>
      <c r="BF234">
        <v>1.5</v>
      </c>
      <c r="BG234">
        <v>200</v>
      </c>
      <c r="BH234">
        <v>40</v>
      </c>
      <c r="BI234" s="74">
        <f ca="1">INDIRECT(ADDRESS(11+(MATCH(RIGHT(Table610[[#This Row],[spawner_sku]],LEN(Table610[[#This Row],[spawner_sku]])-FIND("/",Table610[[#This Row],[spawner_sku]])),Table1[Entity Prefab],0)),10,1,1,"Entities"))</f>
        <v>25</v>
      </c>
      <c r="BJ234" s="74">
        <f ca="1">ROUND((Table610[[#This Row],[XP]]*Table610[[#This Row],[entity_spawned (AVG)]])*(Table610[[#This Row],[activating_chance]]/100),0)</f>
        <v>15</v>
      </c>
      <c r="BK234" s="71" t="str">
        <f ca="1">INDIRECT(ADDRESS(11+(MATCH(RIGHT(Table610[[#This Row],[spawner_sku]],LEN(Table610[[#This Row],[spawner_sku]])-FIND("/",Table610[[#This Row],[spawner_sku]])),Table28[Entity Prefab],0)),24,1,1,"Entities"))</f>
        <v>no</v>
      </c>
      <c r="BL234">
        <v>1</v>
      </c>
      <c r="BM234">
        <v>2</v>
      </c>
      <c r="BN234" t="b">
        <v>0</v>
      </c>
      <c r="BP234" t="s">
        <v>445</v>
      </c>
      <c r="BQ234">
        <v>1</v>
      </c>
      <c r="BR234">
        <v>220</v>
      </c>
      <c r="BS234">
        <v>50</v>
      </c>
      <c r="BT234" s="74">
        <f ca="1">INDIRECT(ADDRESS(11+(MATCH(RIGHT(Table61011[[#This Row],[spawner_sku]],LEN(Table61011[[#This Row],[spawner_sku]])-FIND("/",Table61011[[#This Row],[spawner_sku]])),Table1[Entity Prefab],0)),10,1,1,"Entities"))</f>
        <v>50</v>
      </c>
      <c r="BU234" s="74">
        <f ca="1">ROUND((Table61011[[#This Row],[XP]]*Table61011[[#This Row],[entity_spawned (AVG)]])*(Table61011[[#This Row],[activating_chance]]/100),0)</f>
        <v>25</v>
      </c>
      <c r="BV234" s="71" t="str">
        <f ca="1">INDIRECT(ADDRESS(11+(MATCH(RIGHT(Table61011[[#This Row],[spawner_sku]],LEN(Table61011[[#This Row],[spawner_sku]])-FIND("/",Table61011[[#This Row],[spawner_sku]])),Table28[Entity Prefab],0)),24,1,1,"Entities"))</f>
        <v>yes</v>
      </c>
      <c r="BW234" s="71">
        <v>1</v>
      </c>
      <c r="BX234" s="71">
        <v>1</v>
      </c>
      <c r="BY234" s="71" t="b">
        <v>0</v>
      </c>
      <c r="BZ234" s="71"/>
      <c r="CA234" s="147" t="s">
        <v>3816</v>
      </c>
      <c r="CB234">
        <v>1</v>
      </c>
      <c r="CC234">
        <v>240</v>
      </c>
      <c r="CD234">
        <v>100</v>
      </c>
      <c r="CE234" s="74">
        <f ca="1">INDIRECT(ADDRESS(11+(MATCH(RIGHT(Table35[[#This Row],[spawner_sku]],LEN(Table35[[#This Row],[spawner_sku]])-FIND("/",Table35[[#This Row],[spawner_sku]])),Table1[Entity Prefab],0)),10,1,1,"Entities"))</f>
        <v>50</v>
      </c>
      <c r="CF234" s="74">
        <f ca="1">ROUND((Table35[[#This Row],[XP]]*Table35[[#This Row],[entity_spawned (AVG)]])*(Table35[[#This Row],[activating_chance]]/100),0)</f>
        <v>50</v>
      </c>
      <c r="CG234" s="144" t="str">
        <f ca="1">INDIRECT(ADDRESS(11+(MATCH(RIGHT(Table35[[#This Row],[spawner_sku]],LEN(Table35[[#This Row],[spawner_sku]])-FIND("/",Table35[[#This Row],[spawner_sku]])),Table28[Entity Prefab],0)),24,1,1,"Entities"))</f>
        <v>no</v>
      </c>
      <c r="CH234">
        <v>1</v>
      </c>
      <c r="CI234">
        <v>1</v>
      </c>
      <c r="CJ234" s="71" t="b">
        <v>0</v>
      </c>
      <c r="CL234" t="s">
        <v>231</v>
      </c>
      <c r="CM234">
        <v>1</v>
      </c>
      <c r="CN234">
        <v>220</v>
      </c>
      <c r="CO234">
        <v>80</v>
      </c>
      <c r="CP234" s="74">
        <f ca="1">INDIRECT(ADDRESS(11+(MATCH(RIGHT(Table11[[#This Row],[spawner_sku]],LEN(Table11[[#This Row],[spawner_sku]])-FIND("/",Table11[[#This Row],[spawner_sku]])),Table1[Entity Prefab],0)),10,1,1,"Entities"))</f>
        <v>25</v>
      </c>
      <c r="CQ234">
        <f ca="1">ROUND((Table11[[#This Row],[XP]]*Table11[[#This Row],[entity_spawned (AVG)]])*(Table11[[#This Row],[activating_chance]]/100),0)</f>
        <v>20</v>
      </c>
      <c r="CR234" s="144" t="str">
        <f ca="1">INDIRECT(ADDRESS(11+(MATCH(RIGHT(Table11[[#This Row],[spawner_sku]],LEN(Table11[[#This Row],[spawner_sku]])-FIND("/",Table11[[#This Row],[spawner_sku]])),Table28[Entity Prefab],0)),25,1,1,"Entities"))</f>
        <v>no</v>
      </c>
      <c r="CS234" s="71">
        <v>1</v>
      </c>
      <c r="CT234" s="71">
        <v>1</v>
      </c>
      <c r="CU234" s="71" t="b">
        <v>0</v>
      </c>
      <c r="CW234" t="s">
        <v>366</v>
      </c>
      <c r="CX234">
        <v>3</v>
      </c>
      <c r="CY234">
        <v>100</v>
      </c>
      <c r="CZ234">
        <v>100</v>
      </c>
      <c r="DA234" s="74">
        <f ca="1">INDIRECT(ADDRESS(11+(MATCH(RIGHT(Table12[[#This Row],[spawner_sku]],LEN(Table12[[#This Row],[spawner_sku]])-FIND("/",Table12[[#This Row],[spawner_sku]])),Table1[Entity Prefab],0)),10,1,1,"Entities"))</f>
        <v>25</v>
      </c>
      <c r="DB234" s="74">
        <f ca="1">ROUND((Table12[[#This Row],[XP]]*Table12[[#This Row],[entity_spawned (AVG)]])*(Table12[[#This Row],[activating_chance]]/100),0)</f>
        <v>75</v>
      </c>
      <c r="DC234" s="144" t="str">
        <f ca="1">INDIRECT(ADDRESS(11+(MATCH(RIGHT(Table12[[#This Row],[spawner_sku]],LEN(Table12[[#This Row],[spawner_sku]])-FIND("/",Table12[[#This Row],[spawner_sku]])),Table28[Entity Prefab],0)),25,1,1,"Entities"))</f>
        <v>no</v>
      </c>
      <c r="DD234" s="71">
        <v>2</v>
      </c>
      <c r="DE234" s="71">
        <v>4</v>
      </c>
      <c r="DF234" s="71" t="b">
        <v>0</v>
      </c>
      <c r="DH234" t="s">
        <v>243</v>
      </c>
      <c r="DI234">
        <v>2.5</v>
      </c>
      <c r="DJ234">
        <v>150</v>
      </c>
      <c r="DK234">
        <v>100</v>
      </c>
      <c r="DL234" s="74">
        <f ca="1">INDIRECT(ADDRESS(11+(MATCH(RIGHT(Table13[[#This Row],[spawner_sku]],LEN(Table13[[#This Row],[spawner_sku]])-FIND("/",Table13[[#This Row],[spawner_sku]])),Table1[Entity Prefab],0)),10,1,1,"Entities"))</f>
        <v>25</v>
      </c>
      <c r="DM234" s="74">
        <f ca="1">ROUND((Table13[[#This Row],[XP]]*Table13[[#This Row],[entity_spawned (AVG)]])*(Table13[[#This Row],[activating_chance]]/100),0)</f>
        <v>63</v>
      </c>
      <c r="DN234" s="144" t="str">
        <f ca="1">INDIRECT(ADDRESS(11+(MATCH(RIGHT(Table13[[#This Row],[spawner_sku]],LEN(Table13[[#This Row],[spawner_sku]])-FIND("/",Table13[[#This Row],[spawner_sku]])),Table28[Entity Prefab],0)),25,1,1,"Entities"))</f>
        <v>no</v>
      </c>
      <c r="DO234" s="71">
        <v>2</v>
      </c>
      <c r="DP234" s="71">
        <v>3</v>
      </c>
      <c r="DQ234" s="71" t="b">
        <v>0</v>
      </c>
      <c r="DS234" t="s">
        <v>512</v>
      </c>
      <c r="DT234">
        <v>1</v>
      </c>
      <c r="DU234">
        <v>220</v>
      </c>
      <c r="DV234">
        <v>100</v>
      </c>
      <c r="DW234" s="74">
        <f ca="1">INDIRECT(ADDRESS(11+(MATCH(RIGHT(Table14[[#This Row],[spawner_sku]],LEN(Table14[[#This Row],[spawner_sku]])-FIND("/",Table14[[#This Row],[spawner_sku]])),Table1[Entity Prefab],0)),10,1,1,"Entities"))</f>
        <v>105</v>
      </c>
      <c r="DX234" s="74">
        <f ca="1">ROUND((Table14[[#This Row],[XP]]*Table14[[#This Row],[entity_spawned (AVG)]])*(Table14[[#This Row],[activating_chance]]/100),0)</f>
        <v>105</v>
      </c>
      <c r="DY234" s="144" t="str">
        <f ca="1">INDIRECT(ADDRESS(11+(MATCH(RIGHT(Table14[[#This Row],[spawner_sku]],LEN(Table14[[#This Row],[spawner_sku]])-FIND("/",Table14[[#This Row],[spawner_sku]])),Table28[Entity Prefab],0)),25,1,1,"Entities"))</f>
        <v>yes</v>
      </c>
      <c r="DZ234" s="71">
        <v>1</v>
      </c>
      <c r="EA234" s="71">
        <v>1</v>
      </c>
      <c r="EB234" s="71" t="b">
        <v>0</v>
      </c>
      <c r="EC234" s="71"/>
      <c r="EO234" t="s">
        <v>465</v>
      </c>
      <c r="EP234">
        <v>1</v>
      </c>
      <c r="EQ234">
        <v>100</v>
      </c>
      <c r="ER234">
        <v>100</v>
      </c>
      <c r="ES234" s="74">
        <f ca="1">INDIRECT(ADDRESS(11+(MATCH(RIGHT(Table18[[#This Row],[spawner_sku]],LEN(Table18[[#This Row],[spawner_sku]])-FIND("/",Table18[[#This Row],[spawner_sku]])),Table1[Entity Prefab],0)),10,1,1,"Entities"))</f>
        <v>25</v>
      </c>
      <c r="ET234" s="74">
        <f ca="1">ROUND((Table18[[#This Row],[XP]]*Table18[[#This Row],[entity_spawned (AVG)]])*(Table18[[#This Row],[activating_chance]]/100),0)</f>
        <v>25</v>
      </c>
      <c r="EU234" s="74" t="str">
        <f ca="1">INDIRECT(ADDRESS(11+(MATCH(RIGHT(Table18[[#This Row],[spawner_sku]],LEN(Table18[[#This Row],[spawner_sku]])-FIND("/",Table18[[#This Row],[spawner_sku]])),Table28[Entity Prefab],0)),26,1,1,"Entities"))</f>
        <v>no</v>
      </c>
      <c r="EV234">
        <v>1</v>
      </c>
      <c r="EW234">
        <v>1</v>
      </c>
      <c r="EX234" t="b">
        <v>0</v>
      </c>
      <c r="EZ234" t="s">
        <v>242</v>
      </c>
      <c r="FA234">
        <v>2</v>
      </c>
      <c r="FB234">
        <v>150</v>
      </c>
      <c r="FC234">
        <v>100</v>
      </c>
      <c r="FD234" s="74">
        <f ca="1">INDIRECT(ADDRESS(11+(MATCH(RIGHT(Table1820[[#This Row],[spawner_sku]],LEN(Table1820[[#This Row],[spawner_sku]])-FIND("/",Table1820[[#This Row],[spawner_sku]])),Table1[Entity Prefab],0)),10,1,1,"Entities"))</f>
        <v>25</v>
      </c>
      <c r="FE234" s="74">
        <f ca="1">ROUND((Table1820[[#This Row],[XP]]*Table1820[[#This Row],[entity_spawned (AVG)]])*(Table1820[[#This Row],[activating_chance]]/100),0)</f>
        <v>50</v>
      </c>
      <c r="FF234" s="74" t="str">
        <f ca="1">INDIRECT(ADDRESS(11+(MATCH(RIGHT(Table1820[[#This Row],[spawner_sku]],LEN(Table1820[[#This Row],[spawner_sku]])-FIND("/",Table1820[[#This Row],[spawner_sku]])),Table28[Entity Prefab],0)),26,1,1,"Entities"))</f>
        <v>no</v>
      </c>
      <c r="FG234">
        <v>2</v>
      </c>
      <c r="FH234">
        <v>2</v>
      </c>
      <c r="FI234" t="b">
        <v>0</v>
      </c>
    </row>
    <row r="235" spans="2:187" x14ac:dyDescent="0.25">
      <c r="B235" s="72" t="s">
        <v>219</v>
      </c>
      <c r="C235">
        <v>1</v>
      </c>
      <c r="D235">
        <v>200</v>
      </c>
      <c r="E235">
        <v>100</v>
      </c>
      <c r="F235" s="74">
        <f ca="1">INDIRECT(ADDRESS(11+(MATCH(RIGHT(Table245[[#This Row],[spawner_sku]],LEN(Table245[[#This Row],[spawner_sku]])-FIND("/",Table245[[#This Row],[spawner_sku]])),Table1[Entity Prefab],0)),10,1,1,"Entities"))</f>
        <v>143</v>
      </c>
      <c r="G235" s="74">
        <f ca="1">ROUND((Table245[[#This Row],[XP]]*Table245[[#This Row],[entity_spawned (AVG)]])*(Table245[[#This Row],[activating_chance]]/100),0)</f>
        <v>143</v>
      </c>
      <c r="H235" s="71" t="str">
        <f ca="1">INDIRECT(ADDRESS(11+(MATCH(RIGHT(Table245[[#This Row],[spawner_sku]],LEN(Table245[[#This Row],[spawner_sku]])-FIND("/",Table245[[#This Row],[spawner_sku]])),Table28[Entity Prefab],0)),24,1,1,"Entities"))</f>
        <v>yes</v>
      </c>
      <c r="I235" s="71">
        <v>1</v>
      </c>
      <c r="J235" s="71">
        <v>1</v>
      </c>
      <c r="K235" s="71" t="b">
        <v>0</v>
      </c>
      <c r="M235" t="s">
        <v>366</v>
      </c>
      <c r="N235">
        <v>2</v>
      </c>
      <c r="O235">
        <v>100</v>
      </c>
      <c r="P235">
        <v>100</v>
      </c>
      <c r="Q235" s="74">
        <f ca="1">INDIRECT(ADDRESS(11+(MATCH(RIGHT(Table3[[#This Row],[spawner_sku]],LEN(Table3[[#This Row],[spawner_sku]])-FIND("/",Table3[[#This Row],[spawner_sku]])),Table1[Entity Prefab],0)),10,1,1,"Entities"))</f>
        <v>25</v>
      </c>
      <c r="R235" s="74">
        <f ca="1">ROUND((Table3[[#This Row],[XP]]*Table3[[#This Row],[entity_spawned (AVG)]])*(Table3[[#This Row],[activating_chance]]/100),0)</f>
        <v>50</v>
      </c>
      <c r="S235" t="str">
        <f ca="1">INDIRECT(ADDRESS(11+(MATCH(RIGHT(Table3[[#This Row],[spawner_sku]],LEN(Table3[[#This Row],[spawner_sku]])-FIND("/",Table3[[#This Row],[spawner_sku]])),Table28[Entity Prefab],0)),24,1,1,"Entities"))</f>
        <v>no</v>
      </c>
      <c r="T235">
        <v>2</v>
      </c>
      <c r="U235">
        <v>2</v>
      </c>
      <c r="V235" t="b">
        <v>0</v>
      </c>
      <c r="AI235" t="s">
        <v>369</v>
      </c>
      <c r="AJ235">
        <v>1</v>
      </c>
      <c r="AK235">
        <v>220</v>
      </c>
      <c r="AL235">
        <v>100</v>
      </c>
      <c r="AM235" s="74">
        <f ca="1">INDIRECT(ADDRESS(11+(MATCH(RIGHT(Table2[[#This Row],[spawner_sku]],LEN(Table2[[#This Row],[spawner_sku]])-FIND("/",Table2[[#This Row],[spawner_sku]])),Table1[Entity Prefab],0)),10,1,1,"Entities"))</f>
        <v>75</v>
      </c>
      <c r="AN235" s="74">
        <f ca="1">ROUND((Table2[[#This Row],[XP]]*Table2[[#This Row],[entity_spawned (AVG)]])*(Table2[[#This Row],[activating_chance]]/100),0)</f>
        <v>75</v>
      </c>
      <c r="AO235" s="71" t="str">
        <f ca="1">INDIRECT(ADDRESS(11+(MATCH(RIGHT(Table2[[#This Row],[spawner_sku]],LEN(Table2[[#This Row],[spawner_sku]])-FIND("/",Table2[[#This Row],[spawner_sku]])),Table28[Entity Prefab],0)),24,1,1,"Entities"))</f>
        <v>yes</v>
      </c>
      <c r="AP235" s="71">
        <v>1</v>
      </c>
      <c r="AQ235" s="71">
        <v>1</v>
      </c>
      <c r="AR235" s="71" t="b">
        <v>0</v>
      </c>
      <c r="BE235" t="s">
        <v>242</v>
      </c>
      <c r="BF235">
        <v>1</v>
      </c>
      <c r="BG235">
        <v>200</v>
      </c>
      <c r="BH235">
        <v>40</v>
      </c>
      <c r="BI235" s="74">
        <f ca="1">INDIRECT(ADDRESS(11+(MATCH(RIGHT(Table610[[#This Row],[spawner_sku]],LEN(Table610[[#This Row],[spawner_sku]])-FIND("/",Table610[[#This Row],[spawner_sku]])),Table1[Entity Prefab],0)),10,1,1,"Entities"))</f>
        <v>25</v>
      </c>
      <c r="BJ235" s="74">
        <f ca="1">ROUND((Table610[[#This Row],[XP]]*Table610[[#This Row],[entity_spawned (AVG)]])*(Table610[[#This Row],[activating_chance]]/100),0)</f>
        <v>10</v>
      </c>
      <c r="BK235" s="71" t="str">
        <f ca="1">INDIRECT(ADDRESS(11+(MATCH(RIGHT(Table610[[#This Row],[spawner_sku]],LEN(Table610[[#This Row],[spawner_sku]])-FIND("/",Table610[[#This Row],[spawner_sku]])),Table28[Entity Prefab],0)),24,1,1,"Entities"))</f>
        <v>no</v>
      </c>
      <c r="BL235">
        <v>1</v>
      </c>
      <c r="BM235">
        <v>1</v>
      </c>
      <c r="BN235" t="b">
        <v>0</v>
      </c>
      <c r="BP235" t="s">
        <v>446</v>
      </c>
      <c r="BQ235">
        <v>1</v>
      </c>
      <c r="BR235">
        <v>240</v>
      </c>
      <c r="BS235">
        <v>100</v>
      </c>
      <c r="BT235" s="74">
        <f ca="1">INDIRECT(ADDRESS(11+(MATCH(RIGHT(Table61011[[#This Row],[spawner_sku]],LEN(Table61011[[#This Row],[spawner_sku]])-FIND("/",Table61011[[#This Row],[spawner_sku]])),Table1[Entity Prefab],0)),10,1,1,"Entities"))</f>
        <v>83</v>
      </c>
      <c r="BU235" s="74">
        <f ca="1">ROUND((Table61011[[#This Row],[XP]]*Table61011[[#This Row],[entity_spawned (AVG)]])*(Table61011[[#This Row],[activating_chance]]/100),0)</f>
        <v>83</v>
      </c>
      <c r="BV235" s="71" t="str">
        <f ca="1">INDIRECT(ADDRESS(11+(MATCH(RIGHT(Table61011[[#This Row],[spawner_sku]],LEN(Table61011[[#This Row],[spawner_sku]])-FIND("/",Table61011[[#This Row],[spawner_sku]])),Table28[Entity Prefab],0)),24,1,1,"Entities"))</f>
        <v>yes</v>
      </c>
      <c r="BW235" s="71">
        <v>1</v>
      </c>
      <c r="BX235" s="71">
        <v>1</v>
      </c>
      <c r="BY235" s="71" t="b">
        <v>0</v>
      </c>
      <c r="BZ235" s="71"/>
      <c r="CA235" s="147" t="s">
        <v>3816</v>
      </c>
      <c r="CB235">
        <v>1</v>
      </c>
      <c r="CC235">
        <v>240</v>
      </c>
      <c r="CD235">
        <v>100</v>
      </c>
      <c r="CE235" s="74">
        <f ca="1">INDIRECT(ADDRESS(11+(MATCH(RIGHT(Table35[[#This Row],[spawner_sku]],LEN(Table35[[#This Row],[spawner_sku]])-FIND("/",Table35[[#This Row],[spawner_sku]])),Table1[Entity Prefab],0)),10,1,1,"Entities"))</f>
        <v>50</v>
      </c>
      <c r="CF235" s="74">
        <f ca="1">ROUND((Table35[[#This Row],[XP]]*Table35[[#This Row],[entity_spawned (AVG)]])*(Table35[[#This Row],[activating_chance]]/100),0)</f>
        <v>50</v>
      </c>
      <c r="CG235" s="144" t="str">
        <f ca="1">INDIRECT(ADDRESS(11+(MATCH(RIGHT(Table35[[#This Row],[spawner_sku]],LEN(Table35[[#This Row],[spawner_sku]])-FIND("/",Table35[[#This Row],[spawner_sku]])),Table28[Entity Prefab],0)),24,1,1,"Entities"))</f>
        <v>no</v>
      </c>
      <c r="CH235">
        <v>1</v>
      </c>
      <c r="CI235">
        <v>1</v>
      </c>
      <c r="CJ235" s="71" t="b">
        <v>0</v>
      </c>
      <c r="CL235" t="s">
        <v>231</v>
      </c>
      <c r="CM235">
        <v>1</v>
      </c>
      <c r="CN235">
        <v>220</v>
      </c>
      <c r="CO235">
        <v>80</v>
      </c>
      <c r="CP235" s="74">
        <f ca="1">INDIRECT(ADDRESS(11+(MATCH(RIGHT(Table11[[#This Row],[spawner_sku]],LEN(Table11[[#This Row],[spawner_sku]])-FIND("/",Table11[[#This Row],[spawner_sku]])),Table1[Entity Prefab],0)),10,1,1,"Entities"))</f>
        <v>25</v>
      </c>
      <c r="CQ235">
        <f ca="1">ROUND((Table11[[#This Row],[XP]]*Table11[[#This Row],[entity_spawned (AVG)]])*(Table11[[#This Row],[activating_chance]]/100),0)</f>
        <v>20</v>
      </c>
      <c r="CR235" s="144" t="str">
        <f ca="1">INDIRECT(ADDRESS(11+(MATCH(RIGHT(Table11[[#This Row],[spawner_sku]],LEN(Table11[[#This Row],[spawner_sku]])-FIND("/",Table11[[#This Row],[spawner_sku]])),Table28[Entity Prefab],0)),25,1,1,"Entities"))</f>
        <v>no</v>
      </c>
      <c r="CS235" s="71">
        <v>1</v>
      </c>
      <c r="CT235" s="71">
        <v>1</v>
      </c>
      <c r="CU235" s="71" t="b">
        <v>0</v>
      </c>
      <c r="CW235" t="s">
        <v>366</v>
      </c>
      <c r="CX235">
        <v>2.5</v>
      </c>
      <c r="CY235">
        <v>100</v>
      </c>
      <c r="CZ235">
        <v>80</v>
      </c>
      <c r="DA235" s="74">
        <f ca="1">INDIRECT(ADDRESS(11+(MATCH(RIGHT(Table12[[#This Row],[spawner_sku]],LEN(Table12[[#This Row],[spawner_sku]])-FIND("/",Table12[[#This Row],[spawner_sku]])),Table1[Entity Prefab],0)),10,1,1,"Entities"))</f>
        <v>25</v>
      </c>
      <c r="DB235" s="74">
        <f ca="1">ROUND((Table12[[#This Row],[XP]]*Table12[[#This Row],[entity_spawned (AVG)]])*(Table12[[#This Row],[activating_chance]]/100),0)</f>
        <v>50</v>
      </c>
      <c r="DC235" s="144" t="str">
        <f ca="1">INDIRECT(ADDRESS(11+(MATCH(RIGHT(Table12[[#This Row],[spawner_sku]],LEN(Table12[[#This Row],[spawner_sku]])-FIND("/",Table12[[#This Row],[spawner_sku]])),Table28[Entity Prefab],0)),25,1,1,"Entities"))</f>
        <v>no</v>
      </c>
      <c r="DD235" s="71">
        <v>2</v>
      </c>
      <c r="DE235" s="71">
        <v>3</v>
      </c>
      <c r="DF235" s="71" t="b">
        <v>0</v>
      </c>
      <c r="DH235" t="s">
        <v>243</v>
      </c>
      <c r="DI235">
        <v>1.5</v>
      </c>
      <c r="DJ235">
        <v>150</v>
      </c>
      <c r="DK235">
        <v>80</v>
      </c>
      <c r="DL235" s="74">
        <f ca="1">INDIRECT(ADDRESS(11+(MATCH(RIGHT(Table13[[#This Row],[spawner_sku]],LEN(Table13[[#This Row],[spawner_sku]])-FIND("/",Table13[[#This Row],[spawner_sku]])),Table1[Entity Prefab],0)),10,1,1,"Entities"))</f>
        <v>25</v>
      </c>
      <c r="DM235" s="74">
        <f ca="1">ROUND((Table13[[#This Row],[XP]]*Table13[[#This Row],[entity_spawned (AVG)]])*(Table13[[#This Row],[activating_chance]]/100),0)</f>
        <v>30</v>
      </c>
      <c r="DN235" s="144" t="str">
        <f ca="1">INDIRECT(ADDRESS(11+(MATCH(RIGHT(Table13[[#This Row],[spawner_sku]],LEN(Table13[[#This Row],[spawner_sku]])-FIND("/",Table13[[#This Row],[spawner_sku]])),Table28[Entity Prefab],0)),25,1,1,"Entities"))</f>
        <v>no</v>
      </c>
      <c r="DO235" s="71">
        <v>1</v>
      </c>
      <c r="DP235" s="71">
        <v>2</v>
      </c>
      <c r="DQ235" s="71" t="b">
        <v>0</v>
      </c>
      <c r="DS235" t="s">
        <v>512</v>
      </c>
      <c r="DT235">
        <v>1</v>
      </c>
      <c r="DU235">
        <v>220</v>
      </c>
      <c r="DV235">
        <v>80</v>
      </c>
      <c r="DW235" s="74">
        <f ca="1">INDIRECT(ADDRESS(11+(MATCH(RIGHT(Table14[[#This Row],[spawner_sku]],LEN(Table14[[#This Row],[spawner_sku]])-FIND("/",Table14[[#This Row],[spawner_sku]])),Table1[Entity Prefab],0)),10,1,1,"Entities"))</f>
        <v>105</v>
      </c>
      <c r="DX235" s="74">
        <f ca="1">ROUND((Table14[[#This Row],[XP]]*Table14[[#This Row],[entity_spawned (AVG)]])*(Table14[[#This Row],[activating_chance]]/100),0)</f>
        <v>84</v>
      </c>
      <c r="DY235" s="144" t="str">
        <f ca="1">INDIRECT(ADDRESS(11+(MATCH(RIGHT(Table14[[#This Row],[spawner_sku]],LEN(Table14[[#This Row],[spawner_sku]])-FIND("/",Table14[[#This Row],[spawner_sku]])),Table28[Entity Prefab],0)),25,1,1,"Entities"))</f>
        <v>yes</v>
      </c>
      <c r="DZ235" s="71">
        <v>1</v>
      </c>
      <c r="EA235" s="71">
        <v>1</v>
      </c>
      <c r="EB235" s="71" t="b">
        <v>0</v>
      </c>
      <c r="EC235" s="71"/>
      <c r="EO235" t="s">
        <v>465</v>
      </c>
      <c r="EP235">
        <v>2</v>
      </c>
      <c r="EQ235">
        <v>100</v>
      </c>
      <c r="ER235">
        <v>100</v>
      </c>
      <c r="ES235" s="74">
        <f ca="1">INDIRECT(ADDRESS(11+(MATCH(RIGHT(Table18[[#This Row],[spawner_sku]],LEN(Table18[[#This Row],[spawner_sku]])-FIND("/",Table18[[#This Row],[spawner_sku]])),Table1[Entity Prefab],0)),10,1,1,"Entities"))</f>
        <v>25</v>
      </c>
      <c r="ET235" s="74">
        <f ca="1">ROUND((Table18[[#This Row],[XP]]*Table18[[#This Row],[entity_spawned (AVG)]])*(Table18[[#This Row],[activating_chance]]/100),0)</f>
        <v>50</v>
      </c>
      <c r="EU235" s="74" t="str">
        <f ca="1">INDIRECT(ADDRESS(11+(MATCH(RIGHT(Table18[[#This Row],[spawner_sku]],LEN(Table18[[#This Row],[spawner_sku]])-FIND("/",Table18[[#This Row],[spawner_sku]])),Table28[Entity Prefab],0)),26,1,1,"Entities"))</f>
        <v>no</v>
      </c>
      <c r="EV235">
        <v>2</v>
      </c>
      <c r="EW235">
        <v>2</v>
      </c>
      <c r="EX235" t="b">
        <v>0</v>
      </c>
      <c r="EZ235" t="s">
        <v>242</v>
      </c>
      <c r="FA235">
        <v>3</v>
      </c>
      <c r="FB235">
        <v>150</v>
      </c>
      <c r="FC235">
        <v>100</v>
      </c>
      <c r="FD235" s="74">
        <f ca="1">INDIRECT(ADDRESS(11+(MATCH(RIGHT(Table1820[[#This Row],[spawner_sku]],LEN(Table1820[[#This Row],[spawner_sku]])-FIND("/",Table1820[[#This Row],[spawner_sku]])),Table1[Entity Prefab],0)),10,1,1,"Entities"))</f>
        <v>25</v>
      </c>
      <c r="FE235" s="74">
        <f ca="1">ROUND((Table1820[[#This Row],[XP]]*Table1820[[#This Row],[entity_spawned (AVG)]])*(Table1820[[#This Row],[activating_chance]]/100),0)</f>
        <v>75</v>
      </c>
      <c r="FF235" s="74" t="str">
        <f ca="1">INDIRECT(ADDRESS(11+(MATCH(RIGHT(Table1820[[#This Row],[spawner_sku]],LEN(Table1820[[#This Row],[spawner_sku]])-FIND("/",Table1820[[#This Row],[spawner_sku]])),Table28[Entity Prefab],0)),26,1,1,"Entities"))</f>
        <v>no</v>
      </c>
      <c r="FG235">
        <v>3</v>
      </c>
      <c r="FH235">
        <v>3</v>
      </c>
      <c r="FI235" t="b">
        <v>0</v>
      </c>
    </row>
    <row r="236" spans="2:187" x14ac:dyDescent="0.25">
      <c r="B236" s="72" t="s">
        <v>219</v>
      </c>
      <c r="C236">
        <v>2.5</v>
      </c>
      <c r="D236">
        <v>180</v>
      </c>
      <c r="E236">
        <v>100</v>
      </c>
      <c r="F236" s="74">
        <f ca="1">INDIRECT(ADDRESS(11+(MATCH(RIGHT(Table245[[#This Row],[spawner_sku]],LEN(Table245[[#This Row],[spawner_sku]])-FIND("/",Table245[[#This Row],[spawner_sku]])),Table1[Entity Prefab],0)),10,1,1,"Entities"))</f>
        <v>143</v>
      </c>
      <c r="G236" s="74">
        <f ca="1">ROUND((Table245[[#This Row],[XP]]*Table245[[#This Row],[entity_spawned (AVG)]])*(Table245[[#This Row],[activating_chance]]/100),0)</f>
        <v>358</v>
      </c>
      <c r="H236" s="71" t="str">
        <f ca="1">INDIRECT(ADDRESS(11+(MATCH(RIGHT(Table245[[#This Row],[spawner_sku]],LEN(Table245[[#This Row],[spawner_sku]])-FIND("/",Table245[[#This Row],[spawner_sku]])),Table28[Entity Prefab],0)),24,1,1,"Entities"))</f>
        <v>yes</v>
      </c>
      <c r="I236" s="71">
        <v>2</v>
      </c>
      <c r="J236" s="71">
        <v>3</v>
      </c>
      <c r="K236" s="71" t="b">
        <v>0</v>
      </c>
      <c r="M236" t="s">
        <v>233</v>
      </c>
      <c r="N236">
        <v>1</v>
      </c>
      <c r="O236">
        <v>500</v>
      </c>
      <c r="P236">
        <v>75</v>
      </c>
      <c r="Q236" s="74">
        <f ca="1">INDIRECT(ADDRESS(11+(MATCH(RIGHT(Table3[[#This Row],[spawner_sku]],LEN(Table3[[#This Row],[spawner_sku]])-FIND("/",Table3[[#This Row],[spawner_sku]])),Table1[Entity Prefab],0)),10,1,1,"Entities"))</f>
        <v>25</v>
      </c>
      <c r="R236" s="74">
        <f ca="1">ROUND((Table3[[#This Row],[XP]]*Table3[[#This Row],[entity_spawned (AVG)]])*(Table3[[#This Row],[activating_chance]]/100),0)</f>
        <v>19</v>
      </c>
      <c r="S236" t="str">
        <f ca="1">INDIRECT(ADDRESS(11+(MATCH(RIGHT(Table3[[#This Row],[spawner_sku]],LEN(Table3[[#This Row],[spawner_sku]])-FIND("/",Table3[[#This Row],[spawner_sku]])),Table28[Entity Prefab],0)),24,1,1,"Entities"))</f>
        <v>no</v>
      </c>
      <c r="T236">
        <v>1</v>
      </c>
      <c r="U236">
        <v>1</v>
      </c>
      <c r="V236" t="b">
        <v>0</v>
      </c>
      <c r="AI236" t="s">
        <v>369</v>
      </c>
      <c r="AJ236">
        <v>1</v>
      </c>
      <c r="AK236">
        <v>220</v>
      </c>
      <c r="AL236">
        <v>100</v>
      </c>
      <c r="AM236" s="74">
        <f ca="1">INDIRECT(ADDRESS(11+(MATCH(RIGHT(Table2[[#This Row],[spawner_sku]],LEN(Table2[[#This Row],[spawner_sku]])-FIND("/",Table2[[#This Row],[spawner_sku]])),Table1[Entity Prefab],0)),10,1,1,"Entities"))</f>
        <v>75</v>
      </c>
      <c r="AN236" s="74">
        <f ca="1">ROUND((Table2[[#This Row],[XP]]*Table2[[#This Row],[entity_spawned (AVG)]])*(Table2[[#This Row],[activating_chance]]/100),0)</f>
        <v>75</v>
      </c>
      <c r="AO236" s="71" t="str">
        <f ca="1">INDIRECT(ADDRESS(11+(MATCH(RIGHT(Table2[[#This Row],[spawner_sku]],LEN(Table2[[#This Row],[spawner_sku]])-FIND("/",Table2[[#This Row],[spawner_sku]])),Table28[Entity Prefab],0)),24,1,1,"Entities"))</f>
        <v>yes</v>
      </c>
      <c r="AP236" s="71">
        <v>1</v>
      </c>
      <c r="AQ236" s="71">
        <v>1</v>
      </c>
      <c r="AR236" s="71" t="b">
        <v>0</v>
      </c>
      <c r="BE236" t="s">
        <v>242</v>
      </c>
      <c r="BF236">
        <v>1</v>
      </c>
      <c r="BG236">
        <v>200</v>
      </c>
      <c r="BH236">
        <v>80</v>
      </c>
      <c r="BI236" s="74">
        <f ca="1">INDIRECT(ADDRESS(11+(MATCH(RIGHT(Table610[[#This Row],[spawner_sku]],LEN(Table610[[#This Row],[spawner_sku]])-FIND("/",Table610[[#This Row],[spawner_sku]])),Table1[Entity Prefab],0)),10,1,1,"Entities"))</f>
        <v>25</v>
      </c>
      <c r="BJ236" s="74">
        <f ca="1">ROUND((Table610[[#This Row],[XP]]*Table610[[#This Row],[entity_spawned (AVG)]])*(Table610[[#This Row],[activating_chance]]/100),0)</f>
        <v>20</v>
      </c>
      <c r="BK236" s="71" t="str">
        <f ca="1">INDIRECT(ADDRESS(11+(MATCH(RIGHT(Table610[[#This Row],[spawner_sku]],LEN(Table610[[#This Row],[spawner_sku]])-FIND("/",Table610[[#This Row],[spawner_sku]])),Table28[Entity Prefab],0)),24,1,1,"Entities"))</f>
        <v>no</v>
      </c>
      <c r="BL236">
        <v>1</v>
      </c>
      <c r="BM236">
        <v>1</v>
      </c>
      <c r="BN236" t="b">
        <v>0</v>
      </c>
      <c r="BP236" t="s">
        <v>446</v>
      </c>
      <c r="BQ236">
        <v>1.5</v>
      </c>
      <c r="BR236">
        <v>240</v>
      </c>
      <c r="BS236">
        <v>100</v>
      </c>
      <c r="BT236" s="74">
        <f ca="1">INDIRECT(ADDRESS(11+(MATCH(RIGHT(Table61011[[#This Row],[spawner_sku]],LEN(Table61011[[#This Row],[spawner_sku]])-FIND("/",Table61011[[#This Row],[spawner_sku]])),Table1[Entity Prefab],0)),10,1,1,"Entities"))</f>
        <v>83</v>
      </c>
      <c r="BU236" s="74">
        <f ca="1">ROUND((Table61011[[#This Row],[XP]]*Table61011[[#This Row],[entity_spawned (AVG)]])*(Table61011[[#This Row],[activating_chance]]/100),0)</f>
        <v>125</v>
      </c>
      <c r="BV236" s="71" t="str">
        <f ca="1">INDIRECT(ADDRESS(11+(MATCH(RIGHT(Table61011[[#This Row],[spawner_sku]],LEN(Table61011[[#This Row],[spawner_sku]])-FIND("/",Table61011[[#This Row],[spawner_sku]])),Table28[Entity Prefab],0)),24,1,1,"Entities"))</f>
        <v>yes</v>
      </c>
      <c r="BW236" s="71">
        <v>1</v>
      </c>
      <c r="BX236" s="71">
        <v>2</v>
      </c>
      <c r="BY236" s="71" t="b">
        <v>0</v>
      </c>
      <c r="BZ236" s="71"/>
      <c r="CA236" s="147" t="s">
        <v>3816</v>
      </c>
      <c r="CB236">
        <v>1</v>
      </c>
      <c r="CC236">
        <v>240</v>
      </c>
      <c r="CD236">
        <v>100</v>
      </c>
      <c r="CE236" s="74">
        <f ca="1">INDIRECT(ADDRESS(11+(MATCH(RIGHT(Table35[[#This Row],[spawner_sku]],LEN(Table35[[#This Row],[spawner_sku]])-FIND("/",Table35[[#This Row],[spawner_sku]])),Table1[Entity Prefab],0)),10,1,1,"Entities"))</f>
        <v>50</v>
      </c>
      <c r="CF236" s="74">
        <f ca="1">ROUND((Table35[[#This Row],[XP]]*Table35[[#This Row],[entity_spawned (AVG)]])*(Table35[[#This Row],[activating_chance]]/100),0)</f>
        <v>50</v>
      </c>
      <c r="CG236" s="144" t="str">
        <f ca="1">INDIRECT(ADDRESS(11+(MATCH(RIGHT(Table35[[#This Row],[spawner_sku]],LEN(Table35[[#This Row],[spawner_sku]])-FIND("/",Table35[[#This Row],[spawner_sku]])),Table28[Entity Prefab],0)),24,1,1,"Entities"))</f>
        <v>no</v>
      </c>
      <c r="CH236">
        <v>1</v>
      </c>
      <c r="CI236">
        <v>1</v>
      </c>
      <c r="CJ236" s="71" t="b">
        <v>0</v>
      </c>
      <c r="CL236" t="s">
        <v>231</v>
      </c>
      <c r="CM236">
        <v>1</v>
      </c>
      <c r="CN236">
        <v>220</v>
      </c>
      <c r="CO236">
        <v>80</v>
      </c>
      <c r="CP236" s="74">
        <f ca="1">INDIRECT(ADDRESS(11+(MATCH(RIGHT(Table11[[#This Row],[spawner_sku]],LEN(Table11[[#This Row],[spawner_sku]])-FIND("/",Table11[[#This Row],[spawner_sku]])),Table1[Entity Prefab],0)),10,1,1,"Entities"))</f>
        <v>25</v>
      </c>
      <c r="CQ236">
        <f ca="1">ROUND((Table11[[#This Row],[XP]]*Table11[[#This Row],[entity_spawned (AVG)]])*(Table11[[#This Row],[activating_chance]]/100),0)</f>
        <v>20</v>
      </c>
      <c r="CR236" s="144" t="str">
        <f ca="1">INDIRECT(ADDRESS(11+(MATCH(RIGHT(Table11[[#This Row],[spawner_sku]],LEN(Table11[[#This Row],[spawner_sku]])-FIND("/",Table11[[#This Row],[spawner_sku]])),Table28[Entity Prefab],0)),25,1,1,"Entities"))</f>
        <v>no</v>
      </c>
      <c r="CS236" s="71">
        <v>1</v>
      </c>
      <c r="CT236" s="71">
        <v>1</v>
      </c>
      <c r="CU236" s="71" t="b">
        <v>0</v>
      </c>
      <c r="CW236" t="s">
        <v>366</v>
      </c>
      <c r="CX236">
        <v>1.5</v>
      </c>
      <c r="CY236">
        <v>100</v>
      </c>
      <c r="CZ236">
        <v>30</v>
      </c>
      <c r="DA236" s="74">
        <f ca="1">INDIRECT(ADDRESS(11+(MATCH(RIGHT(Table12[[#This Row],[spawner_sku]],LEN(Table12[[#This Row],[spawner_sku]])-FIND("/",Table12[[#This Row],[spawner_sku]])),Table1[Entity Prefab],0)),10,1,1,"Entities"))</f>
        <v>25</v>
      </c>
      <c r="DB236" s="74">
        <f ca="1">ROUND((Table12[[#This Row],[XP]]*Table12[[#This Row],[entity_spawned (AVG)]])*(Table12[[#This Row],[activating_chance]]/100),0)</f>
        <v>11</v>
      </c>
      <c r="DC236" s="144" t="str">
        <f ca="1">INDIRECT(ADDRESS(11+(MATCH(RIGHT(Table12[[#This Row],[spawner_sku]],LEN(Table12[[#This Row],[spawner_sku]])-FIND("/",Table12[[#This Row],[spawner_sku]])),Table28[Entity Prefab],0)),25,1,1,"Entities"))</f>
        <v>no</v>
      </c>
      <c r="DD236" s="71">
        <v>1</v>
      </c>
      <c r="DE236" s="71">
        <v>2</v>
      </c>
      <c r="DF236" s="71" t="b">
        <v>0</v>
      </c>
      <c r="DH236" t="s">
        <v>243</v>
      </c>
      <c r="DI236">
        <v>1</v>
      </c>
      <c r="DJ236">
        <v>150</v>
      </c>
      <c r="DK236">
        <v>80</v>
      </c>
      <c r="DL236" s="74">
        <f ca="1">INDIRECT(ADDRESS(11+(MATCH(RIGHT(Table13[[#This Row],[spawner_sku]],LEN(Table13[[#This Row],[spawner_sku]])-FIND("/",Table13[[#This Row],[spawner_sku]])),Table1[Entity Prefab],0)),10,1,1,"Entities"))</f>
        <v>25</v>
      </c>
      <c r="DM236" s="74">
        <f ca="1">ROUND((Table13[[#This Row],[XP]]*Table13[[#This Row],[entity_spawned (AVG)]])*(Table13[[#This Row],[activating_chance]]/100),0)</f>
        <v>20</v>
      </c>
      <c r="DN236" s="144" t="str">
        <f ca="1">INDIRECT(ADDRESS(11+(MATCH(RIGHT(Table13[[#This Row],[spawner_sku]],LEN(Table13[[#This Row],[spawner_sku]])-FIND("/",Table13[[#This Row],[spawner_sku]])),Table28[Entity Prefab],0)),25,1,1,"Entities"))</f>
        <v>no</v>
      </c>
      <c r="DO236" s="71">
        <v>1</v>
      </c>
      <c r="DP236" s="71">
        <v>1</v>
      </c>
      <c r="DQ236" s="71" t="b">
        <v>0</v>
      </c>
      <c r="DS236" t="s">
        <v>512</v>
      </c>
      <c r="DT236">
        <v>1</v>
      </c>
      <c r="DU236">
        <v>220</v>
      </c>
      <c r="DV236">
        <v>70</v>
      </c>
      <c r="DW236" s="74">
        <f ca="1">INDIRECT(ADDRESS(11+(MATCH(RIGHT(Table14[[#This Row],[spawner_sku]],LEN(Table14[[#This Row],[spawner_sku]])-FIND("/",Table14[[#This Row],[spawner_sku]])),Table1[Entity Prefab],0)),10,1,1,"Entities"))</f>
        <v>105</v>
      </c>
      <c r="DX236" s="74">
        <f ca="1">ROUND((Table14[[#This Row],[XP]]*Table14[[#This Row],[entity_spawned (AVG)]])*(Table14[[#This Row],[activating_chance]]/100),0)</f>
        <v>74</v>
      </c>
      <c r="DY236" s="144" t="str">
        <f ca="1">INDIRECT(ADDRESS(11+(MATCH(RIGHT(Table14[[#This Row],[spawner_sku]],LEN(Table14[[#This Row],[spawner_sku]])-FIND("/",Table14[[#This Row],[spawner_sku]])),Table28[Entity Prefab],0)),25,1,1,"Entities"))</f>
        <v>yes</v>
      </c>
      <c r="DZ236" s="71">
        <v>1</v>
      </c>
      <c r="EA236" s="71">
        <v>1</v>
      </c>
      <c r="EB236" s="71" t="b">
        <v>0</v>
      </c>
      <c r="EC236" s="71"/>
      <c r="EO236" t="s">
        <v>465</v>
      </c>
      <c r="EP236">
        <v>1</v>
      </c>
      <c r="EQ236">
        <v>90</v>
      </c>
      <c r="ER236">
        <v>100</v>
      </c>
      <c r="ES236" s="74">
        <f ca="1">INDIRECT(ADDRESS(11+(MATCH(RIGHT(Table18[[#This Row],[spawner_sku]],LEN(Table18[[#This Row],[spawner_sku]])-FIND("/",Table18[[#This Row],[spawner_sku]])),Table1[Entity Prefab],0)),10,1,1,"Entities"))</f>
        <v>25</v>
      </c>
      <c r="ET236" s="74">
        <f ca="1">ROUND((Table18[[#This Row],[XP]]*Table18[[#This Row],[entity_spawned (AVG)]])*(Table18[[#This Row],[activating_chance]]/100),0)</f>
        <v>25</v>
      </c>
      <c r="EU236" s="74" t="str">
        <f ca="1">INDIRECT(ADDRESS(11+(MATCH(RIGHT(Table18[[#This Row],[spawner_sku]],LEN(Table18[[#This Row],[spawner_sku]])-FIND("/",Table18[[#This Row],[spawner_sku]])),Table28[Entity Prefab],0)),26,1,1,"Entities"))</f>
        <v>no</v>
      </c>
      <c r="EV236">
        <v>1</v>
      </c>
      <c r="EW236">
        <v>1</v>
      </c>
      <c r="EX236" t="b">
        <v>0</v>
      </c>
      <c r="EZ236" t="s">
        <v>242</v>
      </c>
      <c r="FA236">
        <v>1.5</v>
      </c>
      <c r="FB236">
        <v>150</v>
      </c>
      <c r="FC236">
        <v>80</v>
      </c>
      <c r="FD236" s="74">
        <f ca="1">INDIRECT(ADDRESS(11+(MATCH(RIGHT(Table1820[[#This Row],[spawner_sku]],LEN(Table1820[[#This Row],[spawner_sku]])-FIND("/",Table1820[[#This Row],[spawner_sku]])),Table1[Entity Prefab],0)),10,1,1,"Entities"))</f>
        <v>25</v>
      </c>
      <c r="FE236" s="74">
        <f ca="1">ROUND((Table1820[[#This Row],[XP]]*Table1820[[#This Row],[entity_spawned (AVG)]])*(Table1820[[#This Row],[activating_chance]]/100),0)</f>
        <v>30</v>
      </c>
      <c r="FF236" s="74" t="str">
        <f ca="1">INDIRECT(ADDRESS(11+(MATCH(RIGHT(Table1820[[#This Row],[spawner_sku]],LEN(Table1820[[#This Row],[spawner_sku]])-FIND("/",Table1820[[#This Row],[spawner_sku]])),Table28[Entity Prefab],0)),26,1,1,"Entities"))</f>
        <v>no</v>
      </c>
      <c r="FG236">
        <v>1</v>
      </c>
      <c r="FH236">
        <v>2</v>
      </c>
      <c r="FI236" t="b">
        <v>0</v>
      </c>
    </row>
    <row r="237" spans="2:187" x14ac:dyDescent="0.25">
      <c r="B237" s="72" t="s">
        <v>219</v>
      </c>
      <c r="C237">
        <v>1</v>
      </c>
      <c r="D237">
        <v>180</v>
      </c>
      <c r="E237">
        <v>100</v>
      </c>
      <c r="F237" s="74">
        <f ca="1">INDIRECT(ADDRESS(11+(MATCH(RIGHT(Table245[[#This Row],[spawner_sku]],LEN(Table245[[#This Row],[spawner_sku]])-FIND("/",Table245[[#This Row],[spawner_sku]])),Table1[Entity Prefab],0)),10,1,1,"Entities"))</f>
        <v>143</v>
      </c>
      <c r="G237" s="74">
        <f ca="1">ROUND((Table245[[#This Row],[XP]]*Table245[[#This Row],[entity_spawned (AVG)]])*(Table245[[#This Row],[activating_chance]]/100),0)</f>
        <v>143</v>
      </c>
      <c r="H237" s="71" t="str">
        <f ca="1">INDIRECT(ADDRESS(11+(MATCH(RIGHT(Table245[[#This Row],[spawner_sku]],LEN(Table245[[#This Row],[spawner_sku]])-FIND("/",Table245[[#This Row],[spawner_sku]])),Table28[Entity Prefab],0)),24,1,1,"Entities"))</f>
        <v>yes</v>
      </c>
      <c r="I237" s="71">
        <v>1</v>
      </c>
      <c r="J237" s="71">
        <v>1</v>
      </c>
      <c r="K237" s="71" t="b">
        <v>0</v>
      </c>
      <c r="M237" t="s">
        <v>365</v>
      </c>
      <c r="N237">
        <v>1</v>
      </c>
      <c r="O237">
        <v>275</v>
      </c>
      <c r="P237">
        <v>100</v>
      </c>
      <c r="Q237" s="74">
        <f ca="1">INDIRECT(ADDRESS(11+(MATCH(RIGHT(Table3[[#This Row],[spawner_sku]],LEN(Table3[[#This Row],[spawner_sku]])-FIND("/",Table3[[#This Row],[spawner_sku]])),Table1[Entity Prefab],0)),10,1,1,"Entities"))</f>
        <v>28</v>
      </c>
      <c r="R237" s="74">
        <f ca="1">ROUND((Table3[[#This Row],[XP]]*Table3[[#This Row],[entity_spawned (AVG)]])*(Table3[[#This Row],[activating_chance]]/100),0)</f>
        <v>28</v>
      </c>
      <c r="S237" t="str">
        <f ca="1">INDIRECT(ADDRESS(11+(MATCH(RIGHT(Table3[[#This Row],[spawner_sku]],LEN(Table3[[#This Row],[spawner_sku]])-FIND("/",Table3[[#This Row],[spawner_sku]])),Table28[Entity Prefab],0)),24,1,1,"Entities"))</f>
        <v>yes</v>
      </c>
      <c r="T237">
        <v>1</v>
      </c>
      <c r="U237">
        <v>1</v>
      </c>
      <c r="V237" t="b">
        <v>0</v>
      </c>
      <c r="AI237" t="s">
        <v>369</v>
      </c>
      <c r="AJ237">
        <v>1</v>
      </c>
      <c r="AK237">
        <v>220</v>
      </c>
      <c r="AL237">
        <v>100</v>
      </c>
      <c r="AM237" s="74">
        <f ca="1">INDIRECT(ADDRESS(11+(MATCH(RIGHT(Table2[[#This Row],[spawner_sku]],LEN(Table2[[#This Row],[spawner_sku]])-FIND("/",Table2[[#This Row],[spawner_sku]])),Table1[Entity Prefab],0)),10,1,1,"Entities"))</f>
        <v>75</v>
      </c>
      <c r="AN237" s="74">
        <f ca="1">ROUND((Table2[[#This Row],[XP]]*Table2[[#This Row],[entity_spawned (AVG)]])*(Table2[[#This Row],[activating_chance]]/100),0)</f>
        <v>75</v>
      </c>
      <c r="AO237" s="71" t="str">
        <f ca="1">INDIRECT(ADDRESS(11+(MATCH(RIGHT(Table2[[#This Row],[spawner_sku]],LEN(Table2[[#This Row],[spawner_sku]])-FIND("/",Table2[[#This Row],[spawner_sku]])),Table28[Entity Prefab],0)),24,1,1,"Entities"))</f>
        <v>yes</v>
      </c>
      <c r="AP237" s="71">
        <v>1</v>
      </c>
      <c r="AQ237" s="71">
        <v>1</v>
      </c>
      <c r="AR237" s="71" t="b">
        <v>0</v>
      </c>
      <c r="BE237" t="s">
        <v>242</v>
      </c>
      <c r="BF237">
        <v>1</v>
      </c>
      <c r="BG237">
        <v>170</v>
      </c>
      <c r="BH237">
        <v>100</v>
      </c>
      <c r="BI237" s="74">
        <f ca="1">INDIRECT(ADDRESS(11+(MATCH(RIGHT(Table610[[#This Row],[spawner_sku]],LEN(Table610[[#This Row],[spawner_sku]])-FIND("/",Table610[[#This Row],[spawner_sku]])),Table1[Entity Prefab],0)),10,1,1,"Entities"))</f>
        <v>25</v>
      </c>
      <c r="BJ237" s="74">
        <f ca="1">ROUND((Table610[[#This Row],[XP]]*Table610[[#This Row],[entity_spawned (AVG)]])*(Table610[[#This Row],[activating_chance]]/100),0)</f>
        <v>25</v>
      </c>
      <c r="BK237" s="71" t="str">
        <f ca="1">INDIRECT(ADDRESS(11+(MATCH(RIGHT(Table610[[#This Row],[spawner_sku]],LEN(Table610[[#This Row],[spawner_sku]])-FIND("/",Table610[[#This Row],[spawner_sku]])),Table28[Entity Prefab],0)),24,1,1,"Entities"))</f>
        <v>no</v>
      </c>
      <c r="BL237">
        <v>1</v>
      </c>
      <c r="BM237">
        <v>1</v>
      </c>
      <c r="BN237" t="b">
        <v>0</v>
      </c>
      <c r="BP237" t="s">
        <v>446</v>
      </c>
      <c r="BQ237">
        <v>2</v>
      </c>
      <c r="BR237">
        <v>240</v>
      </c>
      <c r="BS237">
        <v>100</v>
      </c>
      <c r="BT237" s="74">
        <f ca="1">INDIRECT(ADDRESS(11+(MATCH(RIGHT(Table61011[[#This Row],[spawner_sku]],LEN(Table61011[[#This Row],[spawner_sku]])-FIND("/",Table61011[[#This Row],[spawner_sku]])),Table1[Entity Prefab],0)),10,1,1,"Entities"))</f>
        <v>83</v>
      </c>
      <c r="BU237" s="74">
        <f ca="1">ROUND((Table61011[[#This Row],[XP]]*Table61011[[#This Row],[entity_spawned (AVG)]])*(Table61011[[#This Row],[activating_chance]]/100),0)</f>
        <v>166</v>
      </c>
      <c r="BV237" s="71" t="str">
        <f ca="1">INDIRECT(ADDRESS(11+(MATCH(RIGHT(Table61011[[#This Row],[spawner_sku]],LEN(Table61011[[#This Row],[spawner_sku]])-FIND("/",Table61011[[#This Row],[spawner_sku]])),Table28[Entity Prefab],0)),24,1,1,"Entities"))</f>
        <v>yes</v>
      </c>
      <c r="BW237" s="71">
        <v>1</v>
      </c>
      <c r="BX237" s="71">
        <v>3</v>
      </c>
      <c r="BY237" s="71" t="b">
        <v>0</v>
      </c>
      <c r="BZ237" s="71"/>
      <c r="CA237" s="147" t="s">
        <v>3816</v>
      </c>
      <c r="CB237">
        <v>1</v>
      </c>
      <c r="CC237">
        <v>240</v>
      </c>
      <c r="CD237">
        <v>100</v>
      </c>
      <c r="CE237" s="74">
        <f ca="1">INDIRECT(ADDRESS(11+(MATCH(RIGHT(Table35[[#This Row],[spawner_sku]],LEN(Table35[[#This Row],[spawner_sku]])-FIND("/",Table35[[#This Row],[spawner_sku]])),Table1[Entity Prefab],0)),10,1,1,"Entities"))</f>
        <v>50</v>
      </c>
      <c r="CF237" s="74">
        <f ca="1">ROUND((Table35[[#This Row],[XP]]*Table35[[#This Row],[entity_spawned (AVG)]])*(Table35[[#This Row],[activating_chance]]/100),0)</f>
        <v>50</v>
      </c>
      <c r="CG237" s="144" t="str">
        <f ca="1">INDIRECT(ADDRESS(11+(MATCH(RIGHT(Table35[[#This Row],[spawner_sku]],LEN(Table35[[#This Row],[spawner_sku]])-FIND("/",Table35[[#This Row],[spawner_sku]])),Table28[Entity Prefab],0)),24,1,1,"Entities"))</f>
        <v>no</v>
      </c>
      <c r="CH237">
        <v>1</v>
      </c>
      <c r="CI237">
        <v>1</v>
      </c>
      <c r="CJ237" s="71" t="b">
        <v>0</v>
      </c>
      <c r="CL237" t="s">
        <v>231</v>
      </c>
      <c r="CM237">
        <v>1</v>
      </c>
      <c r="CN237">
        <v>220</v>
      </c>
      <c r="CO237">
        <v>100</v>
      </c>
      <c r="CP237" s="74">
        <f ca="1">INDIRECT(ADDRESS(11+(MATCH(RIGHT(Table11[[#This Row],[spawner_sku]],LEN(Table11[[#This Row],[spawner_sku]])-FIND("/",Table11[[#This Row],[spawner_sku]])),Table1[Entity Prefab],0)),10,1,1,"Entities"))</f>
        <v>25</v>
      </c>
      <c r="CQ237">
        <f ca="1">ROUND((Table11[[#This Row],[XP]]*Table11[[#This Row],[entity_spawned (AVG)]])*(Table11[[#This Row],[activating_chance]]/100),0)</f>
        <v>25</v>
      </c>
      <c r="CR237" s="144" t="str">
        <f ca="1">INDIRECT(ADDRESS(11+(MATCH(RIGHT(Table11[[#This Row],[spawner_sku]],LEN(Table11[[#This Row],[spawner_sku]])-FIND("/",Table11[[#This Row],[spawner_sku]])),Table28[Entity Prefab],0)),25,1,1,"Entities"))</f>
        <v>no</v>
      </c>
      <c r="CS237" s="71">
        <v>1</v>
      </c>
      <c r="CT237" s="71">
        <v>1</v>
      </c>
      <c r="CU237" s="71" t="b">
        <v>0</v>
      </c>
      <c r="CW237" t="s">
        <v>366</v>
      </c>
      <c r="CX237">
        <v>2</v>
      </c>
      <c r="CY237">
        <v>100</v>
      </c>
      <c r="CZ237">
        <v>100</v>
      </c>
      <c r="DA237" s="74">
        <f ca="1">INDIRECT(ADDRESS(11+(MATCH(RIGHT(Table12[[#This Row],[spawner_sku]],LEN(Table12[[#This Row],[spawner_sku]])-FIND("/",Table12[[#This Row],[spawner_sku]])),Table1[Entity Prefab],0)),10,1,1,"Entities"))</f>
        <v>25</v>
      </c>
      <c r="DB237" s="74">
        <f ca="1">ROUND((Table12[[#This Row],[XP]]*Table12[[#This Row],[entity_spawned (AVG)]])*(Table12[[#This Row],[activating_chance]]/100),0)</f>
        <v>50</v>
      </c>
      <c r="DC237" s="144" t="str">
        <f ca="1">INDIRECT(ADDRESS(11+(MATCH(RIGHT(Table12[[#This Row],[spawner_sku]],LEN(Table12[[#This Row],[spawner_sku]])-FIND("/",Table12[[#This Row],[spawner_sku]])),Table28[Entity Prefab],0)),25,1,1,"Entities"))</f>
        <v>no</v>
      </c>
      <c r="DD237" s="71">
        <v>1</v>
      </c>
      <c r="DE237" s="71">
        <v>3</v>
      </c>
      <c r="DF237" s="71" t="b">
        <v>0</v>
      </c>
      <c r="DH237" t="s">
        <v>243</v>
      </c>
      <c r="DI237">
        <v>1</v>
      </c>
      <c r="DJ237">
        <v>150</v>
      </c>
      <c r="DK237">
        <v>30</v>
      </c>
      <c r="DL237" s="74">
        <f ca="1">INDIRECT(ADDRESS(11+(MATCH(RIGHT(Table13[[#This Row],[spawner_sku]],LEN(Table13[[#This Row],[spawner_sku]])-FIND("/",Table13[[#This Row],[spawner_sku]])),Table1[Entity Prefab],0)),10,1,1,"Entities"))</f>
        <v>25</v>
      </c>
      <c r="DM237" s="74">
        <f ca="1">ROUND((Table13[[#This Row],[XP]]*Table13[[#This Row],[entity_spawned (AVG)]])*(Table13[[#This Row],[activating_chance]]/100),0)</f>
        <v>8</v>
      </c>
      <c r="DN237" s="144" t="str">
        <f ca="1">INDIRECT(ADDRESS(11+(MATCH(RIGHT(Table13[[#This Row],[spawner_sku]],LEN(Table13[[#This Row],[spawner_sku]])-FIND("/",Table13[[#This Row],[spawner_sku]])),Table28[Entity Prefab],0)),25,1,1,"Entities"))</f>
        <v>no</v>
      </c>
      <c r="DO237" s="71">
        <v>1</v>
      </c>
      <c r="DP237" s="71">
        <v>1</v>
      </c>
      <c r="DQ237" s="71" t="b">
        <v>0</v>
      </c>
      <c r="DS237" t="s">
        <v>512</v>
      </c>
      <c r="DT237">
        <v>1</v>
      </c>
      <c r="DU237">
        <v>220</v>
      </c>
      <c r="DV237">
        <v>100</v>
      </c>
      <c r="DW237" s="74">
        <f ca="1">INDIRECT(ADDRESS(11+(MATCH(RIGHT(Table14[[#This Row],[spawner_sku]],LEN(Table14[[#This Row],[spawner_sku]])-FIND("/",Table14[[#This Row],[spawner_sku]])),Table1[Entity Prefab],0)),10,1,1,"Entities"))</f>
        <v>105</v>
      </c>
      <c r="DX237" s="74">
        <f ca="1">ROUND((Table14[[#This Row],[XP]]*Table14[[#This Row],[entity_spawned (AVG)]])*(Table14[[#This Row],[activating_chance]]/100),0)</f>
        <v>105</v>
      </c>
      <c r="DY237" s="144" t="str">
        <f ca="1">INDIRECT(ADDRESS(11+(MATCH(RIGHT(Table14[[#This Row],[spawner_sku]],LEN(Table14[[#This Row],[spawner_sku]])-FIND("/",Table14[[#This Row],[spawner_sku]])),Table28[Entity Prefab],0)),25,1,1,"Entities"))</f>
        <v>yes</v>
      </c>
      <c r="DZ237" s="71">
        <v>1</v>
      </c>
      <c r="EA237" s="71">
        <v>1</v>
      </c>
      <c r="EB237" s="71" t="b">
        <v>0</v>
      </c>
      <c r="EC237" s="71"/>
      <c r="EO237" t="s">
        <v>571</v>
      </c>
      <c r="EP237">
        <v>1</v>
      </c>
      <c r="EQ237">
        <v>120</v>
      </c>
      <c r="ER237">
        <v>80</v>
      </c>
      <c r="ES237" s="74">
        <f ca="1">INDIRECT(ADDRESS(11+(MATCH(RIGHT(Table18[[#This Row],[spawner_sku]],LEN(Table18[[#This Row],[spawner_sku]])-FIND("/",Table18[[#This Row],[spawner_sku]])),Table1[Entity Prefab],0)),10,1,1,"Entities"))</f>
        <v>35</v>
      </c>
      <c r="ET237" s="74">
        <f ca="1">ROUND((Table18[[#This Row],[XP]]*Table18[[#This Row],[entity_spawned (AVG)]])*(Table18[[#This Row],[activating_chance]]/100),0)</f>
        <v>28</v>
      </c>
      <c r="EU237" s="74" t="str">
        <f ca="1">INDIRECT(ADDRESS(11+(MATCH(RIGHT(Table18[[#This Row],[spawner_sku]],LEN(Table18[[#This Row],[spawner_sku]])-FIND("/",Table18[[#This Row],[spawner_sku]])),Table28[Entity Prefab],0)),26,1,1,"Entities"))</f>
        <v>no</v>
      </c>
      <c r="EV237">
        <v>1</v>
      </c>
      <c r="EW237">
        <v>1</v>
      </c>
      <c r="EX237" t="b">
        <v>0</v>
      </c>
      <c r="EZ237" t="s">
        <v>242</v>
      </c>
      <c r="FA237">
        <v>2.5</v>
      </c>
      <c r="FB237">
        <v>150</v>
      </c>
      <c r="FC237">
        <v>80</v>
      </c>
      <c r="FD237" s="74">
        <f ca="1">INDIRECT(ADDRESS(11+(MATCH(RIGHT(Table1820[[#This Row],[spawner_sku]],LEN(Table1820[[#This Row],[spawner_sku]])-FIND("/",Table1820[[#This Row],[spawner_sku]])),Table1[Entity Prefab],0)),10,1,1,"Entities"))</f>
        <v>25</v>
      </c>
      <c r="FE237" s="74">
        <f ca="1">ROUND((Table1820[[#This Row],[XP]]*Table1820[[#This Row],[entity_spawned (AVG)]])*(Table1820[[#This Row],[activating_chance]]/100),0)</f>
        <v>50</v>
      </c>
      <c r="FF237" s="74" t="str">
        <f ca="1">INDIRECT(ADDRESS(11+(MATCH(RIGHT(Table1820[[#This Row],[spawner_sku]],LEN(Table1820[[#This Row],[spawner_sku]])-FIND("/",Table1820[[#This Row],[spawner_sku]])),Table28[Entity Prefab],0)),26,1,1,"Entities"))</f>
        <v>no</v>
      </c>
      <c r="FG237">
        <v>2</v>
      </c>
      <c r="FH237">
        <v>3</v>
      </c>
      <c r="FI237" t="b">
        <v>0</v>
      </c>
    </row>
    <row r="238" spans="2:187" x14ac:dyDescent="0.25">
      <c r="B238" s="72" t="s">
        <v>219</v>
      </c>
      <c r="C238">
        <v>1.5</v>
      </c>
      <c r="D238">
        <v>180</v>
      </c>
      <c r="E238">
        <v>100</v>
      </c>
      <c r="F238" s="74">
        <f ca="1">INDIRECT(ADDRESS(11+(MATCH(RIGHT(Table245[[#This Row],[spawner_sku]],LEN(Table245[[#This Row],[spawner_sku]])-FIND("/",Table245[[#This Row],[spawner_sku]])),Table1[Entity Prefab],0)),10,1,1,"Entities"))</f>
        <v>143</v>
      </c>
      <c r="G238" s="74">
        <f ca="1">ROUND((Table245[[#This Row],[XP]]*Table245[[#This Row],[entity_spawned (AVG)]])*(Table245[[#This Row],[activating_chance]]/100),0)</f>
        <v>215</v>
      </c>
      <c r="H238" s="71" t="str">
        <f ca="1">INDIRECT(ADDRESS(11+(MATCH(RIGHT(Table245[[#This Row],[spawner_sku]],LEN(Table245[[#This Row],[spawner_sku]])-FIND("/",Table245[[#This Row],[spawner_sku]])),Table28[Entity Prefab],0)),24,1,1,"Entities"))</f>
        <v>yes</v>
      </c>
      <c r="I238" s="71">
        <v>1</v>
      </c>
      <c r="J238" s="71">
        <v>2</v>
      </c>
      <c r="K238" s="71" t="b">
        <v>0</v>
      </c>
      <c r="M238" t="s">
        <v>372</v>
      </c>
      <c r="N238">
        <v>1.5</v>
      </c>
      <c r="O238">
        <v>80</v>
      </c>
      <c r="P238">
        <v>30</v>
      </c>
      <c r="Q238" s="74">
        <f ca="1">INDIRECT(ADDRESS(11+(MATCH(RIGHT(Table3[[#This Row],[spawner_sku]],LEN(Table3[[#This Row],[spawner_sku]])-FIND("/",Table3[[#This Row],[spawner_sku]])),Table1[Entity Prefab],0)),10,1,1,"Entities"))</f>
        <v>25</v>
      </c>
      <c r="R238" s="74">
        <f ca="1">ROUND((Table3[[#This Row],[XP]]*Table3[[#This Row],[entity_spawned (AVG)]])*(Table3[[#This Row],[activating_chance]]/100),0)</f>
        <v>11</v>
      </c>
      <c r="S238" t="str">
        <f ca="1">INDIRECT(ADDRESS(11+(MATCH(RIGHT(Table3[[#This Row],[spawner_sku]],LEN(Table3[[#This Row],[spawner_sku]])-FIND("/",Table3[[#This Row],[spawner_sku]])),Table28[Entity Prefab],0)),24,1,1,"Entities"))</f>
        <v>no</v>
      </c>
      <c r="T238">
        <v>1</v>
      </c>
      <c r="U238">
        <v>2</v>
      </c>
      <c r="V238" t="b">
        <v>0</v>
      </c>
      <c r="AI238" t="s">
        <v>369</v>
      </c>
      <c r="AJ238">
        <v>1</v>
      </c>
      <c r="AK238">
        <v>220</v>
      </c>
      <c r="AL238">
        <v>100</v>
      </c>
      <c r="AM238" s="74">
        <f ca="1">INDIRECT(ADDRESS(11+(MATCH(RIGHT(Table2[[#This Row],[spawner_sku]],LEN(Table2[[#This Row],[spawner_sku]])-FIND("/",Table2[[#This Row],[spawner_sku]])),Table1[Entity Prefab],0)),10,1,1,"Entities"))</f>
        <v>75</v>
      </c>
      <c r="AN238" s="74">
        <f ca="1">ROUND((Table2[[#This Row],[XP]]*Table2[[#This Row],[entity_spawned (AVG)]])*(Table2[[#This Row],[activating_chance]]/100),0)</f>
        <v>75</v>
      </c>
      <c r="AO238" s="71" t="str">
        <f ca="1">INDIRECT(ADDRESS(11+(MATCH(RIGHT(Table2[[#This Row],[spawner_sku]],LEN(Table2[[#This Row],[spawner_sku]])-FIND("/",Table2[[#This Row],[spawner_sku]])),Table28[Entity Prefab],0)),24,1,1,"Entities"))</f>
        <v>yes</v>
      </c>
      <c r="AP238" s="71">
        <v>1</v>
      </c>
      <c r="AQ238" s="71">
        <v>1</v>
      </c>
      <c r="AR238" s="71" t="b">
        <v>0</v>
      </c>
      <c r="BE238" t="s">
        <v>242</v>
      </c>
      <c r="BF238">
        <v>1</v>
      </c>
      <c r="BG238">
        <v>200</v>
      </c>
      <c r="BH238">
        <v>80</v>
      </c>
      <c r="BI238" s="74">
        <f ca="1">INDIRECT(ADDRESS(11+(MATCH(RIGHT(Table610[[#This Row],[spawner_sku]],LEN(Table610[[#This Row],[spawner_sku]])-FIND("/",Table610[[#This Row],[spawner_sku]])),Table1[Entity Prefab],0)),10,1,1,"Entities"))</f>
        <v>25</v>
      </c>
      <c r="BJ238" s="74">
        <f ca="1">ROUND((Table610[[#This Row],[XP]]*Table610[[#This Row],[entity_spawned (AVG)]])*(Table610[[#This Row],[activating_chance]]/100),0)</f>
        <v>20</v>
      </c>
      <c r="BK238" s="71" t="str">
        <f ca="1">INDIRECT(ADDRESS(11+(MATCH(RIGHT(Table610[[#This Row],[spawner_sku]],LEN(Table610[[#This Row],[spawner_sku]])-FIND("/",Table610[[#This Row],[spawner_sku]])),Table28[Entity Prefab],0)),24,1,1,"Entities"))</f>
        <v>no</v>
      </c>
      <c r="BL238">
        <v>1</v>
      </c>
      <c r="BM238">
        <v>1</v>
      </c>
      <c r="BN238" t="b">
        <v>0</v>
      </c>
      <c r="BP238" t="s">
        <v>446</v>
      </c>
      <c r="BQ238">
        <v>1</v>
      </c>
      <c r="BR238">
        <v>240</v>
      </c>
      <c r="BS238">
        <v>100</v>
      </c>
      <c r="BT238" s="74">
        <f ca="1">INDIRECT(ADDRESS(11+(MATCH(RIGHT(Table61011[[#This Row],[spawner_sku]],LEN(Table61011[[#This Row],[spawner_sku]])-FIND("/",Table61011[[#This Row],[spawner_sku]])),Table1[Entity Prefab],0)),10,1,1,"Entities"))</f>
        <v>83</v>
      </c>
      <c r="BU238" s="74">
        <f ca="1">ROUND((Table61011[[#This Row],[XP]]*Table61011[[#This Row],[entity_spawned (AVG)]])*(Table61011[[#This Row],[activating_chance]]/100),0)</f>
        <v>83</v>
      </c>
      <c r="BV238" s="71" t="str">
        <f ca="1">INDIRECT(ADDRESS(11+(MATCH(RIGHT(Table61011[[#This Row],[spawner_sku]],LEN(Table61011[[#This Row],[spawner_sku]])-FIND("/",Table61011[[#This Row],[spawner_sku]])),Table28[Entity Prefab],0)),24,1,1,"Entities"))</f>
        <v>yes</v>
      </c>
      <c r="BW238" s="71">
        <v>1</v>
      </c>
      <c r="BX238" s="71">
        <v>1</v>
      </c>
      <c r="BY238" s="71" t="b">
        <v>0</v>
      </c>
      <c r="BZ238" s="71"/>
      <c r="CA238" s="147" t="s">
        <v>3816</v>
      </c>
      <c r="CB238">
        <v>1</v>
      </c>
      <c r="CC238">
        <v>240</v>
      </c>
      <c r="CD238">
        <v>100</v>
      </c>
      <c r="CE238" s="74">
        <f ca="1">INDIRECT(ADDRESS(11+(MATCH(RIGHT(Table35[[#This Row],[spawner_sku]],LEN(Table35[[#This Row],[spawner_sku]])-FIND("/",Table35[[#This Row],[spawner_sku]])),Table1[Entity Prefab],0)),10,1,1,"Entities"))</f>
        <v>50</v>
      </c>
      <c r="CF238" s="74">
        <f ca="1">ROUND((Table35[[#This Row],[XP]]*Table35[[#This Row],[entity_spawned (AVG)]])*(Table35[[#This Row],[activating_chance]]/100),0)</f>
        <v>50</v>
      </c>
      <c r="CG238" s="144" t="str">
        <f ca="1">INDIRECT(ADDRESS(11+(MATCH(RIGHT(Table35[[#This Row],[spawner_sku]],LEN(Table35[[#This Row],[spawner_sku]])-FIND("/",Table35[[#This Row],[spawner_sku]])),Table28[Entity Prefab],0)),24,1,1,"Entities"))</f>
        <v>no</v>
      </c>
      <c r="CH238">
        <v>1</v>
      </c>
      <c r="CI238">
        <v>1</v>
      </c>
      <c r="CJ238" s="71" t="b">
        <v>0</v>
      </c>
      <c r="CL238" t="s">
        <v>231</v>
      </c>
      <c r="CM238">
        <v>1</v>
      </c>
      <c r="CN238">
        <v>220</v>
      </c>
      <c r="CO238">
        <v>100</v>
      </c>
      <c r="CP238" s="74">
        <f ca="1">INDIRECT(ADDRESS(11+(MATCH(RIGHT(Table11[[#This Row],[spawner_sku]],LEN(Table11[[#This Row],[spawner_sku]])-FIND("/",Table11[[#This Row],[spawner_sku]])),Table1[Entity Prefab],0)),10,1,1,"Entities"))</f>
        <v>25</v>
      </c>
      <c r="CQ238">
        <f ca="1">ROUND((Table11[[#This Row],[XP]]*Table11[[#This Row],[entity_spawned (AVG)]])*(Table11[[#This Row],[activating_chance]]/100),0)</f>
        <v>25</v>
      </c>
      <c r="CR238" s="144" t="str">
        <f ca="1">INDIRECT(ADDRESS(11+(MATCH(RIGHT(Table11[[#This Row],[spawner_sku]],LEN(Table11[[#This Row],[spawner_sku]])-FIND("/",Table11[[#This Row],[spawner_sku]])),Table28[Entity Prefab],0)),25,1,1,"Entities"))</f>
        <v>no</v>
      </c>
      <c r="CS238" s="71">
        <v>1</v>
      </c>
      <c r="CT238" s="71">
        <v>1</v>
      </c>
      <c r="CU238" s="71" t="b">
        <v>0</v>
      </c>
      <c r="CW238" t="s">
        <v>366</v>
      </c>
      <c r="CX238">
        <v>9</v>
      </c>
      <c r="CY238">
        <v>100</v>
      </c>
      <c r="CZ238">
        <v>100</v>
      </c>
      <c r="DA238" s="74">
        <f ca="1">INDIRECT(ADDRESS(11+(MATCH(RIGHT(Table12[[#This Row],[spawner_sku]],LEN(Table12[[#This Row],[spawner_sku]])-FIND("/",Table12[[#This Row],[spawner_sku]])),Table1[Entity Prefab],0)),10,1,1,"Entities"))</f>
        <v>25</v>
      </c>
      <c r="DB238" s="74">
        <f ca="1">ROUND((Table12[[#This Row],[XP]]*Table12[[#This Row],[entity_spawned (AVG)]])*(Table12[[#This Row],[activating_chance]]/100),0)</f>
        <v>225</v>
      </c>
      <c r="DC238" s="144" t="str">
        <f ca="1">INDIRECT(ADDRESS(11+(MATCH(RIGHT(Table12[[#This Row],[spawner_sku]],LEN(Table12[[#This Row],[spawner_sku]])-FIND("/",Table12[[#This Row],[spawner_sku]])),Table28[Entity Prefab],0)),25,1,1,"Entities"))</f>
        <v>no</v>
      </c>
      <c r="DD238" s="71">
        <v>8</v>
      </c>
      <c r="DE238" s="71">
        <v>10</v>
      </c>
      <c r="DF238" s="71" t="b">
        <v>1</v>
      </c>
      <c r="DH238" t="s">
        <v>243</v>
      </c>
      <c r="DI238">
        <v>1</v>
      </c>
      <c r="DJ238">
        <v>150</v>
      </c>
      <c r="DK238">
        <v>80</v>
      </c>
      <c r="DL238" s="74">
        <f ca="1">INDIRECT(ADDRESS(11+(MATCH(RIGHT(Table13[[#This Row],[spawner_sku]],LEN(Table13[[#This Row],[spawner_sku]])-FIND("/",Table13[[#This Row],[spawner_sku]])),Table1[Entity Prefab],0)),10,1,1,"Entities"))</f>
        <v>25</v>
      </c>
      <c r="DM238" s="74">
        <f ca="1">ROUND((Table13[[#This Row],[XP]]*Table13[[#This Row],[entity_spawned (AVG)]])*(Table13[[#This Row],[activating_chance]]/100),0)</f>
        <v>20</v>
      </c>
      <c r="DN238" s="144" t="str">
        <f ca="1">INDIRECT(ADDRESS(11+(MATCH(RIGHT(Table13[[#This Row],[spawner_sku]],LEN(Table13[[#This Row],[spawner_sku]])-FIND("/",Table13[[#This Row],[spawner_sku]])),Table28[Entity Prefab],0)),25,1,1,"Entities"))</f>
        <v>no</v>
      </c>
      <c r="DO238" s="71">
        <v>1</v>
      </c>
      <c r="DP238" s="71">
        <v>1</v>
      </c>
      <c r="DQ238" s="71" t="b">
        <v>0</v>
      </c>
      <c r="DS238" t="s">
        <v>512</v>
      </c>
      <c r="DT238">
        <v>1</v>
      </c>
      <c r="DU238">
        <v>220</v>
      </c>
      <c r="DV238">
        <v>100</v>
      </c>
      <c r="DW238" s="74">
        <f ca="1">INDIRECT(ADDRESS(11+(MATCH(RIGHT(Table14[[#This Row],[spawner_sku]],LEN(Table14[[#This Row],[spawner_sku]])-FIND("/",Table14[[#This Row],[spawner_sku]])),Table1[Entity Prefab],0)),10,1,1,"Entities"))</f>
        <v>105</v>
      </c>
      <c r="DX238" s="74">
        <f ca="1">ROUND((Table14[[#This Row],[XP]]*Table14[[#This Row],[entity_spawned (AVG)]])*(Table14[[#This Row],[activating_chance]]/100),0)</f>
        <v>105</v>
      </c>
      <c r="DY238" s="144" t="str">
        <f ca="1">INDIRECT(ADDRESS(11+(MATCH(RIGHT(Table14[[#This Row],[spawner_sku]],LEN(Table14[[#This Row],[spawner_sku]])-FIND("/",Table14[[#This Row],[spawner_sku]])),Table28[Entity Prefab],0)),25,1,1,"Entities"))</f>
        <v>yes</v>
      </c>
      <c r="DZ238" s="71">
        <v>1</v>
      </c>
      <c r="EA238" s="71">
        <v>1</v>
      </c>
      <c r="EB238" s="71" t="b">
        <v>0</v>
      </c>
      <c r="EC238" s="71"/>
      <c r="EO238" t="s">
        <v>571</v>
      </c>
      <c r="EP238">
        <v>1</v>
      </c>
      <c r="EQ238">
        <v>120</v>
      </c>
      <c r="ER238">
        <v>80</v>
      </c>
      <c r="ES238" s="74">
        <f ca="1">INDIRECT(ADDRESS(11+(MATCH(RIGHT(Table18[[#This Row],[spawner_sku]],LEN(Table18[[#This Row],[spawner_sku]])-FIND("/",Table18[[#This Row],[spawner_sku]])),Table1[Entity Prefab],0)),10,1,1,"Entities"))</f>
        <v>35</v>
      </c>
      <c r="ET238" s="74">
        <f ca="1">ROUND((Table18[[#This Row],[XP]]*Table18[[#This Row],[entity_spawned (AVG)]])*(Table18[[#This Row],[activating_chance]]/100),0)</f>
        <v>28</v>
      </c>
      <c r="EU238" s="74" t="str">
        <f ca="1">INDIRECT(ADDRESS(11+(MATCH(RIGHT(Table18[[#This Row],[spawner_sku]],LEN(Table18[[#This Row],[spawner_sku]])-FIND("/",Table18[[#This Row],[spawner_sku]])),Table28[Entity Prefab],0)),26,1,1,"Entities"))</f>
        <v>no</v>
      </c>
      <c r="EV238">
        <v>1</v>
      </c>
      <c r="EW238">
        <v>1</v>
      </c>
      <c r="EX238" t="b">
        <v>0</v>
      </c>
      <c r="EZ238" t="s">
        <v>242</v>
      </c>
      <c r="FA238">
        <v>1.5</v>
      </c>
      <c r="FB238">
        <v>150</v>
      </c>
      <c r="FC238">
        <v>80</v>
      </c>
      <c r="FD238" s="74">
        <f ca="1">INDIRECT(ADDRESS(11+(MATCH(RIGHT(Table1820[[#This Row],[spawner_sku]],LEN(Table1820[[#This Row],[spawner_sku]])-FIND("/",Table1820[[#This Row],[spawner_sku]])),Table1[Entity Prefab],0)),10,1,1,"Entities"))</f>
        <v>25</v>
      </c>
      <c r="FE238" s="74">
        <f ca="1">ROUND((Table1820[[#This Row],[XP]]*Table1820[[#This Row],[entity_spawned (AVG)]])*(Table1820[[#This Row],[activating_chance]]/100),0)</f>
        <v>30</v>
      </c>
      <c r="FF238" s="74" t="str">
        <f ca="1">INDIRECT(ADDRESS(11+(MATCH(RIGHT(Table1820[[#This Row],[spawner_sku]],LEN(Table1820[[#This Row],[spawner_sku]])-FIND("/",Table1820[[#This Row],[spawner_sku]])),Table28[Entity Prefab],0)),26,1,1,"Entities"))</f>
        <v>no</v>
      </c>
      <c r="FG238">
        <v>1</v>
      </c>
      <c r="FH238">
        <v>2</v>
      </c>
      <c r="FI238" t="b">
        <v>0</v>
      </c>
    </row>
    <row r="239" spans="2:187" x14ac:dyDescent="0.25">
      <c r="B239" s="72" t="s">
        <v>219</v>
      </c>
      <c r="C239">
        <v>1</v>
      </c>
      <c r="D239">
        <v>180</v>
      </c>
      <c r="E239">
        <v>100</v>
      </c>
      <c r="F239" s="74">
        <f ca="1">INDIRECT(ADDRESS(11+(MATCH(RIGHT(Table245[[#This Row],[spawner_sku]],LEN(Table245[[#This Row],[spawner_sku]])-FIND("/",Table245[[#This Row],[spawner_sku]])),Table1[Entity Prefab],0)),10,1,1,"Entities"))</f>
        <v>143</v>
      </c>
      <c r="G239" s="74">
        <f ca="1">ROUND((Table245[[#This Row],[XP]]*Table245[[#This Row],[entity_spawned (AVG)]])*(Table245[[#This Row],[activating_chance]]/100),0)</f>
        <v>143</v>
      </c>
      <c r="H239" s="71" t="str">
        <f ca="1">INDIRECT(ADDRESS(11+(MATCH(RIGHT(Table245[[#This Row],[spawner_sku]],LEN(Table245[[#This Row],[spawner_sku]])-FIND("/",Table245[[#This Row],[spawner_sku]])),Table28[Entity Prefab],0)),24,1,1,"Entities"))</f>
        <v>yes</v>
      </c>
      <c r="I239" s="71">
        <v>1</v>
      </c>
      <c r="J239" s="71">
        <v>1</v>
      </c>
      <c r="K239" s="71" t="b">
        <v>0</v>
      </c>
      <c r="M239" t="s">
        <v>366</v>
      </c>
      <c r="N239">
        <v>3</v>
      </c>
      <c r="O239">
        <v>100</v>
      </c>
      <c r="P239">
        <v>100</v>
      </c>
      <c r="Q239" s="74">
        <f ca="1">INDIRECT(ADDRESS(11+(MATCH(RIGHT(Table3[[#This Row],[spawner_sku]],LEN(Table3[[#This Row],[spawner_sku]])-FIND("/",Table3[[#This Row],[spawner_sku]])),Table1[Entity Prefab],0)),10,1,1,"Entities"))</f>
        <v>25</v>
      </c>
      <c r="R239" s="74">
        <f ca="1">ROUND((Table3[[#This Row],[XP]]*Table3[[#This Row],[entity_spawned (AVG)]])*(Table3[[#This Row],[activating_chance]]/100),0)</f>
        <v>75</v>
      </c>
      <c r="S239" t="str">
        <f ca="1">INDIRECT(ADDRESS(11+(MATCH(RIGHT(Table3[[#This Row],[spawner_sku]],LEN(Table3[[#This Row],[spawner_sku]])-FIND("/",Table3[[#This Row],[spawner_sku]])),Table28[Entity Prefab],0)),24,1,1,"Entities"))</f>
        <v>no</v>
      </c>
      <c r="T239">
        <v>3</v>
      </c>
      <c r="U239">
        <v>3</v>
      </c>
      <c r="V239" t="b">
        <v>0</v>
      </c>
      <c r="AI239" t="s">
        <v>369</v>
      </c>
      <c r="AJ239">
        <v>1</v>
      </c>
      <c r="AK239">
        <v>200</v>
      </c>
      <c r="AL239">
        <v>100</v>
      </c>
      <c r="AM239" s="74">
        <f ca="1">INDIRECT(ADDRESS(11+(MATCH(RIGHT(Table2[[#This Row],[spawner_sku]],LEN(Table2[[#This Row],[spawner_sku]])-FIND("/",Table2[[#This Row],[spawner_sku]])),Table1[Entity Prefab],0)),10,1,1,"Entities"))</f>
        <v>75</v>
      </c>
      <c r="AN239" s="74">
        <f ca="1">ROUND((Table2[[#This Row],[XP]]*Table2[[#This Row],[entity_spawned (AVG)]])*(Table2[[#This Row],[activating_chance]]/100),0)</f>
        <v>75</v>
      </c>
      <c r="AO239" s="71" t="str">
        <f ca="1">INDIRECT(ADDRESS(11+(MATCH(RIGHT(Table2[[#This Row],[spawner_sku]],LEN(Table2[[#This Row],[spawner_sku]])-FIND("/",Table2[[#This Row],[spawner_sku]])),Table28[Entity Prefab],0)),24,1,1,"Entities"))</f>
        <v>yes</v>
      </c>
      <c r="AP239" s="71">
        <v>1</v>
      </c>
      <c r="AQ239" s="71">
        <v>1</v>
      </c>
      <c r="AR239" s="71" t="b">
        <v>0</v>
      </c>
      <c r="BE239" t="s">
        <v>242</v>
      </c>
      <c r="BF239">
        <v>2.5</v>
      </c>
      <c r="BG239">
        <v>200</v>
      </c>
      <c r="BH239">
        <v>100</v>
      </c>
      <c r="BI239" s="74">
        <f ca="1">INDIRECT(ADDRESS(11+(MATCH(RIGHT(Table610[[#This Row],[spawner_sku]],LEN(Table610[[#This Row],[spawner_sku]])-FIND("/",Table610[[#This Row],[spawner_sku]])),Table1[Entity Prefab],0)),10,1,1,"Entities"))</f>
        <v>25</v>
      </c>
      <c r="BJ239" s="74">
        <f ca="1">ROUND((Table610[[#This Row],[XP]]*Table610[[#This Row],[entity_spawned (AVG)]])*(Table610[[#This Row],[activating_chance]]/100),0)</f>
        <v>63</v>
      </c>
      <c r="BK239" s="71" t="str">
        <f ca="1">INDIRECT(ADDRESS(11+(MATCH(RIGHT(Table610[[#This Row],[spawner_sku]],LEN(Table610[[#This Row],[spawner_sku]])-FIND("/",Table610[[#This Row],[spawner_sku]])),Table28[Entity Prefab],0)),24,1,1,"Entities"))</f>
        <v>no</v>
      </c>
      <c r="BL239">
        <v>2</v>
      </c>
      <c r="BM239">
        <v>3</v>
      </c>
      <c r="BN239" t="b">
        <v>0</v>
      </c>
      <c r="BP239" t="s">
        <v>446</v>
      </c>
      <c r="BQ239">
        <v>1</v>
      </c>
      <c r="BR239">
        <v>240</v>
      </c>
      <c r="BS239">
        <v>100</v>
      </c>
      <c r="BT239" s="74">
        <f ca="1">INDIRECT(ADDRESS(11+(MATCH(RIGHT(Table61011[[#This Row],[spawner_sku]],LEN(Table61011[[#This Row],[spawner_sku]])-FIND("/",Table61011[[#This Row],[spawner_sku]])),Table1[Entity Prefab],0)),10,1,1,"Entities"))</f>
        <v>83</v>
      </c>
      <c r="BU239" s="74">
        <f ca="1">ROUND((Table61011[[#This Row],[XP]]*Table61011[[#This Row],[entity_spawned (AVG)]])*(Table61011[[#This Row],[activating_chance]]/100),0)</f>
        <v>83</v>
      </c>
      <c r="BV239" s="71" t="str">
        <f ca="1">INDIRECT(ADDRESS(11+(MATCH(RIGHT(Table61011[[#This Row],[spawner_sku]],LEN(Table61011[[#This Row],[spawner_sku]])-FIND("/",Table61011[[#This Row],[spawner_sku]])),Table28[Entity Prefab],0)),24,1,1,"Entities"))</f>
        <v>yes</v>
      </c>
      <c r="BW239" s="71">
        <v>1</v>
      </c>
      <c r="BX239" s="71">
        <v>1</v>
      </c>
      <c r="BY239" s="71" t="b">
        <v>0</v>
      </c>
      <c r="BZ239" s="71"/>
      <c r="CA239" s="147" t="s">
        <v>3816</v>
      </c>
      <c r="CB239">
        <v>1</v>
      </c>
      <c r="CC239">
        <v>240</v>
      </c>
      <c r="CD239">
        <v>100</v>
      </c>
      <c r="CE239" s="74">
        <f ca="1">INDIRECT(ADDRESS(11+(MATCH(RIGHT(Table35[[#This Row],[spawner_sku]],LEN(Table35[[#This Row],[spawner_sku]])-FIND("/",Table35[[#This Row],[spawner_sku]])),Table1[Entity Prefab],0)),10,1,1,"Entities"))</f>
        <v>50</v>
      </c>
      <c r="CF239" s="74">
        <f ca="1">ROUND((Table35[[#This Row],[XP]]*Table35[[#This Row],[entity_spawned (AVG)]])*(Table35[[#This Row],[activating_chance]]/100),0)</f>
        <v>50</v>
      </c>
      <c r="CG239" s="144" t="str">
        <f ca="1">INDIRECT(ADDRESS(11+(MATCH(RIGHT(Table35[[#This Row],[spawner_sku]],LEN(Table35[[#This Row],[spawner_sku]])-FIND("/",Table35[[#This Row],[spawner_sku]])),Table28[Entity Prefab],0)),24,1,1,"Entities"))</f>
        <v>no</v>
      </c>
      <c r="CH239">
        <v>1</v>
      </c>
      <c r="CI239">
        <v>1</v>
      </c>
      <c r="CJ239" s="71" t="b">
        <v>0</v>
      </c>
      <c r="CL239" t="s">
        <v>231</v>
      </c>
      <c r="CM239">
        <v>1</v>
      </c>
      <c r="CN239">
        <v>220</v>
      </c>
      <c r="CO239">
        <v>80</v>
      </c>
      <c r="CP239" s="74">
        <f ca="1">INDIRECT(ADDRESS(11+(MATCH(RIGHT(Table11[[#This Row],[spawner_sku]],LEN(Table11[[#This Row],[spawner_sku]])-FIND("/",Table11[[#This Row],[spawner_sku]])),Table1[Entity Prefab],0)),10,1,1,"Entities"))</f>
        <v>25</v>
      </c>
      <c r="CQ239">
        <f ca="1">ROUND((Table11[[#This Row],[XP]]*Table11[[#This Row],[entity_spawned (AVG)]])*(Table11[[#This Row],[activating_chance]]/100),0)</f>
        <v>20</v>
      </c>
      <c r="CR239" s="144" t="str">
        <f ca="1">INDIRECT(ADDRESS(11+(MATCH(RIGHT(Table11[[#This Row],[spawner_sku]],LEN(Table11[[#This Row],[spawner_sku]])-FIND("/",Table11[[#This Row],[spawner_sku]])),Table28[Entity Prefab],0)),25,1,1,"Entities"))</f>
        <v>no</v>
      </c>
      <c r="CS239" s="71">
        <v>1</v>
      </c>
      <c r="CT239" s="71">
        <v>1</v>
      </c>
      <c r="CU239" s="71" t="b">
        <v>0</v>
      </c>
      <c r="CW239" t="s">
        <v>365</v>
      </c>
      <c r="CX239">
        <v>2</v>
      </c>
      <c r="CY239">
        <v>170</v>
      </c>
      <c r="CZ239">
        <v>100</v>
      </c>
      <c r="DA239" s="74">
        <f ca="1">INDIRECT(ADDRESS(11+(MATCH(RIGHT(Table12[[#This Row],[spawner_sku]],LEN(Table12[[#This Row],[spawner_sku]])-FIND("/",Table12[[#This Row],[spawner_sku]])),Table1[Entity Prefab],0)),10,1,1,"Entities"))</f>
        <v>28</v>
      </c>
      <c r="DB239" s="74">
        <f ca="1">ROUND((Table12[[#This Row],[XP]]*Table12[[#This Row],[entity_spawned (AVG)]])*(Table12[[#This Row],[activating_chance]]/100),0)</f>
        <v>56</v>
      </c>
      <c r="DC239" s="144" t="str">
        <f ca="1">INDIRECT(ADDRESS(11+(MATCH(RIGHT(Table12[[#This Row],[spawner_sku]],LEN(Table12[[#This Row],[spawner_sku]])-FIND("/",Table12[[#This Row],[spawner_sku]])),Table28[Entity Prefab],0)),25,1,1,"Entities"))</f>
        <v>yes</v>
      </c>
      <c r="DD239" s="71">
        <v>2</v>
      </c>
      <c r="DE239" s="71">
        <v>2</v>
      </c>
      <c r="DF239" s="71" t="b">
        <v>0</v>
      </c>
      <c r="DH239" t="s">
        <v>243</v>
      </c>
      <c r="DI239">
        <v>2</v>
      </c>
      <c r="DJ239">
        <v>150</v>
      </c>
      <c r="DK239">
        <v>100</v>
      </c>
      <c r="DL239" s="74">
        <f ca="1">INDIRECT(ADDRESS(11+(MATCH(RIGHT(Table13[[#This Row],[spawner_sku]],LEN(Table13[[#This Row],[spawner_sku]])-FIND("/",Table13[[#This Row],[spawner_sku]])),Table1[Entity Prefab],0)),10,1,1,"Entities"))</f>
        <v>25</v>
      </c>
      <c r="DM239" s="74">
        <f ca="1">ROUND((Table13[[#This Row],[XP]]*Table13[[#This Row],[entity_spawned (AVG)]])*(Table13[[#This Row],[activating_chance]]/100),0)</f>
        <v>50</v>
      </c>
      <c r="DN239" s="144" t="str">
        <f ca="1">INDIRECT(ADDRESS(11+(MATCH(RIGHT(Table13[[#This Row],[spawner_sku]],LEN(Table13[[#This Row],[spawner_sku]])-FIND("/",Table13[[#This Row],[spawner_sku]])),Table28[Entity Prefab],0)),25,1,1,"Entities"))</f>
        <v>no</v>
      </c>
      <c r="DO239" s="71">
        <v>2</v>
      </c>
      <c r="DP239" s="71">
        <v>2</v>
      </c>
      <c r="DQ239" s="71" t="b">
        <v>0</v>
      </c>
      <c r="DS239" t="s">
        <v>512</v>
      </c>
      <c r="DT239">
        <v>1</v>
      </c>
      <c r="DU239">
        <v>220</v>
      </c>
      <c r="DV239">
        <v>100</v>
      </c>
      <c r="DW239" s="74">
        <f ca="1">INDIRECT(ADDRESS(11+(MATCH(RIGHT(Table14[[#This Row],[spawner_sku]],LEN(Table14[[#This Row],[spawner_sku]])-FIND("/",Table14[[#This Row],[spawner_sku]])),Table1[Entity Prefab],0)),10,1,1,"Entities"))</f>
        <v>105</v>
      </c>
      <c r="DX239" s="74">
        <f ca="1">ROUND((Table14[[#This Row],[XP]]*Table14[[#This Row],[entity_spawned (AVG)]])*(Table14[[#This Row],[activating_chance]]/100),0)</f>
        <v>105</v>
      </c>
      <c r="DY239" s="144" t="str">
        <f ca="1">INDIRECT(ADDRESS(11+(MATCH(RIGHT(Table14[[#This Row],[spawner_sku]],LEN(Table14[[#This Row],[spawner_sku]])-FIND("/",Table14[[#This Row],[spawner_sku]])),Table28[Entity Prefab],0)),25,1,1,"Entities"))</f>
        <v>yes</v>
      </c>
      <c r="DZ239" s="71">
        <v>1</v>
      </c>
      <c r="EA239" s="71">
        <v>1</v>
      </c>
      <c r="EB239" s="71" t="b">
        <v>0</v>
      </c>
      <c r="EC239" s="71"/>
      <c r="EO239" t="s">
        <v>571</v>
      </c>
      <c r="EP239">
        <v>1</v>
      </c>
      <c r="EQ239">
        <v>120</v>
      </c>
      <c r="ER239">
        <v>90</v>
      </c>
      <c r="ES239" s="74">
        <f ca="1">INDIRECT(ADDRESS(11+(MATCH(RIGHT(Table18[[#This Row],[spawner_sku]],LEN(Table18[[#This Row],[spawner_sku]])-FIND("/",Table18[[#This Row],[spawner_sku]])),Table1[Entity Prefab],0)),10,1,1,"Entities"))</f>
        <v>35</v>
      </c>
      <c r="ET239" s="74">
        <f ca="1">ROUND((Table18[[#This Row],[XP]]*Table18[[#This Row],[entity_spawned (AVG)]])*(Table18[[#This Row],[activating_chance]]/100),0)</f>
        <v>32</v>
      </c>
      <c r="EU239" s="74" t="str">
        <f ca="1">INDIRECT(ADDRESS(11+(MATCH(RIGHT(Table18[[#This Row],[spawner_sku]],LEN(Table18[[#This Row],[spawner_sku]])-FIND("/",Table18[[#This Row],[spawner_sku]])),Table28[Entity Prefab],0)),26,1,1,"Entities"))</f>
        <v>no</v>
      </c>
      <c r="EV239">
        <v>1</v>
      </c>
      <c r="EW239">
        <v>1</v>
      </c>
      <c r="EX239" t="b">
        <v>0</v>
      </c>
      <c r="EZ239" t="s">
        <v>242</v>
      </c>
      <c r="FA239">
        <v>2.5</v>
      </c>
      <c r="FB239">
        <v>150</v>
      </c>
      <c r="FC239">
        <v>80</v>
      </c>
      <c r="FD239" s="74">
        <f ca="1">INDIRECT(ADDRESS(11+(MATCH(RIGHT(Table1820[[#This Row],[spawner_sku]],LEN(Table1820[[#This Row],[spawner_sku]])-FIND("/",Table1820[[#This Row],[spawner_sku]])),Table1[Entity Prefab],0)),10,1,1,"Entities"))</f>
        <v>25</v>
      </c>
      <c r="FE239" s="74">
        <f ca="1">ROUND((Table1820[[#This Row],[XP]]*Table1820[[#This Row],[entity_spawned (AVG)]])*(Table1820[[#This Row],[activating_chance]]/100),0)</f>
        <v>50</v>
      </c>
      <c r="FF239" s="74" t="str">
        <f ca="1">INDIRECT(ADDRESS(11+(MATCH(RIGHT(Table1820[[#This Row],[spawner_sku]],LEN(Table1820[[#This Row],[spawner_sku]])-FIND("/",Table1820[[#This Row],[spawner_sku]])),Table28[Entity Prefab],0)),26,1,1,"Entities"))</f>
        <v>no</v>
      </c>
      <c r="FG239">
        <v>2</v>
      </c>
      <c r="FH239">
        <v>3</v>
      </c>
      <c r="FI239" t="b">
        <v>0</v>
      </c>
    </row>
    <row r="240" spans="2:187" x14ac:dyDescent="0.25">
      <c r="B240" s="72" t="s">
        <v>320</v>
      </c>
      <c r="C240">
        <v>1</v>
      </c>
      <c r="D240">
        <v>280</v>
      </c>
      <c r="E240">
        <v>100</v>
      </c>
      <c r="F240" s="74">
        <f ca="1">INDIRECT(ADDRESS(11+(MATCH(RIGHT(Table245[[#This Row],[spawner_sku]],LEN(Table245[[#This Row],[spawner_sku]])-FIND("/",Table245[[#This Row],[spawner_sku]])),Table1[Entity Prefab],0)),10,1,1,"Entities"))</f>
        <v>143</v>
      </c>
      <c r="G240" s="74">
        <f ca="1">ROUND((Table245[[#This Row],[XP]]*Table245[[#This Row],[entity_spawned (AVG)]])*(Table245[[#This Row],[activating_chance]]/100),0)</f>
        <v>143</v>
      </c>
      <c r="H240" s="71" t="str">
        <f ca="1">INDIRECT(ADDRESS(11+(MATCH(RIGHT(Table245[[#This Row],[spawner_sku]],LEN(Table245[[#This Row],[spawner_sku]])-FIND("/",Table245[[#This Row],[spawner_sku]])),Table28[Entity Prefab],0)),24,1,1,"Entities"))</f>
        <v>yes</v>
      </c>
      <c r="I240" s="71">
        <v>1</v>
      </c>
      <c r="J240" s="71">
        <v>1</v>
      </c>
      <c r="K240" s="71" t="b">
        <v>0</v>
      </c>
      <c r="M240" t="s">
        <v>365</v>
      </c>
      <c r="N240">
        <v>1</v>
      </c>
      <c r="O240">
        <v>275</v>
      </c>
      <c r="P240">
        <v>100</v>
      </c>
      <c r="Q240" s="74">
        <f ca="1">INDIRECT(ADDRESS(11+(MATCH(RIGHT(Table3[[#This Row],[spawner_sku]],LEN(Table3[[#This Row],[spawner_sku]])-FIND("/",Table3[[#This Row],[spawner_sku]])),Table1[Entity Prefab],0)),10,1,1,"Entities"))</f>
        <v>28</v>
      </c>
      <c r="R240" s="74">
        <f ca="1">ROUND((Table3[[#This Row],[XP]]*Table3[[#This Row],[entity_spawned (AVG)]])*(Table3[[#This Row],[activating_chance]]/100),0)</f>
        <v>28</v>
      </c>
      <c r="S240" t="str">
        <f ca="1">INDIRECT(ADDRESS(11+(MATCH(RIGHT(Table3[[#This Row],[spawner_sku]],LEN(Table3[[#This Row],[spawner_sku]])-FIND("/",Table3[[#This Row],[spawner_sku]])),Table28[Entity Prefab],0)),24,1,1,"Entities"))</f>
        <v>yes</v>
      </c>
      <c r="T240">
        <v>1</v>
      </c>
      <c r="U240">
        <v>1</v>
      </c>
      <c r="V240" t="b">
        <v>0</v>
      </c>
      <c r="AI240" t="s">
        <v>369</v>
      </c>
      <c r="AJ240">
        <v>1</v>
      </c>
      <c r="AK240">
        <v>220</v>
      </c>
      <c r="AL240">
        <v>100</v>
      </c>
      <c r="AM240" s="74">
        <f ca="1">INDIRECT(ADDRESS(11+(MATCH(RIGHT(Table2[[#This Row],[spawner_sku]],LEN(Table2[[#This Row],[spawner_sku]])-FIND("/",Table2[[#This Row],[spawner_sku]])),Table1[Entity Prefab],0)),10,1,1,"Entities"))</f>
        <v>75</v>
      </c>
      <c r="AN240" s="74">
        <f ca="1">ROUND((Table2[[#This Row],[XP]]*Table2[[#This Row],[entity_spawned (AVG)]])*(Table2[[#This Row],[activating_chance]]/100),0)</f>
        <v>75</v>
      </c>
      <c r="AO240" s="71" t="str">
        <f ca="1">INDIRECT(ADDRESS(11+(MATCH(RIGHT(Table2[[#This Row],[spawner_sku]],LEN(Table2[[#This Row],[spawner_sku]])-FIND("/",Table2[[#This Row],[spawner_sku]])),Table28[Entity Prefab],0)),24,1,1,"Entities"))</f>
        <v>yes</v>
      </c>
      <c r="AP240" s="71">
        <v>1</v>
      </c>
      <c r="AQ240" s="71">
        <v>1</v>
      </c>
      <c r="AR240" s="71" t="b">
        <v>0</v>
      </c>
      <c r="BE240" t="s">
        <v>242</v>
      </c>
      <c r="BF240">
        <v>1</v>
      </c>
      <c r="BG240">
        <v>170</v>
      </c>
      <c r="BH240">
        <v>40</v>
      </c>
      <c r="BI240" s="74">
        <f ca="1">INDIRECT(ADDRESS(11+(MATCH(RIGHT(Table610[[#This Row],[spawner_sku]],LEN(Table610[[#This Row],[spawner_sku]])-FIND("/",Table610[[#This Row],[spawner_sku]])),Table1[Entity Prefab],0)),10,1,1,"Entities"))</f>
        <v>25</v>
      </c>
      <c r="BJ240" s="74">
        <f ca="1">ROUND((Table610[[#This Row],[XP]]*Table610[[#This Row],[entity_spawned (AVG)]])*(Table610[[#This Row],[activating_chance]]/100),0)</f>
        <v>10</v>
      </c>
      <c r="BK240" s="71" t="str">
        <f ca="1">INDIRECT(ADDRESS(11+(MATCH(RIGHT(Table610[[#This Row],[spawner_sku]],LEN(Table610[[#This Row],[spawner_sku]])-FIND("/",Table610[[#This Row],[spawner_sku]])),Table28[Entity Prefab],0)),24,1,1,"Entities"))</f>
        <v>no</v>
      </c>
      <c r="BL240">
        <v>1</v>
      </c>
      <c r="BM240">
        <v>1</v>
      </c>
      <c r="BN240" t="b">
        <v>0</v>
      </c>
      <c r="BP240" t="s">
        <v>446</v>
      </c>
      <c r="BQ240">
        <v>1</v>
      </c>
      <c r="BR240">
        <v>240</v>
      </c>
      <c r="BS240">
        <v>100</v>
      </c>
      <c r="BT240" s="74">
        <f ca="1">INDIRECT(ADDRESS(11+(MATCH(RIGHT(Table61011[[#This Row],[spawner_sku]],LEN(Table61011[[#This Row],[spawner_sku]])-FIND("/",Table61011[[#This Row],[spawner_sku]])),Table1[Entity Prefab],0)),10,1,1,"Entities"))</f>
        <v>83</v>
      </c>
      <c r="BU240" s="74">
        <f ca="1">ROUND((Table61011[[#This Row],[XP]]*Table61011[[#This Row],[entity_spawned (AVG)]])*(Table61011[[#This Row],[activating_chance]]/100),0)</f>
        <v>83</v>
      </c>
      <c r="BV240" s="71" t="str">
        <f ca="1">INDIRECT(ADDRESS(11+(MATCH(RIGHT(Table61011[[#This Row],[spawner_sku]],LEN(Table61011[[#This Row],[spawner_sku]])-FIND("/",Table61011[[#This Row],[spawner_sku]])),Table28[Entity Prefab],0)),24,1,1,"Entities"))</f>
        <v>yes</v>
      </c>
      <c r="BW240" s="71">
        <v>1</v>
      </c>
      <c r="BX240" s="71">
        <v>1</v>
      </c>
      <c r="BY240" s="71" t="b">
        <v>0</v>
      </c>
      <c r="BZ240" s="71"/>
      <c r="CA240" s="147" t="s">
        <v>3816</v>
      </c>
      <c r="CB240">
        <v>1</v>
      </c>
      <c r="CC240">
        <v>240</v>
      </c>
      <c r="CD240">
        <v>100</v>
      </c>
      <c r="CE240" s="74">
        <f ca="1">INDIRECT(ADDRESS(11+(MATCH(RIGHT(Table35[[#This Row],[spawner_sku]],LEN(Table35[[#This Row],[spawner_sku]])-FIND("/",Table35[[#This Row],[spawner_sku]])),Table1[Entity Prefab],0)),10,1,1,"Entities"))</f>
        <v>50</v>
      </c>
      <c r="CF240" s="74">
        <f ca="1">ROUND((Table35[[#This Row],[XP]]*Table35[[#This Row],[entity_spawned (AVG)]])*(Table35[[#This Row],[activating_chance]]/100),0)</f>
        <v>50</v>
      </c>
      <c r="CG240" s="144" t="str">
        <f ca="1">INDIRECT(ADDRESS(11+(MATCH(RIGHT(Table35[[#This Row],[spawner_sku]],LEN(Table35[[#This Row],[spawner_sku]])-FIND("/",Table35[[#This Row],[spawner_sku]])),Table28[Entity Prefab],0)),24,1,1,"Entities"))</f>
        <v>no</v>
      </c>
      <c r="CH240">
        <v>1</v>
      </c>
      <c r="CI240">
        <v>1</v>
      </c>
      <c r="CJ240" s="71" t="b">
        <v>0</v>
      </c>
      <c r="CL240" t="s">
        <v>231</v>
      </c>
      <c r="CM240">
        <v>1</v>
      </c>
      <c r="CN240">
        <v>220</v>
      </c>
      <c r="CO240">
        <v>100</v>
      </c>
      <c r="CP240" s="74">
        <f ca="1">INDIRECT(ADDRESS(11+(MATCH(RIGHT(Table11[[#This Row],[spawner_sku]],LEN(Table11[[#This Row],[spawner_sku]])-FIND("/",Table11[[#This Row],[spawner_sku]])),Table1[Entity Prefab],0)),10,1,1,"Entities"))</f>
        <v>25</v>
      </c>
      <c r="CQ240">
        <f ca="1">ROUND((Table11[[#This Row],[XP]]*Table11[[#This Row],[entity_spawned (AVG)]])*(Table11[[#This Row],[activating_chance]]/100),0)</f>
        <v>25</v>
      </c>
      <c r="CR240" s="144" t="str">
        <f ca="1">INDIRECT(ADDRESS(11+(MATCH(RIGHT(Table11[[#This Row],[spawner_sku]],LEN(Table11[[#This Row],[spawner_sku]])-FIND("/",Table11[[#This Row],[spawner_sku]])),Table28[Entity Prefab],0)),25,1,1,"Entities"))</f>
        <v>no</v>
      </c>
      <c r="CS240" s="71">
        <v>1</v>
      </c>
      <c r="CT240" s="71">
        <v>1</v>
      </c>
      <c r="CU240" s="71" t="b">
        <v>0</v>
      </c>
      <c r="CW240" t="s">
        <v>365</v>
      </c>
      <c r="CX240">
        <v>2.5</v>
      </c>
      <c r="CY240">
        <v>170</v>
      </c>
      <c r="CZ240">
        <v>100</v>
      </c>
      <c r="DA240" s="74">
        <f ca="1">INDIRECT(ADDRESS(11+(MATCH(RIGHT(Table12[[#This Row],[spawner_sku]],LEN(Table12[[#This Row],[spawner_sku]])-FIND("/",Table12[[#This Row],[spawner_sku]])),Table1[Entity Prefab],0)),10,1,1,"Entities"))</f>
        <v>28</v>
      </c>
      <c r="DB240" s="74">
        <f ca="1">ROUND((Table12[[#This Row],[XP]]*Table12[[#This Row],[entity_spawned (AVG)]])*(Table12[[#This Row],[activating_chance]]/100),0)</f>
        <v>70</v>
      </c>
      <c r="DC240" s="144" t="str">
        <f ca="1">INDIRECT(ADDRESS(11+(MATCH(RIGHT(Table12[[#This Row],[spawner_sku]],LEN(Table12[[#This Row],[spawner_sku]])-FIND("/",Table12[[#This Row],[spawner_sku]])),Table28[Entity Prefab],0)),25,1,1,"Entities"))</f>
        <v>yes</v>
      </c>
      <c r="DD240" s="71">
        <v>2</v>
      </c>
      <c r="DE240" s="71">
        <v>3</v>
      </c>
      <c r="DF240" s="71" t="b">
        <v>0</v>
      </c>
      <c r="DH240" t="s">
        <v>243</v>
      </c>
      <c r="DI240">
        <v>1</v>
      </c>
      <c r="DJ240">
        <v>150</v>
      </c>
      <c r="DK240">
        <v>100</v>
      </c>
      <c r="DL240" s="74">
        <f ca="1">INDIRECT(ADDRESS(11+(MATCH(RIGHT(Table13[[#This Row],[spawner_sku]],LEN(Table13[[#This Row],[spawner_sku]])-FIND("/",Table13[[#This Row],[spawner_sku]])),Table1[Entity Prefab],0)),10,1,1,"Entities"))</f>
        <v>25</v>
      </c>
      <c r="DM240" s="74">
        <f ca="1">ROUND((Table13[[#This Row],[XP]]*Table13[[#This Row],[entity_spawned (AVG)]])*(Table13[[#This Row],[activating_chance]]/100),0)</f>
        <v>25</v>
      </c>
      <c r="DN240" s="144" t="str">
        <f ca="1">INDIRECT(ADDRESS(11+(MATCH(RIGHT(Table13[[#This Row],[spawner_sku]],LEN(Table13[[#This Row],[spawner_sku]])-FIND("/",Table13[[#This Row],[spawner_sku]])),Table28[Entity Prefab],0)),25,1,1,"Entities"))</f>
        <v>no</v>
      </c>
      <c r="DO240" s="71">
        <v>1</v>
      </c>
      <c r="DP240" s="71">
        <v>1</v>
      </c>
      <c r="DQ240" s="71" t="b">
        <v>0</v>
      </c>
      <c r="DS240" t="s">
        <v>512</v>
      </c>
      <c r="DT240">
        <v>1</v>
      </c>
      <c r="DU240">
        <v>220</v>
      </c>
      <c r="DV240">
        <v>100</v>
      </c>
      <c r="DW240" s="74">
        <f ca="1">INDIRECT(ADDRESS(11+(MATCH(RIGHT(Table14[[#This Row],[spawner_sku]],LEN(Table14[[#This Row],[spawner_sku]])-FIND("/",Table14[[#This Row],[spawner_sku]])),Table1[Entity Prefab],0)),10,1,1,"Entities"))</f>
        <v>105</v>
      </c>
      <c r="DX240" s="74">
        <f ca="1">ROUND((Table14[[#This Row],[XP]]*Table14[[#This Row],[entity_spawned (AVG)]])*(Table14[[#This Row],[activating_chance]]/100),0)</f>
        <v>105</v>
      </c>
      <c r="DY240" s="144" t="str">
        <f ca="1">INDIRECT(ADDRESS(11+(MATCH(RIGHT(Table14[[#This Row],[spawner_sku]],LEN(Table14[[#This Row],[spawner_sku]])-FIND("/",Table14[[#This Row],[spawner_sku]])),Table28[Entity Prefab],0)),25,1,1,"Entities"))</f>
        <v>yes</v>
      </c>
      <c r="DZ240" s="71">
        <v>1</v>
      </c>
      <c r="EA240" s="71">
        <v>1</v>
      </c>
      <c r="EB240" s="71" t="b">
        <v>0</v>
      </c>
      <c r="EC240" s="71"/>
      <c r="EO240" t="s">
        <v>571</v>
      </c>
      <c r="EP240">
        <v>1</v>
      </c>
      <c r="EQ240">
        <v>120</v>
      </c>
      <c r="ER240">
        <v>100</v>
      </c>
      <c r="ES240" s="74">
        <f ca="1">INDIRECT(ADDRESS(11+(MATCH(RIGHT(Table18[[#This Row],[spawner_sku]],LEN(Table18[[#This Row],[spawner_sku]])-FIND("/",Table18[[#This Row],[spawner_sku]])),Table1[Entity Prefab],0)),10,1,1,"Entities"))</f>
        <v>35</v>
      </c>
      <c r="ET240" s="74">
        <f ca="1">ROUND((Table18[[#This Row],[XP]]*Table18[[#This Row],[entity_spawned (AVG)]])*(Table18[[#This Row],[activating_chance]]/100),0)</f>
        <v>35</v>
      </c>
      <c r="EU240" s="74" t="str">
        <f ca="1">INDIRECT(ADDRESS(11+(MATCH(RIGHT(Table18[[#This Row],[spawner_sku]],LEN(Table18[[#This Row],[spawner_sku]])-FIND("/",Table18[[#This Row],[spawner_sku]])),Table28[Entity Prefab],0)),26,1,1,"Entities"))</f>
        <v>no</v>
      </c>
      <c r="EV240">
        <v>1</v>
      </c>
      <c r="EW240">
        <v>1</v>
      </c>
      <c r="EX240" t="b">
        <v>0</v>
      </c>
      <c r="EZ240" t="s">
        <v>242</v>
      </c>
      <c r="FA240">
        <v>2.5</v>
      </c>
      <c r="FB240">
        <v>150</v>
      </c>
      <c r="FC240">
        <v>80</v>
      </c>
      <c r="FD240" s="74">
        <f ca="1">INDIRECT(ADDRESS(11+(MATCH(RIGHT(Table1820[[#This Row],[spawner_sku]],LEN(Table1820[[#This Row],[spawner_sku]])-FIND("/",Table1820[[#This Row],[spawner_sku]])),Table1[Entity Prefab],0)),10,1,1,"Entities"))</f>
        <v>25</v>
      </c>
      <c r="FE240" s="74">
        <f ca="1">ROUND((Table1820[[#This Row],[XP]]*Table1820[[#This Row],[entity_spawned (AVG)]])*(Table1820[[#This Row],[activating_chance]]/100),0)</f>
        <v>50</v>
      </c>
      <c r="FF240" s="74" t="str">
        <f ca="1">INDIRECT(ADDRESS(11+(MATCH(RIGHT(Table1820[[#This Row],[spawner_sku]],LEN(Table1820[[#This Row],[spawner_sku]])-FIND("/",Table1820[[#This Row],[spawner_sku]])),Table28[Entity Prefab],0)),26,1,1,"Entities"))</f>
        <v>no</v>
      </c>
      <c r="FG240">
        <v>2</v>
      </c>
      <c r="FH240">
        <v>3</v>
      </c>
      <c r="FI240" t="b">
        <v>0</v>
      </c>
    </row>
    <row r="241" spans="2:165" x14ac:dyDescent="0.25">
      <c r="B241" s="72" t="s">
        <v>320</v>
      </c>
      <c r="C241">
        <v>2.5</v>
      </c>
      <c r="D241">
        <v>240</v>
      </c>
      <c r="E241">
        <v>100</v>
      </c>
      <c r="F241" s="74">
        <f ca="1">INDIRECT(ADDRESS(11+(MATCH(RIGHT(Table245[[#This Row],[spawner_sku]],LEN(Table245[[#This Row],[spawner_sku]])-FIND("/",Table245[[#This Row],[spawner_sku]])),Table1[Entity Prefab],0)),10,1,1,"Entities"))</f>
        <v>143</v>
      </c>
      <c r="G241" s="74">
        <f ca="1">ROUND((Table245[[#This Row],[XP]]*Table245[[#This Row],[entity_spawned (AVG)]])*(Table245[[#This Row],[activating_chance]]/100),0)</f>
        <v>358</v>
      </c>
      <c r="H241" s="71" t="str">
        <f ca="1">INDIRECT(ADDRESS(11+(MATCH(RIGHT(Table245[[#This Row],[spawner_sku]],LEN(Table245[[#This Row],[spawner_sku]])-FIND("/",Table245[[#This Row],[spawner_sku]])),Table28[Entity Prefab],0)),24,1,1,"Entities"))</f>
        <v>yes</v>
      </c>
      <c r="I241" s="71">
        <v>2</v>
      </c>
      <c r="J241" s="71">
        <v>3</v>
      </c>
      <c r="K241" s="71" t="b">
        <v>0</v>
      </c>
      <c r="M241" t="s">
        <v>220</v>
      </c>
      <c r="N241">
        <v>1</v>
      </c>
      <c r="O241">
        <v>250</v>
      </c>
      <c r="P241">
        <v>100</v>
      </c>
      <c r="Q241" s="74">
        <f ca="1">INDIRECT(ADDRESS(11+(MATCH(RIGHT(Table3[[#This Row],[spawner_sku]],LEN(Table3[[#This Row],[spawner_sku]])-FIND("/",Table3[[#This Row],[spawner_sku]])),Table1[Entity Prefab],0)),10,1,1,"Entities"))</f>
        <v>195</v>
      </c>
      <c r="R241" s="74">
        <f ca="1">ROUND((Table3[[#This Row],[XP]]*Table3[[#This Row],[entity_spawned (AVG)]])*(Table3[[#This Row],[activating_chance]]/100),0)</f>
        <v>195</v>
      </c>
      <c r="S241" t="str">
        <f ca="1">INDIRECT(ADDRESS(11+(MATCH(RIGHT(Table3[[#This Row],[spawner_sku]],LEN(Table3[[#This Row],[spawner_sku]])-FIND("/",Table3[[#This Row],[spawner_sku]])),Table28[Entity Prefab],0)),24,1,1,"Entities"))</f>
        <v>yes</v>
      </c>
      <c r="T241">
        <v>1</v>
      </c>
      <c r="U241">
        <v>1</v>
      </c>
      <c r="V241" t="b">
        <v>0</v>
      </c>
      <c r="AI241" t="s">
        <v>369</v>
      </c>
      <c r="AJ241">
        <v>1</v>
      </c>
      <c r="AK241">
        <v>220</v>
      </c>
      <c r="AL241">
        <v>100</v>
      </c>
      <c r="AM241" s="74">
        <f ca="1">INDIRECT(ADDRESS(11+(MATCH(RIGHT(Table2[[#This Row],[spawner_sku]],LEN(Table2[[#This Row],[spawner_sku]])-FIND("/",Table2[[#This Row],[spawner_sku]])),Table1[Entity Prefab],0)),10,1,1,"Entities"))</f>
        <v>75</v>
      </c>
      <c r="AN241" s="74">
        <f ca="1">ROUND((Table2[[#This Row],[XP]]*Table2[[#This Row],[entity_spawned (AVG)]])*(Table2[[#This Row],[activating_chance]]/100),0)</f>
        <v>75</v>
      </c>
      <c r="AO241" s="71" t="str">
        <f ca="1">INDIRECT(ADDRESS(11+(MATCH(RIGHT(Table2[[#This Row],[spawner_sku]],LEN(Table2[[#This Row],[spawner_sku]])-FIND("/",Table2[[#This Row],[spawner_sku]])),Table28[Entity Prefab],0)),24,1,1,"Entities"))</f>
        <v>yes</v>
      </c>
      <c r="AP241" s="71">
        <v>1</v>
      </c>
      <c r="AQ241" s="71">
        <v>1</v>
      </c>
      <c r="AR241" s="71" t="b">
        <v>0</v>
      </c>
      <c r="BE241" t="s">
        <v>242</v>
      </c>
      <c r="BF241">
        <v>1</v>
      </c>
      <c r="BG241">
        <v>200</v>
      </c>
      <c r="BH241">
        <v>80</v>
      </c>
      <c r="BI241" s="74">
        <f ca="1">INDIRECT(ADDRESS(11+(MATCH(RIGHT(Table610[[#This Row],[spawner_sku]],LEN(Table610[[#This Row],[spawner_sku]])-FIND("/",Table610[[#This Row],[spawner_sku]])),Table1[Entity Prefab],0)),10,1,1,"Entities"))</f>
        <v>25</v>
      </c>
      <c r="BJ241" s="74">
        <f ca="1">ROUND((Table610[[#This Row],[XP]]*Table610[[#This Row],[entity_spawned (AVG)]])*(Table610[[#This Row],[activating_chance]]/100),0)</f>
        <v>20</v>
      </c>
      <c r="BK241" s="71" t="str">
        <f ca="1">INDIRECT(ADDRESS(11+(MATCH(RIGHT(Table610[[#This Row],[spawner_sku]],LEN(Table610[[#This Row],[spawner_sku]])-FIND("/",Table610[[#This Row],[spawner_sku]])),Table28[Entity Prefab],0)),24,1,1,"Entities"))</f>
        <v>no</v>
      </c>
      <c r="BL241">
        <v>1</v>
      </c>
      <c r="BM241">
        <v>1</v>
      </c>
      <c r="BN241" t="b">
        <v>0</v>
      </c>
      <c r="BP241" t="s">
        <v>447</v>
      </c>
      <c r="BQ241">
        <v>1</v>
      </c>
      <c r="BR241">
        <v>260</v>
      </c>
      <c r="BS241">
        <v>100</v>
      </c>
      <c r="BT241" s="74">
        <f ca="1">INDIRECT(ADDRESS(11+(MATCH(RIGHT(Table61011[[#This Row],[spawner_sku]],LEN(Table61011[[#This Row],[spawner_sku]])-FIND("/",Table61011[[#This Row],[spawner_sku]])),Table1[Entity Prefab],0)),10,1,1,"Entities"))</f>
        <v>105</v>
      </c>
      <c r="BU241" s="74">
        <f ca="1">ROUND((Table61011[[#This Row],[XP]]*Table61011[[#This Row],[entity_spawned (AVG)]])*(Table61011[[#This Row],[activating_chance]]/100),0)</f>
        <v>105</v>
      </c>
      <c r="BV241" s="71" t="str">
        <f ca="1">INDIRECT(ADDRESS(11+(MATCH(RIGHT(Table61011[[#This Row],[spawner_sku]],LEN(Table61011[[#This Row],[spawner_sku]])-FIND("/",Table61011[[#This Row],[spawner_sku]])),Table28[Entity Prefab],0)),24,1,1,"Entities"))</f>
        <v>yes</v>
      </c>
      <c r="BW241" s="71">
        <v>1</v>
      </c>
      <c r="BX241" s="71">
        <v>1</v>
      </c>
      <c r="BY241" s="71" t="b">
        <v>0</v>
      </c>
      <c r="BZ241" s="71"/>
      <c r="CA241" s="147" t="s">
        <v>3816</v>
      </c>
      <c r="CB241">
        <v>1</v>
      </c>
      <c r="CC241">
        <v>240</v>
      </c>
      <c r="CD241">
        <v>100</v>
      </c>
      <c r="CE241" s="74">
        <f ca="1">INDIRECT(ADDRESS(11+(MATCH(RIGHT(Table35[[#This Row],[spawner_sku]],LEN(Table35[[#This Row],[spawner_sku]])-FIND("/",Table35[[#This Row],[spawner_sku]])),Table1[Entity Prefab],0)),10,1,1,"Entities"))</f>
        <v>50</v>
      </c>
      <c r="CF241" s="74">
        <f ca="1">ROUND((Table35[[#This Row],[XP]]*Table35[[#This Row],[entity_spawned (AVG)]])*(Table35[[#This Row],[activating_chance]]/100),0)</f>
        <v>50</v>
      </c>
      <c r="CG241" s="144" t="str">
        <f ca="1">INDIRECT(ADDRESS(11+(MATCH(RIGHT(Table35[[#This Row],[spawner_sku]],LEN(Table35[[#This Row],[spawner_sku]])-FIND("/",Table35[[#This Row],[spawner_sku]])),Table28[Entity Prefab],0)),24,1,1,"Entities"))</f>
        <v>no</v>
      </c>
      <c r="CH241">
        <v>1</v>
      </c>
      <c r="CI241">
        <v>1</v>
      </c>
      <c r="CJ241" s="71" t="b">
        <v>0</v>
      </c>
      <c r="CL241" t="s">
        <v>231</v>
      </c>
      <c r="CM241">
        <v>1</v>
      </c>
      <c r="CN241">
        <v>220</v>
      </c>
      <c r="CO241">
        <v>100</v>
      </c>
      <c r="CP241" s="74">
        <f ca="1">INDIRECT(ADDRESS(11+(MATCH(RIGHT(Table11[[#This Row],[spawner_sku]],LEN(Table11[[#This Row],[spawner_sku]])-FIND("/",Table11[[#This Row],[spawner_sku]])),Table1[Entity Prefab],0)),10,1,1,"Entities"))</f>
        <v>25</v>
      </c>
      <c r="CQ241">
        <f ca="1">ROUND((Table11[[#This Row],[XP]]*Table11[[#This Row],[entity_spawned (AVG)]])*(Table11[[#This Row],[activating_chance]]/100),0)</f>
        <v>25</v>
      </c>
      <c r="CR241" s="144" t="str">
        <f ca="1">INDIRECT(ADDRESS(11+(MATCH(RIGHT(Table11[[#This Row],[spawner_sku]],LEN(Table11[[#This Row],[spawner_sku]])-FIND("/",Table11[[#This Row],[spawner_sku]])),Table28[Entity Prefab],0)),25,1,1,"Entities"))</f>
        <v>no</v>
      </c>
      <c r="CS241" s="71">
        <v>1</v>
      </c>
      <c r="CT241" s="71">
        <v>1</v>
      </c>
      <c r="CU241" s="71" t="b">
        <v>0</v>
      </c>
      <c r="CW241" t="s">
        <v>365</v>
      </c>
      <c r="CX241">
        <v>1</v>
      </c>
      <c r="CY241">
        <v>170</v>
      </c>
      <c r="CZ241">
        <v>100</v>
      </c>
      <c r="DA241" s="74">
        <f ca="1">INDIRECT(ADDRESS(11+(MATCH(RIGHT(Table12[[#This Row],[spawner_sku]],LEN(Table12[[#This Row],[spawner_sku]])-FIND("/",Table12[[#This Row],[spawner_sku]])),Table1[Entity Prefab],0)),10,1,1,"Entities"))</f>
        <v>28</v>
      </c>
      <c r="DB241" s="74">
        <f ca="1">ROUND((Table12[[#This Row],[XP]]*Table12[[#This Row],[entity_spawned (AVG)]])*(Table12[[#This Row],[activating_chance]]/100),0)</f>
        <v>28</v>
      </c>
      <c r="DC241" s="144" t="str">
        <f ca="1">INDIRECT(ADDRESS(11+(MATCH(RIGHT(Table12[[#This Row],[spawner_sku]],LEN(Table12[[#This Row],[spawner_sku]])-FIND("/",Table12[[#This Row],[spawner_sku]])),Table28[Entity Prefab],0)),25,1,1,"Entities"))</f>
        <v>yes</v>
      </c>
      <c r="DD241" s="71">
        <v>1</v>
      </c>
      <c r="DE241" s="71">
        <v>1</v>
      </c>
      <c r="DF241" s="71" t="b">
        <v>0</v>
      </c>
      <c r="DH241" t="s">
        <v>243</v>
      </c>
      <c r="DI241">
        <v>1</v>
      </c>
      <c r="DJ241">
        <v>150</v>
      </c>
      <c r="DK241">
        <v>80</v>
      </c>
      <c r="DL241" s="74">
        <f ca="1">INDIRECT(ADDRESS(11+(MATCH(RIGHT(Table13[[#This Row],[spawner_sku]],LEN(Table13[[#This Row],[spawner_sku]])-FIND("/",Table13[[#This Row],[spawner_sku]])),Table1[Entity Prefab],0)),10,1,1,"Entities"))</f>
        <v>25</v>
      </c>
      <c r="DM241" s="74">
        <f ca="1">ROUND((Table13[[#This Row],[XP]]*Table13[[#This Row],[entity_spawned (AVG)]])*(Table13[[#This Row],[activating_chance]]/100),0)</f>
        <v>20</v>
      </c>
      <c r="DN241" s="144" t="str">
        <f ca="1">INDIRECT(ADDRESS(11+(MATCH(RIGHT(Table13[[#This Row],[spawner_sku]],LEN(Table13[[#This Row],[spawner_sku]])-FIND("/",Table13[[#This Row],[spawner_sku]])),Table28[Entity Prefab],0)),25,1,1,"Entities"))</f>
        <v>no</v>
      </c>
      <c r="DO241" s="71">
        <v>1</v>
      </c>
      <c r="DP241" s="71">
        <v>1</v>
      </c>
      <c r="DQ241" s="71" t="b">
        <v>0</v>
      </c>
      <c r="DS241" t="s">
        <v>512</v>
      </c>
      <c r="DT241">
        <v>1</v>
      </c>
      <c r="DU241">
        <v>240</v>
      </c>
      <c r="DV241">
        <v>100</v>
      </c>
      <c r="DW241" s="74">
        <f ca="1">INDIRECT(ADDRESS(11+(MATCH(RIGHT(Table14[[#This Row],[spawner_sku]],LEN(Table14[[#This Row],[spawner_sku]])-FIND("/",Table14[[#This Row],[spawner_sku]])),Table1[Entity Prefab],0)),10,1,1,"Entities"))</f>
        <v>105</v>
      </c>
      <c r="DX241" s="74">
        <f ca="1">ROUND((Table14[[#This Row],[XP]]*Table14[[#This Row],[entity_spawned (AVG)]])*(Table14[[#This Row],[activating_chance]]/100),0)</f>
        <v>105</v>
      </c>
      <c r="DY241" s="144" t="str">
        <f ca="1">INDIRECT(ADDRESS(11+(MATCH(RIGHT(Table14[[#This Row],[spawner_sku]],LEN(Table14[[#This Row],[spawner_sku]])-FIND("/",Table14[[#This Row],[spawner_sku]])),Table28[Entity Prefab],0)),25,1,1,"Entities"))</f>
        <v>yes</v>
      </c>
      <c r="DZ241" s="71">
        <v>1</v>
      </c>
      <c r="EA241" s="71">
        <v>1</v>
      </c>
      <c r="EB241" s="71" t="b">
        <v>0</v>
      </c>
      <c r="EC241" s="71"/>
      <c r="EO241" t="s">
        <v>571</v>
      </c>
      <c r="EP241">
        <v>1</v>
      </c>
      <c r="EQ241">
        <v>120</v>
      </c>
      <c r="ER241">
        <v>80</v>
      </c>
      <c r="ES241" s="74">
        <f ca="1">INDIRECT(ADDRESS(11+(MATCH(RIGHT(Table18[[#This Row],[spawner_sku]],LEN(Table18[[#This Row],[spawner_sku]])-FIND("/",Table18[[#This Row],[spawner_sku]])),Table1[Entity Prefab],0)),10,1,1,"Entities"))</f>
        <v>35</v>
      </c>
      <c r="ET241" s="74">
        <f ca="1">ROUND((Table18[[#This Row],[XP]]*Table18[[#This Row],[entity_spawned (AVG)]])*(Table18[[#This Row],[activating_chance]]/100),0)</f>
        <v>28</v>
      </c>
      <c r="EU241" s="74" t="str">
        <f ca="1">INDIRECT(ADDRESS(11+(MATCH(RIGHT(Table18[[#This Row],[spawner_sku]],LEN(Table18[[#This Row],[spawner_sku]])-FIND("/",Table18[[#This Row],[spawner_sku]])),Table28[Entity Prefab],0)),26,1,1,"Entities"))</f>
        <v>no</v>
      </c>
      <c r="EV241">
        <v>1</v>
      </c>
      <c r="EW241">
        <v>1</v>
      </c>
      <c r="EX241" t="b">
        <v>0</v>
      </c>
      <c r="EZ241" t="s">
        <v>242</v>
      </c>
      <c r="FA241">
        <v>2.5</v>
      </c>
      <c r="FB241">
        <v>150</v>
      </c>
      <c r="FC241">
        <v>100</v>
      </c>
      <c r="FD241" s="74">
        <f ca="1">INDIRECT(ADDRESS(11+(MATCH(RIGHT(Table1820[[#This Row],[spawner_sku]],LEN(Table1820[[#This Row],[spawner_sku]])-FIND("/",Table1820[[#This Row],[spawner_sku]])),Table1[Entity Prefab],0)),10,1,1,"Entities"))</f>
        <v>25</v>
      </c>
      <c r="FE241" s="74">
        <f ca="1">ROUND((Table1820[[#This Row],[XP]]*Table1820[[#This Row],[entity_spawned (AVG)]])*(Table1820[[#This Row],[activating_chance]]/100),0)</f>
        <v>63</v>
      </c>
      <c r="FF241" s="74" t="str">
        <f ca="1">INDIRECT(ADDRESS(11+(MATCH(RIGHT(Table1820[[#This Row],[spawner_sku]],LEN(Table1820[[#This Row],[spawner_sku]])-FIND("/",Table1820[[#This Row],[spawner_sku]])),Table28[Entity Prefab],0)),26,1,1,"Entities"))</f>
        <v>no</v>
      </c>
      <c r="FG241">
        <v>2</v>
      </c>
      <c r="FH241">
        <v>3</v>
      </c>
      <c r="FI241" t="b">
        <v>0</v>
      </c>
    </row>
    <row r="242" spans="2:165" x14ac:dyDescent="0.25">
      <c r="B242" s="72" t="s">
        <v>320</v>
      </c>
      <c r="C242">
        <v>1</v>
      </c>
      <c r="D242">
        <v>250</v>
      </c>
      <c r="E242">
        <v>100</v>
      </c>
      <c r="F242" s="74">
        <f ca="1">INDIRECT(ADDRESS(11+(MATCH(RIGHT(Table245[[#This Row],[spawner_sku]],LEN(Table245[[#This Row],[spawner_sku]])-FIND("/",Table245[[#This Row],[spawner_sku]])),Table1[Entity Prefab],0)),10,1,1,"Entities"))</f>
        <v>143</v>
      </c>
      <c r="G242" s="74">
        <f ca="1">ROUND((Table245[[#This Row],[XP]]*Table245[[#This Row],[entity_spawned (AVG)]])*(Table245[[#This Row],[activating_chance]]/100),0)</f>
        <v>143</v>
      </c>
      <c r="H242" s="71" t="str">
        <f ca="1">INDIRECT(ADDRESS(11+(MATCH(RIGHT(Table245[[#This Row],[spawner_sku]],LEN(Table245[[#This Row],[spawner_sku]])-FIND("/",Table245[[#This Row],[spawner_sku]])),Table28[Entity Prefab],0)),24,1,1,"Entities"))</f>
        <v>yes</v>
      </c>
      <c r="I242" s="71">
        <v>1</v>
      </c>
      <c r="J242" s="71">
        <v>1</v>
      </c>
      <c r="K242" s="71" t="b">
        <v>0</v>
      </c>
      <c r="M242" t="s">
        <v>242</v>
      </c>
      <c r="N242">
        <v>1</v>
      </c>
      <c r="O242">
        <v>170</v>
      </c>
      <c r="P242">
        <v>100</v>
      </c>
      <c r="Q242" s="74">
        <f ca="1">INDIRECT(ADDRESS(11+(MATCH(RIGHT(Table3[[#This Row],[spawner_sku]],LEN(Table3[[#This Row],[spawner_sku]])-FIND("/",Table3[[#This Row],[spawner_sku]])),Table1[Entity Prefab],0)),10,1,1,"Entities"))</f>
        <v>25</v>
      </c>
      <c r="R242" s="74">
        <f ca="1">ROUND((Table3[[#This Row],[XP]]*Table3[[#This Row],[entity_spawned (AVG)]])*(Table3[[#This Row],[activating_chance]]/100),0)</f>
        <v>25</v>
      </c>
      <c r="S242" t="str">
        <f ca="1">INDIRECT(ADDRESS(11+(MATCH(RIGHT(Table3[[#This Row],[spawner_sku]],LEN(Table3[[#This Row],[spawner_sku]])-FIND("/",Table3[[#This Row],[spawner_sku]])),Table28[Entity Prefab],0)),24,1,1,"Entities"))</f>
        <v>no</v>
      </c>
      <c r="T242">
        <v>1</v>
      </c>
      <c r="U242">
        <v>1</v>
      </c>
      <c r="V242" t="b">
        <v>0</v>
      </c>
      <c r="AI242" t="s">
        <v>369</v>
      </c>
      <c r="AJ242">
        <v>1</v>
      </c>
      <c r="AK242">
        <v>220</v>
      </c>
      <c r="AL242">
        <v>100</v>
      </c>
      <c r="AM242" s="74">
        <f ca="1">INDIRECT(ADDRESS(11+(MATCH(RIGHT(Table2[[#This Row],[spawner_sku]],LEN(Table2[[#This Row],[spawner_sku]])-FIND("/",Table2[[#This Row],[spawner_sku]])),Table1[Entity Prefab],0)),10,1,1,"Entities"))</f>
        <v>75</v>
      </c>
      <c r="AN242" s="74">
        <f ca="1">ROUND((Table2[[#This Row],[XP]]*Table2[[#This Row],[entity_spawned (AVG)]])*(Table2[[#This Row],[activating_chance]]/100),0)</f>
        <v>75</v>
      </c>
      <c r="AO242" s="71" t="str">
        <f ca="1">INDIRECT(ADDRESS(11+(MATCH(RIGHT(Table2[[#This Row],[spawner_sku]],LEN(Table2[[#This Row],[spawner_sku]])-FIND("/",Table2[[#This Row],[spawner_sku]])),Table28[Entity Prefab],0)),24,1,1,"Entities"))</f>
        <v>yes</v>
      </c>
      <c r="AP242" s="71">
        <v>1</v>
      </c>
      <c r="AQ242" s="71">
        <v>1</v>
      </c>
      <c r="AR242" s="71" t="b">
        <v>0</v>
      </c>
      <c r="BE242" t="s">
        <v>242</v>
      </c>
      <c r="BF242">
        <v>1</v>
      </c>
      <c r="BG242">
        <v>200</v>
      </c>
      <c r="BH242">
        <v>40</v>
      </c>
      <c r="BI242" s="74">
        <f ca="1">INDIRECT(ADDRESS(11+(MATCH(RIGHT(Table610[[#This Row],[spawner_sku]],LEN(Table610[[#This Row],[spawner_sku]])-FIND("/",Table610[[#This Row],[spawner_sku]])),Table1[Entity Prefab],0)),10,1,1,"Entities"))</f>
        <v>25</v>
      </c>
      <c r="BJ242" s="74">
        <f ca="1">ROUND((Table610[[#This Row],[XP]]*Table610[[#This Row],[entity_spawned (AVG)]])*(Table610[[#This Row],[activating_chance]]/100),0)</f>
        <v>10</v>
      </c>
      <c r="BK242" s="71" t="str">
        <f ca="1">INDIRECT(ADDRESS(11+(MATCH(RIGHT(Table610[[#This Row],[spawner_sku]],LEN(Table610[[#This Row],[spawner_sku]])-FIND("/",Table610[[#This Row],[spawner_sku]])),Table28[Entity Prefab],0)),24,1,1,"Entities"))</f>
        <v>no</v>
      </c>
      <c r="BL242">
        <v>1</v>
      </c>
      <c r="BM242">
        <v>1</v>
      </c>
      <c r="BN242" t="b">
        <v>0</v>
      </c>
      <c r="BP242" t="s">
        <v>447</v>
      </c>
      <c r="BQ242">
        <v>1</v>
      </c>
      <c r="BR242">
        <v>260</v>
      </c>
      <c r="BS242">
        <v>100</v>
      </c>
      <c r="BT242" s="74">
        <f ca="1">INDIRECT(ADDRESS(11+(MATCH(RIGHT(Table61011[[#This Row],[spawner_sku]],LEN(Table61011[[#This Row],[spawner_sku]])-FIND("/",Table61011[[#This Row],[spawner_sku]])),Table1[Entity Prefab],0)),10,1,1,"Entities"))</f>
        <v>105</v>
      </c>
      <c r="BU242" s="74">
        <f ca="1">ROUND((Table61011[[#This Row],[XP]]*Table61011[[#This Row],[entity_spawned (AVG)]])*(Table61011[[#This Row],[activating_chance]]/100),0)</f>
        <v>105</v>
      </c>
      <c r="BV242" s="71" t="str">
        <f ca="1">INDIRECT(ADDRESS(11+(MATCH(RIGHT(Table61011[[#This Row],[spawner_sku]],LEN(Table61011[[#This Row],[spawner_sku]])-FIND("/",Table61011[[#This Row],[spawner_sku]])),Table28[Entity Prefab],0)),24,1,1,"Entities"))</f>
        <v>yes</v>
      </c>
      <c r="BW242" s="71">
        <v>1</v>
      </c>
      <c r="BX242" s="71">
        <v>1</v>
      </c>
      <c r="BY242" s="71" t="b">
        <v>0</v>
      </c>
      <c r="BZ242" s="71"/>
      <c r="CA242" s="147" t="s">
        <v>3816</v>
      </c>
      <c r="CB242">
        <v>1</v>
      </c>
      <c r="CC242">
        <v>240</v>
      </c>
      <c r="CD242">
        <v>100</v>
      </c>
      <c r="CE242" s="74">
        <f ca="1">INDIRECT(ADDRESS(11+(MATCH(RIGHT(Table35[[#This Row],[spawner_sku]],LEN(Table35[[#This Row],[spawner_sku]])-FIND("/",Table35[[#This Row],[spawner_sku]])),Table1[Entity Prefab],0)),10,1,1,"Entities"))</f>
        <v>50</v>
      </c>
      <c r="CF242" s="74">
        <f ca="1">ROUND((Table35[[#This Row],[XP]]*Table35[[#This Row],[entity_spawned (AVG)]])*(Table35[[#This Row],[activating_chance]]/100),0)</f>
        <v>50</v>
      </c>
      <c r="CG242" s="144" t="str">
        <f ca="1">INDIRECT(ADDRESS(11+(MATCH(RIGHT(Table35[[#This Row],[spawner_sku]],LEN(Table35[[#This Row],[spawner_sku]])-FIND("/",Table35[[#This Row],[spawner_sku]])),Table28[Entity Prefab],0)),24,1,1,"Entities"))</f>
        <v>no</v>
      </c>
      <c r="CH242">
        <v>1</v>
      </c>
      <c r="CI242">
        <v>1</v>
      </c>
      <c r="CJ242" s="71" t="b">
        <v>0</v>
      </c>
      <c r="CL242" t="s">
        <v>231</v>
      </c>
      <c r="CM242">
        <v>1</v>
      </c>
      <c r="CN242">
        <v>220</v>
      </c>
      <c r="CO242">
        <v>80</v>
      </c>
      <c r="CP242" s="74">
        <f ca="1">INDIRECT(ADDRESS(11+(MATCH(RIGHT(Table11[[#This Row],[spawner_sku]],LEN(Table11[[#This Row],[spawner_sku]])-FIND("/",Table11[[#This Row],[spawner_sku]])),Table1[Entity Prefab],0)),10,1,1,"Entities"))</f>
        <v>25</v>
      </c>
      <c r="CQ242">
        <f ca="1">ROUND((Table11[[#This Row],[XP]]*Table11[[#This Row],[entity_spawned (AVG)]])*(Table11[[#This Row],[activating_chance]]/100),0)</f>
        <v>20</v>
      </c>
      <c r="CR242" s="144" t="str">
        <f ca="1">INDIRECT(ADDRESS(11+(MATCH(RIGHT(Table11[[#This Row],[spawner_sku]],LEN(Table11[[#This Row],[spawner_sku]])-FIND("/",Table11[[#This Row],[spawner_sku]])),Table28[Entity Prefab],0)),25,1,1,"Entities"))</f>
        <v>no</v>
      </c>
      <c r="CS242" s="71">
        <v>1</v>
      </c>
      <c r="CT242" s="71">
        <v>1</v>
      </c>
      <c r="CU242" s="71" t="b">
        <v>0</v>
      </c>
      <c r="CW242" t="s">
        <v>365</v>
      </c>
      <c r="CX242">
        <v>1.5</v>
      </c>
      <c r="CY242">
        <v>170</v>
      </c>
      <c r="CZ242">
        <v>100</v>
      </c>
      <c r="DA242" s="74">
        <f ca="1">INDIRECT(ADDRESS(11+(MATCH(RIGHT(Table12[[#This Row],[spawner_sku]],LEN(Table12[[#This Row],[spawner_sku]])-FIND("/",Table12[[#This Row],[spawner_sku]])),Table1[Entity Prefab],0)),10,1,1,"Entities"))</f>
        <v>28</v>
      </c>
      <c r="DB242" s="74">
        <f ca="1">ROUND((Table12[[#This Row],[XP]]*Table12[[#This Row],[entity_spawned (AVG)]])*(Table12[[#This Row],[activating_chance]]/100),0)</f>
        <v>42</v>
      </c>
      <c r="DC242" s="144" t="str">
        <f ca="1">INDIRECT(ADDRESS(11+(MATCH(RIGHT(Table12[[#This Row],[spawner_sku]],LEN(Table12[[#This Row],[spawner_sku]])-FIND("/",Table12[[#This Row],[spawner_sku]])),Table28[Entity Prefab],0)),25,1,1,"Entities"))</f>
        <v>yes</v>
      </c>
      <c r="DD242" s="71">
        <v>1</v>
      </c>
      <c r="DE242" s="71">
        <v>2</v>
      </c>
      <c r="DF242" s="71" t="b">
        <v>0</v>
      </c>
      <c r="DH242" t="s">
        <v>243</v>
      </c>
      <c r="DI242">
        <v>1</v>
      </c>
      <c r="DJ242">
        <v>150</v>
      </c>
      <c r="DK242">
        <v>30</v>
      </c>
      <c r="DL242" s="74">
        <f ca="1">INDIRECT(ADDRESS(11+(MATCH(RIGHT(Table13[[#This Row],[spawner_sku]],LEN(Table13[[#This Row],[spawner_sku]])-FIND("/",Table13[[#This Row],[spawner_sku]])),Table1[Entity Prefab],0)),10,1,1,"Entities"))</f>
        <v>25</v>
      </c>
      <c r="DM242" s="74">
        <f ca="1">ROUND((Table13[[#This Row],[XP]]*Table13[[#This Row],[entity_spawned (AVG)]])*(Table13[[#This Row],[activating_chance]]/100),0)</f>
        <v>8</v>
      </c>
      <c r="DN242" s="144" t="str">
        <f ca="1">INDIRECT(ADDRESS(11+(MATCH(RIGHT(Table13[[#This Row],[spawner_sku]],LEN(Table13[[#This Row],[spawner_sku]])-FIND("/",Table13[[#This Row],[spawner_sku]])),Table28[Entity Prefab],0)),25,1,1,"Entities"))</f>
        <v>no</v>
      </c>
      <c r="DO242" s="71">
        <v>1</v>
      </c>
      <c r="DP242" s="71">
        <v>1</v>
      </c>
      <c r="DQ242" s="71" t="b">
        <v>0</v>
      </c>
      <c r="DS242" t="s">
        <v>512</v>
      </c>
      <c r="DT242">
        <v>1</v>
      </c>
      <c r="DU242">
        <v>220</v>
      </c>
      <c r="DV242">
        <v>40</v>
      </c>
      <c r="DW242" s="74">
        <f ca="1">INDIRECT(ADDRESS(11+(MATCH(RIGHT(Table14[[#This Row],[spawner_sku]],LEN(Table14[[#This Row],[spawner_sku]])-FIND("/",Table14[[#This Row],[spawner_sku]])),Table1[Entity Prefab],0)),10,1,1,"Entities"))</f>
        <v>105</v>
      </c>
      <c r="DX242" s="74">
        <f ca="1">ROUND((Table14[[#This Row],[XP]]*Table14[[#This Row],[entity_spawned (AVG)]])*(Table14[[#This Row],[activating_chance]]/100),0)</f>
        <v>42</v>
      </c>
      <c r="DY242" s="144" t="str">
        <f ca="1">INDIRECT(ADDRESS(11+(MATCH(RIGHT(Table14[[#This Row],[spawner_sku]],LEN(Table14[[#This Row],[spawner_sku]])-FIND("/",Table14[[#This Row],[spawner_sku]])),Table28[Entity Prefab],0)),25,1,1,"Entities"))</f>
        <v>yes</v>
      </c>
      <c r="DZ242" s="71">
        <v>1</v>
      </c>
      <c r="EA242" s="71">
        <v>1</v>
      </c>
      <c r="EB242" s="71" t="b">
        <v>0</v>
      </c>
      <c r="EC242" s="71"/>
      <c r="EO242" t="s">
        <v>571</v>
      </c>
      <c r="EP242">
        <v>1</v>
      </c>
      <c r="EQ242">
        <v>120</v>
      </c>
      <c r="ER242">
        <v>100</v>
      </c>
      <c r="ES242" s="74">
        <f ca="1">INDIRECT(ADDRESS(11+(MATCH(RIGHT(Table18[[#This Row],[spawner_sku]],LEN(Table18[[#This Row],[spawner_sku]])-FIND("/",Table18[[#This Row],[spawner_sku]])),Table1[Entity Prefab],0)),10,1,1,"Entities"))</f>
        <v>35</v>
      </c>
      <c r="ET242" s="74">
        <f ca="1">ROUND((Table18[[#This Row],[XP]]*Table18[[#This Row],[entity_spawned (AVG)]])*(Table18[[#This Row],[activating_chance]]/100),0)</f>
        <v>35</v>
      </c>
      <c r="EU242" s="74" t="str">
        <f ca="1">INDIRECT(ADDRESS(11+(MATCH(RIGHT(Table18[[#This Row],[spawner_sku]],LEN(Table18[[#This Row],[spawner_sku]])-FIND("/",Table18[[#This Row],[spawner_sku]])),Table28[Entity Prefab],0)),26,1,1,"Entities"))</f>
        <v>no</v>
      </c>
      <c r="EV242">
        <v>1</v>
      </c>
      <c r="EW242">
        <v>1</v>
      </c>
      <c r="EX242" t="b">
        <v>0</v>
      </c>
      <c r="EZ242" t="s">
        <v>242</v>
      </c>
      <c r="FA242">
        <v>2.5</v>
      </c>
      <c r="FB242">
        <v>150</v>
      </c>
      <c r="FC242">
        <v>80</v>
      </c>
      <c r="FD242" s="74">
        <f ca="1">INDIRECT(ADDRESS(11+(MATCH(RIGHT(Table1820[[#This Row],[spawner_sku]],LEN(Table1820[[#This Row],[spawner_sku]])-FIND("/",Table1820[[#This Row],[spawner_sku]])),Table1[Entity Prefab],0)),10,1,1,"Entities"))</f>
        <v>25</v>
      </c>
      <c r="FE242" s="74">
        <f ca="1">ROUND((Table1820[[#This Row],[XP]]*Table1820[[#This Row],[entity_spawned (AVG)]])*(Table1820[[#This Row],[activating_chance]]/100),0)</f>
        <v>50</v>
      </c>
      <c r="FF242" s="74" t="str">
        <f ca="1">INDIRECT(ADDRESS(11+(MATCH(RIGHT(Table1820[[#This Row],[spawner_sku]],LEN(Table1820[[#This Row],[spawner_sku]])-FIND("/",Table1820[[#This Row],[spawner_sku]])),Table28[Entity Prefab],0)),26,1,1,"Entities"))</f>
        <v>no</v>
      </c>
      <c r="FG242">
        <v>2</v>
      </c>
      <c r="FH242">
        <v>3</v>
      </c>
      <c r="FI242" t="b">
        <v>0</v>
      </c>
    </row>
    <row r="243" spans="2:165" x14ac:dyDescent="0.25">
      <c r="B243" s="72" t="s">
        <v>320</v>
      </c>
      <c r="C243">
        <v>1</v>
      </c>
      <c r="D243">
        <v>280</v>
      </c>
      <c r="E243">
        <v>100</v>
      </c>
      <c r="F243" s="74">
        <f ca="1">INDIRECT(ADDRESS(11+(MATCH(RIGHT(Table245[[#This Row],[spawner_sku]],LEN(Table245[[#This Row],[spawner_sku]])-FIND("/",Table245[[#This Row],[spawner_sku]])),Table1[Entity Prefab],0)),10,1,1,"Entities"))</f>
        <v>143</v>
      </c>
      <c r="G243" s="74">
        <f ca="1">ROUND((Table245[[#This Row],[XP]]*Table245[[#This Row],[entity_spawned (AVG)]])*(Table245[[#This Row],[activating_chance]]/100),0)</f>
        <v>143</v>
      </c>
      <c r="H243" s="71" t="str">
        <f ca="1">INDIRECT(ADDRESS(11+(MATCH(RIGHT(Table245[[#This Row],[spawner_sku]],LEN(Table245[[#This Row],[spawner_sku]])-FIND("/",Table245[[#This Row],[spawner_sku]])),Table28[Entity Prefab],0)),24,1,1,"Entities"))</f>
        <v>yes</v>
      </c>
      <c r="I243" s="71">
        <v>1</v>
      </c>
      <c r="J243" s="71">
        <v>1</v>
      </c>
      <c r="K243" s="71" t="b">
        <v>0</v>
      </c>
      <c r="M243" t="s">
        <v>366</v>
      </c>
      <c r="N243">
        <v>5</v>
      </c>
      <c r="O243">
        <v>100</v>
      </c>
      <c r="P243">
        <v>100</v>
      </c>
      <c r="Q243" s="74">
        <f ca="1">INDIRECT(ADDRESS(11+(MATCH(RIGHT(Table3[[#This Row],[spawner_sku]],LEN(Table3[[#This Row],[spawner_sku]])-FIND("/",Table3[[#This Row],[spawner_sku]])),Table1[Entity Prefab],0)),10,1,1,"Entities"))</f>
        <v>25</v>
      </c>
      <c r="R243" s="74">
        <f ca="1">ROUND((Table3[[#This Row],[XP]]*Table3[[#This Row],[entity_spawned (AVG)]])*(Table3[[#This Row],[activating_chance]]/100),0)</f>
        <v>125</v>
      </c>
      <c r="S243" t="str">
        <f ca="1">INDIRECT(ADDRESS(11+(MATCH(RIGHT(Table3[[#This Row],[spawner_sku]],LEN(Table3[[#This Row],[spawner_sku]])-FIND("/",Table3[[#This Row],[spawner_sku]])),Table28[Entity Prefab],0)),24,1,1,"Entities"))</f>
        <v>no</v>
      </c>
      <c r="T243">
        <v>5</v>
      </c>
      <c r="U243">
        <v>5</v>
      </c>
      <c r="V243" t="b">
        <v>1</v>
      </c>
      <c r="AI243" t="s">
        <v>369</v>
      </c>
      <c r="AJ243">
        <v>1</v>
      </c>
      <c r="AK243">
        <v>150</v>
      </c>
      <c r="AL243">
        <v>100</v>
      </c>
      <c r="AM243" s="74">
        <f ca="1">INDIRECT(ADDRESS(11+(MATCH(RIGHT(Table2[[#This Row],[spawner_sku]],LEN(Table2[[#This Row],[spawner_sku]])-FIND("/",Table2[[#This Row],[spawner_sku]])),Table1[Entity Prefab],0)),10,1,1,"Entities"))</f>
        <v>75</v>
      </c>
      <c r="AN243" s="74">
        <f ca="1">ROUND((Table2[[#This Row],[XP]]*Table2[[#This Row],[entity_spawned (AVG)]])*(Table2[[#This Row],[activating_chance]]/100),0)</f>
        <v>75</v>
      </c>
      <c r="AO243" s="71" t="str">
        <f ca="1">INDIRECT(ADDRESS(11+(MATCH(RIGHT(Table2[[#This Row],[spawner_sku]],LEN(Table2[[#This Row],[spawner_sku]])-FIND("/",Table2[[#This Row],[spawner_sku]])),Table28[Entity Prefab],0)),24,1,1,"Entities"))</f>
        <v>yes</v>
      </c>
      <c r="AP243" s="71">
        <v>1</v>
      </c>
      <c r="AQ243" s="71">
        <v>1</v>
      </c>
      <c r="AR243" s="71" t="b">
        <v>0</v>
      </c>
      <c r="BE243" t="s">
        <v>242</v>
      </c>
      <c r="BF243">
        <v>2</v>
      </c>
      <c r="BG243">
        <v>170</v>
      </c>
      <c r="BH243">
        <v>100</v>
      </c>
      <c r="BI243" s="74">
        <f ca="1">INDIRECT(ADDRESS(11+(MATCH(RIGHT(Table610[[#This Row],[spawner_sku]],LEN(Table610[[#This Row],[spawner_sku]])-FIND("/",Table610[[#This Row],[spawner_sku]])),Table1[Entity Prefab],0)),10,1,1,"Entities"))</f>
        <v>25</v>
      </c>
      <c r="BJ243" s="74">
        <f ca="1">ROUND((Table610[[#This Row],[XP]]*Table610[[#This Row],[entity_spawned (AVG)]])*(Table610[[#This Row],[activating_chance]]/100),0)</f>
        <v>50</v>
      </c>
      <c r="BK243" s="71" t="str">
        <f ca="1">INDIRECT(ADDRESS(11+(MATCH(RIGHT(Table610[[#This Row],[spawner_sku]],LEN(Table610[[#This Row],[spawner_sku]])-FIND("/",Table610[[#This Row],[spawner_sku]])),Table28[Entity Prefab],0)),24,1,1,"Entities"))</f>
        <v>no</v>
      </c>
      <c r="BL243">
        <v>1</v>
      </c>
      <c r="BM243">
        <v>3</v>
      </c>
      <c r="BN243" t="b">
        <v>0</v>
      </c>
      <c r="BP243" t="s">
        <v>447</v>
      </c>
      <c r="BQ243">
        <v>1</v>
      </c>
      <c r="BR243">
        <v>260</v>
      </c>
      <c r="BS243">
        <v>100</v>
      </c>
      <c r="BT243" s="74">
        <f ca="1">INDIRECT(ADDRESS(11+(MATCH(RIGHT(Table61011[[#This Row],[spawner_sku]],LEN(Table61011[[#This Row],[spawner_sku]])-FIND("/",Table61011[[#This Row],[spawner_sku]])),Table1[Entity Prefab],0)),10,1,1,"Entities"))</f>
        <v>105</v>
      </c>
      <c r="BU243" s="74">
        <f ca="1">ROUND((Table61011[[#This Row],[XP]]*Table61011[[#This Row],[entity_spawned (AVG)]])*(Table61011[[#This Row],[activating_chance]]/100),0)</f>
        <v>105</v>
      </c>
      <c r="BV243" s="71" t="str">
        <f ca="1">INDIRECT(ADDRESS(11+(MATCH(RIGHT(Table61011[[#This Row],[spawner_sku]],LEN(Table61011[[#This Row],[spawner_sku]])-FIND("/",Table61011[[#This Row],[spawner_sku]])),Table28[Entity Prefab],0)),24,1,1,"Entities"))</f>
        <v>yes</v>
      </c>
      <c r="BW243" s="71">
        <v>1</v>
      </c>
      <c r="BX243" s="71">
        <v>1</v>
      </c>
      <c r="BY243" s="71" t="b">
        <v>0</v>
      </c>
      <c r="BZ243" s="71"/>
      <c r="CA243" s="147" t="s">
        <v>3816</v>
      </c>
      <c r="CB243">
        <v>1</v>
      </c>
      <c r="CC243">
        <v>240</v>
      </c>
      <c r="CD243">
        <v>100</v>
      </c>
      <c r="CE243" s="74">
        <f ca="1">INDIRECT(ADDRESS(11+(MATCH(RIGHT(Table35[[#This Row],[spawner_sku]],LEN(Table35[[#This Row],[spawner_sku]])-FIND("/",Table35[[#This Row],[spawner_sku]])),Table1[Entity Prefab],0)),10,1,1,"Entities"))</f>
        <v>50</v>
      </c>
      <c r="CF243" s="74">
        <f ca="1">ROUND((Table35[[#This Row],[XP]]*Table35[[#This Row],[entity_spawned (AVG)]])*(Table35[[#This Row],[activating_chance]]/100),0)</f>
        <v>50</v>
      </c>
      <c r="CG243" s="144" t="str">
        <f ca="1">INDIRECT(ADDRESS(11+(MATCH(RIGHT(Table35[[#This Row],[spawner_sku]],LEN(Table35[[#This Row],[spawner_sku]])-FIND("/",Table35[[#This Row],[spawner_sku]])),Table28[Entity Prefab],0)),24,1,1,"Entities"))</f>
        <v>no</v>
      </c>
      <c r="CH243">
        <v>1</v>
      </c>
      <c r="CI243">
        <v>1</v>
      </c>
      <c r="CJ243" s="71" t="b">
        <v>0</v>
      </c>
      <c r="CL243" t="s">
        <v>231</v>
      </c>
      <c r="CM243">
        <v>1</v>
      </c>
      <c r="CN243">
        <v>220</v>
      </c>
      <c r="CO243">
        <v>80</v>
      </c>
      <c r="CP243" s="74">
        <f ca="1">INDIRECT(ADDRESS(11+(MATCH(RIGHT(Table11[[#This Row],[spawner_sku]],LEN(Table11[[#This Row],[spawner_sku]])-FIND("/",Table11[[#This Row],[spawner_sku]])),Table1[Entity Prefab],0)),10,1,1,"Entities"))</f>
        <v>25</v>
      </c>
      <c r="CQ243">
        <f ca="1">ROUND((Table11[[#This Row],[XP]]*Table11[[#This Row],[entity_spawned (AVG)]])*(Table11[[#This Row],[activating_chance]]/100),0)</f>
        <v>20</v>
      </c>
      <c r="CR243" s="144" t="str">
        <f ca="1">INDIRECT(ADDRESS(11+(MATCH(RIGHT(Table11[[#This Row],[spawner_sku]],LEN(Table11[[#This Row],[spawner_sku]])-FIND("/",Table11[[#This Row],[spawner_sku]])),Table28[Entity Prefab],0)),25,1,1,"Entities"))</f>
        <v>no</v>
      </c>
      <c r="CS243" s="71">
        <v>1</v>
      </c>
      <c r="CT243" s="71">
        <v>1</v>
      </c>
      <c r="CU243" s="71" t="b">
        <v>0</v>
      </c>
      <c r="CW243" t="s">
        <v>365</v>
      </c>
      <c r="CX243">
        <v>2</v>
      </c>
      <c r="CY243">
        <v>170</v>
      </c>
      <c r="CZ243">
        <v>100</v>
      </c>
      <c r="DA243" s="74">
        <f ca="1">INDIRECT(ADDRESS(11+(MATCH(RIGHT(Table12[[#This Row],[spawner_sku]],LEN(Table12[[#This Row],[spawner_sku]])-FIND("/",Table12[[#This Row],[spawner_sku]])),Table1[Entity Prefab],0)),10,1,1,"Entities"))</f>
        <v>28</v>
      </c>
      <c r="DB243" s="74">
        <f ca="1">ROUND((Table12[[#This Row],[XP]]*Table12[[#This Row],[entity_spawned (AVG)]])*(Table12[[#This Row],[activating_chance]]/100),0)</f>
        <v>56</v>
      </c>
      <c r="DC243" s="144" t="str">
        <f ca="1">INDIRECT(ADDRESS(11+(MATCH(RIGHT(Table12[[#This Row],[spawner_sku]],LEN(Table12[[#This Row],[spawner_sku]])-FIND("/",Table12[[#This Row],[spawner_sku]])),Table28[Entity Prefab],0)),25,1,1,"Entities"))</f>
        <v>yes</v>
      </c>
      <c r="DD243" s="71">
        <v>2</v>
      </c>
      <c r="DE243" s="71">
        <v>2</v>
      </c>
      <c r="DF243" s="71" t="b">
        <v>0</v>
      </c>
      <c r="DH243" t="s">
        <v>243</v>
      </c>
      <c r="DI243">
        <v>1</v>
      </c>
      <c r="DJ243">
        <v>150</v>
      </c>
      <c r="DK243">
        <v>10</v>
      </c>
      <c r="DL243" s="74">
        <f ca="1">INDIRECT(ADDRESS(11+(MATCH(RIGHT(Table13[[#This Row],[spawner_sku]],LEN(Table13[[#This Row],[spawner_sku]])-FIND("/",Table13[[#This Row],[spawner_sku]])),Table1[Entity Prefab],0)),10,1,1,"Entities"))</f>
        <v>25</v>
      </c>
      <c r="DM243" s="74">
        <f ca="1">ROUND((Table13[[#This Row],[XP]]*Table13[[#This Row],[entity_spawned (AVG)]])*(Table13[[#This Row],[activating_chance]]/100),0)</f>
        <v>3</v>
      </c>
      <c r="DN243" s="144" t="str">
        <f ca="1">INDIRECT(ADDRESS(11+(MATCH(RIGHT(Table13[[#This Row],[spawner_sku]],LEN(Table13[[#This Row],[spawner_sku]])-FIND("/",Table13[[#This Row],[spawner_sku]])),Table28[Entity Prefab],0)),25,1,1,"Entities"))</f>
        <v>no</v>
      </c>
      <c r="DO243" s="71">
        <v>1</v>
      </c>
      <c r="DP243" s="71">
        <v>1</v>
      </c>
      <c r="DQ243" s="71" t="b">
        <v>0</v>
      </c>
      <c r="DS243" t="s">
        <v>512</v>
      </c>
      <c r="DT243">
        <v>1</v>
      </c>
      <c r="DU243">
        <v>240</v>
      </c>
      <c r="DV243">
        <v>100</v>
      </c>
      <c r="DW243" s="74">
        <f ca="1">INDIRECT(ADDRESS(11+(MATCH(RIGHT(Table14[[#This Row],[spawner_sku]],LEN(Table14[[#This Row],[spawner_sku]])-FIND("/",Table14[[#This Row],[spawner_sku]])),Table1[Entity Prefab],0)),10,1,1,"Entities"))</f>
        <v>105</v>
      </c>
      <c r="DX243" s="74">
        <f ca="1">ROUND((Table14[[#This Row],[XP]]*Table14[[#This Row],[entity_spawned (AVG)]])*(Table14[[#This Row],[activating_chance]]/100),0)</f>
        <v>105</v>
      </c>
      <c r="DY243" s="144" t="str">
        <f ca="1">INDIRECT(ADDRESS(11+(MATCH(RIGHT(Table14[[#This Row],[spawner_sku]],LEN(Table14[[#This Row],[spawner_sku]])-FIND("/",Table14[[#This Row],[spawner_sku]])),Table28[Entity Prefab],0)),25,1,1,"Entities"))</f>
        <v>yes</v>
      </c>
      <c r="DZ243" s="71">
        <v>1</v>
      </c>
      <c r="EA243" s="71">
        <v>1</v>
      </c>
      <c r="EB243" s="71" t="b">
        <v>0</v>
      </c>
      <c r="EC243" s="71"/>
      <c r="EO243" t="s">
        <v>571</v>
      </c>
      <c r="EP243">
        <v>1</v>
      </c>
      <c r="EQ243">
        <v>120</v>
      </c>
      <c r="ER243">
        <v>100</v>
      </c>
      <c r="ES243" s="74">
        <f ca="1">INDIRECT(ADDRESS(11+(MATCH(RIGHT(Table18[[#This Row],[spawner_sku]],LEN(Table18[[#This Row],[spawner_sku]])-FIND("/",Table18[[#This Row],[spawner_sku]])),Table1[Entity Prefab],0)),10,1,1,"Entities"))</f>
        <v>35</v>
      </c>
      <c r="ET243" s="74">
        <f ca="1">ROUND((Table18[[#This Row],[XP]]*Table18[[#This Row],[entity_spawned (AVG)]])*(Table18[[#This Row],[activating_chance]]/100),0)</f>
        <v>35</v>
      </c>
      <c r="EU243" s="74" t="str">
        <f ca="1">INDIRECT(ADDRESS(11+(MATCH(RIGHT(Table18[[#This Row],[spawner_sku]],LEN(Table18[[#This Row],[spawner_sku]])-FIND("/",Table18[[#This Row],[spawner_sku]])),Table28[Entity Prefab],0)),26,1,1,"Entities"))</f>
        <v>no</v>
      </c>
      <c r="EV243">
        <v>1</v>
      </c>
      <c r="EW243">
        <v>1</v>
      </c>
      <c r="EX243" t="b">
        <v>0</v>
      </c>
      <c r="EZ243" t="s">
        <v>3812</v>
      </c>
      <c r="FA243">
        <v>1</v>
      </c>
      <c r="FB243">
        <v>220</v>
      </c>
      <c r="FC243">
        <v>100</v>
      </c>
      <c r="FD243" s="74">
        <f ca="1">INDIRECT(ADDRESS(11+(MATCH(RIGHT(Table1820[[#This Row],[spawner_sku]],LEN(Table1820[[#This Row],[spawner_sku]])-FIND("/",Table1820[[#This Row],[spawner_sku]])),Table1[Entity Prefab],0)),10,1,1,"Entities"))</f>
        <v>0</v>
      </c>
      <c r="FE243" s="74">
        <f ca="1">ROUND((Table1820[[#This Row],[XP]]*Table1820[[#This Row],[entity_spawned (AVG)]])*(Table1820[[#This Row],[activating_chance]]/100),0)</f>
        <v>0</v>
      </c>
      <c r="FF243" s="74" t="str">
        <f ca="1">INDIRECT(ADDRESS(11+(MATCH(RIGHT(Table1820[[#This Row],[spawner_sku]],LEN(Table1820[[#This Row],[spawner_sku]])-FIND("/",Table1820[[#This Row],[spawner_sku]])),Table28[Entity Prefab],0)),26,1,1,"Entities"))</f>
        <v>no</v>
      </c>
      <c r="FG243">
        <v>1</v>
      </c>
      <c r="FH243">
        <v>1</v>
      </c>
      <c r="FI243" t="b">
        <v>0</v>
      </c>
    </row>
    <row r="244" spans="2:165" x14ac:dyDescent="0.25">
      <c r="B244" s="72" t="s">
        <v>320</v>
      </c>
      <c r="C244">
        <v>1</v>
      </c>
      <c r="D244">
        <v>240</v>
      </c>
      <c r="E244">
        <v>100</v>
      </c>
      <c r="F244" s="74">
        <f ca="1">INDIRECT(ADDRESS(11+(MATCH(RIGHT(Table245[[#This Row],[spawner_sku]],LEN(Table245[[#This Row],[spawner_sku]])-FIND("/",Table245[[#This Row],[spawner_sku]])),Table1[Entity Prefab],0)),10,1,1,"Entities"))</f>
        <v>143</v>
      </c>
      <c r="G244" s="74">
        <f ca="1">ROUND((Table245[[#This Row],[XP]]*Table245[[#This Row],[entity_spawned (AVG)]])*(Table245[[#This Row],[activating_chance]]/100),0)</f>
        <v>143</v>
      </c>
      <c r="H244" s="71" t="str">
        <f ca="1">INDIRECT(ADDRESS(11+(MATCH(RIGHT(Table245[[#This Row],[spawner_sku]],LEN(Table245[[#This Row],[spawner_sku]])-FIND("/",Table245[[#This Row],[spawner_sku]])),Table28[Entity Prefab],0)),24,1,1,"Entities"))</f>
        <v>yes</v>
      </c>
      <c r="I244" s="71">
        <v>1</v>
      </c>
      <c r="J244" s="71">
        <v>1</v>
      </c>
      <c r="K244" s="71" t="b">
        <v>0</v>
      </c>
      <c r="M244" t="s">
        <v>365</v>
      </c>
      <c r="N244">
        <v>1</v>
      </c>
      <c r="O244">
        <v>275</v>
      </c>
      <c r="P244">
        <v>100</v>
      </c>
      <c r="Q244" s="74">
        <f ca="1">INDIRECT(ADDRESS(11+(MATCH(RIGHT(Table3[[#This Row],[spawner_sku]],LEN(Table3[[#This Row],[spawner_sku]])-FIND("/",Table3[[#This Row],[spawner_sku]])),Table1[Entity Prefab],0)),10,1,1,"Entities"))</f>
        <v>28</v>
      </c>
      <c r="R244" s="74">
        <f ca="1">ROUND((Table3[[#This Row],[XP]]*Table3[[#This Row],[entity_spawned (AVG)]])*(Table3[[#This Row],[activating_chance]]/100),0)</f>
        <v>28</v>
      </c>
      <c r="S244" t="str">
        <f ca="1">INDIRECT(ADDRESS(11+(MATCH(RIGHT(Table3[[#This Row],[spawner_sku]],LEN(Table3[[#This Row],[spawner_sku]])-FIND("/",Table3[[#This Row],[spawner_sku]])),Table28[Entity Prefab],0)),24,1,1,"Entities"))</f>
        <v>yes</v>
      </c>
      <c r="T244">
        <v>1</v>
      </c>
      <c r="U244">
        <v>1</v>
      </c>
      <c r="V244" t="b">
        <v>0</v>
      </c>
      <c r="AI244" t="s">
        <v>369</v>
      </c>
      <c r="AJ244">
        <v>1</v>
      </c>
      <c r="AK244">
        <v>200</v>
      </c>
      <c r="AL244">
        <v>100</v>
      </c>
      <c r="AM244" s="74">
        <f ca="1">INDIRECT(ADDRESS(11+(MATCH(RIGHT(Table2[[#This Row],[spawner_sku]],LEN(Table2[[#This Row],[spawner_sku]])-FIND("/",Table2[[#This Row],[spawner_sku]])),Table1[Entity Prefab],0)),10,1,1,"Entities"))</f>
        <v>75</v>
      </c>
      <c r="AN244" s="74">
        <f ca="1">ROUND((Table2[[#This Row],[XP]]*Table2[[#This Row],[entity_spawned (AVG)]])*(Table2[[#This Row],[activating_chance]]/100),0)</f>
        <v>75</v>
      </c>
      <c r="AO244" s="71" t="str">
        <f ca="1">INDIRECT(ADDRESS(11+(MATCH(RIGHT(Table2[[#This Row],[spawner_sku]],LEN(Table2[[#This Row],[spawner_sku]])-FIND("/",Table2[[#This Row],[spawner_sku]])),Table28[Entity Prefab],0)),24,1,1,"Entities"))</f>
        <v>yes</v>
      </c>
      <c r="AP244" s="71">
        <v>1</v>
      </c>
      <c r="AQ244" s="71">
        <v>1</v>
      </c>
      <c r="AR244" s="71" t="b">
        <v>0</v>
      </c>
      <c r="BE244" t="s">
        <v>242</v>
      </c>
      <c r="BF244">
        <v>1</v>
      </c>
      <c r="BG244">
        <v>170</v>
      </c>
      <c r="BH244">
        <v>40</v>
      </c>
      <c r="BI244" s="74">
        <f ca="1">INDIRECT(ADDRESS(11+(MATCH(RIGHT(Table610[[#This Row],[spawner_sku]],LEN(Table610[[#This Row],[spawner_sku]])-FIND("/",Table610[[#This Row],[spawner_sku]])),Table1[Entity Prefab],0)),10,1,1,"Entities"))</f>
        <v>25</v>
      </c>
      <c r="BJ244" s="74">
        <f ca="1">ROUND((Table610[[#This Row],[XP]]*Table610[[#This Row],[entity_spawned (AVG)]])*(Table610[[#This Row],[activating_chance]]/100),0)</f>
        <v>10</v>
      </c>
      <c r="BK244" s="71" t="str">
        <f ca="1">INDIRECT(ADDRESS(11+(MATCH(RIGHT(Table610[[#This Row],[spawner_sku]],LEN(Table610[[#This Row],[spawner_sku]])-FIND("/",Table610[[#This Row],[spawner_sku]])),Table28[Entity Prefab],0)),24,1,1,"Entities"))</f>
        <v>no</v>
      </c>
      <c r="BL244">
        <v>1</v>
      </c>
      <c r="BM244">
        <v>1</v>
      </c>
      <c r="BN244" t="b">
        <v>0</v>
      </c>
      <c r="BP244" t="s">
        <v>447</v>
      </c>
      <c r="BQ244">
        <v>1</v>
      </c>
      <c r="BR244">
        <v>260</v>
      </c>
      <c r="BS244">
        <v>100</v>
      </c>
      <c r="BT244" s="74">
        <f ca="1">INDIRECT(ADDRESS(11+(MATCH(RIGHT(Table61011[[#This Row],[spawner_sku]],LEN(Table61011[[#This Row],[spawner_sku]])-FIND("/",Table61011[[#This Row],[spawner_sku]])),Table1[Entity Prefab],0)),10,1,1,"Entities"))</f>
        <v>105</v>
      </c>
      <c r="BU244" s="74">
        <f ca="1">ROUND((Table61011[[#This Row],[XP]]*Table61011[[#This Row],[entity_spawned (AVG)]])*(Table61011[[#This Row],[activating_chance]]/100),0)</f>
        <v>105</v>
      </c>
      <c r="BV244" s="71" t="str">
        <f ca="1">INDIRECT(ADDRESS(11+(MATCH(RIGHT(Table61011[[#This Row],[spawner_sku]],LEN(Table61011[[#This Row],[spawner_sku]])-FIND("/",Table61011[[#This Row],[spawner_sku]])),Table28[Entity Prefab],0)),24,1,1,"Entities"))</f>
        <v>yes</v>
      </c>
      <c r="BW244" s="71">
        <v>1</v>
      </c>
      <c r="BX244" s="71">
        <v>1</v>
      </c>
      <c r="BY244" s="71" t="b">
        <v>0</v>
      </c>
      <c r="BZ244" s="71"/>
      <c r="CA244" s="147" t="s">
        <v>3816</v>
      </c>
      <c r="CB244">
        <v>1</v>
      </c>
      <c r="CC244">
        <v>240</v>
      </c>
      <c r="CD244">
        <v>100</v>
      </c>
      <c r="CE244" s="74">
        <f ca="1">INDIRECT(ADDRESS(11+(MATCH(RIGHT(Table35[[#This Row],[spawner_sku]],LEN(Table35[[#This Row],[spawner_sku]])-FIND("/",Table35[[#This Row],[spawner_sku]])),Table1[Entity Prefab],0)),10,1,1,"Entities"))</f>
        <v>50</v>
      </c>
      <c r="CF244" s="74">
        <f ca="1">ROUND((Table35[[#This Row],[XP]]*Table35[[#This Row],[entity_spawned (AVG)]])*(Table35[[#This Row],[activating_chance]]/100),0)</f>
        <v>50</v>
      </c>
      <c r="CG244" s="144" t="str">
        <f ca="1">INDIRECT(ADDRESS(11+(MATCH(RIGHT(Table35[[#This Row],[spawner_sku]],LEN(Table35[[#This Row],[spawner_sku]])-FIND("/",Table35[[#This Row],[spawner_sku]])),Table28[Entity Prefab],0)),24,1,1,"Entities"))</f>
        <v>no</v>
      </c>
      <c r="CH244">
        <v>1</v>
      </c>
      <c r="CI244">
        <v>1</v>
      </c>
      <c r="CJ244" s="71" t="b">
        <v>0</v>
      </c>
      <c r="CL244" t="s">
        <v>428</v>
      </c>
      <c r="CM244">
        <v>1</v>
      </c>
      <c r="CN244">
        <v>280</v>
      </c>
      <c r="CO244">
        <v>100</v>
      </c>
      <c r="CP244" s="74">
        <f ca="1">INDIRECT(ADDRESS(11+(MATCH(RIGHT(Table11[[#This Row],[spawner_sku]],LEN(Table11[[#This Row],[spawner_sku]])-FIND("/",Table11[[#This Row],[spawner_sku]])),Table1[Entity Prefab],0)),10,1,1,"Entities"))</f>
        <v>70</v>
      </c>
      <c r="CQ244">
        <f ca="1">ROUND((Table11[[#This Row],[XP]]*Table11[[#This Row],[entity_spawned (AVG)]])*(Table11[[#This Row],[activating_chance]]/100),0)</f>
        <v>70</v>
      </c>
      <c r="CR244" s="144" t="str">
        <f ca="1">INDIRECT(ADDRESS(11+(MATCH(RIGHT(Table11[[#This Row],[spawner_sku]],LEN(Table11[[#This Row],[spawner_sku]])-FIND("/",Table11[[#This Row],[spawner_sku]])),Table28[Entity Prefab],0)),25,1,1,"Entities"))</f>
        <v>yes</v>
      </c>
      <c r="CS244" s="71">
        <v>1</v>
      </c>
      <c r="CT244" s="71">
        <v>1</v>
      </c>
      <c r="CU244" s="71" t="b">
        <v>0</v>
      </c>
      <c r="CW244" t="s">
        <v>365</v>
      </c>
      <c r="CX244">
        <v>1.5</v>
      </c>
      <c r="CY244">
        <v>170</v>
      </c>
      <c r="CZ244">
        <v>100</v>
      </c>
      <c r="DA244" s="74">
        <f ca="1">INDIRECT(ADDRESS(11+(MATCH(RIGHT(Table12[[#This Row],[spawner_sku]],LEN(Table12[[#This Row],[spawner_sku]])-FIND("/",Table12[[#This Row],[spawner_sku]])),Table1[Entity Prefab],0)),10,1,1,"Entities"))</f>
        <v>28</v>
      </c>
      <c r="DB244" s="74">
        <f ca="1">ROUND((Table12[[#This Row],[XP]]*Table12[[#This Row],[entity_spawned (AVG)]])*(Table12[[#This Row],[activating_chance]]/100),0)</f>
        <v>42</v>
      </c>
      <c r="DC244" s="144" t="str">
        <f ca="1">INDIRECT(ADDRESS(11+(MATCH(RIGHT(Table12[[#This Row],[spawner_sku]],LEN(Table12[[#This Row],[spawner_sku]])-FIND("/",Table12[[#This Row],[spawner_sku]])),Table28[Entity Prefab],0)),25,1,1,"Entities"))</f>
        <v>yes</v>
      </c>
      <c r="DD244" s="71">
        <v>1</v>
      </c>
      <c r="DE244" s="71">
        <v>2</v>
      </c>
      <c r="DF244" s="71" t="b">
        <v>0</v>
      </c>
      <c r="DH244" t="s">
        <v>243</v>
      </c>
      <c r="DI244">
        <v>1</v>
      </c>
      <c r="DJ244">
        <v>150</v>
      </c>
      <c r="DK244">
        <v>80</v>
      </c>
      <c r="DL244" s="74">
        <f ca="1">INDIRECT(ADDRESS(11+(MATCH(RIGHT(Table13[[#This Row],[spawner_sku]],LEN(Table13[[#This Row],[spawner_sku]])-FIND("/",Table13[[#This Row],[spawner_sku]])),Table1[Entity Prefab],0)),10,1,1,"Entities"))</f>
        <v>25</v>
      </c>
      <c r="DM244" s="74">
        <f ca="1">ROUND((Table13[[#This Row],[XP]]*Table13[[#This Row],[entity_spawned (AVG)]])*(Table13[[#This Row],[activating_chance]]/100),0)</f>
        <v>20</v>
      </c>
      <c r="DN244" s="144" t="str">
        <f ca="1">INDIRECT(ADDRESS(11+(MATCH(RIGHT(Table13[[#This Row],[spawner_sku]],LEN(Table13[[#This Row],[spawner_sku]])-FIND("/",Table13[[#This Row],[spawner_sku]])),Table28[Entity Prefab],0)),25,1,1,"Entities"))</f>
        <v>no</v>
      </c>
      <c r="DO244" s="71">
        <v>1</v>
      </c>
      <c r="DP244" s="71">
        <v>1</v>
      </c>
      <c r="DQ244" s="71" t="b">
        <v>0</v>
      </c>
      <c r="DS244" t="s">
        <v>494</v>
      </c>
      <c r="DT244">
        <v>1</v>
      </c>
      <c r="DU244">
        <v>310</v>
      </c>
      <c r="DV244">
        <v>100</v>
      </c>
      <c r="DW244" s="74">
        <f ca="1">INDIRECT(ADDRESS(11+(MATCH(RIGHT(Table14[[#This Row],[spawner_sku]],LEN(Table14[[#This Row],[spawner_sku]])-FIND("/",Table14[[#This Row],[spawner_sku]])),Table1[Entity Prefab],0)),10,1,1,"Entities"))</f>
        <v>103</v>
      </c>
      <c r="DX244" s="74">
        <f ca="1">ROUND((Table14[[#This Row],[XP]]*Table14[[#This Row],[entity_spawned (AVG)]])*(Table14[[#This Row],[activating_chance]]/100),0)</f>
        <v>103</v>
      </c>
      <c r="DY244" s="144" t="str">
        <f ca="1">INDIRECT(ADDRESS(11+(MATCH(RIGHT(Table14[[#This Row],[spawner_sku]],LEN(Table14[[#This Row],[spawner_sku]])-FIND("/",Table14[[#This Row],[spawner_sku]])),Table28[Entity Prefab],0)),25,1,1,"Entities"))</f>
        <v>yes</v>
      </c>
      <c r="DZ244" s="71">
        <v>1</v>
      </c>
      <c r="EA244" s="71">
        <v>1</v>
      </c>
      <c r="EB244" s="71" t="b">
        <v>0</v>
      </c>
      <c r="EC244" s="71"/>
      <c r="EO244" t="s">
        <v>571</v>
      </c>
      <c r="EP244">
        <v>1</v>
      </c>
      <c r="EQ244">
        <v>120</v>
      </c>
      <c r="ER244">
        <v>100</v>
      </c>
      <c r="ES244" s="74">
        <f ca="1">INDIRECT(ADDRESS(11+(MATCH(RIGHT(Table18[[#This Row],[spawner_sku]],LEN(Table18[[#This Row],[spawner_sku]])-FIND("/",Table18[[#This Row],[spawner_sku]])),Table1[Entity Prefab],0)),10,1,1,"Entities"))</f>
        <v>35</v>
      </c>
      <c r="ET244" s="74">
        <f ca="1">ROUND((Table18[[#This Row],[XP]]*Table18[[#This Row],[entity_spawned (AVG)]])*(Table18[[#This Row],[activating_chance]]/100),0)</f>
        <v>35</v>
      </c>
      <c r="EU244" s="74" t="str">
        <f ca="1">INDIRECT(ADDRESS(11+(MATCH(RIGHT(Table18[[#This Row],[spawner_sku]],LEN(Table18[[#This Row],[spawner_sku]])-FIND("/",Table18[[#This Row],[spawner_sku]])),Table28[Entity Prefab],0)),26,1,1,"Entities"))</f>
        <v>no</v>
      </c>
      <c r="EV244">
        <v>1</v>
      </c>
      <c r="EW244">
        <v>1</v>
      </c>
      <c r="EX244" t="b">
        <v>0</v>
      </c>
    </row>
    <row r="245" spans="2:165" x14ac:dyDescent="0.25">
      <c r="B245" s="72" t="s">
        <v>320</v>
      </c>
      <c r="C245">
        <v>1</v>
      </c>
      <c r="D245">
        <v>180</v>
      </c>
      <c r="E245">
        <v>100</v>
      </c>
      <c r="F245" s="74">
        <f ca="1">INDIRECT(ADDRESS(11+(MATCH(RIGHT(Table245[[#This Row],[spawner_sku]],LEN(Table245[[#This Row],[spawner_sku]])-FIND("/",Table245[[#This Row],[spawner_sku]])),Table1[Entity Prefab],0)),10,1,1,"Entities"))</f>
        <v>143</v>
      </c>
      <c r="G245" s="74">
        <f ca="1">ROUND((Table245[[#This Row],[XP]]*Table245[[#This Row],[entity_spawned (AVG)]])*(Table245[[#This Row],[activating_chance]]/100),0)</f>
        <v>143</v>
      </c>
      <c r="H245" s="71" t="str">
        <f ca="1">INDIRECT(ADDRESS(11+(MATCH(RIGHT(Table245[[#This Row],[spawner_sku]],LEN(Table245[[#This Row],[spawner_sku]])-FIND("/",Table245[[#This Row],[spawner_sku]])),Table28[Entity Prefab],0)),24,1,1,"Entities"))</f>
        <v>yes</v>
      </c>
      <c r="I245" s="71">
        <v>1</v>
      </c>
      <c r="J245" s="71">
        <v>1</v>
      </c>
      <c r="K245" s="71" t="b">
        <v>0</v>
      </c>
      <c r="M245" t="s">
        <v>366</v>
      </c>
      <c r="N245">
        <v>5</v>
      </c>
      <c r="O245">
        <v>100</v>
      </c>
      <c r="P245">
        <v>100</v>
      </c>
      <c r="Q245" s="74">
        <f ca="1">INDIRECT(ADDRESS(11+(MATCH(RIGHT(Table3[[#This Row],[spawner_sku]],LEN(Table3[[#This Row],[spawner_sku]])-FIND("/",Table3[[#This Row],[spawner_sku]])),Table1[Entity Prefab],0)),10,1,1,"Entities"))</f>
        <v>25</v>
      </c>
      <c r="R245" s="74">
        <f ca="1">ROUND((Table3[[#This Row],[XP]]*Table3[[#This Row],[entity_spawned (AVG)]])*(Table3[[#This Row],[activating_chance]]/100),0)</f>
        <v>125</v>
      </c>
      <c r="S245" t="str">
        <f ca="1">INDIRECT(ADDRESS(11+(MATCH(RIGHT(Table3[[#This Row],[spawner_sku]],LEN(Table3[[#This Row],[spawner_sku]])-FIND("/",Table3[[#This Row],[spawner_sku]])),Table28[Entity Prefab],0)),24,1,1,"Entities"))</f>
        <v>no</v>
      </c>
      <c r="T245">
        <v>5</v>
      </c>
      <c r="U245">
        <v>5</v>
      </c>
      <c r="V245" t="b">
        <v>1</v>
      </c>
      <c r="AI245" t="s">
        <v>369</v>
      </c>
      <c r="AJ245">
        <v>1</v>
      </c>
      <c r="AK245">
        <v>220</v>
      </c>
      <c r="AL245">
        <v>100</v>
      </c>
      <c r="AM245" s="74">
        <f ca="1">INDIRECT(ADDRESS(11+(MATCH(RIGHT(Table2[[#This Row],[spawner_sku]],LEN(Table2[[#This Row],[spawner_sku]])-FIND("/",Table2[[#This Row],[spawner_sku]])),Table1[Entity Prefab],0)),10,1,1,"Entities"))</f>
        <v>75</v>
      </c>
      <c r="AN245" s="74">
        <f ca="1">ROUND((Table2[[#This Row],[XP]]*Table2[[#This Row],[entity_spawned (AVG)]])*(Table2[[#This Row],[activating_chance]]/100),0)</f>
        <v>75</v>
      </c>
      <c r="AO245" s="71" t="str">
        <f ca="1">INDIRECT(ADDRESS(11+(MATCH(RIGHT(Table2[[#This Row],[spawner_sku]],LEN(Table2[[#This Row],[spawner_sku]])-FIND("/",Table2[[#This Row],[spawner_sku]])),Table28[Entity Prefab],0)),24,1,1,"Entities"))</f>
        <v>yes</v>
      </c>
      <c r="AP245" s="71">
        <v>1</v>
      </c>
      <c r="AQ245" s="71">
        <v>1</v>
      </c>
      <c r="AR245" s="71" t="b">
        <v>0</v>
      </c>
      <c r="BE245" t="s">
        <v>242</v>
      </c>
      <c r="BF245">
        <v>1</v>
      </c>
      <c r="BG245">
        <v>200</v>
      </c>
      <c r="BH245">
        <v>100</v>
      </c>
      <c r="BI245" s="74">
        <f ca="1">INDIRECT(ADDRESS(11+(MATCH(RIGHT(Table610[[#This Row],[spawner_sku]],LEN(Table610[[#This Row],[spawner_sku]])-FIND("/",Table610[[#This Row],[spawner_sku]])),Table1[Entity Prefab],0)),10,1,1,"Entities"))</f>
        <v>25</v>
      </c>
      <c r="BJ245" s="74">
        <f ca="1">ROUND((Table610[[#This Row],[XP]]*Table610[[#This Row],[entity_spawned (AVG)]])*(Table610[[#This Row],[activating_chance]]/100),0)</f>
        <v>25</v>
      </c>
      <c r="BK245" s="71" t="str">
        <f ca="1">INDIRECT(ADDRESS(11+(MATCH(RIGHT(Table610[[#This Row],[spawner_sku]],LEN(Table610[[#This Row],[spawner_sku]])-FIND("/",Table610[[#This Row],[spawner_sku]])),Table28[Entity Prefab],0)),24,1,1,"Entities"))</f>
        <v>no</v>
      </c>
      <c r="BL245">
        <v>1</v>
      </c>
      <c r="BM245">
        <v>1</v>
      </c>
      <c r="BN245" t="b">
        <v>0</v>
      </c>
      <c r="BP245" t="s">
        <v>448</v>
      </c>
      <c r="BQ245">
        <v>1</v>
      </c>
      <c r="BR245">
        <v>280</v>
      </c>
      <c r="BS245">
        <v>100</v>
      </c>
      <c r="BT245" s="74">
        <f ca="1">INDIRECT(ADDRESS(11+(MATCH(RIGHT(Table61011[[#This Row],[spawner_sku]],LEN(Table61011[[#This Row],[spawner_sku]])-FIND("/",Table61011[[#This Row],[spawner_sku]])),Table1[Entity Prefab],0)),10,1,1,"Entities"))</f>
        <v>143</v>
      </c>
      <c r="BU245" s="74">
        <f ca="1">ROUND((Table61011[[#This Row],[XP]]*Table61011[[#This Row],[entity_spawned (AVG)]])*(Table61011[[#This Row],[activating_chance]]/100),0)</f>
        <v>143</v>
      </c>
      <c r="BV245" s="71" t="str">
        <f ca="1">INDIRECT(ADDRESS(11+(MATCH(RIGHT(Table61011[[#This Row],[spawner_sku]],LEN(Table61011[[#This Row],[spawner_sku]])-FIND("/",Table61011[[#This Row],[spawner_sku]])),Table28[Entity Prefab],0)),24,1,1,"Entities"))</f>
        <v>yes</v>
      </c>
      <c r="BW245" s="71">
        <v>1</v>
      </c>
      <c r="BX245" s="71">
        <v>1</v>
      </c>
      <c r="BY245" s="71" t="b">
        <v>0</v>
      </c>
      <c r="BZ245" s="71"/>
      <c r="CA245" s="147" t="s">
        <v>3816</v>
      </c>
      <c r="CB245">
        <v>1</v>
      </c>
      <c r="CC245">
        <v>240</v>
      </c>
      <c r="CD245">
        <v>100</v>
      </c>
      <c r="CE245" s="74">
        <f ca="1">INDIRECT(ADDRESS(11+(MATCH(RIGHT(Table35[[#This Row],[spawner_sku]],LEN(Table35[[#This Row],[spawner_sku]])-FIND("/",Table35[[#This Row],[spawner_sku]])),Table1[Entity Prefab],0)),10,1,1,"Entities"))</f>
        <v>50</v>
      </c>
      <c r="CF245" s="74">
        <f ca="1">ROUND((Table35[[#This Row],[XP]]*Table35[[#This Row],[entity_spawned (AVG)]])*(Table35[[#This Row],[activating_chance]]/100),0)</f>
        <v>50</v>
      </c>
      <c r="CG245" s="144" t="str">
        <f ca="1">INDIRECT(ADDRESS(11+(MATCH(RIGHT(Table35[[#This Row],[spawner_sku]],LEN(Table35[[#This Row],[spawner_sku]])-FIND("/",Table35[[#This Row],[spawner_sku]])),Table28[Entity Prefab],0)),24,1,1,"Entities"))</f>
        <v>no</v>
      </c>
      <c r="CH245">
        <v>1</v>
      </c>
      <c r="CI245">
        <v>1</v>
      </c>
      <c r="CJ245" s="71" t="b">
        <v>0</v>
      </c>
      <c r="CL245" t="s">
        <v>428</v>
      </c>
      <c r="CM245">
        <v>1.5</v>
      </c>
      <c r="CN245">
        <v>280</v>
      </c>
      <c r="CO245">
        <v>100</v>
      </c>
      <c r="CP245" s="74">
        <f ca="1">INDIRECT(ADDRESS(11+(MATCH(RIGHT(Table11[[#This Row],[spawner_sku]],LEN(Table11[[#This Row],[spawner_sku]])-FIND("/",Table11[[#This Row],[spawner_sku]])),Table1[Entity Prefab],0)),10,1,1,"Entities"))</f>
        <v>70</v>
      </c>
      <c r="CQ245">
        <f ca="1">ROUND((Table11[[#This Row],[XP]]*Table11[[#This Row],[entity_spawned (AVG)]])*(Table11[[#This Row],[activating_chance]]/100),0)</f>
        <v>105</v>
      </c>
      <c r="CR245" s="144" t="str">
        <f ca="1">INDIRECT(ADDRESS(11+(MATCH(RIGHT(Table11[[#This Row],[spawner_sku]],LEN(Table11[[#This Row],[spawner_sku]])-FIND("/",Table11[[#This Row],[spawner_sku]])),Table28[Entity Prefab],0)),25,1,1,"Entities"))</f>
        <v>yes</v>
      </c>
      <c r="CS245" s="71">
        <v>1</v>
      </c>
      <c r="CT245" s="71">
        <v>2</v>
      </c>
      <c r="CU245" s="71" t="b">
        <v>0</v>
      </c>
      <c r="CW245" t="s">
        <v>365</v>
      </c>
      <c r="CX245">
        <v>2</v>
      </c>
      <c r="CY245">
        <v>170</v>
      </c>
      <c r="CZ245">
        <v>100</v>
      </c>
      <c r="DA245" s="74">
        <f ca="1">INDIRECT(ADDRESS(11+(MATCH(RIGHT(Table12[[#This Row],[spawner_sku]],LEN(Table12[[#This Row],[spawner_sku]])-FIND("/",Table12[[#This Row],[spawner_sku]])),Table1[Entity Prefab],0)),10,1,1,"Entities"))</f>
        <v>28</v>
      </c>
      <c r="DB245" s="74">
        <f ca="1">ROUND((Table12[[#This Row],[XP]]*Table12[[#This Row],[entity_spawned (AVG)]])*(Table12[[#This Row],[activating_chance]]/100),0)</f>
        <v>56</v>
      </c>
      <c r="DC245" s="144" t="str">
        <f ca="1">INDIRECT(ADDRESS(11+(MATCH(RIGHT(Table12[[#This Row],[spawner_sku]],LEN(Table12[[#This Row],[spawner_sku]])-FIND("/",Table12[[#This Row],[spawner_sku]])),Table28[Entity Prefab],0)),25,1,1,"Entities"))</f>
        <v>yes</v>
      </c>
      <c r="DD245" s="71">
        <v>2</v>
      </c>
      <c r="DE245" s="71">
        <v>2</v>
      </c>
      <c r="DF245" s="71" t="b">
        <v>0</v>
      </c>
      <c r="DH245" t="s">
        <v>243</v>
      </c>
      <c r="DI245">
        <v>1</v>
      </c>
      <c r="DJ245">
        <v>150</v>
      </c>
      <c r="DK245">
        <v>80</v>
      </c>
      <c r="DL245" s="74">
        <f ca="1">INDIRECT(ADDRESS(11+(MATCH(RIGHT(Table13[[#This Row],[spawner_sku]],LEN(Table13[[#This Row],[spawner_sku]])-FIND("/",Table13[[#This Row],[spawner_sku]])),Table1[Entity Prefab],0)),10,1,1,"Entities"))</f>
        <v>25</v>
      </c>
      <c r="DM245" s="74">
        <f ca="1">ROUND((Table13[[#This Row],[XP]]*Table13[[#This Row],[entity_spawned (AVG)]])*(Table13[[#This Row],[activating_chance]]/100),0)</f>
        <v>20</v>
      </c>
      <c r="DN245" s="144" t="str">
        <f ca="1">INDIRECT(ADDRESS(11+(MATCH(RIGHT(Table13[[#This Row],[spawner_sku]],LEN(Table13[[#This Row],[spawner_sku]])-FIND("/",Table13[[#This Row],[spawner_sku]])),Table28[Entity Prefab],0)),25,1,1,"Entities"))</f>
        <v>no</v>
      </c>
      <c r="DO245" s="71">
        <v>1</v>
      </c>
      <c r="DP245" s="71">
        <v>1</v>
      </c>
      <c r="DQ245" s="71" t="b">
        <v>0</v>
      </c>
      <c r="DS245" t="s">
        <v>494</v>
      </c>
      <c r="DT245">
        <v>1</v>
      </c>
      <c r="DU245">
        <v>310</v>
      </c>
      <c r="DV245">
        <v>100</v>
      </c>
      <c r="DW245" s="74">
        <f ca="1">INDIRECT(ADDRESS(11+(MATCH(RIGHT(Table14[[#This Row],[spawner_sku]],LEN(Table14[[#This Row],[spawner_sku]])-FIND("/",Table14[[#This Row],[spawner_sku]])),Table1[Entity Prefab],0)),10,1,1,"Entities"))</f>
        <v>103</v>
      </c>
      <c r="DX245" s="74">
        <f ca="1">ROUND((Table14[[#This Row],[XP]]*Table14[[#This Row],[entity_spawned (AVG)]])*(Table14[[#This Row],[activating_chance]]/100),0)</f>
        <v>103</v>
      </c>
      <c r="DY245" s="144" t="str">
        <f ca="1">INDIRECT(ADDRESS(11+(MATCH(RIGHT(Table14[[#This Row],[spawner_sku]],LEN(Table14[[#This Row],[spawner_sku]])-FIND("/",Table14[[#This Row],[spawner_sku]])),Table28[Entity Prefab],0)),25,1,1,"Entities"))</f>
        <v>yes</v>
      </c>
      <c r="DZ245" s="71">
        <v>1</v>
      </c>
      <c r="EA245" s="71">
        <v>1</v>
      </c>
      <c r="EB245" s="71" t="b">
        <v>0</v>
      </c>
      <c r="EC245" s="71"/>
      <c r="EO245" t="s">
        <v>571</v>
      </c>
      <c r="EP245">
        <v>1</v>
      </c>
      <c r="EQ245">
        <v>120</v>
      </c>
      <c r="ER245">
        <v>100</v>
      </c>
      <c r="ES245" s="74">
        <f ca="1">INDIRECT(ADDRESS(11+(MATCH(RIGHT(Table18[[#This Row],[spawner_sku]],LEN(Table18[[#This Row],[spawner_sku]])-FIND("/",Table18[[#This Row],[spawner_sku]])),Table1[Entity Prefab],0)),10,1,1,"Entities"))</f>
        <v>35</v>
      </c>
      <c r="ET245" s="74">
        <f ca="1">ROUND((Table18[[#This Row],[XP]]*Table18[[#This Row],[entity_spawned (AVG)]])*(Table18[[#This Row],[activating_chance]]/100),0)</f>
        <v>35</v>
      </c>
      <c r="EU245" s="74" t="str">
        <f ca="1">INDIRECT(ADDRESS(11+(MATCH(RIGHT(Table18[[#This Row],[spawner_sku]],LEN(Table18[[#This Row],[spawner_sku]])-FIND("/",Table18[[#This Row],[spawner_sku]])),Table28[Entity Prefab],0)),26,1,1,"Entities"))</f>
        <v>no</v>
      </c>
      <c r="EV245">
        <v>1</v>
      </c>
      <c r="EW245">
        <v>1</v>
      </c>
      <c r="EX245" t="b">
        <v>0</v>
      </c>
    </row>
    <row r="246" spans="2:165" x14ac:dyDescent="0.25">
      <c r="B246" s="72" t="s">
        <v>320</v>
      </c>
      <c r="C246">
        <v>1</v>
      </c>
      <c r="D246">
        <v>240</v>
      </c>
      <c r="E246">
        <v>100</v>
      </c>
      <c r="F246" s="74">
        <f ca="1">INDIRECT(ADDRESS(11+(MATCH(RIGHT(Table245[[#This Row],[spawner_sku]],LEN(Table245[[#This Row],[spawner_sku]])-FIND("/",Table245[[#This Row],[spawner_sku]])),Table1[Entity Prefab],0)),10,1,1,"Entities"))</f>
        <v>143</v>
      </c>
      <c r="G246" s="74">
        <f ca="1">ROUND((Table245[[#This Row],[XP]]*Table245[[#This Row],[entity_spawned (AVG)]])*(Table245[[#This Row],[activating_chance]]/100),0)</f>
        <v>143</v>
      </c>
      <c r="H246" s="71" t="str">
        <f ca="1">INDIRECT(ADDRESS(11+(MATCH(RIGHT(Table245[[#This Row],[spawner_sku]],LEN(Table245[[#This Row],[spawner_sku]])-FIND("/",Table245[[#This Row],[spawner_sku]])),Table28[Entity Prefab],0)),24,1,1,"Entities"))</f>
        <v>yes</v>
      </c>
      <c r="I246" s="71">
        <v>1</v>
      </c>
      <c r="J246" s="71">
        <v>1</v>
      </c>
      <c r="K246" s="71" t="b">
        <v>0</v>
      </c>
      <c r="M246" t="s">
        <v>242</v>
      </c>
      <c r="N246">
        <v>1</v>
      </c>
      <c r="O246">
        <v>170</v>
      </c>
      <c r="P246">
        <v>100</v>
      </c>
      <c r="Q246" s="74">
        <f ca="1">INDIRECT(ADDRESS(11+(MATCH(RIGHT(Table3[[#This Row],[spawner_sku]],LEN(Table3[[#This Row],[spawner_sku]])-FIND("/",Table3[[#This Row],[spawner_sku]])),Table1[Entity Prefab],0)),10,1,1,"Entities"))</f>
        <v>25</v>
      </c>
      <c r="R246" s="74">
        <f ca="1">ROUND((Table3[[#This Row],[XP]]*Table3[[#This Row],[entity_spawned (AVG)]])*(Table3[[#This Row],[activating_chance]]/100),0)</f>
        <v>25</v>
      </c>
      <c r="S246" t="str">
        <f ca="1">INDIRECT(ADDRESS(11+(MATCH(RIGHT(Table3[[#This Row],[spawner_sku]],LEN(Table3[[#This Row],[spawner_sku]])-FIND("/",Table3[[#This Row],[spawner_sku]])),Table28[Entity Prefab],0)),24,1,1,"Entities"))</f>
        <v>no</v>
      </c>
      <c r="T246">
        <v>1</v>
      </c>
      <c r="U246">
        <v>1</v>
      </c>
      <c r="V246" t="b">
        <v>0</v>
      </c>
      <c r="AI246" t="s">
        <v>369</v>
      </c>
      <c r="AJ246">
        <v>1</v>
      </c>
      <c r="AK246">
        <v>220</v>
      </c>
      <c r="AL246">
        <v>100</v>
      </c>
      <c r="AM246" s="74">
        <f ca="1">INDIRECT(ADDRESS(11+(MATCH(RIGHT(Table2[[#This Row],[spawner_sku]],LEN(Table2[[#This Row],[spawner_sku]])-FIND("/",Table2[[#This Row],[spawner_sku]])),Table1[Entity Prefab],0)),10,1,1,"Entities"))</f>
        <v>75</v>
      </c>
      <c r="AN246" s="74">
        <f ca="1">ROUND((Table2[[#This Row],[XP]]*Table2[[#This Row],[entity_spawned (AVG)]])*(Table2[[#This Row],[activating_chance]]/100),0)</f>
        <v>75</v>
      </c>
      <c r="AO246" s="71" t="str">
        <f ca="1">INDIRECT(ADDRESS(11+(MATCH(RIGHT(Table2[[#This Row],[spawner_sku]],LEN(Table2[[#This Row],[spawner_sku]])-FIND("/",Table2[[#This Row],[spawner_sku]])),Table28[Entity Prefab],0)),24,1,1,"Entities"))</f>
        <v>yes</v>
      </c>
      <c r="AP246" s="71">
        <v>1</v>
      </c>
      <c r="AQ246" s="71">
        <v>1</v>
      </c>
      <c r="AR246" s="71" t="b">
        <v>0</v>
      </c>
      <c r="BE246" t="s">
        <v>242</v>
      </c>
      <c r="BF246">
        <v>1</v>
      </c>
      <c r="BG246">
        <v>200</v>
      </c>
      <c r="BH246">
        <v>80</v>
      </c>
      <c r="BI246" s="74">
        <f ca="1">INDIRECT(ADDRESS(11+(MATCH(RIGHT(Table610[[#This Row],[spawner_sku]],LEN(Table610[[#This Row],[spawner_sku]])-FIND("/",Table610[[#This Row],[spawner_sku]])),Table1[Entity Prefab],0)),10,1,1,"Entities"))</f>
        <v>25</v>
      </c>
      <c r="BJ246" s="74">
        <f ca="1">ROUND((Table610[[#This Row],[XP]]*Table610[[#This Row],[entity_spawned (AVG)]])*(Table610[[#This Row],[activating_chance]]/100),0)</f>
        <v>20</v>
      </c>
      <c r="BK246" s="71" t="str">
        <f ca="1">INDIRECT(ADDRESS(11+(MATCH(RIGHT(Table610[[#This Row],[spawner_sku]],LEN(Table610[[#This Row],[spawner_sku]])-FIND("/",Table610[[#This Row],[spawner_sku]])),Table28[Entity Prefab],0)),24,1,1,"Entities"))</f>
        <v>no</v>
      </c>
      <c r="BL246">
        <v>1</v>
      </c>
      <c r="BM246">
        <v>1</v>
      </c>
      <c r="BN246" t="b">
        <v>0</v>
      </c>
      <c r="BP246" t="s">
        <v>448</v>
      </c>
      <c r="BQ246">
        <v>1</v>
      </c>
      <c r="BR246">
        <v>280</v>
      </c>
      <c r="BS246">
        <v>100</v>
      </c>
      <c r="BT246" s="74">
        <f ca="1">INDIRECT(ADDRESS(11+(MATCH(RIGHT(Table61011[[#This Row],[spawner_sku]],LEN(Table61011[[#This Row],[spawner_sku]])-FIND("/",Table61011[[#This Row],[spawner_sku]])),Table1[Entity Prefab],0)),10,1,1,"Entities"))</f>
        <v>143</v>
      </c>
      <c r="BU246" s="74">
        <f ca="1">ROUND((Table61011[[#This Row],[XP]]*Table61011[[#This Row],[entity_spawned (AVG)]])*(Table61011[[#This Row],[activating_chance]]/100),0)</f>
        <v>143</v>
      </c>
      <c r="BV246" s="71" t="str">
        <f ca="1">INDIRECT(ADDRESS(11+(MATCH(RIGHT(Table61011[[#This Row],[spawner_sku]],LEN(Table61011[[#This Row],[spawner_sku]])-FIND("/",Table61011[[#This Row],[spawner_sku]])),Table28[Entity Prefab],0)),24,1,1,"Entities"))</f>
        <v>yes</v>
      </c>
      <c r="BW246" s="71">
        <v>1</v>
      </c>
      <c r="BX246" s="71">
        <v>1</v>
      </c>
      <c r="BY246" s="71" t="b">
        <v>0</v>
      </c>
      <c r="BZ246" s="71"/>
      <c r="CA246" s="147" t="s">
        <v>3816</v>
      </c>
      <c r="CB246">
        <v>1</v>
      </c>
      <c r="CC246">
        <v>240</v>
      </c>
      <c r="CD246">
        <v>100</v>
      </c>
      <c r="CE246" s="74">
        <f ca="1">INDIRECT(ADDRESS(11+(MATCH(RIGHT(Table35[[#This Row],[spawner_sku]],LEN(Table35[[#This Row],[spawner_sku]])-FIND("/",Table35[[#This Row],[spawner_sku]])),Table1[Entity Prefab],0)),10,1,1,"Entities"))</f>
        <v>50</v>
      </c>
      <c r="CF246" s="74">
        <f ca="1">ROUND((Table35[[#This Row],[XP]]*Table35[[#This Row],[entity_spawned (AVG)]])*(Table35[[#This Row],[activating_chance]]/100),0)</f>
        <v>50</v>
      </c>
      <c r="CG246" s="144" t="str">
        <f ca="1">INDIRECT(ADDRESS(11+(MATCH(RIGHT(Table35[[#This Row],[spawner_sku]],LEN(Table35[[#This Row],[spawner_sku]])-FIND("/",Table35[[#This Row],[spawner_sku]])),Table28[Entity Prefab],0)),24,1,1,"Entities"))</f>
        <v>no</v>
      </c>
      <c r="CH246">
        <v>1</v>
      </c>
      <c r="CI246">
        <v>1</v>
      </c>
      <c r="CJ246" s="71" t="b">
        <v>0</v>
      </c>
      <c r="CL246" t="s">
        <v>428</v>
      </c>
      <c r="CM246">
        <v>1.5</v>
      </c>
      <c r="CN246">
        <v>280</v>
      </c>
      <c r="CO246">
        <v>100</v>
      </c>
      <c r="CP246" s="74">
        <f ca="1">INDIRECT(ADDRESS(11+(MATCH(RIGHT(Table11[[#This Row],[spawner_sku]],LEN(Table11[[#This Row],[spawner_sku]])-FIND("/",Table11[[#This Row],[spawner_sku]])),Table1[Entity Prefab],0)),10,1,1,"Entities"))</f>
        <v>70</v>
      </c>
      <c r="CQ246">
        <f ca="1">ROUND((Table11[[#This Row],[XP]]*Table11[[#This Row],[entity_spawned (AVG)]])*(Table11[[#This Row],[activating_chance]]/100),0)</f>
        <v>105</v>
      </c>
      <c r="CR246" s="144" t="str">
        <f ca="1">INDIRECT(ADDRESS(11+(MATCH(RIGHT(Table11[[#This Row],[spawner_sku]],LEN(Table11[[#This Row],[spawner_sku]])-FIND("/",Table11[[#This Row],[spawner_sku]])),Table28[Entity Prefab],0)),25,1,1,"Entities"))</f>
        <v>yes</v>
      </c>
      <c r="CS246" s="71">
        <v>1</v>
      </c>
      <c r="CT246" s="71">
        <v>2</v>
      </c>
      <c r="CU246" s="71" t="b">
        <v>0</v>
      </c>
      <c r="CW246" t="s">
        <v>8010</v>
      </c>
      <c r="CX246">
        <v>1</v>
      </c>
      <c r="CY246">
        <v>150</v>
      </c>
      <c r="CZ246">
        <v>100</v>
      </c>
      <c r="DA246" s="74">
        <f ca="1">INDIRECT(ADDRESS(11+(MATCH(RIGHT(Table12[[#This Row],[spawner_sku]],LEN(Table12[[#This Row],[spawner_sku]])-FIND("/",Table12[[#This Row],[spawner_sku]])),Table1[Entity Prefab],0)),10,1,1,"Entities"))</f>
        <v>50</v>
      </c>
      <c r="DB246" s="74">
        <f ca="1">ROUND((Table12[[#This Row],[XP]]*Table12[[#This Row],[entity_spawned (AVG)]])*(Table12[[#This Row],[activating_chance]]/100),0)</f>
        <v>50</v>
      </c>
      <c r="DC246" s="144" t="str">
        <f ca="1">INDIRECT(ADDRESS(11+(MATCH(RIGHT(Table12[[#This Row],[spawner_sku]],LEN(Table12[[#This Row],[spawner_sku]])-FIND("/",Table12[[#This Row],[spawner_sku]])),Table28[Entity Prefab],0)),25,1,1,"Entities"))</f>
        <v>no</v>
      </c>
      <c r="DD246" s="71">
        <v>1</v>
      </c>
      <c r="DE246" s="71">
        <v>1</v>
      </c>
      <c r="DF246" s="71" t="b">
        <v>0</v>
      </c>
      <c r="DH246" t="s">
        <v>243</v>
      </c>
      <c r="DI246">
        <v>1.5</v>
      </c>
      <c r="DJ246">
        <v>150</v>
      </c>
      <c r="DK246">
        <v>100</v>
      </c>
      <c r="DL246" s="74">
        <f ca="1">INDIRECT(ADDRESS(11+(MATCH(RIGHT(Table13[[#This Row],[spawner_sku]],LEN(Table13[[#This Row],[spawner_sku]])-FIND("/",Table13[[#This Row],[spawner_sku]])),Table1[Entity Prefab],0)),10,1,1,"Entities"))</f>
        <v>25</v>
      </c>
      <c r="DM246" s="74">
        <f ca="1">ROUND((Table13[[#This Row],[XP]]*Table13[[#This Row],[entity_spawned (AVG)]])*(Table13[[#This Row],[activating_chance]]/100),0)</f>
        <v>38</v>
      </c>
      <c r="DN246" s="144" t="str">
        <f ca="1">INDIRECT(ADDRESS(11+(MATCH(RIGHT(Table13[[#This Row],[spawner_sku]],LEN(Table13[[#This Row],[spawner_sku]])-FIND("/",Table13[[#This Row],[spawner_sku]])),Table28[Entity Prefab],0)),25,1,1,"Entities"))</f>
        <v>no</v>
      </c>
      <c r="DO246" s="71">
        <v>1</v>
      </c>
      <c r="DP246" s="71">
        <v>2</v>
      </c>
      <c r="DQ246" s="71" t="b">
        <v>0</v>
      </c>
      <c r="DS246" t="s">
        <v>494</v>
      </c>
      <c r="DT246">
        <v>1</v>
      </c>
      <c r="DU246">
        <v>310</v>
      </c>
      <c r="DV246">
        <v>100</v>
      </c>
      <c r="DW246" s="74">
        <f ca="1">INDIRECT(ADDRESS(11+(MATCH(RIGHT(Table14[[#This Row],[spawner_sku]],LEN(Table14[[#This Row],[spawner_sku]])-FIND("/",Table14[[#This Row],[spawner_sku]])),Table1[Entity Prefab],0)),10,1,1,"Entities"))</f>
        <v>103</v>
      </c>
      <c r="DX246" s="74">
        <f ca="1">ROUND((Table14[[#This Row],[XP]]*Table14[[#This Row],[entity_spawned (AVG)]])*(Table14[[#This Row],[activating_chance]]/100),0)</f>
        <v>103</v>
      </c>
      <c r="DY246" s="144" t="str">
        <f ca="1">INDIRECT(ADDRESS(11+(MATCH(RIGHT(Table14[[#This Row],[spawner_sku]],LEN(Table14[[#This Row],[spawner_sku]])-FIND("/",Table14[[#This Row],[spawner_sku]])),Table28[Entity Prefab],0)),25,1,1,"Entities"))</f>
        <v>yes</v>
      </c>
      <c r="DZ246" s="71">
        <v>1</v>
      </c>
      <c r="EA246" s="71">
        <v>1</v>
      </c>
      <c r="EB246" s="71" t="b">
        <v>0</v>
      </c>
      <c r="EC246" s="71"/>
      <c r="EO246" t="s">
        <v>571</v>
      </c>
      <c r="EP246">
        <v>1</v>
      </c>
      <c r="EQ246">
        <v>120</v>
      </c>
      <c r="ER246">
        <v>100</v>
      </c>
      <c r="ES246" s="74">
        <f ca="1">INDIRECT(ADDRESS(11+(MATCH(RIGHT(Table18[[#This Row],[spawner_sku]],LEN(Table18[[#This Row],[spawner_sku]])-FIND("/",Table18[[#This Row],[spawner_sku]])),Table1[Entity Prefab],0)),10,1,1,"Entities"))</f>
        <v>35</v>
      </c>
      <c r="ET246" s="74">
        <f ca="1">ROUND((Table18[[#This Row],[XP]]*Table18[[#This Row],[entity_spawned (AVG)]])*(Table18[[#This Row],[activating_chance]]/100),0)</f>
        <v>35</v>
      </c>
      <c r="EU246" s="74" t="str">
        <f ca="1">INDIRECT(ADDRESS(11+(MATCH(RIGHT(Table18[[#This Row],[spawner_sku]],LEN(Table18[[#This Row],[spawner_sku]])-FIND("/",Table18[[#This Row],[spawner_sku]])),Table28[Entity Prefab],0)),26,1,1,"Entities"))</f>
        <v>no</v>
      </c>
      <c r="EV246">
        <v>1</v>
      </c>
      <c r="EW246">
        <v>1</v>
      </c>
      <c r="EX246" t="b">
        <v>0</v>
      </c>
    </row>
    <row r="247" spans="2:165" x14ac:dyDescent="0.25">
      <c r="B247" s="72" t="s">
        <v>320</v>
      </c>
      <c r="C247">
        <v>1</v>
      </c>
      <c r="D247">
        <v>240</v>
      </c>
      <c r="E247">
        <v>80</v>
      </c>
      <c r="F247" s="74">
        <f ca="1">INDIRECT(ADDRESS(11+(MATCH(RIGHT(Table245[[#This Row],[spawner_sku]],LEN(Table245[[#This Row],[spawner_sku]])-FIND("/",Table245[[#This Row],[spawner_sku]])),Table1[Entity Prefab],0)),10,1,1,"Entities"))</f>
        <v>143</v>
      </c>
      <c r="G247" s="74">
        <f ca="1">ROUND((Table245[[#This Row],[XP]]*Table245[[#This Row],[entity_spawned (AVG)]])*(Table245[[#This Row],[activating_chance]]/100),0)</f>
        <v>114</v>
      </c>
      <c r="H247" s="71" t="str">
        <f ca="1">INDIRECT(ADDRESS(11+(MATCH(RIGHT(Table245[[#This Row],[spawner_sku]],LEN(Table245[[#This Row],[spawner_sku]])-FIND("/",Table245[[#This Row],[spawner_sku]])),Table28[Entity Prefab],0)),24,1,1,"Entities"))</f>
        <v>yes</v>
      </c>
      <c r="I247" s="71">
        <v>1</v>
      </c>
      <c r="J247" s="71">
        <v>1</v>
      </c>
      <c r="K247" s="71" t="b">
        <v>0</v>
      </c>
      <c r="M247" t="s">
        <v>372</v>
      </c>
      <c r="N247">
        <v>5.5</v>
      </c>
      <c r="O247">
        <v>80</v>
      </c>
      <c r="P247">
        <v>100</v>
      </c>
      <c r="Q247" s="74">
        <f ca="1">INDIRECT(ADDRESS(11+(MATCH(RIGHT(Table3[[#This Row],[spawner_sku]],LEN(Table3[[#This Row],[spawner_sku]])-FIND("/",Table3[[#This Row],[spawner_sku]])),Table1[Entity Prefab],0)),10,1,1,"Entities"))</f>
        <v>25</v>
      </c>
      <c r="R247" s="74">
        <f ca="1">ROUND((Table3[[#This Row],[XP]]*Table3[[#This Row],[entity_spawned (AVG)]])*(Table3[[#This Row],[activating_chance]]/100),0)</f>
        <v>138</v>
      </c>
      <c r="S247" t="str">
        <f ca="1">INDIRECT(ADDRESS(11+(MATCH(RIGHT(Table3[[#This Row],[spawner_sku]],LEN(Table3[[#This Row],[spawner_sku]])-FIND("/",Table3[[#This Row],[spawner_sku]])),Table28[Entity Prefab],0)),24,1,1,"Entities"))</f>
        <v>no</v>
      </c>
      <c r="T247">
        <v>5</v>
      </c>
      <c r="U247">
        <v>6</v>
      </c>
      <c r="V247" t="b">
        <v>1</v>
      </c>
      <c r="AI247" t="s">
        <v>369</v>
      </c>
      <c r="AJ247">
        <v>1</v>
      </c>
      <c r="AK247">
        <v>170</v>
      </c>
      <c r="AL247">
        <v>100</v>
      </c>
      <c r="AM247" s="74">
        <f ca="1">INDIRECT(ADDRESS(11+(MATCH(RIGHT(Table2[[#This Row],[spawner_sku]],LEN(Table2[[#This Row],[spawner_sku]])-FIND("/",Table2[[#This Row],[spawner_sku]])),Table1[Entity Prefab],0)),10,1,1,"Entities"))</f>
        <v>75</v>
      </c>
      <c r="AN247" s="74">
        <f ca="1">ROUND((Table2[[#This Row],[XP]]*Table2[[#This Row],[entity_spawned (AVG)]])*(Table2[[#This Row],[activating_chance]]/100),0)</f>
        <v>75</v>
      </c>
      <c r="AO247" s="71" t="str">
        <f ca="1">INDIRECT(ADDRESS(11+(MATCH(RIGHT(Table2[[#This Row],[spawner_sku]],LEN(Table2[[#This Row],[spawner_sku]])-FIND("/",Table2[[#This Row],[spawner_sku]])),Table28[Entity Prefab],0)),24,1,1,"Entities"))</f>
        <v>yes</v>
      </c>
      <c r="AP247" s="71">
        <v>1</v>
      </c>
      <c r="AQ247" s="71">
        <v>1</v>
      </c>
      <c r="AR247" s="71" t="b">
        <v>0</v>
      </c>
      <c r="BE247" t="s">
        <v>243</v>
      </c>
      <c r="BF247">
        <v>1</v>
      </c>
      <c r="BG247">
        <v>150</v>
      </c>
      <c r="BH247">
        <v>100</v>
      </c>
      <c r="BI247" s="74">
        <f ca="1">INDIRECT(ADDRESS(11+(MATCH(RIGHT(Table610[[#This Row],[spawner_sku]],LEN(Table610[[#This Row],[spawner_sku]])-FIND("/",Table610[[#This Row],[spawner_sku]])),Table1[Entity Prefab],0)),10,1,1,"Entities"))</f>
        <v>25</v>
      </c>
      <c r="BJ247" s="74">
        <f ca="1">ROUND((Table610[[#This Row],[XP]]*Table610[[#This Row],[entity_spawned (AVG)]])*(Table610[[#This Row],[activating_chance]]/100),0)</f>
        <v>25</v>
      </c>
      <c r="BK247" s="71" t="str">
        <f ca="1">INDIRECT(ADDRESS(11+(MATCH(RIGHT(Table610[[#This Row],[spawner_sku]],LEN(Table610[[#This Row],[spawner_sku]])-FIND("/",Table610[[#This Row],[spawner_sku]])),Table28[Entity Prefab],0)),24,1,1,"Entities"))</f>
        <v>no</v>
      </c>
      <c r="BL247">
        <v>1</v>
      </c>
      <c r="BM247">
        <v>1</v>
      </c>
      <c r="BN247" t="b">
        <v>0</v>
      </c>
      <c r="BP247" t="s">
        <v>448</v>
      </c>
      <c r="BQ247">
        <v>1.5</v>
      </c>
      <c r="BR247">
        <v>240</v>
      </c>
      <c r="BS247">
        <v>100</v>
      </c>
      <c r="BT247" s="74">
        <f ca="1">INDIRECT(ADDRESS(11+(MATCH(RIGHT(Table61011[[#This Row],[spawner_sku]],LEN(Table61011[[#This Row],[spawner_sku]])-FIND("/",Table61011[[#This Row],[spawner_sku]])),Table1[Entity Prefab],0)),10,1,1,"Entities"))</f>
        <v>143</v>
      </c>
      <c r="BU247" s="74">
        <f ca="1">ROUND((Table61011[[#This Row],[XP]]*Table61011[[#This Row],[entity_spawned (AVG)]])*(Table61011[[#This Row],[activating_chance]]/100),0)</f>
        <v>215</v>
      </c>
      <c r="BV247" s="71" t="str">
        <f ca="1">INDIRECT(ADDRESS(11+(MATCH(RIGHT(Table61011[[#This Row],[spawner_sku]],LEN(Table61011[[#This Row],[spawner_sku]])-FIND("/",Table61011[[#This Row],[spawner_sku]])),Table28[Entity Prefab],0)),24,1,1,"Entities"))</f>
        <v>yes</v>
      </c>
      <c r="BW247" s="71">
        <v>1</v>
      </c>
      <c r="BX247" s="71">
        <v>2</v>
      </c>
      <c r="BY247" s="71" t="b">
        <v>0</v>
      </c>
      <c r="BZ247" s="71"/>
      <c r="CA247" s="147" t="s">
        <v>3816</v>
      </c>
      <c r="CB247">
        <v>1</v>
      </c>
      <c r="CC247">
        <v>240</v>
      </c>
      <c r="CD247">
        <v>100</v>
      </c>
      <c r="CE247" s="74">
        <f ca="1">INDIRECT(ADDRESS(11+(MATCH(RIGHT(Table35[[#This Row],[spawner_sku]],LEN(Table35[[#This Row],[spawner_sku]])-FIND("/",Table35[[#This Row],[spawner_sku]])),Table1[Entity Prefab],0)),10,1,1,"Entities"))</f>
        <v>50</v>
      </c>
      <c r="CF247" s="74">
        <f ca="1">ROUND((Table35[[#This Row],[XP]]*Table35[[#This Row],[entity_spawned (AVG)]])*(Table35[[#This Row],[activating_chance]]/100),0)</f>
        <v>50</v>
      </c>
      <c r="CG247" s="144" t="str">
        <f ca="1">INDIRECT(ADDRESS(11+(MATCH(RIGHT(Table35[[#This Row],[spawner_sku]],LEN(Table35[[#This Row],[spawner_sku]])-FIND("/",Table35[[#This Row],[spawner_sku]])),Table28[Entity Prefab],0)),24,1,1,"Entities"))</f>
        <v>no</v>
      </c>
      <c r="CH247">
        <v>1</v>
      </c>
      <c r="CI247">
        <v>1</v>
      </c>
      <c r="CJ247" s="71" t="b">
        <v>0</v>
      </c>
      <c r="CL247" t="s">
        <v>428</v>
      </c>
      <c r="CM247">
        <v>2</v>
      </c>
      <c r="CN247">
        <v>280</v>
      </c>
      <c r="CO247">
        <v>100</v>
      </c>
      <c r="CP247" s="74">
        <f ca="1">INDIRECT(ADDRESS(11+(MATCH(RIGHT(Table11[[#This Row],[spawner_sku]],LEN(Table11[[#This Row],[spawner_sku]])-FIND("/",Table11[[#This Row],[spawner_sku]])),Table1[Entity Prefab],0)),10,1,1,"Entities"))</f>
        <v>70</v>
      </c>
      <c r="CQ247">
        <f ca="1">ROUND((Table11[[#This Row],[XP]]*Table11[[#This Row],[entity_spawned (AVG)]])*(Table11[[#This Row],[activating_chance]]/100),0)</f>
        <v>140</v>
      </c>
      <c r="CR247" s="144" t="str">
        <f ca="1">INDIRECT(ADDRESS(11+(MATCH(RIGHT(Table11[[#This Row],[spawner_sku]],LEN(Table11[[#This Row],[spawner_sku]])-FIND("/",Table11[[#This Row],[spawner_sku]])),Table28[Entity Prefab],0)),25,1,1,"Entities"))</f>
        <v>yes</v>
      </c>
      <c r="CS247" s="71">
        <v>1</v>
      </c>
      <c r="CT247" s="71">
        <v>3</v>
      </c>
      <c r="CU247" s="71" t="b">
        <v>0</v>
      </c>
      <c r="CW247" t="s">
        <v>8010</v>
      </c>
      <c r="CX247">
        <v>1</v>
      </c>
      <c r="CY247">
        <v>150</v>
      </c>
      <c r="CZ247">
        <v>100</v>
      </c>
      <c r="DA247" s="74">
        <f ca="1">INDIRECT(ADDRESS(11+(MATCH(RIGHT(Table12[[#This Row],[spawner_sku]],LEN(Table12[[#This Row],[spawner_sku]])-FIND("/",Table12[[#This Row],[spawner_sku]])),Table1[Entity Prefab],0)),10,1,1,"Entities"))</f>
        <v>50</v>
      </c>
      <c r="DB247" s="74">
        <f ca="1">ROUND((Table12[[#This Row],[XP]]*Table12[[#This Row],[entity_spawned (AVG)]])*(Table12[[#This Row],[activating_chance]]/100),0)</f>
        <v>50</v>
      </c>
      <c r="DC247" s="144" t="str">
        <f ca="1">INDIRECT(ADDRESS(11+(MATCH(RIGHT(Table12[[#This Row],[spawner_sku]],LEN(Table12[[#This Row],[spawner_sku]])-FIND("/",Table12[[#This Row],[spawner_sku]])),Table28[Entity Prefab],0)),25,1,1,"Entities"))</f>
        <v>no</v>
      </c>
      <c r="DD247" s="71">
        <v>1</v>
      </c>
      <c r="DE247" s="71">
        <v>1</v>
      </c>
      <c r="DF247" s="71" t="b">
        <v>0</v>
      </c>
      <c r="DH247" t="s">
        <v>243</v>
      </c>
      <c r="DI247">
        <v>1</v>
      </c>
      <c r="DJ247">
        <v>150</v>
      </c>
      <c r="DK247">
        <v>80</v>
      </c>
      <c r="DL247" s="74">
        <f ca="1">INDIRECT(ADDRESS(11+(MATCH(RIGHT(Table13[[#This Row],[spawner_sku]],LEN(Table13[[#This Row],[spawner_sku]])-FIND("/",Table13[[#This Row],[spawner_sku]])),Table1[Entity Prefab],0)),10,1,1,"Entities"))</f>
        <v>25</v>
      </c>
      <c r="DM247" s="74">
        <f ca="1">ROUND((Table13[[#This Row],[XP]]*Table13[[#This Row],[entity_spawned (AVG)]])*(Table13[[#This Row],[activating_chance]]/100),0)</f>
        <v>20</v>
      </c>
      <c r="DN247" s="144" t="str">
        <f ca="1">INDIRECT(ADDRESS(11+(MATCH(RIGHT(Table13[[#This Row],[spawner_sku]],LEN(Table13[[#This Row],[spawner_sku]])-FIND("/",Table13[[#This Row],[spawner_sku]])),Table28[Entity Prefab],0)),25,1,1,"Entities"))</f>
        <v>no</v>
      </c>
      <c r="DO247" s="71">
        <v>1</v>
      </c>
      <c r="DP247" s="71">
        <v>1</v>
      </c>
      <c r="DQ247" s="71" t="b">
        <v>0</v>
      </c>
      <c r="DS247" t="s">
        <v>494</v>
      </c>
      <c r="DT247">
        <v>1</v>
      </c>
      <c r="DU247">
        <v>310</v>
      </c>
      <c r="DV247">
        <v>100</v>
      </c>
      <c r="DW247" s="74">
        <f ca="1">INDIRECT(ADDRESS(11+(MATCH(RIGHT(Table14[[#This Row],[spawner_sku]],LEN(Table14[[#This Row],[spawner_sku]])-FIND("/",Table14[[#This Row],[spawner_sku]])),Table1[Entity Prefab],0)),10,1,1,"Entities"))</f>
        <v>103</v>
      </c>
      <c r="DX247" s="74">
        <f ca="1">ROUND((Table14[[#This Row],[XP]]*Table14[[#This Row],[entity_spawned (AVG)]])*(Table14[[#This Row],[activating_chance]]/100),0)</f>
        <v>103</v>
      </c>
      <c r="DY247" s="144" t="str">
        <f ca="1">INDIRECT(ADDRESS(11+(MATCH(RIGHT(Table14[[#This Row],[spawner_sku]],LEN(Table14[[#This Row],[spawner_sku]])-FIND("/",Table14[[#This Row],[spawner_sku]])),Table28[Entity Prefab],0)),25,1,1,"Entities"))</f>
        <v>yes</v>
      </c>
      <c r="DZ247" s="71">
        <v>1</v>
      </c>
      <c r="EA247" s="71">
        <v>1</v>
      </c>
      <c r="EB247" s="71" t="b">
        <v>0</v>
      </c>
      <c r="EC247" s="71"/>
      <c r="EO247" t="s">
        <v>571</v>
      </c>
      <c r="EP247">
        <v>1</v>
      </c>
      <c r="EQ247">
        <v>120</v>
      </c>
      <c r="ER247">
        <v>100</v>
      </c>
      <c r="ES247" s="74">
        <f ca="1">INDIRECT(ADDRESS(11+(MATCH(RIGHT(Table18[[#This Row],[spawner_sku]],LEN(Table18[[#This Row],[spawner_sku]])-FIND("/",Table18[[#This Row],[spawner_sku]])),Table1[Entity Prefab],0)),10,1,1,"Entities"))</f>
        <v>35</v>
      </c>
      <c r="ET247" s="74">
        <f ca="1">ROUND((Table18[[#This Row],[XP]]*Table18[[#This Row],[entity_spawned (AVG)]])*(Table18[[#This Row],[activating_chance]]/100),0)</f>
        <v>35</v>
      </c>
      <c r="EU247" s="74" t="str">
        <f ca="1">INDIRECT(ADDRESS(11+(MATCH(RIGHT(Table18[[#This Row],[spawner_sku]],LEN(Table18[[#This Row],[spawner_sku]])-FIND("/",Table18[[#This Row],[spawner_sku]])),Table28[Entity Prefab],0)),26,1,1,"Entities"))</f>
        <v>no</v>
      </c>
      <c r="EV247">
        <v>1</v>
      </c>
      <c r="EW247">
        <v>1</v>
      </c>
      <c r="EX247" t="b">
        <v>0</v>
      </c>
    </row>
    <row r="248" spans="2:165" x14ac:dyDescent="0.25">
      <c r="B248" s="72" t="s">
        <v>320</v>
      </c>
      <c r="C248">
        <v>1</v>
      </c>
      <c r="D248">
        <v>180</v>
      </c>
      <c r="E248">
        <v>100</v>
      </c>
      <c r="F248" s="74">
        <f ca="1">INDIRECT(ADDRESS(11+(MATCH(RIGHT(Table245[[#This Row],[spawner_sku]],LEN(Table245[[#This Row],[spawner_sku]])-FIND("/",Table245[[#This Row],[spawner_sku]])),Table1[Entity Prefab],0)),10,1,1,"Entities"))</f>
        <v>143</v>
      </c>
      <c r="G248" s="74">
        <f ca="1">ROUND((Table245[[#This Row],[XP]]*Table245[[#This Row],[entity_spawned (AVG)]])*(Table245[[#This Row],[activating_chance]]/100),0)</f>
        <v>143</v>
      </c>
      <c r="H248" s="71" t="str">
        <f ca="1">INDIRECT(ADDRESS(11+(MATCH(RIGHT(Table245[[#This Row],[spawner_sku]],LEN(Table245[[#This Row],[spawner_sku]])-FIND("/",Table245[[#This Row],[spawner_sku]])),Table28[Entity Prefab],0)),24,1,1,"Entities"))</f>
        <v>yes</v>
      </c>
      <c r="I248" s="71">
        <v>1</v>
      </c>
      <c r="J248" s="71">
        <v>1</v>
      </c>
      <c r="K248" s="71" t="b">
        <v>0</v>
      </c>
      <c r="M248" t="s">
        <v>365</v>
      </c>
      <c r="N248">
        <v>1</v>
      </c>
      <c r="O248">
        <v>240</v>
      </c>
      <c r="P248">
        <v>100</v>
      </c>
      <c r="Q248" s="74">
        <f ca="1">INDIRECT(ADDRESS(11+(MATCH(RIGHT(Table3[[#This Row],[spawner_sku]],LEN(Table3[[#This Row],[spawner_sku]])-FIND("/",Table3[[#This Row],[spawner_sku]])),Table1[Entity Prefab],0)),10,1,1,"Entities"))</f>
        <v>28</v>
      </c>
      <c r="R248" s="74">
        <f ca="1">ROUND((Table3[[#This Row],[XP]]*Table3[[#This Row],[entity_spawned (AVG)]])*(Table3[[#This Row],[activating_chance]]/100),0)</f>
        <v>28</v>
      </c>
      <c r="S248" t="str">
        <f ca="1">INDIRECT(ADDRESS(11+(MATCH(RIGHT(Table3[[#This Row],[spawner_sku]],LEN(Table3[[#This Row],[spawner_sku]])-FIND("/",Table3[[#This Row],[spawner_sku]])),Table28[Entity Prefab],0)),24,1,1,"Entities"))</f>
        <v>yes</v>
      </c>
      <c r="T248">
        <v>1</v>
      </c>
      <c r="U248">
        <v>1</v>
      </c>
      <c r="V248" t="b">
        <v>0</v>
      </c>
      <c r="AI248" t="s">
        <v>369</v>
      </c>
      <c r="AJ248">
        <v>1</v>
      </c>
      <c r="AK248">
        <v>220</v>
      </c>
      <c r="AL248">
        <v>100</v>
      </c>
      <c r="AM248" s="74">
        <f ca="1">INDIRECT(ADDRESS(11+(MATCH(RIGHT(Table2[[#This Row],[spawner_sku]],LEN(Table2[[#This Row],[spawner_sku]])-FIND("/",Table2[[#This Row],[spawner_sku]])),Table1[Entity Prefab],0)),10,1,1,"Entities"))</f>
        <v>75</v>
      </c>
      <c r="AN248" s="74">
        <f ca="1">ROUND((Table2[[#This Row],[XP]]*Table2[[#This Row],[entity_spawned (AVG)]])*(Table2[[#This Row],[activating_chance]]/100),0)</f>
        <v>75</v>
      </c>
      <c r="AO248" s="71" t="str">
        <f ca="1">INDIRECT(ADDRESS(11+(MATCH(RIGHT(Table2[[#This Row],[spawner_sku]],LEN(Table2[[#This Row],[spawner_sku]])-FIND("/",Table2[[#This Row],[spawner_sku]])),Table28[Entity Prefab],0)),24,1,1,"Entities"))</f>
        <v>yes</v>
      </c>
      <c r="AP248" s="71">
        <v>1</v>
      </c>
      <c r="AQ248" s="71">
        <v>1</v>
      </c>
      <c r="AR248" s="71" t="b">
        <v>0</v>
      </c>
      <c r="BP248" t="s">
        <v>448</v>
      </c>
      <c r="BQ248">
        <v>1</v>
      </c>
      <c r="BR248">
        <v>280</v>
      </c>
      <c r="BS248">
        <v>100</v>
      </c>
      <c r="BT248" s="74">
        <f ca="1">INDIRECT(ADDRESS(11+(MATCH(RIGHT(Table61011[[#This Row],[spawner_sku]],LEN(Table61011[[#This Row],[spawner_sku]])-FIND("/",Table61011[[#This Row],[spawner_sku]])),Table1[Entity Prefab],0)),10,1,1,"Entities"))</f>
        <v>143</v>
      </c>
      <c r="BU248" s="74">
        <f ca="1">ROUND((Table61011[[#This Row],[XP]]*Table61011[[#This Row],[entity_spawned (AVG)]])*(Table61011[[#This Row],[activating_chance]]/100),0)</f>
        <v>143</v>
      </c>
      <c r="BV248" s="71" t="str">
        <f ca="1">INDIRECT(ADDRESS(11+(MATCH(RIGHT(Table61011[[#This Row],[spawner_sku]],LEN(Table61011[[#This Row],[spawner_sku]])-FIND("/",Table61011[[#This Row],[spawner_sku]])),Table28[Entity Prefab],0)),24,1,1,"Entities"))</f>
        <v>yes</v>
      </c>
      <c r="BW248" s="71">
        <v>1</v>
      </c>
      <c r="BX248" s="71">
        <v>1</v>
      </c>
      <c r="BY248" s="71" t="b">
        <v>0</v>
      </c>
      <c r="BZ248" s="71"/>
      <c r="CA248" s="147" t="s">
        <v>3816</v>
      </c>
      <c r="CB248">
        <v>1</v>
      </c>
      <c r="CC248">
        <v>240</v>
      </c>
      <c r="CD248">
        <v>100</v>
      </c>
      <c r="CE248" s="74">
        <f ca="1">INDIRECT(ADDRESS(11+(MATCH(RIGHT(Table35[[#This Row],[spawner_sku]],LEN(Table35[[#This Row],[spawner_sku]])-FIND("/",Table35[[#This Row],[spawner_sku]])),Table1[Entity Prefab],0)),10,1,1,"Entities"))</f>
        <v>50</v>
      </c>
      <c r="CF248" s="74">
        <f ca="1">ROUND((Table35[[#This Row],[XP]]*Table35[[#This Row],[entity_spawned (AVG)]])*(Table35[[#This Row],[activating_chance]]/100),0)</f>
        <v>50</v>
      </c>
      <c r="CG248" s="144" t="str">
        <f ca="1">INDIRECT(ADDRESS(11+(MATCH(RIGHT(Table35[[#This Row],[spawner_sku]],LEN(Table35[[#This Row],[spawner_sku]])-FIND("/",Table35[[#This Row],[spawner_sku]])),Table28[Entity Prefab],0)),24,1,1,"Entities"))</f>
        <v>no</v>
      </c>
      <c r="CH248">
        <v>1</v>
      </c>
      <c r="CI248">
        <v>1</v>
      </c>
      <c r="CJ248" s="71" t="b">
        <v>0</v>
      </c>
      <c r="CL248" t="s">
        <v>428</v>
      </c>
      <c r="CM248">
        <v>1.5</v>
      </c>
      <c r="CN248">
        <v>280</v>
      </c>
      <c r="CO248">
        <v>100</v>
      </c>
      <c r="CP248" s="74">
        <f ca="1">INDIRECT(ADDRESS(11+(MATCH(RIGHT(Table11[[#This Row],[spawner_sku]],LEN(Table11[[#This Row],[spawner_sku]])-FIND("/",Table11[[#This Row],[spawner_sku]])),Table1[Entity Prefab],0)),10,1,1,"Entities"))</f>
        <v>70</v>
      </c>
      <c r="CQ248">
        <f ca="1">ROUND((Table11[[#This Row],[XP]]*Table11[[#This Row],[entity_spawned (AVG)]])*(Table11[[#This Row],[activating_chance]]/100),0)</f>
        <v>105</v>
      </c>
      <c r="CR248" s="144" t="str">
        <f ca="1">INDIRECT(ADDRESS(11+(MATCH(RIGHT(Table11[[#This Row],[spawner_sku]],LEN(Table11[[#This Row],[spawner_sku]])-FIND("/",Table11[[#This Row],[spawner_sku]])),Table28[Entity Prefab],0)),25,1,1,"Entities"))</f>
        <v>yes</v>
      </c>
      <c r="CS248" s="71">
        <v>1</v>
      </c>
      <c r="CT248" s="71">
        <v>2</v>
      </c>
      <c r="CU248" s="71" t="b">
        <v>0</v>
      </c>
      <c r="CW248" t="s">
        <v>8010</v>
      </c>
      <c r="CX248">
        <v>1</v>
      </c>
      <c r="CY248">
        <v>150</v>
      </c>
      <c r="CZ248">
        <v>100</v>
      </c>
      <c r="DA248" s="74">
        <f ca="1">INDIRECT(ADDRESS(11+(MATCH(RIGHT(Table12[[#This Row],[spawner_sku]],LEN(Table12[[#This Row],[spawner_sku]])-FIND("/",Table12[[#This Row],[spawner_sku]])),Table1[Entity Prefab],0)),10,1,1,"Entities"))</f>
        <v>50</v>
      </c>
      <c r="DB248" s="74">
        <f ca="1">ROUND((Table12[[#This Row],[XP]]*Table12[[#This Row],[entity_spawned (AVG)]])*(Table12[[#This Row],[activating_chance]]/100),0)</f>
        <v>50</v>
      </c>
      <c r="DC248" s="144" t="str">
        <f ca="1">INDIRECT(ADDRESS(11+(MATCH(RIGHT(Table12[[#This Row],[spawner_sku]],LEN(Table12[[#This Row],[spawner_sku]])-FIND("/",Table12[[#This Row],[spawner_sku]])),Table28[Entity Prefab],0)),25,1,1,"Entities"))</f>
        <v>no</v>
      </c>
      <c r="DD248" s="71">
        <v>1</v>
      </c>
      <c r="DE248" s="71">
        <v>1</v>
      </c>
      <c r="DF248" s="71" t="b">
        <v>0</v>
      </c>
      <c r="DH248" t="s">
        <v>243</v>
      </c>
      <c r="DI248">
        <v>1</v>
      </c>
      <c r="DJ248">
        <v>150</v>
      </c>
      <c r="DK248">
        <v>100</v>
      </c>
      <c r="DL248" s="74">
        <f ca="1">INDIRECT(ADDRESS(11+(MATCH(RIGHT(Table13[[#This Row],[spawner_sku]],LEN(Table13[[#This Row],[spawner_sku]])-FIND("/",Table13[[#This Row],[spawner_sku]])),Table1[Entity Prefab],0)),10,1,1,"Entities"))</f>
        <v>25</v>
      </c>
      <c r="DM248" s="74">
        <f ca="1">ROUND((Table13[[#This Row],[XP]]*Table13[[#This Row],[entity_spawned (AVG)]])*(Table13[[#This Row],[activating_chance]]/100),0)</f>
        <v>25</v>
      </c>
      <c r="DN248" s="144" t="str">
        <f ca="1">INDIRECT(ADDRESS(11+(MATCH(RIGHT(Table13[[#This Row],[spawner_sku]],LEN(Table13[[#This Row],[spawner_sku]])-FIND("/",Table13[[#This Row],[spawner_sku]])),Table28[Entity Prefab],0)),25,1,1,"Entities"))</f>
        <v>no</v>
      </c>
      <c r="DO248" s="71">
        <v>1</v>
      </c>
      <c r="DP248" s="71">
        <v>1</v>
      </c>
      <c r="DQ248" s="71" t="b">
        <v>0</v>
      </c>
      <c r="DS248" t="s">
        <v>494</v>
      </c>
      <c r="DT248">
        <v>1</v>
      </c>
      <c r="DU248">
        <v>310</v>
      </c>
      <c r="DV248">
        <v>100</v>
      </c>
      <c r="DW248" s="74">
        <f ca="1">INDIRECT(ADDRESS(11+(MATCH(RIGHT(Table14[[#This Row],[spawner_sku]],LEN(Table14[[#This Row],[spawner_sku]])-FIND("/",Table14[[#This Row],[spawner_sku]])),Table1[Entity Prefab],0)),10,1,1,"Entities"))</f>
        <v>103</v>
      </c>
      <c r="DX248" s="74">
        <f ca="1">ROUND((Table14[[#This Row],[XP]]*Table14[[#This Row],[entity_spawned (AVG)]])*(Table14[[#This Row],[activating_chance]]/100),0)</f>
        <v>103</v>
      </c>
      <c r="DY248" s="144" t="str">
        <f ca="1">INDIRECT(ADDRESS(11+(MATCH(RIGHT(Table14[[#This Row],[spawner_sku]],LEN(Table14[[#This Row],[spawner_sku]])-FIND("/",Table14[[#This Row],[spawner_sku]])),Table28[Entity Prefab],0)),25,1,1,"Entities"))</f>
        <v>yes</v>
      </c>
      <c r="DZ248" s="71">
        <v>1</v>
      </c>
      <c r="EA248" s="71">
        <v>1</v>
      </c>
      <c r="EB248" s="71" t="b">
        <v>0</v>
      </c>
      <c r="EC248" s="71"/>
      <c r="EO248" t="s">
        <v>571</v>
      </c>
      <c r="EP248">
        <v>1</v>
      </c>
      <c r="EQ248">
        <v>120</v>
      </c>
      <c r="ER248">
        <v>100</v>
      </c>
      <c r="ES248" s="74">
        <f ca="1">INDIRECT(ADDRESS(11+(MATCH(RIGHT(Table18[[#This Row],[spawner_sku]],LEN(Table18[[#This Row],[spawner_sku]])-FIND("/",Table18[[#This Row],[spawner_sku]])),Table1[Entity Prefab],0)),10,1,1,"Entities"))</f>
        <v>35</v>
      </c>
      <c r="ET248" s="74">
        <f ca="1">ROUND((Table18[[#This Row],[XP]]*Table18[[#This Row],[entity_spawned (AVG)]])*(Table18[[#This Row],[activating_chance]]/100),0)</f>
        <v>35</v>
      </c>
      <c r="EU248" s="74" t="str">
        <f ca="1">INDIRECT(ADDRESS(11+(MATCH(RIGHT(Table18[[#This Row],[spawner_sku]],LEN(Table18[[#This Row],[spawner_sku]])-FIND("/",Table18[[#This Row],[spawner_sku]])),Table28[Entity Prefab],0)),26,1,1,"Entities"))</f>
        <v>no</v>
      </c>
      <c r="EV248">
        <v>1</v>
      </c>
      <c r="EW248">
        <v>1</v>
      </c>
      <c r="EX248" t="b">
        <v>0</v>
      </c>
    </row>
    <row r="249" spans="2:165" x14ac:dyDescent="0.25">
      <c r="B249" s="72" t="s">
        <v>320</v>
      </c>
      <c r="C249">
        <v>1</v>
      </c>
      <c r="D249">
        <v>240</v>
      </c>
      <c r="E249">
        <v>80</v>
      </c>
      <c r="F249" s="74">
        <f ca="1">INDIRECT(ADDRESS(11+(MATCH(RIGHT(Table245[[#This Row],[spawner_sku]],LEN(Table245[[#This Row],[spawner_sku]])-FIND("/",Table245[[#This Row],[spawner_sku]])),Table1[Entity Prefab],0)),10,1,1,"Entities"))</f>
        <v>143</v>
      </c>
      <c r="G249" s="74">
        <f ca="1">ROUND((Table245[[#This Row],[XP]]*Table245[[#This Row],[entity_spawned (AVG)]])*(Table245[[#This Row],[activating_chance]]/100),0)</f>
        <v>114</v>
      </c>
      <c r="H249" s="71" t="str">
        <f ca="1">INDIRECT(ADDRESS(11+(MATCH(RIGHT(Table245[[#This Row],[spawner_sku]],LEN(Table245[[#This Row],[spawner_sku]])-FIND("/",Table245[[#This Row],[spawner_sku]])),Table28[Entity Prefab],0)),24,1,1,"Entities"))</f>
        <v>yes</v>
      </c>
      <c r="I249" s="71">
        <v>1</v>
      </c>
      <c r="J249" s="71">
        <v>1</v>
      </c>
      <c r="K249" s="71" t="b">
        <v>0</v>
      </c>
      <c r="M249" t="s">
        <v>365</v>
      </c>
      <c r="N249">
        <v>1</v>
      </c>
      <c r="O249">
        <v>240</v>
      </c>
      <c r="P249">
        <v>100</v>
      </c>
      <c r="Q249" s="74">
        <f ca="1">INDIRECT(ADDRESS(11+(MATCH(RIGHT(Table3[[#This Row],[spawner_sku]],LEN(Table3[[#This Row],[spawner_sku]])-FIND("/",Table3[[#This Row],[spawner_sku]])),Table1[Entity Prefab],0)),10,1,1,"Entities"))</f>
        <v>28</v>
      </c>
      <c r="R249" s="74">
        <f ca="1">ROUND((Table3[[#This Row],[XP]]*Table3[[#This Row],[entity_spawned (AVG)]])*(Table3[[#This Row],[activating_chance]]/100),0)</f>
        <v>28</v>
      </c>
      <c r="S249" t="str">
        <f ca="1">INDIRECT(ADDRESS(11+(MATCH(RIGHT(Table3[[#This Row],[spawner_sku]],LEN(Table3[[#This Row],[spawner_sku]])-FIND("/",Table3[[#This Row],[spawner_sku]])),Table28[Entity Prefab],0)),24,1,1,"Entities"))</f>
        <v>yes</v>
      </c>
      <c r="T249">
        <v>1</v>
      </c>
      <c r="U249">
        <v>1</v>
      </c>
      <c r="V249" t="b">
        <v>0</v>
      </c>
      <c r="AI249" t="s">
        <v>369</v>
      </c>
      <c r="AJ249">
        <v>1</v>
      </c>
      <c r="AK249">
        <v>220</v>
      </c>
      <c r="AL249">
        <v>100</v>
      </c>
      <c r="AM249" s="74">
        <f ca="1">INDIRECT(ADDRESS(11+(MATCH(RIGHT(Table2[[#This Row],[spawner_sku]],LEN(Table2[[#This Row],[spawner_sku]])-FIND("/",Table2[[#This Row],[spawner_sku]])),Table1[Entity Prefab],0)),10,1,1,"Entities"))</f>
        <v>75</v>
      </c>
      <c r="AN249" s="74">
        <f ca="1">ROUND((Table2[[#This Row],[XP]]*Table2[[#This Row],[entity_spawned (AVG)]])*(Table2[[#This Row],[activating_chance]]/100),0)</f>
        <v>75</v>
      </c>
      <c r="AO249" s="71" t="str">
        <f ca="1">INDIRECT(ADDRESS(11+(MATCH(RIGHT(Table2[[#This Row],[spawner_sku]],LEN(Table2[[#This Row],[spawner_sku]])-FIND("/",Table2[[#This Row],[spawner_sku]])),Table28[Entity Prefab],0)),24,1,1,"Entities"))</f>
        <v>yes</v>
      </c>
      <c r="AP249" s="71">
        <v>1</v>
      </c>
      <c r="AQ249" s="71">
        <v>1</v>
      </c>
      <c r="AR249" s="71" t="b">
        <v>0</v>
      </c>
      <c r="BP249" t="s">
        <v>448</v>
      </c>
      <c r="BQ249">
        <v>1</v>
      </c>
      <c r="BR249">
        <v>280</v>
      </c>
      <c r="BS249">
        <v>100</v>
      </c>
      <c r="BT249" s="74">
        <f ca="1">INDIRECT(ADDRESS(11+(MATCH(RIGHT(Table61011[[#This Row],[spawner_sku]],LEN(Table61011[[#This Row],[spawner_sku]])-FIND("/",Table61011[[#This Row],[spawner_sku]])),Table1[Entity Prefab],0)),10,1,1,"Entities"))</f>
        <v>143</v>
      </c>
      <c r="BU249" s="74">
        <f ca="1">ROUND((Table61011[[#This Row],[XP]]*Table61011[[#This Row],[entity_spawned (AVG)]])*(Table61011[[#This Row],[activating_chance]]/100),0)</f>
        <v>143</v>
      </c>
      <c r="BV249" s="71" t="str">
        <f ca="1">INDIRECT(ADDRESS(11+(MATCH(RIGHT(Table61011[[#This Row],[spawner_sku]],LEN(Table61011[[#This Row],[spawner_sku]])-FIND("/",Table61011[[#This Row],[spawner_sku]])),Table28[Entity Prefab],0)),24,1,1,"Entities"))</f>
        <v>yes</v>
      </c>
      <c r="BW249" s="71">
        <v>1</v>
      </c>
      <c r="BX249" s="71">
        <v>1</v>
      </c>
      <c r="BY249" s="71" t="b">
        <v>0</v>
      </c>
      <c r="BZ249" s="71"/>
      <c r="CA249" s="147" t="s">
        <v>3816</v>
      </c>
      <c r="CB249">
        <v>1</v>
      </c>
      <c r="CC249">
        <v>240</v>
      </c>
      <c r="CD249">
        <v>100</v>
      </c>
      <c r="CE249" s="74">
        <f ca="1">INDIRECT(ADDRESS(11+(MATCH(RIGHT(Table35[[#This Row],[spawner_sku]],LEN(Table35[[#This Row],[spawner_sku]])-FIND("/",Table35[[#This Row],[spawner_sku]])),Table1[Entity Prefab],0)),10,1,1,"Entities"))</f>
        <v>50</v>
      </c>
      <c r="CF249" s="74">
        <f ca="1">ROUND((Table35[[#This Row],[XP]]*Table35[[#This Row],[entity_spawned (AVG)]])*(Table35[[#This Row],[activating_chance]]/100),0)</f>
        <v>50</v>
      </c>
      <c r="CG249" s="144" t="str">
        <f ca="1">INDIRECT(ADDRESS(11+(MATCH(RIGHT(Table35[[#This Row],[spawner_sku]],LEN(Table35[[#This Row],[spawner_sku]])-FIND("/",Table35[[#This Row],[spawner_sku]])),Table28[Entity Prefab],0)),24,1,1,"Entities"))</f>
        <v>no</v>
      </c>
      <c r="CH249">
        <v>1</v>
      </c>
      <c r="CI249">
        <v>1</v>
      </c>
      <c r="CJ249" s="71" t="b">
        <v>0</v>
      </c>
      <c r="CL249" t="s">
        <v>428</v>
      </c>
      <c r="CM249">
        <v>1.5</v>
      </c>
      <c r="CN249">
        <v>280</v>
      </c>
      <c r="CO249">
        <v>100</v>
      </c>
      <c r="CP249" s="74">
        <f ca="1">INDIRECT(ADDRESS(11+(MATCH(RIGHT(Table11[[#This Row],[spawner_sku]],LEN(Table11[[#This Row],[spawner_sku]])-FIND("/",Table11[[#This Row],[spawner_sku]])),Table1[Entity Prefab],0)),10,1,1,"Entities"))</f>
        <v>70</v>
      </c>
      <c r="CQ249">
        <f ca="1">ROUND((Table11[[#This Row],[XP]]*Table11[[#This Row],[entity_spawned (AVG)]])*(Table11[[#This Row],[activating_chance]]/100),0)</f>
        <v>105</v>
      </c>
      <c r="CR249" s="144" t="str">
        <f ca="1">INDIRECT(ADDRESS(11+(MATCH(RIGHT(Table11[[#This Row],[spawner_sku]],LEN(Table11[[#This Row],[spawner_sku]])-FIND("/",Table11[[#This Row],[spawner_sku]])),Table28[Entity Prefab],0)),25,1,1,"Entities"))</f>
        <v>yes</v>
      </c>
      <c r="CS249" s="71">
        <v>1</v>
      </c>
      <c r="CT249" s="71">
        <v>2</v>
      </c>
      <c r="CU249" s="71" t="b">
        <v>0</v>
      </c>
      <c r="DH249" t="s">
        <v>243</v>
      </c>
      <c r="DI249">
        <v>1.5</v>
      </c>
      <c r="DJ249">
        <v>150</v>
      </c>
      <c r="DK249">
        <v>30</v>
      </c>
      <c r="DL249" s="74">
        <f ca="1">INDIRECT(ADDRESS(11+(MATCH(RIGHT(Table13[[#This Row],[spawner_sku]],LEN(Table13[[#This Row],[spawner_sku]])-FIND("/",Table13[[#This Row],[spawner_sku]])),Table1[Entity Prefab],0)),10,1,1,"Entities"))</f>
        <v>25</v>
      </c>
      <c r="DM249" s="74">
        <f ca="1">ROUND((Table13[[#This Row],[XP]]*Table13[[#This Row],[entity_spawned (AVG)]])*(Table13[[#This Row],[activating_chance]]/100),0)</f>
        <v>11</v>
      </c>
      <c r="DN249" s="144" t="str">
        <f ca="1">INDIRECT(ADDRESS(11+(MATCH(RIGHT(Table13[[#This Row],[spawner_sku]],LEN(Table13[[#This Row],[spawner_sku]])-FIND("/",Table13[[#This Row],[spawner_sku]])),Table28[Entity Prefab],0)),25,1,1,"Entities"))</f>
        <v>no</v>
      </c>
      <c r="DO249" s="71">
        <v>1</v>
      </c>
      <c r="DP249" s="71">
        <v>2</v>
      </c>
      <c r="DQ249" s="71" t="b">
        <v>0</v>
      </c>
      <c r="DS249" t="s">
        <v>494</v>
      </c>
      <c r="DT249">
        <v>1</v>
      </c>
      <c r="DU249">
        <v>310</v>
      </c>
      <c r="DV249">
        <v>100</v>
      </c>
      <c r="DW249" s="74">
        <f ca="1">INDIRECT(ADDRESS(11+(MATCH(RIGHT(Table14[[#This Row],[spawner_sku]],LEN(Table14[[#This Row],[spawner_sku]])-FIND("/",Table14[[#This Row],[spawner_sku]])),Table1[Entity Prefab],0)),10,1,1,"Entities"))</f>
        <v>103</v>
      </c>
      <c r="DX249" s="74">
        <f ca="1">ROUND((Table14[[#This Row],[XP]]*Table14[[#This Row],[entity_spawned (AVG)]])*(Table14[[#This Row],[activating_chance]]/100),0)</f>
        <v>103</v>
      </c>
      <c r="DY249" s="144" t="str">
        <f ca="1">INDIRECT(ADDRESS(11+(MATCH(RIGHT(Table14[[#This Row],[spawner_sku]],LEN(Table14[[#This Row],[spawner_sku]])-FIND("/",Table14[[#This Row],[spawner_sku]])),Table28[Entity Prefab],0)),25,1,1,"Entities"))</f>
        <v>yes</v>
      </c>
      <c r="DZ249" s="71">
        <v>1</v>
      </c>
      <c r="EA249" s="71">
        <v>1</v>
      </c>
      <c r="EB249" s="71" t="b">
        <v>0</v>
      </c>
      <c r="EC249" s="71"/>
      <c r="EO249" t="s">
        <v>571</v>
      </c>
      <c r="EP249">
        <v>1</v>
      </c>
      <c r="EQ249">
        <v>120</v>
      </c>
      <c r="ER249">
        <v>100</v>
      </c>
      <c r="ES249" s="74">
        <f ca="1">INDIRECT(ADDRESS(11+(MATCH(RIGHT(Table18[[#This Row],[spawner_sku]],LEN(Table18[[#This Row],[spawner_sku]])-FIND("/",Table18[[#This Row],[spawner_sku]])),Table1[Entity Prefab],0)),10,1,1,"Entities"))</f>
        <v>35</v>
      </c>
      <c r="ET249" s="74">
        <f ca="1">ROUND((Table18[[#This Row],[XP]]*Table18[[#This Row],[entity_spawned (AVG)]])*(Table18[[#This Row],[activating_chance]]/100),0)</f>
        <v>35</v>
      </c>
      <c r="EU249" s="74" t="str">
        <f ca="1">INDIRECT(ADDRESS(11+(MATCH(RIGHT(Table18[[#This Row],[spawner_sku]],LEN(Table18[[#This Row],[spawner_sku]])-FIND("/",Table18[[#This Row],[spawner_sku]])),Table28[Entity Prefab],0)),26,1,1,"Entities"))</f>
        <v>no</v>
      </c>
      <c r="EV249">
        <v>1</v>
      </c>
      <c r="EW249">
        <v>1</v>
      </c>
      <c r="EX249" t="b">
        <v>0</v>
      </c>
    </row>
    <row r="250" spans="2:165" x14ac:dyDescent="0.25">
      <c r="B250" s="72" t="s">
        <v>320</v>
      </c>
      <c r="C250">
        <v>3</v>
      </c>
      <c r="D250">
        <v>270</v>
      </c>
      <c r="E250">
        <v>100</v>
      </c>
      <c r="F250" s="74">
        <f ca="1">INDIRECT(ADDRESS(11+(MATCH(RIGHT(Table245[[#This Row],[spawner_sku]],LEN(Table245[[#This Row],[spawner_sku]])-FIND("/",Table245[[#This Row],[spawner_sku]])),Table1[Entity Prefab],0)),10,1,1,"Entities"))</f>
        <v>143</v>
      </c>
      <c r="G250" s="74">
        <f ca="1">ROUND((Table245[[#This Row],[XP]]*Table245[[#This Row],[entity_spawned (AVG)]])*(Table245[[#This Row],[activating_chance]]/100),0)</f>
        <v>429</v>
      </c>
      <c r="H250" s="71" t="str">
        <f ca="1">INDIRECT(ADDRESS(11+(MATCH(RIGHT(Table245[[#This Row],[spawner_sku]],LEN(Table245[[#This Row],[spawner_sku]])-FIND("/",Table245[[#This Row],[spawner_sku]])),Table28[Entity Prefab],0)),24,1,1,"Entities"))</f>
        <v>yes</v>
      </c>
      <c r="I250" s="71">
        <v>3</v>
      </c>
      <c r="J250" s="71">
        <v>3</v>
      </c>
      <c r="K250" s="71" t="b">
        <v>0</v>
      </c>
      <c r="M250" t="s">
        <v>223</v>
      </c>
      <c r="N250">
        <v>2</v>
      </c>
      <c r="O250">
        <v>170</v>
      </c>
      <c r="P250">
        <v>90</v>
      </c>
      <c r="Q250" s="74">
        <f ca="1">INDIRECT(ADDRESS(11+(MATCH(RIGHT(Table3[[#This Row],[spawner_sku]],LEN(Table3[[#This Row],[spawner_sku]])-FIND("/",Table3[[#This Row],[spawner_sku]])),Table1[Entity Prefab],0)),10,1,1,"Entities"))</f>
        <v>70</v>
      </c>
      <c r="R250" s="74">
        <f ca="1">ROUND((Table3[[#This Row],[XP]]*Table3[[#This Row],[entity_spawned (AVG)]])*(Table3[[#This Row],[activating_chance]]/100),0)</f>
        <v>126</v>
      </c>
      <c r="S250" t="str">
        <f ca="1">INDIRECT(ADDRESS(11+(MATCH(RIGHT(Table3[[#This Row],[spawner_sku]],LEN(Table3[[#This Row],[spawner_sku]])-FIND("/",Table3[[#This Row],[spawner_sku]])),Table28[Entity Prefab],0)),24,1,1,"Entities"))</f>
        <v>yes</v>
      </c>
      <c r="T250">
        <v>2</v>
      </c>
      <c r="U250">
        <v>2</v>
      </c>
      <c r="V250" t="b">
        <v>0</v>
      </c>
      <c r="AI250" t="s">
        <v>369</v>
      </c>
      <c r="AJ250">
        <v>1</v>
      </c>
      <c r="AK250">
        <v>220</v>
      </c>
      <c r="AL250">
        <v>100</v>
      </c>
      <c r="AM250" s="74">
        <f ca="1">INDIRECT(ADDRESS(11+(MATCH(RIGHT(Table2[[#This Row],[spawner_sku]],LEN(Table2[[#This Row],[spawner_sku]])-FIND("/",Table2[[#This Row],[spawner_sku]])),Table1[Entity Prefab],0)),10,1,1,"Entities"))</f>
        <v>75</v>
      </c>
      <c r="AN250" s="74">
        <f ca="1">ROUND((Table2[[#This Row],[XP]]*Table2[[#This Row],[entity_spawned (AVG)]])*(Table2[[#This Row],[activating_chance]]/100),0)</f>
        <v>75</v>
      </c>
      <c r="AO250" s="71" t="str">
        <f ca="1">INDIRECT(ADDRESS(11+(MATCH(RIGHT(Table2[[#This Row],[spawner_sku]],LEN(Table2[[#This Row],[spawner_sku]])-FIND("/",Table2[[#This Row],[spawner_sku]])),Table28[Entity Prefab],0)),24,1,1,"Entities"))</f>
        <v>yes</v>
      </c>
      <c r="AP250" s="71">
        <v>1</v>
      </c>
      <c r="AQ250" s="71">
        <v>1</v>
      </c>
      <c r="AR250" s="71" t="b">
        <v>0</v>
      </c>
      <c r="BP250" t="s">
        <v>448</v>
      </c>
      <c r="BQ250">
        <v>1</v>
      </c>
      <c r="BR250">
        <v>280</v>
      </c>
      <c r="BS250">
        <v>100</v>
      </c>
      <c r="BT250" s="74">
        <f ca="1">INDIRECT(ADDRESS(11+(MATCH(RIGHT(Table61011[[#This Row],[spawner_sku]],LEN(Table61011[[#This Row],[spawner_sku]])-FIND("/",Table61011[[#This Row],[spawner_sku]])),Table1[Entity Prefab],0)),10,1,1,"Entities"))</f>
        <v>143</v>
      </c>
      <c r="BU250" s="74">
        <f ca="1">ROUND((Table61011[[#This Row],[XP]]*Table61011[[#This Row],[entity_spawned (AVG)]])*(Table61011[[#This Row],[activating_chance]]/100),0)</f>
        <v>143</v>
      </c>
      <c r="BV250" s="71" t="str">
        <f ca="1">INDIRECT(ADDRESS(11+(MATCH(RIGHT(Table61011[[#This Row],[spawner_sku]],LEN(Table61011[[#This Row],[spawner_sku]])-FIND("/",Table61011[[#This Row],[spawner_sku]])),Table28[Entity Prefab],0)),24,1,1,"Entities"))</f>
        <v>yes</v>
      </c>
      <c r="BW250" s="71">
        <v>1</v>
      </c>
      <c r="BX250" s="71">
        <v>1</v>
      </c>
      <c r="BY250" s="71" t="b">
        <v>0</v>
      </c>
      <c r="BZ250" s="71"/>
      <c r="CA250" s="147" t="s">
        <v>3816</v>
      </c>
      <c r="CB250">
        <v>1</v>
      </c>
      <c r="CC250">
        <v>240</v>
      </c>
      <c r="CD250">
        <v>100</v>
      </c>
      <c r="CE250" s="74">
        <f ca="1">INDIRECT(ADDRESS(11+(MATCH(RIGHT(Table35[[#This Row],[spawner_sku]],LEN(Table35[[#This Row],[spawner_sku]])-FIND("/",Table35[[#This Row],[spawner_sku]])),Table1[Entity Prefab],0)),10,1,1,"Entities"))</f>
        <v>50</v>
      </c>
      <c r="CF250" s="74">
        <f ca="1">ROUND((Table35[[#This Row],[XP]]*Table35[[#This Row],[entity_spawned (AVG)]])*(Table35[[#This Row],[activating_chance]]/100),0)</f>
        <v>50</v>
      </c>
      <c r="CG250" s="144" t="str">
        <f ca="1">INDIRECT(ADDRESS(11+(MATCH(RIGHT(Table35[[#This Row],[spawner_sku]],LEN(Table35[[#This Row],[spawner_sku]])-FIND("/",Table35[[#This Row],[spawner_sku]])),Table28[Entity Prefab],0)),24,1,1,"Entities"))</f>
        <v>no</v>
      </c>
      <c r="CH250">
        <v>1</v>
      </c>
      <c r="CI250">
        <v>1</v>
      </c>
      <c r="CJ250" s="71" t="b">
        <v>0</v>
      </c>
      <c r="CL250" t="s">
        <v>570</v>
      </c>
      <c r="CM250">
        <v>1</v>
      </c>
      <c r="CN250">
        <v>120</v>
      </c>
      <c r="CO250">
        <v>100</v>
      </c>
      <c r="CP250" s="74">
        <f ca="1">INDIRECT(ADDRESS(11+(MATCH(RIGHT(Table11[[#This Row],[spawner_sku]],LEN(Table11[[#This Row],[spawner_sku]])-FIND("/",Table11[[#This Row],[spawner_sku]])),Table1[Entity Prefab],0)),10,1,1,"Entities"))</f>
        <v>50</v>
      </c>
      <c r="CQ250">
        <f ca="1">ROUND((Table11[[#This Row],[XP]]*Table11[[#This Row],[entity_spawned (AVG)]])*(Table11[[#This Row],[activating_chance]]/100),0)</f>
        <v>50</v>
      </c>
      <c r="CR250" s="144" t="str">
        <f ca="1">INDIRECT(ADDRESS(11+(MATCH(RIGHT(Table11[[#This Row],[spawner_sku]],LEN(Table11[[#This Row],[spawner_sku]])-FIND("/",Table11[[#This Row],[spawner_sku]])),Table28[Entity Prefab],0)),25,1,1,"Entities"))</f>
        <v>no</v>
      </c>
      <c r="CS250" s="71">
        <v>1</v>
      </c>
      <c r="CT250" s="71">
        <v>1</v>
      </c>
      <c r="CU250" s="71" t="b">
        <v>0</v>
      </c>
      <c r="DH250" t="s">
        <v>243</v>
      </c>
      <c r="DI250">
        <v>2</v>
      </c>
      <c r="DJ250">
        <v>150</v>
      </c>
      <c r="DK250">
        <v>100</v>
      </c>
      <c r="DL250" s="74">
        <f ca="1">INDIRECT(ADDRESS(11+(MATCH(RIGHT(Table13[[#This Row],[spawner_sku]],LEN(Table13[[#This Row],[spawner_sku]])-FIND("/",Table13[[#This Row],[spawner_sku]])),Table1[Entity Prefab],0)),10,1,1,"Entities"))</f>
        <v>25</v>
      </c>
      <c r="DM250" s="74">
        <f ca="1">ROUND((Table13[[#This Row],[XP]]*Table13[[#This Row],[entity_spawned (AVG)]])*(Table13[[#This Row],[activating_chance]]/100),0)</f>
        <v>50</v>
      </c>
      <c r="DN250" s="144" t="str">
        <f ca="1">INDIRECT(ADDRESS(11+(MATCH(RIGHT(Table13[[#This Row],[spawner_sku]],LEN(Table13[[#This Row],[spawner_sku]])-FIND("/",Table13[[#This Row],[spawner_sku]])),Table28[Entity Prefab],0)),25,1,1,"Entities"))</f>
        <v>no</v>
      </c>
      <c r="DO250" s="71">
        <v>2</v>
      </c>
      <c r="DP250" s="71">
        <v>2</v>
      </c>
      <c r="DQ250" s="71" t="b">
        <v>0</v>
      </c>
      <c r="DS250" t="s">
        <v>494</v>
      </c>
      <c r="DT250">
        <v>1</v>
      </c>
      <c r="DU250">
        <v>310</v>
      </c>
      <c r="DV250">
        <v>100</v>
      </c>
      <c r="DW250" s="74">
        <f ca="1">INDIRECT(ADDRESS(11+(MATCH(RIGHT(Table14[[#This Row],[spawner_sku]],LEN(Table14[[#This Row],[spawner_sku]])-FIND("/",Table14[[#This Row],[spawner_sku]])),Table1[Entity Prefab],0)),10,1,1,"Entities"))</f>
        <v>103</v>
      </c>
      <c r="DX250" s="74">
        <f ca="1">ROUND((Table14[[#This Row],[XP]]*Table14[[#This Row],[entity_spawned (AVG)]])*(Table14[[#This Row],[activating_chance]]/100),0)</f>
        <v>103</v>
      </c>
      <c r="DY250" s="144" t="str">
        <f ca="1">INDIRECT(ADDRESS(11+(MATCH(RIGHT(Table14[[#This Row],[spawner_sku]],LEN(Table14[[#This Row],[spawner_sku]])-FIND("/",Table14[[#This Row],[spawner_sku]])),Table28[Entity Prefab],0)),25,1,1,"Entities"))</f>
        <v>yes</v>
      </c>
      <c r="DZ250" s="71">
        <v>1</v>
      </c>
      <c r="EA250" s="71">
        <v>1</v>
      </c>
      <c r="EB250" s="71" t="b">
        <v>0</v>
      </c>
      <c r="EC250" s="71"/>
      <c r="EO250" t="s">
        <v>571</v>
      </c>
      <c r="EP250">
        <v>1</v>
      </c>
      <c r="EQ250">
        <v>120</v>
      </c>
      <c r="ER250">
        <v>100</v>
      </c>
      <c r="ES250" s="74">
        <f ca="1">INDIRECT(ADDRESS(11+(MATCH(RIGHT(Table18[[#This Row],[spawner_sku]],LEN(Table18[[#This Row],[spawner_sku]])-FIND("/",Table18[[#This Row],[spawner_sku]])),Table1[Entity Prefab],0)),10,1,1,"Entities"))</f>
        <v>35</v>
      </c>
      <c r="ET250" s="74">
        <f ca="1">ROUND((Table18[[#This Row],[XP]]*Table18[[#This Row],[entity_spawned (AVG)]])*(Table18[[#This Row],[activating_chance]]/100),0)</f>
        <v>35</v>
      </c>
      <c r="EU250" s="74" t="str">
        <f ca="1">INDIRECT(ADDRESS(11+(MATCH(RIGHT(Table18[[#This Row],[spawner_sku]],LEN(Table18[[#This Row],[spawner_sku]])-FIND("/",Table18[[#This Row],[spawner_sku]])),Table28[Entity Prefab],0)),26,1,1,"Entities"))</f>
        <v>no</v>
      </c>
      <c r="EV250">
        <v>1</v>
      </c>
      <c r="EW250">
        <v>1</v>
      </c>
      <c r="EX250" t="b">
        <v>0</v>
      </c>
    </row>
    <row r="251" spans="2:165" x14ac:dyDescent="0.25">
      <c r="B251" s="72" t="s">
        <v>320</v>
      </c>
      <c r="C251">
        <v>2</v>
      </c>
      <c r="D251">
        <v>180</v>
      </c>
      <c r="E251">
        <v>100</v>
      </c>
      <c r="F251" s="74">
        <f ca="1">INDIRECT(ADDRESS(11+(MATCH(RIGHT(Table245[[#This Row],[spawner_sku]],LEN(Table245[[#This Row],[spawner_sku]])-FIND("/",Table245[[#This Row],[spawner_sku]])),Table1[Entity Prefab],0)),10,1,1,"Entities"))</f>
        <v>143</v>
      </c>
      <c r="G251" s="74">
        <f ca="1">ROUND((Table245[[#This Row],[XP]]*Table245[[#This Row],[entity_spawned (AVG)]])*(Table245[[#This Row],[activating_chance]]/100),0)</f>
        <v>286</v>
      </c>
      <c r="H251" s="71" t="str">
        <f ca="1">INDIRECT(ADDRESS(11+(MATCH(RIGHT(Table245[[#This Row],[spawner_sku]],LEN(Table245[[#This Row],[spawner_sku]])-FIND("/",Table245[[#This Row],[spawner_sku]])),Table28[Entity Prefab],0)),24,1,1,"Entities"))</f>
        <v>yes</v>
      </c>
      <c r="I251" s="71">
        <v>2</v>
      </c>
      <c r="J251" s="71">
        <v>2</v>
      </c>
      <c r="K251" s="71" t="b">
        <v>0</v>
      </c>
      <c r="M251" t="s">
        <v>366</v>
      </c>
      <c r="N251">
        <v>5</v>
      </c>
      <c r="O251">
        <v>100</v>
      </c>
      <c r="P251">
        <v>100</v>
      </c>
      <c r="Q251" s="74">
        <f ca="1">INDIRECT(ADDRESS(11+(MATCH(RIGHT(Table3[[#This Row],[spawner_sku]],LEN(Table3[[#This Row],[spawner_sku]])-FIND("/",Table3[[#This Row],[spawner_sku]])),Table1[Entity Prefab],0)),10,1,1,"Entities"))</f>
        <v>25</v>
      </c>
      <c r="R251" s="74">
        <f ca="1">ROUND((Table3[[#This Row],[XP]]*Table3[[#This Row],[entity_spawned (AVG)]])*(Table3[[#This Row],[activating_chance]]/100),0)</f>
        <v>125</v>
      </c>
      <c r="S251" t="str">
        <f ca="1">INDIRECT(ADDRESS(11+(MATCH(RIGHT(Table3[[#This Row],[spawner_sku]],LEN(Table3[[#This Row],[spawner_sku]])-FIND("/",Table3[[#This Row],[spawner_sku]])),Table28[Entity Prefab],0)),24,1,1,"Entities"))</f>
        <v>no</v>
      </c>
      <c r="T251">
        <v>5</v>
      </c>
      <c r="U251">
        <v>5</v>
      </c>
      <c r="V251" t="b">
        <v>1</v>
      </c>
      <c r="AI251" t="s">
        <v>369</v>
      </c>
      <c r="AJ251">
        <v>1</v>
      </c>
      <c r="AK251">
        <v>220</v>
      </c>
      <c r="AL251">
        <v>100</v>
      </c>
      <c r="AM251" s="74">
        <f ca="1">INDIRECT(ADDRESS(11+(MATCH(RIGHT(Table2[[#This Row],[spawner_sku]],LEN(Table2[[#This Row],[spawner_sku]])-FIND("/",Table2[[#This Row],[spawner_sku]])),Table1[Entity Prefab],0)),10,1,1,"Entities"))</f>
        <v>75</v>
      </c>
      <c r="AN251" s="74">
        <f ca="1">ROUND((Table2[[#This Row],[XP]]*Table2[[#This Row],[entity_spawned (AVG)]])*(Table2[[#This Row],[activating_chance]]/100),0)</f>
        <v>75</v>
      </c>
      <c r="AO251" s="71" t="str">
        <f ca="1">INDIRECT(ADDRESS(11+(MATCH(RIGHT(Table2[[#This Row],[spawner_sku]],LEN(Table2[[#This Row],[spawner_sku]])-FIND("/",Table2[[#This Row],[spawner_sku]])),Table28[Entity Prefab],0)),24,1,1,"Entities"))</f>
        <v>yes</v>
      </c>
      <c r="AP251" s="71">
        <v>1</v>
      </c>
      <c r="AQ251" s="71">
        <v>1</v>
      </c>
      <c r="AR251" s="71" t="b">
        <v>0</v>
      </c>
      <c r="BP251" t="s">
        <v>448</v>
      </c>
      <c r="BQ251">
        <v>1</v>
      </c>
      <c r="BR251">
        <v>280</v>
      </c>
      <c r="BS251">
        <v>100</v>
      </c>
      <c r="BT251" s="74">
        <f ca="1">INDIRECT(ADDRESS(11+(MATCH(RIGHT(Table61011[[#This Row],[spawner_sku]],LEN(Table61011[[#This Row],[spawner_sku]])-FIND("/",Table61011[[#This Row],[spawner_sku]])),Table1[Entity Prefab],0)),10,1,1,"Entities"))</f>
        <v>143</v>
      </c>
      <c r="BU251" s="74">
        <f ca="1">ROUND((Table61011[[#This Row],[XP]]*Table61011[[#This Row],[entity_spawned (AVG)]])*(Table61011[[#This Row],[activating_chance]]/100),0)</f>
        <v>143</v>
      </c>
      <c r="BV251" s="71" t="str">
        <f ca="1">INDIRECT(ADDRESS(11+(MATCH(RIGHT(Table61011[[#This Row],[spawner_sku]],LEN(Table61011[[#This Row],[spawner_sku]])-FIND("/",Table61011[[#This Row],[spawner_sku]])),Table28[Entity Prefab],0)),24,1,1,"Entities"))</f>
        <v>yes</v>
      </c>
      <c r="BW251" s="71">
        <v>1</v>
      </c>
      <c r="BX251" s="71">
        <v>1</v>
      </c>
      <c r="BY251" s="71" t="b">
        <v>0</v>
      </c>
      <c r="BZ251" s="71"/>
      <c r="CA251" s="147" t="s">
        <v>3816</v>
      </c>
      <c r="CB251">
        <v>1</v>
      </c>
      <c r="CC251">
        <v>240</v>
      </c>
      <c r="CD251">
        <v>100</v>
      </c>
      <c r="CE251" s="74">
        <f ca="1">INDIRECT(ADDRESS(11+(MATCH(RIGHT(Table35[[#This Row],[spawner_sku]],LEN(Table35[[#This Row],[spawner_sku]])-FIND("/",Table35[[#This Row],[spawner_sku]])),Table1[Entity Prefab],0)),10,1,1,"Entities"))</f>
        <v>50</v>
      </c>
      <c r="CF251" s="74">
        <f ca="1">ROUND((Table35[[#This Row],[XP]]*Table35[[#This Row],[entity_spawned (AVG)]])*(Table35[[#This Row],[activating_chance]]/100),0)</f>
        <v>50</v>
      </c>
      <c r="CG251" s="144" t="str">
        <f ca="1">INDIRECT(ADDRESS(11+(MATCH(RIGHT(Table35[[#This Row],[spawner_sku]],LEN(Table35[[#This Row],[spawner_sku]])-FIND("/",Table35[[#This Row],[spawner_sku]])),Table28[Entity Prefab],0)),24,1,1,"Entities"))</f>
        <v>no</v>
      </c>
      <c r="CH251">
        <v>1</v>
      </c>
      <c r="CI251">
        <v>1</v>
      </c>
      <c r="CJ251" s="71" t="b">
        <v>0</v>
      </c>
      <c r="CL251" t="s">
        <v>570</v>
      </c>
      <c r="CM251">
        <v>1</v>
      </c>
      <c r="CN251">
        <v>120</v>
      </c>
      <c r="CO251">
        <v>100</v>
      </c>
      <c r="CP251" s="74">
        <f ca="1">INDIRECT(ADDRESS(11+(MATCH(RIGHT(Table11[[#This Row],[spawner_sku]],LEN(Table11[[#This Row],[spawner_sku]])-FIND("/",Table11[[#This Row],[spawner_sku]])),Table1[Entity Prefab],0)),10,1,1,"Entities"))</f>
        <v>50</v>
      </c>
      <c r="CQ251">
        <f ca="1">ROUND((Table11[[#This Row],[XP]]*Table11[[#This Row],[entity_spawned (AVG)]])*(Table11[[#This Row],[activating_chance]]/100),0)</f>
        <v>50</v>
      </c>
      <c r="CR251" s="144" t="str">
        <f ca="1">INDIRECT(ADDRESS(11+(MATCH(RIGHT(Table11[[#This Row],[spawner_sku]],LEN(Table11[[#This Row],[spawner_sku]])-FIND("/",Table11[[#This Row],[spawner_sku]])),Table28[Entity Prefab],0)),25,1,1,"Entities"))</f>
        <v>no</v>
      </c>
      <c r="CS251" s="71">
        <v>1</v>
      </c>
      <c r="CT251" s="71">
        <v>1</v>
      </c>
      <c r="CU251" s="71" t="b">
        <v>0</v>
      </c>
      <c r="DH251" t="s">
        <v>486</v>
      </c>
      <c r="DI251">
        <v>1</v>
      </c>
      <c r="DJ251">
        <v>300</v>
      </c>
      <c r="DK251">
        <v>100</v>
      </c>
      <c r="DL251" s="74">
        <f ca="1">INDIRECT(ADDRESS(11+(MATCH(RIGHT(Table13[[#This Row],[spawner_sku]],LEN(Table13[[#This Row],[spawner_sku]])-FIND("/",Table13[[#This Row],[spawner_sku]])),Table1[Entity Prefab],0)),10,1,1,"Entities"))</f>
        <v>83</v>
      </c>
      <c r="DM251" s="74">
        <f ca="1">ROUND((Table13[[#This Row],[XP]]*Table13[[#This Row],[entity_spawned (AVG)]])*(Table13[[#This Row],[activating_chance]]/100),0)</f>
        <v>83</v>
      </c>
      <c r="DN251" s="144" t="str">
        <f ca="1">INDIRECT(ADDRESS(11+(MATCH(RIGHT(Table13[[#This Row],[spawner_sku]],LEN(Table13[[#This Row],[spawner_sku]])-FIND("/",Table13[[#This Row],[spawner_sku]])),Table28[Entity Prefab],0)),25,1,1,"Entities"))</f>
        <v>yes</v>
      </c>
      <c r="DO251" s="71">
        <v>1</v>
      </c>
      <c r="DP251" s="71">
        <v>1</v>
      </c>
      <c r="DQ251" s="71" t="b">
        <v>0</v>
      </c>
      <c r="DS251" t="s">
        <v>494</v>
      </c>
      <c r="DT251">
        <v>1</v>
      </c>
      <c r="DU251">
        <v>310</v>
      </c>
      <c r="DV251">
        <v>30</v>
      </c>
      <c r="DW251" s="74">
        <f ca="1">INDIRECT(ADDRESS(11+(MATCH(RIGHT(Table14[[#This Row],[spawner_sku]],LEN(Table14[[#This Row],[spawner_sku]])-FIND("/",Table14[[#This Row],[spawner_sku]])),Table1[Entity Prefab],0)),10,1,1,"Entities"))</f>
        <v>103</v>
      </c>
      <c r="DX251" s="74">
        <f ca="1">ROUND((Table14[[#This Row],[XP]]*Table14[[#This Row],[entity_spawned (AVG)]])*(Table14[[#This Row],[activating_chance]]/100),0)</f>
        <v>31</v>
      </c>
      <c r="DY251" s="144" t="str">
        <f ca="1">INDIRECT(ADDRESS(11+(MATCH(RIGHT(Table14[[#This Row],[spawner_sku]],LEN(Table14[[#This Row],[spawner_sku]])-FIND("/",Table14[[#This Row],[spawner_sku]])),Table28[Entity Prefab],0)),25,1,1,"Entities"))</f>
        <v>yes</v>
      </c>
      <c r="DZ251" s="71">
        <v>1</v>
      </c>
      <c r="EA251" s="71">
        <v>1</v>
      </c>
      <c r="EB251" s="71" t="b">
        <v>0</v>
      </c>
      <c r="EC251" s="71"/>
      <c r="EO251" t="s">
        <v>571</v>
      </c>
      <c r="EP251">
        <v>1</v>
      </c>
      <c r="EQ251">
        <v>120</v>
      </c>
      <c r="ER251">
        <v>100</v>
      </c>
      <c r="ES251" s="74">
        <f ca="1">INDIRECT(ADDRESS(11+(MATCH(RIGHT(Table18[[#This Row],[spawner_sku]],LEN(Table18[[#This Row],[spawner_sku]])-FIND("/",Table18[[#This Row],[spawner_sku]])),Table1[Entity Prefab],0)),10,1,1,"Entities"))</f>
        <v>35</v>
      </c>
      <c r="ET251" s="74">
        <f ca="1">ROUND((Table18[[#This Row],[XP]]*Table18[[#This Row],[entity_spawned (AVG)]])*(Table18[[#This Row],[activating_chance]]/100),0)</f>
        <v>35</v>
      </c>
      <c r="EU251" s="74" t="str">
        <f ca="1">INDIRECT(ADDRESS(11+(MATCH(RIGHT(Table18[[#This Row],[spawner_sku]],LEN(Table18[[#This Row],[spawner_sku]])-FIND("/",Table18[[#This Row],[spawner_sku]])),Table28[Entity Prefab],0)),26,1,1,"Entities"))</f>
        <v>no</v>
      </c>
      <c r="EV251">
        <v>1</v>
      </c>
      <c r="EW251">
        <v>1</v>
      </c>
      <c r="EX251" t="b">
        <v>0</v>
      </c>
    </row>
    <row r="252" spans="2:165" x14ac:dyDescent="0.25">
      <c r="B252" s="72" t="s">
        <v>320</v>
      </c>
      <c r="C252">
        <v>1</v>
      </c>
      <c r="D252">
        <v>240</v>
      </c>
      <c r="E252">
        <v>80</v>
      </c>
      <c r="F252" s="74">
        <f ca="1">INDIRECT(ADDRESS(11+(MATCH(RIGHT(Table245[[#This Row],[spawner_sku]],LEN(Table245[[#This Row],[spawner_sku]])-FIND("/",Table245[[#This Row],[spawner_sku]])),Table1[Entity Prefab],0)),10,1,1,"Entities"))</f>
        <v>143</v>
      </c>
      <c r="G252" s="74">
        <f ca="1">ROUND((Table245[[#This Row],[XP]]*Table245[[#This Row],[entity_spawned (AVG)]])*(Table245[[#This Row],[activating_chance]]/100),0)</f>
        <v>114</v>
      </c>
      <c r="H252" s="71" t="str">
        <f ca="1">INDIRECT(ADDRESS(11+(MATCH(RIGHT(Table245[[#This Row],[spawner_sku]],LEN(Table245[[#This Row],[spawner_sku]])-FIND("/",Table245[[#This Row],[spawner_sku]])),Table28[Entity Prefab],0)),24,1,1,"Entities"))</f>
        <v>yes</v>
      </c>
      <c r="I252" s="71">
        <v>1</v>
      </c>
      <c r="J252" s="71">
        <v>1</v>
      </c>
      <c r="K252" s="71" t="b">
        <v>0</v>
      </c>
      <c r="M252" t="s">
        <v>242</v>
      </c>
      <c r="N252">
        <v>1</v>
      </c>
      <c r="O252">
        <v>120</v>
      </c>
      <c r="P252">
        <v>100</v>
      </c>
      <c r="Q252" s="74">
        <f ca="1">INDIRECT(ADDRESS(11+(MATCH(RIGHT(Table3[[#This Row],[spawner_sku]],LEN(Table3[[#This Row],[spawner_sku]])-FIND("/",Table3[[#This Row],[spawner_sku]])),Table1[Entity Prefab],0)),10,1,1,"Entities"))</f>
        <v>25</v>
      </c>
      <c r="R252" s="74">
        <f ca="1">ROUND((Table3[[#This Row],[XP]]*Table3[[#This Row],[entity_spawned (AVG)]])*(Table3[[#This Row],[activating_chance]]/100),0)</f>
        <v>25</v>
      </c>
      <c r="S252" t="str">
        <f ca="1">INDIRECT(ADDRESS(11+(MATCH(RIGHT(Table3[[#This Row],[spawner_sku]],LEN(Table3[[#This Row],[spawner_sku]])-FIND("/",Table3[[#This Row],[spawner_sku]])),Table28[Entity Prefab],0)),24,1,1,"Entities"))</f>
        <v>no</v>
      </c>
      <c r="T252">
        <v>1</v>
      </c>
      <c r="U252">
        <v>1</v>
      </c>
      <c r="V252" t="b">
        <v>0</v>
      </c>
      <c r="AI252" t="s">
        <v>369</v>
      </c>
      <c r="AJ252">
        <v>1</v>
      </c>
      <c r="AK252">
        <v>220</v>
      </c>
      <c r="AL252">
        <v>100</v>
      </c>
      <c r="AM252" s="74">
        <f ca="1">INDIRECT(ADDRESS(11+(MATCH(RIGHT(Table2[[#This Row],[spawner_sku]],LEN(Table2[[#This Row],[spawner_sku]])-FIND("/",Table2[[#This Row],[spawner_sku]])),Table1[Entity Prefab],0)),10,1,1,"Entities"))</f>
        <v>75</v>
      </c>
      <c r="AN252" s="74">
        <f ca="1">ROUND((Table2[[#This Row],[XP]]*Table2[[#This Row],[entity_spawned (AVG)]])*(Table2[[#This Row],[activating_chance]]/100),0)</f>
        <v>75</v>
      </c>
      <c r="AO252" s="71" t="str">
        <f ca="1">INDIRECT(ADDRESS(11+(MATCH(RIGHT(Table2[[#This Row],[spawner_sku]],LEN(Table2[[#This Row],[spawner_sku]])-FIND("/",Table2[[#This Row],[spawner_sku]])),Table28[Entity Prefab],0)),24,1,1,"Entities"))</f>
        <v>yes</v>
      </c>
      <c r="AP252" s="71">
        <v>1</v>
      </c>
      <c r="AQ252" s="71">
        <v>1</v>
      </c>
      <c r="AR252" s="71" t="b">
        <v>0</v>
      </c>
      <c r="BP252" t="s">
        <v>448</v>
      </c>
      <c r="BQ252">
        <v>1</v>
      </c>
      <c r="BR252">
        <v>280</v>
      </c>
      <c r="BS252">
        <v>100</v>
      </c>
      <c r="BT252" s="74">
        <f ca="1">INDIRECT(ADDRESS(11+(MATCH(RIGHT(Table61011[[#This Row],[spawner_sku]],LEN(Table61011[[#This Row],[spawner_sku]])-FIND("/",Table61011[[#This Row],[spawner_sku]])),Table1[Entity Prefab],0)),10,1,1,"Entities"))</f>
        <v>143</v>
      </c>
      <c r="BU252" s="74">
        <f ca="1">ROUND((Table61011[[#This Row],[XP]]*Table61011[[#This Row],[entity_spawned (AVG)]])*(Table61011[[#This Row],[activating_chance]]/100),0)</f>
        <v>143</v>
      </c>
      <c r="BV252" s="71" t="str">
        <f ca="1">INDIRECT(ADDRESS(11+(MATCH(RIGHT(Table61011[[#This Row],[spawner_sku]],LEN(Table61011[[#This Row],[spawner_sku]])-FIND("/",Table61011[[#This Row],[spawner_sku]])),Table28[Entity Prefab],0)),24,1,1,"Entities"))</f>
        <v>yes</v>
      </c>
      <c r="BW252" s="71">
        <v>1</v>
      </c>
      <c r="BX252" s="71">
        <v>1</v>
      </c>
      <c r="BY252" s="71" t="b">
        <v>0</v>
      </c>
      <c r="BZ252" s="71"/>
      <c r="CA252" s="147" t="s">
        <v>3816</v>
      </c>
      <c r="CB252">
        <v>1</v>
      </c>
      <c r="CC252">
        <v>240</v>
      </c>
      <c r="CD252">
        <v>100</v>
      </c>
      <c r="CE252" s="74">
        <f ca="1">INDIRECT(ADDRESS(11+(MATCH(RIGHT(Table35[[#This Row],[spawner_sku]],LEN(Table35[[#This Row],[spawner_sku]])-FIND("/",Table35[[#This Row],[spawner_sku]])),Table1[Entity Prefab],0)),10,1,1,"Entities"))</f>
        <v>50</v>
      </c>
      <c r="CF252" s="74">
        <f ca="1">ROUND((Table35[[#This Row],[XP]]*Table35[[#This Row],[entity_spawned (AVG)]])*(Table35[[#This Row],[activating_chance]]/100),0)</f>
        <v>50</v>
      </c>
      <c r="CG252" s="144" t="str">
        <f ca="1">INDIRECT(ADDRESS(11+(MATCH(RIGHT(Table35[[#This Row],[spawner_sku]],LEN(Table35[[#This Row],[spawner_sku]])-FIND("/",Table35[[#This Row],[spawner_sku]])),Table28[Entity Prefab],0)),24,1,1,"Entities"))</f>
        <v>no</v>
      </c>
      <c r="CH252">
        <v>1</v>
      </c>
      <c r="CI252">
        <v>1</v>
      </c>
      <c r="CJ252" s="71" t="b">
        <v>0</v>
      </c>
      <c r="CL252" t="s">
        <v>570</v>
      </c>
      <c r="CM252">
        <v>1</v>
      </c>
      <c r="CN252">
        <v>120</v>
      </c>
      <c r="CO252">
        <v>100</v>
      </c>
      <c r="CP252" s="74">
        <f ca="1">INDIRECT(ADDRESS(11+(MATCH(RIGHT(Table11[[#This Row],[spawner_sku]],LEN(Table11[[#This Row],[spawner_sku]])-FIND("/",Table11[[#This Row],[spawner_sku]])),Table1[Entity Prefab],0)),10,1,1,"Entities"))</f>
        <v>50</v>
      </c>
      <c r="CQ252">
        <f ca="1">ROUND((Table11[[#This Row],[XP]]*Table11[[#This Row],[entity_spawned (AVG)]])*(Table11[[#This Row],[activating_chance]]/100),0)</f>
        <v>50</v>
      </c>
      <c r="CR252" s="144" t="str">
        <f ca="1">INDIRECT(ADDRESS(11+(MATCH(RIGHT(Table11[[#This Row],[spawner_sku]],LEN(Table11[[#This Row],[spawner_sku]])-FIND("/",Table11[[#This Row],[spawner_sku]])),Table28[Entity Prefab],0)),25,1,1,"Entities"))</f>
        <v>no</v>
      </c>
      <c r="CS252" s="71">
        <v>1</v>
      </c>
      <c r="CT252" s="71">
        <v>1</v>
      </c>
      <c r="CU252" s="71" t="b">
        <v>0</v>
      </c>
      <c r="DH252" t="s">
        <v>503</v>
      </c>
      <c r="DI252">
        <v>1</v>
      </c>
      <c r="DJ252">
        <v>240</v>
      </c>
      <c r="DK252">
        <v>30</v>
      </c>
      <c r="DL252" s="74">
        <f ca="1">INDIRECT(ADDRESS(11+(MATCH(RIGHT(Table13[[#This Row],[spawner_sku]],LEN(Table13[[#This Row],[spawner_sku]])-FIND("/",Table13[[#This Row],[spawner_sku]])),Table1[Entity Prefab],0)),10,1,1,"Entities"))</f>
        <v>55</v>
      </c>
      <c r="DM252" s="74">
        <f ca="1">ROUND((Table13[[#This Row],[XP]]*Table13[[#This Row],[entity_spawned (AVG)]])*(Table13[[#This Row],[activating_chance]]/100),0)</f>
        <v>17</v>
      </c>
      <c r="DN252" s="144" t="str">
        <f ca="1">INDIRECT(ADDRESS(11+(MATCH(RIGHT(Table13[[#This Row],[spawner_sku]],LEN(Table13[[#This Row],[spawner_sku]])-FIND("/",Table13[[#This Row],[spawner_sku]])),Table28[Entity Prefab],0)),25,1,1,"Entities"))</f>
        <v>yes</v>
      </c>
      <c r="DO252" s="71">
        <v>1</v>
      </c>
      <c r="DP252" s="71">
        <v>1</v>
      </c>
      <c r="DQ252" s="71" t="b">
        <v>0</v>
      </c>
      <c r="DS252" t="s">
        <v>494</v>
      </c>
      <c r="DT252">
        <v>1</v>
      </c>
      <c r="DU252">
        <v>310</v>
      </c>
      <c r="DV252">
        <v>100</v>
      </c>
      <c r="DW252" s="74">
        <f ca="1">INDIRECT(ADDRESS(11+(MATCH(RIGHT(Table14[[#This Row],[spawner_sku]],LEN(Table14[[#This Row],[spawner_sku]])-FIND("/",Table14[[#This Row],[spawner_sku]])),Table1[Entity Prefab],0)),10,1,1,"Entities"))</f>
        <v>103</v>
      </c>
      <c r="DX252" s="74">
        <f ca="1">ROUND((Table14[[#This Row],[XP]]*Table14[[#This Row],[entity_spawned (AVG)]])*(Table14[[#This Row],[activating_chance]]/100),0)</f>
        <v>103</v>
      </c>
      <c r="DY252" s="144" t="str">
        <f ca="1">INDIRECT(ADDRESS(11+(MATCH(RIGHT(Table14[[#This Row],[spawner_sku]],LEN(Table14[[#This Row],[spawner_sku]])-FIND("/",Table14[[#This Row],[spawner_sku]])),Table28[Entity Prefab],0)),25,1,1,"Entities"))</f>
        <v>yes</v>
      </c>
      <c r="DZ252" s="71">
        <v>1</v>
      </c>
      <c r="EA252" s="71">
        <v>1</v>
      </c>
      <c r="EB252" s="71" t="b">
        <v>0</v>
      </c>
      <c r="EC252" s="71"/>
      <c r="EO252" t="s">
        <v>571</v>
      </c>
      <c r="EP252">
        <v>1</v>
      </c>
      <c r="EQ252">
        <v>120</v>
      </c>
      <c r="ER252">
        <v>80</v>
      </c>
      <c r="ES252" s="74">
        <f ca="1">INDIRECT(ADDRESS(11+(MATCH(RIGHT(Table18[[#This Row],[spawner_sku]],LEN(Table18[[#This Row],[spawner_sku]])-FIND("/",Table18[[#This Row],[spawner_sku]])),Table1[Entity Prefab],0)),10,1,1,"Entities"))</f>
        <v>35</v>
      </c>
      <c r="ET252" s="74">
        <f ca="1">ROUND((Table18[[#This Row],[XP]]*Table18[[#This Row],[entity_spawned (AVG)]])*(Table18[[#This Row],[activating_chance]]/100),0)</f>
        <v>28</v>
      </c>
      <c r="EU252" s="74" t="str">
        <f ca="1">INDIRECT(ADDRESS(11+(MATCH(RIGHT(Table18[[#This Row],[spawner_sku]],LEN(Table18[[#This Row],[spawner_sku]])-FIND("/",Table18[[#This Row],[spawner_sku]])),Table28[Entity Prefab],0)),26,1,1,"Entities"))</f>
        <v>no</v>
      </c>
      <c r="EV252">
        <v>1</v>
      </c>
      <c r="EW252">
        <v>1</v>
      </c>
      <c r="EX252" t="b">
        <v>0</v>
      </c>
    </row>
    <row r="253" spans="2:165" x14ac:dyDescent="0.25">
      <c r="B253" s="72" t="s">
        <v>320</v>
      </c>
      <c r="C253">
        <v>1</v>
      </c>
      <c r="D253">
        <v>250</v>
      </c>
      <c r="E253">
        <v>100</v>
      </c>
      <c r="F253" s="74">
        <f ca="1">INDIRECT(ADDRESS(11+(MATCH(RIGHT(Table245[[#This Row],[spawner_sku]],LEN(Table245[[#This Row],[spawner_sku]])-FIND("/",Table245[[#This Row],[spawner_sku]])),Table1[Entity Prefab],0)),10,1,1,"Entities"))</f>
        <v>143</v>
      </c>
      <c r="G253" s="74">
        <f ca="1">ROUND((Table245[[#This Row],[XP]]*Table245[[#This Row],[entity_spawned (AVG)]])*(Table245[[#This Row],[activating_chance]]/100),0)</f>
        <v>143</v>
      </c>
      <c r="H253" s="71" t="str">
        <f ca="1">INDIRECT(ADDRESS(11+(MATCH(RIGHT(Table245[[#This Row],[spawner_sku]],LEN(Table245[[#This Row],[spawner_sku]])-FIND("/",Table245[[#This Row],[spawner_sku]])),Table28[Entity Prefab],0)),24,1,1,"Entities"))</f>
        <v>yes</v>
      </c>
      <c r="I253" s="71">
        <v>1</v>
      </c>
      <c r="J253" s="71">
        <v>1</v>
      </c>
      <c r="K253" s="71" t="b">
        <v>0</v>
      </c>
      <c r="M253" t="s">
        <v>242</v>
      </c>
      <c r="N253">
        <v>1.5</v>
      </c>
      <c r="O253">
        <v>180</v>
      </c>
      <c r="P253">
        <v>70</v>
      </c>
      <c r="Q253" s="74">
        <f ca="1">INDIRECT(ADDRESS(11+(MATCH(RIGHT(Table3[[#This Row],[spawner_sku]],LEN(Table3[[#This Row],[spawner_sku]])-FIND("/",Table3[[#This Row],[spawner_sku]])),Table1[Entity Prefab],0)),10,1,1,"Entities"))</f>
        <v>25</v>
      </c>
      <c r="R253" s="74">
        <f ca="1">ROUND((Table3[[#This Row],[XP]]*Table3[[#This Row],[entity_spawned (AVG)]])*(Table3[[#This Row],[activating_chance]]/100),0)</f>
        <v>26</v>
      </c>
      <c r="S253" t="str">
        <f ca="1">INDIRECT(ADDRESS(11+(MATCH(RIGHT(Table3[[#This Row],[spawner_sku]],LEN(Table3[[#This Row],[spawner_sku]])-FIND("/",Table3[[#This Row],[spawner_sku]])),Table28[Entity Prefab],0)),24,1,1,"Entities"))</f>
        <v>no</v>
      </c>
      <c r="T253">
        <v>1</v>
      </c>
      <c r="U253">
        <v>2</v>
      </c>
      <c r="V253" t="b">
        <v>0</v>
      </c>
      <c r="AI253" t="s">
        <v>369</v>
      </c>
      <c r="AJ253">
        <v>1</v>
      </c>
      <c r="AK253">
        <v>170</v>
      </c>
      <c r="AL253">
        <v>100</v>
      </c>
      <c r="AM253" s="74">
        <f ca="1">INDIRECT(ADDRESS(11+(MATCH(RIGHT(Table2[[#This Row],[spawner_sku]],LEN(Table2[[#This Row],[spawner_sku]])-FIND("/",Table2[[#This Row],[spawner_sku]])),Table1[Entity Prefab],0)),10,1,1,"Entities"))</f>
        <v>75</v>
      </c>
      <c r="AN253" s="74">
        <f ca="1">ROUND((Table2[[#This Row],[XP]]*Table2[[#This Row],[entity_spawned (AVG)]])*(Table2[[#This Row],[activating_chance]]/100),0)</f>
        <v>75</v>
      </c>
      <c r="AO253" s="71" t="str">
        <f ca="1">INDIRECT(ADDRESS(11+(MATCH(RIGHT(Table2[[#This Row],[spawner_sku]],LEN(Table2[[#This Row],[spawner_sku]])-FIND("/",Table2[[#This Row],[spawner_sku]])),Table28[Entity Prefab],0)),24,1,1,"Entities"))</f>
        <v>yes</v>
      </c>
      <c r="AP253" s="71">
        <v>1</v>
      </c>
      <c r="AQ253" s="71">
        <v>1</v>
      </c>
      <c r="AR253" s="71" t="b">
        <v>0</v>
      </c>
      <c r="BP253" t="s">
        <v>448</v>
      </c>
      <c r="BQ253">
        <v>1</v>
      </c>
      <c r="BR253">
        <v>280</v>
      </c>
      <c r="BS253">
        <v>100</v>
      </c>
      <c r="BT253" s="74">
        <f ca="1">INDIRECT(ADDRESS(11+(MATCH(RIGHT(Table61011[[#This Row],[spawner_sku]],LEN(Table61011[[#This Row],[spawner_sku]])-FIND("/",Table61011[[#This Row],[spawner_sku]])),Table1[Entity Prefab],0)),10,1,1,"Entities"))</f>
        <v>143</v>
      </c>
      <c r="BU253" s="74">
        <f ca="1">ROUND((Table61011[[#This Row],[XP]]*Table61011[[#This Row],[entity_spawned (AVG)]])*(Table61011[[#This Row],[activating_chance]]/100),0)</f>
        <v>143</v>
      </c>
      <c r="BV253" s="71" t="str">
        <f ca="1">INDIRECT(ADDRESS(11+(MATCH(RIGHT(Table61011[[#This Row],[spawner_sku]],LEN(Table61011[[#This Row],[spawner_sku]])-FIND("/",Table61011[[#This Row],[spawner_sku]])),Table28[Entity Prefab],0)),24,1,1,"Entities"))</f>
        <v>yes</v>
      </c>
      <c r="BW253" s="71">
        <v>1</v>
      </c>
      <c r="BX253" s="71">
        <v>1</v>
      </c>
      <c r="BY253" s="71" t="b">
        <v>0</v>
      </c>
      <c r="BZ253" s="71"/>
      <c r="CA253" s="147" t="s">
        <v>3816</v>
      </c>
      <c r="CB253">
        <v>1</v>
      </c>
      <c r="CC253">
        <v>240</v>
      </c>
      <c r="CD253">
        <v>100</v>
      </c>
      <c r="CE253" s="74">
        <f ca="1">INDIRECT(ADDRESS(11+(MATCH(RIGHT(Table35[[#This Row],[spawner_sku]],LEN(Table35[[#This Row],[spawner_sku]])-FIND("/",Table35[[#This Row],[spawner_sku]])),Table1[Entity Prefab],0)),10,1,1,"Entities"))</f>
        <v>50</v>
      </c>
      <c r="CF253" s="74">
        <f ca="1">ROUND((Table35[[#This Row],[XP]]*Table35[[#This Row],[entity_spawned (AVG)]])*(Table35[[#This Row],[activating_chance]]/100),0)</f>
        <v>50</v>
      </c>
      <c r="CG253" s="144" t="str">
        <f ca="1">INDIRECT(ADDRESS(11+(MATCH(RIGHT(Table35[[#This Row],[spawner_sku]],LEN(Table35[[#This Row],[spawner_sku]])-FIND("/",Table35[[#This Row],[spawner_sku]])),Table28[Entity Prefab],0)),24,1,1,"Entities"))</f>
        <v>no</v>
      </c>
      <c r="CH253">
        <v>1</v>
      </c>
      <c r="CI253">
        <v>1</v>
      </c>
      <c r="CJ253" s="71" t="b">
        <v>0</v>
      </c>
      <c r="CL253" t="s">
        <v>570</v>
      </c>
      <c r="CM253">
        <v>2</v>
      </c>
      <c r="CN253">
        <v>120</v>
      </c>
      <c r="CO253">
        <v>20</v>
      </c>
      <c r="CP253" s="74">
        <f ca="1">INDIRECT(ADDRESS(11+(MATCH(RIGHT(Table11[[#This Row],[spawner_sku]],LEN(Table11[[#This Row],[spawner_sku]])-FIND("/",Table11[[#This Row],[spawner_sku]])),Table1[Entity Prefab],0)),10,1,1,"Entities"))</f>
        <v>50</v>
      </c>
      <c r="CQ253">
        <f ca="1">ROUND((Table11[[#This Row],[XP]]*Table11[[#This Row],[entity_spawned (AVG)]])*(Table11[[#This Row],[activating_chance]]/100),0)</f>
        <v>20</v>
      </c>
      <c r="CR253" s="144" t="str">
        <f ca="1">INDIRECT(ADDRESS(11+(MATCH(RIGHT(Table11[[#This Row],[spawner_sku]],LEN(Table11[[#This Row],[spawner_sku]])-FIND("/",Table11[[#This Row],[spawner_sku]])),Table28[Entity Prefab],0)),25,1,1,"Entities"))</f>
        <v>no</v>
      </c>
      <c r="CS253" s="71">
        <v>2</v>
      </c>
      <c r="CT253" s="71">
        <v>2</v>
      </c>
      <c r="CU253" s="71" t="b">
        <v>0</v>
      </c>
      <c r="DH253" t="s">
        <v>503</v>
      </c>
      <c r="DI253">
        <v>1</v>
      </c>
      <c r="DJ253">
        <v>240</v>
      </c>
      <c r="DK253">
        <v>100</v>
      </c>
      <c r="DL253" s="74">
        <f ca="1">INDIRECT(ADDRESS(11+(MATCH(RIGHT(Table13[[#This Row],[spawner_sku]],LEN(Table13[[#This Row],[spawner_sku]])-FIND("/",Table13[[#This Row],[spawner_sku]])),Table1[Entity Prefab],0)),10,1,1,"Entities"))</f>
        <v>55</v>
      </c>
      <c r="DM253" s="74">
        <f ca="1">ROUND((Table13[[#This Row],[XP]]*Table13[[#This Row],[entity_spawned (AVG)]])*(Table13[[#This Row],[activating_chance]]/100),0)</f>
        <v>55</v>
      </c>
      <c r="DN253" s="144" t="str">
        <f ca="1">INDIRECT(ADDRESS(11+(MATCH(RIGHT(Table13[[#This Row],[spawner_sku]],LEN(Table13[[#This Row],[spawner_sku]])-FIND("/",Table13[[#This Row],[spawner_sku]])),Table28[Entity Prefab],0)),25,1,1,"Entities"))</f>
        <v>yes</v>
      </c>
      <c r="DO253" s="71">
        <v>1</v>
      </c>
      <c r="DP253" s="71">
        <v>1</v>
      </c>
      <c r="DQ253" s="71" t="b">
        <v>0</v>
      </c>
      <c r="DS253" t="s">
        <v>494</v>
      </c>
      <c r="DT253">
        <v>1</v>
      </c>
      <c r="DU253">
        <v>310</v>
      </c>
      <c r="DV253">
        <v>100</v>
      </c>
      <c r="DW253" s="74">
        <f ca="1">INDIRECT(ADDRESS(11+(MATCH(RIGHT(Table14[[#This Row],[spawner_sku]],LEN(Table14[[#This Row],[spawner_sku]])-FIND("/",Table14[[#This Row],[spawner_sku]])),Table1[Entity Prefab],0)),10,1,1,"Entities"))</f>
        <v>103</v>
      </c>
      <c r="DX253" s="74">
        <f ca="1">ROUND((Table14[[#This Row],[XP]]*Table14[[#This Row],[entity_spawned (AVG)]])*(Table14[[#This Row],[activating_chance]]/100),0)</f>
        <v>103</v>
      </c>
      <c r="DY253" s="144" t="str">
        <f ca="1">INDIRECT(ADDRESS(11+(MATCH(RIGHT(Table14[[#This Row],[spawner_sku]],LEN(Table14[[#This Row],[spawner_sku]])-FIND("/",Table14[[#This Row],[spawner_sku]])),Table28[Entity Prefab],0)),25,1,1,"Entities"))</f>
        <v>yes</v>
      </c>
      <c r="DZ253" s="71">
        <v>1</v>
      </c>
      <c r="EA253" s="71">
        <v>1</v>
      </c>
      <c r="EB253" s="71" t="b">
        <v>0</v>
      </c>
      <c r="EC253" s="71"/>
      <c r="EO253" t="s">
        <v>571</v>
      </c>
      <c r="EP253">
        <v>1</v>
      </c>
      <c r="EQ253">
        <v>120</v>
      </c>
      <c r="ER253">
        <v>100</v>
      </c>
      <c r="ES253" s="74">
        <f ca="1">INDIRECT(ADDRESS(11+(MATCH(RIGHT(Table18[[#This Row],[spawner_sku]],LEN(Table18[[#This Row],[spawner_sku]])-FIND("/",Table18[[#This Row],[spawner_sku]])),Table1[Entity Prefab],0)),10,1,1,"Entities"))</f>
        <v>35</v>
      </c>
      <c r="ET253" s="74">
        <f ca="1">ROUND((Table18[[#This Row],[XP]]*Table18[[#This Row],[entity_spawned (AVG)]])*(Table18[[#This Row],[activating_chance]]/100),0)</f>
        <v>35</v>
      </c>
      <c r="EU253" s="74" t="str">
        <f ca="1">INDIRECT(ADDRESS(11+(MATCH(RIGHT(Table18[[#This Row],[spawner_sku]],LEN(Table18[[#This Row],[spawner_sku]])-FIND("/",Table18[[#This Row],[spawner_sku]])),Table28[Entity Prefab],0)),26,1,1,"Entities"))</f>
        <v>no</v>
      </c>
      <c r="EV253">
        <v>1</v>
      </c>
      <c r="EW253">
        <v>1</v>
      </c>
      <c r="EX253" t="b">
        <v>0</v>
      </c>
    </row>
    <row r="254" spans="2:165" x14ac:dyDescent="0.25">
      <c r="B254" s="72" t="s">
        <v>220</v>
      </c>
      <c r="C254">
        <v>1.5</v>
      </c>
      <c r="D254">
        <v>300</v>
      </c>
      <c r="E254">
        <v>100</v>
      </c>
      <c r="F254" s="74">
        <f ca="1">INDIRECT(ADDRESS(11+(MATCH(RIGHT(Table245[[#This Row],[spawner_sku]],LEN(Table245[[#This Row],[spawner_sku]])-FIND("/",Table245[[#This Row],[spawner_sku]])),Table1[Entity Prefab],0)),10,1,1,"Entities"))</f>
        <v>195</v>
      </c>
      <c r="G254" s="74">
        <f ca="1">ROUND((Table245[[#This Row],[XP]]*Table245[[#This Row],[entity_spawned (AVG)]])*(Table245[[#This Row],[activating_chance]]/100),0)</f>
        <v>293</v>
      </c>
      <c r="H254" s="71" t="str">
        <f ca="1">INDIRECT(ADDRESS(11+(MATCH(RIGHT(Table245[[#This Row],[spawner_sku]],LEN(Table245[[#This Row],[spawner_sku]])-FIND("/",Table245[[#This Row],[spawner_sku]])),Table28[Entity Prefab],0)),24,1,1,"Entities"))</f>
        <v>yes</v>
      </c>
      <c r="I254" s="71">
        <v>1</v>
      </c>
      <c r="J254" s="71">
        <v>2</v>
      </c>
      <c r="K254" s="71" t="b">
        <v>0</v>
      </c>
      <c r="M254" t="s">
        <v>242</v>
      </c>
      <c r="N254">
        <v>1</v>
      </c>
      <c r="O254">
        <v>160</v>
      </c>
      <c r="P254">
        <v>100</v>
      </c>
      <c r="Q254" s="74">
        <f ca="1">INDIRECT(ADDRESS(11+(MATCH(RIGHT(Table3[[#This Row],[spawner_sku]],LEN(Table3[[#This Row],[spawner_sku]])-FIND("/",Table3[[#This Row],[spawner_sku]])),Table1[Entity Prefab],0)),10,1,1,"Entities"))</f>
        <v>25</v>
      </c>
      <c r="R254" s="74">
        <f ca="1">ROUND((Table3[[#This Row],[XP]]*Table3[[#This Row],[entity_spawned (AVG)]])*(Table3[[#This Row],[activating_chance]]/100),0)</f>
        <v>25</v>
      </c>
      <c r="S254" t="str">
        <f ca="1">INDIRECT(ADDRESS(11+(MATCH(RIGHT(Table3[[#This Row],[spawner_sku]],LEN(Table3[[#This Row],[spawner_sku]])-FIND("/",Table3[[#This Row],[spawner_sku]])),Table28[Entity Prefab],0)),24,1,1,"Entities"))</f>
        <v>no</v>
      </c>
      <c r="T254">
        <v>1</v>
      </c>
      <c r="U254">
        <v>1</v>
      </c>
      <c r="V254" t="b">
        <v>0</v>
      </c>
      <c r="AI254" t="s">
        <v>369</v>
      </c>
      <c r="AJ254">
        <v>1</v>
      </c>
      <c r="AK254">
        <v>220</v>
      </c>
      <c r="AL254">
        <v>100</v>
      </c>
      <c r="AM254" s="74">
        <f ca="1">INDIRECT(ADDRESS(11+(MATCH(RIGHT(Table2[[#This Row],[spawner_sku]],LEN(Table2[[#This Row],[spawner_sku]])-FIND("/",Table2[[#This Row],[spawner_sku]])),Table1[Entity Prefab],0)),10,1,1,"Entities"))</f>
        <v>75</v>
      </c>
      <c r="AN254" s="74">
        <f ca="1">ROUND((Table2[[#This Row],[XP]]*Table2[[#This Row],[entity_spawned (AVG)]])*(Table2[[#This Row],[activating_chance]]/100),0)</f>
        <v>75</v>
      </c>
      <c r="AO254" s="71" t="str">
        <f ca="1">INDIRECT(ADDRESS(11+(MATCH(RIGHT(Table2[[#This Row],[spawner_sku]],LEN(Table2[[#This Row],[spawner_sku]])-FIND("/",Table2[[#This Row],[spawner_sku]])),Table28[Entity Prefab],0)),24,1,1,"Entities"))</f>
        <v>yes</v>
      </c>
      <c r="AP254" s="71">
        <v>1</v>
      </c>
      <c r="AQ254" s="71">
        <v>1</v>
      </c>
      <c r="AR254" s="71" t="b">
        <v>0</v>
      </c>
      <c r="BP254" t="s">
        <v>449</v>
      </c>
      <c r="BQ254">
        <v>1</v>
      </c>
      <c r="BR254">
        <v>300</v>
      </c>
      <c r="BS254">
        <v>100</v>
      </c>
      <c r="BT254" s="74">
        <f ca="1">INDIRECT(ADDRESS(11+(MATCH(RIGHT(Table61011[[#This Row],[spawner_sku]],LEN(Table61011[[#This Row],[spawner_sku]])-FIND("/",Table61011[[#This Row],[spawner_sku]])),Table1[Entity Prefab],0)),10,1,1,"Entities"))</f>
        <v>130</v>
      </c>
      <c r="BU254" s="74">
        <f ca="1">ROUND((Table61011[[#This Row],[XP]]*Table61011[[#This Row],[entity_spawned (AVG)]])*(Table61011[[#This Row],[activating_chance]]/100),0)</f>
        <v>130</v>
      </c>
      <c r="BV254" s="71" t="str">
        <f ca="1">INDIRECT(ADDRESS(11+(MATCH(RIGHT(Table61011[[#This Row],[spawner_sku]],LEN(Table61011[[#This Row],[spawner_sku]])-FIND("/",Table61011[[#This Row],[spawner_sku]])),Table28[Entity Prefab],0)),24,1,1,"Entities"))</f>
        <v>yes</v>
      </c>
      <c r="BW254" s="71">
        <v>1</v>
      </c>
      <c r="BX254" s="71">
        <v>1</v>
      </c>
      <c r="BY254" s="71" t="b">
        <v>0</v>
      </c>
      <c r="BZ254" s="71"/>
      <c r="CA254" s="147" t="s">
        <v>3816</v>
      </c>
      <c r="CB254">
        <v>1</v>
      </c>
      <c r="CC254">
        <v>240</v>
      </c>
      <c r="CD254">
        <v>100</v>
      </c>
      <c r="CE254" s="74">
        <f ca="1">INDIRECT(ADDRESS(11+(MATCH(RIGHT(Table35[[#This Row],[spawner_sku]],LEN(Table35[[#This Row],[spawner_sku]])-FIND("/",Table35[[#This Row],[spawner_sku]])),Table1[Entity Prefab],0)),10,1,1,"Entities"))</f>
        <v>50</v>
      </c>
      <c r="CF254" s="74">
        <f ca="1">ROUND((Table35[[#This Row],[XP]]*Table35[[#This Row],[entity_spawned (AVG)]])*(Table35[[#This Row],[activating_chance]]/100),0)</f>
        <v>50</v>
      </c>
      <c r="CG254" s="144" t="str">
        <f ca="1">INDIRECT(ADDRESS(11+(MATCH(RIGHT(Table35[[#This Row],[spawner_sku]],LEN(Table35[[#This Row],[spawner_sku]])-FIND("/",Table35[[#This Row],[spawner_sku]])),Table28[Entity Prefab],0)),24,1,1,"Entities"))</f>
        <v>no</v>
      </c>
      <c r="CH254">
        <v>1</v>
      </c>
      <c r="CI254">
        <v>1</v>
      </c>
      <c r="CJ254" s="71" t="b">
        <v>0</v>
      </c>
      <c r="CL254" t="s">
        <v>570</v>
      </c>
      <c r="CM254">
        <v>1</v>
      </c>
      <c r="CN254">
        <v>120</v>
      </c>
      <c r="CO254">
        <v>100</v>
      </c>
      <c r="CP254" s="74">
        <f ca="1">INDIRECT(ADDRESS(11+(MATCH(RIGHT(Table11[[#This Row],[spawner_sku]],LEN(Table11[[#This Row],[spawner_sku]])-FIND("/",Table11[[#This Row],[spawner_sku]])),Table1[Entity Prefab],0)),10,1,1,"Entities"))</f>
        <v>50</v>
      </c>
      <c r="CQ254">
        <f ca="1">ROUND((Table11[[#This Row],[XP]]*Table11[[#This Row],[entity_spawned (AVG)]])*(Table11[[#This Row],[activating_chance]]/100),0)</f>
        <v>50</v>
      </c>
      <c r="CR254" s="144" t="str">
        <f ca="1">INDIRECT(ADDRESS(11+(MATCH(RIGHT(Table11[[#This Row],[spawner_sku]],LEN(Table11[[#This Row],[spawner_sku]])-FIND("/",Table11[[#This Row],[spawner_sku]])),Table28[Entity Prefab],0)),25,1,1,"Entities"))</f>
        <v>no</v>
      </c>
      <c r="CS254" s="71">
        <v>1</v>
      </c>
      <c r="CT254" s="71">
        <v>1</v>
      </c>
      <c r="CU254" s="71" t="b">
        <v>0</v>
      </c>
      <c r="DH254" t="s">
        <v>503</v>
      </c>
      <c r="DI254">
        <v>1</v>
      </c>
      <c r="DJ254">
        <v>240</v>
      </c>
      <c r="DK254">
        <v>100</v>
      </c>
      <c r="DL254" s="74">
        <f ca="1">INDIRECT(ADDRESS(11+(MATCH(RIGHT(Table13[[#This Row],[spawner_sku]],LEN(Table13[[#This Row],[spawner_sku]])-FIND("/",Table13[[#This Row],[spawner_sku]])),Table1[Entity Prefab],0)),10,1,1,"Entities"))</f>
        <v>55</v>
      </c>
      <c r="DM254" s="74">
        <f ca="1">ROUND((Table13[[#This Row],[XP]]*Table13[[#This Row],[entity_spawned (AVG)]])*(Table13[[#This Row],[activating_chance]]/100),0)</f>
        <v>55</v>
      </c>
      <c r="DN254" s="144" t="str">
        <f ca="1">INDIRECT(ADDRESS(11+(MATCH(RIGHT(Table13[[#This Row],[spawner_sku]],LEN(Table13[[#This Row],[spawner_sku]])-FIND("/",Table13[[#This Row],[spawner_sku]])),Table28[Entity Prefab],0)),25,1,1,"Entities"))</f>
        <v>yes</v>
      </c>
      <c r="DO254" s="71">
        <v>1</v>
      </c>
      <c r="DP254" s="71">
        <v>1</v>
      </c>
      <c r="DQ254" s="71" t="b">
        <v>0</v>
      </c>
      <c r="DS254" t="s">
        <v>371</v>
      </c>
      <c r="DT254">
        <v>1</v>
      </c>
      <c r="DU254">
        <v>200</v>
      </c>
      <c r="DV254">
        <v>30</v>
      </c>
      <c r="DW254" s="74">
        <f ca="1">INDIRECT(ADDRESS(11+(MATCH(RIGHT(Table14[[#This Row],[spawner_sku]],LEN(Table14[[#This Row],[spawner_sku]])-FIND("/",Table14[[#This Row],[spawner_sku]])),Table1[Entity Prefab],0)),10,1,1,"Entities"))</f>
        <v>75</v>
      </c>
      <c r="DX254" s="74">
        <f ca="1">ROUND((Table14[[#This Row],[XP]]*Table14[[#This Row],[entity_spawned (AVG)]])*(Table14[[#This Row],[activating_chance]]/100),0)</f>
        <v>23</v>
      </c>
      <c r="DY254" s="144" t="str">
        <f ca="1">INDIRECT(ADDRESS(11+(MATCH(RIGHT(Table14[[#This Row],[spawner_sku]],LEN(Table14[[#This Row],[spawner_sku]])-FIND("/",Table14[[#This Row],[spawner_sku]])),Table28[Entity Prefab],0)),25,1,1,"Entities"))</f>
        <v>yes</v>
      </c>
      <c r="DZ254" s="71">
        <v>1</v>
      </c>
      <c r="EA254" s="71">
        <v>1</v>
      </c>
      <c r="EB254" s="71" t="b">
        <v>0</v>
      </c>
      <c r="EC254" s="71"/>
      <c r="EO254" t="s">
        <v>571</v>
      </c>
      <c r="EP254">
        <v>1</v>
      </c>
      <c r="EQ254">
        <v>120</v>
      </c>
      <c r="ER254">
        <v>80</v>
      </c>
      <c r="ES254" s="74">
        <f ca="1">INDIRECT(ADDRESS(11+(MATCH(RIGHT(Table18[[#This Row],[spawner_sku]],LEN(Table18[[#This Row],[spawner_sku]])-FIND("/",Table18[[#This Row],[spawner_sku]])),Table1[Entity Prefab],0)),10,1,1,"Entities"))</f>
        <v>35</v>
      </c>
      <c r="ET254" s="74">
        <f ca="1">ROUND((Table18[[#This Row],[XP]]*Table18[[#This Row],[entity_spawned (AVG)]])*(Table18[[#This Row],[activating_chance]]/100),0)</f>
        <v>28</v>
      </c>
      <c r="EU254" s="74" t="str">
        <f ca="1">INDIRECT(ADDRESS(11+(MATCH(RIGHT(Table18[[#This Row],[spawner_sku]],LEN(Table18[[#This Row],[spawner_sku]])-FIND("/",Table18[[#This Row],[spawner_sku]])),Table28[Entity Prefab],0)),26,1,1,"Entities"))</f>
        <v>no</v>
      </c>
      <c r="EV254">
        <v>1</v>
      </c>
      <c r="EW254">
        <v>1</v>
      </c>
      <c r="EX254" t="b">
        <v>0</v>
      </c>
    </row>
    <row r="255" spans="2:165" x14ac:dyDescent="0.25">
      <c r="B255" s="72" t="s">
        <v>220</v>
      </c>
      <c r="C255">
        <v>1</v>
      </c>
      <c r="D255">
        <v>300</v>
      </c>
      <c r="E255">
        <v>100</v>
      </c>
      <c r="F255" s="74">
        <f ca="1">INDIRECT(ADDRESS(11+(MATCH(RIGHT(Table245[[#This Row],[spawner_sku]],LEN(Table245[[#This Row],[spawner_sku]])-FIND("/",Table245[[#This Row],[spawner_sku]])),Table1[Entity Prefab],0)),10,1,1,"Entities"))</f>
        <v>195</v>
      </c>
      <c r="G255" s="74">
        <f ca="1">ROUND((Table245[[#This Row],[XP]]*Table245[[#This Row],[entity_spawned (AVG)]])*(Table245[[#This Row],[activating_chance]]/100),0)</f>
        <v>195</v>
      </c>
      <c r="H255" s="71" t="str">
        <f ca="1">INDIRECT(ADDRESS(11+(MATCH(RIGHT(Table245[[#This Row],[spawner_sku]],LEN(Table245[[#This Row],[spawner_sku]])-FIND("/",Table245[[#This Row],[spawner_sku]])),Table28[Entity Prefab],0)),24,1,1,"Entities"))</f>
        <v>yes</v>
      </c>
      <c r="I255" s="71">
        <v>1</v>
      </c>
      <c r="J255" s="71">
        <v>1</v>
      </c>
      <c r="K255" s="71" t="b">
        <v>0</v>
      </c>
      <c r="M255" t="s">
        <v>366</v>
      </c>
      <c r="N255">
        <v>2</v>
      </c>
      <c r="O255">
        <v>100</v>
      </c>
      <c r="P255">
        <v>100</v>
      </c>
      <c r="Q255" s="74">
        <f ca="1">INDIRECT(ADDRESS(11+(MATCH(RIGHT(Table3[[#This Row],[spawner_sku]],LEN(Table3[[#This Row],[spawner_sku]])-FIND("/",Table3[[#This Row],[spawner_sku]])),Table1[Entity Prefab],0)),10,1,1,"Entities"))</f>
        <v>25</v>
      </c>
      <c r="R255" s="74">
        <f ca="1">ROUND((Table3[[#This Row],[XP]]*Table3[[#This Row],[entity_spawned (AVG)]])*(Table3[[#This Row],[activating_chance]]/100),0)</f>
        <v>50</v>
      </c>
      <c r="S255" t="str">
        <f ca="1">INDIRECT(ADDRESS(11+(MATCH(RIGHT(Table3[[#This Row],[spawner_sku]],LEN(Table3[[#This Row],[spawner_sku]])-FIND("/",Table3[[#This Row],[spawner_sku]])),Table28[Entity Prefab],0)),24,1,1,"Entities"))</f>
        <v>no</v>
      </c>
      <c r="T255">
        <v>2</v>
      </c>
      <c r="U255">
        <v>2</v>
      </c>
      <c r="V255" t="b">
        <v>0</v>
      </c>
      <c r="AI255" t="s">
        <v>369</v>
      </c>
      <c r="AJ255">
        <v>1</v>
      </c>
      <c r="AK255">
        <v>220</v>
      </c>
      <c r="AL255">
        <v>60</v>
      </c>
      <c r="AM255" s="74">
        <f ca="1">INDIRECT(ADDRESS(11+(MATCH(RIGHT(Table2[[#This Row],[spawner_sku]],LEN(Table2[[#This Row],[spawner_sku]])-FIND("/",Table2[[#This Row],[spawner_sku]])),Table1[Entity Prefab],0)),10,1,1,"Entities"))</f>
        <v>75</v>
      </c>
      <c r="AN255" s="74">
        <f ca="1">ROUND((Table2[[#This Row],[XP]]*Table2[[#This Row],[entity_spawned (AVG)]])*(Table2[[#This Row],[activating_chance]]/100),0)</f>
        <v>45</v>
      </c>
      <c r="AO255" s="71" t="str">
        <f ca="1">INDIRECT(ADDRESS(11+(MATCH(RIGHT(Table2[[#This Row],[spawner_sku]],LEN(Table2[[#This Row],[spawner_sku]])-FIND("/",Table2[[#This Row],[spawner_sku]])),Table28[Entity Prefab],0)),24,1,1,"Entities"))</f>
        <v>yes</v>
      </c>
      <c r="AP255" s="71">
        <v>1</v>
      </c>
      <c r="AQ255" s="71">
        <v>1</v>
      </c>
      <c r="AR255" s="71" t="b">
        <v>0</v>
      </c>
      <c r="BP255" t="s">
        <v>449</v>
      </c>
      <c r="BQ255">
        <v>1</v>
      </c>
      <c r="BR255">
        <v>300</v>
      </c>
      <c r="BS255">
        <v>100</v>
      </c>
      <c r="BT255" s="74">
        <f ca="1">INDIRECT(ADDRESS(11+(MATCH(RIGHT(Table61011[[#This Row],[spawner_sku]],LEN(Table61011[[#This Row],[spawner_sku]])-FIND("/",Table61011[[#This Row],[spawner_sku]])),Table1[Entity Prefab],0)),10,1,1,"Entities"))</f>
        <v>130</v>
      </c>
      <c r="BU255" s="74">
        <f ca="1">ROUND((Table61011[[#This Row],[XP]]*Table61011[[#This Row],[entity_spawned (AVG)]])*(Table61011[[#This Row],[activating_chance]]/100),0)</f>
        <v>130</v>
      </c>
      <c r="BV255" s="71" t="str">
        <f ca="1">INDIRECT(ADDRESS(11+(MATCH(RIGHT(Table61011[[#This Row],[spawner_sku]],LEN(Table61011[[#This Row],[spawner_sku]])-FIND("/",Table61011[[#This Row],[spawner_sku]])),Table28[Entity Prefab],0)),24,1,1,"Entities"))</f>
        <v>yes</v>
      </c>
      <c r="BW255" s="71">
        <v>1</v>
      </c>
      <c r="BX255" s="71">
        <v>1</v>
      </c>
      <c r="BY255" s="71" t="b">
        <v>0</v>
      </c>
      <c r="BZ255" s="71"/>
      <c r="CA255" s="147" t="s">
        <v>3816</v>
      </c>
      <c r="CB255">
        <v>1</v>
      </c>
      <c r="CC255">
        <v>240</v>
      </c>
      <c r="CD255">
        <v>100</v>
      </c>
      <c r="CE255" s="74">
        <f ca="1">INDIRECT(ADDRESS(11+(MATCH(RIGHT(Table35[[#This Row],[spawner_sku]],LEN(Table35[[#This Row],[spawner_sku]])-FIND("/",Table35[[#This Row],[spawner_sku]])),Table1[Entity Prefab],0)),10,1,1,"Entities"))</f>
        <v>50</v>
      </c>
      <c r="CF255" s="74">
        <f ca="1">ROUND((Table35[[#This Row],[XP]]*Table35[[#This Row],[entity_spawned (AVG)]])*(Table35[[#This Row],[activating_chance]]/100),0)</f>
        <v>50</v>
      </c>
      <c r="CG255" s="144" t="str">
        <f ca="1">INDIRECT(ADDRESS(11+(MATCH(RIGHT(Table35[[#This Row],[spawner_sku]],LEN(Table35[[#This Row],[spawner_sku]])-FIND("/",Table35[[#This Row],[spawner_sku]])),Table28[Entity Prefab],0)),24,1,1,"Entities"))</f>
        <v>no</v>
      </c>
      <c r="CH255">
        <v>1</v>
      </c>
      <c r="CI255">
        <v>1</v>
      </c>
      <c r="CJ255" s="71" t="b">
        <v>0</v>
      </c>
      <c r="CL255" t="s">
        <v>570</v>
      </c>
      <c r="CM255">
        <v>1</v>
      </c>
      <c r="CN255">
        <v>120</v>
      </c>
      <c r="CO255">
        <v>100</v>
      </c>
      <c r="CP255" s="74">
        <f ca="1">INDIRECT(ADDRESS(11+(MATCH(RIGHT(Table11[[#This Row],[spawner_sku]],LEN(Table11[[#This Row],[spawner_sku]])-FIND("/",Table11[[#This Row],[spawner_sku]])),Table1[Entity Prefab],0)),10,1,1,"Entities"))</f>
        <v>50</v>
      </c>
      <c r="CQ255">
        <f ca="1">ROUND((Table11[[#This Row],[XP]]*Table11[[#This Row],[entity_spawned (AVG)]])*(Table11[[#This Row],[activating_chance]]/100),0)</f>
        <v>50</v>
      </c>
      <c r="CR255" s="144" t="str">
        <f ca="1">INDIRECT(ADDRESS(11+(MATCH(RIGHT(Table11[[#This Row],[spawner_sku]],LEN(Table11[[#This Row],[spawner_sku]])-FIND("/",Table11[[#This Row],[spawner_sku]])),Table28[Entity Prefab],0)),25,1,1,"Entities"))</f>
        <v>no</v>
      </c>
      <c r="CS255" s="71">
        <v>1</v>
      </c>
      <c r="CT255" s="71">
        <v>1</v>
      </c>
      <c r="CU255" s="71" t="b">
        <v>0</v>
      </c>
      <c r="DH255" t="s">
        <v>503</v>
      </c>
      <c r="DI255">
        <v>1</v>
      </c>
      <c r="DJ255">
        <v>240</v>
      </c>
      <c r="DK255">
        <v>30</v>
      </c>
      <c r="DL255" s="74">
        <f ca="1">INDIRECT(ADDRESS(11+(MATCH(RIGHT(Table13[[#This Row],[spawner_sku]],LEN(Table13[[#This Row],[spawner_sku]])-FIND("/",Table13[[#This Row],[spawner_sku]])),Table1[Entity Prefab],0)),10,1,1,"Entities"))</f>
        <v>55</v>
      </c>
      <c r="DM255" s="74">
        <f ca="1">ROUND((Table13[[#This Row],[XP]]*Table13[[#This Row],[entity_spawned (AVG)]])*(Table13[[#This Row],[activating_chance]]/100),0)</f>
        <v>17</v>
      </c>
      <c r="DN255" s="144" t="str">
        <f ca="1">INDIRECT(ADDRESS(11+(MATCH(RIGHT(Table13[[#This Row],[spawner_sku]],LEN(Table13[[#This Row],[spawner_sku]])-FIND("/",Table13[[#This Row],[spawner_sku]])),Table28[Entity Prefab],0)),25,1,1,"Entities"))</f>
        <v>yes</v>
      </c>
      <c r="DO255" s="71">
        <v>1</v>
      </c>
      <c r="DP255" s="71">
        <v>1</v>
      </c>
      <c r="DQ255" s="71" t="b">
        <v>0</v>
      </c>
      <c r="DS255" t="s">
        <v>371</v>
      </c>
      <c r="DT255">
        <v>1</v>
      </c>
      <c r="DU255">
        <v>200</v>
      </c>
      <c r="DV255">
        <v>80</v>
      </c>
      <c r="DW255" s="74">
        <f ca="1">INDIRECT(ADDRESS(11+(MATCH(RIGHT(Table14[[#This Row],[spawner_sku]],LEN(Table14[[#This Row],[spawner_sku]])-FIND("/",Table14[[#This Row],[spawner_sku]])),Table1[Entity Prefab],0)),10,1,1,"Entities"))</f>
        <v>75</v>
      </c>
      <c r="DX255" s="74">
        <f ca="1">ROUND((Table14[[#This Row],[XP]]*Table14[[#This Row],[entity_spawned (AVG)]])*(Table14[[#This Row],[activating_chance]]/100),0)</f>
        <v>60</v>
      </c>
      <c r="DY255" s="144" t="str">
        <f ca="1">INDIRECT(ADDRESS(11+(MATCH(RIGHT(Table14[[#This Row],[spawner_sku]],LEN(Table14[[#This Row],[spawner_sku]])-FIND("/",Table14[[#This Row],[spawner_sku]])),Table28[Entity Prefab],0)),25,1,1,"Entities"))</f>
        <v>yes</v>
      </c>
      <c r="DZ255" s="71">
        <v>1</v>
      </c>
      <c r="EA255" s="71">
        <v>1</v>
      </c>
      <c r="EB255" s="71" t="b">
        <v>0</v>
      </c>
      <c r="EC255" s="71"/>
      <c r="EO255" t="s">
        <v>571</v>
      </c>
      <c r="EP255">
        <v>1</v>
      </c>
      <c r="EQ255">
        <v>120</v>
      </c>
      <c r="ER255">
        <v>100</v>
      </c>
      <c r="ES255" s="74">
        <f ca="1">INDIRECT(ADDRESS(11+(MATCH(RIGHT(Table18[[#This Row],[spawner_sku]],LEN(Table18[[#This Row],[spawner_sku]])-FIND("/",Table18[[#This Row],[spawner_sku]])),Table1[Entity Prefab],0)),10,1,1,"Entities"))</f>
        <v>35</v>
      </c>
      <c r="ET255" s="74">
        <f ca="1">ROUND((Table18[[#This Row],[XP]]*Table18[[#This Row],[entity_spawned (AVG)]])*(Table18[[#This Row],[activating_chance]]/100),0)</f>
        <v>35</v>
      </c>
      <c r="EU255" s="74" t="str">
        <f ca="1">INDIRECT(ADDRESS(11+(MATCH(RIGHT(Table18[[#This Row],[spawner_sku]],LEN(Table18[[#This Row],[spawner_sku]])-FIND("/",Table18[[#This Row],[spawner_sku]])),Table28[Entity Prefab],0)),26,1,1,"Entities"))</f>
        <v>no</v>
      </c>
      <c r="EV255">
        <v>1</v>
      </c>
      <c r="EW255">
        <v>1</v>
      </c>
      <c r="EX255" t="b">
        <v>0</v>
      </c>
    </row>
    <row r="256" spans="2:165" x14ac:dyDescent="0.25">
      <c r="B256" s="72" t="s">
        <v>220</v>
      </c>
      <c r="C256">
        <v>1</v>
      </c>
      <c r="D256">
        <v>300</v>
      </c>
      <c r="E256">
        <v>100</v>
      </c>
      <c r="F256" s="74">
        <f ca="1">INDIRECT(ADDRESS(11+(MATCH(RIGHT(Table245[[#This Row],[spawner_sku]],LEN(Table245[[#This Row],[spawner_sku]])-FIND("/",Table245[[#This Row],[spawner_sku]])),Table1[Entity Prefab],0)),10,1,1,"Entities"))</f>
        <v>195</v>
      </c>
      <c r="G256" s="74">
        <f ca="1">ROUND((Table245[[#This Row],[XP]]*Table245[[#This Row],[entity_spawned (AVG)]])*(Table245[[#This Row],[activating_chance]]/100),0)</f>
        <v>195</v>
      </c>
      <c r="H256" s="71" t="str">
        <f ca="1">INDIRECT(ADDRESS(11+(MATCH(RIGHT(Table245[[#This Row],[spawner_sku]],LEN(Table245[[#This Row],[spawner_sku]])-FIND("/",Table245[[#This Row],[spawner_sku]])),Table28[Entity Prefab],0)),24,1,1,"Entities"))</f>
        <v>yes</v>
      </c>
      <c r="I256" s="71">
        <v>1</v>
      </c>
      <c r="J256" s="71">
        <v>1</v>
      </c>
      <c r="K256" s="71" t="b">
        <v>0</v>
      </c>
      <c r="M256" t="s">
        <v>233</v>
      </c>
      <c r="N256">
        <v>1</v>
      </c>
      <c r="O256">
        <v>500</v>
      </c>
      <c r="P256">
        <v>75</v>
      </c>
      <c r="Q256" s="74">
        <f ca="1">INDIRECT(ADDRESS(11+(MATCH(RIGHT(Table3[[#This Row],[spawner_sku]],LEN(Table3[[#This Row],[spawner_sku]])-FIND("/",Table3[[#This Row],[spawner_sku]])),Table1[Entity Prefab],0)),10,1,1,"Entities"))</f>
        <v>25</v>
      </c>
      <c r="R256" s="74">
        <f ca="1">ROUND((Table3[[#This Row],[XP]]*Table3[[#This Row],[entity_spawned (AVG)]])*(Table3[[#This Row],[activating_chance]]/100),0)</f>
        <v>19</v>
      </c>
      <c r="S256" t="str">
        <f ca="1">INDIRECT(ADDRESS(11+(MATCH(RIGHT(Table3[[#This Row],[spawner_sku]],LEN(Table3[[#This Row],[spawner_sku]])-FIND("/",Table3[[#This Row],[spawner_sku]])),Table28[Entity Prefab],0)),24,1,1,"Entities"))</f>
        <v>no</v>
      </c>
      <c r="T256">
        <v>1</v>
      </c>
      <c r="U256">
        <v>1</v>
      </c>
      <c r="V256" t="b">
        <v>0</v>
      </c>
      <c r="AI256" t="s">
        <v>369</v>
      </c>
      <c r="AJ256">
        <v>1</v>
      </c>
      <c r="AK256">
        <v>220</v>
      </c>
      <c r="AL256">
        <v>100</v>
      </c>
      <c r="AM256" s="74">
        <f ca="1">INDIRECT(ADDRESS(11+(MATCH(RIGHT(Table2[[#This Row],[spawner_sku]],LEN(Table2[[#This Row],[spawner_sku]])-FIND("/",Table2[[#This Row],[spawner_sku]])),Table1[Entity Prefab],0)),10,1,1,"Entities"))</f>
        <v>75</v>
      </c>
      <c r="AN256" s="74">
        <f ca="1">ROUND((Table2[[#This Row],[XP]]*Table2[[#This Row],[entity_spawned (AVG)]])*(Table2[[#This Row],[activating_chance]]/100),0)</f>
        <v>75</v>
      </c>
      <c r="AO256" s="71" t="str">
        <f ca="1">INDIRECT(ADDRESS(11+(MATCH(RIGHT(Table2[[#This Row],[spawner_sku]],LEN(Table2[[#This Row],[spawner_sku]])-FIND("/",Table2[[#This Row],[spawner_sku]])),Table28[Entity Prefab],0)),24,1,1,"Entities"))</f>
        <v>yes</v>
      </c>
      <c r="AP256" s="71">
        <v>1</v>
      </c>
      <c r="AQ256" s="71">
        <v>1</v>
      </c>
      <c r="AR256" s="71" t="b">
        <v>0</v>
      </c>
      <c r="BP256" t="s">
        <v>449</v>
      </c>
      <c r="BQ256">
        <v>1</v>
      </c>
      <c r="BR256">
        <v>300</v>
      </c>
      <c r="BS256">
        <v>100</v>
      </c>
      <c r="BT256" s="74">
        <f ca="1">INDIRECT(ADDRESS(11+(MATCH(RIGHT(Table61011[[#This Row],[spawner_sku]],LEN(Table61011[[#This Row],[spawner_sku]])-FIND("/",Table61011[[#This Row],[spawner_sku]])),Table1[Entity Prefab],0)),10,1,1,"Entities"))</f>
        <v>130</v>
      </c>
      <c r="BU256" s="74">
        <f ca="1">ROUND((Table61011[[#This Row],[XP]]*Table61011[[#This Row],[entity_spawned (AVG)]])*(Table61011[[#This Row],[activating_chance]]/100),0)</f>
        <v>130</v>
      </c>
      <c r="BV256" s="71" t="str">
        <f ca="1">INDIRECT(ADDRESS(11+(MATCH(RIGHT(Table61011[[#This Row],[spawner_sku]],LEN(Table61011[[#This Row],[spawner_sku]])-FIND("/",Table61011[[#This Row],[spawner_sku]])),Table28[Entity Prefab],0)),24,1,1,"Entities"))</f>
        <v>yes</v>
      </c>
      <c r="BW256" s="71">
        <v>1</v>
      </c>
      <c r="BX256" s="71">
        <v>1</v>
      </c>
      <c r="BY256" s="71" t="b">
        <v>0</v>
      </c>
      <c r="BZ256" s="71"/>
      <c r="CA256" s="147" t="s">
        <v>3816</v>
      </c>
      <c r="CB256">
        <v>1</v>
      </c>
      <c r="CC256">
        <v>240</v>
      </c>
      <c r="CD256">
        <v>100</v>
      </c>
      <c r="CE256" s="74">
        <f ca="1">INDIRECT(ADDRESS(11+(MATCH(RIGHT(Table35[[#This Row],[spawner_sku]],LEN(Table35[[#This Row],[spawner_sku]])-FIND("/",Table35[[#This Row],[spawner_sku]])),Table1[Entity Prefab],0)),10,1,1,"Entities"))</f>
        <v>50</v>
      </c>
      <c r="CF256" s="74">
        <f ca="1">ROUND((Table35[[#This Row],[XP]]*Table35[[#This Row],[entity_spawned (AVG)]])*(Table35[[#This Row],[activating_chance]]/100),0)</f>
        <v>50</v>
      </c>
      <c r="CG256" s="144" t="str">
        <f ca="1">INDIRECT(ADDRESS(11+(MATCH(RIGHT(Table35[[#This Row],[spawner_sku]],LEN(Table35[[#This Row],[spawner_sku]])-FIND("/",Table35[[#This Row],[spawner_sku]])),Table28[Entity Prefab],0)),24,1,1,"Entities"))</f>
        <v>no</v>
      </c>
      <c r="CH256">
        <v>1</v>
      </c>
      <c r="CI256">
        <v>1</v>
      </c>
      <c r="CJ256" s="71" t="b">
        <v>0</v>
      </c>
      <c r="CL256" t="s">
        <v>570</v>
      </c>
      <c r="CM256">
        <v>1</v>
      </c>
      <c r="CN256">
        <v>120</v>
      </c>
      <c r="CO256">
        <v>100</v>
      </c>
      <c r="CP256" s="74">
        <f ca="1">INDIRECT(ADDRESS(11+(MATCH(RIGHT(Table11[[#This Row],[spawner_sku]],LEN(Table11[[#This Row],[spawner_sku]])-FIND("/",Table11[[#This Row],[spawner_sku]])),Table1[Entity Prefab],0)),10,1,1,"Entities"))</f>
        <v>50</v>
      </c>
      <c r="CQ256">
        <f ca="1">ROUND((Table11[[#This Row],[XP]]*Table11[[#This Row],[entity_spawned (AVG)]])*(Table11[[#This Row],[activating_chance]]/100),0)</f>
        <v>50</v>
      </c>
      <c r="CR256" s="144" t="str">
        <f ca="1">INDIRECT(ADDRESS(11+(MATCH(RIGHT(Table11[[#This Row],[spawner_sku]],LEN(Table11[[#This Row],[spawner_sku]])-FIND("/",Table11[[#This Row],[spawner_sku]])),Table28[Entity Prefab],0)),25,1,1,"Entities"))</f>
        <v>no</v>
      </c>
      <c r="CS256" s="71">
        <v>1</v>
      </c>
      <c r="CT256" s="71">
        <v>1</v>
      </c>
      <c r="CU256" s="71" t="b">
        <v>0</v>
      </c>
      <c r="DH256" t="s">
        <v>503</v>
      </c>
      <c r="DI256">
        <v>1</v>
      </c>
      <c r="DJ256">
        <v>240</v>
      </c>
      <c r="DK256">
        <v>20</v>
      </c>
      <c r="DL256" s="74">
        <f ca="1">INDIRECT(ADDRESS(11+(MATCH(RIGHT(Table13[[#This Row],[spawner_sku]],LEN(Table13[[#This Row],[spawner_sku]])-FIND("/",Table13[[#This Row],[spawner_sku]])),Table1[Entity Prefab],0)),10,1,1,"Entities"))</f>
        <v>55</v>
      </c>
      <c r="DM256" s="74">
        <f ca="1">ROUND((Table13[[#This Row],[XP]]*Table13[[#This Row],[entity_spawned (AVG)]])*(Table13[[#This Row],[activating_chance]]/100),0)</f>
        <v>11</v>
      </c>
      <c r="DN256" s="144" t="str">
        <f ca="1">INDIRECT(ADDRESS(11+(MATCH(RIGHT(Table13[[#This Row],[spawner_sku]],LEN(Table13[[#This Row],[spawner_sku]])-FIND("/",Table13[[#This Row],[spawner_sku]])),Table28[Entity Prefab],0)),25,1,1,"Entities"))</f>
        <v>yes</v>
      </c>
      <c r="DO256" s="71">
        <v>1</v>
      </c>
      <c r="DP256" s="71">
        <v>1</v>
      </c>
      <c r="DQ256" s="71" t="b">
        <v>0</v>
      </c>
      <c r="DS256" t="s">
        <v>371</v>
      </c>
      <c r="DT256">
        <v>1</v>
      </c>
      <c r="DU256">
        <v>200</v>
      </c>
      <c r="DV256">
        <v>30</v>
      </c>
      <c r="DW256" s="74">
        <f ca="1">INDIRECT(ADDRESS(11+(MATCH(RIGHT(Table14[[#This Row],[spawner_sku]],LEN(Table14[[#This Row],[spawner_sku]])-FIND("/",Table14[[#This Row],[spawner_sku]])),Table1[Entity Prefab],0)),10,1,1,"Entities"))</f>
        <v>75</v>
      </c>
      <c r="DX256" s="74">
        <f ca="1">ROUND((Table14[[#This Row],[XP]]*Table14[[#This Row],[entity_spawned (AVG)]])*(Table14[[#This Row],[activating_chance]]/100),0)</f>
        <v>23</v>
      </c>
      <c r="DY256" s="144" t="str">
        <f ca="1">INDIRECT(ADDRESS(11+(MATCH(RIGHT(Table14[[#This Row],[spawner_sku]],LEN(Table14[[#This Row],[spawner_sku]])-FIND("/",Table14[[#This Row],[spawner_sku]])),Table28[Entity Prefab],0)),25,1,1,"Entities"))</f>
        <v>yes</v>
      </c>
      <c r="DZ256" s="71">
        <v>1</v>
      </c>
      <c r="EA256" s="71">
        <v>1</v>
      </c>
      <c r="EB256" s="71" t="b">
        <v>0</v>
      </c>
      <c r="EC256" s="71"/>
      <c r="EO256" t="s">
        <v>571</v>
      </c>
      <c r="EP256">
        <v>1</v>
      </c>
      <c r="EQ256">
        <v>120</v>
      </c>
      <c r="ER256">
        <v>35</v>
      </c>
      <c r="ES256" s="74">
        <f ca="1">INDIRECT(ADDRESS(11+(MATCH(RIGHT(Table18[[#This Row],[spawner_sku]],LEN(Table18[[#This Row],[spawner_sku]])-FIND("/",Table18[[#This Row],[spawner_sku]])),Table1[Entity Prefab],0)),10,1,1,"Entities"))</f>
        <v>35</v>
      </c>
      <c r="ET256" s="74">
        <f ca="1">ROUND((Table18[[#This Row],[XP]]*Table18[[#This Row],[entity_spawned (AVG)]])*(Table18[[#This Row],[activating_chance]]/100),0)</f>
        <v>12</v>
      </c>
      <c r="EU256" s="74" t="str">
        <f ca="1">INDIRECT(ADDRESS(11+(MATCH(RIGHT(Table18[[#This Row],[spawner_sku]],LEN(Table18[[#This Row],[spawner_sku]])-FIND("/",Table18[[#This Row],[spawner_sku]])),Table28[Entity Prefab],0)),26,1,1,"Entities"))</f>
        <v>no</v>
      </c>
      <c r="EV256">
        <v>1</v>
      </c>
      <c r="EW256">
        <v>1</v>
      </c>
      <c r="EX256" t="b">
        <v>0</v>
      </c>
    </row>
    <row r="257" spans="2:154" x14ac:dyDescent="0.25">
      <c r="B257" s="72" t="s">
        <v>220</v>
      </c>
      <c r="C257">
        <v>1</v>
      </c>
      <c r="D257">
        <v>300</v>
      </c>
      <c r="E257">
        <v>100</v>
      </c>
      <c r="F257" s="74">
        <f ca="1">INDIRECT(ADDRESS(11+(MATCH(RIGHT(Table245[[#This Row],[spawner_sku]],LEN(Table245[[#This Row],[spawner_sku]])-FIND("/",Table245[[#This Row],[spawner_sku]])),Table1[Entity Prefab],0)),10,1,1,"Entities"))</f>
        <v>195</v>
      </c>
      <c r="G257" s="74">
        <f ca="1">ROUND((Table245[[#This Row],[XP]]*Table245[[#This Row],[entity_spawned (AVG)]])*(Table245[[#This Row],[activating_chance]]/100),0)</f>
        <v>195</v>
      </c>
      <c r="H257" s="71" t="str">
        <f ca="1">INDIRECT(ADDRESS(11+(MATCH(RIGHT(Table245[[#This Row],[spawner_sku]],LEN(Table245[[#This Row],[spawner_sku]])-FIND("/",Table245[[#This Row],[spawner_sku]])),Table28[Entity Prefab],0)),24,1,1,"Entities"))</f>
        <v>yes</v>
      </c>
      <c r="I257" s="71">
        <v>1</v>
      </c>
      <c r="J257" s="71">
        <v>1</v>
      </c>
      <c r="K257" s="71" t="b">
        <v>0</v>
      </c>
      <c r="M257" t="s">
        <v>242</v>
      </c>
      <c r="N257">
        <v>1</v>
      </c>
      <c r="O257">
        <v>170</v>
      </c>
      <c r="P257">
        <v>100</v>
      </c>
      <c r="Q257" s="74">
        <f ca="1">INDIRECT(ADDRESS(11+(MATCH(RIGHT(Table3[[#This Row],[spawner_sku]],LEN(Table3[[#This Row],[spawner_sku]])-FIND("/",Table3[[#This Row],[spawner_sku]])),Table1[Entity Prefab],0)),10,1,1,"Entities"))</f>
        <v>25</v>
      </c>
      <c r="R257" s="74">
        <f ca="1">ROUND((Table3[[#This Row],[XP]]*Table3[[#This Row],[entity_spawned (AVG)]])*(Table3[[#This Row],[activating_chance]]/100),0)</f>
        <v>25</v>
      </c>
      <c r="S257" t="str">
        <f ca="1">INDIRECT(ADDRESS(11+(MATCH(RIGHT(Table3[[#This Row],[spawner_sku]],LEN(Table3[[#This Row],[spawner_sku]])-FIND("/",Table3[[#This Row],[spawner_sku]])),Table28[Entity Prefab],0)),24,1,1,"Entities"))</f>
        <v>no</v>
      </c>
      <c r="T257">
        <v>1</v>
      </c>
      <c r="U257">
        <v>1</v>
      </c>
      <c r="V257" t="b">
        <v>0</v>
      </c>
      <c r="AI257" t="s">
        <v>368</v>
      </c>
      <c r="AJ257">
        <v>1</v>
      </c>
      <c r="AK257">
        <v>180</v>
      </c>
      <c r="AL257">
        <v>100</v>
      </c>
      <c r="AM257" s="74">
        <f ca="1">INDIRECT(ADDRESS(11+(MATCH(RIGHT(Table2[[#This Row],[spawner_sku]],LEN(Table2[[#This Row],[spawner_sku]])-FIND("/",Table2[[#This Row],[spawner_sku]])),Table1[Entity Prefab],0)),10,1,1,"Entities"))</f>
        <v>75</v>
      </c>
      <c r="AN257" s="74">
        <f ca="1">ROUND((Table2[[#This Row],[XP]]*Table2[[#This Row],[entity_spawned (AVG)]])*(Table2[[#This Row],[activating_chance]]/100),0)</f>
        <v>75</v>
      </c>
      <c r="AO257" s="71" t="str">
        <f ca="1">INDIRECT(ADDRESS(11+(MATCH(RIGHT(Table2[[#This Row],[spawner_sku]],LEN(Table2[[#This Row],[spawner_sku]])-FIND("/",Table2[[#This Row],[spawner_sku]])),Table28[Entity Prefab],0)),24,1,1,"Entities"))</f>
        <v>yes</v>
      </c>
      <c r="AP257" s="71">
        <v>1</v>
      </c>
      <c r="AQ257" s="71">
        <v>1</v>
      </c>
      <c r="AR257" s="71" t="b">
        <v>0</v>
      </c>
      <c r="BP257" t="s">
        <v>8112</v>
      </c>
      <c r="BQ257">
        <v>1</v>
      </c>
      <c r="BR257">
        <v>300</v>
      </c>
      <c r="BS257">
        <v>100</v>
      </c>
      <c r="BT257" s="74">
        <f ca="1">INDIRECT(ADDRESS(11+(MATCH(RIGHT(Table61011[[#This Row],[spawner_sku]],LEN(Table61011[[#This Row],[spawner_sku]])-FIND("/",Table61011[[#This Row],[spawner_sku]])),Table1[Entity Prefab],0)),10,1,1,"Entities"))</f>
        <v>150</v>
      </c>
      <c r="BU257" s="74">
        <f ca="1">ROUND((Table61011[[#This Row],[XP]]*Table61011[[#This Row],[entity_spawned (AVG)]])*(Table61011[[#This Row],[activating_chance]]/100),0)</f>
        <v>150</v>
      </c>
      <c r="BV257" s="71" t="str">
        <f ca="1">INDIRECT(ADDRESS(11+(MATCH(RIGHT(Table61011[[#This Row],[spawner_sku]],LEN(Table61011[[#This Row],[spawner_sku]])-FIND("/",Table61011[[#This Row],[spawner_sku]])),Table28[Entity Prefab],0)),24,1,1,"Entities"))</f>
        <v>yes</v>
      </c>
      <c r="BW257" s="71">
        <v>1</v>
      </c>
      <c r="BX257" s="71">
        <v>1</v>
      </c>
      <c r="BY257" s="71" t="b">
        <v>0</v>
      </c>
      <c r="BZ257" s="71"/>
      <c r="CA257" s="147" t="s">
        <v>3816</v>
      </c>
      <c r="CB257">
        <v>1</v>
      </c>
      <c r="CC257">
        <v>240</v>
      </c>
      <c r="CD257">
        <v>100</v>
      </c>
      <c r="CE257" s="74">
        <f ca="1">INDIRECT(ADDRESS(11+(MATCH(RIGHT(Table35[[#This Row],[spawner_sku]],LEN(Table35[[#This Row],[spawner_sku]])-FIND("/",Table35[[#This Row],[spawner_sku]])),Table1[Entity Prefab],0)),10,1,1,"Entities"))</f>
        <v>50</v>
      </c>
      <c r="CF257" s="74">
        <f ca="1">ROUND((Table35[[#This Row],[XP]]*Table35[[#This Row],[entity_spawned (AVG)]])*(Table35[[#This Row],[activating_chance]]/100),0)</f>
        <v>50</v>
      </c>
      <c r="CG257" s="144" t="str">
        <f ca="1">INDIRECT(ADDRESS(11+(MATCH(RIGHT(Table35[[#This Row],[spawner_sku]],LEN(Table35[[#This Row],[spawner_sku]])-FIND("/",Table35[[#This Row],[spawner_sku]])),Table28[Entity Prefab],0)),24,1,1,"Entities"))</f>
        <v>no</v>
      </c>
      <c r="CH257">
        <v>1</v>
      </c>
      <c r="CI257">
        <v>1</v>
      </c>
      <c r="CJ257" s="71" t="b">
        <v>0</v>
      </c>
      <c r="CL257" t="s">
        <v>570</v>
      </c>
      <c r="CM257">
        <v>1</v>
      </c>
      <c r="CN257">
        <v>120</v>
      </c>
      <c r="CO257">
        <v>100</v>
      </c>
      <c r="CP257" s="74">
        <f ca="1">INDIRECT(ADDRESS(11+(MATCH(RIGHT(Table11[[#This Row],[spawner_sku]],LEN(Table11[[#This Row],[spawner_sku]])-FIND("/",Table11[[#This Row],[spawner_sku]])),Table1[Entity Prefab],0)),10,1,1,"Entities"))</f>
        <v>50</v>
      </c>
      <c r="CQ257">
        <f ca="1">ROUND((Table11[[#This Row],[XP]]*Table11[[#This Row],[entity_spawned (AVG)]])*(Table11[[#This Row],[activating_chance]]/100),0)</f>
        <v>50</v>
      </c>
      <c r="CR257" s="144" t="str">
        <f ca="1">INDIRECT(ADDRESS(11+(MATCH(RIGHT(Table11[[#This Row],[spawner_sku]],LEN(Table11[[#This Row],[spawner_sku]])-FIND("/",Table11[[#This Row],[spawner_sku]])),Table28[Entity Prefab],0)),25,1,1,"Entities"))</f>
        <v>no</v>
      </c>
      <c r="CS257" s="71">
        <v>1</v>
      </c>
      <c r="CT257" s="71">
        <v>1</v>
      </c>
      <c r="CU257" s="71" t="b">
        <v>0</v>
      </c>
      <c r="DH257" t="s">
        <v>503</v>
      </c>
      <c r="DI257">
        <v>1</v>
      </c>
      <c r="DJ257">
        <v>240</v>
      </c>
      <c r="DK257">
        <v>100</v>
      </c>
      <c r="DL257" s="74">
        <f ca="1">INDIRECT(ADDRESS(11+(MATCH(RIGHT(Table13[[#This Row],[spawner_sku]],LEN(Table13[[#This Row],[spawner_sku]])-FIND("/",Table13[[#This Row],[spawner_sku]])),Table1[Entity Prefab],0)),10,1,1,"Entities"))</f>
        <v>55</v>
      </c>
      <c r="DM257" s="74">
        <f ca="1">ROUND((Table13[[#This Row],[XP]]*Table13[[#This Row],[entity_spawned (AVG)]])*(Table13[[#This Row],[activating_chance]]/100),0)</f>
        <v>55</v>
      </c>
      <c r="DN257" s="144" t="str">
        <f ca="1">INDIRECT(ADDRESS(11+(MATCH(RIGHT(Table13[[#This Row],[spawner_sku]],LEN(Table13[[#This Row],[spawner_sku]])-FIND("/",Table13[[#This Row],[spawner_sku]])),Table28[Entity Prefab],0)),25,1,1,"Entities"))</f>
        <v>yes</v>
      </c>
      <c r="DO257" s="71">
        <v>1</v>
      </c>
      <c r="DP257" s="71">
        <v>1</v>
      </c>
      <c r="DQ257" s="71" t="b">
        <v>0</v>
      </c>
      <c r="DS257" t="s">
        <v>371</v>
      </c>
      <c r="DT257">
        <v>1</v>
      </c>
      <c r="DU257">
        <v>180</v>
      </c>
      <c r="DV257">
        <v>100</v>
      </c>
      <c r="DW257" s="74">
        <f ca="1">INDIRECT(ADDRESS(11+(MATCH(RIGHT(Table14[[#This Row],[spawner_sku]],LEN(Table14[[#This Row],[spawner_sku]])-FIND("/",Table14[[#This Row],[spawner_sku]])),Table1[Entity Prefab],0)),10,1,1,"Entities"))</f>
        <v>75</v>
      </c>
      <c r="DX257" s="74">
        <f ca="1">ROUND((Table14[[#This Row],[XP]]*Table14[[#This Row],[entity_spawned (AVG)]])*(Table14[[#This Row],[activating_chance]]/100),0)</f>
        <v>75</v>
      </c>
      <c r="DY257" s="144" t="str">
        <f ca="1">INDIRECT(ADDRESS(11+(MATCH(RIGHT(Table14[[#This Row],[spawner_sku]],LEN(Table14[[#This Row],[spawner_sku]])-FIND("/",Table14[[#This Row],[spawner_sku]])),Table28[Entity Prefab],0)),25,1,1,"Entities"))</f>
        <v>yes</v>
      </c>
      <c r="DZ257" s="71">
        <v>1</v>
      </c>
      <c r="EA257" s="71">
        <v>1</v>
      </c>
      <c r="EB257" s="71" t="b">
        <v>0</v>
      </c>
      <c r="EC257" s="71"/>
      <c r="EO257" t="s">
        <v>571</v>
      </c>
      <c r="EP257">
        <v>1</v>
      </c>
      <c r="EQ257">
        <v>120</v>
      </c>
      <c r="ER257">
        <v>100</v>
      </c>
      <c r="ES257" s="74">
        <f ca="1">INDIRECT(ADDRESS(11+(MATCH(RIGHT(Table18[[#This Row],[spawner_sku]],LEN(Table18[[#This Row],[spawner_sku]])-FIND("/",Table18[[#This Row],[spawner_sku]])),Table1[Entity Prefab],0)),10,1,1,"Entities"))</f>
        <v>35</v>
      </c>
      <c r="ET257" s="74">
        <f ca="1">ROUND((Table18[[#This Row],[XP]]*Table18[[#This Row],[entity_spawned (AVG)]])*(Table18[[#This Row],[activating_chance]]/100),0)</f>
        <v>35</v>
      </c>
      <c r="EU257" s="74" t="str">
        <f ca="1">INDIRECT(ADDRESS(11+(MATCH(RIGHT(Table18[[#This Row],[spawner_sku]],LEN(Table18[[#This Row],[spawner_sku]])-FIND("/",Table18[[#This Row],[spawner_sku]])),Table28[Entity Prefab],0)),26,1,1,"Entities"))</f>
        <v>no</v>
      </c>
      <c r="EV257">
        <v>1</v>
      </c>
      <c r="EW257">
        <v>1</v>
      </c>
      <c r="EX257" t="b">
        <v>0</v>
      </c>
    </row>
    <row r="258" spans="2:154" x14ac:dyDescent="0.25">
      <c r="B258" s="72" t="s">
        <v>220</v>
      </c>
      <c r="C258">
        <v>1</v>
      </c>
      <c r="D258">
        <v>300</v>
      </c>
      <c r="E258">
        <v>100</v>
      </c>
      <c r="F258" s="74">
        <f ca="1">INDIRECT(ADDRESS(11+(MATCH(RIGHT(Table245[[#This Row],[spawner_sku]],LEN(Table245[[#This Row],[spawner_sku]])-FIND("/",Table245[[#This Row],[spawner_sku]])),Table1[Entity Prefab],0)),10,1,1,"Entities"))</f>
        <v>195</v>
      </c>
      <c r="G258" s="74">
        <f ca="1">ROUND((Table245[[#This Row],[XP]]*Table245[[#This Row],[entity_spawned (AVG)]])*(Table245[[#This Row],[activating_chance]]/100),0)</f>
        <v>195</v>
      </c>
      <c r="H258" s="71" t="str">
        <f ca="1">INDIRECT(ADDRESS(11+(MATCH(RIGHT(Table245[[#This Row],[spawner_sku]],LEN(Table245[[#This Row],[spawner_sku]])-FIND("/",Table245[[#This Row],[spawner_sku]])),Table28[Entity Prefab],0)),24,1,1,"Entities"))</f>
        <v>yes</v>
      </c>
      <c r="I258" s="71">
        <v>1</v>
      </c>
      <c r="J258" s="71">
        <v>1</v>
      </c>
      <c r="K258" s="71" t="b">
        <v>0</v>
      </c>
      <c r="AI258" t="s">
        <v>368</v>
      </c>
      <c r="AJ258">
        <v>1</v>
      </c>
      <c r="AK258">
        <v>220</v>
      </c>
      <c r="AL258">
        <v>100</v>
      </c>
      <c r="AM258" s="74">
        <f ca="1">INDIRECT(ADDRESS(11+(MATCH(RIGHT(Table2[[#This Row],[spawner_sku]],LEN(Table2[[#This Row],[spawner_sku]])-FIND("/",Table2[[#This Row],[spawner_sku]])),Table1[Entity Prefab],0)),10,1,1,"Entities"))</f>
        <v>75</v>
      </c>
      <c r="AN258" s="74">
        <f ca="1">ROUND((Table2[[#This Row],[XP]]*Table2[[#This Row],[entity_spawned (AVG)]])*(Table2[[#This Row],[activating_chance]]/100),0)</f>
        <v>75</v>
      </c>
      <c r="AO258" s="71" t="str">
        <f ca="1">INDIRECT(ADDRESS(11+(MATCH(RIGHT(Table2[[#This Row],[spawner_sku]],LEN(Table2[[#This Row],[spawner_sku]])-FIND("/",Table2[[#This Row],[spawner_sku]])),Table28[Entity Prefab],0)),24,1,1,"Entities"))</f>
        <v>yes</v>
      </c>
      <c r="AP258" s="71">
        <v>1</v>
      </c>
      <c r="AQ258" s="71">
        <v>1</v>
      </c>
      <c r="AR258" s="71" t="b">
        <v>0</v>
      </c>
      <c r="BP258" t="s">
        <v>8112</v>
      </c>
      <c r="BQ258">
        <v>1</v>
      </c>
      <c r="BR258">
        <v>300</v>
      </c>
      <c r="BS258">
        <v>100</v>
      </c>
      <c r="BT258" s="74">
        <f ca="1">INDIRECT(ADDRESS(11+(MATCH(RIGHT(Table61011[[#This Row],[spawner_sku]],LEN(Table61011[[#This Row],[spawner_sku]])-FIND("/",Table61011[[#This Row],[spawner_sku]])),Table1[Entity Prefab],0)),10,1,1,"Entities"))</f>
        <v>150</v>
      </c>
      <c r="BU258" s="74">
        <f ca="1">ROUND((Table61011[[#This Row],[XP]]*Table61011[[#This Row],[entity_spawned (AVG)]])*(Table61011[[#This Row],[activating_chance]]/100),0)</f>
        <v>150</v>
      </c>
      <c r="BV258" s="71" t="str">
        <f ca="1">INDIRECT(ADDRESS(11+(MATCH(RIGHT(Table61011[[#This Row],[spawner_sku]],LEN(Table61011[[#This Row],[spawner_sku]])-FIND("/",Table61011[[#This Row],[spawner_sku]])),Table28[Entity Prefab],0)),24,1,1,"Entities"))</f>
        <v>yes</v>
      </c>
      <c r="BW258" s="71">
        <v>1</v>
      </c>
      <c r="BX258" s="71">
        <v>1</v>
      </c>
      <c r="BY258" s="71" t="b">
        <v>0</v>
      </c>
      <c r="BZ258" s="71"/>
      <c r="CA258" s="147" t="s">
        <v>3816</v>
      </c>
      <c r="CB258">
        <v>1</v>
      </c>
      <c r="CC258">
        <v>240</v>
      </c>
      <c r="CD258">
        <v>100</v>
      </c>
      <c r="CE258" s="74">
        <f ca="1">INDIRECT(ADDRESS(11+(MATCH(RIGHT(Table35[[#This Row],[spawner_sku]],LEN(Table35[[#This Row],[spawner_sku]])-FIND("/",Table35[[#This Row],[spawner_sku]])),Table1[Entity Prefab],0)),10,1,1,"Entities"))</f>
        <v>50</v>
      </c>
      <c r="CF258" s="74">
        <f ca="1">ROUND((Table35[[#This Row],[XP]]*Table35[[#This Row],[entity_spawned (AVG)]])*(Table35[[#This Row],[activating_chance]]/100),0)</f>
        <v>50</v>
      </c>
      <c r="CG258" s="144" t="str">
        <f ca="1">INDIRECT(ADDRESS(11+(MATCH(RIGHT(Table35[[#This Row],[spawner_sku]],LEN(Table35[[#This Row],[spawner_sku]])-FIND("/",Table35[[#This Row],[spawner_sku]])),Table28[Entity Prefab],0)),24,1,1,"Entities"))</f>
        <v>no</v>
      </c>
      <c r="CH258">
        <v>1</v>
      </c>
      <c r="CI258">
        <v>1</v>
      </c>
      <c r="CJ258" s="71" t="b">
        <v>0</v>
      </c>
      <c r="CL258" t="s">
        <v>570</v>
      </c>
      <c r="CM258">
        <v>1</v>
      </c>
      <c r="CN258">
        <v>120</v>
      </c>
      <c r="CO258">
        <v>100</v>
      </c>
      <c r="CP258" s="74">
        <f ca="1">INDIRECT(ADDRESS(11+(MATCH(RIGHT(Table11[[#This Row],[spawner_sku]],LEN(Table11[[#This Row],[spawner_sku]])-FIND("/",Table11[[#This Row],[spawner_sku]])),Table1[Entity Prefab],0)),10,1,1,"Entities"))</f>
        <v>50</v>
      </c>
      <c r="CQ258">
        <f ca="1">ROUND((Table11[[#This Row],[XP]]*Table11[[#This Row],[entity_spawned (AVG)]])*(Table11[[#This Row],[activating_chance]]/100),0)</f>
        <v>50</v>
      </c>
      <c r="CR258" s="144" t="str">
        <f ca="1">INDIRECT(ADDRESS(11+(MATCH(RIGHT(Table11[[#This Row],[spawner_sku]],LEN(Table11[[#This Row],[spawner_sku]])-FIND("/",Table11[[#This Row],[spawner_sku]])),Table28[Entity Prefab],0)),25,1,1,"Entities"))</f>
        <v>no</v>
      </c>
      <c r="CS258" s="71">
        <v>1</v>
      </c>
      <c r="CT258" s="71">
        <v>1</v>
      </c>
      <c r="CU258" s="71" t="b">
        <v>0</v>
      </c>
      <c r="DH258" t="s">
        <v>366</v>
      </c>
      <c r="DI258">
        <v>3</v>
      </c>
      <c r="DJ258">
        <v>100</v>
      </c>
      <c r="DK258">
        <v>100</v>
      </c>
      <c r="DL258" s="74">
        <f ca="1">INDIRECT(ADDRESS(11+(MATCH(RIGHT(Table13[[#This Row],[spawner_sku]],LEN(Table13[[#This Row],[spawner_sku]])-FIND("/",Table13[[#This Row],[spawner_sku]])),Table1[Entity Prefab],0)),10,1,1,"Entities"))</f>
        <v>25</v>
      </c>
      <c r="DM258" s="74">
        <f ca="1">ROUND((Table13[[#This Row],[XP]]*Table13[[#This Row],[entity_spawned (AVG)]])*(Table13[[#This Row],[activating_chance]]/100),0)</f>
        <v>75</v>
      </c>
      <c r="DN258" s="144" t="str">
        <f ca="1">INDIRECT(ADDRESS(11+(MATCH(RIGHT(Table13[[#This Row],[spawner_sku]],LEN(Table13[[#This Row],[spawner_sku]])-FIND("/",Table13[[#This Row],[spawner_sku]])),Table28[Entity Prefab],0)),25,1,1,"Entities"))</f>
        <v>no</v>
      </c>
      <c r="DO258" s="71">
        <v>2</v>
      </c>
      <c r="DP258" s="71">
        <v>4</v>
      </c>
      <c r="DQ258" s="71" t="b">
        <v>0</v>
      </c>
      <c r="DS258" t="s">
        <v>371</v>
      </c>
      <c r="DT258">
        <v>1</v>
      </c>
      <c r="DU258">
        <v>180</v>
      </c>
      <c r="DV258">
        <v>100</v>
      </c>
      <c r="DW258" s="74">
        <f ca="1">INDIRECT(ADDRESS(11+(MATCH(RIGHT(Table14[[#This Row],[spawner_sku]],LEN(Table14[[#This Row],[spawner_sku]])-FIND("/",Table14[[#This Row],[spawner_sku]])),Table1[Entity Prefab],0)),10,1,1,"Entities"))</f>
        <v>75</v>
      </c>
      <c r="DX258" s="74">
        <f ca="1">ROUND((Table14[[#This Row],[XP]]*Table14[[#This Row],[entity_spawned (AVG)]])*(Table14[[#This Row],[activating_chance]]/100),0)</f>
        <v>75</v>
      </c>
      <c r="DY258" s="144" t="str">
        <f ca="1">INDIRECT(ADDRESS(11+(MATCH(RIGHT(Table14[[#This Row],[spawner_sku]],LEN(Table14[[#This Row],[spawner_sku]])-FIND("/",Table14[[#This Row],[spawner_sku]])),Table28[Entity Prefab],0)),25,1,1,"Entities"))</f>
        <v>yes</v>
      </c>
      <c r="DZ258" s="71">
        <v>1</v>
      </c>
      <c r="EA258" s="71">
        <v>1</v>
      </c>
      <c r="EB258" s="71" t="b">
        <v>0</v>
      </c>
      <c r="EC258" s="71"/>
      <c r="EO258" t="s">
        <v>572</v>
      </c>
      <c r="EP258">
        <v>1</v>
      </c>
      <c r="EQ258">
        <v>120</v>
      </c>
      <c r="ER258">
        <v>100</v>
      </c>
      <c r="ES258" s="74">
        <f ca="1">INDIRECT(ADDRESS(11+(MATCH(RIGHT(Table18[[#This Row],[spawner_sku]],LEN(Table18[[#This Row],[spawner_sku]])-FIND("/",Table18[[#This Row],[spawner_sku]])),Table1[Entity Prefab],0)),10,1,1,"Entities"))</f>
        <v>130</v>
      </c>
      <c r="ET258" s="74">
        <f ca="1">ROUND((Table18[[#This Row],[XP]]*Table18[[#This Row],[entity_spawned (AVG)]])*(Table18[[#This Row],[activating_chance]]/100),0)</f>
        <v>130</v>
      </c>
      <c r="EU258" s="74" t="str">
        <f ca="1">INDIRECT(ADDRESS(11+(MATCH(RIGHT(Table18[[#This Row],[spawner_sku]],LEN(Table18[[#This Row],[spawner_sku]])-FIND("/",Table18[[#This Row],[spawner_sku]])),Table28[Entity Prefab],0)),26,1,1,"Entities"))</f>
        <v>yes</v>
      </c>
      <c r="EV258">
        <v>1</v>
      </c>
      <c r="EW258">
        <v>1</v>
      </c>
      <c r="EX258" t="b">
        <v>0</v>
      </c>
    </row>
    <row r="259" spans="2:154" x14ac:dyDescent="0.25">
      <c r="B259" s="72" t="s">
        <v>220</v>
      </c>
      <c r="C259">
        <v>1</v>
      </c>
      <c r="D259">
        <v>300</v>
      </c>
      <c r="E259">
        <v>100</v>
      </c>
      <c r="F259" s="74">
        <f ca="1">INDIRECT(ADDRESS(11+(MATCH(RIGHT(Table245[[#This Row],[spawner_sku]],LEN(Table245[[#This Row],[spawner_sku]])-FIND("/",Table245[[#This Row],[spawner_sku]])),Table1[Entity Prefab],0)),10,1,1,"Entities"))</f>
        <v>195</v>
      </c>
      <c r="G259" s="74">
        <f ca="1">ROUND((Table245[[#This Row],[XP]]*Table245[[#This Row],[entity_spawned (AVG)]])*(Table245[[#This Row],[activating_chance]]/100),0)</f>
        <v>195</v>
      </c>
      <c r="H259" s="71" t="str">
        <f ca="1">INDIRECT(ADDRESS(11+(MATCH(RIGHT(Table245[[#This Row],[spawner_sku]],LEN(Table245[[#This Row],[spawner_sku]])-FIND("/",Table245[[#This Row],[spawner_sku]])),Table28[Entity Prefab],0)),24,1,1,"Entities"))</f>
        <v>yes</v>
      </c>
      <c r="I259" s="71">
        <v>1</v>
      </c>
      <c r="J259" s="71">
        <v>1</v>
      </c>
      <c r="K259" s="71" t="b">
        <v>0</v>
      </c>
      <c r="AI259" t="s">
        <v>368</v>
      </c>
      <c r="AJ259">
        <v>1</v>
      </c>
      <c r="AK259">
        <v>180</v>
      </c>
      <c r="AL259">
        <v>100</v>
      </c>
      <c r="AM259" s="74">
        <f ca="1">INDIRECT(ADDRESS(11+(MATCH(RIGHT(Table2[[#This Row],[spawner_sku]],LEN(Table2[[#This Row],[spawner_sku]])-FIND("/",Table2[[#This Row],[spawner_sku]])),Table1[Entity Prefab],0)),10,1,1,"Entities"))</f>
        <v>75</v>
      </c>
      <c r="AN259" s="74">
        <f ca="1">ROUND((Table2[[#This Row],[XP]]*Table2[[#This Row],[entity_spawned (AVG)]])*(Table2[[#This Row],[activating_chance]]/100),0)</f>
        <v>75</v>
      </c>
      <c r="AO259" s="71" t="str">
        <f ca="1">INDIRECT(ADDRESS(11+(MATCH(RIGHT(Table2[[#This Row],[spawner_sku]],LEN(Table2[[#This Row],[spawner_sku]])-FIND("/",Table2[[#This Row],[spawner_sku]])),Table28[Entity Prefab],0)),24,1,1,"Entities"))</f>
        <v>yes</v>
      </c>
      <c r="AP259" s="71">
        <v>1</v>
      </c>
      <c r="AQ259" s="71">
        <v>1</v>
      </c>
      <c r="AR259" s="71" t="b">
        <v>0</v>
      </c>
      <c r="BP259" t="s">
        <v>369</v>
      </c>
      <c r="BQ259">
        <v>1</v>
      </c>
      <c r="BR259">
        <v>220</v>
      </c>
      <c r="BS259">
        <v>100</v>
      </c>
      <c r="BT259" s="74">
        <f ca="1">INDIRECT(ADDRESS(11+(MATCH(RIGHT(Table61011[[#This Row],[spawner_sku]],LEN(Table61011[[#This Row],[spawner_sku]])-FIND("/",Table61011[[#This Row],[spawner_sku]])),Table1[Entity Prefab],0)),10,1,1,"Entities"))</f>
        <v>75</v>
      </c>
      <c r="BU259" s="74">
        <f ca="1">ROUND((Table61011[[#This Row],[XP]]*Table61011[[#This Row],[entity_spawned (AVG)]])*(Table61011[[#This Row],[activating_chance]]/100),0)</f>
        <v>75</v>
      </c>
      <c r="BV259" s="71" t="str">
        <f ca="1">INDIRECT(ADDRESS(11+(MATCH(RIGHT(Table61011[[#This Row],[spawner_sku]],LEN(Table61011[[#This Row],[spawner_sku]])-FIND("/",Table61011[[#This Row],[spawner_sku]])),Table28[Entity Prefab],0)),24,1,1,"Entities"))</f>
        <v>yes</v>
      </c>
      <c r="BW259" s="71">
        <v>1</v>
      </c>
      <c r="BX259" s="71">
        <v>1</v>
      </c>
      <c r="BY259" s="71" t="b">
        <v>0</v>
      </c>
      <c r="BZ259" s="71"/>
      <c r="CA259" s="147" t="s">
        <v>3816</v>
      </c>
      <c r="CB259">
        <v>1</v>
      </c>
      <c r="CC259">
        <v>240</v>
      </c>
      <c r="CD259">
        <v>100</v>
      </c>
      <c r="CE259" s="74">
        <f ca="1">INDIRECT(ADDRESS(11+(MATCH(RIGHT(Table35[[#This Row],[spawner_sku]],LEN(Table35[[#This Row],[spawner_sku]])-FIND("/",Table35[[#This Row],[spawner_sku]])),Table1[Entity Prefab],0)),10,1,1,"Entities"))</f>
        <v>50</v>
      </c>
      <c r="CF259" s="74">
        <f ca="1">ROUND((Table35[[#This Row],[XP]]*Table35[[#This Row],[entity_spawned (AVG)]])*(Table35[[#This Row],[activating_chance]]/100),0)</f>
        <v>50</v>
      </c>
      <c r="CG259" s="144" t="str">
        <f ca="1">INDIRECT(ADDRESS(11+(MATCH(RIGHT(Table35[[#This Row],[spawner_sku]],LEN(Table35[[#This Row],[spawner_sku]])-FIND("/",Table35[[#This Row],[spawner_sku]])),Table28[Entity Prefab],0)),24,1,1,"Entities"))</f>
        <v>no</v>
      </c>
      <c r="CH259">
        <v>1</v>
      </c>
      <c r="CI259">
        <v>1</v>
      </c>
      <c r="CJ259" s="71" t="b">
        <v>0</v>
      </c>
      <c r="CL259" t="s">
        <v>570</v>
      </c>
      <c r="CM259">
        <v>1</v>
      </c>
      <c r="CN259">
        <v>120</v>
      </c>
      <c r="CO259">
        <v>30</v>
      </c>
      <c r="CP259" s="74">
        <f ca="1">INDIRECT(ADDRESS(11+(MATCH(RIGHT(Table11[[#This Row],[spawner_sku]],LEN(Table11[[#This Row],[spawner_sku]])-FIND("/",Table11[[#This Row],[spawner_sku]])),Table1[Entity Prefab],0)),10,1,1,"Entities"))</f>
        <v>50</v>
      </c>
      <c r="CQ259">
        <f ca="1">ROUND((Table11[[#This Row],[XP]]*Table11[[#This Row],[entity_spawned (AVG)]])*(Table11[[#This Row],[activating_chance]]/100),0)</f>
        <v>15</v>
      </c>
      <c r="CR259" s="144" t="str">
        <f ca="1">INDIRECT(ADDRESS(11+(MATCH(RIGHT(Table11[[#This Row],[spawner_sku]],LEN(Table11[[#This Row],[spawner_sku]])-FIND("/",Table11[[#This Row],[spawner_sku]])),Table28[Entity Prefab],0)),25,1,1,"Entities"))</f>
        <v>no</v>
      </c>
      <c r="CS259" s="71">
        <v>1</v>
      </c>
      <c r="CT259" s="71">
        <v>1</v>
      </c>
      <c r="CU259" s="71" t="b">
        <v>0</v>
      </c>
      <c r="DH259" t="s">
        <v>366</v>
      </c>
      <c r="DI259">
        <v>5.5</v>
      </c>
      <c r="DJ259">
        <v>100</v>
      </c>
      <c r="DK259">
        <v>100</v>
      </c>
      <c r="DL259" s="74">
        <f ca="1">INDIRECT(ADDRESS(11+(MATCH(RIGHT(Table13[[#This Row],[spawner_sku]],LEN(Table13[[#This Row],[spawner_sku]])-FIND("/",Table13[[#This Row],[spawner_sku]])),Table1[Entity Prefab],0)),10,1,1,"Entities"))</f>
        <v>25</v>
      </c>
      <c r="DM259" s="74">
        <f ca="1">ROUND((Table13[[#This Row],[XP]]*Table13[[#This Row],[entity_spawned (AVG)]])*(Table13[[#This Row],[activating_chance]]/100),0)</f>
        <v>138</v>
      </c>
      <c r="DN259" s="144" t="str">
        <f ca="1">INDIRECT(ADDRESS(11+(MATCH(RIGHT(Table13[[#This Row],[spawner_sku]],LEN(Table13[[#This Row],[spawner_sku]])-FIND("/",Table13[[#This Row],[spawner_sku]])),Table28[Entity Prefab],0)),25,1,1,"Entities"))</f>
        <v>no</v>
      </c>
      <c r="DO259" s="71">
        <v>5</v>
      </c>
      <c r="DP259" s="71">
        <v>6</v>
      </c>
      <c r="DQ259" s="71" t="b">
        <v>1</v>
      </c>
      <c r="DS259" t="s">
        <v>371</v>
      </c>
      <c r="DT259">
        <v>1</v>
      </c>
      <c r="DU259">
        <v>180</v>
      </c>
      <c r="DV259">
        <v>100</v>
      </c>
      <c r="DW259" s="74">
        <f ca="1">INDIRECT(ADDRESS(11+(MATCH(RIGHT(Table14[[#This Row],[spawner_sku]],LEN(Table14[[#This Row],[spawner_sku]])-FIND("/",Table14[[#This Row],[spawner_sku]])),Table1[Entity Prefab],0)),10,1,1,"Entities"))</f>
        <v>75</v>
      </c>
      <c r="DX259" s="74">
        <f ca="1">ROUND((Table14[[#This Row],[XP]]*Table14[[#This Row],[entity_spawned (AVG)]])*(Table14[[#This Row],[activating_chance]]/100),0)</f>
        <v>75</v>
      </c>
      <c r="DY259" s="144" t="str">
        <f ca="1">INDIRECT(ADDRESS(11+(MATCH(RIGHT(Table14[[#This Row],[spawner_sku]],LEN(Table14[[#This Row],[spawner_sku]])-FIND("/",Table14[[#This Row],[spawner_sku]])),Table28[Entity Prefab],0)),25,1,1,"Entities"))</f>
        <v>yes</v>
      </c>
      <c r="DZ259" s="71">
        <v>1</v>
      </c>
      <c r="EA259" s="71">
        <v>1</v>
      </c>
      <c r="EB259" s="71" t="b">
        <v>0</v>
      </c>
      <c r="EC259" s="71"/>
      <c r="EO259" t="s">
        <v>572</v>
      </c>
      <c r="EP259">
        <v>1</v>
      </c>
      <c r="EQ259">
        <v>110</v>
      </c>
      <c r="ER259">
        <v>100</v>
      </c>
      <c r="ES259" s="74">
        <f ca="1">INDIRECT(ADDRESS(11+(MATCH(RIGHT(Table18[[#This Row],[spawner_sku]],LEN(Table18[[#This Row],[spawner_sku]])-FIND("/",Table18[[#This Row],[spawner_sku]])),Table1[Entity Prefab],0)),10,1,1,"Entities"))</f>
        <v>130</v>
      </c>
      <c r="ET259" s="74">
        <f ca="1">ROUND((Table18[[#This Row],[XP]]*Table18[[#This Row],[entity_spawned (AVG)]])*(Table18[[#This Row],[activating_chance]]/100),0)</f>
        <v>130</v>
      </c>
      <c r="EU259" s="74" t="str">
        <f ca="1">INDIRECT(ADDRESS(11+(MATCH(RIGHT(Table18[[#This Row],[spawner_sku]],LEN(Table18[[#This Row],[spawner_sku]])-FIND("/",Table18[[#This Row],[spawner_sku]])),Table28[Entity Prefab],0)),26,1,1,"Entities"))</f>
        <v>yes</v>
      </c>
      <c r="EV259">
        <v>1</v>
      </c>
      <c r="EW259">
        <v>1</v>
      </c>
      <c r="EX259" t="b">
        <v>0</v>
      </c>
    </row>
    <row r="260" spans="2:154" x14ac:dyDescent="0.25">
      <c r="B260" s="72" t="s">
        <v>220</v>
      </c>
      <c r="C260">
        <v>1</v>
      </c>
      <c r="D260">
        <v>300</v>
      </c>
      <c r="E260">
        <v>100</v>
      </c>
      <c r="F260" s="74">
        <f ca="1">INDIRECT(ADDRESS(11+(MATCH(RIGHT(Table245[[#This Row],[spawner_sku]],LEN(Table245[[#This Row],[spawner_sku]])-FIND("/",Table245[[#This Row],[spawner_sku]])),Table1[Entity Prefab],0)),10,1,1,"Entities"))</f>
        <v>195</v>
      </c>
      <c r="G260" s="74">
        <f ca="1">ROUND((Table245[[#This Row],[XP]]*Table245[[#This Row],[entity_spawned (AVG)]])*(Table245[[#This Row],[activating_chance]]/100),0)</f>
        <v>195</v>
      </c>
      <c r="H260" s="71" t="str">
        <f ca="1">INDIRECT(ADDRESS(11+(MATCH(RIGHT(Table245[[#This Row],[spawner_sku]],LEN(Table245[[#This Row],[spawner_sku]])-FIND("/",Table245[[#This Row],[spawner_sku]])),Table28[Entity Prefab],0)),24,1,1,"Entities"))</f>
        <v>yes</v>
      </c>
      <c r="I260" s="71">
        <v>1</v>
      </c>
      <c r="J260" s="71">
        <v>1</v>
      </c>
      <c r="K260" s="71" t="b">
        <v>0</v>
      </c>
      <c r="AI260" t="s">
        <v>368</v>
      </c>
      <c r="AJ260">
        <v>1</v>
      </c>
      <c r="AK260">
        <v>220</v>
      </c>
      <c r="AL260">
        <v>100</v>
      </c>
      <c r="AM260" s="74">
        <f ca="1">INDIRECT(ADDRESS(11+(MATCH(RIGHT(Table2[[#This Row],[spawner_sku]],LEN(Table2[[#This Row],[spawner_sku]])-FIND("/",Table2[[#This Row],[spawner_sku]])),Table1[Entity Prefab],0)),10,1,1,"Entities"))</f>
        <v>75</v>
      </c>
      <c r="AN260" s="74">
        <f ca="1">ROUND((Table2[[#This Row],[XP]]*Table2[[#This Row],[entity_spawned (AVG)]])*(Table2[[#This Row],[activating_chance]]/100),0)</f>
        <v>75</v>
      </c>
      <c r="AO260" s="71" t="str">
        <f ca="1">INDIRECT(ADDRESS(11+(MATCH(RIGHT(Table2[[#This Row],[spawner_sku]],LEN(Table2[[#This Row],[spawner_sku]])-FIND("/",Table2[[#This Row],[spawner_sku]])),Table28[Entity Prefab],0)),24,1,1,"Entities"))</f>
        <v>yes</v>
      </c>
      <c r="AP260" s="71">
        <v>1</v>
      </c>
      <c r="AQ260" s="71">
        <v>1</v>
      </c>
      <c r="AR260" s="71" t="b">
        <v>0</v>
      </c>
      <c r="BP260" t="s">
        <v>368</v>
      </c>
      <c r="BQ260">
        <v>1</v>
      </c>
      <c r="BR260">
        <v>110</v>
      </c>
      <c r="BS260">
        <v>100</v>
      </c>
      <c r="BT260" s="74">
        <f ca="1">INDIRECT(ADDRESS(11+(MATCH(RIGHT(Table61011[[#This Row],[spawner_sku]],LEN(Table61011[[#This Row],[spawner_sku]])-FIND("/",Table61011[[#This Row],[spawner_sku]])),Table1[Entity Prefab],0)),10,1,1,"Entities"))</f>
        <v>75</v>
      </c>
      <c r="BU260" s="74">
        <f ca="1">ROUND((Table61011[[#This Row],[XP]]*Table61011[[#This Row],[entity_spawned (AVG)]])*(Table61011[[#This Row],[activating_chance]]/100),0)</f>
        <v>75</v>
      </c>
      <c r="BV260" s="71" t="str">
        <f ca="1">INDIRECT(ADDRESS(11+(MATCH(RIGHT(Table61011[[#This Row],[spawner_sku]],LEN(Table61011[[#This Row],[spawner_sku]])-FIND("/",Table61011[[#This Row],[spawner_sku]])),Table28[Entity Prefab],0)),24,1,1,"Entities"))</f>
        <v>yes</v>
      </c>
      <c r="BW260" s="71">
        <v>1</v>
      </c>
      <c r="BX260" s="71">
        <v>1</v>
      </c>
      <c r="BY260" s="71" t="b">
        <v>0</v>
      </c>
      <c r="BZ260" s="71"/>
      <c r="CA260" s="147" t="s">
        <v>3816</v>
      </c>
      <c r="CB260">
        <v>1</v>
      </c>
      <c r="CC260">
        <v>240</v>
      </c>
      <c r="CD260">
        <v>100</v>
      </c>
      <c r="CE260" s="74">
        <f ca="1">INDIRECT(ADDRESS(11+(MATCH(RIGHT(Table35[[#This Row],[spawner_sku]],LEN(Table35[[#This Row],[spawner_sku]])-FIND("/",Table35[[#This Row],[spawner_sku]])),Table1[Entity Prefab],0)),10,1,1,"Entities"))</f>
        <v>50</v>
      </c>
      <c r="CF260" s="74">
        <f ca="1">ROUND((Table35[[#This Row],[XP]]*Table35[[#This Row],[entity_spawned (AVG)]])*(Table35[[#This Row],[activating_chance]]/100),0)</f>
        <v>50</v>
      </c>
      <c r="CG260" s="144" t="str">
        <f ca="1">INDIRECT(ADDRESS(11+(MATCH(RIGHT(Table35[[#This Row],[spawner_sku]],LEN(Table35[[#This Row],[spawner_sku]])-FIND("/",Table35[[#This Row],[spawner_sku]])),Table28[Entity Prefab],0)),24,1,1,"Entities"))</f>
        <v>no</v>
      </c>
      <c r="CH260">
        <v>1</v>
      </c>
      <c r="CI260">
        <v>1</v>
      </c>
      <c r="CJ260" s="71" t="b">
        <v>0</v>
      </c>
      <c r="CL260" t="s">
        <v>570</v>
      </c>
      <c r="CM260">
        <v>1</v>
      </c>
      <c r="CN260">
        <v>120</v>
      </c>
      <c r="CO260">
        <v>100</v>
      </c>
      <c r="CP260" s="74">
        <f ca="1">INDIRECT(ADDRESS(11+(MATCH(RIGHT(Table11[[#This Row],[spawner_sku]],LEN(Table11[[#This Row],[spawner_sku]])-FIND("/",Table11[[#This Row],[spawner_sku]])),Table1[Entity Prefab],0)),10,1,1,"Entities"))</f>
        <v>50</v>
      </c>
      <c r="CQ260">
        <f ca="1">ROUND((Table11[[#This Row],[XP]]*Table11[[#This Row],[entity_spawned (AVG)]])*(Table11[[#This Row],[activating_chance]]/100),0)</f>
        <v>50</v>
      </c>
      <c r="CR260" s="144" t="str">
        <f ca="1">INDIRECT(ADDRESS(11+(MATCH(RIGHT(Table11[[#This Row],[spawner_sku]],LEN(Table11[[#This Row],[spawner_sku]])-FIND("/",Table11[[#This Row],[spawner_sku]])),Table28[Entity Prefab],0)),25,1,1,"Entities"))</f>
        <v>no</v>
      </c>
      <c r="CS260" s="71">
        <v>1</v>
      </c>
      <c r="CT260" s="71">
        <v>1</v>
      </c>
      <c r="CU260" s="71" t="b">
        <v>0</v>
      </c>
      <c r="DH260" t="s">
        <v>366</v>
      </c>
      <c r="DI260">
        <v>2</v>
      </c>
      <c r="DJ260">
        <v>100</v>
      </c>
      <c r="DK260">
        <v>100</v>
      </c>
      <c r="DL260" s="74">
        <f ca="1">INDIRECT(ADDRESS(11+(MATCH(RIGHT(Table13[[#This Row],[spawner_sku]],LEN(Table13[[#This Row],[spawner_sku]])-FIND("/",Table13[[#This Row],[spawner_sku]])),Table1[Entity Prefab],0)),10,1,1,"Entities"))</f>
        <v>25</v>
      </c>
      <c r="DM260" s="74">
        <f ca="1">ROUND((Table13[[#This Row],[XP]]*Table13[[#This Row],[entity_spawned (AVG)]])*(Table13[[#This Row],[activating_chance]]/100),0)</f>
        <v>50</v>
      </c>
      <c r="DN260" s="144" t="str">
        <f ca="1">INDIRECT(ADDRESS(11+(MATCH(RIGHT(Table13[[#This Row],[spawner_sku]],LEN(Table13[[#This Row],[spawner_sku]])-FIND("/",Table13[[#This Row],[spawner_sku]])),Table28[Entity Prefab],0)),25,1,1,"Entities"))</f>
        <v>no</v>
      </c>
      <c r="DO260" s="71">
        <v>1</v>
      </c>
      <c r="DP260" s="71">
        <v>3</v>
      </c>
      <c r="DQ260" s="71" t="b">
        <v>0</v>
      </c>
      <c r="DS260" t="s">
        <v>371</v>
      </c>
      <c r="DT260">
        <v>1</v>
      </c>
      <c r="DU260">
        <v>180</v>
      </c>
      <c r="DV260">
        <v>100</v>
      </c>
      <c r="DW260" s="74">
        <f ca="1">INDIRECT(ADDRESS(11+(MATCH(RIGHT(Table14[[#This Row],[spawner_sku]],LEN(Table14[[#This Row],[spawner_sku]])-FIND("/",Table14[[#This Row],[spawner_sku]])),Table1[Entity Prefab],0)),10,1,1,"Entities"))</f>
        <v>75</v>
      </c>
      <c r="DX260" s="74">
        <f ca="1">ROUND((Table14[[#This Row],[XP]]*Table14[[#This Row],[entity_spawned (AVG)]])*(Table14[[#This Row],[activating_chance]]/100),0)</f>
        <v>75</v>
      </c>
      <c r="DY260" s="144" t="str">
        <f ca="1">INDIRECT(ADDRESS(11+(MATCH(RIGHT(Table14[[#This Row],[spawner_sku]],LEN(Table14[[#This Row],[spawner_sku]])-FIND("/",Table14[[#This Row],[spawner_sku]])),Table28[Entity Prefab],0)),25,1,1,"Entities"))</f>
        <v>yes</v>
      </c>
      <c r="DZ260" s="71">
        <v>1</v>
      </c>
      <c r="EA260" s="71">
        <v>1</v>
      </c>
      <c r="EB260" s="71" t="b">
        <v>0</v>
      </c>
      <c r="EC260" s="71"/>
      <c r="EO260" t="s">
        <v>572</v>
      </c>
      <c r="EP260">
        <v>1</v>
      </c>
      <c r="EQ260">
        <v>100</v>
      </c>
      <c r="ER260">
        <v>100</v>
      </c>
      <c r="ES260" s="74">
        <f ca="1">INDIRECT(ADDRESS(11+(MATCH(RIGHT(Table18[[#This Row],[spawner_sku]],LEN(Table18[[#This Row],[spawner_sku]])-FIND("/",Table18[[#This Row],[spawner_sku]])),Table1[Entity Prefab],0)),10,1,1,"Entities"))</f>
        <v>130</v>
      </c>
      <c r="ET260" s="74">
        <f ca="1">ROUND((Table18[[#This Row],[XP]]*Table18[[#This Row],[entity_spawned (AVG)]])*(Table18[[#This Row],[activating_chance]]/100),0)</f>
        <v>130</v>
      </c>
      <c r="EU260" s="74" t="str">
        <f ca="1">INDIRECT(ADDRESS(11+(MATCH(RIGHT(Table18[[#This Row],[spawner_sku]],LEN(Table18[[#This Row],[spawner_sku]])-FIND("/",Table18[[#This Row],[spawner_sku]])),Table28[Entity Prefab],0)),26,1,1,"Entities"))</f>
        <v>yes</v>
      </c>
      <c r="EV260">
        <v>1</v>
      </c>
      <c r="EW260">
        <v>1</v>
      </c>
      <c r="EX260" t="b">
        <v>0</v>
      </c>
    </row>
    <row r="261" spans="2:154" x14ac:dyDescent="0.25">
      <c r="B261" s="72" t="s">
        <v>220</v>
      </c>
      <c r="C261">
        <v>1</v>
      </c>
      <c r="D261">
        <v>300</v>
      </c>
      <c r="E261">
        <v>100</v>
      </c>
      <c r="F261" s="74">
        <f ca="1">INDIRECT(ADDRESS(11+(MATCH(RIGHT(Table245[[#This Row],[spawner_sku]],LEN(Table245[[#This Row],[spawner_sku]])-FIND("/",Table245[[#This Row],[spawner_sku]])),Table1[Entity Prefab],0)),10,1,1,"Entities"))</f>
        <v>195</v>
      </c>
      <c r="G261" s="74">
        <f ca="1">ROUND((Table245[[#This Row],[XP]]*Table245[[#This Row],[entity_spawned (AVG)]])*(Table245[[#This Row],[activating_chance]]/100),0)</f>
        <v>195</v>
      </c>
      <c r="H261" s="71" t="str">
        <f ca="1">INDIRECT(ADDRESS(11+(MATCH(RIGHT(Table245[[#This Row],[spawner_sku]],LEN(Table245[[#This Row],[spawner_sku]])-FIND("/",Table245[[#This Row],[spawner_sku]])),Table28[Entity Prefab],0)),24,1,1,"Entities"))</f>
        <v>yes</v>
      </c>
      <c r="I261" s="71">
        <v>1</v>
      </c>
      <c r="J261" s="71">
        <v>1</v>
      </c>
      <c r="K261" s="71" t="b">
        <v>0</v>
      </c>
      <c r="AI261" t="s">
        <v>368</v>
      </c>
      <c r="AJ261">
        <v>1</v>
      </c>
      <c r="AK261">
        <v>220</v>
      </c>
      <c r="AL261">
        <v>100</v>
      </c>
      <c r="AM261" s="74">
        <f ca="1">INDIRECT(ADDRESS(11+(MATCH(RIGHT(Table2[[#This Row],[spawner_sku]],LEN(Table2[[#This Row],[spawner_sku]])-FIND("/",Table2[[#This Row],[spawner_sku]])),Table1[Entity Prefab],0)),10,1,1,"Entities"))</f>
        <v>75</v>
      </c>
      <c r="AN261" s="74">
        <f ca="1">ROUND((Table2[[#This Row],[XP]]*Table2[[#This Row],[entity_spawned (AVG)]])*(Table2[[#This Row],[activating_chance]]/100),0)</f>
        <v>75</v>
      </c>
      <c r="AO261" s="71" t="str">
        <f ca="1">INDIRECT(ADDRESS(11+(MATCH(RIGHT(Table2[[#This Row],[spawner_sku]],LEN(Table2[[#This Row],[spawner_sku]])-FIND("/",Table2[[#This Row],[spawner_sku]])),Table28[Entity Prefab],0)),24,1,1,"Entities"))</f>
        <v>yes</v>
      </c>
      <c r="AP261" s="71">
        <v>1</v>
      </c>
      <c r="AQ261" s="71">
        <v>1</v>
      </c>
      <c r="AR261" s="71" t="b">
        <v>0</v>
      </c>
      <c r="BP261" t="s">
        <v>368</v>
      </c>
      <c r="BQ261">
        <v>1</v>
      </c>
      <c r="BR261">
        <v>130</v>
      </c>
      <c r="BS261">
        <v>100</v>
      </c>
      <c r="BT261" s="74">
        <f ca="1">INDIRECT(ADDRESS(11+(MATCH(RIGHT(Table61011[[#This Row],[spawner_sku]],LEN(Table61011[[#This Row],[spawner_sku]])-FIND("/",Table61011[[#This Row],[spawner_sku]])),Table1[Entity Prefab],0)),10,1,1,"Entities"))</f>
        <v>75</v>
      </c>
      <c r="BU261" s="74">
        <f ca="1">ROUND((Table61011[[#This Row],[XP]]*Table61011[[#This Row],[entity_spawned (AVG)]])*(Table61011[[#This Row],[activating_chance]]/100),0)</f>
        <v>75</v>
      </c>
      <c r="BV261" s="71" t="str">
        <f ca="1">INDIRECT(ADDRESS(11+(MATCH(RIGHT(Table61011[[#This Row],[spawner_sku]],LEN(Table61011[[#This Row],[spawner_sku]])-FIND("/",Table61011[[#This Row],[spawner_sku]])),Table28[Entity Prefab],0)),24,1,1,"Entities"))</f>
        <v>yes</v>
      </c>
      <c r="BW261" s="71">
        <v>1</v>
      </c>
      <c r="BX261" s="71">
        <v>1</v>
      </c>
      <c r="BY261" s="71" t="b">
        <v>0</v>
      </c>
      <c r="BZ261" s="71"/>
      <c r="CA261" s="147" t="s">
        <v>3816</v>
      </c>
      <c r="CB261">
        <v>1</v>
      </c>
      <c r="CC261">
        <v>240</v>
      </c>
      <c r="CD261">
        <v>100</v>
      </c>
      <c r="CE261" s="74">
        <f ca="1">INDIRECT(ADDRESS(11+(MATCH(RIGHT(Table35[[#This Row],[spawner_sku]],LEN(Table35[[#This Row],[spawner_sku]])-FIND("/",Table35[[#This Row],[spawner_sku]])),Table1[Entity Prefab],0)),10,1,1,"Entities"))</f>
        <v>50</v>
      </c>
      <c r="CF261" s="74">
        <f ca="1">ROUND((Table35[[#This Row],[XP]]*Table35[[#This Row],[entity_spawned (AVG)]])*(Table35[[#This Row],[activating_chance]]/100),0)</f>
        <v>50</v>
      </c>
      <c r="CG261" s="144" t="str">
        <f ca="1">INDIRECT(ADDRESS(11+(MATCH(RIGHT(Table35[[#This Row],[spawner_sku]],LEN(Table35[[#This Row],[spawner_sku]])-FIND("/",Table35[[#This Row],[spawner_sku]])),Table28[Entity Prefab],0)),24,1,1,"Entities"))</f>
        <v>no</v>
      </c>
      <c r="CH261">
        <v>1</v>
      </c>
      <c r="CI261">
        <v>1</v>
      </c>
      <c r="CJ261" s="71" t="b">
        <v>0</v>
      </c>
      <c r="CL261" t="s">
        <v>570</v>
      </c>
      <c r="CM261">
        <v>1</v>
      </c>
      <c r="CN261">
        <v>120</v>
      </c>
      <c r="CO261">
        <v>100</v>
      </c>
      <c r="CP261" s="74">
        <f ca="1">INDIRECT(ADDRESS(11+(MATCH(RIGHT(Table11[[#This Row],[spawner_sku]],LEN(Table11[[#This Row],[spawner_sku]])-FIND("/",Table11[[#This Row],[spawner_sku]])),Table1[Entity Prefab],0)),10,1,1,"Entities"))</f>
        <v>50</v>
      </c>
      <c r="CQ261">
        <f ca="1">ROUND((Table11[[#This Row],[XP]]*Table11[[#This Row],[entity_spawned (AVG)]])*(Table11[[#This Row],[activating_chance]]/100),0)</f>
        <v>50</v>
      </c>
      <c r="CR261" s="144" t="str">
        <f ca="1">INDIRECT(ADDRESS(11+(MATCH(RIGHT(Table11[[#This Row],[spawner_sku]],LEN(Table11[[#This Row],[spawner_sku]])-FIND("/",Table11[[#This Row],[spawner_sku]])),Table28[Entity Prefab],0)),25,1,1,"Entities"))</f>
        <v>no</v>
      </c>
      <c r="CS261" s="71">
        <v>1</v>
      </c>
      <c r="CT261" s="71">
        <v>1</v>
      </c>
      <c r="CU261" s="71" t="b">
        <v>0</v>
      </c>
      <c r="DH261" t="s">
        <v>366</v>
      </c>
      <c r="DI261">
        <v>1</v>
      </c>
      <c r="DJ261">
        <v>100</v>
      </c>
      <c r="DK261">
        <v>80</v>
      </c>
      <c r="DL261" s="74">
        <f ca="1">INDIRECT(ADDRESS(11+(MATCH(RIGHT(Table13[[#This Row],[spawner_sku]],LEN(Table13[[#This Row],[spawner_sku]])-FIND("/",Table13[[#This Row],[spawner_sku]])),Table1[Entity Prefab],0)),10,1,1,"Entities"))</f>
        <v>25</v>
      </c>
      <c r="DM261" s="74">
        <f ca="1">ROUND((Table13[[#This Row],[XP]]*Table13[[#This Row],[entity_spawned (AVG)]])*(Table13[[#This Row],[activating_chance]]/100),0)</f>
        <v>20</v>
      </c>
      <c r="DN261" s="144" t="str">
        <f ca="1">INDIRECT(ADDRESS(11+(MATCH(RIGHT(Table13[[#This Row],[spawner_sku]],LEN(Table13[[#This Row],[spawner_sku]])-FIND("/",Table13[[#This Row],[spawner_sku]])),Table28[Entity Prefab],0)),25,1,1,"Entities"))</f>
        <v>no</v>
      </c>
      <c r="DO261" s="71">
        <v>1</v>
      </c>
      <c r="DP261" s="71">
        <v>1</v>
      </c>
      <c r="DQ261" s="71" t="b">
        <v>0</v>
      </c>
      <c r="DS261" t="s">
        <v>371</v>
      </c>
      <c r="DT261">
        <v>1</v>
      </c>
      <c r="DU261">
        <v>200</v>
      </c>
      <c r="DV261">
        <v>100</v>
      </c>
      <c r="DW261" s="74">
        <f ca="1">INDIRECT(ADDRESS(11+(MATCH(RIGHT(Table14[[#This Row],[spawner_sku]],LEN(Table14[[#This Row],[spawner_sku]])-FIND("/",Table14[[#This Row],[spawner_sku]])),Table1[Entity Prefab],0)),10,1,1,"Entities"))</f>
        <v>75</v>
      </c>
      <c r="DX261" s="74">
        <f ca="1">ROUND((Table14[[#This Row],[XP]]*Table14[[#This Row],[entity_spawned (AVG)]])*(Table14[[#This Row],[activating_chance]]/100),0)</f>
        <v>75</v>
      </c>
      <c r="DY261" s="144" t="str">
        <f ca="1">INDIRECT(ADDRESS(11+(MATCH(RIGHT(Table14[[#This Row],[spawner_sku]],LEN(Table14[[#This Row],[spawner_sku]])-FIND("/",Table14[[#This Row],[spawner_sku]])),Table28[Entity Prefab],0)),25,1,1,"Entities"))</f>
        <v>yes</v>
      </c>
      <c r="DZ261" s="71">
        <v>1</v>
      </c>
      <c r="EA261" s="71">
        <v>1</v>
      </c>
      <c r="EB261" s="71" t="b">
        <v>0</v>
      </c>
      <c r="EC261" s="71"/>
      <c r="EO261" t="s">
        <v>572</v>
      </c>
      <c r="EP261">
        <v>1</v>
      </c>
      <c r="EQ261">
        <v>110</v>
      </c>
      <c r="ER261">
        <v>100</v>
      </c>
      <c r="ES261" s="74">
        <f ca="1">INDIRECT(ADDRESS(11+(MATCH(RIGHT(Table18[[#This Row],[spawner_sku]],LEN(Table18[[#This Row],[spawner_sku]])-FIND("/",Table18[[#This Row],[spawner_sku]])),Table1[Entity Prefab],0)),10,1,1,"Entities"))</f>
        <v>130</v>
      </c>
      <c r="ET261" s="74">
        <f ca="1">ROUND((Table18[[#This Row],[XP]]*Table18[[#This Row],[entity_spawned (AVG)]])*(Table18[[#This Row],[activating_chance]]/100),0)</f>
        <v>130</v>
      </c>
      <c r="EU261" s="74" t="str">
        <f ca="1">INDIRECT(ADDRESS(11+(MATCH(RIGHT(Table18[[#This Row],[spawner_sku]],LEN(Table18[[#This Row],[spawner_sku]])-FIND("/",Table18[[#This Row],[spawner_sku]])),Table28[Entity Prefab],0)),26,1,1,"Entities"))</f>
        <v>yes</v>
      </c>
      <c r="EV261">
        <v>1</v>
      </c>
      <c r="EW261">
        <v>1</v>
      </c>
      <c r="EX261" t="b">
        <v>0</v>
      </c>
    </row>
    <row r="262" spans="2:154" x14ac:dyDescent="0.25">
      <c r="B262" s="72" t="s">
        <v>321</v>
      </c>
      <c r="C262">
        <v>1</v>
      </c>
      <c r="D262">
        <v>280</v>
      </c>
      <c r="E262">
        <v>100</v>
      </c>
      <c r="F262" s="74">
        <f ca="1">INDIRECT(ADDRESS(11+(MATCH(RIGHT(Table245[[#This Row],[spawner_sku]],LEN(Table245[[#This Row],[spawner_sku]])-FIND("/",Table245[[#This Row],[spawner_sku]])),Table1[Entity Prefab],0)),10,1,1,"Entities"))</f>
        <v>195</v>
      </c>
      <c r="G262" s="74">
        <f ca="1">ROUND((Table245[[#This Row],[XP]]*Table245[[#This Row],[entity_spawned (AVG)]])*(Table245[[#This Row],[activating_chance]]/100),0)</f>
        <v>195</v>
      </c>
      <c r="H262" s="71" t="str">
        <f ca="1">INDIRECT(ADDRESS(11+(MATCH(RIGHT(Table245[[#This Row],[spawner_sku]],LEN(Table245[[#This Row],[spawner_sku]])-FIND("/",Table245[[#This Row],[spawner_sku]])),Table28[Entity Prefab],0)),24,1,1,"Entities"))</f>
        <v>yes</v>
      </c>
      <c r="I262" s="71">
        <v>1</v>
      </c>
      <c r="J262" s="71">
        <v>1</v>
      </c>
      <c r="K262" s="71" t="b">
        <v>0</v>
      </c>
      <c r="AI262" t="s">
        <v>368</v>
      </c>
      <c r="AJ262">
        <v>1</v>
      </c>
      <c r="AK262">
        <v>220</v>
      </c>
      <c r="AL262">
        <v>100</v>
      </c>
      <c r="AM262" s="74">
        <f ca="1">INDIRECT(ADDRESS(11+(MATCH(RIGHT(Table2[[#This Row],[spawner_sku]],LEN(Table2[[#This Row],[spawner_sku]])-FIND("/",Table2[[#This Row],[spawner_sku]])),Table1[Entity Prefab],0)),10,1,1,"Entities"))</f>
        <v>75</v>
      </c>
      <c r="AN262" s="74">
        <f ca="1">ROUND((Table2[[#This Row],[XP]]*Table2[[#This Row],[entity_spawned (AVG)]])*(Table2[[#This Row],[activating_chance]]/100),0)</f>
        <v>75</v>
      </c>
      <c r="AO262" s="71" t="str">
        <f ca="1">INDIRECT(ADDRESS(11+(MATCH(RIGHT(Table2[[#This Row],[spawner_sku]],LEN(Table2[[#This Row],[spawner_sku]])-FIND("/",Table2[[#This Row],[spawner_sku]])),Table28[Entity Prefab],0)),24,1,1,"Entities"))</f>
        <v>yes</v>
      </c>
      <c r="AP262" s="71">
        <v>1</v>
      </c>
      <c r="AQ262" s="71">
        <v>1</v>
      </c>
      <c r="AR262" s="71" t="b">
        <v>0</v>
      </c>
      <c r="BP262" t="s">
        <v>368</v>
      </c>
      <c r="BQ262">
        <v>1</v>
      </c>
      <c r="BR262">
        <v>200</v>
      </c>
      <c r="BS262">
        <v>100</v>
      </c>
      <c r="BT262" s="74">
        <f ca="1">INDIRECT(ADDRESS(11+(MATCH(RIGHT(Table61011[[#This Row],[spawner_sku]],LEN(Table61011[[#This Row],[spawner_sku]])-FIND("/",Table61011[[#This Row],[spawner_sku]])),Table1[Entity Prefab],0)),10,1,1,"Entities"))</f>
        <v>75</v>
      </c>
      <c r="BU262" s="74">
        <f ca="1">ROUND((Table61011[[#This Row],[XP]]*Table61011[[#This Row],[entity_spawned (AVG)]])*(Table61011[[#This Row],[activating_chance]]/100),0)</f>
        <v>75</v>
      </c>
      <c r="BV262" s="71" t="str">
        <f ca="1">INDIRECT(ADDRESS(11+(MATCH(RIGHT(Table61011[[#This Row],[spawner_sku]],LEN(Table61011[[#This Row],[spawner_sku]])-FIND("/",Table61011[[#This Row],[spawner_sku]])),Table28[Entity Prefab],0)),24,1,1,"Entities"))</f>
        <v>yes</v>
      </c>
      <c r="BW262" s="71">
        <v>1</v>
      </c>
      <c r="BX262" s="71">
        <v>1</v>
      </c>
      <c r="BY262" s="71" t="b">
        <v>0</v>
      </c>
      <c r="BZ262" s="71"/>
      <c r="CA262" s="147" t="s">
        <v>3816</v>
      </c>
      <c r="CB262">
        <v>1</v>
      </c>
      <c r="CC262">
        <v>240</v>
      </c>
      <c r="CD262">
        <v>100</v>
      </c>
      <c r="CE262" s="74">
        <f ca="1">INDIRECT(ADDRESS(11+(MATCH(RIGHT(Table35[[#This Row],[spawner_sku]],LEN(Table35[[#This Row],[spawner_sku]])-FIND("/",Table35[[#This Row],[spawner_sku]])),Table1[Entity Prefab],0)),10,1,1,"Entities"))</f>
        <v>50</v>
      </c>
      <c r="CF262" s="74">
        <f ca="1">ROUND((Table35[[#This Row],[XP]]*Table35[[#This Row],[entity_spawned (AVG)]])*(Table35[[#This Row],[activating_chance]]/100),0)</f>
        <v>50</v>
      </c>
      <c r="CG262" s="144" t="str">
        <f ca="1">INDIRECT(ADDRESS(11+(MATCH(RIGHT(Table35[[#This Row],[spawner_sku]],LEN(Table35[[#This Row],[spawner_sku]])-FIND("/",Table35[[#This Row],[spawner_sku]])),Table28[Entity Prefab],0)),24,1,1,"Entities"))</f>
        <v>no</v>
      </c>
      <c r="CH262">
        <v>1</v>
      </c>
      <c r="CI262">
        <v>1</v>
      </c>
      <c r="CJ262" s="71" t="b">
        <v>0</v>
      </c>
      <c r="CL262" t="s">
        <v>570</v>
      </c>
      <c r="CM262">
        <v>1</v>
      </c>
      <c r="CN262">
        <v>120</v>
      </c>
      <c r="CO262">
        <v>100</v>
      </c>
      <c r="CP262" s="74">
        <f ca="1">INDIRECT(ADDRESS(11+(MATCH(RIGHT(Table11[[#This Row],[spawner_sku]],LEN(Table11[[#This Row],[spawner_sku]])-FIND("/",Table11[[#This Row],[spawner_sku]])),Table1[Entity Prefab],0)),10,1,1,"Entities"))</f>
        <v>50</v>
      </c>
      <c r="CQ262">
        <f ca="1">ROUND((Table11[[#This Row],[XP]]*Table11[[#This Row],[entity_spawned (AVG)]])*(Table11[[#This Row],[activating_chance]]/100),0)</f>
        <v>50</v>
      </c>
      <c r="CR262" s="144" t="str">
        <f ca="1">INDIRECT(ADDRESS(11+(MATCH(RIGHT(Table11[[#This Row],[spawner_sku]],LEN(Table11[[#This Row],[spawner_sku]])-FIND("/",Table11[[#This Row],[spawner_sku]])),Table28[Entity Prefab],0)),25,1,1,"Entities"))</f>
        <v>no</v>
      </c>
      <c r="CS262" s="71">
        <v>1</v>
      </c>
      <c r="CT262" s="71">
        <v>1</v>
      </c>
      <c r="CU262" s="71" t="b">
        <v>0</v>
      </c>
      <c r="DH262" t="s">
        <v>366</v>
      </c>
      <c r="DI262">
        <v>2</v>
      </c>
      <c r="DJ262">
        <v>100</v>
      </c>
      <c r="DK262">
        <v>100</v>
      </c>
      <c r="DL262" s="74">
        <f ca="1">INDIRECT(ADDRESS(11+(MATCH(RIGHT(Table13[[#This Row],[spawner_sku]],LEN(Table13[[#This Row],[spawner_sku]])-FIND("/",Table13[[#This Row],[spawner_sku]])),Table1[Entity Prefab],0)),10,1,1,"Entities"))</f>
        <v>25</v>
      </c>
      <c r="DM262" s="74">
        <f ca="1">ROUND((Table13[[#This Row],[XP]]*Table13[[#This Row],[entity_spawned (AVG)]])*(Table13[[#This Row],[activating_chance]]/100),0)</f>
        <v>50</v>
      </c>
      <c r="DN262" s="144" t="str">
        <f ca="1">INDIRECT(ADDRESS(11+(MATCH(RIGHT(Table13[[#This Row],[spawner_sku]],LEN(Table13[[#This Row],[spawner_sku]])-FIND("/",Table13[[#This Row],[spawner_sku]])),Table28[Entity Prefab],0)),25,1,1,"Entities"))</f>
        <v>no</v>
      </c>
      <c r="DO262" s="71">
        <v>1</v>
      </c>
      <c r="DP262" s="71">
        <v>3</v>
      </c>
      <c r="DQ262" s="71" t="b">
        <v>0</v>
      </c>
      <c r="DS262" t="s">
        <v>371</v>
      </c>
      <c r="DT262">
        <v>1</v>
      </c>
      <c r="DU262">
        <v>200</v>
      </c>
      <c r="DV262">
        <v>100</v>
      </c>
      <c r="DW262" s="74">
        <f ca="1">INDIRECT(ADDRESS(11+(MATCH(RIGHT(Table14[[#This Row],[spawner_sku]],LEN(Table14[[#This Row],[spawner_sku]])-FIND("/",Table14[[#This Row],[spawner_sku]])),Table1[Entity Prefab],0)),10,1,1,"Entities"))</f>
        <v>75</v>
      </c>
      <c r="DX262" s="74">
        <f ca="1">ROUND((Table14[[#This Row],[XP]]*Table14[[#This Row],[entity_spawned (AVG)]])*(Table14[[#This Row],[activating_chance]]/100),0)</f>
        <v>75</v>
      </c>
      <c r="DY262" s="144" t="str">
        <f ca="1">INDIRECT(ADDRESS(11+(MATCH(RIGHT(Table14[[#This Row],[spawner_sku]],LEN(Table14[[#This Row],[spawner_sku]])-FIND("/",Table14[[#This Row],[spawner_sku]])),Table28[Entity Prefab],0)),25,1,1,"Entities"))</f>
        <v>yes</v>
      </c>
      <c r="DZ262" s="71">
        <v>1</v>
      </c>
      <c r="EA262" s="71">
        <v>1</v>
      </c>
      <c r="EB262" s="71" t="b">
        <v>0</v>
      </c>
      <c r="EC262" s="71"/>
      <c r="EO262" t="s">
        <v>572</v>
      </c>
      <c r="EP262">
        <v>1</v>
      </c>
      <c r="EQ262">
        <v>120</v>
      </c>
      <c r="ER262">
        <v>100</v>
      </c>
      <c r="ES262" s="74">
        <f ca="1">INDIRECT(ADDRESS(11+(MATCH(RIGHT(Table18[[#This Row],[spawner_sku]],LEN(Table18[[#This Row],[spawner_sku]])-FIND("/",Table18[[#This Row],[spawner_sku]])),Table1[Entity Prefab],0)),10,1,1,"Entities"))</f>
        <v>130</v>
      </c>
      <c r="ET262" s="74">
        <f ca="1">ROUND((Table18[[#This Row],[XP]]*Table18[[#This Row],[entity_spawned (AVG)]])*(Table18[[#This Row],[activating_chance]]/100),0)</f>
        <v>130</v>
      </c>
      <c r="EU262" s="74" t="str">
        <f ca="1">INDIRECT(ADDRESS(11+(MATCH(RIGHT(Table18[[#This Row],[spawner_sku]],LEN(Table18[[#This Row],[spawner_sku]])-FIND("/",Table18[[#This Row],[spawner_sku]])),Table28[Entity Prefab],0)),26,1,1,"Entities"))</f>
        <v>yes</v>
      </c>
      <c r="EV262">
        <v>1</v>
      </c>
      <c r="EW262">
        <v>1</v>
      </c>
      <c r="EX262" t="b">
        <v>0</v>
      </c>
    </row>
    <row r="263" spans="2:154" x14ac:dyDescent="0.25">
      <c r="B263" s="72" t="s">
        <v>321</v>
      </c>
      <c r="C263">
        <v>1</v>
      </c>
      <c r="D263">
        <v>300</v>
      </c>
      <c r="E263">
        <v>100</v>
      </c>
      <c r="F263" s="74">
        <f ca="1">INDIRECT(ADDRESS(11+(MATCH(RIGHT(Table245[[#This Row],[spawner_sku]],LEN(Table245[[#This Row],[spawner_sku]])-FIND("/",Table245[[#This Row],[spawner_sku]])),Table1[Entity Prefab],0)),10,1,1,"Entities"))</f>
        <v>195</v>
      </c>
      <c r="G263" s="74">
        <f ca="1">ROUND((Table245[[#This Row],[XP]]*Table245[[#This Row],[entity_spawned (AVG)]])*(Table245[[#This Row],[activating_chance]]/100),0)</f>
        <v>195</v>
      </c>
      <c r="H263" s="71" t="str">
        <f ca="1">INDIRECT(ADDRESS(11+(MATCH(RIGHT(Table245[[#This Row],[spawner_sku]],LEN(Table245[[#This Row],[spawner_sku]])-FIND("/",Table245[[#This Row],[spawner_sku]])),Table28[Entity Prefab],0)),24,1,1,"Entities"))</f>
        <v>yes</v>
      </c>
      <c r="I263" s="71">
        <v>1</v>
      </c>
      <c r="J263" s="71">
        <v>1</v>
      </c>
      <c r="K263" s="71" t="b">
        <v>0</v>
      </c>
      <c r="AI263" t="s">
        <v>368</v>
      </c>
      <c r="AJ263">
        <v>1</v>
      </c>
      <c r="AK263">
        <v>220</v>
      </c>
      <c r="AL263">
        <v>100</v>
      </c>
      <c r="AM263" s="74">
        <f ca="1">INDIRECT(ADDRESS(11+(MATCH(RIGHT(Table2[[#This Row],[spawner_sku]],LEN(Table2[[#This Row],[spawner_sku]])-FIND("/",Table2[[#This Row],[spawner_sku]])),Table1[Entity Prefab],0)),10,1,1,"Entities"))</f>
        <v>75</v>
      </c>
      <c r="AN263" s="74">
        <f ca="1">ROUND((Table2[[#This Row],[XP]]*Table2[[#This Row],[entity_spawned (AVG)]])*(Table2[[#This Row],[activating_chance]]/100),0)</f>
        <v>75</v>
      </c>
      <c r="AO263" s="71" t="str">
        <f ca="1">INDIRECT(ADDRESS(11+(MATCH(RIGHT(Table2[[#This Row],[spawner_sku]],LEN(Table2[[#This Row],[spawner_sku]])-FIND("/",Table2[[#This Row],[spawner_sku]])),Table28[Entity Prefab],0)),24,1,1,"Entities"))</f>
        <v>yes</v>
      </c>
      <c r="AP263" s="71">
        <v>1</v>
      </c>
      <c r="AQ263" s="71">
        <v>1</v>
      </c>
      <c r="AR263" s="71" t="b">
        <v>0</v>
      </c>
      <c r="BP263" t="s">
        <v>367</v>
      </c>
      <c r="BQ263">
        <v>1</v>
      </c>
      <c r="BR263">
        <v>200</v>
      </c>
      <c r="BS263">
        <v>80</v>
      </c>
      <c r="BT263" s="74">
        <f ca="1">INDIRECT(ADDRESS(11+(MATCH(RIGHT(Table61011[[#This Row],[spawner_sku]],LEN(Table61011[[#This Row],[spawner_sku]])-FIND("/",Table61011[[#This Row],[spawner_sku]])),Table1[Entity Prefab],0)),10,1,1,"Entities"))</f>
        <v>75</v>
      </c>
      <c r="BU263" s="74">
        <f ca="1">ROUND((Table61011[[#This Row],[XP]]*Table61011[[#This Row],[entity_spawned (AVG)]])*(Table61011[[#This Row],[activating_chance]]/100),0)</f>
        <v>60</v>
      </c>
      <c r="BV263" s="71" t="str">
        <f ca="1">INDIRECT(ADDRESS(11+(MATCH(RIGHT(Table61011[[#This Row],[spawner_sku]],LEN(Table61011[[#This Row],[spawner_sku]])-FIND("/",Table61011[[#This Row],[spawner_sku]])),Table28[Entity Prefab],0)),24,1,1,"Entities"))</f>
        <v>no</v>
      </c>
      <c r="BW263" s="71">
        <v>1</v>
      </c>
      <c r="BX263" s="71">
        <v>1</v>
      </c>
      <c r="BY263" s="71" t="b">
        <v>0</v>
      </c>
      <c r="BZ263" s="71"/>
      <c r="CA263" s="147" t="s">
        <v>3816</v>
      </c>
      <c r="CB263">
        <v>1</v>
      </c>
      <c r="CC263">
        <v>240</v>
      </c>
      <c r="CD263">
        <v>100</v>
      </c>
      <c r="CE263" s="74">
        <f ca="1">INDIRECT(ADDRESS(11+(MATCH(RIGHT(Table35[[#This Row],[spawner_sku]],LEN(Table35[[#This Row],[spawner_sku]])-FIND("/",Table35[[#This Row],[spawner_sku]])),Table1[Entity Prefab],0)),10,1,1,"Entities"))</f>
        <v>50</v>
      </c>
      <c r="CF263" s="74">
        <f ca="1">ROUND((Table35[[#This Row],[XP]]*Table35[[#This Row],[entity_spawned (AVG)]])*(Table35[[#This Row],[activating_chance]]/100),0)</f>
        <v>50</v>
      </c>
      <c r="CG263" s="144" t="str">
        <f ca="1">INDIRECT(ADDRESS(11+(MATCH(RIGHT(Table35[[#This Row],[spawner_sku]],LEN(Table35[[#This Row],[spawner_sku]])-FIND("/",Table35[[#This Row],[spawner_sku]])),Table28[Entity Prefab],0)),24,1,1,"Entities"))</f>
        <v>no</v>
      </c>
      <c r="CH263">
        <v>1</v>
      </c>
      <c r="CI263">
        <v>1</v>
      </c>
      <c r="CJ263" s="71" t="b">
        <v>0</v>
      </c>
      <c r="CL263" t="s">
        <v>570</v>
      </c>
      <c r="CM263">
        <v>1</v>
      </c>
      <c r="CN263">
        <v>120</v>
      </c>
      <c r="CO263">
        <v>100</v>
      </c>
      <c r="CP263" s="74">
        <f ca="1">INDIRECT(ADDRESS(11+(MATCH(RIGHT(Table11[[#This Row],[spawner_sku]],LEN(Table11[[#This Row],[spawner_sku]])-FIND("/",Table11[[#This Row],[spawner_sku]])),Table1[Entity Prefab],0)),10,1,1,"Entities"))</f>
        <v>50</v>
      </c>
      <c r="CQ263">
        <f ca="1">ROUND((Table11[[#This Row],[XP]]*Table11[[#This Row],[entity_spawned (AVG)]])*(Table11[[#This Row],[activating_chance]]/100),0)</f>
        <v>50</v>
      </c>
      <c r="CR263" s="144" t="str">
        <f ca="1">INDIRECT(ADDRESS(11+(MATCH(RIGHT(Table11[[#This Row],[spawner_sku]],LEN(Table11[[#This Row],[spawner_sku]])-FIND("/",Table11[[#This Row],[spawner_sku]])),Table28[Entity Prefab],0)),25,1,1,"Entities"))</f>
        <v>no</v>
      </c>
      <c r="CS263" s="71">
        <v>1</v>
      </c>
      <c r="CT263" s="71">
        <v>1</v>
      </c>
      <c r="CU263" s="71" t="b">
        <v>0</v>
      </c>
      <c r="DH263" t="s">
        <v>366</v>
      </c>
      <c r="DI263">
        <v>5.5</v>
      </c>
      <c r="DJ263">
        <v>100</v>
      </c>
      <c r="DK263">
        <v>80</v>
      </c>
      <c r="DL263" s="74">
        <f ca="1">INDIRECT(ADDRESS(11+(MATCH(RIGHT(Table13[[#This Row],[spawner_sku]],LEN(Table13[[#This Row],[spawner_sku]])-FIND("/",Table13[[#This Row],[spawner_sku]])),Table1[Entity Prefab],0)),10,1,1,"Entities"))</f>
        <v>25</v>
      </c>
      <c r="DM263" s="74">
        <f ca="1">ROUND((Table13[[#This Row],[XP]]*Table13[[#This Row],[entity_spawned (AVG)]])*(Table13[[#This Row],[activating_chance]]/100),0)</f>
        <v>110</v>
      </c>
      <c r="DN263" s="144" t="str">
        <f ca="1">INDIRECT(ADDRESS(11+(MATCH(RIGHT(Table13[[#This Row],[spawner_sku]],LEN(Table13[[#This Row],[spawner_sku]])-FIND("/",Table13[[#This Row],[spawner_sku]])),Table28[Entity Prefab],0)),25,1,1,"Entities"))</f>
        <v>no</v>
      </c>
      <c r="DO263" s="71">
        <v>5</v>
      </c>
      <c r="DP263" s="71">
        <v>6</v>
      </c>
      <c r="DQ263" s="71" t="b">
        <v>1</v>
      </c>
      <c r="DS263" t="s">
        <v>371</v>
      </c>
      <c r="DT263">
        <v>1</v>
      </c>
      <c r="DU263">
        <v>180</v>
      </c>
      <c r="DV263">
        <v>100</v>
      </c>
      <c r="DW263" s="74">
        <f ca="1">INDIRECT(ADDRESS(11+(MATCH(RIGHT(Table14[[#This Row],[spawner_sku]],LEN(Table14[[#This Row],[spawner_sku]])-FIND("/",Table14[[#This Row],[spawner_sku]])),Table1[Entity Prefab],0)),10,1,1,"Entities"))</f>
        <v>75</v>
      </c>
      <c r="DX263" s="74">
        <f ca="1">ROUND((Table14[[#This Row],[XP]]*Table14[[#This Row],[entity_spawned (AVG)]])*(Table14[[#This Row],[activating_chance]]/100),0)</f>
        <v>75</v>
      </c>
      <c r="DY263" s="144" t="str">
        <f ca="1">INDIRECT(ADDRESS(11+(MATCH(RIGHT(Table14[[#This Row],[spawner_sku]],LEN(Table14[[#This Row],[spawner_sku]])-FIND("/",Table14[[#This Row],[spawner_sku]])),Table28[Entity Prefab],0)),25,1,1,"Entities"))</f>
        <v>yes</v>
      </c>
      <c r="DZ263" s="71">
        <v>1</v>
      </c>
      <c r="EA263" s="71">
        <v>1</v>
      </c>
      <c r="EB263" s="71" t="b">
        <v>0</v>
      </c>
      <c r="EC263" s="71"/>
      <c r="EO263" t="s">
        <v>572</v>
      </c>
      <c r="EP263">
        <v>1</v>
      </c>
      <c r="EQ263">
        <v>120</v>
      </c>
      <c r="ER263">
        <v>80</v>
      </c>
      <c r="ES263" s="74">
        <f ca="1">INDIRECT(ADDRESS(11+(MATCH(RIGHT(Table18[[#This Row],[spawner_sku]],LEN(Table18[[#This Row],[spawner_sku]])-FIND("/",Table18[[#This Row],[spawner_sku]])),Table1[Entity Prefab],0)),10,1,1,"Entities"))</f>
        <v>130</v>
      </c>
      <c r="ET263" s="74">
        <f ca="1">ROUND((Table18[[#This Row],[XP]]*Table18[[#This Row],[entity_spawned (AVG)]])*(Table18[[#This Row],[activating_chance]]/100),0)</f>
        <v>104</v>
      </c>
      <c r="EU263" s="74" t="str">
        <f ca="1">INDIRECT(ADDRESS(11+(MATCH(RIGHT(Table18[[#This Row],[spawner_sku]],LEN(Table18[[#This Row],[spawner_sku]])-FIND("/",Table18[[#This Row],[spawner_sku]])),Table28[Entity Prefab],0)),26,1,1,"Entities"))</f>
        <v>yes</v>
      </c>
      <c r="EV263">
        <v>1</v>
      </c>
      <c r="EW263">
        <v>1</v>
      </c>
      <c r="EX263" t="b">
        <v>0</v>
      </c>
    </row>
    <row r="264" spans="2:154" x14ac:dyDescent="0.25">
      <c r="B264" s="72" t="s">
        <v>321</v>
      </c>
      <c r="C264">
        <v>1</v>
      </c>
      <c r="D264">
        <v>280</v>
      </c>
      <c r="E264">
        <v>100</v>
      </c>
      <c r="F264" s="74">
        <f ca="1">INDIRECT(ADDRESS(11+(MATCH(RIGHT(Table245[[#This Row],[spawner_sku]],LEN(Table245[[#This Row],[spawner_sku]])-FIND("/",Table245[[#This Row],[spawner_sku]])),Table1[Entity Prefab],0)),10,1,1,"Entities"))</f>
        <v>195</v>
      </c>
      <c r="G264" s="74">
        <f ca="1">ROUND((Table245[[#This Row],[XP]]*Table245[[#This Row],[entity_spawned (AVG)]])*(Table245[[#This Row],[activating_chance]]/100),0)</f>
        <v>195</v>
      </c>
      <c r="H264" s="71" t="str">
        <f ca="1">INDIRECT(ADDRESS(11+(MATCH(RIGHT(Table245[[#This Row],[spawner_sku]],LEN(Table245[[#This Row],[spawner_sku]])-FIND("/",Table245[[#This Row],[spawner_sku]])),Table28[Entity Prefab],0)),24,1,1,"Entities"))</f>
        <v>yes</v>
      </c>
      <c r="I264" s="71">
        <v>1</v>
      </c>
      <c r="J264" s="71">
        <v>1</v>
      </c>
      <c r="K264" s="71" t="b">
        <v>0</v>
      </c>
      <c r="AI264" t="s">
        <v>368</v>
      </c>
      <c r="AJ264">
        <v>1</v>
      </c>
      <c r="AK264">
        <v>180</v>
      </c>
      <c r="AL264">
        <v>100</v>
      </c>
      <c r="AM264" s="74">
        <f ca="1">INDIRECT(ADDRESS(11+(MATCH(RIGHT(Table2[[#This Row],[spawner_sku]],LEN(Table2[[#This Row],[spawner_sku]])-FIND("/",Table2[[#This Row],[spawner_sku]])),Table1[Entity Prefab],0)),10,1,1,"Entities"))</f>
        <v>75</v>
      </c>
      <c r="AN264" s="74">
        <f ca="1">ROUND((Table2[[#This Row],[XP]]*Table2[[#This Row],[entity_spawned (AVG)]])*(Table2[[#This Row],[activating_chance]]/100),0)</f>
        <v>75</v>
      </c>
      <c r="AO264" s="71" t="str">
        <f ca="1">INDIRECT(ADDRESS(11+(MATCH(RIGHT(Table2[[#This Row],[spawner_sku]],LEN(Table2[[#This Row],[spawner_sku]])-FIND("/",Table2[[#This Row],[spawner_sku]])),Table28[Entity Prefab],0)),24,1,1,"Entities"))</f>
        <v>yes</v>
      </c>
      <c r="AP264" s="71">
        <v>1</v>
      </c>
      <c r="AQ264" s="71">
        <v>1</v>
      </c>
      <c r="AR264" s="71" t="b">
        <v>0</v>
      </c>
      <c r="BP264" t="s">
        <v>367</v>
      </c>
      <c r="BQ264">
        <v>1</v>
      </c>
      <c r="BR264">
        <v>150</v>
      </c>
      <c r="BS264">
        <v>100</v>
      </c>
      <c r="BT264" s="74">
        <f ca="1">INDIRECT(ADDRESS(11+(MATCH(RIGHT(Table61011[[#This Row],[spawner_sku]],LEN(Table61011[[#This Row],[spawner_sku]])-FIND("/",Table61011[[#This Row],[spawner_sku]])),Table1[Entity Prefab],0)),10,1,1,"Entities"))</f>
        <v>75</v>
      </c>
      <c r="BU264" s="74">
        <f ca="1">ROUND((Table61011[[#This Row],[XP]]*Table61011[[#This Row],[entity_spawned (AVG)]])*(Table61011[[#This Row],[activating_chance]]/100),0)</f>
        <v>75</v>
      </c>
      <c r="BV264" s="71" t="str">
        <f ca="1">INDIRECT(ADDRESS(11+(MATCH(RIGHT(Table61011[[#This Row],[spawner_sku]],LEN(Table61011[[#This Row],[spawner_sku]])-FIND("/",Table61011[[#This Row],[spawner_sku]])),Table28[Entity Prefab],0)),24,1,1,"Entities"))</f>
        <v>no</v>
      </c>
      <c r="BW264" s="71">
        <v>1</v>
      </c>
      <c r="BX264" s="71">
        <v>1</v>
      </c>
      <c r="BY264" s="71" t="b">
        <v>0</v>
      </c>
      <c r="BZ264" s="71"/>
      <c r="CA264" s="147" t="s">
        <v>3816</v>
      </c>
      <c r="CB264">
        <v>1</v>
      </c>
      <c r="CC264">
        <v>240</v>
      </c>
      <c r="CD264">
        <v>100</v>
      </c>
      <c r="CE264" s="74">
        <f ca="1">INDIRECT(ADDRESS(11+(MATCH(RIGHT(Table35[[#This Row],[spawner_sku]],LEN(Table35[[#This Row],[spawner_sku]])-FIND("/",Table35[[#This Row],[spawner_sku]])),Table1[Entity Prefab],0)),10,1,1,"Entities"))</f>
        <v>50</v>
      </c>
      <c r="CF264" s="74">
        <f ca="1">ROUND((Table35[[#This Row],[XP]]*Table35[[#This Row],[entity_spawned (AVG)]])*(Table35[[#This Row],[activating_chance]]/100),0)</f>
        <v>50</v>
      </c>
      <c r="CG264" s="144" t="str">
        <f ca="1">INDIRECT(ADDRESS(11+(MATCH(RIGHT(Table35[[#This Row],[spawner_sku]],LEN(Table35[[#This Row],[spawner_sku]])-FIND("/",Table35[[#This Row],[spawner_sku]])),Table28[Entity Prefab],0)),24,1,1,"Entities"))</f>
        <v>no</v>
      </c>
      <c r="CH264">
        <v>1</v>
      </c>
      <c r="CI264">
        <v>1</v>
      </c>
      <c r="CJ264" s="71" t="b">
        <v>0</v>
      </c>
      <c r="CL264" t="s">
        <v>570</v>
      </c>
      <c r="CM264">
        <v>2</v>
      </c>
      <c r="CN264">
        <v>120</v>
      </c>
      <c r="CO264">
        <v>60</v>
      </c>
      <c r="CP264" s="74">
        <f ca="1">INDIRECT(ADDRESS(11+(MATCH(RIGHT(Table11[[#This Row],[spawner_sku]],LEN(Table11[[#This Row],[spawner_sku]])-FIND("/",Table11[[#This Row],[spawner_sku]])),Table1[Entity Prefab],0)),10,1,1,"Entities"))</f>
        <v>50</v>
      </c>
      <c r="CQ264">
        <f ca="1">ROUND((Table11[[#This Row],[XP]]*Table11[[#This Row],[entity_spawned (AVG)]])*(Table11[[#This Row],[activating_chance]]/100),0)</f>
        <v>60</v>
      </c>
      <c r="CR264" s="144" t="str">
        <f ca="1">INDIRECT(ADDRESS(11+(MATCH(RIGHT(Table11[[#This Row],[spawner_sku]],LEN(Table11[[#This Row],[spawner_sku]])-FIND("/",Table11[[#This Row],[spawner_sku]])),Table28[Entity Prefab],0)),25,1,1,"Entities"))</f>
        <v>no</v>
      </c>
      <c r="CS264" s="71">
        <v>2</v>
      </c>
      <c r="CT264" s="71">
        <v>2</v>
      </c>
      <c r="CU264" s="71" t="b">
        <v>0</v>
      </c>
      <c r="DH264" t="s">
        <v>366</v>
      </c>
      <c r="DI264">
        <v>1.5</v>
      </c>
      <c r="DJ264">
        <v>100</v>
      </c>
      <c r="DK264">
        <v>100</v>
      </c>
      <c r="DL264" s="74">
        <f ca="1">INDIRECT(ADDRESS(11+(MATCH(RIGHT(Table13[[#This Row],[spawner_sku]],LEN(Table13[[#This Row],[spawner_sku]])-FIND("/",Table13[[#This Row],[spawner_sku]])),Table1[Entity Prefab],0)),10,1,1,"Entities"))</f>
        <v>25</v>
      </c>
      <c r="DM264" s="74">
        <f ca="1">ROUND((Table13[[#This Row],[XP]]*Table13[[#This Row],[entity_spawned (AVG)]])*(Table13[[#This Row],[activating_chance]]/100),0)</f>
        <v>38</v>
      </c>
      <c r="DN264" s="144" t="str">
        <f ca="1">INDIRECT(ADDRESS(11+(MATCH(RIGHT(Table13[[#This Row],[spawner_sku]],LEN(Table13[[#This Row],[spawner_sku]])-FIND("/",Table13[[#This Row],[spawner_sku]])),Table28[Entity Prefab],0)),25,1,1,"Entities"))</f>
        <v>no</v>
      </c>
      <c r="DO264" s="71">
        <v>1</v>
      </c>
      <c r="DP264" s="71">
        <v>2</v>
      </c>
      <c r="DQ264" s="71" t="b">
        <v>0</v>
      </c>
      <c r="DS264" t="s">
        <v>371</v>
      </c>
      <c r="DT264">
        <v>1</v>
      </c>
      <c r="DU264">
        <v>180</v>
      </c>
      <c r="DV264">
        <v>100</v>
      </c>
      <c r="DW264" s="74">
        <f ca="1">INDIRECT(ADDRESS(11+(MATCH(RIGHT(Table14[[#This Row],[spawner_sku]],LEN(Table14[[#This Row],[spawner_sku]])-FIND("/",Table14[[#This Row],[spawner_sku]])),Table1[Entity Prefab],0)),10,1,1,"Entities"))</f>
        <v>75</v>
      </c>
      <c r="DX264" s="74">
        <f ca="1">ROUND((Table14[[#This Row],[XP]]*Table14[[#This Row],[entity_spawned (AVG)]])*(Table14[[#This Row],[activating_chance]]/100),0)</f>
        <v>75</v>
      </c>
      <c r="DY264" s="144" t="str">
        <f ca="1">INDIRECT(ADDRESS(11+(MATCH(RIGHT(Table14[[#This Row],[spawner_sku]],LEN(Table14[[#This Row],[spawner_sku]])-FIND("/",Table14[[#This Row],[spawner_sku]])),Table28[Entity Prefab],0)),25,1,1,"Entities"))</f>
        <v>yes</v>
      </c>
      <c r="DZ264" s="71">
        <v>1</v>
      </c>
      <c r="EA264" s="71">
        <v>1</v>
      </c>
      <c r="EB264" s="71" t="b">
        <v>0</v>
      </c>
      <c r="EC264" s="71"/>
      <c r="EO264" t="s">
        <v>234</v>
      </c>
      <c r="EP264">
        <v>1</v>
      </c>
      <c r="EQ264">
        <v>420</v>
      </c>
      <c r="ER264">
        <v>100</v>
      </c>
      <c r="ES264" s="74">
        <f ca="1">INDIRECT(ADDRESS(11+(MATCH(RIGHT(Table18[[#This Row],[spawner_sku]],LEN(Table18[[#This Row],[spawner_sku]])-FIND("/",Table18[[#This Row],[spawner_sku]])),Table1[Entity Prefab],0)),10,1,1,"Entities"))</f>
        <v>83</v>
      </c>
      <c r="ET264" s="74">
        <f ca="1">ROUND((Table18[[#This Row],[XP]]*Table18[[#This Row],[entity_spawned (AVG)]])*(Table18[[#This Row],[activating_chance]]/100),0)</f>
        <v>83</v>
      </c>
      <c r="EU264" s="74" t="str">
        <f ca="1">INDIRECT(ADDRESS(11+(MATCH(RIGHT(Table18[[#This Row],[spawner_sku]],LEN(Table18[[#This Row],[spawner_sku]])-FIND("/",Table18[[#This Row],[spawner_sku]])),Table28[Entity Prefab],0)),26,1,1,"Entities"))</f>
        <v>yes</v>
      </c>
      <c r="EV264">
        <v>1</v>
      </c>
      <c r="EW264">
        <v>1</v>
      </c>
      <c r="EX264" t="b">
        <v>0</v>
      </c>
    </row>
    <row r="265" spans="2:154" x14ac:dyDescent="0.25">
      <c r="B265" s="72" t="s">
        <v>321</v>
      </c>
      <c r="C265">
        <v>1.5</v>
      </c>
      <c r="D265">
        <v>300</v>
      </c>
      <c r="E265">
        <v>100</v>
      </c>
      <c r="F265" s="74">
        <f ca="1">INDIRECT(ADDRESS(11+(MATCH(RIGHT(Table245[[#This Row],[spawner_sku]],LEN(Table245[[#This Row],[spawner_sku]])-FIND("/",Table245[[#This Row],[spawner_sku]])),Table1[Entity Prefab],0)),10,1,1,"Entities"))</f>
        <v>195</v>
      </c>
      <c r="G265" s="74">
        <f ca="1">ROUND((Table245[[#This Row],[XP]]*Table245[[#This Row],[entity_spawned (AVG)]])*(Table245[[#This Row],[activating_chance]]/100),0)</f>
        <v>293</v>
      </c>
      <c r="H265" s="71" t="str">
        <f ca="1">INDIRECT(ADDRESS(11+(MATCH(RIGHT(Table245[[#This Row],[spawner_sku]],LEN(Table245[[#This Row],[spawner_sku]])-FIND("/",Table245[[#This Row],[spawner_sku]])),Table28[Entity Prefab],0)),24,1,1,"Entities"))</f>
        <v>yes</v>
      </c>
      <c r="I265" s="71">
        <v>1</v>
      </c>
      <c r="J265" s="71">
        <v>2</v>
      </c>
      <c r="K265" s="71" t="b">
        <v>0</v>
      </c>
      <c r="AI265" t="s">
        <v>368</v>
      </c>
      <c r="AJ265">
        <v>1</v>
      </c>
      <c r="AK265">
        <v>180</v>
      </c>
      <c r="AL265">
        <v>100</v>
      </c>
      <c r="AM265" s="74">
        <f ca="1">INDIRECT(ADDRESS(11+(MATCH(RIGHT(Table2[[#This Row],[spawner_sku]],LEN(Table2[[#This Row],[spawner_sku]])-FIND("/",Table2[[#This Row],[spawner_sku]])),Table1[Entity Prefab],0)),10,1,1,"Entities"))</f>
        <v>75</v>
      </c>
      <c r="AN265" s="74">
        <f ca="1">ROUND((Table2[[#This Row],[XP]]*Table2[[#This Row],[entity_spawned (AVG)]])*(Table2[[#This Row],[activating_chance]]/100),0)</f>
        <v>75</v>
      </c>
      <c r="AO265" s="71" t="str">
        <f ca="1">INDIRECT(ADDRESS(11+(MATCH(RIGHT(Table2[[#This Row],[spawner_sku]],LEN(Table2[[#This Row],[spawner_sku]])-FIND("/",Table2[[#This Row],[spawner_sku]])),Table28[Entity Prefab],0)),24,1,1,"Entities"))</f>
        <v>yes</v>
      </c>
      <c r="AP265" s="71">
        <v>1</v>
      </c>
      <c r="AQ265" s="71">
        <v>1</v>
      </c>
      <c r="AR265" s="71" t="b">
        <v>0</v>
      </c>
      <c r="BP265" t="s">
        <v>367</v>
      </c>
      <c r="BQ265">
        <v>1</v>
      </c>
      <c r="BR265">
        <v>200</v>
      </c>
      <c r="BS265">
        <v>100</v>
      </c>
      <c r="BT265" s="74">
        <f ca="1">INDIRECT(ADDRESS(11+(MATCH(RIGHT(Table61011[[#This Row],[spawner_sku]],LEN(Table61011[[#This Row],[spawner_sku]])-FIND("/",Table61011[[#This Row],[spawner_sku]])),Table1[Entity Prefab],0)),10,1,1,"Entities"))</f>
        <v>75</v>
      </c>
      <c r="BU265" s="74">
        <f ca="1">ROUND((Table61011[[#This Row],[XP]]*Table61011[[#This Row],[entity_spawned (AVG)]])*(Table61011[[#This Row],[activating_chance]]/100),0)</f>
        <v>75</v>
      </c>
      <c r="BV265" s="71" t="str">
        <f ca="1">INDIRECT(ADDRESS(11+(MATCH(RIGHT(Table61011[[#This Row],[spawner_sku]],LEN(Table61011[[#This Row],[spawner_sku]])-FIND("/",Table61011[[#This Row],[spawner_sku]])),Table28[Entity Prefab],0)),24,1,1,"Entities"))</f>
        <v>no</v>
      </c>
      <c r="BW265" s="71">
        <v>1</v>
      </c>
      <c r="BX265" s="71">
        <v>1</v>
      </c>
      <c r="BY265" s="71" t="b">
        <v>0</v>
      </c>
      <c r="BZ265" s="71"/>
      <c r="CA265" s="147" t="s">
        <v>3816</v>
      </c>
      <c r="CB265">
        <v>1</v>
      </c>
      <c r="CC265">
        <v>240</v>
      </c>
      <c r="CD265">
        <v>100</v>
      </c>
      <c r="CE265" s="74">
        <f ca="1">INDIRECT(ADDRESS(11+(MATCH(RIGHT(Table35[[#This Row],[spawner_sku]],LEN(Table35[[#This Row],[spawner_sku]])-FIND("/",Table35[[#This Row],[spawner_sku]])),Table1[Entity Prefab],0)),10,1,1,"Entities"))</f>
        <v>50</v>
      </c>
      <c r="CF265" s="74">
        <f ca="1">ROUND((Table35[[#This Row],[XP]]*Table35[[#This Row],[entity_spawned (AVG)]])*(Table35[[#This Row],[activating_chance]]/100),0)</f>
        <v>50</v>
      </c>
      <c r="CG265" s="144" t="str">
        <f ca="1">INDIRECT(ADDRESS(11+(MATCH(RIGHT(Table35[[#This Row],[spawner_sku]],LEN(Table35[[#This Row],[spawner_sku]])-FIND("/",Table35[[#This Row],[spawner_sku]])),Table28[Entity Prefab],0)),24,1,1,"Entities"))</f>
        <v>no</v>
      </c>
      <c r="CH265">
        <v>1</v>
      </c>
      <c r="CI265">
        <v>1</v>
      </c>
      <c r="CJ265" s="71" t="b">
        <v>0</v>
      </c>
      <c r="CL265" t="s">
        <v>570</v>
      </c>
      <c r="CM265">
        <v>1</v>
      </c>
      <c r="CN265">
        <v>120</v>
      </c>
      <c r="CO265">
        <v>100</v>
      </c>
      <c r="CP265" s="74">
        <f ca="1">INDIRECT(ADDRESS(11+(MATCH(RIGHT(Table11[[#This Row],[spawner_sku]],LEN(Table11[[#This Row],[spawner_sku]])-FIND("/",Table11[[#This Row],[spawner_sku]])),Table1[Entity Prefab],0)),10,1,1,"Entities"))</f>
        <v>50</v>
      </c>
      <c r="CQ265">
        <f ca="1">ROUND((Table11[[#This Row],[XP]]*Table11[[#This Row],[entity_spawned (AVG)]])*(Table11[[#This Row],[activating_chance]]/100),0)</f>
        <v>50</v>
      </c>
      <c r="CR265" s="144" t="str">
        <f ca="1">INDIRECT(ADDRESS(11+(MATCH(RIGHT(Table11[[#This Row],[spawner_sku]],LEN(Table11[[#This Row],[spawner_sku]])-FIND("/",Table11[[#This Row],[spawner_sku]])),Table28[Entity Prefab],0)),25,1,1,"Entities"))</f>
        <v>no</v>
      </c>
      <c r="CS265" s="71">
        <v>1</v>
      </c>
      <c r="CT265" s="71">
        <v>1</v>
      </c>
      <c r="CU265" s="71" t="b">
        <v>0</v>
      </c>
      <c r="DH265" t="s">
        <v>366</v>
      </c>
      <c r="DI265">
        <v>1.5</v>
      </c>
      <c r="DJ265">
        <v>100</v>
      </c>
      <c r="DK265">
        <v>80</v>
      </c>
      <c r="DL265" s="74">
        <f ca="1">INDIRECT(ADDRESS(11+(MATCH(RIGHT(Table13[[#This Row],[spawner_sku]],LEN(Table13[[#This Row],[spawner_sku]])-FIND("/",Table13[[#This Row],[spawner_sku]])),Table1[Entity Prefab],0)),10,1,1,"Entities"))</f>
        <v>25</v>
      </c>
      <c r="DM265" s="74">
        <f ca="1">ROUND((Table13[[#This Row],[XP]]*Table13[[#This Row],[entity_spawned (AVG)]])*(Table13[[#This Row],[activating_chance]]/100),0)</f>
        <v>30</v>
      </c>
      <c r="DN265" s="144" t="str">
        <f ca="1">INDIRECT(ADDRESS(11+(MATCH(RIGHT(Table13[[#This Row],[spawner_sku]],LEN(Table13[[#This Row],[spawner_sku]])-FIND("/",Table13[[#This Row],[spawner_sku]])),Table28[Entity Prefab],0)),25,1,1,"Entities"))</f>
        <v>no</v>
      </c>
      <c r="DO265" s="71">
        <v>1</v>
      </c>
      <c r="DP265" s="71">
        <v>2</v>
      </c>
      <c r="DQ265" s="71" t="b">
        <v>0</v>
      </c>
      <c r="DS265" t="s">
        <v>371</v>
      </c>
      <c r="DT265">
        <v>1</v>
      </c>
      <c r="DU265">
        <v>200</v>
      </c>
      <c r="DV265">
        <v>10</v>
      </c>
      <c r="DW265" s="74">
        <f ca="1">INDIRECT(ADDRESS(11+(MATCH(RIGHT(Table14[[#This Row],[spawner_sku]],LEN(Table14[[#This Row],[spawner_sku]])-FIND("/",Table14[[#This Row],[spawner_sku]])),Table1[Entity Prefab],0)),10,1,1,"Entities"))</f>
        <v>75</v>
      </c>
      <c r="DX265" s="74">
        <f ca="1">ROUND((Table14[[#This Row],[XP]]*Table14[[#This Row],[entity_spawned (AVG)]])*(Table14[[#This Row],[activating_chance]]/100),0)</f>
        <v>8</v>
      </c>
      <c r="DY265" s="144" t="str">
        <f ca="1">INDIRECT(ADDRESS(11+(MATCH(RIGHT(Table14[[#This Row],[spawner_sku]],LEN(Table14[[#This Row],[spawner_sku]])-FIND("/",Table14[[#This Row],[spawner_sku]])),Table28[Entity Prefab],0)),25,1,1,"Entities"))</f>
        <v>yes</v>
      </c>
      <c r="DZ265" s="71">
        <v>1</v>
      </c>
      <c r="EA265" s="71">
        <v>1</v>
      </c>
      <c r="EB265" s="71" t="b">
        <v>0</v>
      </c>
      <c r="EC265" s="71"/>
      <c r="EO265" t="s">
        <v>554</v>
      </c>
      <c r="EP265">
        <v>1</v>
      </c>
      <c r="EQ265">
        <v>160</v>
      </c>
      <c r="ER265">
        <v>80</v>
      </c>
      <c r="ES265" s="74">
        <f ca="1">INDIRECT(ADDRESS(11+(MATCH(RIGHT(Table18[[#This Row],[spawner_sku]],LEN(Table18[[#This Row],[spawner_sku]])-FIND("/",Table18[[#This Row],[spawner_sku]])),Table1[Entity Prefab],0)),10,1,1,"Entities"))</f>
        <v>50</v>
      </c>
      <c r="ET265" s="74">
        <f ca="1">ROUND((Table18[[#This Row],[XP]]*Table18[[#This Row],[entity_spawned (AVG)]])*(Table18[[#This Row],[activating_chance]]/100),0)</f>
        <v>40</v>
      </c>
      <c r="EU265" s="74" t="str">
        <f ca="1">INDIRECT(ADDRESS(11+(MATCH(RIGHT(Table18[[#This Row],[spawner_sku]],LEN(Table18[[#This Row],[spawner_sku]])-FIND("/",Table18[[#This Row],[spawner_sku]])),Table28[Entity Prefab],0)),26,1,1,"Entities"))</f>
        <v>yes</v>
      </c>
      <c r="EV265">
        <v>1</v>
      </c>
      <c r="EW265">
        <v>1</v>
      </c>
      <c r="EX265" t="b">
        <v>0</v>
      </c>
    </row>
    <row r="266" spans="2:154" x14ac:dyDescent="0.25">
      <c r="B266" s="72" t="s">
        <v>321</v>
      </c>
      <c r="C266">
        <v>1</v>
      </c>
      <c r="D266">
        <v>280</v>
      </c>
      <c r="E266">
        <v>80</v>
      </c>
      <c r="F266" s="74">
        <f ca="1">INDIRECT(ADDRESS(11+(MATCH(RIGHT(Table245[[#This Row],[spawner_sku]],LEN(Table245[[#This Row],[spawner_sku]])-FIND("/",Table245[[#This Row],[spawner_sku]])),Table1[Entity Prefab],0)),10,1,1,"Entities"))</f>
        <v>195</v>
      </c>
      <c r="G266" s="74">
        <f ca="1">ROUND((Table245[[#This Row],[XP]]*Table245[[#This Row],[entity_spawned (AVG)]])*(Table245[[#This Row],[activating_chance]]/100),0)</f>
        <v>156</v>
      </c>
      <c r="H266" s="71" t="str">
        <f ca="1">INDIRECT(ADDRESS(11+(MATCH(RIGHT(Table245[[#This Row],[spawner_sku]],LEN(Table245[[#This Row],[spawner_sku]])-FIND("/",Table245[[#This Row],[spawner_sku]])),Table28[Entity Prefab],0)),24,1,1,"Entities"))</f>
        <v>yes</v>
      </c>
      <c r="I266" s="71">
        <v>1</v>
      </c>
      <c r="J266" s="71">
        <v>1</v>
      </c>
      <c r="K266" s="71" t="b">
        <v>0</v>
      </c>
      <c r="AI266" t="s">
        <v>368</v>
      </c>
      <c r="AJ266">
        <v>1</v>
      </c>
      <c r="AK266">
        <v>180</v>
      </c>
      <c r="AL266">
        <v>100</v>
      </c>
      <c r="AM266" s="74">
        <f ca="1">INDIRECT(ADDRESS(11+(MATCH(RIGHT(Table2[[#This Row],[spawner_sku]],LEN(Table2[[#This Row],[spawner_sku]])-FIND("/",Table2[[#This Row],[spawner_sku]])),Table1[Entity Prefab],0)),10,1,1,"Entities"))</f>
        <v>75</v>
      </c>
      <c r="AN266" s="74">
        <f ca="1">ROUND((Table2[[#This Row],[XP]]*Table2[[#This Row],[entity_spawned (AVG)]])*(Table2[[#This Row],[activating_chance]]/100),0)</f>
        <v>75</v>
      </c>
      <c r="AO266" s="71" t="str">
        <f ca="1">INDIRECT(ADDRESS(11+(MATCH(RIGHT(Table2[[#This Row],[spawner_sku]],LEN(Table2[[#This Row],[spawner_sku]])-FIND("/",Table2[[#This Row],[spawner_sku]])),Table28[Entity Prefab],0)),24,1,1,"Entities"))</f>
        <v>yes</v>
      </c>
      <c r="AP266" s="71">
        <v>1</v>
      </c>
      <c r="AQ266" s="71">
        <v>1</v>
      </c>
      <c r="AR266" s="71" t="b">
        <v>0</v>
      </c>
      <c r="BP266" t="s">
        <v>367</v>
      </c>
      <c r="BQ266">
        <v>1</v>
      </c>
      <c r="BR266">
        <v>200</v>
      </c>
      <c r="BS266">
        <v>100</v>
      </c>
      <c r="BT266" s="74">
        <f ca="1">INDIRECT(ADDRESS(11+(MATCH(RIGHT(Table61011[[#This Row],[spawner_sku]],LEN(Table61011[[#This Row],[spawner_sku]])-FIND("/",Table61011[[#This Row],[spawner_sku]])),Table1[Entity Prefab],0)),10,1,1,"Entities"))</f>
        <v>75</v>
      </c>
      <c r="BU266" s="74">
        <f ca="1">ROUND((Table61011[[#This Row],[XP]]*Table61011[[#This Row],[entity_spawned (AVG)]])*(Table61011[[#This Row],[activating_chance]]/100),0)</f>
        <v>75</v>
      </c>
      <c r="BV266" s="71" t="str">
        <f ca="1">INDIRECT(ADDRESS(11+(MATCH(RIGHT(Table61011[[#This Row],[spawner_sku]],LEN(Table61011[[#This Row],[spawner_sku]])-FIND("/",Table61011[[#This Row],[spawner_sku]])),Table28[Entity Prefab],0)),24,1,1,"Entities"))</f>
        <v>no</v>
      </c>
      <c r="BW266" s="71">
        <v>1</v>
      </c>
      <c r="BX266" s="71">
        <v>1</v>
      </c>
      <c r="BY266" s="71" t="b">
        <v>0</v>
      </c>
      <c r="BZ266" s="71"/>
      <c r="CA266" s="147" t="s">
        <v>3816</v>
      </c>
      <c r="CB266">
        <v>1</v>
      </c>
      <c r="CC266">
        <v>240</v>
      </c>
      <c r="CD266">
        <v>100</v>
      </c>
      <c r="CE266" s="74">
        <f ca="1">INDIRECT(ADDRESS(11+(MATCH(RIGHT(Table35[[#This Row],[spawner_sku]],LEN(Table35[[#This Row],[spawner_sku]])-FIND("/",Table35[[#This Row],[spawner_sku]])),Table1[Entity Prefab],0)),10,1,1,"Entities"))</f>
        <v>50</v>
      </c>
      <c r="CF266" s="74">
        <f ca="1">ROUND((Table35[[#This Row],[XP]]*Table35[[#This Row],[entity_spawned (AVG)]])*(Table35[[#This Row],[activating_chance]]/100),0)</f>
        <v>50</v>
      </c>
      <c r="CG266" s="144" t="str">
        <f ca="1">INDIRECT(ADDRESS(11+(MATCH(RIGHT(Table35[[#This Row],[spawner_sku]],LEN(Table35[[#This Row],[spawner_sku]])-FIND("/",Table35[[#This Row],[spawner_sku]])),Table28[Entity Prefab],0)),24,1,1,"Entities"))</f>
        <v>no</v>
      </c>
      <c r="CH266">
        <v>1</v>
      </c>
      <c r="CI266">
        <v>1</v>
      </c>
      <c r="CJ266" s="71" t="b">
        <v>0</v>
      </c>
      <c r="CL266" t="s">
        <v>570</v>
      </c>
      <c r="CM266">
        <v>1</v>
      </c>
      <c r="CN266">
        <v>120</v>
      </c>
      <c r="CO266">
        <v>100</v>
      </c>
      <c r="CP266" s="74">
        <f ca="1">INDIRECT(ADDRESS(11+(MATCH(RIGHT(Table11[[#This Row],[spawner_sku]],LEN(Table11[[#This Row],[spawner_sku]])-FIND("/",Table11[[#This Row],[spawner_sku]])),Table1[Entity Prefab],0)),10,1,1,"Entities"))</f>
        <v>50</v>
      </c>
      <c r="CQ266">
        <f ca="1">ROUND((Table11[[#This Row],[XP]]*Table11[[#This Row],[entity_spawned (AVG)]])*(Table11[[#This Row],[activating_chance]]/100),0)</f>
        <v>50</v>
      </c>
      <c r="CR266" s="144" t="str">
        <f ca="1">INDIRECT(ADDRESS(11+(MATCH(RIGHT(Table11[[#This Row],[spawner_sku]],LEN(Table11[[#This Row],[spawner_sku]])-FIND("/",Table11[[#This Row],[spawner_sku]])),Table28[Entity Prefab],0)),25,1,1,"Entities"))</f>
        <v>no</v>
      </c>
      <c r="CS266" s="71">
        <v>1</v>
      </c>
      <c r="CT266" s="71">
        <v>1</v>
      </c>
      <c r="CU266" s="71" t="b">
        <v>0</v>
      </c>
      <c r="DH266" t="s">
        <v>366</v>
      </c>
      <c r="DI266">
        <v>2</v>
      </c>
      <c r="DJ266">
        <v>100</v>
      </c>
      <c r="DK266">
        <v>100</v>
      </c>
      <c r="DL266" s="74">
        <f ca="1">INDIRECT(ADDRESS(11+(MATCH(RIGHT(Table13[[#This Row],[spawner_sku]],LEN(Table13[[#This Row],[spawner_sku]])-FIND("/",Table13[[#This Row],[spawner_sku]])),Table1[Entity Prefab],0)),10,1,1,"Entities"))</f>
        <v>25</v>
      </c>
      <c r="DM266" s="74">
        <f ca="1">ROUND((Table13[[#This Row],[XP]]*Table13[[#This Row],[entity_spawned (AVG)]])*(Table13[[#This Row],[activating_chance]]/100),0)</f>
        <v>50</v>
      </c>
      <c r="DN266" s="144" t="str">
        <f ca="1">INDIRECT(ADDRESS(11+(MATCH(RIGHT(Table13[[#This Row],[spawner_sku]],LEN(Table13[[#This Row],[spawner_sku]])-FIND("/",Table13[[#This Row],[spawner_sku]])),Table28[Entity Prefab],0)),25,1,1,"Entities"))</f>
        <v>no</v>
      </c>
      <c r="DO266" s="71">
        <v>2</v>
      </c>
      <c r="DP266" s="71">
        <v>2</v>
      </c>
      <c r="DQ266" s="71" t="b">
        <v>0</v>
      </c>
      <c r="DS266" t="s">
        <v>371</v>
      </c>
      <c r="DT266">
        <v>1</v>
      </c>
      <c r="DU266">
        <v>180</v>
      </c>
      <c r="DV266">
        <v>100</v>
      </c>
      <c r="DW266" s="74">
        <f ca="1">INDIRECT(ADDRESS(11+(MATCH(RIGHT(Table14[[#This Row],[spawner_sku]],LEN(Table14[[#This Row],[spawner_sku]])-FIND("/",Table14[[#This Row],[spawner_sku]])),Table1[Entity Prefab],0)),10,1,1,"Entities"))</f>
        <v>75</v>
      </c>
      <c r="DX266" s="74">
        <f ca="1">ROUND((Table14[[#This Row],[XP]]*Table14[[#This Row],[entity_spawned (AVG)]])*(Table14[[#This Row],[activating_chance]]/100),0)</f>
        <v>75</v>
      </c>
      <c r="DY266" s="144" t="str">
        <f ca="1">INDIRECT(ADDRESS(11+(MATCH(RIGHT(Table14[[#This Row],[spawner_sku]],LEN(Table14[[#This Row],[spawner_sku]])-FIND("/",Table14[[#This Row],[spawner_sku]])),Table28[Entity Prefab],0)),25,1,1,"Entities"))</f>
        <v>yes</v>
      </c>
      <c r="DZ266" s="71">
        <v>1</v>
      </c>
      <c r="EA266" s="71">
        <v>1</v>
      </c>
      <c r="EB266" s="71" t="b">
        <v>0</v>
      </c>
      <c r="EC266" s="71"/>
      <c r="EO266" t="s">
        <v>554</v>
      </c>
      <c r="EP266">
        <v>1</v>
      </c>
      <c r="EQ266">
        <v>160</v>
      </c>
      <c r="ER266">
        <v>100</v>
      </c>
      <c r="ES266" s="74">
        <f ca="1">INDIRECT(ADDRESS(11+(MATCH(RIGHT(Table18[[#This Row],[spawner_sku]],LEN(Table18[[#This Row],[spawner_sku]])-FIND("/",Table18[[#This Row],[spawner_sku]])),Table1[Entity Prefab],0)),10,1,1,"Entities"))</f>
        <v>50</v>
      </c>
      <c r="ET266" s="74">
        <f ca="1">ROUND((Table18[[#This Row],[XP]]*Table18[[#This Row],[entity_spawned (AVG)]])*(Table18[[#This Row],[activating_chance]]/100),0)</f>
        <v>50</v>
      </c>
      <c r="EU266" s="74" t="str">
        <f ca="1">INDIRECT(ADDRESS(11+(MATCH(RIGHT(Table18[[#This Row],[spawner_sku]],LEN(Table18[[#This Row],[spawner_sku]])-FIND("/",Table18[[#This Row],[spawner_sku]])),Table28[Entity Prefab],0)),26,1,1,"Entities"))</f>
        <v>yes</v>
      </c>
      <c r="EV266">
        <v>1</v>
      </c>
      <c r="EW266">
        <v>1</v>
      </c>
      <c r="EX266" t="b">
        <v>0</v>
      </c>
    </row>
    <row r="267" spans="2:154" x14ac:dyDescent="0.25">
      <c r="B267" s="72" t="s">
        <v>221</v>
      </c>
      <c r="C267">
        <v>1</v>
      </c>
      <c r="D267">
        <v>340</v>
      </c>
      <c r="E267">
        <v>100</v>
      </c>
      <c r="F267" s="74">
        <f ca="1">INDIRECT(ADDRESS(11+(MATCH(RIGHT(Table245[[#This Row],[spawner_sku]],LEN(Table245[[#This Row],[spawner_sku]])-FIND("/",Table245[[#This Row],[spawner_sku]])),Table1[Entity Prefab],0)),10,1,1,"Entities"))</f>
        <v>263</v>
      </c>
      <c r="G267" s="74">
        <f ca="1">ROUND((Table245[[#This Row],[XP]]*Table245[[#This Row],[entity_spawned (AVG)]])*(Table245[[#This Row],[activating_chance]]/100),0)</f>
        <v>263</v>
      </c>
      <c r="H267" s="71" t="str">
        <f ca="1">INDIRECT(ADDRESS(11+(MATCH(RIGHT(Table245[[#This Row],[spawner_sku]],LEN(Table245[[#This Row],[spawner_sku]])-FIND("/",Table245[[#This Row],[spawner_sku]])),Table28[Entity Prefab],0)),24,1,1,"Entities"))</f>
        <v>yes</v>
      </c>
      <c r="I267" s="71">
        <v>1</v>
      </c>
      <c r="J267" s="71">
        <v>1</v>
      </c>
      <c r="K267" s="71" t="b">
        <v>0</v>
      </c>
      <c r="AI267" t="s">
        <v>368</v>
      </c>
      <c r="AJ267">
        <v>1</v>
      </c>
      <c r="AK267">
        <v>220</v>
      </c>
      <c r="AL267">
        <v>100</v>
      </c>
      <c r="AM267" s="74">
        <f ca="1">INDIRECT(ADDRESS(11+(MATCH(RIGHT(Table2[[#This Row],[spawner_sku]],LEN(Table2[[#This Row],[spawner_sku]])-FIND("/",Table2[[#This Row],[spawner_sku]])),Table1[Entity Prefab],0)),10,1,1,"Entities"))</f>
        <v>75</v>
      </c>
      <c r="AN267" s="74">
        <f ca="1">ROUND((Table2[[#This Row],[XP]]*Table2[[#This Row],[entity_spawned (AVG)]])*(Table2[[#This Row],[activating_chance]]/100),0)</f>
        <v>75</v>
      </c>
      <c r="AO267" s="71" t="str">
        <f ca="1">INDIRECT(ADDRESS(11+(MATCH(RIGHT(Table2[[#This Row],[spawner_sku]],LEN(Table2[[#This Row],[spawner_sku]])-FIND("/",Table2[[#This Row],[spawner_sku]])),Table28[Entity Prefab],0)),24,1,1,"Entities"))</f>
        <v>yes</v>
      </c>
      <c r="AP267" s="71">
        <v>1</v>
      </c>
      <c r="AQ267" s="71">
        <v>1</v>
      </c>
      <c r="AR267" s="71" t="b">
        <v>0</v>
      </c>
      <c r="BP267" t="s">
        <v>367</v>
      </c>
      <c r="BQ267">
        <v>1</v>
      </c>
      <c r="BR267">
        <v>200</v>
      </c>
      <c r="BS267">
        <v>100</v>
      </c>
      <c r="BT267" s="74">
        <f ca="1">INDIRECT(ADDRESS(11+(MATCH(RIGHT(Table61011[[#This Row],[spawner_sku]],LEN(Table61011[[#This Row],[spawner_sku]])-FIND("/",Table61011[[#This Row],[spawner_sku]])),Table1[Entity Prefab],0)),10,1,1,"Entities"))</f>
        <v>75</v>
      </c>
      <c r="BU267" s="74">
        <f ca="1">ROUND((Table61011[[#This Row],[XP]]*Table61011[[#This Row],[entity_spawned (AVG)]])*(Table61011[[#This Row],[activating_chance]]/100),0)</f>
        <v>75</v>
      </c>
      <c r="BV267" s="71" t="str">
        <f ca="1">INDIRECT(ADDRESS(11+(MATCH(RIGHT(Table61011[[#This Row],[spawner_sku]],LEN(Table61011[[#This Row],[spawner_sku]])-FIND("/",Table61011[[#This Row],[spawner_sku]])),Table28[Entity Prefab],0)),24,1,1,"Entities"))</f>
        <v>no</v>
      </c>
      <c r="BW267" s="71">
        <v>1</v>
      </c>
      <c r="BX267" s="71">
        <v>1</v>
      </c>
      <c r="BY267" s="71" t="b">
        <v>0</v>
      </c>
      <c r="BZ267" s="71"/>
      <c r="CA267" s="147" t="s">
        <v>3816</v>
      </c>
      <c r="CB267">
        <v>1</v>
      </c>
      <c r="CC267">
        <v>240</v>
      </c>
      <c r="CD267">
        <v>100</v>
      </c>
      <c r="CE267" s="74">
        <f ca="1">INDIRECT(ADDRESS(11+(MATCH(RIGHT(Table35[[#This Row],[spawner_sku]],LEN(Table35[[#This Row],[spawner_sku]])-FIND("/",Table35[[#This Row],[spawner_sku]])),Table1[Entity Prefab],0)),10,1,1,"Entities"))</f>
        <v>50</v>
      </c>
      <c r="CF267" s="74">
        <f ca="1">ROUND((Table35[[#This Row],[XP]]*Table35[[#This Row],[entity_spawned (AVG)]])*(Table35[[#This Row],[activating_chance]]/100),0)</f>
        <v>50</v>
      </c>
      <c r="CG267" s="144" t="str">
        <f ca="1">INDIRECT(ADDRESS(11+(MATCH(RIGHT(Table35[[#This Row],[spawner_sku]],LEN(Table35[[#This Row],[spawner_sku]])-FIND("/",Table35[[#This Row],[spawner_sku]])),Table28[Entity Prefab],0)),24,1,1,"Entities"))</f>
        <v>no</v>
      </c>
      <c r="CH267">
        <v>1</v>
      </c>
      <c r="CI267">
        <v>1</v>
      </c>
      <c r="CJ267" s="71" t="b">
        <v>0</v>
      </c>
      <c r="CL267" t="s">
        <v>570</v>
      </c>
      <c r="CM267">
        <v>1</v>
      </c>
      <c r="CN267">
        <v>120</v>
      </c>
      <c r="CO267">
        <v>30</v>
      </c>
      <c r="CP267" s="74">
        <f ca="1">INDIRECT(ADDRESS(11+(MATCH(RIGHT(Table11[[#This Row],[spawner_sku]],LEN(Table11[[#This Row],[spawner_sku]])-FIND("/",Table11[[#This Row],[spawner_sku]])),Table1[Entity Prefab],0)),10,1,1,"Entities"))</f>
        <v>50</v>
      </c>
      <c r="CQ267">
        <f ca="1">ROUND((Table11[[#This Row],[XP]]*Table11[[#This Row],[entity_spawned (AVG)]])*(Table11[[#This Row],[activating_chance]]/100),0)</f>
        <v>15</v>
      </c>
      <c r="CR267" s="144" t="str">
        <f ca="1">INDIRECT(ADDRESS(11+(MATCH(RIGHT(Table11[[#This Row],[spawner_sku]],LEN(Table11[[#This Row],[spawner_sku]])-FIND("/",Table11[[#This Row],[spawner_sku]])),Table28[Entity Prefab],0)),25,1,1,"Entities"))</f>
        <v>no</v>
      </c>
      <c r="CS267" s="71">
        <v>1</v>
      </c>
      <c r="CT267" s="71">
        <v>1</v>
      </c>
      <c r="CU267" s="71" t="b">
        <v>0</v>
      </c>
      <c r="DH267" t="s">
        <v>366</v>
      </c>
      <c r="DI267">
        <v>2.5</v>
      </c>
      <c r="DJ267">
        <v>100</v>
      </c>
      <c r="DK267">
        <v>100</v>
      </c>
      <c r="DL267" s="74">
        <f ca="1">INDIRECT(ADDRESS(11+(MATCH(RIGHT(Table13[[#This Row],[spawner_sku]],LEN(Table13[[#This Row],[spawner_sku]])-FIND("/",Table13[[#This Row],[spawner_sku]])),Table1[Entity Prefab],0)),10,1,1,"Entities"))</f>
        <v>25</v>
      </c>
      <c r="DM267" s="74">
        <f ca="1">ROUND((Table13[[#This Row],[XP]]*Table13[[#This Row],[entity_spawned (AVG)]])*(Table13[[#This Row],[activating_chance]]/100),0)</f>
        <v>63</v>
      </c>
      <c r="DN267" s="144" t="str">
        <f ca="1">INDIRECT(ADDRESS(11+(MATCH(RIGHT(Table13[[#This Row],[spawner_sku]],LEN(Table13[[#This Row],[spawner_sku]])-FIND("/",Table13[[#This Row],[spawner_sku]])),Table28[Entity Prefab],0)),25,1,1,"Entities"))</f>
        <v>no</v>
      </c>
      <c r="DO267" s="71">
        <v>2</v>
      </c>
      <c r="DP267" s="71">
        <v>3</v>
      </c>
      <c r="DQ267" s="71" t="b">
        <v>0</v>
      </c>
      <c r="DS267" t="s">
        <v>371</v>
      </c>
      <c r="DT267">
        <v>1</v>
      </c>
      <c r="DU267">
        <v>180</v>
      </c>
      <c r="DV267">
        <v>100</v>
      </c>
      <c r="DW267" s="74">
        <f ca="1">INDIRECT(ADDRESS(11+(MATCH(RIGHT(Table14[[#This Row],[spawner_sku]],LEN(Table14[[#This Row],[spawner_sku]])-FIND("/",Table14[[#This Row],[spawner_sku]])),Table1[Entity Prefab],0)),10,1,1,"Entities"))</f>
        <v>75</v>
      </c>
      <c r="DX267" s="74">
        <f ca="1">ROUND((Table14[[#This Row],[XP]]*Table14[[#This Row],[entity_spawned (AVG)]])*(Table14[[#This Row],[activating_chance]]/100),0)</f>
        <v>75</v>
      </c>
      <c r="DY267" s="144" t="str">
        <f ca="1">INDIRECT(ADDRESS(11+(MATCH(RIGHT(Table14[[#This Row],[spawner_sku]],LEN(Table14[[#This Row],[spawner_sku]])-FIND("/",Table14[[#This Row],[spawner_sku]])),Table28[Entity Prefab],0)),25,1,1,"Entities"))</f>
        <v>yes</v>
      </c>
      <c r="DZ267" s="71">
        <v>1</v>
      </c>
      <c r="EA267" s="71">
        <v>1</v>
      </c>
      <c r="EB267" s="71" t="b">
        <v>0</v>
      </c>
      <c r="EC267" s="71"/>
      <c r="EO267" t="s">
        <v>554</v>
      </c>
      <c r="EP267">
        <v>1</v>
      </c>
      <c r="EQ267">
        <v>160</v>
      </c>
      <c r="ER267">
        <v>100</v>
      </c>
      <c r="ES267" s="74">
        <f ca="1">INDIRECT(ADDRESS(11+(MATCH(RIGHT(Table18[[#This Row],[spawner_sku]],LEN(Table18[[#This Row],[spawner_sku]])-FIND("/",Table18[[#This Row],[spawner_sku]])),Table1[Entity Prefab],0)),10,1,1,"Entities"))</f>
        <v>50</v>
      </c>
      <c r="ET267" s="74">
        <f ca="1">ROUND((Table18[[#This Row],[XP]]*Table18[[#This Row],[entity_spawned (AVG)]])*(Table18[[#This Row],[activating_chance]]/100),0)</f>
        <v>50</v>
      </c>
      <c r="EU267" s="74" t="str">
        <f ca="1">INDIRECT(ADDRESS(11+(MATCH(RIGHT(Table18[[#This Row],[spawner_sku]],LEN(Table18[[#This Row],[spawner_sku]])-FIND("/",Table18[[#This Row],[spawner_sku]])),Table28[Entity Prefab],0)),26,1,1,"Entities"))</f>
        <v>yes</v>
      </c>
      <c r="EV267">
        <v>1</v>
      </c>
      <c r="EW267">
        <v>1</v>
      </c>
      <c r="EX267" t="b">
        <v>0</v>
      </c>
    </row>
    <row r="268" spans="2:154" x14ac:dyDescent="0.25">
      <c r="B268" s="72" t="s">
        <v>221</v>
      </c>
      <c r="C268">
        <v>1</v>
      </c>
      <c r="D268">
        <v>340</v>
      </c>
      <c r="E268">
        <v>100</v>
      </c>
      <c r="F268" s="74">
        <f ca="1">INDIRECT(ADDRESS(11+(MATCH(RIGHT(Table245[[#This Row],[spawner_sku]],LEN(Table245[[#This Row],[spawner_sku]])-FIND("/",Table245[[#This Row],[spawner_sku]])),Table1[Entity Prefab],0)),10,1,1,"Entities"))</f>
        <v>263</v>
      </c>
      <c r="G268" s="74">
        <f ca="1">ROUND((Table245[[#This Row],[XP]]*Table245[[#This Row],[entity_spawned (AVG)]])*(Table245[[#This Row],[activating_chance]]/100),0)</f>
        <v>263</v>
      </c>
      <c r="H268" s="71" t="str">
        <f ca="1">INDIRECT(ADDRESS(11+(MATCH(RIGHT(Table245[[#This Row],[spawner_sku]],LEN(Table245[[#This Row],[spawner_sku]])-FIND("/",Table245[[#This Row],[spawner_sku]])),Table28[Entity Prefab],0)),24,1,1,"Entities"))</f>
        <v>yes</v>
      </c>
      <c r="I268" s="71">
        <v>1</v>
      </c>
      <c r="J268" s="71">
        <v>1</v>
      </c>
      <c r="K268" s="71" t="b">
        <v>0</v>
      </c>
      <c r="AI268" t="s">
        <v>367</v>
      </c>
      <c r="AJ268">
        <v>1</v>
      </c>
      <c r="AK268">
        <v>200</v>
      </c>
      <c r="AL268">
        <v>100</v>
      </c>
      <c r="AM268" s="74">
        <f ca="1">INDIRECT(ADDRESS(11+(MATCH(RIGHT(Table2[[#This Row],[spawner_sku]],LEN(Table2[[#This Row],[spawner_sku]])-FIND("/",Table2[[#This Row],[spawner_sku]])),Table1[Entity Prefab],0)),10,1,1,"Entities"))</f>
        <v>75</v>
      </c>
      <c r="AN268" s="74">
        <f ca="1">ROUND((Table2[[#This Row],[XP]]*Table2[[#This Row],[entity_spawned (AVG)]])*(Table2[[#This Row],[activating_chance]]/100),0)</f>
        <v>75</v>
      </c>
      <c r="AO268" s="71" t="str">
        <f ca="1">INDIRECT(ADDRESS(11+(MATCH(RIGHT(Table2[[#This Row],[spawner_sku]],LEN(Table2[[#This Row],[spawner_sku]])-FIND("/",Table2[[#This Row],[spawner_sku]])),Table28[Entity Prefab],0)),24,1,1,"Entities"))</f>
        <v>no</v>
      </c>
      <c r="AP268" s="71">
        <v>1</v>
      </c>
      <c r="AQ268" s="71">
        <v>1</v>
      </c>
      <c r="AR268" s="71" t="b">
        <v>0</v>
      </c>
      <c r="BP268" t="s">
        <v>367</v>
      </c>
      <c r="BQ268">
        <v>1</v>
      </c>
      <c r="BR268">
        <v>120</v>
      </c>
      <c r="BS268">
        <v>100</v>
      </c>
      <c r="BT268" s="74">
        <f ca="1">INDIRECT(ADDRESS(11+(MATCH(RIGHT(Table61011[[#This Row],[spawner_sku]],LEN(Table61011[[#This Row],[spawner_sku]])-FIND("/",Table61011[[#This Row],[spawner_sku]])),Table1[Entity Prefab],0)),10,1,1,"Entities"))</f>
        <v>75</v>
      </c>
      <c r="BU268" s="74">
        <f ca="1">ROUND((Table61011[[#This Row],[XP]]*Table61011[[#This Row],[entity_spawned (AVG)]])*(Table61011[[#This Row],[activating_chance]]/100),0)</f>
        <v>75</v>
      </c>
      <c r="BV268" s="71" t="str">
        <f ca="1">INDIRECT(ADDRESS(11+(MATCH(RIGHT(Table61011[[#This Row],[spawner_sku]],LEN(Table61011[[#This Row],[spawner_sku]])-FIND("/",Table61011[[#This Row],[spawner_sku]])),Table28[Entity Prefab],0)),24,1,1,"Entities"))</f>
        <v>no</v>
      </c>
      <c r="BW268" s="71">
        <v>1</v>
      </c>
      <c r="BX268" s="71">
        <v>1</v>
      </c>
      <c r="BY268" s="71" t="b">
        <v>0</v>
      </c>
      <c r="BZ268" s="71"/>
      <c r="CA268" s="147" t="s">
        <v>3816</v>
      </c>
      <c r="CB268">
        <v>1</v>
      </c>
      <c r="CC268">
        <v>240</v>
      </c>
      <c r="CD268">
        <v>100</v>
      </c>
      <c r="CE268" s="74">
        <f ca="1">INDIRECT(ADDRESS(11+(MATCH(RIGHT(Table35[[#This Row],[spawner_sku]],LEN(Table35[[#This Row],[spawner_sku]])-FIND("/",Table35[[#This Row],[spawner_sku]])),Table1[Entity Prefab],0)),10,1,1,"Entities"))</f>
        <v>50</v>
      </c>
      <c r="CF268" s="74">
        <f ca="1">ROUND((Table35[[#This Row],[XP]]*Table35[[#This Row],[entity_spawned (AVG)]])*(Table35[[#This Row],[activating_chance]]/100),0)</f>
        <v>50</v>
      </c>
      <c r="CG268" s="144" t="str">
        <f ca="1">INDIRECT(ADDRESS(11+(MATCH(RIGHT(Table35[[#This Row],[spawner_sku]],LEN(Table35[[#This Row],[spawner_sku]])-FIND("/",Table35[[#This Row],[spawner_sku]])),Table28[Entity Prefab],0)),24,1,1,"Entities"))</f>
        <v>no</v>
      </c>
      <c r="CH268">
        <v>1</v>
      </c>
      <c r="CI268">
        <v>1</v>
      </c>
      <c r="CJ268" s="71" t="b">
        <v>0</v>
      </c>
      <c r="CL268" t="s">
        <v>570</v>
      </c>
      <c r="CM268">
        <v>1</v>
      </c>
      <c r="CN268">
        <v>130</v>
      </c>
      <c r="CO268">
        <v>100</v>
      </c>
      <c r="CP268" s="74">
        <f ca="1">INDIRECT(ADDRESS(11+(MATCH(RIGHT(Table11[[#This Row],[spawner_sku]],LEN(Table11[[#This Row],[spawner_sku]])-FIND("/",Table11[[#This Row],[spawner_sku]])),Table1[Entity Prefab],0)),10,1,1,"Entities"))</f>
        <v>50</v>
      </c>
      <c r="CQ268">
        <f ca="1">ROUND((Table11[[#This Row],[XP]]*Table11[[#This Row],[entity_spawned (AVG)]])*(Table11[[#This Row],[activating_chance]]/100),0)</f>
        <v>50</v>
      </c>
      <c r="CR268" s="144" t="str">
        <f ca="1">INDIRECT(ADDRESS(11+(MATCH(RIGHT(Table11[[#This Row],[spawner_sku]],LEN(Table11[[#This Row],[spawner_sku]])-FIND("/",Table11[[#This Row],[spawner_sku]])),Table28[Entity Prefab],0)),25,1,1,"Entities"))</f>
        <v>no</v>
      </c>
      <c r="CS268" s="71">
        <v>1</v>
      </c>
      <c r="CT268" s="71">
        <v>1</v>
      </c>
      <c r="CU268" s="71" t="b">
        <v>0</v>
      </c>
      <c r="DH268" t="s">
        <v>366</v>
      </c>
      <c r="DI268">
        <v>5.5</v>
      </c>
      <c r="DJ268">
        <v>100</v>
      </c>
      <c r="DK268">
        <v>100</v>
      </c>
      <c r="DL268" s="74">
        <f ca="1">INDIRECT(ADDRESS(11+(MATCH(RIGHT(Table13[[#This Row],[spawner_sku]],LEN(Table13[[#This Row],[spawner_sku]])-FIND("/",Table13[[#This Row],[spawner_sku]])),Table1[Entity Prefab],0)),10,1,1,"Entities"))</f>
        <v>25</v>
      </c>
      <c r="DM268" s="74">
        <f ca="1">ROUND((Table13[[#This Row],[XP]]*Table13[[#This Row],[entity_spawned (AVG)]])*(Table13[[#This Row],[activating_chance]]/100),0)</f>
        <v>138</v>
      </c>
      <c r="DN268" s="144" t="str">
        <f ca="1">INDIRECT(ADDRESS(11+(MATCH(RIGHT(Table13[[#This Row],[spawner_sku]],LEN(Table13[[#This Row],[spawner_sku]])-FIND("/",Table13[[#This Row],[spawner_sku]])),Table28[Entity Prefab],0)),25,1,1,"Entities"))</f>
        <v>no</v>
      </c>
      <c r="DO268" s="71">
        <v>5</v>
      </c>
      <c r="DP268" s="71">
        <v>6</v>
      </c>
      <c r="DQ268" s="71" t="b">
        <v>1</v>
      </c>
      <c r="DS268" t="s">
        <v>371</v>
      </c>
      <c r="DT268">
        <v>1</v>
      </c>
      <c r="DU268">
        <v>200</v>
      </c>
      <c r="DV268">
        <v>100</v>
      </c>
      <c r="DW268" s="74">
        <f ca="1">INDIRECT(ADDRESS(11+(MATCH(RIGHT(Table14[[#This Row],[spawner_sku]],LEN(Table14[[#This Row],[spawner_sku]])-FIND("/",Table14[[#This Row],[spawner_sku]])),Table1[Entity Prefab],0)),10,1,1,"Entities"))</f>
        <v>75</v>
      </c>
      <c r="DX268" s="74">
        <f ca="1">ROUND((Table14[[#This Row],[XP]]*Table14[[#This Row],[entity_spawned (AVG)]])*(Table14[[#This Row],[activating_chance]]/100),0)</f>
        <v>75</v>
      </c>
      <c r="DY268" s="144" t="str">
        <f ca="1">INDIRECT(ADDRESS(11+(MATCH(RIGHT(Table14[[#This Row],[spawner_sku]],LEN(Table14[[#This Row],[spawner_sku]])-FIND("/",Table14[[#This Row],[spawner_sku]])),Table28[Entity Prefab],0)),25,1,1,"Entities"))</f>
        <v>yes</v>
      </c>
      <c r="DZ268" s="71">
        <v>1</v>
      </c>
      <c r="EA268" s="71">
        <v>1</v>
      </c>
      <c r="EB268" s="71" t="b">
        <v>0</v>
      </c>
      <c r="EC268" s="71"/>
      <c r="EO268" t="s">
        <v>554</v>
      </c>
      <c r="EP268">
        <v>1</v>
      </c>
      <c r="EQ268">
        <v>180</v>
      </c>
      <c r="ER268">
        <v>10</v>
      </c>
      <c r="ES268" s="74">
        <f ca="1">INDIRECT(ADDRESS(11+(MATCH(RIGHT(Table18[[#This Row],[spawner_sku]],LEN(Table18[[#This Row],[spawner_sku]])-FIND("/",Table18[[#This Row],[spawner_sku]])),Table1[Entity Prefab],0)),10,1,1,"Entities"))</f>
        <v>50</v>
      </c>
      <c r="ET268" s="74">
        <f ca="1">ROUND((Table18[[#This Row],[XP]]*Table18[[#This Row],[entity_spawned (AVG)]])*(Table18[[#This Row],[activating_chance]]/100),0)</f>
        <v>5</v>
      </c>
      <c r="EU268" s="74" t="str">
        <f ca="1">INDIRECT(ADDRESS(11+(MATCH(RIGHT(Table18[[#This Row],[spawner_sku]],LEN(Table18[[#This Row],[spawner_sku]])-FIND("/",Table18[[#This Row],[spawner_sku]])),Table28[Entity Prefab],0)),26,1,1,"Entities"))</f>
        <v>yes</v>
      </c>
      <c r="EV268">
        <v>1</v>
      </c>
      <c r="EW268">
        <v>1</v>
      </c>
      <c r="EX268" t="b">
        <v>0</v>
      </c>
    </row>
    <row r="269" spans="2:154" x14ac:dyDescent="0.25">
      <c r="B269" s="72" t="s">
        <v>221</v>
      </c>
      <c r="C269">
        <v>1</v>
      </c>
      <c r="D269">
        <v>340</v>
      </c>
      <c r="E269">
        <v>100</v>
      </c>
      <c r="F269" s="74">
        <f ca="1">INDIRECT(ADDRESS(11+(MATCH(RIGHT(Table245[[#This Row],[spawner_sku]],LEN(Table245[[#This Row],[spawner_sku]])-FIND("/",Table245[[#This Row],[spawner_sku]])),Table1[Entity Prefab],0)),10,1,1,"Entities"))</f>
        <v>263</v>
      </c>
      <c r="G269" s="74">
        <f ca="1">ROUND((Table245[[#This Row],[XP]]*Table245[[#This Row],[entity_spawned (AVG)]])*(Table245[[#This Row],[activating_chance]]/100),0)</f>
        <v>263</v>
      </c>
      <c r="H269" s="71" t="str">
        <f ca="1">INDIRECT(ADDRESS(11+(MATCH(RIGHT(Table245[[#This Row],[spawner_sku]],LEN(Table245[[#This Row],[spawner_sku]])-FIND("/",Table245[[#This Row],[spawner_sku]])),Table28[Entity Prefab],0)),24,1,1,"Entities"))</f>
        <v>yes</v>
      </c>
      <c r="I269" s="71">
        <v>1</v>
      </c>
      <c r="J269" s="71">
        <v>1</v>
      </c>
      <c r="K269" s="71" t="b">
        <v>0</v>
      </c>
      <c r="AI269" t="s">
        <v>367</v>
      </c>
      <c r="AJ269">
        <v>1</v>
      </c>
      <c r="AK269">
        <v>220</v>
      </c>
      <c r="AL269">
        <v>100</v>
      </c>
      <c r="AM269" s="74">
        <f ca="1">INDIRECT(ADDRESS(11+(MATCH(RIGHT(Table2[[#This Row],[spawner_sku]],LEN(Table2[[#This Row],[spawner_sku]])-FIND("/",Table2[[#This Row],[spawner_sku]])),Table1[Entity Prefab],0)),10,1,1,"Entities"))</f>
        <v>75</v>
      </c>
      <c r="AN269" s="74">
        <f ca="1">ROUND((Table2[[#This Row],[XP]]*Table2[[#This Row],[entity_spawned (AVG)]])*(Table2[[#This Row],[activating_chance]]/100),0)</f>
        <v>75</v>
      </c>
      <c r="AO269" s="71" t="str">
        <f ca="1">INDIRECT(ADDRESS(11+(MATCH(RIGHT(Table2[[#This Row],[spawner_sku]],LEN(Table2[[#This Row],[spawner_sku]])-FIND("/",Table2[[#This Row],[spawner_sku]])),Table28[Entity Prefab],0)),24,1,1,"Entities"))</f>
        <v>no</v>
      </c>
      <c r="AP269" s="71">
        <v>1</v>
      </c>
      <c r="AQ269" s="71">
        <v>1</v>
      </c>
      <c r="AR269" s="71" t="b">
        <v>0</v>
      </c>
      <c r="BP269" t="s">
        <v>367</v>
      </c>
      <c r="BQ269">
        <v>1</v>
      </c>
      <c r="BR269">
        <v>120</v>
      </c>
      <c r="BS269">
        <v>100</v>
      </c>
      <c r="BT269" s="74">
        <f ca="1">INDIRECT(ADDRESS(11+(MATCH(RIGHT(Table61011[[#This Row],[spawner_sku]],LEN(Table61011[[#This Row],[spawner_sku]])-FIND("/",Table61011[[#This Row],[spawner_sku]])),Table1[Entity Prefab],0)),10,1,1,"Entities"))</f>
        <v>75</v>
      </c>
      <c r="BU269" s="74">
        <f ca="1">ROUND((Table61011[[#This Row],[XP]]*Table61011[[#This Row],[entity_spawned (AVG)]])*(Table61011[[#This Row],[activating_chance]]/100),0)</f>
        <v>75</v>
      </c>
      <c r="BV269" s="71" t="str">
        <f ca="1">INDIRECT(ADDRESS(11+(MATCH(RIGHT(Table61011[[#This Row],[spawner_sku]],LEN(Table61011[[#This Row],[spawner_sku]])-FIND("/",Table61011[[#This Row],[spawner_sku]])),Table28[Entity Prefab],0)),24,1,1,"Entities"))</f>
        <v>no</v>
      </c>
      <c r="BW269" s="71">
        <v>1</v>
      </c>
      <c r="BX269" s="71">
        <v>1</v>
      </c>
      <c r="BY269" s="71" t="b">
        <v>0</v>
      </c>
      <c r="BZ269" s="71"/>
      <c r="CA269" s="147" t="s">
        <v>3816</v>
      </c>
      <c r="CB269">
        <v>1</v>
      </c>
      <c r="CC269">
        <v>240</v>
      </c>
      <c r="CD269">
        <v>100</v>
      </c>
      <c r="CE269" s="74">
        <f ca="1">INDIRECT(ADDRESS(11+(MATCH(RIGHT(Table35[[#This Row],[spawner_sku]],LEN(Table35[[#This Row],[spawner_sku]])-FIND("/",Table35[[#This Row],[spawner_sku]])),Table1[Entity Prefab],0)),10,1,1,"Entities"))</f>
        <v>50</v>
      </c>
      <c r="CF269" s="74">
        <f ca="1">ROUND((Table35[[#This Row],[XP]]*Table35[[#This Row],[entity_spawned (AVG)]])*(Table35[[#This Row],[activating_chance]]/100),0)</f>
        <v>50</v>
      </c>
      <c r="CG269" s="144" t="str">
        <f ca="1">INDIRECT(ADDRESS(11+(MATCH(RIGHT(Table35[[#This Row],[spawner_sku]],LEN(Table35[[#This Row],[spawner_sku]])-FIND("/",Table35[[#This Row],[spawner_sku]])),Table28[Entity Prefab],0)),24,1,1,"Entities"))</f>
        <v>no</v>
      </c>
      <c r="CH269">
        <v>1</v>
      </c>
      <c r="CI269">
        <v>1</v>
      </c>
      <c r="CJ269" s="71" t="b">
        <v>0</v>
      </c>
      <c r="CL269" t="s">
        <v>570</v>
      </c>
      <c r="CM269">
        <v>1</v>
      </c>
      <c r="CN269">
        <v>120</v>
      </c>
      <c r="CO269">
        <v>100</v>
      </c>
      <c r="CP269" s="74">
        <f ca="1">INDIRECT(ADDRESS(11+(MATCH(RIGHT(Table11[[#This Row],[spawner_sku]],LEN(Table11[[#This Row],[spawner_sku]])-FIND("/",Table11[[#This Row],[spawner_sku]])),Table1[Entity Prefab],0)),10,1,1,"Entities"))</f>
        <v>50</v>
      </c>
      <c r="CQ269">
        <f ca="1">ROUND((Table11[[#This Row],[XP]]*Table11[[#This Row],[entity_spawned (AVG)]])*(Table11[[#This Row],[activating_chance]]/100),0)</f>
        <v>50</v>
      </c>
      <c r="CR269" s="144" t="str">
        <f ca="1">INDIRECT(ADDRESS(11+(MATCH(RIGHT(Table11[[#This Row],[spawner_sku]],LEN(Table11[[#This Row],[spawner_sku]])-FIND("/",Table11[[#This Row],[spawner_sku]])),Table28[Entity Prefab],0)),25,1,1,"Entities"))</f>
        <v>no</v>
      </c>
      <c r="CS269" s="71">
        <v>1</v>
      </c>
      <c r="CT269" s="71">
        <v>1</v>
      </c>
      <c r="CU269" s="71" t="b">
        <v>0</v>
      </c>
      <c r="DH269" t="s">
        <v>366</v>
      </c>
      <c r="DI269">
        <v>7</v>
      </c>
      <c r="DJ269">
        <v>100</v>
      </c>
      <c r="DK269">
        <v>100</v>
      </c>
      <c r="DL269" s="74">
        <f ca="1">INDIRECT(ADDRESS(11+(MATCH(RIGHT(Table13[[#This Row],[spawner_sku]],LEN(Table13[[#This Row],[spawner_sku]])-FIND("/",Table13[[#This Row],[spawner_sku]])),Table1[Entity Prefab],0)),10,1,1,"Entities"))</f>
        <v>25</v>
      </c>
      <c r="DM269" s="74">
        <f ca="1">ROUND((Table13[[#This Row],[XP]]*Table13[[#This Row],[entity_spawned (AVG)]])*(Table13[[#This Row],[activating_chance]]/100),0)</f>
        <v>175</v>
      </c>
      <c r="DN269" s="144" t="str">
        <f ca="1">INDIRECT(ADDRESS(11+(MATCH(RIGHT(Table13[[#This Row],[spawner_sku]],LEN(Table13[[#This Row],[spawner_sku]])-FIND("/",Table13[[#This Row],[spawner_sku]])),Table28[Entity Prefab],0)),25,1,1,"Entities"))</f>
        <v>no</v>
      </c>
      <c r="DO269" s="71">
        <v>6</v>
      </c>
      <c r="DP269" s="71">
        <v>8</v>
      </c>
      <c r="DQ269" s="71" t="b">
        <v>1</v>
      </c>
      <c r="DS269" t="s">
        <v>371</v>
      </c>
      <c r="DT269">
        <v>1</v>
      </c>
      <c r="DU269">
        <v>180</v>
      </c>
      <c r="DV269">
        <v>100</v>
      </c>
      <c r="DW269" s="74">
        <f ca="1">INDIRECT(ADDRESS(11+(MATCH(RIGHT(Table14[[#This Row],[spawner_sku]],LEN(Table14[[#This Row],[spawner_sku]])-FIND("/",Table14[[#This Row],[spawner_sku]])),Table1[Entity Prefab],0)),10,1,1,"Entities"))</f>
        <v>75</v>
      </c>
      <c r="DX269" s="74">
        <f ca="1">ROUND((Table14[[#This Row],[XP]]*Table14[[#This Row],[entity_spawned (AVG)]])*(Table14[[#This Row],[activating_chance]]/100),0)</f>
        <v>75</v>
      </c>
      <c r="DY269" s="144" t="str">
        <f ca="1">INDIRECT(ADDRESS(11+(MATCH(RIGHT(Table14[[#This Row],[spawner_sku]],LEN(Table14[[#This Row],[spawner_sku]])-FIND("/",Table14[[#This Row],[spawner_sku]])),Table28[Entity Prefab],0)),25,1,1,"Entities"))</f>
        <v>yes</v>
      </c>
      <c r="DZ269" s="71">
        <v>1</v>
      </c>
      <c r="EA269" s="71">
        <v>1</v>
      </c>
      <c r="EB269" s="71" t="b">
        <v>0</v>
      </c>
      <c r="EC269" s="71"/>
      <c r="EO269" t="s">
        <v>554</v>
      </c>
      <c r="EP269">
        <v>1</v>
      </c>
      <c r="EQ269">
        <v>160</v>
      </c>
      <c r="ER269">
        <v>100</v>
      </c>
      <c r="ES269" s="74">
        <f ca="1">INDIRECT(ADDRESS(11+(MATCH(RIGHT(Table18[[#This Row],[spawner_sku]],LEN(Table18[[#This Row],[spawner_sku]])-FIND("/",Table18[[#This Row],[spawner_sku]])),Table1[Entity Prefab],0)),10,1,1,"Entities"))</f>
        <v>50</v>
      </c>
      <c r="ET269" s="74">
        <f ca="1">ROUND((Table18[[#This Row],[XP]]*Table18[[#This Row],[entity_spawned (AVG)]])*(Table18[[#This Row],[activating_chance]]/100),0)</f>
        <v>50</v>
      </c>
      <c r="EU269" s="74" t="str">
        <f ca="1">INDIRECT(ADDRESS(11+(MATCH(RIGHT(Table18[[#This Row],[spawner_sku]],LEN(Table18[[#This Row],[spawner_sku]])-FIND("/",Table18[[#This Row],[spawner_sku]])),Table28[Entity Prefab],0)),26,1,1,"Entities"))</f>
        <v>yes</v>
      </c>
      <c r="EV269">
        <v>1</v>
      </c>
      <c r="EW269">
        <v>1</v>
      </c>
      <c r="EX269" t="b">
        <v>0</v>
      </c>
    </row>
    <row r="270" spans="2:154" x14ac:dyDescent="0.25">
      <c r="B270" s="72" t="s">
        <v>221</v>
      </c>
      <c r="C270">
        <v>1</v>
      </c>
      <c r="D270">
        <v>340</v>
      </c>
      <c r="E270">
        <v>100</v>
      </c>
      <c r="F270" s="74">
        <f ca="1">INDIRECT(ADDRESS(11+(MATCH(RIGHT(Table245[[#This Row],[spawner_sku]],LEN(Table245[[#This Row],[spawner_sku]])-FIND("/",Table245[[#This Row],[spawner_sku]])),Table1[Entity Prefab],0)),10,1,1,"Entities"))</f>
        <v>263</v>
      </c>
      <c r="G270" s="74">
        <f ca="1">ROUND((Table245[[#This Row],[XP]]*Table245[[#This Row],[entity_spawned (AVG)]])*(Table245[[#This Row],[activating_chance]]/100),0)</f>
        <v>263</v>
      </c>
      <c r="H270" s="71" t="str">
        <f ca="1">INDIRECT(ADDRESS(11+(MATCH(RIGHT(Table245[[#This Row],[spawner_sku]],LEN(Table245[[#This Row],[spawner_sku]])-FIND("/",Table245[[#This Row],[spawner_sku]])),Table28[Entity Prefab],0)),24,1,1,"Entities"))</f>
        <v>yes</v>
      </c>
      <c r="I270" s="71">
        <v>1</v>
      </c>
      <c r="J270" s="71">
        <v>1</v>
      </c>
      <c r="K270" s="71" t="b">
        <v>0</v>
      </c>
      <c r="AI270" t="s">
        <v>367</v>
      </c>
      <c r="AJ270">
        <v>1</v>
      </c>
      <c r="AK270">
        <v>220</v>
      </c>
      <c r="AL270">
        <v>100</v>
      </c>
      <c r="AM270" s="74">
        <f ca="1">INDIRECT(ADDRESS(11+(MATCH(RIGHT(Table2[[#This Row],[spawner_sku]],LEN(Table2[[#This Row],[spawner_sku]])-FIND("/",Table2[[#This Row],[spawner_sku]])),Table1[Entity Prefab],0)),10,1,1,"Entities"))</f>
        <v>75</v>
      </c>
      <c r="AN270" s="74">
        <f ca="1">ROUND((Table2[[#This Row],[XP]]*Table2[[#This Row],[entity_spawned (AVG)]])*(Table2[[#This Row],[activating_chance]]/100),0)</f>
        <v>75</v>
      </c>
      <c r="AO270" s="71" t="str">
        <f ca="1">INDIRECT(ADDRESS(11+(MATCH(RIGHT(Table2[[#This Row],[spawner_sku]],LEN(Table2[[#This Row],[spawner_sku]])-FIND("/",Table2[[#This Row],[spawner_sku]])),Table28[Entity Prefab],0)),24,1,1,"Entities"))</f>
        <v>no</v>
      </c>
      <c r="AP270" s="71">
        <v>1</v>
      </c>
      <c r="AQ270" s="71">
        <v>1</v>
      </c>
      <c r="AR270" s="71" t="b">
        <v>0</v>
      </c>
      <c r="BP270" t="s">
        <v>367</v>
      </c>
      <c r="BQ270">
        <v>1</v>
      </c>
      <c r="BR270">
        <v>200</v>
      </c>
      <c r="BS270">
        <v>100</v>
      </c>
      <c r="BT270" s="74">
        <f ca="1">INDIRECT(ADDRESS(11+(MATCH(RIGHT(Table61011[[#This Row],[spawner_sku]],LEN(Table61011[[#This Row],[spawner_sku]])-FIND("/",Table61011[[#This Row],[spawner_sku]])),Table1[Entity Prefab],0)),10,1,1,"Entities"))</f>
        <v>75</v>
      </c>
      <c r="BU270" s="74">
        <f ca="1">ROUND((Table61011[[#This Row],[XP]]*Table61011[[#This Row],[entity_spawned (AVG)]])*(Table61011[[#This Row],[activating_chance]]/100),0)</f>
        <v>75</v>
      </c>
      <c r="BV270" s="71" t="str">
        <f ca="1">INDIRECT(ADDRESS(11+(MATCH(RIGHT(Table61011[[#This Row],[spawner_sku]],LEN(Table61011[[#This Row],[spawner_sku]])-FIND("/",Table61011[[#This Row],[spawner_sku]])),Table28[Entity Prefab],0)),24,1,1,"Entities"))</f>
        <v>no</v>
      </c>
      <c r="BW270" s="71">
        <v>1</v>
      </c>
      <c r="BX270" s="71">
        <v>1</v>
      </c>
      <c r="BY270" s="71" t="b">
        <v>0</v>
      </c>
      <c r="BZ270" s="71"/>
      <c r="CA270" s="147" t="s">
        <v>3816</v>
      </c>
      <c r="CB270">
        <v>1</v>
      </c>
      <c r="CC270">
        <v>240</v>
      </c>
      <c r="CD270">
        <v>100</v>
      </c>
      <c r="CE270" s="74">
        <f ca="1">INDIRECT(ADDRESS(11+(MATCH(RIGHT(Table35[[#This Row],[spawner_sku]],LEN(Table35[[#This Row],[spawner_sku]])-FIND("/",Table35[[#This Row],[spawner_sku]])),Table1[Entity Prefab],0)),10,1,1,"Entities"))</f>
        <v>50</v>
      </c>
      <c r="CF270" s="74">
        <f ca="1">ROUND((Table35[[#This Row],[XP]]*Table35[[#This Row],[entity_spawned (AVG)]])*(Table35[[#This Row],[activating_chance]]/100),0)</f>
        <v>50</v>
      </c>
      <c r="CG270" s="144" t="str">
        <f ca="1">INDIRECT(ADDRESS(11+(MATCH(RIGHT(Table35[[#This Row],[spawner_sku]],LEN(Table35[[#This Row],[spawner_sku]])-FIND("/",Table35[[#This Row],[spawner_sku]])),Table28[Entity Prefab],0)),24,1,1,"Entities"))</f>
        <v>no</v>
      </c>
      <c r="CH270">
        <v>1</v>
      </c>
      <c r="CI270">
        <v>1</v>
      </c>
      <c r="CJ270" s="71" t="b">
        <v>0</v>
      </c>
      <c r="CL270" t="s">
        <v>570</v>
      </c>
      <c r="CM270">
        <v>1</v>
      </c>
      <c r="CN270">
        <v>120</v>
      </c>
      <c r="CO270">
        <v>100</v>
      </c>
      <c r="CP270" s="74">
        <f ca="1">INDIRECT(ADDRESS(11+(MATCH(RIGHT(Table11[[#This Row],[spawner_sku]],LEN(Table11[[#This Row],[spawner_sku]])-FIND("/",Table11[[#This Row],[spawner_sku]])),Table1[Entity Prefab],0)),10,1,1,"Entities"))</f>
        <v>50</v>
      </c>
      <c r="CQ270">
        <f ca="1">ROUND((Table11[[#This Row],[XP]]*Table11[[#This Row],[entity_spawned (AVG)]])*(Table11[[#This Row],[activating_chance]]/100),0)</f>
        <v>50</v>
      </c>
      <c r="CR270" s="144" t="str">
        <f ca="1">INDIRECT(ADDRESS(11+(MATCH(RIGHT(Table11[[#This Row],[spawner_sku]],LEN(Table11[[#This Row],[spawner_sku]])-FIND("/",Table11[[#This Row],[spawner_sku]])),Table28[Entity Prefab],0)),25,1,1,"Entities"))</f>
        <v>no</v>
      </c>
      <c r="CS270" s="71">
        <v>1</v>
      </c>
      <c r="CT270" s="71">
        <v>1</v>
      </c>
      <c r="CU270" s="71" t="b">
        <v>0</v>
      </c>
      <c r="DH270" t="s">
        <v>366</v>
      </c>
      <c r="DI270">
        <v>1</v>
      </c>
      <c r="DJ270">
        <v>100</v>
      </c>
      <c r="DK270">
        <v>100</v>
      </c>
      <c r="DL270" s="74">
        <f ca="1">INDIRECT(ADDRESS(11+(MATCH(RIGHT(Table13[[#This Row],[spawner_sku]],LEN(Table13[[#This Row],[spawner_sku]])-FIND("/",Table13[[#This Row],[spawner_sku]])),Table1[Entity Prefab],0)),10,1,1,"Entities"))</f>
        <v>25</v>
      </c>
      <c r="DM270" s="74">
        <f ca="1">ROUND((Table13[[#This Row],[XP]]*Table13[[#This Row],[entity_spawned (AVG)]])*(Table13[[#This Row],[activating_chance]]/100),0)</f>
        <v>25</v>
      </c>
      <c r="DN270" s="144" t="str">
        <f ca="1">INDIRECT(ADDRESS(11+(MATCH(RIGHT(Table13[[#This Row],[spawner_sku]],LEN(Table13[[#This Row],[spawner_sku]])-FIND("/",Table13[[#This Row],[spawner_sku]])),Table28[Entity Prefab],0)),25,1,1,"Entities"))</f>
        <v>no</v>
      </c>
      <c r="DO270" s="71">
        <v>1</v>
      </c>
      <c r="DP270" s="71">
        <v>1</v>
      </c>
      <c r="DQ270" s="71" t="b">
        <v>0</v>
      </c>
      <c r="DS270" t="s">
        <v>371</v>
      </c>
      <c r="DT270">
        <v>1</v>
      </c>
      <c r="DU270">
        <v>200</v>
      </c>
      <c r="DV270">
        <v>100</v>
      </c>
      <c r="DW270" s="74">
        <f ca="1">INDIRECT(ADDRESS(11+(MATCH(RIGHT(Table14[[#This Row],[spawner_sku]],LEN(Table14[[#This Row],[spawner_sku]])-FIND("/",Table14[[#This Row],[spawner_sku]])),Table1[Entity Prefab],0)),10,1,1,"Entities"))</f>
        <v>75</v>
      </c>
      <c r="DX270" s="74">
        <f ca="1">ROUND((Table14[[#This Row],[XP]]*Table14[[#This Row],[entity_spawned (AVG)]])*(Table14[[#This Row],[activating_chance]]/100),0)</f>
        <v>75</v>
      </c>
      <c r="DY270" s="144" t="str">
        <f ca="1">INDIRECT(ADDRESS(11+(MATCH(RIGHT(Table14[[#This Row],[spawner_sku]],LEN(Table14[[#This Row],[spawner_sku]])-FIND("/",Table14[[#This Row],[spawner_sku]])),Table28[Entity Prefab],0)),25,1,1,"Entities"))</f>
        <v>yes</v>
      </c>
      <c r="DZ270" s="71">
        <v>1</v>
      </c>
      <c r="EA270" s="71">
        <v>1</v>
      </c>
      <c r="EB270" s="71" t="b">
        <v>0</v>
      </c>
      <c r="EC270" s="71"/>
      <c r="EO270" t="s">
        <v>554</v>
      </c>
      <c r="EP270">
        <v>1</v>
      </c>
      <c r="EQ270">
        <v>180</v>
      </c>
      <c r="ER270">
        <v>100</v>
      </c>
      <c r="ES270" s="74">
        <f ca="1">INDIRECT(ADDRESS(11+(MATCH(RIGHT(Table18[[#This Row],[spawner_sku]],LEN(Table18[[#This Row],[spawner_sku]])-FIND("/",Table18[[#This Row],[spawner_sku]])),Table1[Entity Prefab],0)),10,1,1,"Entities"))</f>
        <v>50</v>
      </c>
      <c r="ET270" s="74">
        <f ca="1">ROUND((Table18[[#This Row],[XP]]*Table18[[#This Row],[entity_spawned (AVG)]])*(Table18[[#This Row],[activating_chance]]/100),0)</f>
        <v>50</v>
      </c>
      <c r="EU270" s="74" t="str">
        <f ca="1">INDIRECT(ADDRESS(11+(MATCH(RIGHT(Table18[[#This Row],[spawner_sku]],LEN(Table18[[#This Row],[spawner_sku]])-FIND("/",Table18[[#This Row],[spawner_sku]])),Table28[Entity Prefab],0)),26,1,1,"Entities"))</f>
        <v>yes</v>
      </c>
      <c r="EV270">
        <v>1</v>
      </c>
      <c r="EW270">
        <v>1</v>
      </c>
      <c r="EX270" t="b">
        <v>0</v>
      </c>
    </row>
    <row r="271" spans="2:154" x14ac:dyDescent="0.25">
      <c r="B271" s="72" t="s">
        <v>221</v>
      </c>
      <c r="C271">
        <v>1</v>
      </c>
      <c r="D271">
        <v>340</v>
      </c>
      <c r="E271">
        <v>100</v>
      </c>
      <c r="F271" s="74">
        <f ca="1">INDIRECT(ADDRESS(11+(MATCH(RIGHT(Table245[[#This Row],[spawner_sku]],LEN(Table245[[#This Row],[spawner_sku]])-FIND("/",Table245[[#This Row],[spawner_sku]])),Table1[Entity Prefab],0)),10,1,1,"Entities"))</f>
        <v>263</v>
      </c>
      <c r="G271" s="74">
        <f ca="1">ROUND((Table245[[#This Row],[XP]]*Table245[[#This Row],[entity_spawned (AVG)]])*(Table245[[#This Row],[activating_chance]]/100),0)</f>
        <v>263</v>
      </c>
      <c r="H271" s="71" t="str">
        <f ca="1">INDIRECT(ADDRESS(11+(MATCH(RIGHT(Table245[[#This Row],[spawner_sku]],LEN(Table245[[#This Row],[spawner_sku]])-FIND("/",Table245[[#This Row],[spawner_sku]])),Table28[Entity Prefab],0)),24,1,1,"Entities"))</f>
        <v>yes</v>
      </c>
      <c r="I271" s="71">
        <v>1</v>
      </c>
      <c r="J271" s="71">
        <v>1</v>
      </c>
      <c r="K271" s="71" t="b">
        <v>0</v>
      </c>
      <c r="AI271" t="s">
        <v>367</v>
      </c>
      <c r="AJ271">
        <v>1</v>
      </c>
      <c r="AK271">
        <v>150</v>
      </c>
      <c r="AL271">
        <v>100</v>
      </c>
      <c r="AM271" s="74">
        <f ca="1">INDIRECT(ADDRESS(11+(MATCH(RIGHT(Table2[[#This Row],[spawner_sku]],LEN(Table2[[#This Row],[spawner_sku]])-FIND("/",Table2[[#This Row],[spawner_sku]])),Table1[Entity Prefab],0)),10,1,1,"Entities"))</f>
        <v>75</v>
      </c>
      <c r="AN271" s="74">
        <f ca="1">ROUND((Table2[[#This Row],[XP]]*Table2[[#This Row],[entity_spawned (AVG)]])*(Table2[[#This Row],[activating_chance]]/100),0)</f>
        <v>75</v>
      </c>
      <c r="AO271" s="71" t="str">
        <f ca="1">INDIRECT(ADDRESS(11+(MATCH(RIGHT(Table2[[#This Row],[spawner_sku]],LEN(Table2[[#This Row],[spawner_sku]])-FIND("/",Table2[[#This Row],[spawner_sku]])),Table28[Entity Prefab],0)),24,1,1,"Entities"))</f>
        <v>no</v>
      </c>
      <c r="AP271" s="71">
        <v>1</v>
      </c>
      <c r="AQ271" s="71">
        <v>1</v>
      </c>
      <c r="AR271" s="71" t="b">
        <v>0</v>
      </c>
      <c r="BP271" t="s">
        <v>367</v>
      </c>
      <c r="BQ271">
        <v>1</v>
      </c>
      <c r="BR271">
        <v>120</v>
      </c>
      <c r="BS271">
        <v>100</v>
      </c>
      <c r="BT271" s="74">
        <f ca="1">INDIRECT(ADDRESS(11+(MATCH(RIGHT(Table61011[[#This Row],[spawner_sku]],LEN(Table61011[[#This Row],[spawner_sku]])-FIND("/",Table61011[[#This Row],[spawner_sku]])),Table1[Entity Prefab],0)),10,1,1,"Entities"))</f>
        <v>75</v>
      </c>
      <c r="BU271" s="74">
        <f ca="1">ROUND((Table61011[[#This Row],[XP]]*Table61011[[#This Row],[entity_spawned (AVG)]])*(Table61011[[#This Row],[activating_chance]]/100),0)</f>
        <v>75</v>
      </c>
      <c r="BV271" s="71" t="str">
        <f ca="1">INDIRECT(ADDRESS(11+(MATCH(RIGHT(Table61011[[#This Row],[spawner_sku]],LEN(Table61011[[#This Row],[spawner_sku]])-FIND("/",Table61011[[#This Row],[spawner_sku]])),Table28[Entity Prefab],0)),24,1,1,"Entities"))</f>
        <v>no</v>
      </c>
      <c r="BW271" s="71">
        <v>1</v>
      </c>
      <c r="BX271" s="71">
        <v>1</v>
      </c>
      <c r="BY271" s="71" t="b">
        <v>0</v>
      </c>
      <c r="BZ271" s="71"/>
      <c r="CA271" s="147" t="s">
        <v>3816</v>
      </c>
      <c r="CB271">
        <v>1</v>
      </c>
      <c r="CC271">
        <v>240</v>
      </c>
      <c r="CD271">
        <v>100</v>
      </c>
      <c r="CE271" s="74">
        <f ca="1">INDIRECT(ADDRESS(11+(MATCH(RIGHT(Table35[[#This Row],[spawner_sku]],LEN(Table35[[#This Row],[spawner_sku]])-FIND("/",Table35[[#This Row],[spawner_sku]])),Table1[Entity Prefab],0)),10,1,1,"Entities"))</f>
        <v>50</v>
      </c>
      <c r="CF271" s="74">
        <f ca="1">ROUND((Table35[[#This Row],[XP]]*Table35[[#This Row],[entity_spawned (AVG)]])*(Table35[[#This Row],[activating_chance]]/100),0)</f>
        <v>50</v>
      </c>
      <c r="CG271" s="144" t="str">
        <f ca="1">INDIRECT(ADDRESS(11+(MATCH(RIGHT(Table35[[#This Row],[spawner_sku]],LEN(Table35[[#This Row],[spawner_sku]])-FIND("/",Table35[[#This Row],[spawner_sku]])),Table28[Entity Prefab],0)),24,1,1,"Entities"))</f>
        <v>no</v>
      </c>
      <c r="CH271">
        <v>1</v>
      </c>
      <c r="CI271">
        <v>1</v>
      </c>
      <c r="CJ271" s="71" t="b">
        <v>0</v>
      </c>
      <c r="CL271" t="s">
        <v>570</v>
      </c>
      <c r="CM271">
        <v>1</v>
      </c>
      <c r="CN271">
        <v>120</v>
      </c>
      <c r="CO271">
        <v>100</v>
      </c>
      <c r="CP271" s="74">
        <f ca="1">INDIRECT(ADDRESS(11+(MATCH(RIGHT(Table11[[#This Row],[spawner_sku]],LEN(Table11[[#This Row],[spawner_sku]])-FIND("/",Table11[[#This Row],[spawner_sku]])),Table1[Entity Prefab],0)),10,1,1,"Entities"))</f>
        <v>50</v>
      </c>
      <c r="CQ271">
        <f ca="1">ROUND((Table11[[#This Row],[XP]]*Table11[[#This Row],[entity_spawned (AVG)]])*(Table11[[#This Row],[activating_chance]]/100),0)</f>
        <v>50</v>
      </c>
      <c r="CR271" s="144" t="str">
        <f ca="1">INDIRECT(ADDRESS(11+(MATCH(RIGHT(Table11[[#This Row],[spawner_sku]],LEN(Table11[[#This Row],[spawner_sku]])-FIND("/",Table11[[#This Row],[spawner_sku]])),Table28[Entity Prefab],0)),25,1,1,"Entities"))</f>
        <v>no</v>
      </c>
      <c r="CS271" s="71">
        <v>1</v>
      </c>
      <c r="CT271" s="71">
        <v>1</v>
      </c>
      <c r="CU271" s="71" t="b">
        <v>0</v>
      </c>
      <c r="DH271" t="s">
        <v>366</v>
      </c>
      <c r="DI271">
        <v>1</v>
      </c>
      <c r="DJ271">
        <v>100</v>
      </c>
      <c r="DK271">
        <v>80</v>
      </c>
      <c r="DL271" s="74">
        <f ca="1">INDIRECT(ADDRESS(11+(MATCH(RIGHT(Table13[[#This Row],[spawner_sku]],LEN(Table13[[#This Row],[spawner_sku]])-FIND("/",Table13[[#This Row],[spawner_sku]])),Table1[Entity Prefab],0)),10,1,1,"Entities"))</f>
        <v>25</v>
      </c>
      <c r="DM271" s="74">
        <f ca="1">ROUND((Table13[[#This Row],[XP]]*Table13[[#This Row],[entity_spawned (AVG)]])*(Table13[[#This Row],[activating_chance]]/100),0)</f>
        <v>20</v>
      </c>
      <c r="DN271" s="144" t="str">
        <f ca="1">INDIRECT(ADDRESS(11+(MATCH(RIGHT(Table13[[#This Row],[spawner_sku]],LEN(Table13[[#This Row],[spawner_sku]])-FIND("/",Table13[[#This Row],[spawner_sku]])),Table28[Entity Prefab],0)),25,1,1,"Entities"))</f>
        <v>no</v>
      </c>
      <c r="DO271" s="71">
        <v>1</v>
      </c>
      <c r="DP271" s="71">
        <v>1</v>
      </c>
      <c r="DQ271" s="71" t="b">
        <v>0</v>
      </c>
      <c r="DS271" t="s">
        <v>371</v>
      </c>
      <c r="DT271">
        <v>1</v>
      </c>
      <c r="DU271">
        <v>200</v>
      </c>
      <c r="DV271">
        <v>30</v>
      </c>
      <c r="DW271" s="74">
        <f ca="1">INDIRECT(ADDRESS(11+(MATCH(RIGHT(Table14[[#This Row],[spawner_sku]],LEN(Table14[[#This Row],[spawner_sku]])-FIND("/",Table14[[#This Row],[spawner_sku]])),Table1[Entity Prefab],0)),10,1,1,"Entities"))</f>
        <v>75</v>
      </c>
      <c r="DX271" s="74">
        <f ca="1">ROUND((Table14[[#This Row],[XP]]*Table14[[#This Row],[entity_spawned (AVG)]])*(Table14[[#This Row],[activating_chance]]/100),0)</f>
        <v>23</v>
      </c>
      <c r="DY271" s="144" t="str">
        <f ca="1">INDIRECT(ADDRESS(11+(MATCH(RIGHT(Table14[[#This Row],[spawner_sku]],LEN(Table14[[#This Row],[spawner_sku]])-FIND("/",Table14[[#This Row],[spawner_sku]])),Table28[Entity Prefab],0)),25,1,1,"Entities"))</f>
        <v>yes</v>
      </c>
      <c r="DZ271" s="71">
        <v>1</v>
      </c>
      <c r="EA271" s="71">
        <v>1</v>
      </c>
      <c r="EB271" s="71" t="b">
        <v>0</v>
      </c>
      <c r="EC271" s="71"/>
      <c r="EO271" t="s">
        <v>554</v>
      </c>
      <c r="EP271">
        <v>1</v>
      </c>
      <c r="EQ271">
        <v>160</v>
      </c>
      <c r="ER271">
        <v>100</v>
      </c>
      <c r="ES271" s="74">
        <f ca="1">INDIRECT(ADDRESS(11+(MATCH(RIGHT(Table18[[#This Row],[spawner_sku]],LEN(Table18[[#This Row],[spawner_sku]])-FIND("/",Table18[[#This Row],[spawner_sku]])),Table1[Entity Prefab],0)),10,1,1,"Entities"))</f>
        <v>50</v>
      </c>
      <c r="ET271" s="74">
        <f ca="1">ROUND((Table18[[#This Row],[XP]]*Table18[[#This Row],[entity_spawned (AVG)]])*(Table18[[#This Row],[activating_chance]]/100),0)</f>
        <v>50</v>
      </c>
      <c r="EU271" s="74" t="str">
        <f ca="1">INDIRECT(ADDRESS(11+(MATCH(RIGHT(Table18[[#This Row],[spawner_sku]],LEN(Table18[[#This Row],[spawner_sku]])-FIND("/",Table18[[#This Row],[spawner_sku]])),Table28[Entity Prefab],0)),26,1,1,"Entities"))</f>
        <v>yes</v>
      </c>
      <c r="EV271">
        <v>1</v>
      </c>
      <c r="EW271">
        <v>1</v>
      </c>
      <c r="EX271" t="b">
        <v>0</v>
      </c>
    </row>
    <row r="272" spans="2:154" x14ac:dyDescent="0.25">
      <c r="B272" s="72" t="s">
        <v>221</v>
      </c>
      <c r="C272">
        <v>1</v>
      </c>
      <c r="D272">
        <v>340</v>
      </c>
      <c r="E272">
        <v>100</v>
      </c>
      <c r="F272" s="74">
        <f ca="1">INDIRECT(ADDRESS(11+(MATCH(RIGHT(Table245[[#This Row],[spawner_sku]],LEN(Table245[[#This Row],[spawner_sku]])-FIND("/",Table245[[#This Row],[spawner_sku]])),Table1[Entity Prefab],0)),10,1,1,"Entities"))</f>
        <v>263</v>
      </c>
      <c r="G272" s="74">
        <f ca="1">ROUND((Table245[[#This Row],[XP]]*Table245[[#This Row],[entity_spawned (AVG)]])*(Table245[[#This Row],[activating_chance]]/100),0)</f>
        <v>263</v>
      </c>
      <c r="H272" s="71" t="str">
        <f ca="1">INDIRECT(ADDRESS(11+(MATCH(RIGHT(Table245[[#This Row],[spawner_sku]],LEN(Table245[[#This Row],[spawner_sku]])-FIND("/",Table245[[#This Row],[spawner_sku]])),Table28[Entity Prefab],0)),24,1,1,"Entities"))</f>
        <v>yes</v>
      </c>
      <c r="I272" s="71">
        <v>1</v>
      </c>
      <c r="J272" s="71">
        <v>1</v>
      </c>
      <c r="K272" s="71" t="b">
        <v>0</v>
      </c>
      <c r="AI272" t="s">
        <v>367</v>
      </c>
      <c r="AJ272">
        <v>1</v>
      </c>
      <c r="AK272">
        <v>220</v>
      </c>
      <c r="AL272">
        <v>100</v>
      </c>
      <c r="AM272" s="74">
        <f ca="1">INDIRECT(ADDRESS(11+(MATCH(RIGHT(Table2[[#This Row],[spawner_sku]],LEN(Table2[[#This Row],[spawner_sku]])-FIND("/",Table2[[#This Row],[spawner_sku]])),Table1[Entity Prefab],0)),10,1,1,"Entities"))</f>
        <v>75</v>
      </c>
      <c r="AN272" s="74">
        <f ca="1">ROUND((Table2[[#This Row],[XP]]*Table2[[#This Row],[entity_spawned (AVG)]])*(Table2[[#This Row],[activating_chance]]/100),0)</f>
        <v>75</v>
      </c>
      <c r="AO272" s="71" t="str">
        <f ca="1">INDIRECT(ADDRESS(11+(MATCH(RIGHT(Table2[[#This Row],[spawner_sku]],LEN(Table2[[#This Row],[spawner_sku]])-FIND("/",Table2[[#This Row],[spawner_sku]])),Table28[Entity Prefab],0)),24,1,1,"Entities"))</f>
        <v>no</v>
      </c>
      <c r="AP272" s="71">
        <v>1</v>
      </c>
      <c r="AQ272" s="71">
        <v>1</v>
      </c>
      <c r="AR272" s="71" t="b">
        <v>0</v>
      </c>
      <c r="BP272" t="s">
        <v>367</v>
      </c>
      <c r="BQ272">
        <v>1</v>
      </c>
      <c r="BR272">
        <v>200</v>
      </c>
      <c r="BS272">
        <v>100</v>
      </c>
      <c r="BT272" s="74">
        <f ca="1">INDIRECT(ADDRESS(11+(MATCH(RIGHT(Table61011[[#This Row],[spawner_sku]],LEN(Table61011[[#This Row],[spawner_sku]])-FIND("/",Table61011[[#This Row],[spawner_sku]])),Table1[Entity Prefab],0)),10,1,1,"Entities"))</f>
        <v>75</v>
      </c>
      <c r="BU272" s="74">
        <f ca="1">ROUND((Table61011[[#This Row],[XP]]*Table61011[[#This Row],[entity_spawned (AVG)]])*(Table61011[[#This Row],[activating_chance]]/100),0)</f>
        <v>75</v>
      </c>
      <c r="BV272" s="71" t="str">
        <f ca="1">INDIRECT(ADDRESS(11+(MATCH(RIGHT(Table61011[[#This Row],[spawner_sku]],LEN(Table61011[[#This Row],[spawner_sku]])-FIND("/",Table61011[[#This Row],[spawner_sku]])),Table28[Entity Prefab],0)),24,1,1,"Entities"))</f>
        <v>no</v>
      </c>
      <c r="BW272" s="71">
        <v>1</v>
      </c>
      <c r="BX272" s="71">
        <v>1</v>
      </c>
      <c r="BY272" s="71" t="b">
        <v>0</v>
      </c>
      <c r="BZ272" s="71"/>
      <c r="CA272" s="147" t="s">
        <v>3816</v>
      </c>
      <c r="CB272">
        <v>1</v>
      </c>
      <c r="CC272">
        <v>240</v>
      </c>
      <c r="CD272">
        <v>100</v>
      </c>
      <c r="CE272" s="74">
        <f ca="1">INDIRECT(ADDRESS(11+(MATCH(RIGHT(Table35[[#This Row],[spawner_sku]],LEN(Table35[[#This Row],[spawner_sku]])-FIND("/",Table35[[#This Row],[spawner_sku]])),Table1[Entity Prefab],0)),10,1,1,"Entities"))</f>
        <v>50</v>
      </c>
      <c r="CF272" s="74">
        <f ca="1">ROUND((Table35[[#This Row],[XP]]*Table35[[#This Row],[entity_spawned (AVG)]])*(Table35[[#This Row],[activating_chance]]/100),0)</f>
        <v>50</v>
      </c>
      <c r="CG272" s="144" t="str">
        <f ca="1">INDIRECT(ADDRESS(11+(MATCH(RIGHT(Table35[[#This Row],[spawner_sku]],LEN(Table35[[#This Row],[spawner_sku]])-FIND("/",Table35[[#This Row],[spawner_sku]])),Table28[Entity Prefab],0)),24,1,1,"Entities"))</f>
        <v>no</v>
      </c>
      <c r="CH272">
        <v>1</v>
      </c>
      <c r="CI272">
        <v>1</v>
      </c>
      <c r="CJ272" s="71" t="b">
        <v>0</v>
      </c>
      <c r="CL272" t="s">
        <v>570</v>
      </c>
      <c r="CM272">
        <v>1</v>
      </c>
      <c r="CN272">
        <v>120</v>
      </c>
      <c r="CO272">
        <v>100</v>
      </c>
      <c r="CP272" s="74">
        <f ca="1">INDIRECT(ADDRESS(11+(MATCH(RIGHT(Table11[[#This Row],[spawner_sku]],LEN(Table11[[#This Row],[spawner_sku]])-FIND("/",Table11[[#This Row],[spawner_sku]])),Table1[Entity Prefab],0)),10,1,1,"Entities"))</f>
        <v>50</v>
      </c>
      <c r="CQ272">
        <f ca="1">ROUND((Table11[[#This Row],[XP]]*Table11[[#This Row],[entity_spawned (AVG)]])*(Table11[[#This Row],[activating_chance]]/100),0)</f>
        <v>50</v>
      </c>
      <c r="CR272" s="144" t="str">
        <f ca="1">INDIRECT(ADDRESS(11+(MATCH(RIGHT(Table11[[#This Row],[spawner_sku]],LEN(Table11[[#This Row],[spawner_sku]])-FIND("/",Table11[[#This Row],[spawner_sku]])),Table28[Entity Prefab],0)),25,1,1,"Entities"))</f>
        <v>no</v>
      </c>
      <c r="CS272" s="71">
        <v>1</v>
      </c>
      <c r="CT272" s="71">
        <v>1</v>
      </c>
      <c r="CU272" s="71" t="b">
        <v>0</v>
      </c>
      <c r="DH272" t="s">
        <v>366</v>
      </c>
      <c r="DI272">
        <v>1.5</v>
      </c>
      <c r="DJ272">
        <v>100</v>
      </c>
      <c r="DK272">
        <v>80</v>
      </c>
      <c r="DL272" s="74">
        <f ca="1">INDIRECT(ADDRESS(11+(MATCH(RIGHT(Table13[[#This Row],[spawner_sku]],LEN(Table13[[#This Row],[spawner_sku]])-FIND("/",Table13[[#This Row],[spawner_sku]])),Table1[Entity Prefab],0)),10,1,1,"Entities"))</f>
        <v>25</v>
      </c>
      <c r="DM272" s="74">
        <f ca="1">ROUND((Table13[[#This Row],[XP]]*Table13[[#This Row],[entity_spawned (AVG)]])*(Table13[[#This Row],[activating_chance]]/100),0)</f>
        <v>30</v>
      </c>
      <c r="DN272" s="144" t="str">
        <f ca="1">INDIRECT(ADDRESS(11+(MATCH(RIGHT(Table13[[#This Row],[spawner_sku]],LEN(Table13[[#This Row],[spawner_sku]])-FIND("/",Table13[[#This Row],[spawner_sku]])),Table28[Entity Prefab],0)),25,1,1,"Entities"))</f>
        <v>no</v>
      </c>
      <c r="DO272" s="71">
        <v>1</v>
      </c>
      <c r="DP272" s="71">
        <v>2</v>
      </c>
      <c r="DQ272" s="71" t="b">
        <v>0</v>
      </c>
      <c r="DS272" t="s">
        <v>371</v>
      </c>
      <c r="DT272">
        <v>1</v>
      </c>
      <c r="DU272">
        <v>200</v>
      </c>
      <c r="DV272">
        <v>40</v>
      </c>
      <c r="DW272" s="74">
        <f ca="1">INDIRECT(ADDRESS(11+(MATCH(RIGHT(Table14[[#This Row],[spawner_sku]],LEN(Table14[[#This Row],[spawner_sku]])-FIND("/",Table14[[#This Row],[spawner_sku]])),Table1[Entity Prefab],0)),10,1,1,"Entities"))</f>
        <v>75</v>
      </c>
      <c r="DX272" s="74">
        <f ca="1">ROUND((Table14[[#This Row],[XP]]*Table14[[#This Row],[entity_spawned (AVG)]])*(Table14[[#This Row],[activating_chance]]/100),0)</f>
        <v>30</v>
      </c>
      <c r="DY272" s="144" t="str">
        <f ca="1">INDIRECT(ADDRESS(11+(MATCH(RIGHT(Table14[[#This Row],[spawner_sku]],LEN(Table14[[#This Row],[spawner_sku]])-FIND("/",Table14[[#This Row],[spawner_sku]])),Table28[Entity Prefab],0)),25,1,1,"Entities"))</f>
        <v>yes</v>
      </c>
      <c r="DZ272" s="71">
        <v>1</v>
      </c>
      <c r="EA272" s="71">
        <v>1</v>
      </c>
      <c r="EB272" s="71" t="b">
        <v>0</v>
      </c>
      <c r="EC272" s="71"/>
      <c r="EO272" t="s">
        <v>554</v>
      </c>
      <c r="EP272">
        <v>1</v>
      </c>
      <c r="EQ272">
        <v>160</v>
      </c>
      <c r="ER272">
        <v>100</v>
      </c>
      <c r="ES272" s="74">
        <f ca="1">INDIRECT(ADDRESS(11+(MATCH(RIGHT(Table18[[#This Row],[spawner_sku]],LEN(Table18[[#This Row],[spawner_sku]])-FIND("/",Table18[[#This Row],[spawner_sku]])),Table1[Entity Prefab],0)),10,1,1,"Entities"))</f>
        <v>50</v>
      </c>
      <c r="ET272" s="74">
        <f ca="1">ROUND((Table18[[#This Row],[XP]]*Table18[[#This Row],[entity_spawned (AVG)]])*(Table18[[#This Row],[activating_chance]]/100),0)</f>
        <v>50</v>
      </c>
      <c r="EU272" s="74" t="str">
        <f ca="1">INDIRECT(ADDRESS(11+(MATCH(RIGHT(Table18[[#This Row],[spawner_sku]],LEN(Table18[[#This Row],[spawner_sku]])-FIND("/",Table18[[#This Row],[spawner_sku]])),Table28[Entity Prefab],0)),26,1,1,"Entities"))</f>
        <v>yes</v>
      </c>
      <c r="EV272">
        <v>1</v>
      </c>
      <c r="EW272">
        <v>1</v>
      </c>
      <c r="EX272" t="b">
        <v>0</v>
      </c>
    </row>
    <row r="273" spans="2:154" x14ac:dyDescent="0.25">
      <c r="B273" s="72" t="s">
        <v>221</v>
      </c>
      <c r="C273">
        <v>1</v>
      </c>
      <c r="D273">
        <v>340</v>
      </c>
      <c r="E273">
        <v>100</v>
      </c>
      <c r="F273" s="74">
        <f ca="1">INDIRECT(ADDRESS(11+(MATCH(RIGHT(Table245[[#This Row],[spawner_sku]],LEN(Table245[[#This Row],[spawner_sku]])-FIND("/",Table245[[#This Row],[spawner_sku]])),Table1[Entity Prefab],0)),10,1,1,"Entities"))</f>
        <v>263</v>
      </c>
      <c r="G273" s="74">
        <f ca="1">ROUND((Table245[[#This Row],[XP]]*Table245[[#This Row],[entity_spawned (AVG)]])*(Table245[[#This Row],[activating_chance]]/100),0)</f>
        <v>263</v>
      </c>
      <c r="H273" s="71" t="str">
        <f ca="1">INDIRECT(ADDRESS(11+(MATCH(RIGHT(Table245[[#This Row],[spawner_sku]],LEN(Table245[[#This Row],[spawner_sku]])-FIND("/",Table245[[#This Row],[spawner_sku]])),Table28[Entity Prefab],0)),24,1,1,"Entities"))</f>
        <v>yes</v>
      </c>
      <c r="I273" s="71">
        <v>1</v>
      </c>
      <c r="J273" s="71">
        <v>1</v>
      </c>
      <c r="K273" s="71" t="b">
        <v>0</v>
      </c>
      <c r="AI273" t="s">
        <v>367</v>
      </c>
      <c r="AJ273">
        <v>1</v>
      </c>
      <c r="AK273">
        <v>180</v>
      </c>
      <c r="AL273">
        <v>100</v>
      </c>
      <c r="AM273" s="74">
        <f ca="1">INDIRECT(ADDRESS(11+(MATCH(RIGHT(Table2[[#This Row],[spawner_sku]],LEN(Table2[[#This Row],[spawner_sku]])-FIND("/",Table2[[#This Row],[spawner_sku]])),Table1[Entity Prefab],0)),10,1,1,"Entities"))</f>
        <v>75</v>
      </c>
      <c r="AN273" s="74">
        <f ca="1">ROUND((Table2[[#This Row],[XP]]*Table2[[#This Row],[entity_spawned (AVG)]])*(Table2[[#This Row],[activating_chance]]/100),0)</f>
        <v>75</v>
      </c>
      <c r="AO273" s="71" t="str">
        <f ca="1">INDIRECT(ADDRESS(11+(MATCH(RIGHT(Table2[[#This Row],[spawner_sku]],LEN(Table2[[#This Row],[spawner_sku]])-FIND("/",Table2[[#This Row],[spawner_sku]])),Table28[Entity Prefab],0)),24,1,1,"Entities"))</f>
        <v>no</v>
      </c>
      <c r="AP273" s="71">
        <v>1</v>
      </c>
      <c r="AQ273" s="71">
        <v>1</v>
      </c>
      <c r="AR273" s="71" t="b">
        <v>0</v>
      </c>
      <c r="BP273" t="s">
        <v>367</v>
      </c>
      <c r="BQ273">
        <v>1</v>
      </c>
      <c r="BR273">
        <v>120</v>
      </c>
      <c r="BS273">
        <v>100</v>
      </c>
      <c r="BT273" s="74">
        <f ca="1">INDIRECT(ADDRESS(11+(MATCH(RIGHT(Table61011[[#This Row],[spawner_sku]],LEN(Table61011[[#This Row],[spawner_sku]])-FIND("/",Table61011[[#This Row],[spawner_sku]])),Table1[Entity Prefab],0)),10,1,1,"Entities"))</f>
        <v>75</v>
      </c>
      <c r="BU273" s="74">
        <f ca="1">ROUND((Table61011[[#This Row],[XP]]*Table61011[[#This Row],[entity_spawned (AVG)]])*(Table61011[[#This Row],[activating_chance]]/100),0)</f>
        <v>75</v>
      </c>
      <c r="BV273" s="71" t="str">
        <f ca="1">INDIRECT(ADDRESS(11+(MATCH(RIGHT(Table61011[[#This Row],[spawner_sku]],LEN(Table61011[[#This Row],[spawner_sku]])-FIND("/",Table61011[[#This Row],[spawner_sku]])),Table28[Entity Prefab],0)),24,1,1,"Entities"))</f>
        <v>no</v>
      </c>
      <c r="BW273" s="71">
        <v>1</v>
      </c>
      <c r="BX273" s="71">
        <v>1</v>
      </c>
      <c r="BY273" s="71" t="b">
        <v>0</v>
      </c>
      <c r="BZ273" s="71"/>
      <c r="CA273" s="147" t="s">
        <v>3816</v>
      </c>
      <c r="CB273">
        <v>1</v>
      </c>
      <c r="CC273">
        <v>240</v>
      </c>
      <c r="CD273">
        <v>100</v>
      </c>
      <c r="CE273" s="74">
        <f ca="1">INDIRECT(ADDRESS(11+(MATCH(RIGHT(Table35[[#This Row],[spawner_sku]],LEN(Table35[[#This Row],[spawner_sku]])-FIND("/",Table35[[#This Row],[spawner_sku]])),Table1[Entity Prefab],0)),10,1,1,"Entities"))</f>
        <v>50</v>
      </c>
      <c r="CF273" s="74">
        <f ca="1">ROUND((Table35[[#This Row],[XP]]*Table35[[#This Row],[entity_spawned (AVG)]])*(Table35[[#This Row],[activating_chance]]/100),0)</f>
        <v>50</v>
      </c>
      <c r="CG273" s="144" t="str">
        <f ca="1">INDIRECT(ADDRESS(11+(MATCH(RIGHT(Table35[[#This Row],[spawner_sku]],LEN(Table35[[#This Row],[spawner_sku]])-FIND("/",Table35[[#This Row],[spawner_sku]])),Table28[Entity Prefab],0)),24,1,1,"Entities"))</f>
        <v>no</v>
      </c>
      <c r="CH273">
        <v>1</v>
      </c>
      <c r="CI273">
        <v>1</v>
      </c>
      <c r="CJ273" s="71" t="b">
        <v>0</v>
      </c>
      <c r="CL273" t="s">
        <v>364</v>
      </c>
      <c r="CM273">
        <v>1</v>
      </c>
      <c r="CN273">
        <v>450</v>
      </c>
      <c r="CO273">
        <v>100</v>
      </c>
      <c r="CP273" s="74">
        <f ca="1">INDIRECT(ADDRESS(11+(MATCH(RIGHT(Table11[[#This Row],[spawner_sku]],LEN(Table11[[#This Row],[spawner_sku]])-FIND("/",Table11[[#This Row],[spawner_sku]])),Table1[Entity Prefab],0)),10,1,1,"Entities"))</f>
        <v>0</v>
      </c>
      <c r="CQ273">
        <f ca="1">ROUND((Table11[[#This Row],[XP]]*Table11[[#This Row],[entity_spawned (AVG)]])*(Table11[[#This Row],[activating_chance]]/100),0)</f>
        <v>0</v>
      </c>
      <c r="CR273" s="144" t="str">
        <f ca="1">INDIRECT(ADDRESS(11+(MATCH(RIGHT(Table11[[#This Row],[spawner_sku]],LEN(Table11[[#This Row],[spawner_sku]])-FIND("/",Table11[[#This Row],[spawner_sku]])),Table28[Entity Prefab],0)),25,1,1,"Entities"))</f>
        <v>yes</v>
      </c>
      <c r="CS273" s="71">
        <v>1</v>
      </c>
      <c r="CT273" s="71">
        <v>1</v>
      </c>
      <c r="CU273" s="71" t="b">
        <v>0</v>
      </c>
      <c r="DH273" t="s">
        <v>366</v>
      </c>
      <c r="DI273">
        <v>1</v>
      </c>
      <c r="DJ273">
        <v>100</v>
      </c>
      <c r="DK273">
        <v>40</v>
      </c>
      <c r="DL273" s="74">
        <f ca="1">INDIRECT(ADDRESS(11+(MATCH(RIGHT(Table13[[#This Row],[spawner_sku]],LEN(Table13[[#This Row],[spawner_sku]])-FIND("/",Table13[[#This Row],[spawner_sku]])),Table1[Entity Prefab],0)),10,1,1,"Entities"))</f>
        <v>25</v>
      </c>
      <c r="DM273" s="74">
        <f ca="1">ROUND((Table13[[#This Row],[XP]]*Table13[[#This Row],[entity_spawned (AVG)]])*(Table13[[#This Row],[activating_chance]]/100),0)</f>
        <v>10</v>
      </c>
      <c r="DN273" s="144" t="str">
        <f ca="1">INDIRECT(ADDRESS(11+(MATCH(RIGHT(Table13[[#This Row],[spawner_sku]],LEN(Table13[[#This Row],[spawner_sku]])-FIND("/",Table13[[#This Row],[spawner_sku]])),Table28[Entity Prefab],0)),25,1,1,"Entities"))</f>
        <v>no</v>
      </c>
      <c r="DO273" s="71">
        <v>1</v>
      </c>
      <c r="DP273" s="71">
        <v>1</v>
      </c>
      <c r="DQ273" s="71" t="b">
        <v>0</v>
      </c>
      <c r="DS273" t="s">
        <v>368</v>
      </c>
      <c r="DT273">
        <v>1</v>
      </c>
      <c r="DU273">
        <v>180</v>
      </c>
      <c r="DV273">
        <v>100</v>
      </c>
      <c r="DW273" s="74">
        <f ca="1">INDIRECT(ADDRESS(11+(MATCH(RIGHT(Table14[[#This Row],[spawner_sku]],LEN(Table14[[#This Row],[spawner_sku]])-FIND("/",Table14[[#This Row],[spawner_sku]])),Table1[Entity Prefab],0)),10,1,1,"Entities"))</f>
        <v>75</v>
      </c>
      <c r="DX273" s="74">
        <f ca="1">ROUND((Table14[[#This Row],[XP]]*Table14[[#This Row],[entity_spawned (AVG)]])*(Table14[[#This Row],[activating_chance]]/100),0)</f>
        <v>75</v>
      </c>
      <c r="DY273" s="144" t="str">
        <f ca="1">INDIRECT(ADDRESS(11+(MATCH(RIGHT(Table14[[#This Row],[spawner_sku]],LEN(Table14[[#This Row],[spawner_sku]])-FIND("/",Table14[[#This Row],[spawner_sku]])),Table28[Entity Prefab],0)),25,1,1,"Entities"))</f>
        <v>yes</v>
      </c>
      <c r="DZ273" s="71">
        <v>1</v>
      </c>
      <c r="EA273" s="71">
        <v>1</v>
      </c>
      <c r="EB273" s="71" t="b">
        <v>0</v>
      </c>
      <c r="EC273" s="71"/>
      <c r="EO273" t="s">
        <v>554</v>
      </c>
      <c r="EP273">
        <v>1</v>
      </c>
      <c r="EQ273">
        <v>160</v>
      </c>
      <c r="ER273">
        <v>100</v>
      </c>
      <c r="ES273" s="74">
        <f ca="1">INDIRECT(ADDRESS(11+(MATCH(RIGHT(Table18[[#This Row],[spawner_sku]],LEN(Table18[[#This Row],[spawner_sku]])-FIND("/",Table18[[#This Row],[spawner_sku]])),Table1[Entity Prefab],0)),10,1,1,"Entities"))</f>
        <v>50</v>
      </c>
      <c r="ET273" s="74">
        <f ca="1">ROUND((Table18[[#This Row],[XP]]*Table18[[#This Row],[entity_spawned (AVG)]])*(Table18[[#This Row],[activating_chance]]/100),0)</f>
        <v>50</v>
      </c>
      <c r="EU273" s="74" t="str">
        <f ca="1">INDIRECT(ADDRESS(11+(MATCH(RIGHT(Table18[[#This Row],[spawner_sku]],LEN(Table18[[#This Row],[spawner_sku]])-FIND("/",Table18[[#This Row],[spawner_sku]])),Table28[Entity Prefab],0)),26,1,1,"Entities"))</f>
        <v>yes</v>
      </c>
      <c r="EV273">
        <v>1</v>
      </c>
      <c r="EW273">
        <v>1</v>
      </c>
      <c r="EX273" t="b">
        <v>0</v>
      </c>
    </row>
    <row r="274" spans="2:154" x14ac:dyDescent="0.25">
      <c r="B274" s="72" t="s">
        <v>221</v>
      </c>
      <c r="C274">
        <v>1</v>
      </c>
      <c r="D274">
        <v>340</v>
      </c>
      <c r="E274">
        <v>100</v>
      </c>
      <c r="F274" s="74">
        <f ca="1">INDIRECT(ADDRESS(11+(MATCH(RIGHT(Table245[[#This Row],[spawner_sku]],LEN(Table245[[#This Row],[spawner_sku]])-FIND("/",Table245[[#This Row],[spawner_sku]])),Table1[Entity Prefab],0)),10,1,1,"Entities"))</f>
        <v>263</v>
      </c>
      <c r="G274" s="74">
        <f ca="1">ROUND((Table245[[#This Row],[XP]]*Table245[[#This Row],[entity_spawned (AVG)]])*(Table245[[#This Row],[activating_chance]]/100),0)</f>
        <v>263</v>
      </c>
      <c r="H274" s="71" t="str">
        <f ca="1">INDIRECT(ADDRESS(11+(MATCH(RIGHT(Table245[[#This Row],[spawner_sku]],LEN(Table245[[#This Row],[spawner_sku]])-FIND("/",Table245[[#This Row],[spawner_sku]])),Table28[Entity Prefab],0)),24,1,1,"Entities"))</f>
        <v>yes</v>
      </c>
      <c r="I274" s="71">
        <v>1</v>
      </c>
      <c r="J274" s="71">
        <v>1</v>
      </c>
      <c r="K274" s="71" t="b">
        <v>0</v>
      </c>
      <c r="AI274" t="s">
        <v>367</v>
      </c>
      <c r="AJ274">
        <v>1</v>
      </c>
      <c r="AK274">
        <v>220</v>
      </c>
      <c r="AL274">
        <v>100</v>
      </c>
      <c r="AM274" s="74">
        <f ca="1">INDIRECT(ADDRESS(11+(MATCH(RIGHT(Table2[[#This Row],[spawner_sku]],LEN(Table2[[#This Row],[spawner_sku]])-FIND("/",Table2[[#This Row],[spawner_sku]])),Table1[Entity Prefab],0)),10,1,1,"Entities"))</f>
        <v>75</v>
      </c>
      <c r="AN274" s="74">
        <f ca="1">ROUND((Table2[[#This Row],[XP]]*Table2[[#This Row],[entity_spawned (AVG)]])*(Table2[[#This Row],[activating_chance]]/100),0)</f>
        <v>75</v>
      </c>
      <c r="AO274" s="71" t="str">
        <f ca="1">INDIRECT(ADDRESS(11+(MATCH(RIGHT(Table2[[#This Row],[spawner_sku]],LEN(Table2[[#This Row],[spawner_sku]])-FIND("/",Table2[[#This Row],[spawner_sku]])),Table28[Entity Prefab],0)),24,1,1,"Entities"))</f>
        <v>no</v>
      </c>
      <c r="AP274" s="71">
        <v>1</v>
      </c>
      <c r="AQ274" s="71">
        <v>1</v>
      </c>
      <c r="AR274" s="71" t="b">
        <v>0</v>
      </c>
      <c r="BP274" t="s">
        <v>367</v>
      </c>
      <c r="BQ274">
        <v>1</v>
      </c>
      <c r="BR274">
        <v>200</v>
      </c>
      <c r="BS274">
        <v>80</v>
      </c>
      <c r="BT274" s="74">
        <f ca="1">INDIRECT(ADDRESS(11+(MATCH(RIGHT(Table61011[[#This Row],[spawner_sku]],LEN(Table61011[[#This Row],[spawner_sku]])-FIND("/",Table61011[[#This Row],[spawner_sku]])),Table1[Entity Prefab],0)),10,1,1,"Entities"))</f>
        <v>75</v>
      </c>
      <c r="BU274" s="74">
        <f ca="1">ROUND((Table61011[[#This Row],[XP]]*Table61011[[#This Row],[entity_spawned (AVG)]])*(Table61011[[#This Row],[activating_chance]]/100),0)</f>
        <v>60</v>
      </c>
      <c r="BV274" s="71" t="str">
        <f ca="1">INDIRECT(ADDRESS(11+(MATCH(RIGHT(Table61011[[#This Row],[spawner_sku]],LEN(Table61011[[#This Row],[spawner_sku]])-FIND("/",Table61011[[#This Row],[spawner_sku]])),Table28[Entity Prefab],0)),24,1,1,"Entities"))</f>
        <v>no</v>
      </c>
      <c r="BW274" s="71">
        <v>1</v>
      </c>
      <c r="BX274" s="71">
        <v>1</v>
      </c>
      <c r="BY274" s="71" t="b">
        <v>0</v>
      </c>
      <c r="BZ274" s="71"/>
      <c r="CA274" s="147" t="s">
        <v>3816</v>
      </c>
      <c r="CB274">
        <v>1</v>
      </c>
      <c r="CC274">
        <v>240</v>
      </c>
      <c r="CD274">
        <v>100</v>
      </c>
      <c r="CE274" s="74">
        <f ca="1">INDIRECT(ADDRESS(11+(MATCH(RIGHT(Table35[[#This Row],[spawner_sku]],LEN(Table35[[#This Row],[spawner_sku]])-FIND("/",Table35[[#This Row],[spawner_sku]])),Table1[Entity Prefab],0)),10,1,1,"Entities"))</f>
        <v>50</v>
      </c>
      <c r="CF274" s="74">
        <f ca="1">ROUND((Table35[[#This Row],[XP]]*Table35[[#This Row],[entity_spawned (AVG)]])*(Table35[[#This Row],[activating_chance]]/100),0)</f>
        <v>50</v>
      </c>
      <c r="CG274" s="144" t="str">
        <f ca="1">INDIRECT(ADDRESS(11+(MATCH(RIGHT(Table35[[#This Row],[spawner_sku]],LEN(Table35[[#This Row],[spawner_sku]])-FIND("/",Table35[[#This Row],[spawner_sku]])),Table28[Entity Prefab],0)),24,1,1,"Entities"))</f>
        <v>no</v>
      </c>
      <c r="CH274">
        <v>1</v>
      </c>
      <c r="CI274">
        <v>1</v>
      </c>
      <c r="CJ274" s="71" t="b">
        <v>0</v>
      </c>
      <c r="CL274" t="s">
        <v>445</v>
      </c>
      <c r="CM274">
        <v>1</v>
      </c>
      <c r="CN274">
        <v>220</v>
      </c>
      <c r="CO274">
        <v>100</v>
      </c>
      <c r="CP274" s="74">
        <f ca="1">INDIRECT(ADDRESS(11+(MATCH(RIGHT(Table11[[#This Row],[spawner_sku]],LEN(Table11[[#This Row],[spawner_sku]])-FIND("/",Table11[[#This Row],[spawner_sku]])),Table1[Entity Prefab],0)),10,1,1,"Entities"))</f>
        <v>50</v>
      </c>
      <c r="CQ274">
        <f ca="1">ROUND((Table11[[#This Row],[XP]]*Table11[[#This Row],[entity_spawned (AVG)]])*(Table11[[#This Row],[activating_chance]]/100),0)</f>
        <v>50</v>
      </c>
      <c r="CR274" s="144" t="str">
        <f ca="1">INDIRECT(ADDRESS(11+(MATCH(RIGHT(Table11[[#This Row],[spawner_sku]],LEN(Table11[[#This Row],[spawner_sku]])-FIND("/",Table11[[#This Row],[spawner_sku]])),Table28[Entity Prefab],0)),25,1,1,"Entities"))</f>
        <v>yes</v>
      </c>
      <c r="CS274" s="71">
        <v>1</v>
      </c>
      <c r="CT274" s="71">
        <v>1</v>
      </c>
      <c r="CU274" s="71" t="b">
        <v>0</v>
      </c>
      <c r="DH274" t="s">
        <v>366</v>
      </c>
      <c r="DI274">
        <v>1</v>
      </c>
      <c r="DJ274">
        <v>100</v>
      </c>
      <c r="DK274">
        <v>20</v>
      </c>
      <c r="DL274" s="74">
        <f ca="1">INDIRECT(ADDRESS(11+(MATCH(RIGHT(Table13[[#This Row],[spawner_sku]],LEN(Table13[[#This Row],[spawner_sku]])-FIND("/",Table13[[#This Row],[spawner_sku]])),Table1[Entity Prefab],0)),10,1,1,"Entities"))</f>
        <v>25</v>
      </c>
      <c r="DM274" s="74">
        <f ca="1">ROUND((Table13[[#This Row],[XP]]*Table13[[#This Row],[entity_spawned (AVG)]])*(Table13[[#This Row],[activating_chance]]/100),0)</f>
        <v>5</v>
      </c>
      <c r="DN274" s="144" t="str">
        <f ca="1">INDIRECT(ADDRESS(11+(MATCH(RIGHT(Table13[[#This Row],[spawner_sku]],LEN(Table13[[#This Row],[spawner_sku]])-FIND("/",Table13[[#This Row],[spawner_sku]])),Table28[Entity Prefab],0)),25,1,1,"Entities"))</f>
        <v>no</v>
      </c>
      <c r="DO274" s="71">
        <v>1</v>
      </c>
      <c r="DP274" s="71">
        <v>1</v>
      </c>
      <c r="DQ274" s="71" t="b">
        <v>0</v>
      </c>
      <c r="DS274" t="s">
        <v>368</v>
      </c>
      <c r="DT274">
        <v>1</v>
      </c>
      <c r="DU274">
        <v>180</v>
      </c>
      <c r="DV274">
        <v>100</v>
      </c>
      <c r="DW274" s="74">
        <f ca="1">INDIRECT(ADDRESS(11+(MATCH(RIGHT(Table14[[#This Row],[spawner_sku]],LEN(Table14[[#This Row],[spawner_sku]])-FIND("/",Table14[[#This Row],[spawner_sku]])),Table1[Entity Prefab],0)),10,1,1,"Entities"))</f>
        <v>75</v>
      </c>
      <c r="DX274" s="74">
        <f ca="1">ROUND((Table14[[#This Row],[XP]]*Table14[[#This Row],[entity_spawned (AVG)]])*(Table14[[#This Row],[activating_chance]]/100),0)</f>
        <v>75</v>
      </c>
      <c r="DY274" s="144" t="str">
        <f ca="1">INDIRECT(ADDRESS(11+(MATCH(RIGHT(Table14[[#This Row],[spawner_sku]],LEN(Table14[[#This Row],[spawner_sku]])-FIND("/",Table14[[#This Row],[spawner_sku]])),Table28[Entity Prefab],0)),25,1,1,"Entities"))</f>
        <v>yes</v>
      </c>
      <c r="DZ274" s="71">
        <v>1</v>
      </c>
      <c r="EA274" s="71">
        <v>1</v>
      </c>
      <c r="EB274" s="71" t="b">
        <v>0</v>
      </c>
      <c r="EC274" s="71"/>
      <c r="EO274" t="s">
        <v>554</v>
      </c>
      <c r="EP274">
        <v>1</v>
      </c>
      <c r="EQ274">
        <v>180</v>
      </c>
      <c r="ER274">
        <v>80</v>
      </c>
      <c r="ES274" s="74">
        <f ca="1">INDIRECT(ADDRESS(11+(MATCH(RIGHT(Table18[[#This Row],[spawner_sku]],LEN(Table18[[#This Row],[spawner_sku]])-FIND("/",Table18[[#This Row],[spawner_sku]])),Table1[Entity Prefab],0)),10,1,1,"Entities"))</f>
        <v>50</v>
      </c>
      <c r="ET274" s="74">
        <f ca="1">ROUND((Table18[[#This Row],[XP]]*Table18[[#This Row],[entity_spawned (AVG)]])*(Table18[[#This Row],[activating_chance]]/100),0)</f>
        <v>40</v>
      </c>
      <c r="EU274" s="74" t="str">
        <f ca="1">INDIRECT(ADDRESS(11+(MATCH(RIGHT(Table18[[#This Row],[spawner_sku]],LEN(Table18[[#This Row],[spawner_sku]])-FIND("/",Table18[[#This Row],[spawner_sku]])),Table28[Entity Prefab],0)),26,1,1,"Entities"))</f>
        <v>yes</v>
      </c>
      <c r="EV274">
        <v>1</v>
      </c>
      <c r="EW274">
        <v>1</v>
      </c>
      <c r="EX274" t="b">
        <v>0</v>
      </c>
    </row>
    <row r="275" spans="2:154" x14ac:dyDescent="0.25">
      <c r="B275" s="72" t="s">
        <v>221</v>
      </c>
      <c r="C275">
        <v>1</v>
      </c>
      <c r="D275">
        <v>340</v>
      </c>
      <c r="E275">
        <v>100</v>
      </c>
      <c r="F275" s="74">
        <f ca="1">INDIRECT(ADDRESS(11+(MATCH(RIGHT(Table245[[#This Row],[spawner_sku]],LEN(Table245[[#This Row],[spawner_sku]])-FIND("/",Table245[[#This Row],[spawner_sku]])),Table1[Entity Prefab],0)),10,1,1,"Entities"))</f>
        <v>263</v>
      </c>
      <c r="G275" s="74">
        <f ca="1">ROUND((Table245[[#This Row],[XP]]*Table245[[#This Row],[entity_spawned (AVG)]])*(Table245[[#This Row],[activating_chance]]/100),0)</f>
        <v>263</v>
      </c>
      <c r="H275" s="71" t="str">
        <f ca="1">INDIRECT(ADDRESS(11+(MATCH(RIGHT(Table245[[#This Row],[spawner_sku]],LEN(Table245[[#This Row],[spawner_sku]])-FIND("/",Table245[[#This Row],[spawner_sku]])),Table28[Entity Prefab],0)),24,1,1,"Entities"))</f>
        <v>yes</v>
      </c>
      <c r="I275" s="71">
        <v>1</v>
      </c>
      <c r="J275" s="71">
        <v>1</v>
      </c>
      <c r="K275" s="71" t="b">
        <v>0</v>
      </c>
      <c r="AI275" t="s">
        <v>367</v>
      </c>
      <c r="AJ275">
        <v>1</v>
      </c>
      <c r="AK275">
        <v>200</v>
      </c>
      <c r="AL275">
        <v>100</v>
      </c>
      <c r="AM275" s="74">
        <f ca="1">INDIRECT(ADDRESS(11+(MATCH(RIGHT(Table2[[#This Row],[spawner_sku]],LEN(Table2[[#This Row],[spawner_sku]])-FIND("/",Table2[[#This Row],[spawner_sku]])),Table1[Entity Prefab],0)),10,1,1,"Entities"))</f>
        <v>75</v>
      </c>
      <c r="AN275" s="74">
        <f ca="1">ROUND((Table2[[#This Row],[XP]]*Table2[[#This Row],[entity_spawned (AVG)]])*(Table2[[#This Row],[activating_chance]]/100),0)</f>
        <v>75</v>
      </c>
      <c r="AO275" s="71" t="str">
        <f ca="1">INDIRECT(ADDRESS(11+(MATCH(RIGHT(Table2[[#This Row],[spawner_sku]],LEN(Table2[[#This Row],[spawner_sku]])-FIND("/",Table2[[#This Row],[spawner_sku]])),Table28[Entity Prefab],0)),24,1,1,"Entities"))</f>
        <v>no</v>
      </c>
      <c r="AP275" s="71">
        <v>1</v>
      </c>
      <c r="AQ275" s="71">
        <v>1</v>
      </c>
      <c r="AR275" s="71" t="b">
        <v>0</v>
      </c>
      <c r="BP275" t="s">
        <v>367</v>
      </c>
      <c r="BQ275">
        <v>1</v>
      </c>
      <c r="BR275">
        <v>120</v>
      </c>
      <c r="BS275">
        <v>100</v>
      </c>
      <c r="BT275" s="74">
        <f ca="1">INDIRECT(ADDRESS(11+(MATCH(RIGHT(Table61011[[#This Row],[spawner_sku]],LEN(Table61011[[#This Row],[spawner_sku]])-FIND("/",Table61011[[#This Row],[spawner_sku]])),Table1[Entity Prefab],0)),10,1,1,"Entities"))</f>
        <v>75</v>
      </c>
      <c r="BU275" s="74">
        <f ca="1">ROUND((Table61011[[#This Row],[XP]]*Table61011[[#This Row],[entity_spawned (AVG)]])*(Table61011[[#This Row],[activating_chance]]/100),0)</f>
        <v>75</v>
      </c>
      <c r="BV275" s="71" t="str">
        <f ca="1">INDIRECT(ADDRESS(11+(MATCH(RIGHT(Table61011[[#This Row],[spawner_sku]],LEN(Table61011[[#This Row],[spawner_sku]])-FIND("/",Table61011[[#This Row],[spawner_sku]])),Table28[Entity Prefab],0)),24,1,1,"Entities"))</f>
        <v>no</v>
      </c>
      <c r="BW275" s="71">
        <v>1</v>
      </c>
      <c r="BX275" s="71">
        <v>1</v>
      </c>
      <c r="BY275" s="71" t="b">
        <v>0</v>
      </c>
      <c r="BZ275" s="71"/>
      <c r="CA275" s="147" t="s">
        <v>3816</v>
      </c>
      <c r="CB275">
        <v>1</v>
      </c>
      <c r="CC275">
        <v>240</v>
      </c>
      <c r="CD275">
        <v>100</v>
      </c>
      <c r="CE275" s="74">
        <f ca="1">INDIRECT(ADDRESS(11+(MATCH(RIGHT(Table35[[#This Row],[spawner_sku]],LEN(Table35[[#This Row],[spawner_sku]])-FIND("/",Table35[[#This Row],[spawner_sku]])),Table1[Entity Prefab],0)),10,1,1,"Entities"))</f>
        <v>50</v>
      </c>
      <c r="CF275" s="74">
        <f ca="1">ROUND((Table35[[#This Row],[XP]]*Table35[[#This Row],[entity_spawned (AVG)]])*(Table35[[#This Row],[activating_chance]]/100),0)</f>
        <v>50</v>
      </c>
      <c r="CG275" s="144" t="str">
        <f ca="1">INDIRECT(ADDRESS(11+(MATCH(RIGHT(Table35[[#This Row],[spawner_sku]],LEN(Table35[[#This Row],[spawner_sku]])-FIND("/",Table35[[#This Row],[spawner_sku]])),Table28[Entity Prefab],0)),24,1,1,"Entities"))</f>
        <v>no</v>
      </c>
      <c r="CH275">
        <v>1</v>
      </c>
      <c r="CI275">
        <v>1</v>
      </c>
      <c r="CJ275" s="71" t="b">
        <v>0</v>
      </c>
      <c r="CL275" t="s">
        <v>445</v>
      </c>
      <c r="CM275">
        <v>1</v>
      </c>
      <c r="CN275">
        <v>220</v>
      </c>
      <c r="CO275">
        <v>100</v>
      </c>
      <c r="CP275" s="74">
        <f ca="1">INDIRECT(ADDRESS(11+(MATCH(RIGHT(Table11[[#This Row],[spawner_sku]],LEN(Table11[[#This Row],[spawner_sku]])-FIND("/",Table11[[#This Row],[spawner_sku]])),Table1[Entity Prefab],0)),10,1,1,"Entities"))</f>
        <v>50</v>
      </c>
      <c r="CQ275">
        <f ca="1">ROUND((Table11[[#This Row],[XP]]*Table11[[#This Row],[entity_spawned (AVG)]])*(Table11[[#This Row],[activating_chance]]/100),0)</f>
        <v>50</v>
      </c>
      <c r="CR275" s="144" t="str">
        <f ca="1">INDIRECT(ADDRESS(11+(MATCH(RIGHT(Table11[[#This Row],[spawner_sku]],LEN(Table11[[#This Row],[spawner_sku]])-FIND("/",Table11[[#This Row],[spawner_sku]])),Table28[Entity Prefab],0)),25,1,1,"Entities"))</f>
        <v>yes</v>
      </c>
      <c r="CS275" s="71">
        <v>1</v>
      </c>
      <c r="CT275" s="71">
        <v>1</v>
      </c>
      <c r="CU275" s="71" t="b">
        <v>0</v>
      </c>
      <c r="DH275" t="s">
        <v>366</v>
      </c>
      <c r="DI275">
        <v>1</v>
      </c>
      <c r="DJ275">
        <v>100</v>
      </c>
      <c r="DK275">
        <v>30</v>
      </c>
      <c r="DL275" s="74">
        <f ca="1">INDIRECT(ADDRESS(11+(MATCH(RIGHT(Table13[[#This Row],[spawner_sku]],LEN(Table13[[#This Row],[spawner_sku]])-FIND("/",Table13[[#This Row],[spawner_sku]])),Table1[Entity Prefab],0)),10,1,1,"Entities"))</f>
        <v>25</v>
      </c>
      <c r="DM275" s="74">
        <f ca="1">ROUND((Table13[[#This Row],[XP]]*Table13[[#This Row],[entity_spawned (AVG)]])*(Table13[[#This Row],[activating_chance]]/100),0)</f>
        <v>8</v>
      </c>
      <c r="DN275" s="144" t="str">
        <f ca="1">INDIRECT(ADDRESS(11+(MATCH(RIGHT(Table13[[#This Row],[spawner_sku]],LEN(Table13[[#This Row],[spawner_sku]])-FIND("/",Table13[[#This Row],[spawner_sku]])),Table28[Entity Prefab],0)),25,1,1,"Entities"))</f>
        <v>no</v>
      </c>
      <c r="DO275" s="71">
        <v>1</v>
      </c>
      <c r="DP275" s="71">
        <v>1</v>
      </c>
      <c r="DQ275" s="71" t="b">
        <v>0</v>
      </c>
      <c r="DS275" t="s">
        <v>368</v>
      </c>
      <c r="DT275">
        <v>1</v>
      </c>
      <c r="DU275">
        <v>180</v>
      </c>
      <c r="DV275">
        <v>100</v>
      </c>
      <c r="DW275" s="74">
        <f ca="1">INDIRECT(ADDRESS(11+(MATCH(RIGHT(Table14[[#This Row],[spawner_sku]],LEN(Table14[[#This Row],[spawner_sku]])-FIND("/",Table14[[#This Row],[spawner_sku]])),Table1[Entity Prefab],0)),10,1,1,"Entities"))</f>
        <v>75</v>
      </c>
      <c r="DX275" s="74">
        <f ca="1">ROUND((Table14[[#This Row],[XP]]*Table14[[#This Row],[entity_spawned (AVG)]])*(Table14[[#This Row],[activating_chance]]/100),0)</f>
        <v>75</v>
      </c>
      <c r="DY275" s="144" t="str">
        <f ca="1">INDIRECT(ADDRESS(11+(MATCH(RIGHT(Table14[[#This Row],[spawner_sku]],LEN(Table14[[#This Row],[spawner_sku]])-FIND("/",Table14[[#This Row],[spawner_sku]])),Table28[Entity Prefab],0)),25,1,1,"Entities"))</f>
        <v>yes</v>
      </c>
      <c r="DZ275" s="71">
        <v>1</v>
      </c>
      <c r="EA275" s="71">
        <v>1</v>
      </c>
      <c r="EB275" s="71" t="b">
        <v>0</v>
      </c>
      <c r="EC275" s="71"/>
      <c r="EO275" t="s">
        <v>555</v>
      </c>
      <c r="EP275">
        <v>1</v>
      </c>
      <c r="EQ275">
        <v>160</v>
      </c>
      <c r="ER275">
        <v>100</v>
      </c>
      <c r="ES275" s="74">
        <f ca="1">INDIRECT(ADDRESS(11+(MATCH(RIGHT(Table18[[#This Row],[spawner_sku]],LEN(Table18[[#This Row],[spawner_sku]])-FIND("/",Table18[[#This Row],[spawner_sku]])),Table1[Entity Prefab],0)),10,1,1,"Entities"))</f>
        <v>50</v>
      </c>
      <c r="ET275" s="74">
        <f ca="1">ROUND((Table18[[#This Row],[XP]]*Table18[[#This Row],[entity_spawned (AVG)]])*(Table18[[#This Row],[activating_chance]]/100),0)</f>
        <v>50</v>
      </c>
      <c r="EU275" s="74" t="str">
        <f ca="1">INDIRECT(ADDRESS(11+(MATCH(RIGHT(Table18[[#This Row],[spawner_sku]],LEN(Table18[[#This Row],[spawner_sku]])-FIND("/",Table18[[#This Row],[spawner_sku]])),Table28[Entity Prefab],0)),26,1,1,"Entities"))</f>
        <v>yes</v>
      </c>
      <c r="EV275">
        <v>1</v>
      </c>
      <c r="EW275">
        <v>1</v>
      </c>
      <c r="EX275" t="b">
        <v>0</v>
      </c>
    </row>
    <row r="276" spans="2:154" x14ac:dyDescent="0.25">
      <c r="B276" s="72" t="s">
        <v>221</v>
      </c>
      <c r="C276">
        <v>1</v>
      </c>
      <c r="D276">
        <v>340</v>
      </c>
      <c r="E276">
        <v>100</v>
      </c>
      <c r="F276" s="74">
        <f ca="1">INDIRECT(ADDRESS(11+(MATCH(RIGHT(Table245[[#This Row],[spawner_sku]],LEN(Table245[[#This Row],[spawner_sku]])-FIND("/",Table245[[#This Row],[spawner_sku]])),Table1[Entity Prefab],0)),10,1,1,"Entities"))</f>
        <v>263</v>
      </c>
      <c r="G276" s="74">
        <f ca="1">ROUND((Table245[[#This Row],[XP]]*Table245[[#This Row],[entity_spawned (AVG)]])*(Table245[[#This Row],[activating_chance]]/100),0)</f>
        <v>263</v>
      </c>
      <c r="H276" s="71" t="str">
        <f ca="1">INDIRECT(ADDRESS(11+(MATCH(RIGHT(Table245[[#This Row],[spawner_sku]],LEN(Table245[[#This Row],[spawner_sku]])-FIND("/",Table245[[#This Row],[spawner_sku]])),Table28[Entity Prefab],0)),24,1,1,"Entities"))</f>
        <v>yes</v>
      </c>
      <c r="I276" s="71">
        <v>1</v>
      </c>
      <c r="J276" s="71">
        <v>1</v>
      </c>
      <c r="K276" s="71" t="b">
        <v>0</v>
      </c>
      <c r="AI276" t="s">
        <v>367</v>
      </c>
      <c r="AJ276">
        <v>1</v>
      </c>
      <c r="AK276">
        <v>200</v>
      </c>
      <c r="AL276">
        <v>100</v>
      </c>
      <c r="AM276" s="74">
        <f ca="1">INDIRECT(ADDRESS(11+(MATCH(RIGHT(Table2[[#This Row],[spawner_sku]],LEN(Table2[[#This Row],[spawner_sku]])-FIND("/",Table2[[#This Row],[spawner_sku]])),Table1[Entity Prefab],0)),10,1,1,"Entities"))</f>
        <v>75</v>
      </c>
      <c r="AN276" s="74">
        <f ca="1">ROUND((Table2[[#This Row],[XP]]*Table2[[#This Row],[entity_spawned (AVG)]])*(Table2[[#This Row],[activating_chance]]/100),0)</f>
        <v>75</v>
      </c>
      <c r="AO276" s="71" t="str">
        <f ca="1">INDIRECT(ADDRESS(11+(MATCH(RIGHT(Table2[[#This Row],[spawner_sku]],LEN(Table2[[#This Row],[spawner_sku]])-FIND("/",Table2[[#This Row],[spawner_sku]])),Table28[Entity Prefab],0)),24,1,1,"Entities"))</f>
        <v>no</v>
      </c>
      <c r="AP276" s="71">
        <v>1</v>
      </c>
      <c r="AQ276" s="71">
        <v>1</v>
      </c>
      <c r="AR276" s="71" t="b">
        <v>0</v>
      </c>
      <c r="BP276" t="s">
        <v>367</v>
      </c>
      <c r="BQ276">
        <v>1</v>
      </c>
      <c r="BR276">
        <v>220</v>
      </c>
      <c r="BS276">
        <v>100</v>
      </c>
      <c r="BT276" s="74">
        <f ca="1">INDIRECT(ADDRESS(11+(MATCH(RIGHT(Table61011[[#This Row],[spawner_sku]],LEN(Table61011[[#This Row],[spawner_sku]])-FIND("/",Table61011[[#This Row],[spawner_sku]])),Table1[Entity Prefab],0)),10,1,1,"Entities"))</f>
        <v>75</v>
      </c>
      <c r="BU276" s="74">
        <f ca="1">ROUND((Table61011[[#This Row],[XP]]*Table61011[[#This Row],[entity_spawned (AVG)]])*(Table61011[[#This Row],[activating_chance]]/100),0)</f>
        <v>75</v>
      </c>
      <c r="BV276" s="71" t="str">
        <f ca="1">INDIRECT(ADDRESS(11+(MATCH(RIGHT(Table61011[[#This Row],[spawner_sku]],LEN(Table61011[[#This Row],[spawner_sku]])-FIND("/",Table61011[[#This Row],[spawner_sku]])),Table28[Entity Prefab],0)),24,1,1,"Entities"))</f>
        <v>no</v>
      </c>
      <c r="BW276" s="71">
        <v>1</v>
      </c>
      <c r="BX276" s="71">
        <v>1</v>
      </c>
      <c r="BY276" s="71" t="b">
        <v>0</v>
      </c>
      <c r="BZ276" s="71"/>
      <c r="CA276" s="147" t="s">
        <v>3816</v>
      </c>
      <c r="CB276">
        <v>1</v>
      </c>
      <c r="CC276">
        <v>240</v>
      </c>
      <c r="CD276">
        <v>100</v>
      </c>
      <c r="CE276" s="74">
        <f ca="1">INDIRECT(ADDRESS(11+(MATCH(RIGHT(Table35[[#This Row],[spawner_sku]],LEN(Table35[[#This Row],[spawner_sku]])-FIND("/",Table35[[#This Row],[spawner_sku]])),Table1[Entity Prefab],0)),10,1,1,"Entities"))</f>
        <v>50</v>
      </c>
      <c r="CF276" s="74">
        <f ca="1">ROUND((Table35[[#This Row],[XP]]*Table35[[#This Row],[entity_spawned (AVG)]])*(Table35[[#This Row],[activating_chance]]/100),0)</f>
        <v>50</v>
      </c>
      <c r="CG276" s="144" t="str">
        <f ca="1">INDIRECT(ADDRESS(11+(MATCH(RIGHT(Table35[[#This Row],[spawner_sku]],LEN(Table35[[#This Row],[spawner_sku]])-FIND("/",Table35[[#This Row],[spawner_sku]])),Table28[Entity Prefab],0)),24,1,1,"Entities"))</f>
        <v>no</v>
      </c>
      <c r="CH276">
        <v>1</v>
      </c>
      <c r="CI276">
        <v>1</v>
      </c>
      <c r="CJ276" s="71" t="b">
        <v>0</v>
      </c>
      <c r="CL276" t="s">
        <v>445</v>
      </c>
      <c r="CM276">
        <v>1</v>
      </c>
      <c r="CN276">
        <v>220</v>
      </c>
      <c r="CO276">
        <v>100</v>
      </c>
      <c r="CP276" s="74">
        <f ca="1">INDIRECT(ADDRESS(11+(MATCH(RIGHT(Table11[[#This Row],[spawner_sku]],LEN(Table11[[#This Row],[spawner_sku]])-FIND("/",Table11[[#This Row],[spawner_sku]])),Table1[Entity Prefab],0)),10,1,1,"Entities"))</f>
        <v>50</v>
      </c>
      <c r="CQ276">
        <f ca="1">ROUND((Table11[[#This Row],[XP]]*Table11[[#This Row],[entity_spawned (AVG)]])*(Table11[[#This Row],[activating_chance]]/100),0)</f>
        <v>50</v>
      </c>
      <c r="CR276" s="144" t="str">
        <f ca="1">INDIRECT(ADDRESS(11+(MATCH(RIGHT(Table11[[#This Row],[spawner_sku]],LEN(Table11[[#This Row],[spawner_sku]])-FIND("/",Table11[[#This Row],[spawner_sku]])),Table28[Entity Prefab],0)),25,1,1,"Entities"))</f>
        <v>yes</v>
      </c>
      <c r="CS276" s="71">
        <v>1</v>
      </c>
      <c r="CT276" s="71">
        <v>1</v>
      </c>
      <c r="CU276" s="71" t="b">
        <v>0</v>
      </c>
      <c r="DH276" t="s">
        <v>366</v>
      </c>
      <c r="DI276">
        <v>2</v>
      </c>
      <c r="DJ276">
        <v>100</v>
      </c>
      <c r="DK276">
        <v>100</v>
      </c>
      <c r="DL276" s="74">
        <f ca="1">INDIRECT(ADDRESS(11+(MATCH(RIGHT(Table13[[#This Row],[spawner_sku]],LEN(Table13[[#This Row],[spawner_sku]])-FIND("/",Table13[[#This Row],[spawner_sku]])),Table1[Entity Prefab],0)),10,1,1,"Entities"))</f>
        <v>25</v>
      </c>
      <c r="DM276" s="74">
        <f ca="1">ROUND((Table13[[#This Row],[XP]]*Table13[[#This Row],[entity_spawned (AVG)]])*(Table13[[#This Row],[activating_chance]]/100),0)</f>
        <v>50</v>
      </c>
      <c r="DN276" s="144" t="str">
        <f ca="1">INDIRECT(ADDRESS(11+(MATCH(RIGHT(Table13[[#This Row],[spawner_sku]],LEN(Table13[[#This Row],[spawner_sku]])-FIND("/",Table13[[#This Row],[spawner_sku]])),Table28[Entity Prefab],0)),25,1,1,"Entities"))</f>
        <v>no</v>
      </c>
      <c r="DO276" s="71">
        <v>1</v>
      </c>
      <c r="DP276" s="71">
        <v>3</v>
      </c>
      <c r="DQ276" s="71" t="b">
        <v>0</v>
      </c>
      <c r="DS276" t="s">
        <v>368</v>
      </c>
      <c r="DT276">
        <v>1</v>
      </c>
      <c r="DU276">
        <v>180</v>
      </c>
      <c r="DV276">
        <v>100</v>
      </c>
      <c r="DW276" s="74">
        <f ca="1">INDIRECT(ADDRESS(11+(MATCH(RIGHT(Table14[[#This Row],[spawner_sku]],LEN(Table14[[#This Row],[spawner_sku]])-FIND("/",Table14[[#This Row],[spawner_sku]])),Table1[Entity Prefab],0)),10,1,1,"Entities"))</f>
        <v>75</v>
      </c>
      <c r="DX276" s="74">
        <f ca="1">ROUND((Table14[[#This Row],[XP]]*Table14[[#This Row],[entity_spawned (AVG)]])*(Table14[[#This Row],[activating_chance]]/100),0)</f>
        <v>75</v>
      </c>
      <c r="DY276" s="144" t="str">
        <f ca="1">INDIRECT(ADDRESS(11+(MATCH(RIGHT(Table14[[#This Row],[spawner_sku]],LEN(Table14[[#This Row],[spawner_sku]])-FIND("/",Table14[[#This Row],[spawner_sku]])),Table28[Entity Prefab],0)),25,1,1,"Entities"))</f>
        <v>yes</v>
      </c>
      <c r="DZ276" s="71">
        <v>1</v>
      </c>
      <c r="EA276" s="71">
        <v>1</v>
      </c>
      <c r="EB276" s="71" t="b">
        <v>0</v>
      </c>
      <c r="EC276" s="71"/>
      <c r="EO276" t="s">
        <v>555</v>
      </c>
      <c r="EP276">
        <v>1</v>
      </c>
      <c r="EQ276">
        <v>160</v>
      </c>
      <c r="ER276">
        <v>100</v>
      </c>
      <c r="ES276" s="74">
        <f ca="1">INDIRECT(ADDRESS(11+(MATCH(RIGHT(Table18[[#This Row],[spawner_sku]],LEN(Table18[[#This Row],[spawner_sku]])-FIND("/",Table18[[#This Row],[spawner_sku]])),Table1[Entity Prefab],0)),10,1,1,"Entities"))</f>
        <v>50</v>
      </c>
      <c r="ET276" s="74">
        <f ca="1">ROUND((Table18[[#This Row],[XP]]*Table18[[#This Row],[entity_spawned (AVG)]])*(Table18[[#This Row],[activating_chance]]/100),0)</f>
        <v>50</v>
      </c>
      <c r="EU276" s="74" t="str">
        <f ca="1">INDIRECT(ADDRESS(11+(MATCH(RIGHT(Table18[[#This Row],[spawner_sku]],LEN(Table18[[#This Row],[spawner_sku]])-FIND("/",Table18[[#This Row],[spawner_sku]])),Table28[Entity Prefab],0)),26,1,1,"Entities"))</f>
        <v>yes</v>
      </c>
      <c r="EV276">
        <v>1</v>
      </c>
      <c r="EW276">
        <v>1</v>
      </c>
      <c r="EX276" t="b">
        <v>0</v>
      </c>
    </row>
    <row r="277" spans="2:154" x14ac:dyDescent="0.25">
      <c r="B277" s="72" t="s">
        <v>383</v>
      </c>
      <c r="C277">
        <v>1</v>
      </c>
      <c r="D277">
        <v>340</v>
      </c>
      <c r="E277">
        <v>100</v>
      </c>
      <c r="F277" s="74">
        <f ca="1">INDIRECT(ADDRESS(11+(MATCH(RIGHT(Table245[[#This Row],[spawner_sku]],LEN(Table245[[#This Row],[spawner_sku]])-FIND("/",Table245[[#This Row],[spawner_sku]])),Table1[Entity Prefab],0)),10,1,1,"Entities"))</f>
        <v>263</v>
      </c>
      <c r="G277" s="74">
        <f ca="1">ROUND((Table245[[#This Row],[XP]]*Table245[[#This Row],[entity_spawned (AVG)]])*(Table245[[#This Row],[activating_chance]]/100),0)</f>
        <v>263</v>
      </c>
      <c r="H277" s="71" t="str">
        <f ca="1">INDIRECT(ADDRESS(11+(MATCH(RIGHT(Table245[[#This Row],[spawner_sku]],LEN(Table245[[#This Row],[spawner_sku]])-FIND("/",Table245[[#This Row],[spawner_sku]])),Table28[Entity Prefab],0)),24,1,1,"Entities"))</f>
        <v>yes</v>
      </c>
      <c r="I277" s="71">
        <v>1</v>
      </c>
      <c r="J277" s="71">
        <v>1</v>
      </c>
      <c r="K277" s="71" t="b">
        <v>0</v>
      </c>
      <c r="AI277" t="s">
        <v>367</v>
      </c>
      <c r="AJ277">
        <v>1</v>
      </c>
      <c r="AK277">
        <v>220</v>
      </c>
      <c r="AL277">
        <v>100</v>
      </c>
      <c r="AM277" s="74">
        <f ca="1">INDIRECT(ADDRESS(11+(MATCH(RIGHT(Table2[[#This Row],[spawner_sku]],LEN(Table2[[#This Row],[spawner_sku]])-FIND("/",Table2[[#This Row],[spawner_sku]])),Table1[Entity Prefab],0)),10,1,1,"Entities"))</f>
        <v>75</v>
      </c>
      <c r="AN277" s="74">
        <f ca="1">ROUND((Table2[[#This Row],[XP]]*Table2[[#This Row],[entity_spawned (AVG)]])*(Table2[[#This Row],[activating_chance]]/100),0)</f>
        <v>75</v>
      </c>
      <c r="AO277" s="71" t="str">
        <f ca="1">INDIRECT(ADDRESS(11+(MATCH(RIGHT(Table2[[#This Row],[spawner_sku]],LEN(Table2[[#This Row],[spawner_sku]])-FIND("/",Table2[[#This Row],[spawner_sku]])),Table28[Entity Prefab],0)),24,1,1,"Entities"))</f>
        <v>no</v>
      </c>
      <c r="AP277" s="71">
        <v>1</v>
      </c>
      <c r="AQ277" s="71">
        <v>1</v>
      </c>
      <c r="AR277" s="71" t="b">
        <v>0</v>
      </c>
      <c r="BP277" t="s">
        <v>367</v>
      </c>
      <c r="BQ277">
        <v>1</v>
      </c>
      <c r="BR277">
        <v>200</v>
      </c>
      <c r="BS277">
        <v>100</v>
      </c>
      <c r="BT277" s="74">
        <f ca="1">INDIRECT(ADDRESS(11+(MATCH(RIGHT(Table61011[[#This Row],[spawner_sku]],LEN(Table61011[[#This Row],[spawner_sku]])-FIND("/",Table61011[[#This Row],[spawner_sku]])),Table1[Entity Prefab],0)),10,1,1,"Entities"))</f>
        <v>75</v>
      </c>
      <c r="BU277" s="74">
        <f ca="1">ROUND((Table61011[[#This Row],[XP]]*Table61011[[#This Row],[entity_spawned (AVG)]])*(Table61011[[#This Row],[activating_chance]]/100),0)</f>
        <v>75</v>
      </c>
      <c r="BV277" s="71" t="str">
        <f ca="1">INDIRECT(ADDRESS(11+(MATCH(RIGHT(Table61011[[#This Row],[spawner_sku]],LEN(Table61011[[#This Row],[spawner_sku]])-FIND("/",Table61011[[#This Row],[spawner_sku]])),Table28[Entity Prefab],0)),24,1,1,"Entities"))</f>
        <v>no</v>
      </c>
      <c r="BW277" s="71">
        <v>1</v>
      </c>
      <c r="BX277" s="71">
        <v>1</v>
      </c>
      <c r="BY277" s="71" t="b">
        <v>0</v>
      </c>
      <c r="BZ277" s="71"/>
      <c r="CA277" s="147" t="s">
        <v>3816</v>
      </c>
      <c r="CB277">
        <v>1</v>
      </c>
      <c r="CC277">
        <v>240</v>
      </c>
      <c r="CD277">
        <v>100</v>
      </c>
      <c r="CE277" s="74">
        <f ca="1">INDIRECT(ADDRESS(11+(MATCH(RIGHT(Table35[[#This Row],[spawner_sku]],LEN(Table35[[#This Row],[spawner_sku]])-FIND("/",Table35[[#This Row],[spawner_sku]])),Table1[Entity Prefab],0)),10,1,1,"Entities"))</f>
        <v>50</v>
      </c>
      <c r="CF277" s="74">
        <f ca="1">ROUND((Table35[[#This Row],[XP]]*Table35[[#This Row],[entity_spawned (AVG)]])*(Table35[[#This Row],[activating_chance]]/100),0)</f>
        <v>50</v>
      </c>
      <c r="CG277" s="144" t="str">
        <f ca="1">INDIRECT(ADDRESS(11+(MATCH(RIGHT(Table35[[#This Row],[spawner_sku]],LEN(Table35[[#This Row],[spawner_sku]])-FIND("/",Table35[[#This Row],[spawner_sku]])),Table28[Entity Prefab],0)),24,1,1,"Entities"))</f>
        <v>no</v>
      </c>
      <c r="CH277">
        <v>1</v>
      </c>
      <c r="CI277">
        <v>1</v>
      </c>
      <c r="CJ277" s="71" t="b">
        <v>0</v>
      </c>
      <c r="CL277" t="s">
        <v>445</v>
      </c>
      <c r="CM277">
        <v>1</v>
      </c>
      <c r="CN277">
        <v>220</v>
      </c>
      <c r="CO277">
        <v>100</v>
      </c>
      <c r="CP277" s="74">
        <f ca="1">INDIRECT(ADDRESS(11+(MATCH(RIGHT(Table11[[#This Row],[spawner_sku]],LEN(Table11[[#This Row],[spawner_sku]])-FIND("/",Table11[[#This Row],[spawner_sku]])),Table1[Entity Prefab],0)),10,1,1,"Entities"))</f>
        <v>50</v>
      </c>
      <c r="CQ277">
        <f ca="1">ROUND((Table11[[#This Row],[XP]]*Table11[[#This Row],[entity_spawned (AVG)]])*(Table11[[#This Row],[activating_chance]]/100),0)</f>
        <v>50</v>
      </c>
      <c r="CR277" s="144" t="str">
        <f ca="1">INDIRECT(ADDRESS(11+(MATCH(RIGHT(Table11[[#This Row],[spawner_sku]],LEN(Table11[[#This Row],[spawner_sku]])-FIND("/",Table11[[#This Row],[spawner_sku]])),Table28[Entity Prefab],0)),25,1,1,"Entities"))</f>
        <v>yes</v>
      </c>
      <c r="CS277" s="71">
        <v>1</v>
      </c>
      <c r="CT277" s="71">
        <v>1</v>
      </c>
      <c r="CU277" s="71" t="b">
        <v>0</v>
      </c>
      <c r="DH277" t="s">
        <v>366</v>
      </c>
      <c r="DI277">
        <v>2</v>
      </c>
      <c r="DJ277">
        <v>100</v>
      </c>
      <c r="DK277">
        <v>100</v>
      </c>
      <c r="DL277" s="74">
        <f ca="1">INDIRECT(ADDRESS(11+(MATCH(RIGHT(Table13[[#This Row],[spawner_sku]],LEN(Table13[[#This Row],[spawner_sku]])-FIND("/",Table13[[#This Row],[spawner_sku]])),Table1[Entity Prefab],0)),10,1,1,"Entities"))</f>
        <v>25</v>
      </c>
      <c r="DM277" s="74">
        <f ca="1">ROUND((Table13[[#This Row],[XP]]*Table13[[#This Row],[entity_spawned (AVG)]])*(Table13[[#This Row],[activating_chance]]/100),0)</f>
        <v>50</v>
      </c>
      <c r="DN277" s="144" t="str">
        <f ca="1">INDIRECT(ADDRESS(11+(MATCH(RIGHT(Table13[[#This Row],[spawner_sku]],LEN(Table13[[#This Row],[spawner_sku]])-FIND("/",Table13[[#This Row],[spawner_sku]])),Table28[Entity Prefab],0)),25,1,1,"Entities"))</f>
        <v>no</v>
      </c>
      <c r="DO277" s="71">
        <v>1</v>
      </c>
      <c r="DP277" s="71">
        <v>3</v>
      </c>
      <c r="DQ277" s="71" t="b">
        <v>0</v>
      </c>
      <c r="DS277" t="s">
        <v>368</v>
      </c>
      <c r="DT277">
        <v>1</v>
      </c>
      <c r="DU277">
        <v>180</v>
      </c>
      <c r="DV277">
        <v>100</v>
      </c>
      <c r="DW277" s="74">
        <f ca="1">INDIRECT(ADDRESS(11+(MATCH(RIGHT(Table14[[#This Row],[spawner_sku]],LEN(Table14[[#This Row],[spawner_sku]])-FIND("/",Table14[[#This Row],[spawner_sku]])),Table1[Entity Prefab],0)),10,1,1,"Entities"))</f>
        <v>75</v>
      </c>
      <c r="DX277" s="74">
        <f ca="1">ROUND((Table14[[#This Row],[XP]]*Table14[[#This Row],[entity_spawned (AVG)]])*(Table14[[#This Row],[activating_chance]]/100),0)</f>
        <v>75</v>
      </c>
      <c r="DY277" s="144" t="str">
        <f ca="1">INDIRECT(ADDRESS(11+(MATCH(RIGHT(Table14[[#This Row],[spawner_sku]],LEN(Table14[[#This Row],[spawner_sku]])-FIND("/",Table14[[#This Row],[spawner_sku]])),Table28[Entity Prefab],0)),25,1,1,"Entities"))</f>
        <v>yes</v>
      </c>
      <c r="DZ277" s="71">
        <v>1</v>
      </c>
      <c r="EA277" s="71">
        <v>1</v>
      </c>
      <c r="EB277" s="71" t="b">
        <v>0</v>
      </c>
      <c r="EC277" s="71"/>
      <c r="EO277" t="s">
        <v>555</v>
      </c>
      <c r="EP277">
        <v>1</v>
      </c>
      <c r="EQ277">
        <v>170</v>
      </c>
      <c r="ER277">
        <v>100</v>
      </c>
      <c r="ES277" s="74">
        <f ca="1">INDIRECT(ADDRESS(11+(MATCH(RIGHT(Table18[[#This Row],[spawner_sku]],LEN(Table18[[#This Row],[spawner_sku]])-FIND("/",Table18[[#This Row],[spawner_sku]])),Table1[Entity Prefab],0)),10,1,1,"Entities"))</f>
        <v>50</v>
      </c>
      <c r="ET277" s="74">
        <f ca="1">ROUND((Table18[[#This Row],[XP]]*Table18[[#This Row],[entity_spawned (AVG)]])*(Table18[[#This Row],[activating_chance]]/100),0)</f>
        <v>50</v>
      </c>
      <c r="EU277" s="74" t="str">
        <f ca="1">INDIRECT(ADDRESS(11+(MATCH(RIGHT(Table18[[#This Row],[spawner_sku]],LEN(Table18[[#This Row],[spawner_sku]])-FIND("/",Table18[[#This Row],[spawner_sku]])),Table28[Entity Prefab],0)),26,1,1,"Entities"))</f>
        <v>yes</v>
      </c>
      <c r="EV277">
        <v>1</v>
      </c>
      <c r="EW277">
        <v>1</v>
      </c>
      <c r="EX277" t="b">
        <v>0</v>
      </c>
    </row>
    <row r="278" spans="2:154" x14ac:dyDescent="0.25">
      <c r="B278" s="72" t="s">
        <v>222</v>
      </c>
      <c r="C278">
        <v>1</v>
      </c>
      <c r="D278">
        <v>180</v>
      </c>
      <c r="E278">
        <v>100</v>
      </c>
      <c r="F278" s="74">
        <f ca="1">INDIRECT(ADDRESS(11+(MATCH(RIGHT(Table245[[#This Row],[spawner_sku]],LEN(Table245[[#This Row],[spawner_sku]])-FIND("/",Table245[[#This Row],[spawner_sku]])),Table1[Entity Prefab],0)),10,1,1,"Entities"))</f>
        <v>25</v>
      </c>
      <c r="G278" s="74">
        <f ca="1">ROUND((Table245[[#This Row],[XP]]*Table245[[#This Row],[entity_spawned (AVG)]])*(Table245[[#This Row],[activating_chance]]/100),0)</f>
        <v>25</v>
      </c>
      <c r="H278" s="71" t="str">
        <f ca="1">INDIRECT(ADDRESS(11+(MATCH(RIGHT(Table245[[#This Row],[spawner_sku]],LEN(Table245[[#This Row],[spawner_sku]])-FIND("/",Table245[[#This Row],[spawner_sku]])),Table28[Entity Prefab],0)),24,1,1,"Entities"))</f>
        <v>yes</v>
      </c>
      <c r="I278" s="71">
        <v>1</v>
      </c>
      <c r="J278" s="71">
        <v>1</v>
      </c>
      <c r="K278" s="71" t="b">
        <v>0</v>
      </c>
      <c r="AI278" t="s">
        <v>367</v>
      </c>
      <c r="AJ278">
        <v>1</v>
      </c>
      <c r="AK278">
        <v>200</v>
      </c>
      <c r="AL278">
        <v>100</v>
      </c>
      <c r="AM278" s="74">
        <f ca="1">INDIRECT(ADDRESS(11+(MATCH(RIGHT(Table2[[#This Row],[spawner_sku]],LEN(Table2[[#This Row],[spawner_sku]])-FIND("/",Table2[[#This Row],[spawner_sku]])),Table1[Entity Prefab],0)),10,1,1,"Entities"))</f>
        <v>75</v>
      </c>
      <c r="AN278" s="74">
        <f ca="1">ROUND((Table2[[#This Row],[XP]]*Table2[[#This Row],[entity_spawned (AVG)]])*(Table2[[#This Row],[activating_chance]]/100),0)</f>
        <v>75</v>
      </c>
      <c r="AO278" s="71" t="str">
        <f ca="1">INDIRECT(ADDRESS(11+(MATCH(RIGHT(Table2[[#This Row],[spawner_sku]],LEN(Table2[[#This Row],[spawner_sku]])-FIND("/",Table2[[#This Row],[spawner_sku]])),Table28[Entity Prefab],0)),24,1,1,"Entities"))</f>
        <v>no</v>
      </c>
      <c r="AP278" s="71">
        <v>1</v>
      </c>
      <c r="AQ278" s="71">
        <v>1</v>
      </c>
      <c r="AR278" s="71" t="b">
        <v>0</v>
      </c>
      <c r="BP278" t="s">
        <v>367</v>
      </c>
      <c r="BQ278">
        <v>1</v>
      </c>
      <c r="BR278">
        <v>200</v>
      </c>
      <c r="BS278">
        <v>100</v>
      </c>
      <c r="BT278" s="74">
        <f ca="1">INDIRECT(ADDRESS(11+(MATCH(RIGHT(Table61011[[#This Row],[spawner_sku]],LEN(Table61011[[#This Row],[spawner_sku]])-FIND("/",Table61011[[#This Row],[spawner_sku]])),Table1[Entity Prefab],0)),10,1,1,"Entities"))</f>
        <v>75</v>
      </c>
      <c r="BU278" s="74">
        <f ca="1">ROUND((Table61011[[#This Row],[XP]]*Table61011[[#This Row],[entity_spawned (AVG)]])*(Table61011[[#This Row],[activating_chance]]/100),0)</f>
        <v>75</v>
      </c>
      <c r="BV278" s="71" t="str">
        <f ca="1">INDIRECT(ADDRESS(11+(MATCH(RIGHT(Table61011[[#This Row],[spawner_sku]],LEN(Table61011[[#This Row],[spawner_sku]])-FIND("/",Table61011[[#This Row],[spawner_sku]])),Table28[Entity Prefab],0)),24,1,1,"Entities"))</f>
        <v>no</v>
      </c>
      <c r="BW278" s="71">
        <v>1</v>
      </c>
      <c r="BX278" s="71">
        <v>1</v>
      </c>
      <c r="BY278" s="71" t="b">
        <v>0</v>
      </c>
      <c r="BZ278" s="71"/>
      <c r="CA278" s="147" t="s">
        <v>3816</v>
      </c>
      <c r="CB278">
        <v>1</v>
      </c>
      <c r="CC278">
        <v>240</v>
      </c>
      <c r="CD278">
        <v>100</v>
      </c>
      <c r="CE278" s="74">
        <f ca="1">INDIRECT(ADDRESS(11+(MATCH(RIGHT(Table35[[#This Row],[spawner_sku]],LEN(Table35[[#This Row],[spawner_sku]])-FIND("/",Table35[[#This Row],[spawner_sku]])),Table1[Entity Prefab],0)),10,1,1,"Entities"))</f>
        <v>50</v>
      </c>
      <c r="CF278" s="74">
        <f ca="1">ROUND((Table35[[#This Row],[XP]]*Table35[[#This Row],[entity_spawned (AVG)]])*(Table35[[#This Row],[activating_chance]]/100),0)</f>
        <v>50</v>
      </c>
      <c r="CG278" s="144" t="str">
        <f ca="1">INDIRECT(ADDRESS(11+(MATCH(RIGHT(Table35[[#This Row],[spawner_sku]],LEN(Table35[[#This Row],[spawner_sku]])-FIND("/",Table35[[#This Row],[spawner_sku]])),Table28[Entity Prefab],0)),24,1,1,"Entities"))</f>
        <v>no</v>
      </c>
      <c r="CH278">
        <v>1</v>
      </c>
      <c r="CI278">
        <v>1</v>
      </c>
      <c r="CJ278" s="71" t="b">
        <v>0</v>
      </c>
      <c r="CL278" t="s">
        <v>445</v>
      </c>
      <c r="CM278">
        <v>1</v>
      </c>
      <c r="CN278">
        <v>220</v>
      </c>
      <c r="CO278">
        <v>50</v>
      </c>
      <c r="CP278" s="74">
        <f ca="1">INDIRECT(ADDRESS(11+(MATCH(RIGHT(Table11[[#This Row],[spawner_sku]],LEN(Table11[[#This Row],[spawner_sku]])-FIND("/",Table11[[#This Row],[spawner_sku]])),Table1[Entity Prefab],0)),10,1,1,"Entities"))</f>
        <v>50</v>
      </c>
      <c r="CQ278">
        <f ca="1">ROUND((Table11[[#This Row],[XP]]*Table11[[#This Row],[entity_spawned (AVG)]])*(Table11[[#This Row],[activating_chance]]/100),0)</f>
        <v>25</v>
      </c>
      <c r="CR278" s="144" t="str">
        <f ca="1">INDIRECT(ADDRESS(11+(MATCH(RIGHT(Table11[[#This Row],[spawner_sku]],LEN(Table11[[#This Row],[spawner_sku]])-FIND("/",Table11[[#This Row],[spawner_sku]])),Table28[Entity Prefab],0)),25,1,1,"Entities"))</f>
        <v>yes</v>
      </c>
      <c r="CS278" s="71">
        <v>1</v>
      </c>
      <c r="CT278" s="71">
        <v>1</v>
      </c>
      <c r="CU278" s="71" t="b">
        <v>0</v>
      </c>
      <c r="DH278" t="s">
        <v>366</v>
      </c>
      <c r="DI278">
        <v>1</v>
      </c>
      <c r="DJ278">
        <v>100</v>
      </c>
      <c r="DK278">
        <v>80</v>
      </c>
      <c r="DL278" s="74">
        <f ca="1">INDIRECT(ADDRESS(11+(MATCH(RIGHT(Table13[[#This Row],[spawner_sku]],LEN(Table13[[#This Row],[spawner_sku]])-FIND("/",Table13[[#This Row],[spawner_sku]])),Table1[Entity Prefab],0)),10,1,1,"Entities"))</f>
        <v>25</v>
      </c>
      <c r="DM278" s="74">
        <f ca="1">ROUND((Table13[[#This Row],[XP]]*Table13[[#This Row],[entity_spawned (AVG)]])*(Table13[[#This Row],[activating_chance]]/100),0)</f>
        <v>20</v>
      </c>
      <c r="DN278" s="144" t="str">
        <f ca="1">INDIRECT(ADDRESS(11+(MATCH(RIGHT(Table13[[#This Row],[spawner_sku]],LEN(Table13[[#This Row],[spawner_sku]])-FIND("/",Table13[[#This Row],[spawner_sku]])),Table28[Entity Prefab],0)),25,1,1,"Entities"))</f>
        <v>no</v>
      </c>
      <c r="DO278" s="71">
        <v>1</v>
      </c>
      <c r="DP278" s="71">
        <v>1</v>
      </c>
      <c r="DQ278" s="71" t="b">
        <v>0</v>
      </c>
      <c r="DS278" t="s">
        <v>368</v>
      </c>
      <c r="DT278">
        <v>1</v>
      </c>
      <c r="DU278">
        <v>180</v>
      </c>
      <c r="DV278">
        <v>100</v>
      </c>
      <c r="DW278" s="74">
        <f ca="1">INDIRECT(ADDRESS(11+(MATCH(RIGHT(Table14[[#This Row],[spawner_sku]],LEN(Table14[[#This Row],[spawner_sku]])-FIND("/",Table14[[#This Row],[spawner_sku]])),Table1[Entity Prefab],0)),10,1,1,"Entities"))</f>
        <v>75</v>
      </c>
      <c r="DX278" s="74">
        <f ca="1">ROUND((Table14[[#This Row],[XP]]*Table14[[#This Row],[entity_spawned (AVG)]])*(Table14[[#This Row],[activating_chance]]/100),0)</f>
        <v>75</v>
      </c>
      <c r="DY278" s="144" t="str">
        <f ca="1">INDIRECT(ADDRESS(11+(MATCH(RIGHT(Table14[[#This Row],[spawner_sku]],LEN(Table14[[#This Row],[spawner_sku]])-FIND("/",Table14[[#This Row],[spawner_sku]])),Table28[Entity Prefab],0)),25,1,1,"Entities"))</f>
        <v>yes</v>
      </c>
      <c r="DZ278" s="71">
        <v>1</v>
      </c>
      <c r="EA278" s="71">
        <v>1</v>
      </c>
      <c r="EB278" s="71" t="b">
        <v>0</v>
      </c>
      <c r="EC278" s="71"/>
      <c r="EO278" t="s">
        <v>555</v>
      </c>
      <c r="EP278">
        <v>1</v>
      </c>
      <c r="EQ278">
        <v>170</v>
      </c>
      <c r="ER278">
        <v>30</v>
      </c>
      <c r="ES278" s="74">
        <f ca="1">INDIRECT(ADDRESS(11+(MATCH(RIGHT(Table18[[#This Row],[spawner_sku]],LEN(Table18[[#This Row],[spawner_sku]])-FIND("/",Table18[[#This Row],[spawner_sku]])),Table1[Entity Prefab],0)),10,1,1,"Entities"))</f>
        <v>50</v>
      </c>
      <c r="ET278" s="74">
        <f ca="1">ROUND((Table18[[#This Row],[XP]]*Table18[[#This Row],[entity_spawned (AVG)]])*(Table18[[#This Row],[activating_chance]]/100),0)</f>
        <v>15</v>
      </c>
      <c r="EU278" s="74" t="str">
        <f ca="1">INDIRECT(ADDRESS(11+(MATCH(RIGHT(Table18[[#This Row],[spawner_sku]],LEN(Table18[[#This Row],[spawner_sku]])-FIND("/",Table18[[#This Row],[spawner_sku]])),Table28[Entity Prefab],0)),26,1,1,"Entities"))</f>
        <v>yes</v>
      </c>
      <c r="EV278">
        <v>1</v>
      </c>
      <c r="EW278">
        <v>1</v>
      </c>
      <c r="EX278" t="b">
        <v>0</v>
      </c>
    </row>
    <row r="279" spans="2:154" x14ac:dyDescent="0.25">
      <c r="B279" s="72" t="s">
        <v>222</v>
      </c>
      <c r="C279">
        <v>1</v>
      </c>
      <c r="D279">
        <v>180</v>
      </c>
      <c r="E279">
        <v>100</v>
      </c>
      <c r="F279" s="74">
        <f ca="1">INDIRECT(ADDRESS(11+(MATCH(RIGHT(Table245[[#This Row],[spawner_sku]],LEN(Table245[[#This Row],[spawner_sku]])-FIND("/",Table245[[#This Row],[spawner_sku]])),Table1[Entity Prefab],0)),10,1,1,"Entities"))</f>
        <v>25</v>
      </c>
      <c r="G279" s="74">
        <f ca="1">ROUND((Table245[[#This Row],[XP]]*Table245[[#This Row],[entity_spawned (AVG)]])*(Table245[[#This Row],[activating_chance]]/100),0)</f>
        <v>25</v>
      </c>
      <c r="H279" s="71" t="str">
        <f ca="1">INDIRECT(ADDRESS(11+(MATCH(RIGHT(Table245[[#This Row],[spawner_sku]],LEN(Table245[[#This Row],[spawner_sku]])-FIND("/",Table245[[#This Row],[spawner_sku]])),Table28[Entity Prefab],0)),24,1,1,"Entities"))</f>
        <v>yes</v>
      </c>
      <c r="I279" s="71">
        <v>1</v>
      </c>
      <c r="J279" s="71">
        <v>1</v>
      </c>
      <c r="K279" s="71" t="b">
        <v>0</v>
      </c>
      <c r="AI279" t="s">
        <v>367</v>
      </c>
      <c r="AJ279">
        <v>1</v>
      </c>
      <c r="AK279">
        <v>200</v>
      </c>
      <c r="AL279">
        <v>100</v>
      </c>
      <c r="AM279" s="74">
        <f ca="1">INDIRECT(ADDRESS(11+(MATCH(RIGHT(Table2[[#This Row],[spawner_sku]],LEN(Table2[[#This Row],[spawner_sku]])-FIND("/",Table2[[#This Row],[spawner_sku]])),Table1[Entity Prefab],0)),10,1,1,"Entities"))</f>
        <v>75</v>
      </c>
      <c r="AN279" s="74">
        <f ca="1">ROUND((Table2[[#This Row],[XP]]*Table2[[#This Row],[entity_spawned (AVG)]])*(Table2[[#This Row],[activating_chance]]/100),0)</f>
        <v>75</v>
      </c>
      <c r="AO279" s="71" t="str">
        <f ca="1">INDIRECT(ADDRESS(11+(MATCH(RIGHT(Table2[[#This Row],[spawner_sku]],LEN(Table2[[#This Row],[spawner_sku]])-FIND("/",Table2[[#This Row],[spawner_sku]])),Table28[Entity Prefab],0)),24,1,1,"Entities"))</f>
        <v>no</v>
      </c>
      <c r="AP279" s="71">
        <v>1</v>
      </c>
      <c r="AQ279" s="71">
        <v>1</v>
      </c>
      <c r="AR279" s="71" t="b">
        <v>0</v>
      </c>
      <c r="BP279" t="s">
        <v>432</v>
      </c>
      <c r="BQ279">
        <v>1</v>
      </c>
      <c r="BR279">
        <v>120</v>
      </c>
      <c r="BS279">
        <v>100</v>
      </c>
      <c r="BT279" s="74">
        <f ca="1">INDIRECT(ADDRESS(11+(MATCH(RIGHT(Table61011[[#This Row],[spawner_sku]],LEN(Table61011[[#This Row],[spawner_sku]])-FIND("/",Table61011[[#This Row],[spawner_sku]])),Table1[Entity Prefab],0)),10,1,1,"Entities"))</f>
        <v>75</v>
      </c>
      <c r="BU279" s="74">
        <f ca="1">ROUND((Table61011[[#This Row],[XP]]*Table61011[[#This Row],[entity_spawned (AVG)]])*(Table61011[[#This Row],[activating_chance]]/100),0)</f>
        <v>75</v>
      </c>
      <c r="BV279" s="71" t="str">
        <f ca="1">INDIRECT(ADDRESS(11+(MATCH(RIGHT(Table61011[[#This Row],[spawner_sku]],LEN(Table61011[[#This Row],[spawner_sku]])-FIND("/",Table61011[[#This Row],[spawner_sku]])),Table28[Entity Prefab],0)),24,1,1,"Entities"))</f>
        <v>no</v>
      </c>
      <c r="BW279" s="71">
        <v>1</v>
      </c>
      <c r="BX279" s="71">
        <v>1</v>
      </c>
      <c r="BY279" s="71" t="b">
        <v>0</v>
      </c>
      <c r="BZ279" s="71"/>
      <c r="CA279" s="147" t="s">
        <v>3816</v>
      </c>
      <c r="CB279">
        <v>1</v>
      </c>
      <c r="CC279">
        <v>240</v>
      </c>
      <c r="CD279">
        <v>100</v>
      </c>
      <c r="CE279" s="74">
        <f ca="1">INDIRECT(ADDRESS(11+(MATCH(RIGHT(Table35[[#This Row],[spawner_sku]],LEN(Table35[[#This Row],[spawner_sku]])-FIND("/",Table35[[#This Row],[spawner_sku]])),Table1[Entity Prefab],0)),10,1,1,"Entities"))</f>
        <v>50</v>
      </c>
      <c r="CF279" s="74">
        <f ca="1">ROUND((Table35[[#This Row],[XP]]*Table35[[#This Row],[entity_spawned (AVG)]])*(Table35[[#This Row],[activating_chance]]/100),0)</f>
        <v>50</v>
      </c>
      <c r="CG279" s="144" t="str">
        <f ca="1">INDIRECT(ADDRESS(11+(MATCH(RIGHT(Table35[[#This Row],[spawner_sku]],LEN(Table35[[#This Row],[spawner_sku]])-FIND("/",Table35[[#This Row],[spawner_sku]])),Table28[Entity Prefab],0)),24,1,1,"Entities"))</f>
        <v>no</v>
      </c>
      <c r="CH279">
        <v>1</v>
      </c>
      <c r="CI279">
        <v>1</v>
      </c>
      <c r="CJ279" s="71" t="b">
        <v>0</v>
      </c>
      <c r="CL279" t="s">
        <v>445</v>
      </c>
      <c r="CM279">
        <v>1</v>
      </c>
      <c r="CN279">
        <v>220</v>
      </c>
      <c r="CO279">
        <v>100</v>
      </c>
      <c r="CP279" s="74">
        <f ca="1">INDIRECT(ADDRESS(11+(MATCH(RIGHT(Table11[[#This Row],[spawner_sku]],LEN(Table11[[#This Row],[spawner_sku]])-FIND("/",Table11[[#This Row],[spawner_sku]])),Table1[Entity Prefab],0)),10,1,1,"Entities"))</f>
        <v>50</v>
      </c>
      <c r="CQ279">
        <f ca="1">ROUND((Table11[[#This Row],[XP]]*Table11[[#This Row],[entity_spawned (AVG)]])*(Table11[[#This Row],[activating_chance]]/100),0)</f>
        <v>50</v>
      </c>
      <c r="CR279" s="144" t="str">
        <f ca="1">INDIRECT(ADDRESS(11+(MATCH(RIGHT(Table11[[#This Row],[spawner_sku]],LEN(Table11[[#This Row],[spawner_sku]])-FIND("/",Table11[[#This Row],[spawner_sku]])),Table28[Entity Prefab],0)),25,1,1,"Entities"))</f>
        <v>yes</v>
      </c>
      <c r="CS279" s="71">
        <v>1</v>
      </c>
      <c r="CT279" s="71">
        <v>1</v>
      </c>
      <c r="CU279" s="71" t="b">
        <v>0</v>
      </c>
      <c r="DH279" t="s">
        <v>366</v>
      </c>
      <c r="DI279">
        <v>1</v>
      </c>
      <c r="DJ279">
        <v>100</v>
      </c>
      <c r="DK279">
        <v>80</v>
      </c>
      <c r="DL279" s="74">
        <f ca="1">INDIRECT(ADDRESS(11+(MATCH(RIGHT(Table13[[#This Row],[spawner_sku]],LEN(Table13[[#This Row],[spawner_sku]])-FIND("/",Table13[[#This Row],[spawner_sku]])),Table1[Entity Prefab],0)),10,1,1,"Entities"))</f>
        <v>25</v>
      </c>
      <c r="DM279" s="74">
        <f ca="1">ROUND((Table13[[#This Row],[XP]]*Table13[[#This Row],[entity_spawned (AVG)]])*(Table13[[#This Row],[activating_chance]]/100),0)</f>
        <v>20</v>
      </c>
      <c r="DN279" s="144" t="str">
        <f ca="1">INDIRECT(ADDRESS(11+(MATCH(RIGHT(Table13[[#This Row],[spawner_sku]],LEN(Table13[[#This Row],[spawner_sku]])-FIND("/",Table13[[#This Row],[spawner_sku]])),Table28[Entity Prefab],0)),25,1,1,"Entities"))</f>
        <v>no</v>
      </c>
      <c r="DO279" s="71">
        <v>1</v>
      </c>
      <c r="DP279" s="71">
        <v>1</v>
      </c>
      <c r="DQ279" s="71" t="b">
        <v>0</v>
      </c>
      <c r="DS279" t="s">
        <v>368</v>
      </c>
      <c r="DT279">
        <v>1</v>
      </c>
      <c r="DU279">
        <v>180</v>
      </c>
      <c r="DV279">
        <v>100</v>
      </c>
      <c r="DW279" s="74">
        <f ca="1">INDIRECT(ADDRESS(11+(MATCH(RIGHT(Table14[[#This Row],[spawner_sku]],LEN(Table14[[#This Row],[spawner_sku]])-FIND("/",Table14[[#This Row],[spawner_sku]])),Table1[Entity Prefab],0)),10,1,1,"Entities"))</f>
        <v>75</v>
      </c>
      <c r="DX279" s="74">
        <f ca="1">ROUND((Table14[[#This Row],[XP]]*Table14[[#This Row],[entity_spawned (AVG)]])*(Table14[[#This Row],[activating_chance]]/100),0)</f>
        <v>75</v>
      </c>
      <c r="DY279" s="144" t="str">
        <f ca="1">INDIRECT(ADDRESS(11+(MATCH(RIGHT(Table14[[#This Row],[spawner_sku]],LEN(Table14[[#This Row],[spawner_sku]])-FIND("/",Table14[[#This Row],[spawner_sku]])),Table28[Entity Prefab],0)),25,1,1,"Entities"))</f>
        <v>yes</v>
      </c>
      <c r="DZ279" s="71">
        <v>1</v>
      </c>
      <c r="EA279" s="71">
        <v>1</v>
      </c>
      <c r="EB279" s="71" t="b">
        <v>0</v>
      </c>
      <c r="EC279" s="71"/>
      <c r="EO279" t="s">
        <v>555</v>
      </c>
      <c r="EP279">
        <v>1</v>
      </c>
      <c r="EQ279">
        <v>170</v>
      </c>
      <c r="ER279">
        <v>100</v>
      </c>
      <c r="ES279" s="74">
        <f ca="1">INDIRECT(ADDRESS(11+(MATCH(RIGHT(Table18[[#This Row],[spawner_sku]],LEN(Table18[[#This Row],[spawner_sku]])-FIND("/",Table18[[#This Row],[spawner_sku]])),Table1[Entity Prefab],0)),10,1,1,"Entities"))</f>
        <v>50</v>
      </c>
      <c r="ET279" s="74">
        <f ca="1">ROUND((Table18[[#This Row],[XP]]*Table18[[#This Row],[entity_spawned (AVG)]])*(Table18[[#This Row],[activating_chance]]/100),0)</f>
        <v>50</v>
      </c>
      <c r="EU279" s="74" t="str">
        <f ca="1">INDIRECT(ADDRESS(11+(MATCH(RIGHT(Table18[[#This Row],[spawner_sku]],LEN(Table18[[#This Row],[spawner_sku]])-FIND("/",Table18[[#This Row],[spawner_sku]])),Table28[Entity Prefab],0)),26,1,1,"Entities"))</f>
        <v>yes</v>
      </c>
      <c r="EV279">
        <v>1</v>
      </c>
      <c r="EW279">
        <v>1</v>
      </c>
      <c r="EX279" t="b">
        <v>0</v>
      </c>
    </row>
    <row r="280" spans="2:154" x14ac:dyDescent="0.25">
      <c r="B280" s="72" t="s">
        <v>222</v>
      </c>
      <c r="C280">
        <v>1</v>
      </c>
      <c r="D280">
        <v>180</v>
      </c>
      <c r="E280">
        <v>100</v>
      </c>
      <c r="F280" s="74">
        <f ca="1">INDIRECT(ADDRESS(11+(MATCH(RIGHT(Table245[[#This Row],[spawner_sku]],LEN(Table245[[#This Row],[spawner_sku]])-FIND("/",Table245[[#This Row],[spawner_sku]])),Table1[Entity Prefab],0)),10,1,1,"Entities"))</f>
        <v>25</v>
      </c>
      <c r="G280" s="74">
        <f ca="1">ROUND((Table245[[#This Row],[XP]]*Table245[[#This Row],[entity_spawned (AVG)]])*(Table245[[#This Row],[activating_chance]]/100),0)</f>
        <v>25</v>
      </c>
      <c r="H280" s="71" t="str">
        <f ca="1">INDIRECT(ADDRESS(11+(MATCH(RIGHT(Table245[[#This Row],[spawner_sku]],LEN(Table245[[#This Row],[spawner_sku]])-FIND("/",Table245[[#This Row],[spawner_sku]])),Table28[Entity Prefab],0)),24,1,1,"Entities"))</f>
        <v>yes</v>
      </c>
      <c r="I280" s="71">
        <v>1</v>
      </c>
      <c r="J280" s="71">
        <v>1</v>
      </c>
      <c r="K280" s="71" t="b">
        <v>0</v>
      </c>
      <c r="AI280" t="s">
        <v>367</v>
      </c>
      <c r="AJ280">
        <v>1</v>
      </c>
      <c r="AK280">
        <v>170</v>
      </c>
      <c r="AL280">
        <v>100</v>
      </c>
      <c r="AM280" s="74">
        <f ca="1">INDIRECT(ADDRESS(11+(MATCH(RIGHT(Table2[[#This Row],[spawner_sku]],LEN(Table2[[#This Row],[spawner_sku]])-FIND("/",Table2[[#This Row],[spawner_sku]])),Table1[Entity Prefab],0)),10,1,1,"Entities"))</f>
        <v>75</v>
      </c>
      <c r="AN280" s="74">
        <f ca="1">ROUND((Table2[[#This Row],[XP]]*Table2[[#This Row],[entity_spawned (AVG)]])*(Table2[[#This Row],[activating_chance]]/100),0)</f>
        <v>75</v>
      </c>
      <c r="AO280" s="71" t="str">
        <f ca="1">INDIRECT(ADDRESS(11+(MATCH(RIGHT(Table2[[#This Row],[spawner_sku]],LEN(Table2[[#This Row],[spawner_sku]])-FIND("/",Table2[[#This Row],[spawner_sku]])),Table28[Entity Prefab],0)),24,1,1,"Entities"))</f>
        <v>no</v>
      </c>
      <c r="AP280" s="71">
        <v>1</v>
      </c>
      <c r="AQ280" s="71">
        <v>1</v>
      </c>
      <c r="AR280" s="71" t="b">
        <v>0</v>
      </c>
      <c r="BP280" t="s">
        <v>423</v>
      </c>
      <c r="BQ280">
        <v>4</v>
      </c>
      <c r="BR280">
        <v>200</v>
      </c>
      <c r="BS280">
        <v>100</v>
      </c>
      <c r="BT280" s="74">
        <f ca="1">INDIRECT(ADDRESS(11+(MATCH(RIGHT(Table61011[[#This Row],[spawner_sku]],LEN(Table61011[[#This Row],[spawner_sku]])-FIND("/",Table61011[[#This Row],[spawner_sku]])),Table1[Entity Prefab],0)),10,1,1,"Entities"))</f>
        <v>0</v>
      </c>
      <c r="BU280" s="74">
        <f ca="1">ROUND((Table61011[[#This Row],[XP]]*Table61011[[#This Row],[entity_spawned (AVG)]])*(Table61011[[#This Row],[activating_chance]]/100),0)</f>
        <v>0</v>
      </c>
      <c r="BV280" s="71" t="str">
        <f ca="1">INDIRECT(ADDRESS(11+(MATCH(RIGHT(Table61011[[#This Row],[spawner_sku]],LEN(Table61011[[#This Row],[spawner_sku]])-FIND("/",Table61011[[#This Row],[spawner_sku]])),Table28[Entity Prefab],0)),24,1,1,"Entities"))</f>
        <v>yes</v>
      </c>
      <c r="BW280" s="71">
        <v>4</v>
      </c>
      <c r="BX280" s="71">
        <v>4</v>
      </c>
      <c r="BY280" s="71" t="b">
        <v>0</v>
      </c>
      <c r="BZ280" s="71"/>
      <c r="CA280" s="147" t="s">
        <v>3816</v>
      </c>
      <c r="CB280">
        <v>1</v>
      </c>
      <c r="CC280">
        <v>240</v>
      </c>
      <c r="CD280">
        <v>100</v>
      </c>
      <c r="CE280" s="74">
        <f ca="1">INDIRECT(ADDRESS(11+(MATCH(RIGHT(Table35[[#This Row],[spawner_sku]],LEN(Table35[[#This Row],[spawner_sku]])-FIND("/",Table35[[#This Row],[spawner_sku]])),Table1[Entity Prefab],0)),10,1,1,"Entities"))</f>
        <v>50</v>
      </c>
      <c r="CF280" s="74">
        <f ca="1">ROUND((Table35[[#This Row],[XP]]*Table35[[#This Row],[entity_spawned (AVG)]])*(Table35[[#This Row],[activating_chance]]/100),0)</f>
        <v>50</v>
      </c>
      <c r="CG280" s="144" t="str">
        <f ca="1">INDIRECT(ADDRESS(11+(MATCH(RIGHT(Table35[[#This Row],[spawner_sku]],LEN(Table35[[#This Row],[spawner_sku]])-FIND("/",Table35[[#This Row],[spawner_sku]])),Table28[Entity Prefab],0)),24,1,1,"Entities"))</f>
        <v>no</v>
      </c>
      <c r="CH280">
        <v>1</v>
      </c>
      <c r="CI280">
        <v>1</v>
      </c>
      <c r="CJ280" s="71" t="b">
        <v>0</v>
      </c>
      <c r="CL280" t="s">
        <v>445</v>
      </c>
      <c r="CM280">
        <v>1</v>
      </c>
      <c r="CN280">
        <v>220</v>
      </c>
      <c r="CO280">
        <v>100</v>
      </c>
      <c r="CP280" s="74">
        <f ca="1">INDIRECT(ADDRESS(11+(MATCH(RIGHT(Table11[[#This Row],[spawner_sku]],LEN(Table11[[#This Row],[spawner_sku]])-FIND("/",Table11[[#This Row],[spawner_sku]])),Table1[Entity Prefab],0)),10,1,1,"Entities"))</f>
        <v>50</v>
      </c>
      <c r="CQ280">
        <f ca="1">ROUND((Table11[[#This Row],[XP]]*Table11[[#This Row],[entity_spawned (AVG)]])*(Table11[[#This Row],[activating_chance]]/100),0)</f>
        <v>50</v>
      </c>
      <c r="CR280" s="144" t="str">
        <f ca="1">INDIRECT(ADDRESS(11+(MATCH(RIGHT(Table11[[#This Row],[spawner_sku]],LEN(Table11[[#This Row],[spawner_sku]])-FIND("/",Table11[[#This Row],[spawner_sku]])),Table28[Entity Prefab],0)),25,1,1,"Entities"))</f>
        <v>yes</v>
      </c>
      <c r="CS280" s="71">
        <v>1</v>
      </c>
      <c r="CT280" s="71">
        <v>1</v>
      </c>
      <c r="CU280" s="71" t="b">
        <v>0</v>
      </c>
      <c r="DH280" t="s">
        <v>366</v>
      </c>
      <c r="DI280">
        <v>3.5</v>
      </c>
      <c r="DJ280">
        <v>100</v>
      </c>
      <c r="DK280">
        <v>70</v>
      </c>
      <c r="DL280" s="74">
        <f ca="1">INDIRECT(ADDRESS(11+(MATCH(RIGHT(Table13[[#This Row],[spawner_sku]],LEN(Table13[[#This Row],[spawner_sku]])-FIND("/",Table13[[#This Row],[spawner_sku]])),Table1[Entity Prefab],0)),10,1,1,"Entities"))</f>
        <v>25</v>
      </c>
      <c r="DM280" s="74">
        <f ca="1">ROUND((Table13[[#This Row],[XP]]*Table13[[#This Row],[entity_spawned (AVG)]])*(Table13[[#This Row],[activating_chance]]/100),0)</f>
        <v>61</v>
      </c>
      <c r="DN280" s="144" t="str">
        <f ca="1">INDIRECT(ADDRESS(11+(MATCH(RIGHT(Table13[[#This Row],[spawner_sku]],LEN(Table13[[#This Row],[spawner_sku]])-FIND("/",Table13[[#This Row],[spawner_sku]])),Table28[Entity Prefab],0)),25,1,1,"Entities"))</f>
        <v>no</v>
      </c>
      <c r="DO280" s="71">
        <v>3</v>
      </c>
      <c r="DP280" s="71">
        <v>4</v>
      </c>
      <c r="DQ280" s="71" t="b">
        <v>0</v>
      </c>
      <c r="DS280" t="s">
        <v>368</v>
      </c>
      <c r="DT280">
        <v>1</v>
      </c>
      <c r="DU280">
        <v>180</v>
      </c>
      <c r="DV280">
        <v>100</v>
      </c>
      <c r="DW280" s="74">
        <f ca="1">INDIRECT(ADDRESS(11+(MATCH(RIGHT(Table14[[#This Row],[spawner_sku]],LEN(Table14[[#This Row],[spawner_sku]])-FIND("/",Table14[[#This Row],[spawner_sku]])),Table1[Entity Prefab],0)),10,1,1,"Entities"))</f>
        <v>75</v>
      </c>
      <c r="DX280" s="74">
        <f ca="1">ROUND((Table14[[#This Row],[XP]]*Table14[[#This Row],[entity_spawned (AVG)]])*(Table14[[#This Row],[activating_chance]]/100),0)</f>
        <v>75</v>
      </c>
      <c r="DY280" s="144" t="str">
        <f ca="1">INDIRECT(ADDRESS(11+(MATCH(RIGHT(Table14[[#This Row],[spawner_sku]],LEN(Table14[[#This Row],[spawner_sku]])-FIND("/",Table14[[#This Row],[spawner_sku]])),Table28[Entity Prefab],0)),25,1,1,"Entities"))</f>
        <v>yes</v>
      </c>
      <c r="DZ280" s="71">
        <v>1</v>
      </c>
      <c r="EA280" s="71">
        <v>1</v>
      </c>
      <c r="EB280" s="71" t="b">
        <v>0</v>
      </c>
      <c r="EC280" s="71"/>
      <c r="EO280" t="s">
        <v>555</v>
      </c>
      <c r="EP280">
        <v>1</v>
      </c>
      <c r="EQ280">
        <v>160</v>
      </c>
      <c r="ER280">
        <v>100</v>
      </c>
      <c r="ES280" s="74">
        <f ca="1">INDIRECT(ADDRESS(11+(MATCH(RIGHT(Table18[[#This Row],[spawner_sku]],LEN(Table18[[#This Row],[spawner_sku]])-FIND("/",Table18[[#This Row],[spawner_sku]])),Table1[Entity Prefab],0)),10,1,1,"Entities"))</f>
        <v>50</v>
      </c>
      <c r="ET280" s="74">
        <f ca="1">ROUND((Table18[[#This Row],[XP]]*Table18[[#This Row],[entity_spawned (AVG)]])*(Table18[[#This Row],[activating_chance]]/100),0)</f>
        <v>50</v>
      </c>
      <c r="EU280" s="74" t="str">
        <f ca="1">INDIRECT(ADDRESS(11+(MATCH(RIGHT(Table18[[#This Row],[spawner_sku]],LEN(Table18[[#This Row],[spawner_sku]])-FIND("/",Table18[[#This Row],[spawner_sku]])),Table28[Entity Prefab],0)),26,1,1,"Entities"))</f>
        <v>yes</v>
      </c>
      <c r="EV280">
        <v>1</v>
      </c>
      <c r="EW280">
        <v>1</v>
      </c>
      <c r="EX280" t="b">
        <v>0</v>
      </c>
    </row>
    <row r="281" spans="2:154" x14ac:dyDescent="0.25">
      <c r="B281" s="72" t="s">
        <v>222</v>
      </c>
      <c r="C281">
        <v>1</v>
      </c>
      <c r="D281">
        <v>180</v>
      </c>
      <c r="E281">
        <v>100</v>
      </c>
      <c r="F281" s="74">
        <f ca="1">INDIRECT(ADDRESS(11+(MATCH(RIGHT(Table245[[#This Row],[spawner_sku]],LEN(Table245[[#This Row],[spawner_sku]])-FIND("/",Table245[[#This Row],[spawner_sku]])),Table1[Entity Prefab],0)),10,1,1,"Entities"))</f>
        <v>25</v>
      </c>
      <c r="G281" s="74">
        <f ca="1">ROUND((Table245[[#This Row],[XP]]*Table245[[#This Row],[entity_spawned (AVG)]])*(Table245[[#This Row],[activating_chance]]/100),0)</f>
        <v>25</v>
      </c>
      <c r="H281" s="71" t="str">
        <f ca="1">INDIRECT(ADDRESS(11+(MATCH(RIGHT(Table245[[#This Row],[spawner_sku]],LEN(Table245[[#This Row],[spawner_sku]])-FIND("/",Table245[[#This Row],[spawner_sku]])),Table28[Entity Prefab],0)),24,1,1,"Entities"))</f>
        <v>yes</v>
      </c>
      <c r="I281" s="71">
        <v>1</v>
      </c>
      <c r="J281" s="71">
        <v>1</v>
      </c>
      <c r="K281" s="71" t="b">
        <v>0</v>
      </c>
      <c r="AI281" t="s">
        <v>367</v>
      </c>
      <c r="AJ281">
        <v>1</v>
      </c>
      <c r="AK281">
        <v>200</v>
      </c>
      <c r="AL281">
        <v>100</v>
      </c>
      <c r="AM281" s="74">
        <f ca="1">INDIRECT(ADDRESS(11+(MATCH(RIGHT(Table2[[#This Row],[spawner_sku]],LEN(Table2[[#This Row],[spawner_sku]])-FIND("/",Table2[[#This Row],[spawner_sku]])),Table1[Entity Prefab],0)),10,1,1,"Entities"))</f>
        <v>75</v>
      </c>
      <c r="AN281" s="74">
        <f ca="1">ROUND((Table2[[#This Row],[XP]]*Table2[[#This Row],[entity_spawned (AVG)]])*(Table2[[#This Row],[activating_chance]]/100),0)</f>
        <v>75</v>
      </c>
      <c r="AO281" s="71" t="str">
        <f ca="1">INDIRECT(ADDRESS(11+(MATCH(RIGHT(Table2[[#This Row],[spawner_sku]],LEN(Table2[[#This Row],[spawner_sku]])-FIND("/",Table2[[#This Row],[spawner_sku]])),Table28[Entity Prefab],0)),24,1,1,"Entities"))</f>
        <v>no</v>
      </c>
      <c r="AP281" s="71">
        <v>1</v>
      </c>
      <c r="AQ281" s="71">
        <v>1</v>
      </c>
      <c r="AR281" s="71" t="b">
        <v>0</v>
      </c>
      <c r="BP281" t="s">
        <v>423</v>
      </c>
      <c r="BQ281">
        <v>4</v>
      </c>
      <c r="BR281">
        <v>200</v>
      </c>
      <c r="BS281">
        <v>100</v>
      </c>
      <c r="BT281" s="74">
        <f ca="1">INDIRECT(ADDRESS(11+(MATCH(RIGHT(Table61011[[#This Row],[spawner_sku]],LEN(Table61011[[#This Row],[spawner_sku]])-FIND("/",Table61011[[#This Row],[spawner_sku]])),Table1[Entity Prefab],0)),10,1,1,"Entities"))</f>
        <v>0</v>
      </c>
      <c r="BU281" s="74">
        <f ca="1">ROUND((Table61011[[#This Row],[XP]]*Table61011[[#This Row],[entity_spawned (AVG)]])*(Table61011[[#This Row],[activating_chance]]/100),0)</f>
        <v>0</v>
      </c>
      <c r="BV281" s="71" t="str">
        <f ca="1">INDIRECT(ADDRESS(11+(MATCH(RIGHT(Table61011[[#This Row],[spawner_sku]],LEN(Table61011[[#This Row],[spawner_sku]])-FIND("/",Table61011[[#This Row],[spawner_sku]])),Table28[Entity Prefab],0)),24,1,1,"Entities"))</f>
        <v>yes</v>
      </c>
      <c r="BW281" s="71">
        <v>4</v>
      </c>
      <c r="BX281" s="71">
        <v>4</v>
      </c>
      <c r="BY281" s="71" t="b">
        <v>0</v>
      </c>
      <c r="BZ281" s="71"/>
      <c r="CA281" s="147" t="s">
        <v>3816</v>
      </c>
      <c r="CB281">
        <v>1</v>
      </c>
      <c r="CC281">
        <v>240</v>
      </c>
      <c r="CD281">
        <v>100</v>
      </c>
      <c r="CE281" s="74">
        <f ca="1">INDIRECT(ADDRESS(11+(MATCH(RIGHT(Table35[[#This Row],[spawner_sku]],LEN(Table35[[#This Row],[spawner_sku]])-FIND("/",Table35[[#This Row],[spawner_sku]])),Table1[Entity Prefab],0)),10,1,1,"Entities"))</f>
        <v>50</v>
      </c>
      <c r="CF281" s="74">
        <f ca="1">ROUND((Table35[[#This Row],[XP]]*Table35[[#This Row],[entity_spawned (AVG)]])*(Table35[[#This Row],[activating_chance]]/100),0)</f>
        <v>50</v>
      </c>
      <c r="CG281" s="144" t="str">
        <f ca="1">INDIRECT(ADDRESS(11+(MATCH(RIGHT(Table35[[#This Row],[spawner_sku]],LEN(Table35[[#This Row],[spawner_sku]])-FIND("/",Table35[[#This Row],[spawner_sku]])),Table28[Entity Prefab],0)),24,1,1,"Entities"))</f>
        <v>no</v>
      </c>
      <c r="CH281">
        <v>1</v>
      </c>
      <c r="CI281">
        <v>1</v>
      </c>
      <c r="CJ281" s="71" t="b">
        <v>0</v>
      </c>
      <c r="CL281" t="s">
        <v>445</v>
      </c>
      <c r="CM281">
        <v>1</v>
      </c>
      <c r="CN281">
        <v>220</v>
      </c>
      <c r="CO281">
        <v>100</v>
      </c>
      <c r="CP281" s="74">
        <f ca="1">INDIRECT(ADDRESS(11+(MATCH(RIGHT(Table11[[#This Row],[spawner_sku]],LEN(Table11[[#This Row],[spawner_sku]])-FIND("/",Table11[[#This Row],[spawner_sku]])),Table1[Entity Prefab],0)),10,1,1,"Entities"))</f>
        <v>50</v>
      </c>
      <c r="CQ281">
        <f ca="1">ROUND((Table11[[#This Row],[XP]]*Table11[[#This Row],[entity_spawned (AVG)]])*(Table11[[#This Row],[activating_chance]]/100),0)</f>
        <v>50</v>
      </c>
      <c r="CR281" s="144" t="str">
        <f ca="1">INDIRECT(ADDRESS(11+(MATCH(RIGHT(Table11[[#This Row],[spawner_sku]],LEN(Table11[[#This Row],[spawner_sku]])-FIND("/",Table11[[#This Row],[spawner_sku]])),Table28[Entity Prefab],0)),25,1,1,"Entities"))</f>
        <v>yes</v>
      </c>
      <c r="CS281" s="71">
        <v>1</v>
      </c>
      <c r="CT281" s="71">
        <v>1</v>
      </c>
      <c r="CU281" s="71" t="b">
        <v>0</v>
      </c>
      <c r="DH281" t="s">
        <v>366</v>
      </c>
      <c r="DI281">
        <v>2.5</v>
      </c>
      <c r="DJ281">
        <v>100</v>
      </c>
      <c r="DK281">
        <v>80</v>
      </c>
      <c r="DL281" s="74">
        <f ca="1">INDIRECT(ADDRESS(11+(MATCH(RIGHT(Table13[[#This Row],[spawner_sku]],LEN(Table13[[#This Row],[spawner_sku]])-FIND("/",Table13[[#This Row],[spawner_sku]])),Table1[Entity Prefab],0)),10,1,1,"Entities"))</f>
        <v>25</v>
      </c>
      <c r="DM281" s="74">
        <f ca="1">ROUND((Table13[[#This Row],[XP]]*Table13[[#This Row],[entity_spawned (AVG)]])*(Table13[[#This Row],[activating_chance]]/100),0)</f>
        <v>50</v>
      </c>
      <c r="DN281" s="144" t="str">
        <f ca="1">INDIRECT(ADDRESS(11+(MATCH(RIGHT(Table13[[#This Row],[spawner_sku]],LEN(Table13[[#This Row],[spawner_sku]])-FIND("/",Table13[[#This Row],[spawner_sku]])),Table28[Entity Prefab],0)),25,1,1,"Entities"))</f>
        <v>no</v>
      </c>
      <c r="DO281" s="71">
        <v>2</v>
      </c>
      <c r="DP281" s="71">
        <v>3</v>
      </c>
      <c r="DQ281" s="71" t="b">
        <v>0</v>
      </c>
      <c r="DS281" t="s">
        <v>368</v>
      </c>
      <c r="DT281">
        <v>1</v>
      </c>
      <c r="DU281">
        <v>180</v>
      </c>
      <c r="DV281">
        <v>100</v>
      </c>
      <c r="DW281" s="74">
        <f ca="1">INDIRECT(ADDRESS(11+(MATCH(RIGHT(Table14[[#This Row],[spawner_sku]],LEN(Table14[[#This Row],[spawner_sku]])-FIND("/",Table14[[#This Row],[spawner_sku]])),Table1[Entity Prefab],0)),10,1,1,"Entities"))</f>
        <v>75</v>
      </c>
      <c r="DX281" s="74">
        <f ca="1">ROUND((Table14[[#This Row],[XP]]*Table14[[#This Row],[entity_spawned (AVG)]])*(Table14[[#This Row],[activating_chance]]/100),0)</f>
        <v>75</v>
      </c>
      <c r="DY281" s="144" t="str">
        <f ca="1">INDIRECT(ADDRESS(11+(MATCH(RIGHT(Table14[[#This Row],[spawner_sku]],LEN(Table14[[#This Row],[spawner_sku]])-FIND("/",Table14[[#This Row],[spawner_sku]])),Table28[Entity Prefab],0)),25,1,1,"Entities"))</f>
        <v>yes</v>
      </c>
      <c r="DZ281" s="71">
        <v>1</v>
      </c>
      <c r="EA281" s="71">
        <v>1</v>
      </c>
      <c r="EB281" s="71" t="b">
        <v>0</v>
      </c>
      <c r="EC281" s="71"/>
      <c r="EO281" t="s">
        <v>555</v>
      </c>
      <c r="EP281">
        <v>1</v>
      </c>
      <c r="EQ281">
        <v>170</v>
      </c>
      <c r="ER281">
        <v>10</v>
      </c>
      <c r="ES281" s="74">
        <f ca="1">INDIRECT(ADDRESS(11+(MATCH(RIGHT(Table18[[#This Row],[spawner_sku]],LEN(Table18[[#This Row],[spawner_sku]])-FIND("/",Table18[[#This Row],[spawner_sku]])),Table1[Entity Prefab],0)),10,1,1,"Entities"))</f>
        <v>50</v>
      </c>
      <c r="ET281" s="74">
        <f ca="1">ROUND((Table18[[#This Row],[XP]]*Table18[[#This Row],[entity_spawned (AVG)]])*(Table18[[#This Row],[activating_chance]]/100),0)</f>
        <v>5</v>
      </c>
      <c r="EU281" s="74" t="str">
        <f ca="1">INDIRECT(ADDRESS(11+(MATCH(RIGHT(Table18[[#This Row],[spawner_sku]],LEN(Table18[[#This Row],[spawner_sku]])-FIND("/",Table18[[#This Row],[spawner_sku]])),Table28[Entity Prefab],0)),26,1,1,"Entities"))</f>
        <v>yes</v>
      </c>
      <c r="EV281">
        <v>1</v>
      </c>
      <c r="EW281">
        <v>1</v>
      </c>
      <c r="EX281" t="b">
        <v>0</v>
      </c>
    </row>
    <row r="282" spans="2:154" x14ac:dyDescent="0.25">
      <c r="B282" s="72" t="s">
        <v>222</v>
      </c>
      <c r="C282">
        <v>1</v>
      </c>
      <c r="D282">
        <v>180</v>
      </c>
      <c r="E282">
        <v>100</v>
      </c>
      <c r="F282" s="74">
        <f ca="1">INDIRECT(ADDRESS(11+(MATCH(RIGHT(Table245[[#This Row],[spawner_sku]],LEN(Table245[[#This Row],[spawner_sku]])-FIND("/",Table245[[#This Row],[spawner_sku]])),Table1[Entity Prefab],0)),10,1,1,"Entities"))</f>
        <v>25</v>
      </c>
      <c r="G282" s="74">
        <f ca="1">ROUND((Table245[[#This Row],[XP]]*Table245[[#This Row],[entity_spawned (AVG)]])*(Table245[[#This Row],[activating_chance]]/100),0)</f>
        <v>25</v>
      </c>
      <c r="H282" s="71" t="str">
        <f ca="1">INDIRECT(ADDRESS(11+(MATCH(RIGHT(Table245[[#This Row],[spawner_sku]],LEN(Table245[[#This Row],[spawner_sku]])-FIND("/",Table245[[#This Row],[spawner_sku]])),Table28[Entity Prefab],0)),24,1,1,"Entities"))</f>
        <v>yes</v>
      </c>
      <c r="I282" s="71">
        <v>1</v>
      </c>
      <c r="J282" s="71">
        <v>1</v>
      </c>
      <c r="K282" s="71" t="b">
        <v>0</v>
      </c>
      <c r="AI282" t="s">
        <v>367</v>
      </c>
      <c r="AJ282">
        <v>1</v>
      </c>
      <c r="AK282">
        <v>220</v>
      </c>
      <c r="AL282">
        <v>100</v>
      </c>
      <c r="AM282" s="74">
        <f ca="1">INDIRECT(ADDRESS(11+(MATCH(RIGHT(Table2[[#This Row],[spawner_sku]],LEN(Table2[[#This Row],[spawner_sku]])-FIND("/",Table2[[#This Row],[spawner_sku]])),Table1[Entity Prefab],0)),10,1,1,"Entities"))</f>
        <v>75</v>
      </c>
      <c r="AN282" s="74">
        <f ca="1">ROUND((Table2[[#This Row],[XP]]*Table2[[#This Row],[entity_spawned (AVG)]])*(Table2[[#This Row],[activating_chance]]/100),0)</f>
        <v>75</v>
      </c>
      <c r="AO282" s="71" t="str">
        <f ca="1">INDIRECT(ADDRESS(11+(MATCH(RIGHT(Table2[[#This Row],[spawner_sku]],LEN(Table2[[#This Row],[spawner_sku]])-FIND("/",Table2[[#This Row],[spawner_sku]])),Table28[Entity Prefab],0)),24,1,1,"Entities"))</f>
        <v>no</v>
      </c>
      <c r="AP282" s="71">
        <v>1</v>
      </c>
      <c r="AQ282" s="71">
        <v>1</v>
      </c>
      <c r="AR282" s="71" t="b">
        <v>0</v>
      </c>
      <c r="BP282" t="s">
        <v>423</v>
      </c>
      <c r="BQ282">
        <v>1.5</v>
      </c>
      <c r="BR282">
        <v>200</v>
      </c>
      <c r="BS282">
        <v>80</v>
      </c>
      <c r="BT282" s="74">
        <f ca="1">INDIRECT(ADDRESS(11+(MATCH(RIGHT(Table61011[[#This Row],[spawner_sku]],LEN(Table61011[[#This Row],[spawner_sku]])-FIND("/",Table61011[[#This Row],[spawner_sku]])),Table1[Entity Prefab],0)),10,1,1,"Entities"))</f>
        <v>0</v>
      </c>
      <c r="BU282" s="74">
        <f ca="1">ROUND((Table61011[[#This Row],[XP]]*Table61011[[#This Row],[entity_spawned (AVG)]])*(Table61011[[#This Row],[activating_chance]]/100),0)</f>
        <v>0</v>
      </c>
      <c r="BV282" s="71" t="str">
        <f ca="1">INDIRECT(ADDRESS(11+(MATCH(RIGHT(Table61011[[#This Row],[spawner_sku]],LEN(Table61011[[#This Row],[spawner_sku]])-FIND("/",Table61011[[#This Row],[spawner_sku]])),Table28[Entity Prefab],0)),24,1,1,"Entities"))</f>
        <v>yes</v>
      </c>
      <c r="BW282" s="71">
        <v>1</v>
      </c>
      <c r="BX282" s="71">
        <v>2</v>
      </c>
      <c r="BY282" s="71" t="b">
        <v>0</v>
      </c>
      <c r="BZ282" s="71"/>
      <c r="CA282" s="147" t="s">
        <v>3816</v>
      </c>
      <c r="CB282">
        <v>1</v>
      </c>
      <c r="CC282">
        <v>240</v>
      </c>
      <c r="CD282">
        <v>100</v>
      </c>
      <c r="CE282" s="74">
        <f ca="1">INDIRECT(ADDRESS(11+(MATCH(RIGHT(Table35[[#This Row],[spawner_sku]],LEN(Table35[[#This Row],[spawner_sku]])-FIND("/",Table35[[#This Row],[spawner_sku]])),Table1[Entity Prefab],0)),10,1,1,"Entities"))</f>
        <v>50</v>
      </c>
      <c r="CF282" s="74">
        <f ca="1">ROUND((Table35[[#This Row],[XP]]*Table35[[#This Row],[entity_spawned (AVG)]])*(Table35[[#This Row],[activating_chance]]/100),0)</f>
        <v>50</v>
      </c>
      <c r="CG282" s="144" t="str">
        <f ca="1">INDIRECT(ADDRESS(11+(MATCH(RIGHT(Table35[[#This Row],[spawner_sku]],LEN(Table35[[#This Row],[spawner_sku]])-FIND("/",Table35[[#This Row],[spawner_sku]])),Table28[Entity Prefab],0)),24,1,1,"Entities"))</f>
        <v>no</v>
      </c>
      <c r="CH282">
        <v>1</v>
      </c>
      <c r="CI282">
        <v>1</v>
      </c>
      <c r="CJ282" s="71" t="b">
        <v>0</v>
      </c>
      <c r="CL282" t="s">
        <v>445</v>
      </c>
      <c r="CM282">
        <v>1</v>
      </c>
      <c r="CN282">
        <v>220</v>
      </c>
      <c r="CO282">
        <v>100</v>
      </c>
      <c r="CP282" s="74">
        <f ca="1">INDIRECT(ADDRESS(11+(MATCH(RIGHT(Table11[[#This Row],[spawner_sku]],LEN(Table11[[#This Row],[spawner_sku]])-FIND("/",Table11[[#This Row],[spawner_sku]])),Table1[Entity Prefab],0)),10,1,1,"Entities"))</f>
        <v>50</v>
      </c>
      <c r="CQ282">
        <f ca="1">ROUND((Table11[[#This Row],[XP]]*Table11[[#This Row],[entity_spawned (AVG)]])*(Table11[[#This Row],[activating_chance]]/100),0)</f>
        <v>50</v>
      </c>
      <c r="CR282" s="144" t="str">
        <f ca="1">INDIRECT(ADDRESS(11+(MATCH(RIGHT(Table11[[#This Row],[spawner_sku]],LEN(Table11[[#This Row],[spawner_sku]])-FIND("/",Table11[[#This Row],[spawner_sku]])),Table28[Entity Prefab],0)),25,1,1,"Entities"))</f>
        <v>yes</v>
      </c>
      <c r="CS282" s="71">
        <v>1</v>
      </c>
      <c r="CT282" s="71">
        <v>1</v>
      </c>
      <c r="CU282" s="71" t="b">
        <v>0</v>
      </c>
      <c r="DH282" t="s">
        <v>366</v>
      </c>
      <c r="DI282">
        <v>3.5</v>
      </c>
      <c r="DJ282">
        <v>100</v>
      </c>
      <c r="DK282">
        <v>70</v>
      </c>
      <c r="DL282" s="74">
        <f ca="1">INDIRECT(ADDRESS(11+(MATCH(RIGHT(Table13[[#This Row],[spawner_sku]],LEN(Table13[[#This Row],[spawner_sku]])-FIND("/",Table13[[#This Row],[spawner_sku]])),Table1[Entity Prefab],0)),10,1,1,"Entities"))</f>
        <v>25</v>
      </c>
      <c r="DM282" s="74">
        <f ca="1">ROUND((Table13[[#This Row],[XP]]*Table13[[#This Row],[entity_spawned (AVG)]])*(Table13[[#This Row],[activating_chance]]/100),0)</f>
        <v>61</v>
      </c>
      <c r="DN282" s="144" t="str">
        <f ca="1">INDIRECT(ADDRESS(11+(MATCH(RIGHT(Table13[[#This Row],[spawner_sku]],LEN(Table13[[#This Row],[spawner_sku]])-FIND("/",Table13[[#This Row],[spawner_sku]])),Table28[Entity Prefab],0)),25,1,1,"Entities"))</f>
        <v>no</v>
      </c>
      <c r="DO282" s="71">
        <v>3</v>
      </c>
      <c r="DP282" s="71">
        <v>4</v>
      </c>
      <c r="DQ282" s="71" t="b">
        <v>0</v>
      </c>
      <c r="DS282" t="s">
        <v>368</v>
      </c>
      <c r="DT282">
        <v>1</v>
      </c>
      <c r="DU282">
        <v>180</v>
      </c>
      <c r="DV282">
        <v>100</v>
      </c>
      <c r="DW282" s="74">
        <f ca="1">INDIRECT(ADDRESS(11+(MATCH(RIGHT(Table14[[#This Row],[spawner_sku]],LEN(Table14[[#This Row],[spawner_sku]])-FIND("/",Table14[[#This Row],[spawner_sku]])),Table1[Entity Prefab],0)),10,1,1,"Entities"))</f>
        <v>75</v>
      </c>
      <c r="DX282" s="74">
        <f ca="1">ROUND((Table14[[#This Row],[XP]]*Table14[[#This Row],[entity_spawned (AVG)]])*(Table14[[#This Row],[activating_chance]]/100),0)</f>
        <v>75</v>
      </c>
      <c r="DY282" s="144" t="str">
        <f ca="1">INDIRECT(ADDRESS(11+(MATCH(RIGHT(Table14[[#This Row],[spawner_sku]],LEN(Table14[[#This Row],[spawner_sku]])-FIND("/",Table14[[#This Row],[spawner_sku]])),Table28[Entity Prefab],0)),25,1,1,"Entities"))</f>
        <v>yes</v>
      </c>
      <c r="DZ282" s="71">
        <v>1</v>
      </c>
      <c r="EA282" s="71">
        <v>1</v>
      </c>
      <c r="EB282" s="71" t="b">
        <v>0</v>
      </c>
      <c r="EC282" s="71"/>
      <c r="EO282" t="s">
        <v>555</v>
      </c>
      <c r="EP282">
        <v>1</v>
      </c>
      <c r="EQ282">
        <v>170</v>
      </c>
      <c r="ER282">
        <v>100</v>
      </c>
      <c r="ES282" s="74">
        <f ca="1">INDIRECT(ADDRESS(11+(MATCH(RIGHT(Table18[[#This Row],[spawner_sku]],LEN(Table18[[#This Row],[spawner_sku]])-FIND("/",Table18[[#This Row],[spawner_sku]])),Table1[Entity Prefab],0)),10,1,1,"Entities"))</f>
        <v>50</v>
      </c>
      <c r="ET282" s="74">
        <f ca="1">ROUND((Table18[[#This Row],[XP]]*Table18[[#This Row],[entity_spawned (AVG)]])*(Table18[[#This Row],[activating_chance]]/100),0)</f>
        <v>50</v>
      </c>
      <c r="EU282" s="74" t="str">
        <f ca="1">INDIRECT(ADDRESS(11+(MATCH(RIGHT(Table18[[#This Row],[spawner_sku]],LEN(Table18[[#This Row],[spawner_sku]])-FIND("/",Table18[[#This Row],[spawner_sku]])),Table28[Entity Prefab],0)),26,1,1,"Entities"))</f>
        <v>yes</v>
      </c>
      <c r="EV282">
        <v>1</v>
      </c>
      <c r="EW282">
        <v>1</v>
      </c>
      <c r="EX282" t="b">
        <v>0</v>
      </c>
    </row>
    <row r="283" spans="2:154" x14ac:dyDescent="0.25">
      <c r="B283" s="72" t="s">
        <v>223</v>
      </c>
      <c r="C283">
        <v>2.5</v>
      </c>
      <c r="D283">
        <v>170</v>
      </c>
      <c r="E283">
        <v>100</v>
      </c>
      <c r="F283" s="74">
        <f ca="1">INDIRECT(ADDRESS(11+(MATCH(RIGHT(Table245[[#This Row],[spawner_sku]],LEN(Table245[[#This Row],[spawner_sku]])-FIND("/",Table245[[#This Row],[spawner_sku]])),Table1[Entity Prefab],0)),10,1,1,"Entities"))</f>
        <v>70</v>
      </c>
      <c r="G283" s="74">
        <f ca="1">ROUND((Table245[[#This Row],[XP]]*Table245[[#This Row],[entity_spawned (AVG)]])*(Table245[[#This Row],[activating_chance]]/100),0)</f>
        <v>175</v>
      </c>
      <c r="H283" s="71" t="str">
        <f ca="1">INDIRECT(ADDRESS(11+(MATCH(RIGHT(Table245[[#This Row],[spawner_sku]],LEN(Table245[[#This Row],[spawner_sku]])-FIND("/",Table245[[#This Row],[spawner_sku]])),Table28[Entity Prefab],0)),24,1,1,"Entities"))</f>
        <v>yes</v>
      </c>
      <c r="I283" s="71">
        <v>2</v>
      </c>
      <c r="J283" s="71">
        <v>3</v>
      </c>
      <c r="K283" s="71" t="b">
        <v>0</v>
      </c>
      <c r="AI283" t="s">
        <v>367</v>
      </c>
      <c r="AJ283">
        <v>1</v>
      </c>
      <c r="AK283">
        <v>200</v>
      </c>
      <c r="AL283">
        <v>80</v>
      </c>
      <c r="AM283" s="74">
        <f ca="1">INDIRECT(ADDRESS(11+(MATCH(RIGHT(Table2[[#This Row],[spawner_sku]],LEN(Table2[[#This Row],[spawner_sku]])-FIND("/",Table2[[#This Row],[spawner_sku]])),Table1[Entity Prefab],0)),10,1,1,"Entities"))</f>
        <v>75</v>
      </c>
      <c r="AN283" s="74">
        <f ca="1">ROUND((Table2[[#This Row],[XP]]*Table2[[#This Row],[entity_spawned (AVG)]])*(Table2[[#This Row],[activating_chance]]/100),0)</f>
        <v>60</v>
      </c>
      <c r="AO283" s="71" t="str">
        <f ca="1">INDIRECT(ADDRESS(11+(MATCH(RIGHT(Table2[[#This Row],[spawner_sku]],LEN(Table2[[#This Row],[spawner_sku]])-FIND("/",Table2[[#This Row],[spawner_sku]])),Table28[Entity Prefab],0)),24,1,1,"Entities"))</f>
        <v>no</v>
      </c>
      <c r="AP283" s="71">
        <v>1</v>
      </c>
      <c r="AQ283" s="71">
        <v>1</v>
      </c>
      <c r="AR283" s="71" t="b">
        <v>0</v>
      </c>
      <c r="BP283" t="s">
        <v>423</v>
      </c>
      <c r="BQ283">
        <v>4</v>
      </c>
      <c r="BR283">
        <v>200</v>
      </c>
      <c r="BS283">
        <v>100</v>
      </c>
      <c r="BT283" s="74">
        <f ca="1">INDIRECT(ADDRESS(11+(MATCH(RIGHT(Table61011[[#This Row],[spawner_sku]],LEN(Table61011[[#This Row],[spawner_sku]])-FIND("/",Table61011[[#This Row],[spawner_sku]])),Table1[Entity Prefab],0)),10,1,1,"Entities"))</f>
        <v>0</v>
      </c>
      <c r="BU283" s="74">
        <f ca="1">ROUND((Table61011[[#This Row],[XP]]*Table61011[[#This Row],[entity_spawned (AVG)]])*(Table61011[[#This Row],[activating_chance]]/100),0)</f>
        <v>0</v>
      </c>
      <c r="BV283" s="71" t="str">
        <f ca="1">INDIRECT(ADDRESS(11+(MATCH(RIGHT(Table61011[[#This Row],[spawner_sku]],LEN(Table61011[[#This Row],[spawner_sku]])-FIND("/",Table61011[[#This Row],[spawner_sku]])),Table28[Entity Prefab],0)),24,1,1,"Entities"))</f>
        <v>yes</v>
      </c>
      <c r="BW283" s="71">
        <v>4</v>
      </c>
      <c r="BX283" s="71">
        <v>4</v>
      </c>
      <c r="BY283" s="71" t="b">
        <v>0</v>
      </c>
      <c r="BZ283" s="71"/>
      <c r="CA283" s="147" t="s">
        <v>3816</v>
      </c>
      <c r="CB283">
        <v>1</v>
      </c>
      <c r="CC283">
        <v>240</v>
      </c>
      <c r="CD283">
        <v>100</v>
      </c>
      <c r="CE283" s="74">
        <f ca="1">INDIRECT(ADDRESS(11+(MATCH(RIGHT(Table35[[#This Row],[spawner_sku]],LEN(Table35[[#This Row],[spawner_sku]])-FIND("/",Table35[[#This Row],[spawner_sku]])),Table1[Entity Prefab],0)),10,1,1,"Entities"))</f>
        <v>50</v>
      </c>
      <c r="CF283" s="74">
        <f ca="1">ROUND((Table35[[#This Row],[XP]]*Table35[[#This Row],[entity_spawned (AVG)]])*(Table35[[#This Row],[activating_chance]]/100),0)</f>
        <v>50</v>
      </c>
      <c r="CG283" s="144" t="str">
        <f ca="1">INDIRECT(ADDRESS(11+(MATCH(RIGHT(Table35[[#This Row],[spawner_sku]],LEN(Table35[[#This Row],[spawner_sku]])-FIND("/",Table35[[#This Row],[spawner_sku]])),Table28[Entity Prefab],0)),24,1,1,"Entities"))</f>
        <v>no</v>
      </c>
      <c r="CH283">
        <v>1</v>
      </c>
      <c r="CI283">
        <v>1</v>
      </c>
      <c r="CJ283" s="71" t="b">
        <v>0</v>
      </c>
      <c r="CL283" t="s">
        <v>445</v>
      </c>
      <c r="CM283">
        <v>1</v>
      </c>
      <c r="CN283">
        <v>220</v>
      </c>
      <c r="CO283">
        <v>100</v>
      </c>
      <c r="CP283" s="74">
        <f ca="1">INDIRECT(ADDRESS(11+(MATCH(RIGHT(Table11[[#This Row],[spawner_sku]],LEN(Table11[[#This Row],[spawner_sku]])-FIND("/",Table11[[#This Row],[spawner_sku]])),Table1[Entity Prefab],0)),10,1,1,"Entities"))</f>
        <v>50</v>
      </c>
      <c r="CQ283">
        <f ca="1">ROUND((Table11[[#This Row],[XP]]*Table11[[#This Row],[entity_spawned (AVG)]])*(Table11[[#This Row],[activating_chance]]/100),0)</f>
        <v>50</v>
      </c>
      <c r="CR283" s="144" t="str">
        <f ca="1">INDIRECT(ADDRESS(11+(MATCH(RIGHT(Table11[[#This Row],[spawner_sku]],LEN(Table11[[#This Row],[spawner_sku]])-FIND("/",Table11[[#This Row],[spawner_sku]])),Table28[Entity Prefab],0)),25,1,1,"Entities"))</f>
        <v>yes</v>
      </c>
      <c r="CS283" s="71">
        <v>1</v>
      </c>
      <c r="CT283" s="71">
        <v>1</v>
      </c>
      <c r="CU283" s="71" t="b">
        <v>0</v>
      </c>
      <c r="DH283" t="s">
        <v>366</v>
      </c>
      <c r="DI283">
        <v>1.5</v>
      </c>
      <c r="DJ283">
        <v>100</v>
      </c>
      <c r="DK283">
        <v>100</v>
      </c>
      <c r="DL283" s="74">
        <f ca="1">INDIRECT(ADDRESS(11+(MATCH(RIGHT(Table13[[#This Row],[spawner_sku]],LEN(Table13[[#This Row],[spawner_sku]])-FIND("/",Table13[[#This Row],[spawner_sku]])),Table1[Entity Prefab],0)),10,1,1,"Entities"))</f>
        <v>25</v>
      </c>
      <c r="DM283" s="74">
        <f ca="1">ROUND((Table13[[#This Row],[XP]]*Table13[[#This Row],[entity_spawned (AVG)]])*(Table13[[#This Row],[activating_chance]]/100),0)</f>
        <v>38</v>
      </c>
      <c r="DN283" s="144" t="str">
        <f ca="1">INDIRECT(ADDRESS(11+(MATCH(RIGHT(Table13[[#This Row],[spawner_sku]],LEN(Table13[[#This Row],[spawner_sku]])-FIND("/",Table13[[#This Row],[spawner_sku]])),Table28[Entity Prefab],0)),25,1,1,"Entities"))</f>
        <v>no</v>
      </c>
      <c r="DO283" s="71">
        <v>1</v>
      </c>
      <c r="DP283" s="71">
        <v>2</v>
      </c>
      <c r="DQ283" s="71" t="b">
        <v>0</v>
      </c>
      <c r="DS283" t="s">
        <v>367</v>
      </c>
      <c r="DT283">
        <v>1</v>
      </c>
      <c r="DU283">
        <v>100</v>
      </c>
      <c r="DV283">
        <v>100</v>
      </c>
      <c r="DW283" s="74">
        <f ca="1">INDIRECT(ADDRESS(11+(MATCH(RIGHT(Table14[[#This Row],[spawner_sku]],LEN(Table14[[#This Row],[spawner_sku]])-FIND("/",Table14[[#This Row],[spawner_sku]])),Table1[Entity Prefab],0)),10,1,1,"Entities"))</f>
        <v>75</v>
      </c>
      <c r="DX283" s="74">
        <f ca="1">ROUND((Table14[[#This Row],[XP]]*Table14[[#This Row],[entity_spawned (AVG)]])*(Table14[[#This Row],[activating_chance]]/100),0)</f>
        <v>75</v>
      </c>
      <c r="DY283" s="144" t="str">
        <f ca="1">INDIRECT(ADDRESS(11+(MATCH(RIGHT(Table14[[#This Row],[spawner_sku]],LEN(Table14[[#This Row],[spawner_sku]])-FIND("/",Table14[[#This Row],[spawner_sku]])),Table28[Entity Prefab],0)),25,1,1,"Entities"))</f>
        <v>no</v>
      </c>
      <c r="DZ283" s="71">
        <v>1</v>
      </c>
      <c r="EA283" s="71">
        <v>1</v>
      </c>
      <c r="EB283" s="71" t="b">
        <v>0</v>
      </c>
      <c r="EC283" s="71"/>
      <c r="EO283" t="s">
        <v>555</v>
      </c>
      <c r="EP283">
        <v>1</v>
      </c>
      <c r="EQ283">
        <v>160</v>
      </c>
      <c r="ER283">
        <v>100</v>
      </c>
      <c r="ES283" s="74">
        <f ca="1">INDIRECT(ADDRESS(11+(MATCH(RIGHT(Table18[[#This Row],[spawner_sku]],LEN(Table18[[#This Row],[spawner_sku]])-FIND("/",Table18[[#This Row],[spawner_sku]])),Table1[Entity Prefab],0)),10,1,1,"Entities"))</f>
        <v>50</v>
      </c>
      <c r="ET283" s="74">
        <f ca="1">ROUND((Table18[[#This Row],[XP]]*Table18[[#This Row],[entity_spawned (AVG)]])*(Table18[[#This Row],[activating_chance]]/100),0)</f>
        <v>50</v>
      </c>
      <c r="EU283" s="74" t="str">
        <f ca="1">INDIRECT(ADDRESS(11+(MATCH(RIGHT(Table18[[#This Row],[spawner_sku]],LEN(Table18[[#This Row],[spawner_sku]])-FIND("/",Table18[[#This Row],[spawner_sku]])),Table28[Entity Prefab],0)),26,1,1,"Entities"))</f>
        <v>yes</v>
      </c>
      <c r="EV283">
        <v>1</v>
      </c>
      <c r="EW283">
        <v>1</v>
      </c>
      <c r="EX283" t="b">
        <v>0</v>
      </c>
    </row>
    <row r="284" spans="2:154" x14ac:dyDescent="0.25">
      <c r="B284" s="72" t="s">
        <v>223</v>
      </c>
      <c r="C284">
        <v>1</v>
      </c>
      <c r="D284">
        <v>190</v>
      </c>
      <c r="E284">
        <v>100</v>
      </c>
      <c r="F284" s="74">
        <f ca="1">INDIRECT(ADDRESS(11+(MATCH(RIGHT(Table245[[#This Row],[spawner_sku]],LEN(Table245[[#This Row],[spawner_sku]])-FIND("/",Table245[[#This Row],[spawner_sku]])),Table1[Entity Prefab],0)),10,1,1,"Entities"))</f>
        <v>70</v>
      </c>
      <c r="G284" s="74">
        <f ca="1">ROUND((Table245[[#This Row],[XP]]*Table245[[#This Row],[entity_spawned (AVG)]])*(Table245[[#This Row],[activating_chance]]/100),0)</f>
        <v>70</v>
      </c>
      <c r="H284" s="71" t="str">
        <f ca="1">INDIRECT(ADDRESS(11+(MATCH(RIGHT(Table245[[#This Row],[spawner_sku]],LEN(Table245[[#This Row],[spawner_sku]])-FIND("/",Table245[[#This Row],[spawner_sku]])),Table28[Entity Prefab],0)),24,1,1,"Entities"))</f>
        <v>yes</v>
      </c>
      <c r="I284" s="71">
        <v>1</v>
      </c>
      <c r="J284" s="71">
        <v>1</v>
      </c>
      <c r="K284" s="71" t="b">
        <v>0</v>
      </c>
      <c r="AI284" t="s">
        <v>367</v>
      </c>
      <c r="AJ284">
        <v>1</v>
      </c>
      <c r="AK284">
        <v>220</v>
      </c>
      <c r="AL284">
        <v>100</v>
      </c>
      <c r="AM284" s="74">
        <f ca="1">INDIRECT(ADDRESS(11+(MATCH(RIGHT(Table2[[#This Row],[spawner_sku]],LEN(Table2[[#This Row],[spawner_sku]])-FIND("/",Table2[[#This Row],[spawner_sku]])),Table1[Entity Prefab],0)),10,1,1,"Entities"))</f>
        <v>75</v>
      </c>
      <c r="AN284" s="74">
        <f ca="1">ROUND((Table2[[#This Row],[XP]]*Table2[[#This Row],[entity_spawned (AVG)]])*(Table2[[#This Row],[activating_chance]]/100),0)</f>
        <v>75</v>
      </c>
      <c r="AO284" s="71" t="str">
        <f ca="1">INDIRECT(ADDRESS(11+(MATCH(RIGHT(Table2[[#This Row],[spawner_sku]],LEN(Table2[[#This Row],[spawner_sku]])-FIND("/",Table2[[#This Row],[spawner_sku]])),Table28[Entity Prefab],0)),24,1,1,"Entities"))</f>
        <v>no</v>
      </c>
      <c r="AP284" s="71">
        <v>1</v>
      </c>
      <c r="AQ284" s="71">
        <v>1</v>
      </c>
      <c r="AR284" s="71" t="b">
        <v>0</v>
      </c>
      <c r="BP284" t="s">
        <v>423</v>
      </c>
      <c r="BQ284">
        <v>1.5</v>
      </c>
      <c r="BR284">
        <v>180</v>
      </c>
      <c r="BS284">
        <v>100</v>
      </c>
      <c r="BT284" s="74">
        <f ca="1">INDIRECT(ADDRESS(11+(MATCH(RIGHT(Table61011[[#This Row],[spawner_sku]],LEN(Table61011[[#This Row],[spawner_sku]])-FIND("/",Table61011[[#This Row],[spawner_sku]])),Table1[Entity Prefab],0)),10,1,1,"Entities"))</f>
        <v>0</v>
      </c>
      <c r="BU284" s="74">
        <f ca="1">ROUND((Table61011[[#This Row],[XP]]*Table61011[[#This Row],[entity_spawned (AVG)]])*(Table61011[[#This Row],[activating_chance]]/100),0)</f>
        <v>0</v>
      </c>
      <c r="BV284" s="71" t="str">
        <f ca="1">INDIRECT(ADDRESS(11+(MATCH(RIGHT(Table61011[[#This Row],[spawner_sku]],LEN(Table61011[[#This Row],[spawner_sku]])-FIND("/",Table61011[[#This Row],[spawner_sku]])),Table28[Entity Prefab],0)),24,1,1,"Entities"))</f>
        <v>yes</v>
      </c>
      <c r="BW284" s="71">
        <v>1</v>
      </c>
      <c r="BX284" s="71">
        <v>2</v>
      </c>
      <c r="BY284" s="71" t="b">
        <v>0</v>
      </c>
      <c r="BZ284" s="71"/>
      <c r="CA284" s="147" t="s">
        <v>3816</v>
      </c>
      <c r="CB284">
        <v>1</v>
      </c>
      <c r="CC284">
        <v>240</v>
      </c>
      <c r="CD284">
        <v>100</v>
      </c>
      <c r="CE284" s="74">
        <f ca="1">INDIRECT(ADDRESS(11+(MATCH(RIGHT(Table35[[#This Row],[spawner_sku]],LEN(Table35[[#This Row],[spawner_sku]])-FIND("/",Table35[[#This Row],[spawner_sku]])),Table1[Entity Prefab],0)),10,1,1,"Entities"))</f>
        <v>50</v>
      </c>
      <c r="CF284" s="74">
        <f ca="1">ROUND((Table35[[#This Row],[XP]]*Table35[[#This Row],[entity_spawned (AVG)]])*(Table35[[#This Row],[activating_chance]]/100),0)</f>
        <v>50</v>
      </c>
      <c r="CG284" s="144" t="str">
        <f ca="1">INDIRECT(ADDRESS(11+(MATCH(RIGHT(Table35[[#This Row],[spawner_sku]],LEN(Table35[[#This Row],[spawner_sku]])-FIND("/",Table35[[#This Row],[spawner_sku]])),Table28[Entity Prefab],0)),24,1,1,"Entities"))</f>
        <v>no</v>
      </c>
      <c r="CH284">
        <v>1</v>
      </c>
      <c r="CI284">
        <v>1</v>
      </c>
      <c r="CJ284" s="71" t="b">
        <v>0</v>
      </c>
      <c r="CL284" t="s">
        <v>446</v>
      </c>
      <c r="CM284">
        <v>1</v>
      </c>
      <c r="CN284">
        <v>240</v>
      </c>
      <c r="CO284">
        <v>100</v>
      </c>
      <c r="CP284" s="74">
        <f ca="1">INDIRECT(ADDRESS(11+(MATCH(RIGHT(Table11[[#This Row],[spawner_sku]],LEN(Table11[[#This Row],[spawner_sku]])-FIND("/",Table11[[#This Row],[spawner_sku]])),Table1[Entity Prefab],0)),10,1,1,"Entities"))</f>
        <v>83</v>
      </c>
      <c r="CQ284">
        <f ca="1">ROUND((Table11[[#This Row],[XP]]*Table11[[#This Row],[entity_spawned (AVG)]])*(Table11[[#This Row],[activating_chance]]/100),0)</f>
        <v>83</v>
      </c>
      <c r="CR284" s="144" t="str">
        <f ca="1">INDIRECT(ADDRESS(11+(MATCH(RIGHT(Table11[[#This Row],[spawner_sku]],LEN(Table11[[#This Row],[spawner_sku]])-FIND("/",Table11[[#This Row],[spawner_sku]])),Table28[Entity Prefab],0)),25,1,1,"Entities"))</f>
        <v>yes</v>
      </c>
      <c r="CS284" s="71">
        <v>1</v>
      </c>
      <c r="CT284" s="71">
        <v>1</v>
      </c>
      <c r="CU284" s="71" t="b">
        <v>0</v>
      </c>
      <c r="DH284" t="s">
        <v>366</v>
      </c>
      <c r="DI284">
        <v>1.5</v>
      </c>
      <c r="DJ284">
        <v>100</v>
      </c>
      <c r="DK284">
        <v>100</v>
      </c>
      <c r="DL284" s="74">
        <f ca="1">INDIRECT(ADDRESS(11+(MATCH(RIGHT(Table13[[#This Row],[spawner_sku]],LEN(Table13[[#This Row],[spawner_sku]])-FIND("/",Table13[[#This Row],[spawner_sku]])),Table1[Entity Prefab],0)),10,1,1,"Entities"))</f>
        <v>25</v>
      </c>
      <c r="DM284" s="74">
        <f ca="1">ROUND((Table13[[#This Row],[XP]]*Table13[[#This Row],[entity_spawned (AVG)]])*(Table13[[#This Row],[activating_chance]]/100),0)</f>
        <v>38</v>
      </c>
      <c r="DN284" s="144" t="str">
        <f ca="1">INDIRECT(ADDRESS(11+(MATCH(RIGHT(Table13[[#This Row],[spawner_sku]],LEN(Table13[[#This Row],[spawner_sku]])-FIND("/",Table13[[#This Row],[spawner_sku]])),Table28[Entity Prefab],0)),25,1,1,"Entities"))</f>
        <v>no</v>
      </c>
      <c r="DO284" s="71">
        <v>1</v>
      </c>
      <c r="DP284" s="71">
        <v>2</v>
      </c>
      <c r="DQ284" s="71" t="b">
        <v>0</v>
      </c>
      <c r="DS284" t="s">
        <v>367</v>
      </c>
      <c r="DT284">
        <v>1</v>
      </c>
      <c r="DU284">
        <v>150</v>
      </c>
      <c r="DV284">
        <v>100</v>
      </c>
      <c r="DW284" s="74">
        <f ca="1">INDIRECT(ADDRESS(11+(MATCH(RIGHT(Table14[[#This Row],[spawner_sku]],LEN(Table14[[#This Row],[spawner_sku]])-FIND("/",Table14[[#This Row],[spawner_sku]])),Table1[Entity Prefab],0)),10,1,1,"Entities"))</f>
        <v>75</v>
      </c>
      <c r="DX284" s="74">
        <f ca="1">ROUND((Table14[[#This Row],[XP]]*Table14[[#This Row],[entity_spawned (AVG)]])*(Table14[[#This Row],[activating_chance]]/100),0)</f>
        <v>75</v>
      </c>
      <c r="DY284" s="144" t="str">
        <f ca="1">INDIRECT(ADDRESS(11+(MATCH(RIGHT(Table14[[#This Row],[spawner_sku]],LEN(Table14[[#This Row],[spawner_sku]])-FIND("/",Table14[[#This Row],[spawner_sku]])),Table28[Entity Prefab],0)),25,1,1,"Entities"))</f>
        <v>no</v>
      </c>
      <c r="DZ284" s="71">
        <v>1</v>
      </c>
      <c r="EA284" s="71">
        <v>1</v>
      </c>
      <c r="EB284" s="71" t="b">
        <v>0</v>
      </c>
      <c r="EC284" s="71"/>
      <c r="EO284" t="s">
        <v>556</v>
      </c>
      <c r="EP284">
        <v>1</v>
      </c>
      <c r="EQ284">
        <v>160</v>
      </c>
      <c r="ER284">
        <v>30</v>
      </c>
      <c r="ES284" s="74">
        <f ca="1">INDIRECT(ADDRESS(11+(MATCH(RIGHT(Table18[[#This Row],[spawner_sku]],LEN(Table18[[#This Row],[spawner_sku]])-FIND("/",Table18[[#This Row],[spawner_sku]])),Table1[Entity Prefab],0)),10,1,1,"Entities"))</f>
        <v>25</v>
      </c>
      <c r="ET284" s="74">
        <f ca="1">ROUND((Table18[[#This Row],[XP]]*Table18[[#This Row],[entity_spawned (AVG)]])*(Table18[[#This Row],[activating_chance]]/100),0)</f>
        <v>8</v>
      </c>
      <c r="EU284" s="74" t="str">
        <f ca="1">INDIRECT(ADDRESS(11+(MATCH(RIGHT(Table18[[#This Row],[spawner_sku]],LEN(Table18[[#This Row],[spawner_sku]])-FIND("/",Table18[[#This Row],[spawner_sku]])),Table28[Entity Prefab],0)),26,1,1,"Entities"))</f>
        <v>no</v>
      </c>
      <c r="EV284">
        <v>1</v>
      </c>
      <c r="EW284">
        <v>1</v>
      </c>
      <c r="EX284" t="b">
        <v>0</v>
      </c>
    </row>
    <row r="285" spans="2:154" x14ac:dyDescent="0.25">
      <c r="B285" s="72" t="s">
        <v>223</v>
      </c>
      <c r="C285">
        <v>2</v>
      </c>
      <c r="D285">
        <v>170</v>
      </c>
      <c r="E285">
        <v>100</v>
      </c>
      <c r="F285" s="74">
        <f ca="1">INDIRECT(ADDRESS(11+(MATCH(RIGHT(Table245[[#This Row],[spawner_sku]],LEN(Table245[[#This Row],[spawner_sku]])-FIND("/",Table245[[#This Row],[spawner_sku]])),Table1[Entity Prefab],0)),10,1,1,"Entities"))</f>
        <v>70</v>
      </c>
      <c r="G285" s="74">
        <f ca="1">ROUND((Table245[[#This Row],[XP]]*Table245[[#This Row],[entity_spawned (AVG)]])*(Table245[[#This Row],[activating_chance]]/100),0)</f>
        <v>140</v>
      </c>
      <c r="H285" s="71" t="str">
        <f ca="1">INDIRECT(ADDRESS(11+(MATCH(RIGHT(Table245[[#This Row],[spawner_sku]],LEN(Table245[[#This Row],[spawner_sku]])-FIND("/",Table245[[#This Row],[spawner_sku]])),Table28[Entity Prefab],0)),24,1,1,"Entities"))</f>
        <v>yes</v>
      </c>
      <c r="I285" s="71">
        <v>2</v>
      </c>
      <c r="J285" s="71">
        <v>2</v>
      </c>
      <c r="K285" s="71" t="b">
        <v>0</v>
      </c>
      <c r="AI285" t="s">
        <v>367</v>
      </c>
      <c r="AJ285">
        <v>2</v>
      </c>
      <c r="AK285">
        <v>170</v>
      </c>
      <c r="AL285">
        <v>100</v>
      </c>
      <c r="AM285" s="74">
        <f ca="1">INDIRECT(ADDRESS(11+(MATCH(RIGHT(Table2[[#This Row],[spawner_sku]],LEN(Table2[[#This Row],[spawner_sku]])-FIND("/",Table2[[#This Row],[spawner_sku]])),Table1[Entity Prefab],0)),10,1,1,"Entities"))</f>
        <v>75</v>
      </c>
      <c r="AN285" s="74">
        <f ca="1">ROUND((Table2[[#This Row],[XP]]*Table2[[#This Row],[entity_spawned (AVG)]])*(Table2[[#This Row],[activating_chance]]/100),0)</f>
        <v>150</v>
      </c>
      <c r="AO285" s="71" t="str">
        <f ca="1">INDIRECT(ADDRESS(11+(MATCH(RIGHT(Table2[[#This Row],[spawner_sku]],LEN(Table2[[#This Row],[spawner_sku]])-FIND("/",Table2[[#This Row],[spawner_sku]])),Table28[Entity Prefab],0)),24,1,1,"Entities"))</f>
        <v>no</v>
      </c>
      <c r="AP285" s="71">
        <v>2</v>
      </c>
      <c r="AQ285" s="71">
        <v>2</v>
      </c>
      <c r="AR285" s="71" t="b">
        <v>0</v>
      </c>
      <c r="BP285" t="s">
        <v>423</v>
      </c>
      <c r="BQ285">
        <v>4</v>
      </c>
      <c r="BR285">
        <v>200</v>
      </c>
      <c r="BS285">
        <v>40</v>
      </c>
      <c r="BT285" s="74">
        <f ca="1">INDIRECT(ADDRESS(11+(MATCH(RIGHT(Table61011[[#This Row],[spawner_sku]],LEN(Table61011[[#This Row],[spawner_sku]])-FIND("/",Table61011[[#This Row],[spawner_sku]])),Table1[Entity Prefab],0)),10,1,1,"Entities"))</f>
        <v>0</v>
      </c>
      <c r="BU285" s="74">
        <f ca="1">ROUND((Table61011[[#This Row],[XP]]*Table61011[[#This Row],[entity_spawned (AVG)]])*(Table61011[[#This Row],[activating_chance]]/100),0)</f>
        <v>0</v>
      </c>
      <c r="BV285" s="71" t="str">
        <f ca="1">INDIRECT(ADDRESS(11+(MATCH(RIGHT(Table61011[[#This Row],[spawner_sku]],LEN(Table61011[[#This Row],[spawner_sku]])-FIND("/",Table61011[[#This Row],[spawner_sku]])),Table28[Entity Prefab],0)),24,1,1,"Entities"))</f>
        <v>yes</v>
      </c>
      <c r="BW285" s="71">
        <v>4</v>
      </c>
      <c r="BX285" s="71">
        <v>4</v>
      </c>
      <c r="BY285" s="71" t="b">
        <v>0</v>
      </c>
      <c r="BZ285" s="71"/>
      <c r="CA285" s="147" t="s">
        <v>3816</v>
      </c>
      <c r="CB285">
        <v>1</v>
      </c>
      <c r="CC285">
        <v>240</v>
      </c>
      <c r="CD285">
        <v>100</v>
      </c>
      <c r="CE285" s="74">
        <f ca="1">INDIRECT(ADDRESS(11+(MATCH(RIGHT(Table35[[#This Row],[spawner_sku]],LEN(Table35[[#This Row],[spawner_sku]])-FIND("/",Table35[[#This Row],[spawner_sku]])),Table1[Entity Prefab],0)),10,1,1,"Entities"))</f>
        <v>50</v>
      </c>
      <c r="CF285" s="74">
        <f ca="1">ROUND((Table35[[#This Row],[XP]]*Table35[[#This Row],[entity_spawned (AVG)]])*(Table35[[#This Row],[activating_chance]]/100),0)</f>
        <v>50</v>
      </c>
      <c r="CG285" s="144" t="str">
        <f ca="1">INDIRECT(ADDRESS(11+(MATCH(RIGHT(Table35[[#This Row],[spawner_sku]],LEN(Table35[[#This Row],[spawner_sku]])-FIND("/",Table35[[#This Row],[spawner_sku]])),Table28[Entity Prefab],0)),24,1,1,"Entities"))</f>
        <v>no</v>
      </c>
      <c r="CH285">
        <v>1</v>
      </c>
      <c r="CI285">
        <v>1</v>
      </c>
      <c r="CJ285" s="71" t="b">
        <v>0</v>
      </c>
      <c r="CL285" t="s">
        <v>446</v>
      </c>
      <c r="CM285">
        <v>1</v>
      </c>
      <c r="CN285">
        <v>240</v>
      </c>
      <c r="CO285">
        <v>100</v>
      </c>
      <c r="CP285" s="74">
        <f ca="1">INDIRECT(ADDRESS(11+(MATCH(RIGHT(Table11[[#This Row],[spawner_sku]],LEN(Table11[[#This Row],[spawner_sku]])-FIND("/",Table11[[#This Row],[spawner_sku]])),Table1[Entity Prefab],0)),10,1,1,"Entities"))</f>
        <v>83</v>
      </c>
      <c r="CQ285">
        <f ca="1">ROUND((Table11[[#This Row],[XP]]*Table11[[#This Row],[entity_spawned (AVG)]])*(Table11[[#This Row],[activating_chance]]/100),0)</f>
        <v>83</v>
      </c>
      <c r="CR285" s="144" t="str">
        <f ca="1">INDIRECT(ADDRESS(11+(MATCH(RIGHT(Table11[[#This Row],[spawner_sku]],LEN(Table11[[#This Row],[spawner_sku]])-FIND("/",Table11[[#This Row],[spawner_sku]])),Table28[Entity Prefab],0)),25,1,1,"Entities"))</f>
        <v>yes</v>
      </c>
      <c r="CS285" s="71">
        <v>1</v>
      </c>
      <c r="CT285" s="71">
        <v>1</v>
      </c>
      <c r="CU285" s="71" t="b">
        <v>0</v>
      </c>
      <c r="DH285" t="s">
        <v>366</v>
      </c>
      <c r="DI285">
        <v>2.5</v>
      </c>
      <c r="DJ285">
        <v>100</v>
      </c>
      <c r="DK285">
        <v>100</v>
      </c>
      <c r="DL285" s="74">
        <f ca="1">INDIRECT(ADDRESS(11+(MATCH(RIGHT(Table13[[#This Row],[spawner_sku]],LEN(Table13[[#This Row],[spawner_sku]])-FIND("/",Table13[[#This Row],[spawner_sku]])),Table1[Entity Prefab],0)),10,1,1,"Entities"))</f>
        <v>25</v>
      </c>
      <c r="DM285" s="74">
        <f ca="1">ROUND((Table13[[#This Row],[XP]]*Table13[[#This Row],[entity_spawned (AVG)]])*(Table13[[#This Row],[activating_chance]]/100),0)</f>
        <v>63</v>
      </c>
      <c r="DN285" s="144" t="str">
        <f ca="1">INDIRECT(ADDRESS(11+(MATCH(RIGHT(Table13[[#This Row],[spawner_sku]],LEN(Table13[[#This Row],[spawner_sku]])-FIND("/",Table13[[#This Row],[spawner_sku]])),Table28[Entity Prefab],0)),25,1,1,"Entities"))</f>
        <v>no</v>
      </c>
      <c r="DO285" s="71">
        <v>2</v>
      </c>
      <c r="DP285" s="71">
        <v>3</v>
      </c>
      <c r="DQ285" s="71" t="b">
        <v>0</v>
      </c>
      <c r="DS285" t="s">
        <v>367</v>
      </c>
      <c r="DT285">
        <v>1</v>
      </c>
      <c r="DU285">
        <v>100</v>
      </c>
      <c r="DV285">
        <v>100</v>
      </c>
      <c r="DW285" s="74">
        <f ca="1">INDIRECT(ADDRESS(11+(MATCH(RIGHT(Table14[[#This Row],[spawner_sku]],LEN(Table14[[#This Row],[spawner_sku]])-FIND("/",Table14[[#This Row],[spawner_sku]])),Table1[Entity Prefab],0)),10,1,1,"Entities"))</f>
        <v>75</v>
      </c>
      <c r="DX285" s="74">
        <f ca="1">ROUND((Table14[[#This Row],[XP]]*Table14[[#This Row],[entity_spawned (AVG)]])*(Table14[[#This Row],[activating_chance]]/100),0)</f>
        <v>75</v>
      </c>
      <c r="DY285" s="144" t="str">
        <f ca="1">INDIRECT(ADDRESS(11+(MATCH(RIGHT(Table14[[#This Row],[spawner_sku]],LEN(Table14[[#This Row],[spawner_sku]])-FIND("/",Table14[[#This Row],[spawner_sku]])),Table28[Entity Prefab],0)),25,1,1,"Entities"))</f>
        <v>no</v>
      </c>
      <c r="DZ285" s="71">
        <v>1</v>
      </c>
      <c r="EA285" s="71">
        <v>1</v>
      </c>
      <c r="EB285" s="71" t="b">
        <v>0</v>
      </c>
      <c r="EC285" s="71"/>
      <c r="EO285" t="s">
        <v>556</v>
      </c>
      <c r="EP285">
        <v>1</v>
      </c>
      <c r="EQ285">
        <v>160</v>
      </c>
      <c r="ER285">
        <v>50</v>
      </c>
      <c r="ES285" s="74">
        <f ca="1">INDIRECT(ADDRESS(11+(MATCH(RIGHT(Table18[[#This Row],[spawner_sku]],LEN(Table18[[#This Row],[spawner_sku]])-FIND("/",Table18[[#This Row],[spawner_sku]])),Table1[Entity Prefab],0)),10,1,1,"Entities"))</f>
        <v>25</v>
      </c>
      <c r="ET285" s="74">
        <f ca="1">ROUND((Table18[[#This Row],[XP]]*Table18[[#This Row],[entity_spawned (AVG)]])*(Table18[[#This Row],[activating_chance]]/100),0)</f>
        <v>13</v>
      </c>
      <c r="EU285" s="74" t="str">
        <f ca="1">INDIRECT(ADDRESS(11+(MATCH(RIGHT(Table18[[#This Row],[spawner_sku]],LEN(Table18[[#This Row],[spawner_sku]])-FIND("/",Table18[[#This Row],[spawner_sku]])),Table28[Entity Prefab],0)),26,1,1,"Entities"))</f>
        <v>no</v>
      </c>
      <c r="EV285">
        <v>1</v>
      </c>
      <c r="EW285">
        <v>1</v>
      </c>
      <c r="EX285" t="b">
        <v>0</v>
      </c>
    </row>
    <row r="286" spans="2:154" x14ac:dyDescent="0.25">
      <c r="B286" s="72" t="s">
        <v>223</v>
      </c>
      <c r="C286">
        <v>1.5</v>
      </c>
      <c r="D286">
        <v>170</v>
      </c>
      <c r="E286">
        <v>100</v>
      </c>
      <c r="F286" s="74">
        <f ca="1">INDIRECT(ADDRESS(11+(MATCH(RIGHT(Table245[[#This Row],[spawner_sku]],LEN(Table245[[#This Row],[spawner_sku]])-FIND("/",Table245[[#This Row],[spawner_sku]])),Table1[Entity Prefab],0)),10,1,1,"Entities"))</f>
        <v>70</v>
      </c>
      <c r="G286" s="74">
        <f ca="1">ROUND((Table245[[#This Row],[XP]]*Table245[[#This Row],[entity_spawned (AVG)]])*(Table245[[#This Row],[activating_chance]]/100),0)</f>
        <v>105</v>
      </c>
      <c r="H286" s="71" t="str">
        <f ca="1">INDIRECT(ADDRESS(11+(MATCH(RIGHT(Table245[[#This Row],[spawner_sku]],LEN(Table245[[#This Row],[spawner_sku]])-FIND("/",Table245[[#This Row],[spawner_sku]])),Table28[Entity Prefab],0)),24,1,1,"Entities"))</f>
        <v>yes</v>
      </c>
      <c r="I286" s="71">
        <v>1</v>
      </c>
      <c r="J286" s="71">
        <v>2</v>
      </c>
      <c r="K286" s="71" t="b">
        <v>0</v>
      </c>
      <c r="AI286" t="s">
        <v>367</v>
      </c>
      <c r="AJ286">
        <v>2</v>
      </c>
      <c r="AK286">
        <v>170</v>
      </c>
      <c r="AL286">
        <v>100</v>
      </c>
      <c r="AM286" s="74">
        <f ca="1">INDIRECT(ADDRESS(11+(MATCH(RIGHT(Table2[[#This Row],[spawner_sku]],LEN(Table2[[#This Row],[spawner_sku]])-FIND("/",Table2[[#This Row],[spawner_sku]])),Table1[Entity Prefab],0)),10,1,1,"Entities"))</f>
        <v>75</v>
      </c>
      <c r="AN286" s="74">
        <f ca="1">ROUND((Table2[[#This Row],[XP]]*Table2[[#This Row],[entity_spawned (AVG)]])*(Table2[[#This Row],[activating_chance]]/100),0)</f>
        <v>150</v>
      </c>
      <c r="AO286" s="71" t="str">
        <f ca="1">INDIRECT(ADDRESS(11+(MATCH(RIGHT(Table2[[#This Row],[spawner_sku]],LEN(Table2[[#This Row],[spawner_sku]])-FIND("/",Table2[[#This Row],[spawner_sku]])),Table28[Entity Prefab],0)),24,1,1,"Entities"))</f>
        <v>no</v>
      </c>
      <c r="AP286" s="71">
        <v>2</v>
      </c>
      <c r="AQ286" s="71">
        <v>2</v>
      </c>
      <c r="AR286" s="71" t="b">
        <v>0</v>
      </c>
      <c r="BP286" t="s">
        <v>423</v>
      </c>
      <c r="BQ286">
        <v>1.5</v>
      </c>
      <c r="BR286">
        <v>220</v>
      </c>
      <c r="BS286">
        <v>100</v>
      </c>
      <c r="BT286" s="74">
        <f ca="1">INDIRECT(ADDRESS(11+(MATCH(RIGHT(Table61011[[#This Row],[spawner_sku]],LEN(Table61011[[#This Row],[spawner_sku]])-FIND("/",Table61011[[#This Row],[spawner_sku]])),Table1[Entity Prefab],0)),10,1,1,"Entities"))</f>
        <v>0</v>
      </c>
      <c r="BU286" s="74">
        <f ca="1">ROUND((Table61011[[#This Row],[XP]]*Table61011[[#This Row],[entity_spawned (AVG)]])*(Table61011[[#This Row],[activating_chance]]/100),0)</f>
        <v>0</v>
      </c>
      <c r="BV286" s="71" t="str">
        <f ca="1">INDIRECT(ADDRESS(11+(MATCH(RIGHT(Table61011[[#This Row],[spawner_sku]],LEN(Table61011[[#This Row],[spawner_sku]])-FIND("/",Table61011[[#This Row],[spawner_sku]])),Table28[Entity Prefab],0)),24,1,1,"Entities"))</f>
        <v>yes</v>
      </c>
      <c r="BW286" s="71">
        <v>1</v>
      </c>
      <c r="BX286" s="71">
        <v>2</v>
      </c>
      <c r="BY286" s="71" t="b">
        <v>0</v>
      </c>
      <c r="BZ286" s="71"/>
      <c r="CA286" s="147" t="s">
        <v>3816</v>
      </c>
      <c r="CB286">
        <v>1</v>
      </c>
      <c r="CC286">
        <v>240</v>
      </c>
      <c r="CD286">
        <v>100</v>
      </c>
      <c r="CE286" s="74">
        <f ca="1">INDIRECT(ADDRESS(11+(MATCH(RIGHT(Table35[[#This Row],[spawner_sku]],LEN(Table35[[#This Row],[spawner_sku]])-FIND("/",Table35[[#This Row],[spawner_sku]])),Table1[Entity Prefab],0)),10,1,1,"Entities"))</f>
        <v>50</v>
      </c>
      <c r="CF286" s="74">
        <f ca="1">ROUND((Table35[[#This Row],[XP]]*Table35[[#This Row],[entity_spawned (AVG)]])*(Table35[[#This Row],[activating_chance]]/100),0)</f>
        <v>50</v>
      </c>
      <c r="CG286" s="144" t="str">
        <f ca="1">INDIRECT(ADDRESS(11+(MATCH(RIGHT(Table35[[#This Row],[spawner_sku]],LEN(Table35[[#This Row],[spawner_sku]])-FIND("/",Table35[[#This Row],[spawner_sku]])),Table28[Entity Prefab],0)),24,1,1,"Entities"))</f>
        <v>no</v>
      </c>
      <c r="CH286">
        <v>1</v>
      </c>
      <c r="CI286">
        <v>1</v>
      </c>
      <c r="CJ286" s="71" t="b">
        <v>0</v>
      </c>
      <c r="CL286" t="s">
        <v>446</v>
      </c>
      <c r="CM286">
        <v>1</v>
      </c>
      <c r="CN286">
        <v>240</v>
      </c>
      <c r="CO286">
        <v>80</v>
      </c>
      <c r="CP286" s="74">
        <f ca="1">INDIRECT(ADDRESS(11+(MATCH(RIGHT(Table11[[#This Row],[spawner_sku]],LEN(Table11[[#This Row],[spawner_sku]])-FIND("/",Table11[[#This Row],[spawner_sku]])),Table1[Entity Prefab],0)),10,1,1,"Entities"))</f>
        <v>83</v>
      </c>
      <c r="CQ286">
        <f ca="1">ROUND((Table11[[#This Row],[XP]]*Table11[[#This Row],[entity_spawned (AVG)]])*(Table11[[#This Row],[activating_chance]]/100),0)</f>
        <v>66</v>
      </c>
      <c r="CR286" s="144" t="str">
        <f ca="1">INDIRECT(ADDRESS(11+(MATCH(RIGHT(Table11[[#This Row],[spawner_sku]],LEN(Table11[[#This Row],[spawner_sku]])-FIND("/",Table11[[#This Row],[spawner_sku]])),Table28[Entity Prefab],0)),25,1,1,"Entities"))</f>
        <v>yes</v>
      </c>
      <c r="CS286" s="71">
        <v>1</v>
      </c>
      <c r="CT286" s="71">
        <v>1</v>
      </c>
      <c r="CU286" s="71" t="b">
        <v>0</v>
      </c>
      <c r="DH286" t="s">
        <v>366</v>
      </c>
      <c r="DI286">
        <v>3.5</v>
      </c>
      <c r="DJ286">
        <v>100</v>
      </c>
      <c r="DK286">
        <v>100</v>
      </c>
      <c r="DL286" s="74">
        <f ca="1">INDIRECT(ADDRESS(11+(MATCH(RIGHT(Table13[[#This Row],[spawner_sku]],LEN(Table13[[#This Row],[spawner_sku]])-FIND("/",Table13[[#This Row],[spawner_sku]])),Table1[Entity Prefab],0)),10,1,1,"Entities"))</f>
        <v>25</v>
      </c>
      <c r="DM286" s="74">
        <f ca="1">ROUND((Table13[[#This Row],[XP]]*Table13[[#This Row],[entity_spawned (AVG)]])*(Table13[[#This Row],[activating_chance]]/100),0)</f>
        <v>88</v>
      </c>
      <c r="DN286" s="144" t="str">
        <f ca="1">INDIRECT(ADDRESS(11+(MATCH(RIGHT(Table13[[#This Row],[spawner_sku]],LEN(Table13[[#This Row],[spawner_sku]])-FIND("/",Table13[[#This Row],[spawner_sku]])),Table28[Entity Prefab],0)),25,1,1,"Entities"))</f>
        <v>no</v>
      </c>
      <c r="DO286" s="71">
        <v>3</v>
      </c>
      <c r="DP286" s="71">
        <v>4</v>
      </c>
      <c r="DQ286" s="71" t="b">
        <v>0</v>
      </c>
      <c r="DS286" t="s">
        <v>367</v>
      </c>
      <c r="DT286">
        <v>1</v>
      </c>
      <c r="DU286">
        <v>200</v>
      </c>
      <c r="DV286">
        <v>80</v>
      </c>
      <c r="DW286" s="74">
        <f ca="1">INDIRECT(ADDRESS(11+(MATCH(RIGHT(Table14[[#This Row],[spawner_sku]],LEN(Table14[[#This Row],[spawner_sku]])-FIND("/",Table14[[#This Row],[spawner_sku]])),Table1[Entity Prefab],0)),10,1,1,"Entities"))</f>
        <v>75</v>
      </c>
      <c r="DX286" s="74">
        <f ca="1">ROUND((Table14[[#This Row],[XP]]*Table14[[#This Row],[entity_spawned (AVG)]])*(Table14[[#This Row],[activating_chance]]/100),0)</f>
        <v>60</v>
      </c>
      <c r="DY286" s="144" t="str">
        <f ca="1">INDIRECT(ADDRESS(11+(MATCH(RIGHT(Table14[[#This Row],[spawner_sku]],LEN(Table14[[#This Row],[spawner_sku]])-FIND("/",Table14[[#This Row],[spawner_sku]])),Table28[Entity Prefab],0)),25,1,1,"Entities"))</f>
        <v>no</v>
      </c>
      <c r="DZ286" s="71">
        <v>1</v>
      </c>
      <c r="EA286" s="71">
        <v>1</v>
      </c>
      <c r="EB286" s="71" t="b">
        <v>0</v>
      </c>
      <c r="EC286" s="71"/>
      <c r="EO286" t="s">
        <v>556</v>
      </c>
      <c r="EP286">
        <v>1</v>
      </c>
      <c r="EQ286">
        <v>160</v>
      </c>
      <c r="ER286">
        <v>100</v>
      </c>
      <c r="ES286" s="74">
        <f ca="1">INDIRECT(ADDRESS(11+(MATCH(RIGHT(Table18[[#This Row],[spawner_sku]],LEN(Table18[[#This Row],[spawner_sku]])-FIND("/",Table18[[#This Row],[spawner_sku]])),Table1[Entity Prefab],0)),10,1,1,"Entities"))</f>
        <v>25</v>
      </c>
      <c r="ET286" s="74">
        <f ca="1">ROUND((Table18[[#This Row],[XP]]*Table18[[#This Row],[entity_spawned (AVG)]])*(Table18[[#This Row],[activating_chance]]/100),0)</f>
        <v>25</v>
      </c>
      <c r="EU286" s="74" t="str">
        <f ca="1">INDIRECT(ADDRESS(11+(MATCH(RIGHT(Table18[[#This Row],[spawner_sku]],LEN(Table18[[#This Row],[spawner_sku]])-FIND("/",Table18[[#This Row],[spawner_sku]])),Table28[Entity Prefab],0)),26,1,1,"Entities"))</f>
        <v>no</v>
      </c>
      <c r="EV286">
        <v>1</v>
      </c>
      <c r="EW286">
        <v>1</v>
      </c>
      <c r="EX286" t="b">
        <v>0</v>
      </c>
    </row>
    <row r="287" spans="2:154" x14ac:dyDescent="0.25">
      <c r="B287" s="72" t="s">
        <v>223</v>
      </c>
      <c r="C287">
        <v>1</v>
      </c>
      <c r="D287">
        <v>170</v>
      </c>
      <c r="E287">
        <v>100</v>
      </c>
      <c r="F287" s="74">
        <f ca="1">INDIRECT(ADDRESS(11+(MATCH(RIGHT(Table245[[#This Row],[spawner_sku]],LEN(Table245[[#This Row],[spawner_sku]])-FIND("/",Table245[[#This Row],[spawner_sku]])),Table1[Entity Prefab],0)),10,1,1,"Entities"))</f>
        <v>70</v>
      </c>
      <c r="G287" s="74">
        <f ca="1">ROUND((Table245[[#This Row],[XP]]*Table245[[#This Row],[entity_spawned (AVG)]])*(Table245[[#This Row],[activating_chance]]/100),0)</f>
        <v>70</v>
      </c>
      <c r="H287" s="71" t="str">
        <f ca="1">INDIRECT(ADDRESS(11+(MATCH(RIGHT(Table245[[#This Row],[spawner_sku]],LEN(Table245[[#This Row],[spawner_sku]])-FIND("/",Table245[[#This Row],[spawner_sku]])),Table28[Entity Prefab],0)),24,1,1,"Entities"))</f>
        <v>yes</v>
      </c>
      <c r="I287" s="71">
        <v>1</v>
      </c>
      <c r="J287" s="71">
        <v>1</v>
      </c>
      <c r="K287" s="71" t="b">
        <v>0</v>
      </c>
      <c r="AI287" t="s">
        <v>367</v>
      </c>
      <c r="AJ287">
        <v>1</v>
      </c>
      <c r="AK287">
        <v>200</v>
      </c>
      <c r="AL287">
        <v>100</v>
      </c>
      <c r="AM287" s="74">
        <f ca="1">INDIRECT(ADDRESS(11+(MATCH(RIGHT(Table2[[#This Row],[spawner_sku]],LEN(Table2[[#This Row],[spawner_sku]])-FIND("/",Table2[[#This Row],[spawner_sku]])),Table1[Entity Prefab],0)),10,1,1,"Entities"))</f>
        <v>75</v>
      </c>
      <c r="AN287" s="74">
        <f ca="1">ROUND((Table2[[#This Row],[XP]]*Table2[[#This Row],[entity_spawned (AVG)]])*(Table2[[#This Row],[activating_chance]]/100),0)</f>
        <v>75</v>
      </c>
      <c r="AO287" s="71" t="str">
        <f ca="1">INDIRECT(ADDRESS(11+(MATCH(RIGHT(Table2[[#This Row],[spawner_sku]],LEN(Table2[[#This Row],[spawner_sku]])-FIND("/",Table2[[#This Row],[spawner_sku]])),Table28[Entity Prefab],0)),24,1,1,"Entities"))</f>
        <v>no</v>
      </c>
      <c r="AP287" s="71">
        <v>1</v>
      </c>
      <c r="AQ287" s="71">
        <v>1</v>
      </c>
      <c r="AR287" s="71" t="b">
        <v>0</v>
      </c>
      <c r="BP287" t="s">
        <v>423</v>
      </c>
      <c r="BQ287">
        <v>4</v>
      </c>
      <c r="BR287">
        <v>220</v>
      </c>
      <c r="BS287">
        <v>100</v>
      </c>
      <c r="BT287" s="74">
        <f ca="1">INDIRECT(ADDRESS(11+(MATCH(RIGHT(Table61011[[#This Row],[spawner_sku]],LEN(Table61011[[#This Row],[spawner_sku]])-FIND("/",Table61011[[#This Row],[spawner_sku]])),Table1[Entity Prefab],0)),10,1,1,"Entities"))</f>
        <v>0</v>
      </c>
      <c r="BU287" s="74">
        <f ca="1">ROUND((Table61011[[#This Row],[XP]]*Table61011[[#This Row],[entity_spawned (AVG)]])*(Table61011[[#This Row],[activating_chance]]/100),0)</f>
        <v>0</v>
      </c>
      <c r="BV287" s="71" t="str">
        <f ca="1">INDIRECT(ADDRESS(11+(MATCH(RIGHT(Table61011[[#This Row],[spawner_sku]],LEN(Table61011[[#This Row],[spawner_sku]])-FIND("/",Table61011[[#This Row],[spawner_sku]])),Table28[Entity Prefab],0)),24,1,1,"Entities"))</f>
        <v>yes</v>
      </c>
      <c r="BW287" s="71">
        <v>4</v>
      </c>
      <c r="BX287" s="71">
        <v>4</v>
      </c>
      <c r="BY287" s="71" t="b">
        <v>0</v>
      </c>
      <c r="BZ287" s="71"/>
      <c r="CA287" s="147" t="s">
        <v>3816</v>
      </c>
      <c r="CB287">
        <v>1</v>
      </c>
      <c r="CC287">
        <v>240</v>
      </c>
      <c r="CD287">
        <v>100</v>
      </c>
      <c r="CE287" s="74">
        <f ca="1">INDIRECT(ADDRESS(11+(MATCH(RIGHT(Table35[[#This Row],[spawner_sku]],LEN(Table35[[#This Row],[spawner_sku]])-FIND("/",Table35[[#This Row],[spawner_sku]])),Table1[Entity Prefab],0)),10,1,1,"Entities"))</f>
        <v>50</v>
      </c>
      <c r="CF287" s="74">
        <f ca="1">ROUND((Table35[[#This Row],[XP]]*Table35[[#This Row],[entity_spawned (AVG)]])*(Table35[[#This Row],[activating_chance]]/100),0)</f>
        <v>50</v>
      </c>
      <c r="CG287" s="144" t="str">
        <f ca="1">INDIRECT(ADDRESS(11+(MATCH(RIGHT(Table35[[#This Row],[spawner_sku]],LEN(Table35[[#This Row],[spawner_sku]])-FIND("/",Table35[[#This Row],[spawner_sku]])),Table28[Entity Prefab],0)),24,1,1,"Entities"))</f>
        <v>no</v>
      </c>
      <c r="CH287">
        <v>1</v>
      </c>
      <c r="CI287">
        <v>1</v>
      </c>
      <c r="CJ287" s="71" t="b">
        <v>0</v>
      </c>
      <c r="CL287" t="s">
        <v>447</v>
      </c>
      <c r="CM287">
        <v>1</v>
      </c>
      <c r="CN287">
        <v>260</v>
      </c>
      <c r="CO287">
        <v>80</v>
      </c>
      <c r="CP287" s="74">
        <f ca="1">INDIRECT(ADDRESS(11+(MATCH(RIGHT(Table11[[#This Row],[spawner_sku]],LEN(Table11[[#This Row],[spawner_sku]])-FIND("/",Table11[[#This Row],[spawner_sku]])),Table1[Entity Prefab],0)),10,1,1,"Entities"))</f>
        <v>105</v>
      </c>
      <c r="CQ287">
        <f ca="1">ROUND((Table11[[#This Row],[XP]]*Table11[[#This Row],[entity_spawned (AVG)]])*(Table11[[#This Row],[activating_chance]]/100),0)</f>
        <v>84</v>
      </c>
      <c r="CR287" s="144" t="str">
        <f ca="1">INDIRECT(ADDRESS(11+(MATCH(RIGHT(Table11[[#This Row],[spawner_sku]],LEN(Table11[[#This Row],[spawner_sku]])-FIND("/",Table11[[#This Row],[spawner_sku]])),Table28[Entity Prefab],0)),25,1,1,"Entities"))</f>
        <v>yes</v>
      </c>
      <c r="CS287" s="71">
        <v>1</v>
      </c>
      <c r="CT287" s="71">
        <v>1</v>
      </c>
      <c r="CU287" s="71" t="b">
        <v>0</v>
      </c>
      <c r="DH287" t="s">
        <v>366</v>
      </c>
      <c r="DI287">
        <v>2.5</v>
      </c>
      <c r="DJ287">
        <v>100</v>
      </c>
      <c r="DK287">
        <v>100</v>
      </c>
      <c r="DL287" s="74">
        <f ca="1">INDIRECT(ADDRESS(11+(MATCH(RIGHT(Table13[[#This Row],[spawner_sku]],LEN(Table13[[#This Row],[spawner_sku]])-FIND("/",Table13[[#This Row],[spawner_sku]])),Table1[Entity Prefab],0)),10,1,1,"Entities"))</f>
        <v>25</v>
      </c>
      <c r="DM287" s="74">
        <f ca="1">ROUND((Table13[[#This Row],[XP]]*Table13[[#This Row],[entity_spawned (AVG)]])*(Table13[[#This Row],[activating_chance]]/100),0)</f>
        <v>63</v>
      </c>
      <c r="DN287" s="144" t="str">
        <f ca="1">INDIRECT(ADDRESS(11+(MATCH(RIGHT(Table13[[#This Row],[spawner_sku]],LEN(Table13[[#This Row],[spawner_sku]])-FIND("/",Table13[[#This Row],[spawner_sku]])),Table28[Entity Prefab],0)),25,1,1,"Entities"))</f>
        <v>no</v>
      </c>
      <c r="DO287" s="71">
        <v>2</v>
      </c>
      <c r="DP287" s="71">
        <v>3</v>
      </c>
      <c r="DQ287" s="71" t="b">
        <v>0</v>
      </c>
      <c r="DS287" t="s">
        <v>367</v>
      </c>
      <c r="DT287">
        <v>1</v>
      </c>
      <c r="DU287">
        <v>130</v>
      </c>
      <c r="DV287">
        <v>100</v>
      </c>
      <c r="DW287" s="74">
        <f ca="1">INDIRECT(ADDRESS(11+(MATCH(RIGHT(Table14[[#This Row],[spawner_sku]],LEN(Table14[[#This Row],[spawner_sku]])-FIND("/",Table14[[#This Row],[spawner_sku]])),Table1[Entity Prefab],0)),10,1,1,"Entities"))</f>
        <v>75</v>
      </c>
      <c r="DX287" s="74">
        <f ca="1">ROUND((Table14[[#This Row],[XP]]*Table14[[#This Row],[entity_spawned (AVG)]])*(Table14[[#This Row],[activating_chance]]/100),0)</f>
        <v>75</v>
      </c>
      <c r="DY287" s="144" t="str">
        <f ca="1">INDIRECT(ADDRESS(11+(MATCH(RIGHT(Table14[[#This Row],[spawner_sku]],LEN(Table14[[#This Row],[spawner_sku]])-FIND("/",Table14[[#This Row],[spawner_sku]])),Table28[Entity Prefab],0)),25,1,1,"Entities"))</f>
        <v>no</v>
      </c>
      <c r="DZ287" s="71">
        <v>1</v>
      </c>
      <c r="EA287" s="71">
        <v>1</v>
      </c>
      <c r="EB287" s="71" t="b">
        <v>0</v>
      </c>
      <c r="EC287" s="71"/>
      <c r="EO287" t="s">
        <v>556</v>
      </c>
      <c r="EP287">
        <v>1</v>
      </c>
      <c r="EQ287">
        <v>160</v>
      </c>
      <c r="ER287">
        <v>100</v>
      </c>
      <c r="ES287" s="74">
        <f ca="1">INDIRECT(ADDRESS(11+(MATCH(RIGHT(Table18[[#This Row],[spawner_sku]],LEN(Table18[[#This Row],[spawner_sku]])-FIND("/",Table18[[#This Row],[spawner_sku]])),Table1[Entity Prefab],0)),10,1,1,"Entities"))</f>
        <v>25</v>
      </c>
      <c r="ET287" s="74">
        <f ca="1">ROUND((Table18[[#This Row],[XP]]*Table18[[#This Row],[entity_spawned (AVG)]])*(Table18[[#This Row],[activating_chance]]/100),0)</f>
        <v>25</v>
      </c>
      <c r="EU287" s="74" t="str">
        <f ca="1">INDIRECT(ADDRESS(11+(MATCH(RIGHT(Table18[[#This Row],[spawner_sku]],LEN(Table18[[#This Row],[spawner_sku]])-FIND("/",Table18[[#This Row],[spawner_sku]])),Table28[Entity Prefab],0)),26,1,1,"Entities"))</f>
        <v>no</v>
      </c>
      <c r="EV287">
        <v>1</v>
      </c>
      <c r="EW287">
        <v>1</v>
      </c>
      <c r="EX287" t="b">
        <v>0</v>
      </c>
    </row>
    <row r="288" spans="2:154" x14ac:dyDescent="0.25">
      <c r="B288" s="72" t="s">
        <v>223</v>
      </c>
      <c r="C288">
        <v>1</v>
      </c>
      <c r="D288">
        <v>170</v>
      </c>
      <c r="E288">
        <v>100</v>
      </c>
      <c r="F288" s="74">
        <f ca="1">INDIRECT(ADDRESS(11+(MATCH(RIGHT(Table245[[#This Row],[spawner_sku]],LEN(Table245[[#This Row],[spawner_sku]])-FIND("/",Table245[[#This Row],[spawner_sku]])),Table1[Entity Prefab],0)),10,1,1,"Entities"))</f>
        <v>70</v>
      </c>
      <c r="G288" s="74">
        <f ca="1">ROUND((Table245[[#This Row],[XP]]*Table245[[#This Row],[entity_spawned (AVG)]])*(Table245[[#This Row],[activating_chance]]/100),0)</f>
        <v>70</v>
      </c>
      <c r="H288" s="71" t="str">
        <f ca="1">INDIRECT(ADDRESS(11+(MATCH(RIGHT(Table245[[#This Row],[spawner_sku]],LEN(Table245[[#This Row],[spawner_sku]])-FIND("/",Table245[[#This Row],[spawner_sku]])),Table28[Entity Prefab],0)),24,1,1,"Entities"))</f>
        <v>yes</v>
      </c>
      <c r="I288" s="71">
        <v>1</v>
      </c>
      <c r="J288" s="71">
        <v>1</v>
      </c>
      <c r="K288" s="71" t="b">
        <v>0</v>
      </c>
      <c r="AI288" t="s">
        <v>367</v>
      </c>
      <c r="AJ288">
        <v>1</v>
      </c>
      <c r="AK288">
        <v>220</v>
      </c>
      <c r="AL288">
        <v>100</v>
      </c>
      <c r="AM288" s="74">
        <f ca="1">INDIRECT(ADDRESS(11+(MATCH(RIGHT(Table2[[#This Row],[spawner_sku]],LEN(Table2[[#This Row],[spawner_sku]])-FIND("/",Table2[[#This Row],[spawner_sku]])),Table1[Entity Prefab],0)),10,1,1,"Entities"))</f>
        <v>75</v>
      </c>
      <c r="AN288" s="74">
        <f ca="1">ROUND((Table2[[#This Row],[XP]]*Table2[[#This Row],[entity_spawned (AVG)]])*(Table2[[#This Row],[activating_chance]]/100),0)</f>
        <v>75</v>
      </c>
      <c r="AO288" s="71" t="str">
        <f ca="1">INDIRECT(ADDRESS(11+(MATCH(RIGHT(Table2[[#This Row],[spawner_sku]],LEN(Table2[[#This Row],[spawner_sku]])-FIND("/",Table2[[#This Row],[spawner_sku]])),Table28[Entity Prefab],0)),24,1,1,"Entities"))</f>
        <v>no</v>
      </c>
      <c r="AP288" s="71">
        <v>1</v>
      </c>
      <c r="AQ288" s="71">
        <v>1</v>
      </c>
      <c r="AR288" s="71" t="b">
        <v>0</v>
      </c>
      <c r="BP288" t="s">
        <v>423</v>
      </c>
      <c r="BQ288">
        <v>4</v>
      </c>
      <c r="BR288">
        <v>200</v>
      </c>
      <c r="BS288">
        <v>80</v>
      </c>
      <c r="BT288" s="74">
        <f ca="1">INDIRECT(ADDRESS(11+(MATCH(RIGHT(Table61011[[#This Row],[spawner_sku]],LEN(Table61011[[#This Row],[spawner_sku]])-FIND("/",Table61011[[#This Row],[spawner_sku]])),Table1[Entity Prefab],0)),10,1,1,"Entities"))</f>
        <v>0</v>
      </c>
      <c r="BU288" s="74">
        <f ca="1">ROUND((Table61011[[#This Row],[XP]]*Table61011[[#This Row],[entity_spawned (AVG)]])*(Table61011[[#This Row],[activating_chance]]/100),0)</f>
        <v>0</v>
      </c>
      <c r="BV288" s="71" t="str">
        <f ca="1">INDIRECT(ADDRESS(11+(MATCH(RIGHT(Table61011[[#This Row],[spawner_sku]],LEN(Table61011[[#This Row],[spawner_sku]])-FIND("/",Table61011[[#This Row],[spawner_sku]])),Table28[Entity Prefab],0)),24,1,1,"Entities"))</f>
        <v>yes</v>
      </c>
      <c r="BW288" s="71">
        <v>4</v>
      </c>
      <c r="BX288" s="71">
        <v>4</v>
      </c>
      <c r="BY288" s="71" t="b">
        <v>0</v>
      </c>
      <c r="BZ288" s="71"/>
      <c r="CA288" s="147" t="s">
        <v>3816</v>
      </c>
      <c r="CB288">
        <v>1</v>
      </c>
      <c r="CC288">
        <v>240</v>
      </c>
      <c r="CD288">
        <v>100</v>
      </c>
      <c r="CE288" s="74">
        <f ca="1">INDIRECT(ADDRESS(11+(MATCH(RIGHT(Table35[[#This Row],[spawner_sku]],LEN(Table35[[#This Row],[spawner_sku]])-FIND("/",Table35[[#This Row],[spawner_sku]])),Table1[Entity Prefab],0)),10,1,1,"Entities"))</f>
        <v>50</v>
      </c>
      <c r="CF288" s="74">
        <f ca="1">ROUND((Table35[[#This Row],[XP]]*Table35[[#This Row],[entity_spawned (AVG)]])*(Table35[[#This Row],[activating_chance]]/100),0)</f>
        <v>50</v>
      </c>
      <c r="CG288" s="144" t="str">
        <f ca="1">INDIRECT(ADDRESS(11+(MATCH(RIGHT(Table35[[#This Row],[spawner_sku]],LEN(Table35[[#This Row],[spawner_sku]])-FIND("/",Table35[[#This Row],[spawner_sku]])),Table28[Entity Prefab],0)),24,1,1,"Entities"))</f>
        <v>no</v>
      </c>
      <c r="CH288">
        <v>1</v>
      </c>
      <c r="CI288">
        <v>1</v>
      </c>
      <c r="CJ288" s="71" t="b">
        <v>0</v>
      </c>
      <c r="CL288" t="s">
        <v>447</v>
      </c>
      <c r="CM288">
        <v>1</v>
      </c>
      <c r="CN288">
        <v>200</v>
      </c>
      <c r="CO288">
        <v>50</v>
      </c>
      <c r="CP288" s="74">
        <f ca="1">INDIRECT(ADDRESS(11+(MATCH(RIGHT(Table11[[#This Row],[spawner_sku]],LEN(Table11[[#This Row],[spawner_sku]])-FIND("/",Table11[[#This Row],[spawner_sku]])),Table1[Entity Prefab],0)),10,1,1,"Entities"))</f>
        <v>105</v>
      </c>
      <c r="CQ288">
        <f ca="1">ROUND((Table11[[#This Row],[XP]]*Table11[[#This Row],[entity_spawned (AVG)]])*(Table11[[#This Row],[activating_chance]]/100),0)</f>
        <v>53</v>
      </c>
      <c r="CR288" s="144" t="str">
        <f ca="1">INDIRECT(ADDRESS(11+(MATCH(RIGHT(Table11[[#This Row],[spawner_sku]],LEN(Table11[[#This Row],[spawner_sku]])-FIND("/",Table11[[#This Row],[spawner_sku]])),Table28[Entity Prefab],0)),25,1,1,"Entities"))</f>
        <v>yes</v>
      </c>
      <c r="CS288" s="71">
        <v>1</v>
      </c>
      <c r="CT288" s="71">
        <v>1</v>
      </c>
      <c r="CU288" s="71" t="b">
        <v>0</v>
      </c>
      <c r="DH288" t="s">
        <v>366</v>
      </c>
      <c r="DI288">
        <v>2</v>
      </c>
      <c r="DJ288">
        <v>100</v>
      </c>
      <c r="DK288">
        <v>100</v>
      </c>
      <c r="DL288" s="74">
        <f ca="1">INDIRECT(ADDRESS(11+(MATCH(RIGHT(Table13[[#This Row],[spawner_sku]],LEN(Table13[[#This Row],[spawner_sku]])-FIND("/",Table13[[#This Row],[spawner_sku]])),Table1[Entity Prefab],0)),10,1,1,"Entities"))</f>
        <v>25</v>
      </c>
      <c r="DM288" s="74">
        <f ca="1">ROUND((Table13[[#This Row],[XP]]*Table13[[#This Row],[entity_spawned (AVG)]])*(Table13[[#This Row],[activating_chance]]/100),0)</f>
        <v>50</v>
      </c>
      <c r="DN288" s="144" t="str">
        <f ca="1">INDIRECT(ADDRESS(11+(MATCH(RIGHT(Table13[[#This Row],[spawner_sku]],LEN(Table13[[#This Row],[spawner_sku]])-FIND("/",Table13[[#This Row],[spawner_sku]])),Table28[Entity Prefab],0)),25,1,1,"Entities"))</f>
        <v>no</v>
      </c>
      <c r="DO288" s="71">
        <v>1</v>
      </c>
      <c r="DP288" s="71">
        <v>3</v>
      </c>
      <c r="DQ288" s="71" t="b">
        <v>0</v>
      </c>
      <c r="DS288" t="s">
        <v>367</v>
      </c>
      <c r="DT288">
        <v>1</v>
      </c>
      <c r="DU288">
        <v>135</v>
      </c>
      <c r="DV288">
        <v>100</v>
      </c>
      <c r="DW288" s="74">
        <f ca="1">INDIRECT(ADDRESS(11+(MATCH(RIGHT(Table14[[#This Row],[spawner_sku]],LEN(Table14[[#This Row],[spawner_sku]])-FIND("/",Table14[[#This Row],[spawner_sku]])),Table1[Entity Prefab],0)),10,1,1,"Entities"))</f>
        <v>75</v>
      </c>
      <c r="DX288" s="74">
        <f ca="1">ROUND((Table14[[#This Row],[XP]]*Table14[[#This Row],[entity_spawned (AVG)]])*(Table14[[#This Row],[activating_chance]]/100),0)</f>
        <v>75</v>
      </c>
      <c r="DY288" s="144" t="str">
        <f ca="1">INDIRECT(ADDRESS(11+(MATCH(RIGHT(Table14[[#This Row],[spawner_sku]],LEN(Table14[[#This Row],[spawner_sku]])-FIND("/",Table14[[#This Row],[spawner_sku]])),Table28[Entity Prefab],0)),25,1,1,"Entities"))</f>
        <v>no</v>
      </c>
      <c r="DZ288" s="71">
        <v>1</v>
      </c>
      <c r="EA288" s="71">
        <v>1</v>
      </c>
      <c r="EB288" s="71" t="b">
        <v>0</v>
      </c>
      <c r="EC288" s="71"/>
      <c r="EO288" t="s">
        <v>556</v>
      </c>
      <c r="EP288">
        <v>1</v>
      </c>
      <c r="EQ288">
        <v>160</v>
      </c>
      <c r="ER288">
        <v>100</v>
      </c>
      <c r="ES288" s="74">
        <f ca="1">INDIRECT(ADDRESS(11+(MATCH(RIGHT(Table18[[#This Row],[spawner_sku]],LEN(Table18[[#This Row],[spawner_sku]])-FIND("/",Table18[[#This Row],[spawner_sku]])),Table1[Entity Prefab],0)),10,1,1,"Entities"))</f>
        <v>25</v>
      </c>
      <c r="ET288" s="74">
        <f ca="1">ROUND((Table18[[#This Row],[XP]]*Table18[[#This Row],[entity_spawned (AVG)]])*(Table18[[#This Row],[activating_chance]]/100),0)</f>
        <v>25</v>
      </c>
      <c r="EU288" s="74" t="str">
        <f ca="1">INDIRECT(ADDRESS(11+(MATCH(RIGHT(Table18[[#This Row],[spawner_sku]],LEN(Table18[[#This Row],[spawner_sku]])-FIND("/",Table18[[#This Row],[spawner_sku]])),Table28[Entity Prefab],0)),26,1,1,"Entities"))</f>
        <v>no</v>
      </c>
      <c r="EV288">
        <v>1</v>
      </c>
      <c r="EW288">
        <v>1</v>
      </c>
      <c r="EX288" t="b">
        <v>0</v>
      </c>
    </row>
    <row r="289" spans="2:154" x14ac:dyDescent="0.25">
      <c r="B289" s="72" t="s">
        <v>223</v>
      </c>
      <c r="C289">
        <v>3.5</v>
      </c>
      <c r="D289">
        <v>170</v>
      </c>
      <c r="E289">
        <v>100</v>
      </c>
      <c r="F289" s="74">
        <f ca="1">INDIRECT(ADDRESS(11+(MATCH(RIGHT(Table245[[#This Row],[spawner_sku]],LEN(Table245[[#This Row],[spawner_sku]])-FIND("/",Table245[[#This Row],[spawner_sku]])),Table1[Entity Prefab],0)),10,1,1,"Entities"))</f>
        <v>70</v>
      </c>
      <c r="G289" s="74">
        <f ca="1">ROUND((Table245[[#This Row],[XP]]*Table245[[#This Row],[entity_spawned (AVG)]])*(Table245[[#This Row],[activating_chance]]/100),0)</f>
        <v>245</v>
      </c>
      <c r="H289" s="71" t="str">
        <f ca="1">INDIRECT(ADDRESS(11+(MATCH(RIGHT(Table245[[#This Row],[spawner_sku]],LEN(Table245[[#This Row],[spawner_sku]])-FIND("/",Table245[[#This Row],[spawner_sku]])),Table28[Entity Prefab],0)),24,1,1,"Entities"))</f>
        <v>yes</v>
      </c>
      <c r="I289" s="71">
        <v>3</v>
      </c>
      <c r="J289" s="71">
        <v>4</v>
      </c>
      <c r="K289" s="71" t="b">
        <v>0</v>
      </c>
      <c r="AI289" t="s">
        <v>367</v>
      </c>
      <c r="AJ289">
        <v>1</v>
      </c>
      <c r="AK289">
        <v>200</v>
      </c>
      <c r="AL289">
        <v>30</v>
      </c>
      <c r="AM289" s="74">
        <f ca="1">INDIRECT(ADDRESS(11+(MATCH(RIGHT(Table2[[#This Row],[spawner_sku]],LEN(Table2[[#This Row],[spawner_sku]])-FIND("/",Table2[[#This Row],[spawner_sku]])),Table1[Entity Prefab],0)),10,1,1,"Entities"))</f>
        <v>75</v>
      </c>
      <c r="AN289" s="74">
        <f ca="1">ROUND((Table2[[#This Row],[XP]]*Table2[[#This Row],[entity_spawned (AVG)]])*(Table2[[#This Row],[activating_chance]]/100),0)</f>
        <v>23</v>
      </c>
      <c r="AO289" s="71" t="str">
        <f ca="1">INDIRECT(ADDRESS(11+(MATCH(RIGHT(Table2[[#This Row],[spawner_sku]],LEN(Table2[[#This Row],[spawner_sku]])-FIND("/",Table2[[#This Row],[spawner_sku]])),Table28[Entity Prefab],0)),24,1,1,"Entities"))</f>
        <v>no</v>
      </c>
      <c r="AP289" s="71">
        <v>1</v>
      </c>
      <c r="AQ289" s="71">
        <v>1</v>
      </c>
      <c r="AR289" s="71" t="b">
        <v>0</v>
      </c>
      <c r="BP289" t="s">
        <v>233</v>
      </c>
      <c r="BQ289">
        <v>1</v>
      </c>
      <c r="BR289">
        <v>500</v>
      </c>
      <c r="BS289">
        <v>75</v>
      </c>
      <c r="BT289" s="74">
        <f ca="1">INDIRECT(ADDRESS(11+(MATCH(RIGHT(Table61011[[#This Row],[spawner_sku]],LEN(Table61011[[#This Row],[spawner_sku]])-FIND("/",Table61011[[#This Row],[spawner_sku]])),Table1[Entity Prefab],0)),10,1,1,"Entities"))</f>
        <v>25</v>
      </c>
      <c r="BU289" s="74">
        <f ca="1">ROUND((Table61011[[#This Row],[XP]]*Table61011[[#This Row],[entity_spawned (AVG)]])*(Table61011[[#This Row],[activating_chance]]/100),0)</f>
        <v>19</v>
      </c>
      <c r="BV289" s="71" t="str">
        <f ca="1">INDIRECT(ADDRESS(11+(MATCH(RIGHT(Table61011[[#This Row],[spawner_sku]],LEN(Table61011[[#This Row],[spawner_sku]])-FIND("/",Table61011[[#This Row],[spawner_sku]])),Table28[Entity Prefab],0)),24,1,1,"Entities"))</f>
        <v>no</v>
      </c>
      <c r="BW289" s="71">
        <v>1</v>
      </c>
      <c r="BX289" s="71">
        <v>1</v>
      </c>
      <c r="BY289" s="71" t="b">
        <v>0</v>
      </c>
      <c r="BZ289" s="71"/>
      <c r="CA289" s="147" t="s">
        <v>3816</v>
      </c>
      <c r="CB289">
        <v>1</v>
      </c>
      <c r="CC289">
        <v>240</v>
      </c>
      <c r="CD289">
        <v>100</v>
      </c>
      <c r="CE289" s="74">
        <f ca="1">INDIRECT(ADDRESS(11+(MATCH(RIGHT(Table35[[#This Row],[spawner_sku]],LEN(Table35[[#This Row],[spawner_sku]])-FIND("/",Table35[[#This Row],[spawner_sku]])),Table1[Entity Prefab],0)),10,1,1,"Entities"))</f>
        <v>50</v>
      </c>
      <c r="CF289" s="74">
        <f ca="1">ROUND((Table35[[#This Row],[XP]]*Table35[[#This Row],[entity_spawned (AVG)]])*(Table35[[#This Row],[activating_chance]]/100),0)</f>
        <v>50</v>
      </c>
      <c r="CG289" s="144" t="str">
        <f ca="1">INDIRECT(ADDRESS(11+(MATCH(RIGHT(Table35[[#This Row],[spawner_sku]],LEN(Table35[[#This Row],[spawner_sku]])-FIND("/",Table35[[#This Row],[spawner_sku]])),Table28[Entity Prefab],0)),24,1,1,"Entities"))</f>
        <v>no</v>
      </c>
      <c r="CH289">
        <v>1</v>
      </c>
      <c r="CI289">
        <v>1</v>
      </c>
      <c r="CJ289" s="71" t="b">
        <v>0</v>
      </c>
      <c r="CL289" t="s">
        <v>447</v>
      </c>
      <c r="CM289">
        <v>1</v>
      </c>
      <c r="CN289">
        <v>200</v>
      </c>
      <c r="CO289">
        <v>10</v>
      </c>
      <c r="CP289" s="74">
        <f ca="1">INDIRECT(ADDRESS(11+(MATCH(RIGHT(Table11[[#This Row],[spawner_sku]],LEN(Table11[[#This Row],[spawner_sku]])-FIND("/",Table11[[#This Row],[spawner_sku]])),Table1[Entity Prefab],0)),10,1,1,"Entities"))</f>
        <v>105</v>
      </c>
      <c r="CQ289">
        <f ca="1">ROUND((Table11[[#This Row],[XP]]*Table11[[#This Row],[entity_spawned (AVG)]])*(Table11[[#This Row],[activating_chance]]/100),0)</f>
        <v>11</v>
      </c>
      <c r="CR289" s="144" t="str">
        <f ca="1">INDIRECT(ADDRESS(11+(MATCH(RIGHT(Table11[[#This Row],[spawner_sku]],LEN(Table11[[#This Row],[spawner_sku]])-FIND("/",Table11[[#This Row],[spawner_sku]])),Table28[Entity Prefab],0)),25,1,1,"Entities"))</f>
        <v>yes</v>
      </c>
      <c r="CS289" s="71">
        <v>1</v>
      </c>
      <c r="CT289" s="71">
        <v>1</v>
      </c>
      <c r="CU289" s="71" t="b">
        <v>0</v>
      </c>
      <c r="DH289" t="s">
        <v>366</v>
      </c>
      <c r="DI289">
        <v>1.5</v>
      </c>
      <c r="DJ289">
        <v>100</v>
      </c>
      <c r="DK289">
        <v>100</v>
      </c>
      <c r="DL289" s="74">
        <f ca="1">INDIRECT(ADDRESS(11+(MATCH(RIGHT(Table13[[#This Row],[spawner_sku]],LEN(Table13[[#This Row],[spawner_sku]])-FIND("/",Table13[[#This Row],[spawner_sku]])),Table1[Entity Prefab],0)),10,1,1,"Entities"))</f>
        <v>25</v>
      </c>
      <c r="DM289" s="74">
        <f ca="1">ROUND((Table13[[#This Row],[XP]]*Table13[[#This Row],[entity_spawned (AVG)]])*(Table13[[#This Row],[activating_chance]]/100),0)</f>
        <v>38</v>
      </c>
      <c r="DN289" s="144" t="str">
        <f ca="1">INDIRECT(ADDRESS(11+(MATCH(RIGHT(Table13[[#This Row],[spawner_sku]],LEN(Table13[[#This Row],[spawner_sku]])-FIND("/",Table13[[#This Row],[spawner_sku]])),Table28[Entity Prefab],0)),25,1,1,"Entities"))</f>
        <v>no</v>
      </c>
      <c r="DO289" s="71">
        <v>1</v>
      </c>
      <c r="DP289" s="71">
        <v>2</v>
      </c>
      <c r="DQ289" s="71" t="b">
        <v>0</v>
      </c>
      <c r="DS289" t="s">
        <v>367</v>
      </c>
      <c r="DT289">
        <v>1</v>
      </c>
      <c r="DU289">
        <v>200</v>
      </c>
      <c r="DV289">
        <v>100</v>
      </c>
      <c r="DW289" s="74">
        <f ca="1">INDIRECT(ADDRESS(11+(MATCH(RIGHT(Table14[[#This Row],[spawner_sku]],LEN(Table14[[#This Row],[spawner_sku]])-FIND("/",Table14[[#This Row],[spawner_sku]])),Table1[Entity Prefab],0)),10,1,1,"Entities"))</f>
        <v>75</v>
      </c>
      <c r="DX289" s="74">
        <f ca="1">ROUND((Table14[[#This Row],[XP]]*Table14[[#This Row],[entity_spawned (AVG)]])*(Table14[[#This Row],[activating_chance]]/100),0)</f>
        <v>75</v>
      </c>
      <c r="DY289" s="144" t="str">
        <f ca="1">INDIRECT(ADDRESS(11+(MATCH(RIGHT(Table14[[#This Row],[spawner_sku]],LEN(Table14[[#This Row],[spawner_sku]])-FIND("/",Table14[[#This Row],[spawner_sku]])),Table28[Entity Prefab],0)),25,1,1,"Entities"))</f>
        <v>no</v>
      </c>
      <c r="DZ289" s="71">
        <v>1</v>
      </c>
      <c r="EA289" s="71">
        <v>1</v>
      </c>
      <c r="EB289" s="71" t="b">
        <v>0</v>
      </c>
      <c r="EC289" s="71"/>
      <c r="EO289" t="s">
        <v>556</v>
      </c>
      <c r="EP289">
        <v>1</v>
      </c>
      <c r="EQ289">
        <v>160</v>
      </c>
      <c r="ER289">
        <v>80</v>
      </c>
      <c r="ES289" s="74">
        <f ca="1">INDIRECT(ADDRESS(11+(MATCH(RIGHT(Table18[[#This Row],[spawner_sku]],LEN(Table18[[#This Row],[spawner_sku]])-FIND("/",Table18[[#This Row],[spawner_sku]])),Table1[Entity Prefab],0)),10,1,1,"Entities"))</f>
        <v>25</v>
      </c>
      <c r="ET289" s="74">
        <f ca="1">ROUND((Table18[[#This Row],[XP]]*Table18[[#This Row],[entity_spawned (AVG)]])*(Table18[[#This Row],[activating_chance]]/100),0)</f>
        <v>20</v>
      </c>
      <c r="EU289" s="74" t="str">
        <f ca="1">INDIRECT(ADDRESS(11+(MATCH(RIGHT(Table18[[#This Row],[spawner_sku]],LEN(Table18[[#This Row],[spawner_sku]])-FIND("/",Table18[[#This Row],[spawner_sku]])),Table28[Entity Prefab],0)),26,1,1,"Entities"))</f>
        <v>no</v>
      </c>
      <c r="EV289">
        <v>1</v>
      </c>
      <c r="EW289">
        <v>1</v>
      </c>
      <c r="EX289" t="b">
        <v>0</v>
      </c>
    </row>
    <row r="290" spans="2:154" x14ac:dyDescent="0.25">
      <c r="B290" s="72" t="s">
        <v>223</v>
      </c>
      <c r="C290">
        <v>1</v>
      </c>
      <c r="D290">
        <v>170</v>
      </c>
      <c r="E290">
        <v>100</v>
      </c>
      <c r="F290" s="74">
        <f ca="1">INDIRECT(ADDRESS(11+(MATCH(RIGHT(Table245[[#This Row],[spawner_sku]],LEN(Table245[[#This Row],[spawner_sku]])-FIND("/",Table245[[#This Row],[spawner_sku]])),Table1[Entity Prefab],0)),10,1,1,"Entities"))</f>
        <v>70</v>
      </c>
      <c r="G290" s="74">
        <f ca="1">ROUND((Table245[[#This Row],[XP]]*Table245[[#This Row],[entity_spawned (AVG)]])*(Table245[[#This Row],[activating_chance]]/100),0)</f>
        <v>70</v>
      </c>
      <c r="H290" s="71" t="str">
        <f ca="1">INDIRECT(ADDRESS(11+(MATCH(RIGHT(Table245[[#This Row],[spawner_sku]],LEN(Table245[[#This Row],[spawner_sku]])-FIND("/",Table245[[#This Row],[spawner_sku]])),Table28[Entity Prefab],0)),24,1,1,"Entities"))</f>
        <v>yes</v>
      </c>
      <c r="I290" s="71">
        <v>1</v>
      </c>
      <c r="J290" s="71">
        <v>1</v>
      </c>
      <c r="K290" s="71" t="b">
        <v>0</v>
      </c>
      <c r="AI290" t="s">
        <v>367</v>
      </c>
      <c r="AJ290">
        <v>1</v>
      </c>
      <c r="AK290">
        <v>220</v>
      </c>
      <c r="AL290">
        <v>100</v>
      </c>
      <c r="AM290" s="74">
        <f ca="1">INDIRECT(ADDRESS(11+(MATCH(RIGHT(Table2[[#This Row],[spawner_sku]],LEN(Table2[[#This Row],[spawner_sku]])-FIND("/",Table2[[#This Row],[spawner_sku]])),Table1[Entity Prefab],0)),10,1,1,"Entities"))</f>
        <v>75</v>
      </c>
      <c r="AN290" s="74">
        <f ca="1">ROUND((Table2[[#This Row],[XP]]*Table2[[#This Row],[entity_spawned (AVG)]])*(Table2[[#This Row],[activating_chance]]/100),0)</f>
        <v>75</v>
      </c>
      <c r="AO290" s="71" t="str">
        <f ca="1">INDIRECT(ADDRESS(11+(MATCH(RIGHT(Table2[[#This Row],[spawner_sku]],LEN(Table2[[#This Row],[spawner_sku]])-FIND("/",Table2[[#This Row],[spawner_sku]])),Table28[Entity Prefab],0)),24,1,1,"Entities"))</f>
        <v>no</v>
      </c>
      <c r="AP290" s="71">
        <v>1</v>
      </c>
      <c r="AQ290" s="71">
        <v>1</v>
      </c>
      <c r="AR290" s="71" t="b">
        <v>0</v>
      </c>
      <c r="BP290" t="s">
        <v>233</v>
      </c>
      <c r="BQ290">
        <v>1</v>
      </c>
      <c r="BR290">
        <v>500</v>
      </c>
      <c r="BS290">
        <v>75</v>
      </c>
      <c r="BT290" s="74">
        <f ca="1">INDIRECT(ADDRESS(11+(MATCH(RIGHT(Table61011[[#This Row],[spawner_sku]],LEN(Table61011[[#This Row],[spawner_sku]])-FIND("/",Table61011[[#This Row],[spawner_sku]])),Table1[Entity Prefab],0)),10,1,1,"Entities"))</f>
        <v>25</v>
      </c>
      <c r="BU290" s="74">
        <f ca="1">ROUND((Table61011[[#This Row],[XP]]*Table61011[[#This Row],[entity_spawned (AVG)]])*(Table61011[[#This Row],[activating_chance]]/100),0)</f>
        <v>19</v>
      </c>
      <c r="BV290" s="71" t="str">
        <f ca="1">INDIRECT(ADDRESS(11+(MATCH(RIGHT(Table61011[[#This Row],[spawner_sku]],LEN(Table61011[[#This Row],[spawner_sku]])-FIND("/",Table61011[[#This Row],[spawner_sku]])),Table28[Entity Prefab],0)),24,1,1,"Entities"))</f>
        <v>no</v>
      </c>
      <c r="BW290" s="71">
        <v>1</v>
      </c>
      <c r="BX290" s="71">
        <v>1</v>
      </c>
      <c r="BY290" s="71" t="b">
        <v>0</v>
      </c>
      <c r="BZ290" s="71"/>
      <c r="CA290" s="147" t="s">
        <v>3816</v>
      </c>
      <c r="CB290">
        <v>1</v>
      </c>
      <c r="CC290">
        <v>240</v>
      </c>
      <c r="CD290">
        <v>100</v>
      </c>
      <c r="CE290" s="74">
        <f ca="1">INDIRECT(ADDRESS(11+(MATCH(RIGHT(Table35[[#This Row],[spawner_sku]],LEN(Table35[[#This Row],[spawner_sku]])-FIND("/",Table35[[#This Row],[spawner_sku]])),Table1[Entity Prefab],0)),10,1,1,"Entities"))</f>
        <v>50</v>
      </c>
      <c r="CF290" s="74">
        <f ca="1">ROUND((Table35[[#This Row],[XP]]*Table35[[#This Row],[entity_spawned (AVG)]])*(Table35[[#This Row],[activating_chance]]/100),0)</f>
        <v>50</v>
      </c>
      <c r="CG290" s="144" t="str">
        <f ca="1">INDIRECT(ADDRESS(11+(MATCH(RIGHT(Table35[[#This Row],[spawner_sku]],LEN(Table35[[#This Row],[spawner_sku]])-FIND("/",Table35[[#This Row],[spawner_sku]])),Table28[Entity Prefab],0)),24,1,1,"Entities"))</f>
        <v>no</v>
      </c>
      <c r="CH290">
        <v>1</v>
      </c>
      <c r="CI290">
        <v>1</v>
      </c>
      <c r="CJ290" s="71" t="b">
        <v>0</v>
      </c>
      <c r="CL290" t="s">
        <v>447</v>
      </c>
      <c r="CM290">
        <v>1</v>
      </c>
      <c r="CN290">
        <v>260</v>
      </c>
      <c r="CO290">
        <v>100</v>
      </c>
      <c r="CP290" s="74">
        <f ca="1">INDIRECT(ADDRESS(11+(MATCH(RIGHT(Table11[[#This Row],[spawner_sku]],LEN(Table11[[#This Row],[spawner_sku]])-FIND("/",Table11[[#This Row],[spawner_sku]])),Table1[Entity Prefab],0)),10,1,1,"Entities"))</f>
        <v>105</v>
      </c>
      <c r="CQ290">
        <f ca="1">ROUND((Table11[[#This Row],[XP]]*Table11[[#This Row],[entity_spawned (AVG)]])*(Table11[[#This Row],[activating_chance]]/100),0)</f>
        <v>105</v>
      </c>
      <c r="CR290" s="144" t="str">
        <f ca="1">INDIRECT(ADDRESS(11+(MATCH(RIGHT(Table11[[#This Row],[spawner_sku]],LEN(Table11[[#This Row],[spawner_sku]])-FIND("/",Table11[[#This Row],[spawner_sku]])),Table28[Entity Prefab],0)),25,1,1,"Entities"))</f>
        <v>yes</v>
      </c>
      <c r="CS290" s="71">
        <v>1</v>
      </c>
      <c r="CT290" s="71">
        <v>1</v>
      </c>
      <c r="CU290" s="71" t="b">
        <v>0</v>
      </c>
      <c r="DH290" t="s">
        <v>366</v>
      </c>
      <c r="DI290">
        <v>7</v>
      </c>
      <c r="DJ290">
        <v>100</v>
      </c>
      <c r="DK290">
        <v>80</v>
      </c>
      <c r="DL290" s="74">
        <f ca="1">INDIRECT(ADDRESS(11+(MATCH(RIGHT(Table13[[#This Row],[spawner_sku]],LEN(Table13[[#This Row],[spawner_sku]])-FIND("/",Table13[[#This Row],[spawner_sku]])),Table1[Entity Prefab],0)),10,1,1,"Entities"))</f>
        <v>25</v>
      </c>
      <c r="DM290" s="74">
        <f ca="1">ROUND((Table13[[#This Row],[XP]]*Table13[[#This Row],[entity_spawned (AVG)]])*(Table13[[#This Row],[activating_chance]]/100),0)</f>
        <v>140</v>
      </c>
      <c r="DN290" s="144" t="str">
        <f ca="1">INDIRECT(ADDRESS(11+(MATCH(RIGHT(Table13[[#This Row],[spawner_sku]],LEN(Table13[[#This Row],[spawner_sku]])-FIND("/",Table13[[#This Row],[spawner_sku]])),Table28[Entity Prefab],0)),25,1,1,"Entities"))</f>
        <v>no</v>
      </c>
      <c r="DO290" s="71">
        <v>6</v>
      </c>
      <c r="DP290" s="71">
        <v>8</v>
      </c>
      <c r="DQ290" s="71" t="b">
        <v>1</v>
      </c>
      <c r="DS290" t="s">
        <v>367</v>
      </c>
      <c r="DT290">
        <v>1</v>
      </c>
      <c r="DU290">
        <v>130</v>
      </c>
      <c r="DV290">
        <v>100</v>
      </c>
      <c r="DW290" s="74">
        <f ca="1">INDIRECT(ADDRESS(11+(MATCH(RIGHT(Table14[[#This Row],[spawner_sku]],LEN(Table14[[#This Row],[spawner_sku]])-FIND("/",Table14[[#This Row],[spawner_sku]])),Table1[Entity Prefab],0)),10,1,1,"Entities"))</f>
        <v>75</v>
      </c>
      <c r="DX290" s="74">
        <f ca="1">ROUND((Table14[[#This Row],[XP]]*Table14[[#This Row],[entity_spawned (AVG)]])*(Table14[[#This Row],[activating_chance]]/100),0)</f>
        <v>75</v>
      </c>
      <c r="DY290" s="144" t="str">
        <f ca="1">INDIRECT(ADDRESS(11+(MATCH(RIGHT(Table14[[#This Row],[spawner_sku]],LEN(Table14[[#This Row],[spawner_sku]])-FIND("/",Table14[[#This Row],[spawner_sku]])),Table28[Entity Prefab],0)),25,1,1,"Entities"))</f>
        <v>no</v>
      </c>
      <c r="DZ290" s="71">
        <v>1</v>
      </c>
      <c r="EA290" s="71">
        <v>1</v>
      </c>
      <c r="EB290" s="71" t="b">
        <v>0</v>
      </c>
      <c r="EC290" s="71"/>
      <c r="EO290" t="s">
        <v>556</v>
      </c>
      <c r="EP290">
        <v>1</v>
      </c>
      <c r="EQ290">
        <v>160</v>
      </c>
      <c r="ER290">
        <v>100</v>
      </c>
      <c r="ES290" s="74">
        <f ca="1">INDIRECT(ADDRESS(11+(MATCH(RIGHT(Table18[[#This Row],[spawner_sku]],LEN(Table18[[#This Row],[spawner_sku]])-FIND("/",Table18[[#This Row],[spawner_sku]])),Table1[Entity Prefab],0)),10,1,1,"Entities"))</f>
        <v>25</v>
      </c>
      <c r="ET290" s="74">
        <f ca="1">ROUND((Table18[[#This Row],[XP]]*Table18[[#This Row],[entity_spawned (AVG)]])*(Table18[[#This Row],[activating_chance]]/100),0)</f>
        <v>25</v>
      </c>
      <c r="EU290" s="74" t="str">
        <f ca="1">INDIRECT(ADDRESS(11+(MATCH(RIGHT(Table18[[#This Row],[spawner_sku]],LEN(Table18[[#This Row],[spawner_sku]])-FIND("/",Table18[[#This Row],[spawner_sku]])),Table28[Entity Prefab],0)),26,1,1,"Entities"))</f>
        <v>no</v>
      </c>
      <c r="EV290">
        <v>1</v>
      </c>
      <c r="EW290">
        <v>1</v>
      </c>
      <c r="EX290" t="b">
        <v>0</v>
      </c>
    </row>
    <row r="291" spans="2:154" x14ac:dyDescent="0.25">
      <c r="B291" s="72" t="s">
        <v>223</v>
      </c>
      <c r="C291">
        <v>1</v>
      </c>
      <c r="D291">
        <v>170</v>
      </c>
      <c r="E291">
        <v>100</v>
      </c>
      <c r="F291" s="74">
        <f ca="1">INDIRECT(ADDRESS(11+(MATCH(RIGHT(Table245[[#This Row],[spawner_sku]],LEN(Table245[[#This Row],[spawner_sku]])-FIND("/",Table245[[#This Row],[spawner_sku]])),Table1[Entity Prefab],0)),10,1,1,"Entities"))</f>
        <v>70</v>
      </c>
      <c r="G291" s="74">
        <f ca="1">ROUND((Table245[[#This Row],[XP]]*Table245[[#This Row],[entity_spawned (AVG)]])*(Table245[[#This Row],[activating_chance]]/100),0)</f>
        <v>70</v>
      </c>
      <c r="H291" s="71" t="str">
        <f ca="1">INDIRECT(ADDRESS(11+(MATCH(RIGHT(Table245[[#This Row],[spawner_sku]],LEN(Table245[[#This Row],[spawner_sku]])-FIND("/",Table245[[#This Row],[spawner_sku]])),Table28[Entity Prefab],0)),24,1,1,"Entities"))</f>
        <v>yes</v>
      </c>
      <c r="I291" s="71">
        <v>1</v>
      </c>
      <c r="J291" s="71">
        <v>1</v>
      </c>
      <c r="K291" s="71" t="b">
        <v>0</v>
      </c>
      <c r="AI291" t="s">
        <v>367</v>
      </c>
      <c r="AJ291">
        <v>1</v>
      </c>
      <c r="AK291">
        <v>220</v>
      </c>
      <c r="AL291">
        <v>100</v>
      </c>
      <c r="AM291" s="74">
        <f ca="1">INDIRECT(ADDRESS(11+(MATCH(RIGHT(Table2[[#This Row],[spawner_sku]],LEN(Table2[[#This Row],[spawner_sku]])-FIND("/",Table2[[#This Row],[spawner_sku]])),Table1[Entity Prefab],0)),10,1,1,"Entities"))</f>
        <v>75</v>
      </c>
      <c r="AN291" s="74">
        <f ca="1">ROUND((Table2[[#This Row],[XP]]*Table2[[#This Row],[entity_spawned (AVG)]])*(Table2[[#This Row],[activating_chance]]/100),0)</f>
        <v>75</v>
      </c>
      <c r="AO291" s="71" t="str">
        <f ca="1">INDIRECT(ADDRESS(11+(MATCH(RIGHT(Table2[[#This Row],[spawner_sku]],LEN(Table2[[#This Row],[spawner_sku]])-FIND("/",Table2[[#This Row],[spawner_sku]])),Table28[Entity Prefab],0)),24,1,1,"Entities"))</f>
        <v>no</v>
      </c>
      <c r="AP291" s="71">
        <v>1</v>
      </c>
      <c r="AQ291" s="71">
        <v>1</v>
      </c>
      <c r="AR291" s="71" t="b">
        <v>0</v>
      </c>
      <c r="BP291" t="s">
        <v>233</v>
      </c>
      <c r="BQ291">
        <v>1</v>
      </c>
      <c r="BR291">
        <v>500</v>
      </c>
      <c r="BS291">
        <v>75</v>
      </c>
      <c r="BT291" s="74">
        <f ca="1">INDIRECT(ADDRESS(11+(MATCH(RIGHT(Table61011[[#This Row],[spawner_sku]],LEN(Table61011[[#This Row],[spawner_sku]])-FIND("/",Table61011[[#This Row],[spawner_sku]])),Table1[Entity Prefab],0)),10,1,1,"Entities"))</f>
        <v>25</v>
      </c>
      <c r="BU291" s="74">
        <f ca="1">ROUND((Table61011[[#This Row],[XP]]*Table61011[[#This Row],[entity_spawned (AVG)]])*(Table61011[[#This Row],[activating_chance]]/100),0)</f>
        <v>19</v>
      </c>
      <c r="BV291" s="71" t="str">
        <f ca="1">INDIRECT(ADDRESS(11+(MATCH(RIGHT(Table61011[[#This Row],[spawner_sku]],LEN(Table61011[[#This Row],[spawner_sku]])-FIND("/",Table61011[[#This Row],[spawner_sku]])),Table28[Entity Prefab],0)),24,1,1,"Entities"))</f>
        <v>no</v>
      </c>
      <c r="BW291" s="71">
        <v>1</v>
      </c>
      <c r="BX291" s="71">
        <v>1</v>
      </c>
      <c r="BY291" s="71" t="b">
        <v>0</v>
      </c>
      <c r="BZ291" s="71"/>
      <c r="CA291" s="147" t="s">
        <v>3816</v>
      </c>
      <c r="CB291">
        <v>1</v>
      </c>
      <c r="CC291">
        <v>240</v>
      </c>
      <c r="CD291">
        <v>100</v>
      </c>
      <c r="CE291" s="74">
        <f ca="1">INDIRECT(ADDRESS(11+(MATCH(RIGHT(Table35[[#This Row],[spawner_sku]],LEN(Table35[[#This Row],[spawner_sku]])-FIND("/",Table35[[#This Row],[spawner_sku]])),Table1[Entity Prefab],0)),10,1,1,"Entities"))</f>
        <v>50</v>
      </c>
      <c r="CF291" s="74">
        <f ca="1">ROUND((Table35[[#This Row],[XP]]*Table35[[#This Row],[entity_spawned (AVG)]])*(Table35[[#This Row],[activating_chance]]/100),0)</f>
        <v>50</v>
      </c>
      <c r="CG291" s="144" t="str">
        <f ca="1">INDIRECT(ADDRESS(11+(MATCH(RIGHT(Table35[[#This Row],[spawner_sku]],LEN(Table35[[#This Row],[spawner_sku]])-FIND("/",Table35[[#This Row],[spawner_sku]])),Table28[Entity Prefab],0)),24,1,1,"Entities"))</f>
        <v>no</v>
      </c>
      <c r="CH291">
        <v>1</v>
      </c>
      <c r="CI291">
        <v>1</v>
      </c>
      <c r="CJ291" s="71" t="b">
        <v>0</v>
      </c>
      <c r="CL291" t="s">
        <v>447</v>
      </c>
      <c r="CM291">
        <v>1</v>
      </c>
      <c r="CN291">
        <v>260</v>
      </c>
      <c r="CO291">
        <v>100</v>
      </c>
      <c r="CP291" s="74">
        <f ca="1">INDIRECT(ADDRESS(11+(MATCH(RIGHT(Table11[[#This Row],[spawner_sku]],LEN(Table11[[#This Row],[spawner_sku]])-FIND("/",Table11[[#This Row],[spawner_sku]])),Table1[Entity Prefab],0)),10,1,1,"Entities"))</f>
        <v>105</v>
      </c>
      <c r="CQ291">
        <f ca="1">ROUND((Table11[[#This Row],[XP]]*Table11[[#This Row],[entity_spawned (AVG)]])*(Table11[[#This Row],[activating_chance]]/100),0)</f>
        <v>105</v>
      </c>
      <c r="CR291" s="144" t="str">
        <f ca="1">INDIRECT(ADDRESS(11+(MATCH(RIGHT(Table11[[#This Row],[spawner_sku]],LEN(Table11[[#This Row],[spawner_sku]])-FIND("/",Table11[[#This Row],[spawner_sku]])),Table28[Entity Prefab],0)),25,1,1,"Entities"))</f>
        <v>yes</v>
      </c>
      <c r="CS291" s="71">
        <v>1</v>
      </c>
      <c r="CT291" s="71">
        <v>1</v>
      </c>
      <c r="CU291" s="71" t="b">
        <v>0</v>
      </c>
      <c r="DH291" t="s">
        <v>366</v>
      </c>
      <c r="DI291">
        <v>7</v>
      </c>
      <c r="DJ291">
        <v>100</v>
      </c>
      <c r="DK291">
        <v>30</v>
      </c>
      <c r="DL291" s="74">
        <f ca="1">INDIRECT(ADDRESS(11+(MATCH(RIGHT(Table13[[#This Row],[spawner_sku]],LEN(Table13[[#This Row],[spawner_sku]])-FIND("/",Table13[[#This Row],[spawner_sku]])),Table1[Entity Prefab],0)),10,1,1,"Entities"))</f>
        <v>25</v>
      </c>
      <c r="DM291" s="74">
        <f ca="1">ROUND((Table13[[#This Row],[XP]]*Table13[[#This Row],[entity_spawned (AVG)]])*(Table13[[#This Row],[activating_chance]]/100),0)</f>
        <v>53</v>
      </c>
      <c r="DN291" s="144" t="str">
        <f ca="1">INDIRECT(ADDRESS(11+(MATCH(RIGHT(Table13[[#This Row],[spawner_sku]],LEN(Table13[[#This Row],[spawner_sku]])-FIND("/",Table13[[#This Row],[spawner_sku]])),Table28[Entity Prefab],0)),25,1,1,"Entities"))</f>
        <v>no</v>
      </c>
      <c r="DO291" s="71">
        <v>6</v>
      </c>
      <c r="DP291" s="71">
        <v>8</v>
      </c>
      <c r="DQ291" s="71" t="b">
        <v>1</v>
      </c>
      <c r="DS291" t="s">
        <v>367</v>
      </c>
      <c r="DT291">
        <v>1</v>
      </c>
      <c r="DU291">
        <v>150</v>
      </c>
      <c r="DV291">
        <v>100</v>
      </c>
      <c r="DW291" s="74">
        <f ca="1">INDIRECT(ADDRESS(11+(MATCH(RIGHT(Table14[[#This Row],[spawner_sku]],LEN(Table14[[#This Row],[spawner_sku]])-FIND("/",Table14[[#This Row],[spawner_sku]])),Table1[Entity Prefab],0)),10,1,1,"Entities"))</f>
        <v>75</v>
      </c>
      <c r="DX291" s="74">
        <f ca="1">ROUND((Table14[[#This Row],[XP]]*Table14[[#This Row],[entity_spawned (AVG)]])*(Table14[[#This Row],[activating_chance]]/100),0)</f>
        <v>75</v>
      </c>
      <c r="DY291" s="144" t="str">
        <f ca="1">INDIRECT(ADDRESS(11+(MATCH(RIGHT(Table14[[#This Row],[spawner_sku]],LEN(Table14[[#This Row],[spawner_sku]])-FIND("/",Table14[[#This Row],[spawner_sku]])),Table28[Entity Prefab],0)),25,1,1,"Entities"))</f>
        <v>no</v>
      </c>
      <c r="DZ291" s="71">
        <v>1</v>
      </c>
      <c r="EA291" s="71">
        <v>1</v>
      </c>
      <c r="EB291" s="71" t="b">
        <v>0</v>
      </c>
      <c r="EC291" s="71"/>
      <c r="EO291" t="s">
        <v>556</v>
      </c>
      <c r="EP291">
        <v>1</v>
      </c>
      <c r="EQ291">
        <v>160</v>
      </c>
      <c r="ER291">
        <v>80</v>
      </c>
      <c r="ES291" s="74">
        <f ca="1">INDIRECT(ADDRESS(11+(MATCH(RIGHT(Table18[[#This Row],[spawner_sku]],LEN(Table18[[#This Row],[spawner_sku]])-FIND("/",Table18[[#This Row],[spawner_sku]])),Table1[Entity Prefab],0)),10,1,1,"Entities"))</f>
        <v>25</v>
      </c>
      <c r="ET291" s="74">
        <f ca="1">ROUND((Table18[[#This Row],[XP]]*Table18[[#This Row],[entity_spawned (AVG)]])*(Table18[[#This Row],[activating_chance]]/100),0)</f>
        <v>20</v>
      </c>
      <c r="EU291" s="74" t="str">
        <f ca="1">INDIRECT(ADDRESS(11+(MATCH(RIGHT(Table18[[#This Row],[spawner_sku]],LEN(Table18[[#This Row],[spawner_sku]])-FIND("/",Table18[[#This Row],[spawner_sku]])),Table28[Entity Prefab],0)),26,1,1,"Entities"))</f>
        <v>no</v>
      </c>
      <c r="EV291">
        <v>1</v>
      </c>
      <c r="EW291">
        <v>1</v>
      </c>
      <c r="EX291" t="b">
        <v>0</v>
      </c>
    </row>
    <row r="292" spans="2:154" x14ac:dyDescent="0.25">
      <c r="B292" s="72" t="s">
        <v>224</v>
      </c>
      <c r="C292">
        <v>1</v>
      </c>
      <c r="D292">
        <v>2500</v>
      </c>
      <c r="E292">
        <v>100</v>
      </c>
      <c r="F292" s="74">
        <f ca="1">INDIRECT(ADDRESS(11+(MATCH(RIGHT(Table245[[#This Row],[spawner_sku]],LEN(Table245[[#This Row],[spawner_sku]])-FIND("/",Table245[[#This Row],[spawner_sku]])),Table1[Entity Prefab],0)),10,1,1,"Entities"))</f>
        <v>263</v>
      </c>
      <c r="G292" s="74">
        <f ca="1">ROUND((Table245[[#This Row],[XP]]*Table245[[#This Row],[entity_spawned (AVG)]])*(Table245[[#This Row],[activating_chance]]/100),0)</f>
        <v>263</v>
      </c>
      <c r="H292" s="71" t="str">
        <f ca="1">INDIRECT(ADDRESS(11+(MATCH(RIGHT(Table245[[#This Row],[spawner_sku]],LEN(Table245[[#This Row],[spawner_sku]])-FIND("/",Table245[[#This Row],[spawner_sku]])),Table28[Entity Prefab],0)),24,1,1,"Entities"))</f>
        <v>yes</v>
      </c>
      <c r="I292" s="71">
        <v>1</v>
      </c>
      <c r="J292" s="71">
        <v>1</v>
      </c>
      <c r="K292" s="71" t="b">
        <v>0</v>
      </c>
      <c r="AI292" t="s">
        <v>367</v>
      </c>
      <c r="AJ292">
        <v>1</v>
      </c>
      <c r="AK292">
        <v>160</v>
      </c>
      <c r="AL292">
        <v>100</v>
      </c>
      <c r="AM292" s="74">
        <f ca="1">INDIRECT(ADDRESS(11+(MATCH(RIGHT(Table2[[#This Row],[spawner_sku]],LEN(Table2[[#This Row],[spawner_sku]])-FIND("/",Table2[[#This Row],[spawner_sku]])),Table1[Entity Prefab],0)),10,1,1,"Entities"))</f>
        <v>75</v>
      </c>
      <c r="AN292" s="74">
        <f ca="1">ROUND((Table2[[#This Row],[XP]]*Table2[[#This Row],[entity_spawned (AVG)]])*(Table2[[#This Row],[activating_chance]]/100),0)</f>
        <v>75</v>
      </c>
      <c r="AO292" s="71" t="str">
        <f ca="1">INDIRECT(ADDRESS(11+(MATCH(RIGHT(Table2[[#This Row],[spawner_sku]],LEN(Table2[[#This Row],[spawner_sku]])-FIND("/",Table2[[#This Row],[spawner_sku]])),Table28[Entity Prefab],0)),24,1,1,"Entities"))</f>
        <v>no</v>
      </c>
      <c r="AP292" s="71">
        <v>1</v>
      </c>
      <c r="AQ292" s="71">
        <v>1</v>
      </c>
      <c r="AR292" s="71" t="b">
        <v>0</v>
      </c>
      <c r="BP292" t="s">
        <v>233</v>
      </c>
      <c r="BQ292">
        <v>1</v>
      </c>
      <c r="BR292">
        <v>500</v>
      </c>
      <c r="BS292">
        <v>75</v>
      </c>
      <c r="BT292" s="74">
        <f ca="1">INDIRECT(ADDRESS(11+(MATCH(RIGHT(Table61011[[#This Row],[spawner_sku]],LEN(Table61011[[#This Row],[spawner_sku]])-FIND("/",Table61011[[#This Row],[spawner_sku]])),Table1[Entity Prefab],0)),10,1,1,"Entities"))</f>
        <v>25</v>
      </c>
      <c r="BU292" s="74">
        <f ca="1">ROUND((Table61011[[#This Row],[XP]]*Table61011[[#This Row],[entity_spawned (AVG)]])*(Table61011[[#This Row],[activating_chance]]/100),0)</f>
        <v>19</v>
      </c>
      <c r="BV292" s="71" t="str">
        <f ca="1">INDIRECT(ADDRESS(11+(MATCH(RIGHT(Table61011[[#This Row],[spawner_sku]],LEN(Table61011[[#This Row],[spawner_sku]])-FIND("/",Table61011[[#This Row],[spawner_sku]])),Table28[Entity Prefab],0)),24,1,1,"Entities"))</f>
        <v>no</v>
      </c>
      <c r="BW292" s="71">
        <v>1</v>
      </c>
      <c r="BX292" s="71">
        <v>1</v>
      </c>
      <c r="BY292" s="71" t="b">
        <v>0</v>
      </c>
      <c r="BZ292" s="71"/>
      <c r="CA292" s="147" t="s">
        <v>3816</v>
      </c>
      <c r="CB292">
        <v>1</v>
      </c>
      <c r="CC292">
        <v>240</v>
      </c>
      <c r="CD292">
        <v>100</v>
      </c>
      <c r="CE292" s="74">
        <f ca="1">INDIRECT(ADDRESS(11+(MATCH(RIGHT(Table35[[#This Row],[spawner_sku]],LEN(Table35[[#This Row],[spawner_sku]])-FIND("/",Table35[[#This Row],[spawner_sku]])),Table1[Entity Prefab],0)),10,1,1,"Entities"))</f>
        <v>50</v>
      </c>
      <c r="CF292" s="74">
        <f ca="1">ROUND((Table35[[#This Row],[XP]]*Table35[[#This Row],[entity_spawned (AVG)]])*(Table35[[#This Row],[activating_chance]]/100),0)</f>
        <v>50</v>
      </c>
      <c r="CG292" s="144" t="str">
        <f ca="1">INDIRECT(ADDRESS(11+(MATCH(RIGHT(Table35[[#This Row],[spawner_sku]],LEN(Table35[[#This Row],[spawner_sku]])-FIND("/",Table35[[#This Row],[spawner_sku]])),Table28[Entity Prefab],0)),24,1,1,"Entities"))</f>
        <v>no</v>
      </c>
      <c r="CH292">
        <v>1</v>
      </c>
      <c r="CI292">
        <v>1</v>
      </c>
      <c r="CJ292" s="71" t="b">
        <v>0</v>
      </c>
      <c r="CL292" t="s">
        <v>447</v>
      </c>
      <c r="CM292">
        <v>1</v>
      </c>
      <c r="CN292">
        <v>260</v>
      </c>
      <c r="CO292">
        <v>100</v>
      </c>
      <c r="CP292" s="74">
        <f ca="1">INDIRECT(ADDRESS(11+(MATCH(RIGHT(Table11[[#This Row],[spawner_sku]],LEN(Table11[[#This Row],[spawner_sku]])-FIND("/",Table11[[#This Row],[spawner_sku]])),Table1[Entity Prefab],0)),10,1,1,"Entities"))</f>
        <v>105</v>
      </c>
      <c r="CQ292">
        <f ca="1">ROUND((Table11[[#This Row],[XP]]*Table11[[#This Row],[entity_spawned (AVG)]])*(Table11[[#This Row],[activating_chance]]/100),0)</f>
        <v>105</v>
      </c>
      <c r="CR292" s="144" t="str">
        <f ca="1">INDIRECT(ADDRESS(11+(MATCH(RIGHT(Table11[[#This Row],[spawner_sku]],LEN(Table11[[#This Row],[spawner_sku]])-FIND("/",Table11[[#This Row],[spawner_sku]])),Table28[Entity Prefab],0)),25,1,1,"Entities"))</f>
        <v>yes</v>
      </c>
      <c r="CS292" s="71">
        <v>1</v>
      </c>
      <c r="CT292" s="71">
        <v>1</v>
      </c>
      <c r="CU292" s="71" t="b">
        <v>0</v>
      </c>
      <c r="DH292" t="s">
        <v>366</v>
      </c>
      <c r="DI292">
        <v>2.5</v>
      </c>
      <c r="DJ292">
        <v>100</v>
      </c>
      <c r="DK292">
        <v>80</v>
      </c>
      <c r="DL292" s="74">
        <f ca="1">INDIRECT(ADDRESS(11+(MATCH(RIGHT(Table13[[#This Row],[spawner_sku]],LEN(Table13[[#This Row],[spawner_sku]])-FIND("/",Table13[[#This Row],[spawner_sku]])),Table1[Entity Prefab],0)),10,1,1,"Entities"))</f>
        <v>25</v>
      </c>
      <c r="DM292" s="74">
        <f ca="1">ROUND((Table13[[#This Row],[XP]]*Table13[[#This Row],[entity_spawned (AVG)]])*(Table13[[#This Row],[activating_chance]]/100),0)</f>
        <v>50</v>
      </c>
      <c r="DN292" s="144" t="str">
        <f ca="1">INDIRECT(ADDRESS(11+(MATCH(RIGHT(Table13[[#This Row],[spawner_sku]],LEN(Table13[[#This Row],[spawner_sku]])-FIND("/",Table13[[#This Row],[spawner_sku]])),Table28[Entity Prefab],0)),25,1,1,"Entities"))</f>
        <v>no</v>
      </c>
      <c r="DO292" s="71">
        <v>2</v>
      </c>
      <c r="DP292" s="71">
        <v>3</v>
      </c>
      <c r="DQ292" s="71" t="b">
        <v>0</v>
      </c>
      <c r="DS292" t="s">
        <v>367</v>
      </c>
      <c r="DT292">
        <v>1</v>
      </c>
      <c r="DU292">
        <v>100</v>
      </c>
      <c r="DV292">
        <v>100</v>
      </c>
      <c r="DW292" s="74">
        <f ca="1">INDIRECT(ADDRESS(11+(MATCH(RIGHT(Table14[[#This Row],[spawner_sku]],LEN(Table14[[#This Row],[spawner_sku]])-FIND("/",Table14[[#This Row],[spawner_sku]])),Table1[Entity Prefab],0)),10,1,1,"Entities"))</f>
        <v>75</v>
      </c>
      <c r="DX292" s="74">
        <f ca="1">ROUND((Table14[[#This Row],[XP]]*Table14[[#This Row],[entity_spawned (AVG)]])*(Table14[[#This Row],[activating_chance]]/100),0)</f>
        <v>75</v>
      </c>
      <c r="DY292" s="144" t="str">
        <f ca="1">INDIRECT(ADDRESS(11+(MATCH(RIGHT(Table14[[#This Row],[spawner_sku]],LEN(Table14[[#This Row],[spawner_sku]])-FIND("/",Table14[[#This Row],[spawner_sku]])),Table28[Entity Prefab],0)),25,1,1,"Entities"))</f>
        <v>no</v>
      </c>
      <c r="DZ292" s="71">
        <v>1</v>
      </c>
      <c r="EA292" s="71">
        <v>1</v>
      </c>
      <c r="EB292" s="71" t="b">
        <v>0</v>
      </c>
      <c r="EC292" s="71"/>
      <c r="EO292" t="s">
        <v>556</v>
      </c>
      <c r="EP292">
        <v>1</v>
      </c>
      <c r="EQ292">
        <v>160</v>
      </c>
      <c r="ER292">
        <v>70</v>
      </c>
      <c r="ES292" s="74">
        <f ca="1">INDIRECT(ADDRESS(11+(MATCH(RIGHT(Table18[[#This Row],[spawner_sku]],LEN(Table18[[#This Row],[spawner_sku]])-FIND("/",Table18[[#This Row],[spawner_sku]])),Table1[Entity Prefab],0)),10,1,1,"Entities"))</f>
        <v>25</v>
      </c>
      <c r="ET292" s="74">
        <f ca="1">ROUND((Table18[[#This Row],[XP]]*Table18[[#This Row],[entity_spawned (AVG)]])*(Table18[[#This Row],[activating_chance]]/100),0)</f>
        <v>18</v>
      </c>
      <c r="EU292" s="74" t="str">
        <f ca="1">INDIRECT(ADDRESS(11+(MATCH(RIGHT(Table18[[#This Row],[spawner_sku]],LEN(Table18[[#This Row],[spawner_sku]])-FIND("/",Table18[[#This Row],[spawner_sku]])),Table28[Entity Prefab],0)),26,1,1,"Entities"))</f>
        <v>no</v>
      </c>
      <c r="EV292">
        <v>1</v>
      </c>
      <c r="EW292">
        <v>1</v>
      </c>
      <c r="EX292" t="b">
        <v>0</v>
      </c>
    </row>
    <row r="293" spans="2:154" x14ac:dyDescent="0.25">
      <c r="B293" s="72" t="s">
        <v>224</v>
      </c>
      <c r="C293">
        <v>1</v>
      </c>
      <c r="D293">
        <v>2500</v>
      </c>
      <c r="E293">
        <v>100</v>
      </c>
      <c r="F293" s="74">
        <f ca="1">INDIRECT(ADDRESS(11+(MATCH(RIGHT(Table245[[#This Row],[spawner_sku]],LEN(Table245[[#This Row],[spawner_sku]])-FIND("/",Table245[[#This Row],[spawner_sku]])),Table1[Entity Prefab],0)),10,1,1,"Entities"))</f>
        <v>263</v>
      </c>
      <c r="G293" s="74">
        <f ca="1">ROUND((Table245[[#This Row],[XP]]*Table245[[#This Row],[entity_spawned (AVG)]])*(Table245[[#This Row],[activating_chance]]/100),0)</f>
        <v>263</v>
      </c>
      <c r="H293" s="71" t="str">
        <f ca="1">INDIRECT(ADDRESS(11+(MATCH(RIGHT(Table245[[#This Row],[spawner_sku]],LEN(Table245[[#This Row],[spawner_sku]])-FIND("/",Table245[[#This Row],[spawner_sku]])),Table28[Entity Prefab],0)),24,1,1,"Entities"))</f>
        <v>yes</v>
      </c>
      <c r="I293" s="71">
        <v>1</v>
      </c>
      <c r="J293" s="71">
        <v>1</v>
      </c>
      <c r="K293" s="71" t="b">
        <v>0</v>
      </c>
      <c r="AI293" t="s">
        <v>367</v>
      </c>
      <c r="AJ293">
        <v>1</v>
      </c>
      <c r="AK293">
        <v>200</v>
      </c>
      <c r="AL293">
        <v>100</v>
      </c>
      <c r="AM293" s="74">
        <f ca="1">INDIRECT(ADDRESS(11+(MATCH(RIGHT(Table2[[#This Row],[spawner_sku]],LEN(Table2[[#This Row],[spawner_sku]])-FIND("/",Table2[[#This Row],[spawner_sku]])),Table1[Entity Prefab],0)),10,1,1,"Entities"))</f>
        <v>75</v>
      </c>
      <c r="AN293" s="74">
        <f ca="1">ROUND((Table2[[#This Row],[XP]]*Table2[[#This Row],[entity_spawned (AVG)]])*(Table2[[#This Row],[activating_chance]]/100),0)</f>
        <v>75</v>
      </c>
      <c r="AO293" s="71" t="str">
        <f ca="1">INDIRECT(ADDRESS(11+(MATCH(RIGHT(Table2[[#This Row],[spawner_sku]],LEN(Table2[[#This Row],[spawner_sku]])-FIND("/",Table2[[#This Row],[spawner_sku]])),Table28[Entity Prefab],0)),24,1,1,"Entities"))</f>
        <v>no</v>
      </c>
      <c r="AP293" s="71">
        <v>1</v>
      </c>
      <c r="AQ293" s="71">
        <v>1</v>
      </c>
      <c r="AR293" s="71" t="b">
        <v>0</v>
      </c>
      <c r="BP293" t="s">
        <v>233</v>
      </c>
      <c r="BQ293">
        <v>1</v>
      </c>
      <c r="BR293">
        <v>500</v>
      </c>
      <c r="BS293">
        <v>75</v>
      </c>
      <c r="BT293" s="74">
        <f ca="1">INDIRECT(ADDRESS(11+(MATCH(RIGHT(Table61011[[#This Row],[spawner_sku]],LEN(Table61011[[#This Row],[spawner_sku]])-FIND("/",Table61011[[#This Row],[spawner_sku]])),Table1[Entity Prefab],0)),10,1,1,"Entities"))</f>
        <v>25</v>
      </c>
      <c r="BU293" s="74">
        <f ca="1">ROUND((Table61011[[#This Row],[XP]]*Table61011[[#This Row],[entity_spawned (AVG)]])*(Table61011[[#This Row],[activating_chance]]/100),0)</f>
        <v>19</v>
      </c>
      <c r="BV293" s="71" t="str">
        <f ca="1">INDIRECT(ADDRESS(11+(MATCH(RIGHT(Table61011[[#This Row],[spawner_sku]],LEN(Table61011[[#This Row],[spawner_sku]])-FIND("/",Table61011[[#This Row],[spawner_sku]])),Table28[Entity Prefab],0)),24,1,1,"Entities"))</f>
        <v>no</v>
      </c>
      <c r="BW293" s="71">
        <v>1</v>
      </c>
      <c r="BX293" s="71">
        <v>1</v>
      </c>
      <c r="BY293" s="71" t="b">
        <v>0</v>
      </c>
      <c r="BZ293" s="71"/>
      <c r="CA293" s="147" t="s">
        <v>3816</v>
      </c>
      <c r="CB293">
        <v>1</v>
      </c>
      <c r="CC293">
        <v>240</v>
      </c>
      <c r="CD293">
        <v>100</v>
      </c>
      <c r="CE293" s="74">
        <f ca="1">INDIRECT(ADDRESS(11+(MATCH(RIGHT(Table35[[#This Row],[spawner_sku]],LEN(Table35[[#This Row],[spawner_sku]])-FIND("/",Table35[[#This Row],[spawner_sku]])),Table1[Entity Prefab],0)),10,1,1,"Entities"))</f>
        <v>50</v>
      </c>
      <c r="CF293" s="74">
        <f ca="1">ROUND((Table35[[#This Row],[XP]]*Table35[[#This Row],[entity_spawned (AVG)]])*(Table35[[#This Row],[activating_chance]]/100),0)</f>
        <v>50</v>
      </c>
      <c r="CG293" s="144" t="str">
        <f ca="1">INDIRECT(ADDRESS(11+(MATCH(RIGHT(Table35[[#This Row],[spawner_sku]],LEN(Table35[[#This Row],[spawner_sku]])-FIND("/",Table35[[#This Row],[spawner_sku]])),Table28[Entity Prefab],0)),24,1,1,"Entities"))</f>
        <v>no</v>
      </c>
      <c r="CH293">
        <v>1</v>
      </c>
      <c r="CI293">
        <v>1</v>
      </c>
      <c r="CJ293" s="71" t="b">
        <v>0</v>
      </c>
      <c r="CL293" t="s">
        <v>447</v>
      </c>
      <c r="CM293">
        <v>1</v>
      </c>
      <c r="CN293">
        <v>200</v>
      </c>
      <c r="CO293">
        <v>100</v>
      </c>
      <c r="CP293" s="74">
        <f ca="1">INDIRECT(ADDRESS(11+(MATCH(RIGHT(Table11[[#This Row],[spawner_sku]],LEN(Table11[[#This Row],[spawner_sku]])-FIND("/",Table11[[#This Row],[spawner_sku]])),Table1[Entity Prefab],0)),10,1,1,"Entities"))</f>
        <v>105</v>
      </c>
      <c r="CQ293">
        <f ca="1">ROUND((Table11[[#This Row],[XP]]*Table11[[#This Row],[entity_spawned (AVG)]])*(Table11[[#This Row],[activating_chance]]/100),0)</f>
        <v>105</v>
      </c>
      <c r="CR293" s="144" t="str">
        <f ca="1">INDIRECT(ADDRESS(11+(MATCH(RIGHT(Table11[[#This Row],[spawner_sku]],LEN(Table11[[#This Row],[spawner_sku]])-FIND("/",Table11[[#This Row],[spawner_sku]])),Table28[Entity Prefab],0)),25,1,1,"Entities"))</f>
        <v>yes</v>
      </c>
      <c r="CS293" s="71">
        <v>1</v>
      </c>
      <c r="CT293" s="71">
        <v>1</v>
      </c>
      <c r="CU293" s="71" t="b">
        <v>0</v>
      </c>
      <c r="DH293" t="s">
        <v>366</v>
      </c>
      <c r="DI293">
        <v>1.5</v>
      </c>
      <c r="DJ293">
        <v>100</v>
      </c>
      <c r="DK293">
        <v>100</v>
      </c>
      <c r="DL293" s="74">
        <f ca="1">INDIRECT(ADDRESS(11+(MATCH(RIGHT(Table13[[#This Row],[spawner_sku]],LEN(Table13[[#This Row],[spawner_sku]])-FIND("/",Table13[[#This Row],[spawner_sku]])),Table1[Entity Prefab],0)),10,1,1,"Entities"))</f>
        <v>25</v>
      </c>
      <c r="DM293" s="74">
        <f ca="1">ROUND((Table13[[#This Row],[XP]]*Table13[[#This Row],[entity_spawned (AVG)]])*(Table13[[#This Row],[activating_chance]]/100),0)</f>
        <v>38</v>
      </c>
      <c r="DN293" s="144" t="str">
        <f ca="1">INDIRECT(ADDRESS(11+(MATCH(RIGHT(Table13[[#This Row],[spawner_sku]],LEN(Table13[[#This Row],[spawner_sku]])-FIND("/",Table13[[#This Row],[spawner_sku]])),Table28[Entity Prefab],0)),25,1,1,"Entities"))</f>
        <v>no</v>
      </c>
      <c r="DO293" s="71">
        <v>1</v>
      </c>
      <c r="DP293" s="71">
        <v>2</v>
      </c>
      <c r="DQ293" s="71" t="b">
        <v>0</v>
      </c>
      <c r="DS293" t="s">
        <v>367</v>
      </c>
      <c r="DT293">
        <v>1</v>
      </c>
      <c r="DU293">
        <v>140</v>
      </c>
      <c r="DV293">
        <v>100</v>
      </c>
      <c r="DW293" s="74">
        <f ca="1">INDIRECT(ADDRESS(11+(MATCH(RIGHT(Table14[[#This Row],[spawner_sku]],LEN(Table14[[#This Row],[spawner_sku]])-FIND("/",Table14[[#This Row],[spawner_sku]])),Table1[Entity Prefab],0)),10,1,1,"Entities"))</f>
        <v>75</v>
      </c>
      <c r="DX293" s="74">
        <f ca="1">ROUND((Table14[[#This Row],[XP]]*Table14[[#This Row],[entity_spawned (AVG)]])*(Table14[[#This Row],[activating_chance]]/100),0)</f>
        <v>75</v>
      </c>
      <c r="DY293" s="144" t="str">
        <f ca="1">INDIRECT(ADDRESS(11+(MATCH(RIGHT(Table14[[#This Row],[spawner_sku]],LEN(Table14[[#This Row],[spawner_sku]])-FIND("/",Table14[[#This Row],[spawner_sku]])),Table28[Entity Prefab],0)),25,1,1,"Entities"))</f>
        <v>no</v>
      </c>
      <c r="DZ293" s="71">
        <v>1</v>
      </c>
      <c r="EA293" s="71">
        <v>1</v>
      </c>
      <c r="EB293" s="71" t="b">
        <v>0</v>
      </c>
      <c r="EC293" s="71"/>
      <c r="EO293" t="s">
        <v>556</v>
      </c>
      <c r="EP293">
        <v>1</v>
      </c>
      <c r="EQ293">
        <v>160</v>
      </c>
      <c r="ER293">
        <v>100</v>
      </c>
      <c r="ES293" s="74">
        <f ca="1">INDIRECT(ADDRESS(11+(MATCH(RIGHT(Table18[[#This Row],[spawner_sku]],LEN(Table18[[#This Row],[spawner_sku]])-FIND("/",Table18[[#This Row],[spawner_sku]])),Table1[Entity Prefab],0)),10,1,1,"Entities"))</f>
        <v>25</v>
      </c>
      <c r="ET293" s="74">
        <f ca="1">ROUND((Table18[[#This Row],[XP]]*Table18[[#This Row],[entity_spawned (AVG)]])*(Table18[[#This Row],[activating_chance]]/100),0)</f>
        <v>25</v>
      </c>
      <c r="EU293" s="74" t="str">
        <f ca="1">INDIRECT(ADDRESS(11+(MATCH(RIGHT(Table18[[#This Row],[spawner_sku]],LEN(Table18[[#This Row],[spawner_sku]])-FIND("/",Table18[[#This Row],[spawner_sku]])),Table28[Entity Prefab],0)),26,1,1,"Entities"))</f>
        <v>no</v>
      </c>
      <c r="EV293">
        <v>1</v>
      </c>
      <c r="EW293">
        <v>1</v>
      </c>
      <c r="EX293" t="b">
        <v>0</v>
      </c>
    </row>
    <row r="294" spans="2:154" x14ac:dyDescent="0.25">
      <c r="B294" s="72" t="s">
        <v>224</v>
      </c>
      <c r="C294">
        <v>1</v>
      </c>
      <c r="D294">
        <v>2500</v>
      </c>
      <c r="E294">
        <v>100</v>
      </c>
      <c r="F294" s="74">
        <f ca="1">INDIRECT(ADDRESS(11+(MATCH(RIGHT(Table245[[#This Row],[spawner_sku]],LEN(Table245[[#This Row],[spawner_sku]])-FIND("/",Table245[[#This Row],[spawner_sku]])),Table1[Entity Prefab],0)),10,1,1,"Entities"))</f>
        <v>263</v>
      </c>
      <c r="G294" s="74">
        <f ca="1">ROUND((Table245[[#This Row],[XP]]*Table245[[#This Row],[entity_spawned (AVG)]])*(Table245[[#This Row],[activating_chance]]/100),0)</f>
        <v>263</v>
      </c>
      <c r="H294" s="71" t="str">
        <f ca="1">INDIRECT(ADDRESS(11+(MATCH(RIGHT(Table245[[#This Row],[spawner_sku]],LEN(Table245[[#This Row],[spawner_sku]])-FIND("/",Table245[[#This Row],[spawner_sku]])),Table28[Entity Prefab],0)),24,1,1,"Entities"))</f>
        <v>yes</v>
      </c>
      <c r="I294" s="71">
        <v>1</v>
      </c>
      <c r="J294" s="71">
        <v>1</v>
      </c>
      <c r="K294" s="71" t="b">
        <v>0</v>
      </c>
      <c r="AI294" t="s">
        <v>367</v>
      </c>
      <c r="AJ294">
        <v>1</v>
      </c>
      <c r="AK294">
        <v>200</v>
      </c>
      <c r="AL294">
        <v>100</v>
      </c>
      <c r="AM294" s="74">
        <f ca="1">INDIRECT(ADDRESS(11+(MATCH(RIGHT(Table2[[#This Row],[spawner_sku]],LEN(Table2[[#This Row],[spawner_sku]])-FIND("/",Table2[[#This Row],[spawner_sku]])),Table1[Entity Prefab],0)),10,1,1,"Entities"))</f>
        <v>75</v>
      </c>
      <c r="AN294" s="74">
        <f ca="1">ROUND((Table2[[#This Row],[XP]]*Table2[[#This Row],[entity_spawned (AVG)]])*(Table2[[#This Row],[activating_chance]]/100),0)</f>
        <v>75</v>
      </c>
      <c r="AO294" s="71" t="str">
        <f ca="1">INDIRECT(ADDRESS(11+(MATCH(RIGHT(Table2[[#This Row],[spawner_sku]],LEN(Table2[[#This Row],[spawner_sku]])-FIND("/",Table2[[#This Row],[spawner_sku]])),Table28[Entity Prefab],0)),24,1,1,"Entities"))</f>
        <v>no</v>
      </c>
      <c r="AP294" s="71">
        <v>1</v>
      </c>
      <c r="AQ294" s="71">
        <v>1</v>
      </c>
      <c r="AR294" s="71" t="b">
        <v>0</v>
      </c>
      <c r="BP294" t="s">
        <v>233</v>
      </c>
      <c r="BQ294">
        <v>1</v>
      </c>
      <c r="BR294">
        <v>500</v>
      </c>
      <c r="BS294">
        <v>75</v>
      </c>
      <c r="BT294" s="74">
        <f ca="1">INDIRECT(ADDRESS(11+(MATCH(RIGHT(Table61011[[#This Row],[spawner_sku]],LEN(Table61011[[#This Row],[spawner_sku]])-FIND("/",Table61011[[#This Row],[spawner_sku]])),Table1[Entity Prefab],0)),10,1,1,"Entities"))</f>
        <v>25</v>
      </c>
      <c r="BU294" s="74">
        <f ca="1">ROUND((Table61011[[#This Row],[XP]]*Table61011[[#This Row],[entity_spawned (AVG)]])*(Table61011[[#This Row],[activating_chance]]/100),0)</f>
        <v>19</v>
      </c>
      <c r="BV294" s="71" t="str">
        <f ca="1">INDIRECT(ADDRESS(11+(MATCH(RIGHT(Table61011[[#This Row],[spawner_sku]],LEN(Table61011[[#This Row],[spawner_sku]])-FIND("/",Table61011[[#This Row],[spawner_sku]])),Table28[Entity Prefab],0)),24,1,1,"Entities"))</f>
        <v>no</v>
      </c>
      <c r="BW294" s="71">
        <v>1</v>
      </c>
      <c r="BX294" s="71">
        <v>1</v>
      </c>
      <c r="BY294" s="71" t="b">
        <v>0</v>
      </c>
      <c r="BZ294" s="71"/>
      <c r="CA294" s="147" t="s">
        <v>3816</v>
      </c>
      <c r="CB294">
        <v>1</v>
      </c>
      <c r="CC294">
        <v>240</v>
      </c>
      <c r="CD294">
        <v>100</v>
      </c>
      <c r="CE294" s="74">
        <f ca="1">INDIRECT(ADDRESS(11+(MATCH(RIGHT(Table35[[#This Row],[spawner_sku]],LEN(Table35[[#This Row],[spawner_sku]])-FIND("/",Table35[[#This Row],[spawner_sku]])),Table1[Entity Prefab],0)),10,1,1,"Entities"))</f>
        <v>50</v>
      </c>
      <c r="CF294" s="74">
        <f ca="1">ROUND((Table35[[#This Row],[XP]]*Table35[[#This Row],[entity_spawned (AVG)]])*(Table35[[#This Row],[activating_chance]]/100),0)</f>
        <v>50</v>
      </c>
      <c r="CG294" s="144" t="str">
        <f ca="1">INDIRECT(ADDRESS(11+(MATCH(RIGHT(Table35[[#This Row],[spawner_sku]],LEN(Table35[[#This Row],[spawner_sku]])-FIND("/",Table35[[#This Row],[spawner_sku]])),Table28[Entity Prefab],0)),24,1,1,"Entities"))</f>
        <v>no</v>
      </c>
      <c r="CH294">
        <v>1</v>
      </c>
      <c r="CI294">
        <v>1</v>
      </c>
      <c r="CJ294" s="71" t="b">
        <v>0</v>
      </c>
      <c r="CL294" t="s">
        <v>447</v>
      </c>
      <c r="CM294">
        <v>1</v>
      </c>
      <c r="CN294">
        <v>260</v>
      </c>
      <c r="CO294">
        <v>100</v>
      </c>
      <c r="CP294" s="74">
        <f ca="1">INDIRECT(ADDRESS(11+(MATCH(RIGHT(Table11[[#This Row],[spawner_sku]],LEN(Table11[[#This Row],[spawner_sku]])-FIND("/",Table11[[#This Row],[spawner_sku]])),Table1[Entity Prefab],0)),10,1,1,"Entities"))</f>
        <v>105</v>
      </c>
      <c r="CQ294">
        <f ca="1">ROUND((Table11[[#This Row],[XP]]*Table11[[#This Row],[entity_spawned (AVG)]])*(Table11[[#This Row],[activating_chance]]/100),0)</f>
        <v>105</v>
      </c>
      <c r="CR294" s="144" t="str">
        <f ca="1">INDIRECT(ADDRESS(11+(MATCH(RIGHT(Table11[[#This Row],[spawner_sku]],LEN(Table11[[#This Row],[spawner_sku]])-FIND("/",Table11[[#This Row],[spawner_sku]])),Table28[Entity Prefab],0)),25,1,1,"Entities"))</f>
        <v>yes</v>
      </c>
      <c r="CS294" s="71">
        <v>1</v>
      </c>
      <c r="CT294" s="71">
        <v>1</v>
      </c>
      <c r="CU294" s="71" t="b">
        <v>0</v>
      </c>
      <c r="DH294" t="s">
        <v>366</v>
      </c>
      <c r="DI294">
        <v>5.5</v>
      </c>
      <c r="DJ294">
        <v>100</v>
      </c>
      <c r="DK294">
        <v>100</v>
      </c>
      <c r="DL294" s="74">
        <f ca="1">INDIRECT(ADDRESS(11+(MATCH(RIGHT(Table13[[#This Row],[spawner_sku]],LEN(Table13[[#This Row],[spawner_sku]])-FIND("/",Table13[[#This Row],[spawner_sku]])),Table1[Entity Prefab],0)),10,1,1,"Entities"))</f>
        <v>25</v>
      </c>
      <c r="DM294" s="74">
        <f ca="1">ROUND((Table13[[#This Row],[XP]]*Table13[[#This Row],[entity_spawned (AVG)]])*(Table13[[#This Row],[activating_chance]]/100),0)</f>
        <v>138</v>
      </c>
      <c r="DN294" s="144" t="str">
        <f ca="1">INDIRECT(ADDRESS(11+(MATCH(RIGHT(Table13[[#This Row],[spawner_sku]],LEN(Table13[[#This Row],[spawner_sku]])-FIND("/",Table13[[#This Row],[spawner_sku]])),Table28[Entity Prefab],0)),25,1,1,"Entities"))</f>
        <v>no</v>
      </c>
      <c r="DO294" s="71">
        <v>5</v>
      </c>
      <c r="DP294" s="71">
        <v>6</v>
      </c>
      <c r="DQ294" s="71" t="b">
        <v>1</v>
      </c>
      <c r="DS294" t="s">
        <v>367</v>
      </c>
      <c r="DT294">
        <v>1</v>
      </c>
      <c r="DU294">
        <v>150</v>
      </c>
      <c r="DV294">
        <v>100</v>
      </c>
      <c r="DW294" s="74">
        <f ca="1">INDIRECT(ADDRESS(11+(MATCH(RIGHT(Table14[[#This Row],[spawner_sku]],LEN(Table14[[#This Row],[spawner_sku]])-FIND("/",Table14[[#This Row],[spawner_sku]])),Table1[Entity Prefab],0)),10,1,1,"Entities"))</f>
        <v>75</v>
      </c>
      <c r="DX294" s="74">
        <f ca="1">ROUND((Table14[[#This Row],[XP]]*Table14[[#This Row],[entity_spawned (AVG)]])*(Table14[[#This Row],[activating_chance]]/100),0)</f>
        <v>75</v>
      </c>
      <c r="DY294" s="144" t="str">
        <f ca="1">INDIRECT(ADDRESS(11+(MATCH(RIGHT(Table14[[#This Row],[spawner_sku]],LEN(Table14[[#This Row],[spawner_sku]])-FIND("/",Table14[[#This Row],[spawner_sku]])),Table28[Entity Prefab],0)),25,1,1,"Entities"))</f>
        <v>no</v>
      </c>
      <c r="DZ294" s="71">
        <v>1</v>
      </c>
      <c r="EA294" s="71">
        <v>1</v>
      </c>
      <c r="EB294" s="71" t="b">
        <v>0</v>
      </c>
      <c r="EC294" s="71"/>
      <c r="EO294" t="s">
        <v>556</v>
      </c>
      <c r="EP294">
        <v>1</v>
      </c>
      <c r="EQ294">
        <v>160</v>
      </c>
      <c r="ER294">
        <v>100</v>
      </c>
      <c r="ES294" s="74">
        <f ca="1">INDIRECT(ADDRESS(11+(MATCH(RIGHT(Table18[[#This Row],[spawner_sku]],LEN(Table18[[#This Row],[spawner_sku]])-FIND("/",Table18[[#This Row],[spawner_sku]])),Table1[Entity Prefab],0)),10,1,1,"Entities"))</f>
        <v>25</v>
      </c>
      <c r="ET294" s="74">
        <f ca="1">ROUND((Table18[[#This Row],[XP]]*Table18[[#This Row],[entity_spawned (AVG)]])*(Table18[[#This Row],[activating_chance]]/100),0)</f>
        <v>25</v>
      </c>
      <c r="EU294" s="74" t="str">
        <f ca="1">INDIRECT(ADDRESS(11+(MATCH(RIGHT(Table18[[#This Row],[spawner_sku]],LEN(Table18[[#This Row],[spawner_sku]])-FIND("/",Table18[[#This Row],[spawner_sku]])),Table28[Entity Prefab],0)),26,1,1,"Entities"))</f>
        <v>no</v>
      </c>
      <c r="EV294">
        <v>1</v>
      </c>
      <c r="EW294">
        <v>1</v>
      </c>
      <c r="EX294" t="b">
        <v>0</v>
      </c>
    </row>
    <row r="295" spans="2:154" x14ac:dyDescent="0.25">
      <c r="B295" s="72" t="s">
        <v>225</v>
      </c>
      <c r="C295">
        <v>1</v>
      </c>
      <c r="D295">
        <v>2500</v>
      </c>
      <c r="E295">
        <v>100</v>
      </c>
      <c r="F295" s="74">
        <f ca="1">INDIRECT(ADDRESS(11+(MATCH(RIGHT(Table245[[#This Row],[spawner_sku]],LEN(Table245[[#This Row],[spawner_sku]])-FIND("/",Table245[[#This Row],[spawner_sku]])),Table1[Entity Prefab],0)),10,1,1,"Entities"))</f>
        <v>263</v>
      </c>
      <c r="G295" s="74">
        <f ca="1">ROUND((Table245[[#This Row],[XP]]*Table245[[#This Row],[entity_spawned (AVG)]])*(Table245[[#This Row],[activating_chance]]/100),0)</f>
        <v>263</v>
      </c>
      <c r="H295" s="71" t="str">
        <f ca="1">INDIRECT(ADDRESS(11+(MATCH(RIGHT(Table245[[#This Row],[spawner_sku]],LEN(Table245[[#This Row],[spawner_sku]])-FIND("/",Table245[[#This Row],[spawner_sku]])),Table28[Entity Prefab],0)),24,1,1,"Entities"))</f>
        <v>yes</v>
      </c>
      <c r="I295" s="71">
        <v>1</v>
      </c>
      <c r="J295" s="71">
        <v>1</v>
      </c>
      <c r="K295" s="71" t="b">
        <v>0</v>
      </c>
      <c r="AI295" t="s">
        <v>367</v>
      </c>
      <c r="AJ295">
        <v>1</v>
      </c>
      <c r="AK295">
        <v>150</v>
      </c>
      <c r="AL295">
        <v>100</v>
      </c>
      <c r="AM295" s="74">
        <f ca="1">INDIRECT(ADDRESS(11+(MATCH(RIGHT(Table2[[#This Row],[spawner_sku]],LEN(Table2[[#This Row],[spawner_sku]])-FIND("/",Table2[[#This Row],[spawner_sku]])),Table1[Entity Prefab],0)),10,1,1,"Entities"))</f>
        <v>75</v>
      </c>
      <c r="AN295" s="74">
        <f ca="1">ROUND((Table2[[#This Row],[XP]]*Table2[[#This Row],[entity_spawned (AVG)]])*(Table2[[#This Row],[activating_chance]]/100),0)</f>
        <v>75</v>
      </c>
      <c r="AO295" s="71" t="str">
        <f ca="1">INDIRECT(ADDRESS(11+(MATCH(RIGHT(Table2[[#This Row],[spawner_sku]],LEN(Table2[[#This Row],[spawner_sku]])-FIND("/",Table2[[#This Row],[spawner_sku]])),Table28[Entity Prefab],0)),24,1,1,"Entities"))</f>
        <v>no</v>
      </c>
      <c r="AP295" s="71">
        <v>1</v>
      </c>
      <c r="AQ295" s="71">
        <v>1</v>
      </c>
      <c r="AR295" s="71" t="b">
        <v>0</v>
      </c>
      <c r="BP295" t="s">
        <v>5003</v>
      </c>
      <c r="BQ295">
        <v>1</v>
      </c>
      <c r="BR295">
        <v>5000</v>
      </c>
      <c r="BS295">
        <v>50</v>
      </c>
      <c r="BT295" s="74">
        <f ca="1">INDIRECT(ADDRESS(11+(MATCH(RIGHT(Table61011[[#This Row],[spawner_sku]],LEN(Table61011[[#This Row],[spawner_sku]])-FIND("/",Table61011[[#This Row],[spawner_sku]])),Table1[Entity Prefab],0)),10,1,1,"Entities"))</f>
        <v>25</v>
      </c>
      <c r="BU295" s="74">
        <f ca="1">ROUND((Table61011[[#This Row],[XP]]*Table61011[[#This Row],[entity_spawned (AVG)]])*(Table61011[[#This Row],[activating_chance]]/100),0)</f>
        <v>13</v>
      </c>
      <c r="BV295" s="71" t="str">
        <f ca="1">INDIRECT(ADDRESS(11+(MATCH(RIGHT(Table61011[[#This Row],[spawner_sku]],LEN(Table61011[[#This Row],[spawner_sku]])-FIND("/",Table61011[[#This Row],[spawner_sku]])),Table28[Entity Prefab],0)),24,1,1,"Entities"))</f>
        <v>no</v>
      </c>
      <c r="BW295" s="71">
        <v>1</v>
      </c>
      <c r="BX295" s="71">
        <v>1</v>
      </c>
      <c r="BY295" s="71" t="b">
        <v>0</v>
      </c>
      <c r="BZ295" s="71"/>
      <c r="CA295" s="147" t="s">
        <v>3816</v>
      </c>
      <c r="CB295">
        <v>1</v>
      </c>
      <c r="CC295">
        <v>240</v>
      </c>
      <c r="CD295">
        <v>100</v>
      </c>
      <c r="CE295" s="74">
        <f ca="1">INDIRECT(ADDRESS(11+(MATCH(RIGHT(Table35[[#This Row],[spawner_sku]],LEN(Table35[[#This Row],[spawner_sku]])-FIND("/",Table35[[#This Row],[spawner_sku]])),Table1[Entity Prefab],0)),10,1,1,"Entities"))</f>
        <v>50</v>
      </c>
      <c r="CF295" s="74">
        <f ca="1">ROUND((Table35[[#This Row],[XP]]*Table35[[#This Row],[entity_spawned (AVG)]])*(Table35[[#This Row],[activating_chance]]/100),0)</f>
        <v>50</v>
      </c>
      <c r="CG295" s="144" t="str">
        <f ca="1">INDIRECT(ADDRESS(11+(MATCH(RIGHT(Table35[[#This Row],[spawner_sku]],LEN(Table35[[#This Row],[spawner_sku]])-FIND("/",Table35[[#This Row],[spawner_sku]])),Table28[Entity Prefab],0)),24,1,1,"Entities"))</f>
        <v>no</v>
      </c>
      <c r="CH295">
        <v>1</v>
      </c>
      <c r="CI295">
        <v>1</v>
      </c>
      <c r="CJ295" s="71" t="b">
        <v>0</v>
      </c>
      <c r="CL295" t="s">
        <v>447</v>
      </c>
      <c r="CM295">
        <v>1</v>
      </c>
      <c r="CN295">
        <v>260</v>
      </c>
      <c r="CO295">
        <v>100</v>
      </c>
      <c r="CP295" s="74">
        <f ca="1">INDIRECT(ADDRESS(11+(MATCH(RIGHT(Table11[[#This Row],[spawner_sku]],LEN(Table11[[#This Row],[spawner_sku]])-FIND("/",Table11[[#This Row],[spawner_sku]])),Table1[Entity Prefab],0)),10,1,1,"Entities"))</f>
        <v>105</v>
      </c>
      <c r="CQ295">
        <f ca="1">ROUND((Table11[[#This Row],[XP]]*Table11[[#This Row],[entity_spawned (AVG)]])*(Table11[[#This Row],[activating_chance]]/100),0)</f>
        <v>105</v>
      </c>
      <c r="CR295" s="144" t="str">
        <f ca="1">INDIRECT(ADDRESS(11+(MATCH(RIGHT(Table11[[#This Row],[spawner_sku]],LEN(Table11[[#This Row],[spawner_sku]])-FIND("/",Table11[[#This Row],[spawner_sku]])),Table28[Entity Prefab],0)),25,1,1,"Entities"))</f>
        <v>yes</v>
      </c>
      <c r="CS295" s="71">
        <v>1</v>
      </c>
      <c r="CT295" s="71">
        <v>1</v>
      </c>
      <c r="CU295" s="71" t="b">
        <v>0</v>
      </c>
      <c r="DH295" t="s">
        <v>366</v>
      </c>
      <c r="DI295">
        <v>3.5</v>
      </c>
      <c r="DJ295">
        <v>100</v>
      </c>
      <c r="DK295">
        <v>100</v>
      </c>
      <c r="DL295" s="74">
        <f ca="1">INDIRECT(ADDRESS(11+(MATCH(RIGHT(Table13[[#This Row],[spawner_sku]],LEN(Table13[[#This Row],[spawner_sku]])-FIND("/",Table13[[#This Row],[spawner_sku]])),Table1[Entity Prefab],0)),10,1,1,"Entities"))</f>
        <v>25</v>
      </c>
      <c r="DM295" s="74">
        <f ca="1">ROUND((Table13[[#This Row],[XP]]*Table13[[#This Row],[entity_spawned (AVG)]])*(Table13[[#This Row],[activating_chance]]/100),0)</f>
        <v>88</v>
      </c>
      <c r="DN295" s="144" t="str">
        <f ca="1">INDIRECT(ADDRESS(11+(MATCH(RIGHT(Table13[[#This Row],[spawner_sku]],LEN(Table13[[#This Row],[spawner_sku]])-FIND("/",Table13[[#This Row],[spawner_sku]])),Table28[Entity Prefab],0)),25,1,1,"Entities"))</f>
        <v>no</v>
      </c>
      <c r="DO295" s="71">
        <v>3</v>
      </c>
      <c r="DP295" s="71">
        <v>4</v>
      </c>
      <c r="DQ295" s="71" t="b">
        <v>0</v>
      </c>
      <c r="DS295" t="s">
        <v>367</v>
      </c>
      <c r="DT295">
        <v>1</v>
      </c>
      <c r="DU295">
        <v>90</v>
      </c>
      <c r="DV295">
        <v>100</v>
      </c>
      <c r="DW295" s="74">
        <f ca="1">INDIRECT(ADDRESS(11+(MATCH(RIGHT(Table14[[#This Row],[spawner_sku]],LEN(Table14[[#This Row],[spawner_sku]])-FIND("/",Table14[[#This Row],[spawner_sku]])),Table1[Entity Prefab],0)),10,1,1,"Entities"))</f>
        <v>75</v>
      </c>
      <c r="DX295" s="74">
        <f ca="1">ROUND((Table14[[#This Row],[XP]]*Table14[[#This Row],[entity_spawned (AVG)]])*(Table14[[#This Row],[activating_chance]]/100),0)</f>
        <v>75</v>
      </c>
      <c r="DY295" s="144" t="str">
        <f ca="1">INDIRECT(ADDRESS(11+(MATCH(RIGHT(Table14[[#This Row],[spawner_sku]],LEN(Table14[[#This Row],[spawner_sku]])-FIND("/",Table14[[#This Row],[spawner_sku]])),Table28[Entity Prefab],0)),25,1,1,"Entities"))</f>
        <v>no</v>
      </c>
      <c r="DZ295" s="71">
        <v>1</v>
      </c>
      <c r="EA295" s="71">
        <v>1</v>
      </c>
      <c r="EB295" s="71" t="b">
        <v>0</v>
      </c>
      <c r="EC295" s="71"/>
      <c r="EO295" t="s">
        <v>556</v>
      </c>
      <c r="EP295">
        <v>1</v>
      </c>
      <c r="EQ295">
        <v>160</v>
      </c>
      <c r="ER295">
        <v>80</v>
      </c>
      <c r="ES295" s="74">
        <f ca="1">INDIRECT(ADDRESS(11+(MATCH(RIGHT(Table18[[#This Row],[spawner_sku]],LEN(Table18[[#This Row],[spawner_sku]])-FIND("/",Table18[[#This Row],[spawner_sku]])),Table1[Entity Prefab],0)),10,1,1,"Entities"))</f>
        <v>25</v>
      </c>
      <c r="ET295" s="74">
        <f ca="1">ROUND((Table18[[#This Row],[XP]]*Table18[[#This Row],[entity_spawned (AVG)]])*(Table18[[#This Row],[activating_chance]]/100),0)</f>
        <v>20</v>
      </c>
      <c r="EU295" s="74" t="str">
        <f ca="1">INDIRECT(ADDRESS(11+(MATCH(RIGHT(Table18[[#This Row],[spawner_sku]],LEN(Table18[[#This Row],[spawner_sku]])-FIND("/",Table18[[#This Row],[spawner_sku]])),Table28[Entity Prefab],0)),26,1,1,"Entities"))</f>
        <v>no</v>
      </c>
      <c r="EV295">
        <v>1</v>
      </c>
      <c r="EW295">
        <v>1</v>
      </c>
      <c r="EX295" t="b">
        <v>0</v>
      </c>
    </row>
    <row r="296" spans="2:154" x14ac:dyDescent="0.25">
      <c r="B296" s="72" t="s">
        <v>225</v>
      </c>
      <c r="C296">
        <v>1</v>
      </c>
      <c r="D296">
        <v>2500</v>
      </c>
      <c r="E296">
        <v>100</v>
      </c>
      <c r="F296" s="74">
        <f ca="1">INDIRECT(ADDRESS(11+(MATCH(RIGHT(Table245[[#This Row],[spawner_sku]],LEN(Table245[[#This Row],[spawner_sku]])-FIND("/",Table245[[#This Row],[spawner_sku]])),Table1[Entity Prefab],0)),10,1,1,"Entities"))</f>
        <v>263</v>
      </c>
      <c r="G296" s="74">
        <f ca="1">ROUND((Table245[[#This Row],[XP]]*Table245[[#This Row],[entity_spawned (AVG)]])*(Table245[[#This Row],[activating_chance]]/100),0)</f>
        <v>263</v>
      </c>
      <c r="H296" s="71" t="str">
        <f ca="1">INDIRECT(ADDRESS(11+(MATCH(RIGHT(Table245[[#This Row],[spawner_sku]],LEN(Table245[[#This Row],[spawner_sku]])-FIND("/",Table245[[#This Row],[spawner_sku]])),Table28[Entity Prefab],0)),24,1,1,"Entities"))</f>
        <v>yes</v>
      </c>
      <c r="I296" s="71">
        <v>1</v>
      </c>
      <c r="J296" s="71">
        <v>1</v>
      </c>
      <c r="K296" s="71" t="b">
        <v>0</v>
      </c>
      <c r="AI296" t="s">
        <v>367</v>
      </c>
      <c r="AJ296">
        <v>1</v>
      </c>
      <c r="AK296">
        <v>200</v>
      </c>
      <c r="AL296">
        <v>100</v>
      </c>
      <c r="AM296" s="74">
        <f ca="1">INDIRECT(ADDRESS(11+(MATCH(RIGHT(Table2[[#This Row],[spawner_sku]],LEN(Table2[[#This Row],[spawner_sku]])-FIND("/",Table2[[#This Row],[spawner_sku]])),Table1[Entity Prefab],0)),10,1,1,"Entities"))</f>
        <v>75</v>
      </c>
      <c r="AN296" s="74">
        <f ca="1">ROUND((Table2[[#This Row],[XP]]*Table2[[#This Row],[entity_spawned (AVG)]])*(Table2[[#This Row],[activating_chance]]/100),0)</f>
        <v>75</v>
      </c>
      <c r="AO296" s="71" t="str">
        <f ca="1">INDIRECT(ADDRESS(11+(MATCH(RIGHT(Table2[[#This Row],[spawner_sku]],LEN(Table2[[#This Row],[spawner_sku]])-FIND("/",Table2[[#This Row],[spawner_sku]])),Table28[Entity Prefab],0)),24,1,1,"Entities"))</f>
        <v>no</v>
      </c>
      <c r="AP296" s="71">
        <v>1</v>
      </c>
      <c r="AQ296" s="71">
        <v>1</v>
      </c>
      <c r="AR296" s="71" t="b">
        <v>0</v>
      </c>
      <c r="BP296" t="s">
        <v>5003</v>
      </c>
      <c r="BQ296">
        <v>1</v>
      </c>
      <c r="BR296">
        <v>5000</v>
      </c>
      <c r="BS296">
        <v>50</v>
      </c>
      <c r="BT296" s="74">
        <f ca="1">INDIRECT(ADDRESS(11+(MATCH(RIGHT(Table61011[[#This Row],[spawner_sku]],LEN(Table61011[[#This Row],[spawner_sku]])-FIND("/",Table61011[[#This Row],[spawner_sku]])),Table1[Entity Prefab],0)),10,1,1,"Entities"))</f>
        <v>25</v>
      </c>
      <c r="BU296" s="74">
        <f ca="1">ROUND((Table61011[[#This Row],[XP]]*Table61011[[#This Row],[entity_spawned (AVG)]])*(Table61011[[#This Row],[activating_chance]]/100),0)</f>
        <v>13</v>
      </c>
      <c r="BV296" s="71" t="str">
        <f ca="1">INDIRECT(ADDRESS(11+(MATCH(RIGHT(Table61011[[#This Row],[spawner_sku]],LEN(Table61011[[#This Row],[spawner_sku]])-FIND("/",Table61011[[#This Row],[spawner_sku]])),Table28[Entity Prefab],0)),24,1,1,"Entities"))</f>
        <v>no</v>
      </c>
      <c r="BW296" s="71">
        <v>1</v>
      </c>
      <c r="BX296" s="71">
        <v>1</v>
      </c>
      <c r="BY296" s="71" t="b">
        <v>0</v>
      </c>
      <c r="BZ296" s="71"/>
      <c r="CA296" s="147" t="s">
        <v>3816</v>
      </c>
      <c r="CB296">
        <v>1</v>
      </c>
      <c r="CC296">
        <v>240</v>
      </c>
      <c r="CD296">
        <v>100</v>
      </c>
      <c r="CE296" s="74">
        <f ca="1">INDIRECT(ADDRESS(11+(MATCH(RIGHT(Table35[[#This Row],[spawner_sku]],LEN(Table35[[#This Row],[spawner_sku]])-FIND("/",Table35[[#This Row],[spawner_sku]])),Table1[Entity Prefab],0)),10,1,1,"Entities"))</f>
        <v>50</v>
      </c>
      <c r="CF296" s="74">
        <f ca="1">ROUND((Table35[[#This Row],[XP]]*Table35[[#This Row],[entity_spawned (AVG)]])*(Table35[[#This Row],[activating_chance]]/100),0)</f>
        <v>50</v>
      </c>
      <c r="CG296" s="144" t="str">
        <f ca="1">INDIRECT(ADDRESS(11+(MATCH(RIGHT(Table35[[#This Row],[spawner_sku]],LEN(Table35[[#This Row],[spawner_sku]])-FIND("/",Table35[[#This Row],[spawner_sku]])),Table28[Entity Prefab],0)),24,1,1,"Entities"))</f>
        <v>no</v>
      </c>
      <c r="CH296">
        <v>1</v>
      </c>
      <c r="CI296">
        <v>1</v>
      </c>
      <c r="CJ296" s="71" t="b">
        <v>0</v>
      </c>
      <c r="CL296" t="s">
        <v>447</v>
      </c>
      <c r="CM296">
        <v>1</v>
      </c>
      <c r="CN296">
        <v>200</v>
      </c>
      <c r="CO296">
        <v>10</v>
      </c>
      <c r="CP296" s="74">
        <f ca="1">INDIRECT(ADDRESS(11+(MATCH(RIGHT(Table11[[#This Row],[spawner_sku]],LEN(Table11[[#This Row],[spawner_sku]])-FIND("/",Table11[[#This Row],[spawner_sku]])),Table1[Entity Prefab],0)),10,1,1,"Entities"))</f>
        <v>105</v>
      </c>
      <c r="CQ296">
        <f ca="1">ROUND((Table11[[#This Row],[XP]]*Table11[[#This Row],[entity_spawned (AVG)]])*(Table11[[#This Row],[activating_chance]]/100),0)</f>
        <v>11</v>
      </c>
      <c r="CR296" s="144" t="str">
        <f ca="1">INDIRECT(ADDRESS(11+(MATCH(RIGHT(Table11[[#This Row],[spawner_sku]],LEN(Table11[[#This Row],[spawner_sku]])-FIND("/",Table11[[#This Row],[spawner_sku]])),Table28[Entity Prefab],0)),25,1,1,"Entities"))</f>
        <v>yes</v>
      </c>
      <c r="CS296" s="71">
        <v>1</v>
      </c>
      <c r="CT296" s="71">
        <v>1</v>
      </c>
      <c r="CU296" s="71" t="b">
        <v>0</v>
      </c>
      <c r="DH296" t="s">
        <v>366</v>
      </c>
      <c r="DI296">
        <v>1</v>
      </c>
      <c r="DJ296">
        <v>100</v>
      </c>
      <c r="DK296">
        <v>80</v>
      </c>
      <c r="DL296" s="74">
        <f ca="1">INDIRECT(ADDRESS(11+(MATCH(RIGHT(Table13[[#This Row],[spawner_sku]],LEN(Table13[[#This Row],[spawner_sku]])-FIND("/",Table13[[#This Row],[spawner_sku]])),Table1[Entity Prefab],0)),10,1,1,"Entities"))</f>
        <v>25</v>
      </c>
      <c r="DM296" s="74">
        <f ca="1">ROUND((Table13[[#This Row],[XP]]*Table13[[#This Row],[entity_spawned (AVG)]])*(Table13[[#This Row],[activating_chance]]/100),0)</f>
        <v>20</v>
      </c>
      <c r="DN296" s="144" t="str">
        <f ca="1">INDIRECT(ADDRESS(11+(MATCH(RIGHT(Table13[[#This Row],[spawner_sku]],LEN(Table13[[#This Row],[spawner_sku]])-FIND("/",Table13[[#This Row],[spawner_sku]])),Table28[Entity Prefab],0)),25,1,1,"Entities"))</f>
        <v>no</v>
      </c>
      <c r="DO296" s="71">
        <v>1</v>
      </c>
      <c r="DP296" s="71">
        <v>1</v>
      </c>
      <c r="DQ296" s="71" t="b">
        <v>0</v>
      </c>
      <c r="DS296" t="s">
        <v>367</v>
      </c>
      <c r="DT296">
        <v>1</v>
      </c>
      <c r="DU296">
        <v>120</v>
      </c>
      <c r="DV296">
        <v>100</v>
      </c>
      <c r="DW296" s="74">
        <f ca="1">INDIRECT(ADDRESS(11+(MATCH(RIGHT(Table14[[#This Row],[spawner_sku]],LEN(Table14[[#This Row],[spawner_sku]])-FIND("/",Table14[[#This Row],[spawner_sku]])),Table1[Entity Prefab],0)),10,1,1,"Entities"))</f>
        <v>75</v>
      </c>
      <c r="DX296" s="74">
        <f ca="1">ROUND((Table14[[#This Row],[XP]]*Table14[[#This Row],[entity_spawned (AVG)]])*(Table14[[#This Row],[activating_chance]]/100),0)</f>
        <v>75</v>
      </c>
      <c r="DY296" s="144" t="str">
        <f ca="1">INDIRECT(ADDRESS(11+(MATCH(RIGHT(Table14[[#This Row],[spawner_sku]],LEN(Table14[[#This Row],[spawner_sku]])-FIND("/",Table14[[#This Row],[spawner_sku]])),Table28[Entity Prefab],0)),25,1,1,"Entities"))</f>
        <v>no</v>
      </c>
      <c r="DZ296" s="71">
        <v>1</v>
      </c>
      <c r="EA296" s="71">
        <v>1</v>
      </c>
      <c r="EB296" s="71" t="b">
        <v>0</v>
      </c>
      <c r="EC296" s="71"/>
      <c r="EO296" t="s">
        <v>556</v>
      </c>
      <c r="EP296">
        <v>1</v>
      </c>
      <c r="EQ296">
        <v>160</v>
      </c>
      <c r="ER296">
        <v>100</v>
      </c>
      <c r="ES296" s="74">
        <f ca="1">INDIRECT(ADDRESS(11+(MATCH(RIGHT(Table18[[#This Row],[spawner_sku]],LEN(Table18[[#This Row],[spawner_sku]])-FIND("/",Table18[[#This Row],[spawner_sku]])),Table1[Entity Prefab],0)),10,1,1,"Entities"))</f>
        <v>25</v>
      </c>
      <c r="ET296" s="74">
        <f ca="1">ROUND((Table18[[#This Row],[XP]]*Table18[[#This Row],[entity_spawned (AVG)]])*(Table18[[#This Row],[activating_chance]]/100),0)</f>
        <v>25</v>
      </c>
      <c r="EU296" s="74" t="str">
        <f ca="1">INDIRECT(ADDRESS(11+(MATCH(RIGHT(Table18[[#This Row],[spawner_sku]],LEN(Table18[[#This Row],[spawner_sku]])-FIND("/",Table18[[#This Row],[spawner_sku]])),Table28[Entity Prefab],0)),26,1,1,"Entities"))</f>
        <v>no</v>
      </c>
      <c r="EV296">
        <v>1</v>
      </c>
      <c r="EW296">
        <v>1</v>
      </c>
      <c r="EX296" t="b">
        <v>0</v>
      </c>
    </row>
    <row r="297" spans="2:154" x14ac:dyDescent="0.25">
      <c r="B297" s="72" t="s">
        <v>225</v>
      </c>
      <c r="C297">
        <v>1</v>
      </c>
      <c r="D297">
        <v>2500</v>
      </c>
      <c r="E297">
        <v>100</v>
      </c>
      <c r="F297" s="74">
        <f ca="1">INDIRECT(ADDRESS(11+(MATCH(RIGHT(Table245[[#This Row],[spawner_sku]],LEN(Table245[[#This Row],[spawner_sku]])-FIND("/",Table245[[#This Row],[spawner_sku]])),Table1[Entity Prefab],0)),10,1,1,"Entities"))</f>
        <v>263</v>
      </c>
      <c r="G297" s="74">
        <f ca="1">ROUND((Table245[[#This Row],[XP]]*Table245[[#This Row],[entity_spawned (AVG)]])*(Table245[[#This Row],[activating_chance]]/100),0)</f>
        <v>263</v>
      </c>
      <c r="H297" s="71" t="str">
        <f ca="1">INDIRECT(ADDRESS(11+(MATCH(RIGHT(Table245[[#This Row],[spawner_sku]],LEN(Table245[[#This Row],[spawner_sku]])-FIND("/",Table245[[#This Row],[spawner_sku]])),Table28[Entity Prefab],0)),24,1,1,"Entities"))</f>
        <v>yes</v>
      </c>
      <c r="I297" s="71">
        <v>1</v>
      </c>
      <c r="J297" s="71">
        <v>1</v>
      </c>
      <c r="K297" s="71" t="b">
        <v>0</v>
      </c>
      <c r="AI297" t="s">
        <v>367</v>
      </c>
      <c r="AJ297">
        <v>1</v>
      </c>
      <c r="AK297">
        <v>170</v>
      </c>
      <c r="AL297">
        <v>100</v>
      </c>
      <c r="AM297" s="74">
        <f ca="1">INDIRECT(ADDRESS(11+(MATCH(RIGHT(Table2[[#This Row],[spawner_sku]],LEN(Table2[[#This Row],[spawner_sku]])-FIND("/",Table2[[#This Row],[spawner_sku]])),Table1[Entity Prefab],0)),10,1,1,"Entities"))</f>
        <v>75</v>
      </c>
      <c r="AN297" s="74">
        <f ca="1">ROUND((Table2[[#This Row],[XP]]*Table2[[#This Row],[entity_spawned (AVG)]])*(Table2[[#This Row],[activating_chance]]/100),0)</f>
        <v>75</v>
      </c>
      <c r="AO297" s="71" t="str">
        <f ca="1">INDIRECT(ADDRESS(11+(MATCH(RIGHT(Table2[[#This Row],[spawner_sku]],LEN(Table2[[#This Row],[spawner_sku]])-FIND("/",Table2[[#This Row],[spawner_sku]])),Table28[Entity Prefab],0)),24,1,1,"Entities"))</f>
        <v>no</v>
      </c>
      <c r="AP297" s="71">
        <v>1</v>
      </c>
      <c r="AQ297" s="71">
        <v>1</v>
      </c>
      <c r="AR297" s="71" t="b">
        <v>0</v>
      </c>
      <c r="BP297" t="s">
        <v>5003</v>
      </c>
      <c r="BQ297">
        <v>1</v>
      </c>
      <c r="BR297">
        <v>5000</v>
      </c>
      <c r="BS297">
        <v>50</v>
      </c>
      <c r="BT297" s="74">
        <f ca="1">INDIRECT(ADDRESS(11+(MATCH(RIGHT(Table61011[[#This Row],[spawner_sku]],LEN(Table61011[[#This Row],[spawner_sku]])-FIND("/",Table61011[[#This Row],[spawner_sku]])),Table1[Entity Prefab],0)),10,1,1,"Entities"))</f>
        <v>25</v>
      </c>
      <c r="BU297" s="74">
        <f ca="1">ROUND((Table61011[[#This Row],[XP]]*Table61011[[#This Row],[entity_spawned (AVG)]])*(Table61011[[#This Row],[activating_chance]]/100),0)</f>
        <v>13</v>
      </c>
      <c r="BV297" s="71" t="str">
        <f ca="1">INDIRECT(ADDRESS(11+(MATCH(RIGHT(Table61011[[#This Row],[spawner_sku]],LEN(Table61011[[#This Row],[spawner_sku]])-FIND("/",Table61011[[#This Row],[spawner_sku]])),Table28[Entity Prefab],0)),24,1,1,"Entities"))</f>
        <v>no</v>
      </c>
      <c r="BW297" s="71">
        <v>1</v>
      </c>
      <c r="BX297" s="71">
        <v>1</v>
      </c>
      <c r="BY297" s="71" t="b">
        <v>0</v>
      </c>
      <c r="BZ297" s="71"/>
      <c r="CA297" s="147" t="s">
        <v>3816</v>
      </c>
      <c r="CB297">
        <v>1</v>
      </c>
      <c r="CC297">
        <v>240</v>
      </c>
      <c r="CD297">
        <v>100</v>
      </c>
      <c r="CE297" s="74">
        <f ca="1">INDIRECT(ADDRESS(11+(MATCH(RIGHT(Table35[[#This Row],[spawner_sku]],LEN(Table35[[#This Row],[spawner_sku]])-FIND("/",Table35[[#This Row],[spawner_sku]])),Table1[Entity Prefab],0)),10,1,1,"Entities"))</f>
        <v>50</v>
      </c>
      <c r="CF297" s="74">
        <f ca="1">ROUND((Table35[[#This Row],[XP]]*Table35[[#This Row],[entity_spawned (AVG)]])*(Table35[[#This Row],[activating_chance]]/100),0)</f>
        <v>50</v>
      </c>
      <c r="CG297" s="144" t="str">
        <f ca="1">INDIRECT(ADDRESS(11+(MATCH(RIGHT(Table35[[#This Row],[spawner_sku]],LEN(Table35[[#This Row],[spawner_sku]])-FIND("/",Table35[[#This Row],[spawner_sku]])),Table28[Entity Prefab],0)),24,1,1,"Entities"))</f>
        <v>no</v>
      </c>
      <c r="CH297">
        <v>1</v>
      </c>
      <c r="CI297">
        <v>1</v>
      </c>
      <c r="CJ297" s="71" t="b">
        <v>0</v>
      </c>
      <c r="CL297" t="s">
        <v>447</v>
      </c>
      <c r="CM297">
        <v>1</v>
      </c>
      <c r="CN297">
        <v>260</v>
      </c>
      <c r="CO297">
        <v>100</v>
      </c>
      <c r="CP297" s="74">
        <f ca="1">INDIRECT(ADDRESS(11+(MATCH(RIGHT(Table11[[#This Row],[spawner_sku]],LEN(Table11[[#This Row],[spawner_sku]])-FIND("/",Table11[[#This Row],[spawner_sku]])),Table1[Entity Prefab],0)),10,1,1,"Entities"))</f>
        <v>105</v>
      </c>
      <c r="CQ297">
        <f ca="1">ROUND((Table11[[#This Row],[XP]]*Table11[[#This Row],[entity_spawned (AVG)]])*(Table11[[#This Row],[activating_chance]]/100),0)</f>
        <v>105</v>
      </c>
      <c r="CR297" s="144" t="str">
        <f ca="1">INDIRECT(ADDRESS(11+(MATCH(RIGHT(Table11[[#This Row],[spawner_sku]],LEN(Table11[[#This Row],[spawner_sku]])-FIND("/",Table11[[#This Row],[spawner_sku]])),Table28[Entity Prefab],0)),25,1,1,"Entities"))</f>
        <v>yes</v>
      </c>
      <c r="CS297" s="71">
        <v>1</v>
      </c>
      <c r="CT297" s="71">
        <v>1</v>
      </c>
      <c r="CU297" s="71" t="b">
        <v>0</v>
      </c>
      <c r="DH297" t="s">
        <v>366</v>
      </c>
      <c r="DI297">
        <v>2</v>
      </c>
      <c r="DJ297">
        <v>100</v>
      </c>
      <c r="DK297">
        <v>100</v>
      </c>
      <c r="DL297" s="74">
        <f ca="1">INDIRECT(ADDRESS(11+(MATCH(RIGHT(Table13[[#This Row],[spawner_sku]],LEN(Table13[[#This Row],[spawner_sku]])-FIND("/",Table13[[#This Row],[spawner_sku]])),Table1[Entity Prefab],0)),10,1,1,"Entities"))</f>
        <v>25</v>
      </c>
      <c r="DM297" s="74">
        <f ca="1">ROUND((Table13[[#This Row],[XP]]*Table13[[#This Row],[entity_spawned (AVG)]])*(Table13[[#This Row],[activating_chance]]/100),0)</f>
        <v>50</v>
      </c>
      <c r="DN297" s="144" t="str">
        <f ca="1">INDIRECT(ADDRESS(11+(MATCH(RIGHT(Table13[[#This Row],[spawner_sku]],LEN(Table13[[#This Row],[spawner_sku]])-FIND("/",Table13[[#This Row],[spawner_sku]])),Table28[Entity Prefab],0)),25,1,1,"Entities"))</f>
        <v>no</v>
      </c>
      <c r="DO297" s="71">
        <v>2</v>
      </c>
      <c r="DP297" s="71">
        <v>2</v>
      </c>
      <c r="DQ297" s="71" t="b">
        <v>0</v>
      </c>
      <c r="DS297" t="s">
        <v>367</v>
      </c>
      <c r="DT297">
        <v>1</v>
      </c>
      <c r="DU297">
        <v>100</v>
      </c>
      <c r="DV297">
        <v>100</v>
      </c>
      <c r="DW297" s="74">
        <f ca="1">INDIRECT(ADDRESS(11+(MATCH(RIGHT(Table14[[#This Row],[spawner_sku]],LEN(Table14[[#This Row],[spawner_sku]])-FIND("/",Table14[[#This Row],[spawner_sku]])),Table1[Entity Prefab],0)),10,1,1,"Entities"))</f>
        <v>75</v>
      </c>
      <c r="DX297" s="74">
        <f ca="1">ROUND((Table14[[#This Row],[XP]]*Table14[[#This Row],[entity_spawned (AVG)]])*(Table14[[#This Row],[activating_chance]]/100),0)</f>
        <v>75</v>
      </c>
      <c r="DY297" s="144" t="str">
        <f ca="1">INDIRECT(ADDRESS(11+(MATCH(RIGHT(Table14[[#This Row],[spawner_sku]],LEN(Table14[[#This Row],[spawner_sku]])-FIND("/",Table14[[#This Row],[spawner_sku]])),Table28[Entity Prefab],0)),25,1,1,"Entities"))</f>
        <v>no</v>
      </c>
      <c r="DZ297" s="71">
        <v>1</v>
      </c>
      <c r="EA297" s="71">
        <v>1</v>
      </c>
      <c r="EB297" s="71" t="b">
        <v>0</v>
      </c>
      <c r="EC297" s="71"/>
      <c r="EO297" t="s">
        <v>556</v>
      </c>
      <c r="EP297">
        <v>1</v>
      </c>
      <c r="EQ297">
        <v>160</v>
      </c>
      <c r="ER297">
        <v>100</v>
      </c>
      <c r="ES297" s="74">
        <f ca="1">INDIRECT(ADDRESS(11+(MATCH(RIGHT(Table18[[#This Row],[spawner_sku]],LEN(Table18[[#This Row],[spawner_sku]])-FIND("/",Table18[[#This Row],[spawner_sku]])),Table1[Entity Prefab],0)),10,1,1,"Entities"))</f>
        <v>25</v>
      </c>
      <c r="ET297" s="74">
        <f ca="1">ROUND((Table18[[#This Row],[XP]]*Table18[[#This Row],[entity_spawned (AVG)]])*(Table18[[#This Row],[activating_chance]]/100),0)</f>
        <v>25</v>
      </c>
      <c r="EU297" s="74" t="str">
        <f ca="1">INDIRECT(ADDRESS(11+(MATCH(RIGHT(Table18[[#This Row],[spawner_sku]],LEN(Table18[[#This Row],[spawner_sku]])-FIND("/",Table18[[#This Row],[spawner_sku]])),Table28[Entity Prefab],0)),26,1,1,"Entities"))</f>
        <v>no</v>
      </c>
      <c r="EV297">
        <v>1</v>
      </c>
      <c r="EW297">
        <v>1</v>
      </c>
      <c r="EX297" t="b">
        <v>0</v>
      </c>
    </row>
    <row r="298" spans="2:154" x14ac:dyDescent="0.25">
      <c r="B298" s="72" t="s">
        <v>225</v>
      </c>
      <c r="C298">
        <v>1</v>
      </c>
      <c r="D298">
        <v>2500</v>
      </c>
      <c r="E298">
        <v>100</v>
      </c>
      <c r="F298" s="74">
        <f ca="1">INDIRECT(ADDRESS(11+(MATCH(RIGHT(Table245[[#This Row],[spawner_sku]],LEN(Table245[[#This Row],[spawner_sku]])-FIND("/",Table245[[#This Row],[spawner_sku]])),Table1[Entity Prefab],0)),10,1,1,"Entities"))</f>
        <v>263</v>
      </c>
      <c r="G298" s="74">
        <f ca="1">ROUND((Table245[[#This Row],[XP]]*Table245[[#This Row],[entity_spawned (AVG)]])*(Table245[[#This Row],[activating_chance]]/100),0)</f>
        <v>263</v>
      </c>
      <c r="H298" s="71" t="str">
        <f ca="1">INDIRECT(ADDRESS(11+(MATCH(RIGHT(Table245[[#This Row],[spawner_sku]],LEN(Table245[[#This Row],[spawner_sku]])-FIND("/",Table245[[#This Row],[spawner_sku]])),Table28[Entity Prefab],0)),24,1,1,"Entities"))</f>
        <v>yes</v>
      </c>
      <c r="I298" s="71">
        <v>1</v>
      </c>
      <c r="J298" s="71">
        <v>1</v>
      </c>
      <c r="K298" s="71" t="b">
        <v>0</v>
      </c>
      <c r="AI298" t="s">
        <v>367</v>
      </c>
      <c r="AJ298">
        <v>1</v>
      </c>
      <c r="AK298">
        <v>220</v>
      </c>
      <c r="AL298">
        <v>100</v>
      </c>
      <c r="AM298" s="74">
        <f ca="1">INDIRECT(ADDRESS(11+(MATCH(RIGHT(Table2[[#This Row],[spawner_sku]],LEN(Table2[[#This Row],[spawner_sku]])-FIND("/",Table2[[#This Row],[spawner_sku]])),Table1[Entity Prefab],0)),10,1,1,"Entities"))</f>
        <v>75</v>
      </c>
      <c r="AN298" s="74">
        <f ca="1">ROUND((Table2[[#This Row],[XP]]*Table2[[#This Row],[entity_spawned (AVG)]])*(Table2[[#This Row],[activating_chance]]/100),0)</f>
        <v>75</v>
      </c>
      <c r="AO298" s="71" t="str">
        <f ca="1">INDIRECT(ADDRESS(11+(MATCH(RIGHT(Table2[[#This Row],[spawner_sku]],LEN(Table2[[#This Row],[spawner_sku]])-FIND("/",Table2[[#This Row],[spawner_sku]])),Table28[Entity Prefab],0)),24,1,1,"Entities"))</f>
        <v>no</v>
      </c>
      <c r="AP298" s="71">
        <v>1</v>
      </c>
      <c r="AQ298" s="71">
        <v>1</v>
      </c>
      <c r="AR298" s="71" t="b">
        <v>0</v>
      </c>
      <c r="BP298" t="s">
        <v>5003</v>
      </c>
      <c r="BQ298">
        <v>1</v>
      </c>
      <c r="BR298">
        <v>5000</v>
      </c>
      <c r="BS298">
        <v>50</v>
      </c>
      <c r="BT298" s="74">
        <f ca="1">INDIRECT(ADDRESS(11+(MATCH(RIGHT(Table61011[[#This Row],[spawner_sku]],LEN(Table61011[[#This Row],[spawner_sku]])-FIND("/",Table61011[[#This Row],[spawner_sku]])),Table1[Entity Prefab],0)),10,1,1,"Entities"))</f>
        <v>25</v>
      </c>
      <c r="BU298" s="74">
        <f ca="1">ROUND((Table61011[[#This Row],[XP]]*Table61011[[#This Row],[entity_spawned (AVG)]])*(Table61011[[#This Row],[activating_chance]]/100),0)</f>
        <v>13</v>
      </c>
      <c r="BV298" s="71" t="str">
        <f ca="1">INDIRECT(ADDRESS(11+(MATCH(RIGHT(Table61011[[#This Row],[spawner_sku]],LEN(Table61011[[#This Row],[spawner_sku]])-FIND("/",Table61011[[#This Row],[spawner_sku]])),Table28[Entity Prefab],0)),24,1,1,"Entities"))</f>
        <v>no</v>
      </c>
      <c r="BW298" s="71">
        <v>1</v>
      </c>
      <c r="BX298" s="71">
        <v>1</v>
      </c>
      <c r="BY298" s="71" t="b">
        <v>0</v>
      </c>
      <c r="BZ298" s="71"/>
      <c r="CA298" s="147" t="s">
        <v>3816</v>
      </c>
      <c r="CB298">
        <v>1</v>
      </c>
      <c r="CC298">
        <v>240</v>
      </c>
      <c r="CD298">
        <v>100</v>
      </c>
      <c r="CE298" s="74">
        <f ca="1">INDIRECT(ADDRESS(11+(MATCH(RIGHT(Table35[[#This Row],[spawner_sku]],LEN(Table35[[#This Row],[spawner_sku]])-FIND("/",Table35[[#This Row],[spawner_sku]])),Table1[Entity Prefab],0)),10,1,1,"Entities"))</f>
        <v>50</v>
      </c>
      <c r="CF298" s="74">
        <f ca="1">ROUND((Table35[[#This Row],[XP]]*Table35[[#This Row],[entity_spawned (AVG)]])*(Table35[[#This Row],[activating_chance]]/100),0)</f>
        <v>50</v>
      </c>
      <c r="CG298" s="144" t="str">
        <f ca="1">INDIRECT(ADDRESS(11+(MATCH(RIGHT(Table35[[#This Row],[spawner_sku]],LEN(Table35[[#This Row],[spawner_sku]])-FIND("/",Table35[[#This Row],[spawner_sku]])),Table28[Entity Prefab],0)),24,1,1,"Entities"))</f>
        <v>no</v>
      </c>
      <c r="CH298">
        <v>1</v>
      </c>
      <c r="CI298">
        <v>1</v>
      </c>
      <c r="CJ298" s="71" t="b">
        <v>0</v>
      </c>
      <c r="CL298" t="s">
        <v>447</v>
      </c>
      <c r="CM298">
        <v>1</v>
      </c>
      <c r="CN298">
        <v>200</v>
      </c>
      <c r="CO298">
        <v>100</v>
      </c>
      <c r="CP298" s="74">
        <f ca="1">INDIRECT(ADDRESS(11+(MATCH(RIGHT(Table11[[#This Row],[spawner_sku]],LEN(Table11[[#This Row],[spawner_sku]])-FIND("/",Table11[[#This Row],[spawner_sku]])),Table1[Entity Prefab],0)),10,1,1,"Entities"))</f>
        <v>105</v>
      </c>
      <c r="CQ298">
        <f ca="1">ROUND((Table11[[#This Row],[XP]]*Table11[[#This Row],[entity_spawned (AVG)]])*(Table11[[#This Row],[activating_chance]]/100),0)</f>
        <v>105</v>
      </c>
      <c r="CR298" s="144" t="str">
        <f ca="1">INDIRECT(ADDRESS(11+(MATCH(RIGHT(Table11[[#This Row],[spawner_sku]],LEN(Table11[[#This Row],[spawner_sku]])-FIND("/",Table11[[#This Row],[spawner_sku]])),Table28[Entity Prefab],0)),25,1,1,"Entities"))</f>
        <v>yes</v>
      </c>
      <c r="CS298" s="71">
        <v>1</v>
      </c>
      <c r="CT298" s="71">
        <v>1</v>
      </c>
      <c r="CU298" s="71" t="b">
        <v>0</v>
      </c>
      <c r="DH298" t="s">
        <v>366</v>
      </c>
      <c r="DI298">
        <v>3.5</v>
      </c>
      <c r="DJ298">
        <v>100</v>
      </c>
      <c r="DK298">
        <v>80</v>
      </c>
      <c r="DL298" s="74">
        <f ca="1">INDIRECT(ADDRESS(11+(MATCH(RIGHT(Table13[[#This Row],[spawner_sku]],LEN(Table13[[#This Row],[spawner_sku]])-FIND("/",Table13[[#This Row],[spawner_sku]])),Table1[Entity Prefab],0)),10,1,1,"Entities"))</f>
        <v>25</v>
      </c>
      <c r="DM298" s="74">
        <f ca="1">ROUND((Table13[[#This Row],[XP]]*Table13[[#This Row],[entity_spawned (AVG)]])*(Table13[[#This Row],[activating_chance]]/100),0)</f>
        <v>70</v>
      </c>
      <c r="DN298" s="144" t="str">
        <f ca="1">INDIRECT(ADDRESS(11+(MATCH(RIGHT(Table13[[#This Row],[spawner_sku]],LEN(Table13[[#This Row],[spawner_sku]])-FIND("/",Table13[[#This Row],[spawner_sku]])),Table28[Entity Prefab],0)),25,1,1,"Entities"))</f>
        <v>no</v>
      </c>
      <c r="DO298" s="71">
        <v>3</v>
      </c>
      <c r="DP298" s="71">
        <v>4</v>
      </c>
      <c r="DQ298" s="71" t="b">
        <v>0</v>
      </c>
      <c r="DS298" t="s">
        <v>367</v>
      </c>
      <c r="DT298">
        <v>1</v>
      </c>
      <c r="DU298">
        <v>150</v>
      </c>
      <c r="DV298">
        <v>100</v>
      </c>
      <c r="DW298" s="74">
        <f ca="1">INDIRECT(ADDRESS(11+(MATCH(RIGHT(Table14[[#This Row],[spawner_sku]],LEN(Table14[[#This Row],[spawner_sku]])-FIND("/",Table14[[#This Row],[spawner_sku]])),Table1[Entity Prefab],0)),10,1,1,"Entities"))</f>
        <v>75</v>
      </c>
      <c r="DX298" s="74">
        <f ca="1">ROUND((Table14[[#This Row],[XP]]*Table14[[#This Row],[entity_spawned (AVG)]])*(Table14[[#This Row],[activating_chance]]/100),0)</f>
        <v>75</v>
      </c>
      <c r="DY298" s="144" t="str">
        <f ca="1">INDIRECT(ADDRESS(11+(MATCH(RIGHT(Table14[[#This Row],[spawner_sku]],LEN(Table14[[#This Row],[spawner_sku]])-FIND("/",Table14[[#This Row],[spawner_sku]])),Table28[Entity Prefab],0)),25,1,1,"Entities"))</f>
        <v>no</v>
      </c>
      <c r="DZ298" s="71">
        <v>1</v>
      </c>
      <c r="EA298" s="71">
        <v>1</v>
      </c>
      <c r="EB298" s="71" t="b">
        <v>0</v>
      </c>
      <c r="EC298" s="71"/>
      <c r="EO298" t="s">
        <v>556</v>
      </c>
      <c r="EP298">
        <v>1</v>
      </c>
      <c r="EQ298">
        <v>160</v>
      </c>
      <c r="ER298">
        <v>100</v>
      </c>
      <c r="ES298" s="74">
        <f ca="1">INDIRECT(ADDRESS(11+(MATCH(RIGHT(Table18[[#This Row],[spawner_sku]],LEN(Table18[[#This Row],[spawner_sku]])-FIND("/",Table18[[#This Row],[spawner_sku]])),Table1[Entity Prefab],0)),10,1,1,"Entities"))</f>
        <v>25</v>
      </c>
      <c r="ET298" s="74">
        <f ca="1">ROUND((Table18[[#This Row],[XP]]*Table18[[#This Row],[entity_spawned (AVG)]])*(Table18[[#This Row],[activating_chance]]/100),0)</f>
        <v>25</v>
      </c>
      <c r="EU298" s="74" t="str">
        <f ca="1">INDIRECT(ADDRESS(11+(MATCH(RIGHT(Table18[[#This Row],[spawner_sku]],LEN(Table18[[#This Row],[spawner_sku]])-FIND("/",Table18[[#This Row],[spawner_sku]])),Table28[Entity Prefab],0)),26,1,1,"Entities"))</f>
        <v>no</v>
      </c>
      <c r="EV298">
        <v>1</v>
      </c>
      <c r="EW298">
        <v>1</v>
      </c>
      <c r="EX298" t="b">
        <v>0</v>
      </c>
    </row>
    <row r="299" spans="2:154" x14ac:dyDescent="0.25">
      <c r="B299" s="72" t="s">
        <v>225</v>
      </c>
      <c r="C299">
        <v>1</v>
      </c>
      <c r="D299">
        <v>2500</v>
      </c>
      <c r="E299">
        <v>100</v>
      </c>
      <c r="F299" s="74">
        <f ca="1">INDIRECT(ADDRESS(11+(MATCH(RIGHT(Table245[[#This Row],[spawner_sku]],LEN(Table245[[#This Row],[spawner_sku]])-FIND("/",Table245[[#This Row],[spawner_sku]])),Table1[Entity Prefab],0)),10,1,1,"Entities"))</f>
        <v>263</v>
      </c>
      <c r="G299" s="74">
        <f ca="1">ROUND((Table245[[#This Row],[XP]]*Table245[[#This Row],[entity_spawned (AVG)]])*(Table245[[#This Row],[activating_chance]]/100),0)</f>
        <v>263</v>
      </c>
      <c r="H299" s="71" t="str">
        <f ca="1">INDIRECT(ADDRESS(11+(MATCH(RIGHT(Table245[[#This Row],[spawner_sku]],LEN(Table245[[#This Row],[spawner_sku]])-FIND("/",Table245[[#This Row],[spawner_sku]])),Table28[Entity Prefab],0)),24,1,1,"Entities"))</f>
        <v>yes</v>
      </c>
      <c r="I299" s="71">
        <v>1</v>
      </c>
      <c r="J299" s="71">
        <v>1</v>
      </c>
      <c r="K299" s="71" t="b">
        <v>0</v>
      </c>
      <c r="AI299" t="s">
        <v>367</v>
      </c>
      <c r="AJ299">
        <v>1</v>
      </c>
      <c r="AK299">
        <v>150</v>
      </c>
      <c r="AL299">
        <v>100</v>
      </c>
      <c r="AM299" s="74">
        <f ca="1">INDIRECT(ADDRESS(11+(MATCH(RIGHT(Table2[[#This Row],[spawner_sku]],LEN(Table2[[#This Row],[spawner_sku]])-FIND("/",Table2[[#This Row],[spawner_sku]])),Table1[Entity Prefab],0)),10,1,1,"Entities"))</f>
        <v>75</v>
      </c>
      <c r="AN299" s="74">
        <f ca="1">ROUND((Table2[[#This Row],[XP]]*Table2[[#This Row],[entity_spawned (AVG)]])*(Table2[[#This Row],[activating_chance]]/100),0)</f>
        <v>75</v>
      </c>
      <c r="AO299" s="71" t="str">
        <f ca="1">INDIRECT(ADDRESS(11+(MATCH(RIGHT(Table2[[#This Row],[spawner_sku]],LEN(Table2[[#This Row],[spawner_sku]])-FIND("/",Table2[[#This Row],[spawner_sku]])),Table28[Entity Prefab],0)),24,1,1,"Entities"))</f>
        <v>no</v>
      </c>
      <c r="AP299" s="71">
        <v>1</v>
      </c>
      <c r="AQ299" s="71">
        <v>1</v>
      </c>
      <c r="AR299" s="71" t="b">
        <v>0</v>
      </c>
      <c r="BP299" t="s">
        <v>5003</v>
      </c>
      <c r="BQ299">
        <v>1</v>
      </c>
      <c r="BR299">
        <v>5000</v>
      </c>
      <c r="BS299">
        <v>50</v>
      </c>
      <c r="BT299" s="74">
        <f ca="1">INDIRECT(ADDRESS(11+(MATCH(RIGHT(Table61011[[#This Row],[spawner_sku]],LEN(Table61011[[#This Row],[spawner_sku]])-FIND("/",Table61011[[#This Row],[spawner_sku]])),Table1[Entity Prefab],0)),10,1,1,"Entities"))</f>
        <v>25</v>
      </c>
      <c r="BU299" s="74">
        <f ca="1">ROUND((Table61011[[#This Row],[XP]]*Table61011[[#This Row],[entity_spawned (AVG)]])*(Table61011[[#This Row],[activating_chance]]/100),0)</f>
        <v>13</v>
      </c>
      <c r="BV299" s="71" t="str">
        <f ca="1">INDIRECT(ADDRESS(11+(MATCH(RIGHT(Table61011[[#This Row],[spawner_sku]],LEN(Table61011[[#This Row],[spawner_sku]])-FIND("/",Table61011[[#This Row],[spawner_sku]])),Table28[Entity Prefab],0)),24,1,1,"Entities"))</f>
        <v>no</v>
      </c>
      <c r="BW299" s="71">
        <v>1</v>
      </c>
      <c r="BX299" s="71">
        <v>1</v>
      </c>
      <c r="BY299" s="71" t="b">
        <v>0</v>
      </c>
      <c r="BZ299" s="71"/>
      <c r="CA299" s="147" t="s">
        <v>3816</v>
      </c>
      <c r="CB299">
        <v>1</v>
      </c>
      <c r="CC299">
        <v>240</v>
      </c>
      <c r="CD299">
        <v>100</v>
      </c>
      <c r="CE299" s="74">
        <f ca="1">INDIRECT(ADDRESS(11+(MATCH(RIGHT(Table35[[#This Row],[spawner_sku]],LEN(Table35[[#This Row],[spawner_sku]])-FIND("/",Table35[[#This Row],[spawner_sku]])),Table1[Entity Prefab],0)),10,1,1,"Entities"))</f>
        <v>50</v>
      </c>
      <c r="CF299" s="74">
        <f ca="1">ROUND((Table35[[#This Row],[XP]]*Table35[[#This Row],[entity_spawned (AVG)]])*(Table35[[#This Row],[activating_chance]]/100),0)</f>
        <v>50</v>
      </c>
      <c r="CG299" s="144" t="str">
        <f ca="1">INDIRECT(ADDRESS(11+(MATCH(RIGHT(Table35[[#This Row],[spawner_sku]],LEN(Table35[[#This Row],[spawner_sku]])-FIND("/",Table35[[#This Row],[spawner_sku]])),Table28[Entity Prefab],0)),24,1,1,"Entities"))</f>
        <v>no</v>
      </c>
      <c r="CH299">
        <v>1</v>
      </c>
      <c r="CI299">
        <v>1</v>
      </c>
      <c r="CJ299" s="71" t="b">
        <v>0</v>
      </c>
      <c r="CL299" t="s">
        <v>447</v>
      </c>
      <c r="CM299">
        <v>1</v>
      </c>
      <c r="CN299">
        <v>260</v>
      </c>
      <c r="CO299">
        <v>100</v>
      </c>
      <c r="CP299" s="74">
        <f ca="1">INDIRECT(ADDRESS(11+(MATCH(RIGHT(Table11[[#This Row],[spawner_sku]],LEN(Table11[[#This Row],[spawner_sku]])-FIND("/",Table11[[#This Row],[spawner_sku]])),Table1[Entity Prefab],0)),10,1,1,"Entities"))</f>
        <v>105</v>
      </c>
      <c r="CQ299">
        <f ca="1">ROUND((Table11[[#This Row],[XP]]*Table11[[#This Row],[entity_spawned (AVG)]])*(Table11[[#This Row],[activating_chance]]/100),0)</f>
        <v>105</v>
      </c>
      <c r="CR299" s="144" t="str">
        <f ca="1">INDIRECT(ADDRESS(11+(MATCH(RIGHT(Table11[[#This Row],[spawner_sku]],LEN(Table11[[#This Row],[spawner_sku]])-FIND("/",Table11[[#This Row],[spawner_sku]])),Table28[Entity Prefab],0)),25,1,1,"Entities"))</f>
        <v>yes</v>
      </c>
      <c r="CS299" s="71">
        <v>1</v>
      </c>
      <c r="CT299" s="71">
        <v>1</v>
      </c>
      <c r="CU299" s="71" t="b">
        <v>0</v>
      </c>
      <c r="DH299" t="s">
        <v>366</v>
      </c>
      <c r="DI299">
        <v>1.5</v>
      </c>
      <c r="DJ299">
        <v>100</v>
      </c>
      <c r="DK299">
        <v>100</v>
      </c>
      <c r="DL299" s="74">
        <f ca="1">INDIRECT(ADDRESS(11+(MATCH(RIGHT(Table13[[#This Row],[spawner_sku]],LEN(Table13[[#This Row],[spawner_sku]])-FIND("/",Table13[[#This Row],[spawner_sku]])),Table1[Entity Prefab],0)),10,1,1,"Entities"))</f>
        <v>25</v>
      </c>
      <c r="DM299" s="74">
        <f ca="1">ROUND((Table13[[#This Row],[XP]]*Table13[[#This Row],[entity_spawned (AVG)]])*(Table13[[#This Row],[activating_chance]]/100),0)</f>
        <v>38</v>
      </c>
      <c r="DN299" s="144" t="str">
        <f ca="1">INDIRECT(ADDRESS(11+(MATCH(RIGHT(Table13[[#This Row],[spawner_sku]],LEN(Table13[[#This Row],[spawner_sku]])-FIND("/",Table13[[#This Row],[spawner_sku]])),Table28[Entity Prefab],0)),25,1,1,"Entities"))</f>
        <v>no</v>
      </c>
      <c r="DO299" s="71">
        <v>1</v>
      </c>
      <c r="DP299" s="71">
        <v>2</v>
      </c>
      <c r="DQ299" s="71" t="b">
        <v>0</v>
      </c>
      <c r="DS299" t="s">
        <v>367</v>
      </c>
      <c r="DT299">
        <v>1</v>
      </c>
      <c r="DU299">
        <v>150</v>
      </c>
      <c r="DV299">
        <v>100</v>
      </c>
      <c r="DW299" s="74">
        <f ca="1">INDIRECT(ADDRESS(11+(MATCH(RIGHT(Table14[[#This Row],[spawner_sku]],LEN(Table14[[#This Row],[spawner_sku]])-FIND("/",Table14[[#This Row],[spawner_sku]])),Table1[Entity Prefab],0)),10,1,1,"Entities"))</f>
        <v>75</v>
      </c>
      <c r="DX299" s="74">
        <f ca="1">ROUND((Table14[[#This Row],[XP]]*Table14[[#This Row],[entity_spawned (AVG)]])*(Table14[[#This Row],[activating_chance]]/100),0)</f>
        <v>75</v>
      </c>
      <c r="DY299" s="144" t="str">
        <f ca="1">INDIRECT(ADDRESS(11+(MATCH(RIGHT(Table14[[#This Row],[spawner_sku]],LEN(Table14[[#This Row],[spawner_sku]])-FIND("/",Table14[[#This Row],[spawner_sku]])),Table28[Entity Prefab],0)),25,1,1,"Entities"))</f>
        <v>no</v>
      </c>
      <c r="DZ299" s="71">
        <v>1</v>
      </c>
      <c r="EA299" s="71">
        <v>1</v>
      </c>
      <c r="EB299" s="71" t="b">
        <v>0</v>
      </c>
      <c r="EC299" s="71"/>
      <c r="EO299" t="s">
        <v>556</v>
      </c>
      <c r="EP299">
        <v>1</v>
      </c>
      <c r="EQ299">
        <v>160</v>
      </c>
      <c r="ER299">
        <v>80</v>
      </c>
      <c r="ES299" s="74">
        <f ca="1">INDIRECT(ADDRESS(11+(MATCH(RIGHT(Table18[[#This Row],[spawner_sku]],LEN(Table18[[#This Row],[spawner_sku]])-FIND("/",Table18[[#This Row],[spawner_sku]])),Table1[Entity Prefab],0)),10,1,1,"Entities"))</f>
        <v>25</v>
      </c>
      <c r="ET299" s="74">
        <f ca="1">ROUND((Table18[[#This Row],[XP]]*Table18[[#This Row],[entity_spawned (AVG)]])*(Table18[[#This Row],[activating_chance]]/100),0)</f>
        <v>20</v>
      </c>
      <c r="EU299" s="74" t="str">
        <f ca="1">INDIRECT(ADDRESS(11+(MATCH(RIGHT(Table18[[#This Row],[spawner_sku]],LEN(Table18[[#This Row],[spawner_sku]])-FIND("/",Table18[[#This Row],[spawner_sku]])),Table28[Entity Prefab],0)),26,1,1,"Entities"))</f>
        <v>no</v>
      </c>
      <c r="EV299">
        <v>1</v>
      </c>
      <c r="EW299">
        <v>1</v>
      </c>
      <c r="EX299" t="b">
        <v>0</v>
      </c>
    </row>
    <row r="300" spans="2:154" x14ac:dyDescent="0.25">
      <c r="B300" s="72" t="s">
        <v>225</v>
      </c>
      <c r="C300">
        <v>1</v>
      </c>
      <c r="D300">
        <v>2500</v>
      </c>
      <c r="E300">
        <v>100</v>
      </c>
      <c r="F300" s="74">
        <f ca="1">INDIRECT(ADDRESS(11+(MATCH(RIGHT(Table245[[#This Row],[spawner_sku]],LEN(Table245[[#This Row],[spawner_sku]])-FIND("/",Table245[[#This Row],[spawner_sku]])),Table1[Entity Prefab],0)),10,1,1,"Entities"))</f>
        <v>263</v>
      </c>
      <c r="G300" s="74">
        <f ca="1">ROUND((Table245[[#This Row],[XP]]*Table245[[#This Row],[entity_spawned (AVG)]])*(Table245[[#This Row],[activating_chance]]/100),0)</f>
        <v>263</v>
      </c>
      <c r="H300" s="71" t="str">
        <f ca="1">INDIRECT(ADDRESS(11+(MATCH(RIGHT(Table245[[#This Row],[spawner_sku]],LEN(Table245[[#This Row],[spawner_sku]])-FIND("/",Table245[[#This Row],[spawner_sku]])),Table28[Entity Prefab],0)),24,1,1,"Entities"))</f>
        <v>yes</v>
      </c>
      <c r="I300" s="71">
        <v>1</v>
      </c>
      <c r="J300" s="71">
        <v>1</v>
      </c>
      <c r="K300" s="71" t="b">
        <v>0</v>
      </c>
      <c r="AI300" t="s">
        <v>367</v>
      </c>
      <c r="AJ300">
        <v>1</v>
      </c>
      <c r="AK300">
        <v>170</v>
      </c>
      <c r="AL300">
        <v>100</v>
      </c>
      <c r="AM300" s="74">
        <f ca="1">INDIRECT(ADDRESS(11+(MATCH(RIGHT(Table2[[#This Row],[spawner_sku]],LEN(Table2[[#This Row],[spawner_sku]])-FIND("/",Table2[[#This Row],[spawner_sku]])),Table1[Entity Prefab],0)),10,1,1,"Entities"))</f>
        <v>75</v>
      </c>
      <c r="AN300" s="74">
        <f ca="1">ROUND((Table2[[#This Row],[XP]]*Table2[[#This Row],[entity_spawned (AVG)]])*(Table2[[#This Row],[activating_chance]]/100),0)</f>
        <v>75</v>
      </c>
      <c r="AO300" s="71" t="str">
        <f ca="1">INDIRECT(ADDRESS(11+(MATCH(RIGHT(Table2[[#This Row],[spawner_sku]],LEN(Table2[[#This Row],[spawner_sku]])-FIND("/",Table2[[#This Row],[spawner_sku]])),Table28[Entity Prefab],0)),24,1,1,"Entities"))</f>
        <v>no</v>
      </c>
      <c r="AP300" s="71">
        <v>1</v>
      </c>
      <c r="AQ300" s="71">
        <v>1</v>
      </c>
      <c r="AR300" s="71" t="b">
        <v>0</v>
      </c>
      <c r="BP300" t="s">
        <v>464</v>
      </c>
      <c r="BQ300">
        <v>1</v>
      </c>
      <c r="BR300">
        <v>200</v>
      </c>
      <c r="BS300">
        <v>100</v>
      </c>
      <c r="BT300" s="74">
        <f ca="1">INDIRECT(ADDRESS(11+(MATCH(RIGHT(Table61011[[#This Row],[spawner_sku]],LEN(Table61011[[#This Row],[spawner_sku]])-FIND("/",Table61011[[#This Row],[spawner_sku]])),Table1[Entity Prefab],0)),10,1,1,"Entities"))</f>
        <v>28</v>
      </c>
      <c r="BU300" s="74">
        <f ca="1">ROUND((Table61011[[#This Row],[XP]]*Table61011[[#This Row],[entity_spawned (AVG)]])*(Table61011[[#This Row],[activating_chance]]/100),0)</f>
        <v>28</v>
      </c>
      <c r="BV300" s="71" t="str">
        <f ca="1">INDIRECT(ADDRESS(11+(MATCH(RIGHT(Table61011[[#This Row],[spawner_sku]],LEN(Table61011[[#This Row],[spawner_sku]])-FIND("/",Table61011[[#This Row],[spawner_sku]])),Table28[Entity Prefab],0)),24,1,1,"Entities"))</f>
        <v>no</v>
      </c>
      <c r="BW300" s="71">
        <v>1</v>
      </c>
      <c r="BX300" s="71">
        <v>1</v>
      </c>
      <c r="BY300" s="71" t="b">
        <v>0</v>
      </c>
      <c r="BZ300" s="71"/>
      <c r="CA300" s="147" t="s">
        <v>3816</v>
      </c>
      <c r="CB300">
        <v>1</v>
      </c>
      <c r="CC300">
        <v>240</v>
      </c>
      <c r="CD300">
        <v>100</v>
      </c>
      <c r="CE300" s="74">
        <f ca="1">INDIRECT(ADDRESS(11+(MATCH(RIGHT(Table35[[#This Row],[spawner_sku]],LEN(Table35[[#This Row],[spawner_sku]])-FIND("/",Table35[[#This Row],[spawner_sku]])),Table1[Entity Prefab],0)),10,1,1,"Entities"))</f>
        <v>50</v>
      </c>
      <c r="CF300" s="74">
        <f ca="1">ROUND((Table35[[#This Row],[XP]]*Table35[[#This Row],[entity_spawned (AVG)]])*(Table35[[#This Row],[activating_chance]]/100),0)</f>
        <v>50</v>
      </c>
      <c r="CG300" s="144" t="str">
        <f ca="1">INDIRECT(ADDRESS(11+(MATCH(RIGHT(Table35[[#This Row],[spawner_sku]],LEN(Table35[[#This Row],[spawner_sku]])-FIND("/",Table35[[#This Row],[spawner_sku]])),Table28[Entity Prefab],0)),24,1,1,"Entities"))</f>
        <v>no</v>
      </c>
      <c r="CH300">
        <v>1</v>
      </c>
      <c r="CI300">
        <v>1</v>
      </c>
      <c r="CJ300" s="71" t="b">
        <v>0</v>
      </c>
      <c r="CL300" t="s">
        <v>447</v>
      </c>
      <c r="CM300">
        <v>1</v>
      </c>
      <c r="CN300">
        <v>260</v>
      </c>
      <c r="CO300">
        <v>70</v>
      </c>
      <c r="CP300" s="74">
        <f ca="1">INDIRECT(ADDRESS(11+(MATCH(RIGHT(Table11[[#This Row],[spawner_sku]],LEN(Table11[[#This Row],[spawner_sku]])-FIND("/",Table11[[#This Row],[spawner_sku]])),Table1[Entity Prefab],0)),10,1,1,"Entities"))</f>
        <v>105</v>
      </c>
      <c r="CQ300">
        <f ca="1">ROUND((Table11[[#This Row],[XP]]*Table11[[#This Row],[entity_spawned (AVG)]])*(Table11[[#This Row],[activating_chance]]/100),0)</f>
        <v>74</v>
      </c>
      <c r="CR300" s="144" t="str">
        <f ca="1">INDIRECT(ADDRESS(11+(MATCH(RIGHT(Table11[[#This Row],[spawner_sku]],LEN(Table11[[#This Row],[spawner_sku]])-FIND("/",Table11[[#This Row],[spawner_sku]])),Table28[Entity Prefab],0)),25,1,1,"Entities"))</f>
        <v>yes</v>
      </c>
      <c r="CS300" s="71">
        <v>1</v>
      </c>
      <c r="CT300" s="71">
        <v>1</v>
      </c>
      <c r="CU300" s="71" t="b">
        <v>0</v>
      </c>
      <c r="DH300" t="s">
        <v>366</v>
      </c>
      <c r="DI300">
        <v>1.5</v>
      </c>
      <c r="DJ300">
        <v>100</v>
      </c>
      <c r="DK300">
        <v>100</v>
      </c>
      <c r="DL300" s="74">
        <f ca="1">INDIRECT(ADDRESS(11+(MATCH(RIGHT(Table13[[#This Row],[spawner_sku]],LEN(Table13[[#This Row],[spawner_sku]])-FIND("/",Table13[[#This Row],[spawner_sku]])),Table1[Entity Prefab],0)),10,1,1,"Entities"))</f>
        <v>25</v>
      </c>
      <c r="DM300" s="74">
        <f ca="1">ROUND((Table13[[#This Row],[XP]]*Table13[[#This Row],[entity_spawned (AVG)]])*(Table13[[#This Row],[activating_chance]]/100),0)</f>
        <v>38</v>
      </c>
      <c r="DN300" s="144" t="str">
        <f ca="1">INDIRECT(ADDRESS(11+(MATCH(RIGHT(Table13[[#This Row],[spawner_sku]],LEN(Table13[[#This Row],[spawner_sku]])-FIND("/",Table13[[#This Row],[spawner_sku]])),Table28[Entity Prefab],0)),25,1,1,"Entities"))</f>
        <v>no</v>
      </c>
      <c r="DO300" s="71">
        <v>1</v>
      </c>
      <c r="DP300" s="71">
        <v>2</v>
      </c>
      <c r="DQ300" s="71" t="b">
        <v>0</v>
      </c>
      <c r="DS300" t="s">
        <v>367</v>
      </c>
      <c r="DT300">
        <v>1</v>
      </c>
      <c r="DU300">
        <v>140</v>
      </c>
      <c r="DV300">
        <v>100</v>
      </c>
      <c r="DW300" s="74">
        <f ca="1">INDIRECT(ADDRESS(11+(MATCH(RIGHT(Table14[[#This Row],[spawner_sku]],LEN(Table14[[#This Row],[spawner_sku]])-FIND("/",Table14[[#This Row],[spawner_sku]])),Table1[Entity Prefab],0)),10,1,1,"Entities"))</f>
        <v>75</v>
      </c>
      <c r="DX300" s="74">
        <f ca="1">ROUND((Table14[[#This Row],[XP]]*Table14[[#This Row],[entity_spawned (AVG)]])*(Table14[[#This Row],[activating_chance]]/100),0)</f>
        <v>75</v>
      </c>
      <c r="DY300" s="144" t="str">
        <f ca="1">INDIRECT(ADDRESS(11+(MATCH(RIGHT(Table14[[#This Row],[spawner_sku]],LEN(Table14[[#This Row],[spawner_sku]])-FIND("/",Table14[[#This Row],[spawner_sku]])),Table28[Entity Prefab],0)),25,1,1,"Entities"))</f>
        <v>no</v>
      </c>
      <c r="DZ300" s="71">
        <v>1</v>
      </c>
      <c r="EA300" s="71">
        <v>1</v>
      </c>
      <c r="EB300" s="71" t="b">
        <v>0</v>
      </c>
      <c r="EC300" s="71"/>
      <c r="EO300" t="s">
        <v>2406</v>
      </c>
      <c r="EP300">
        <v>1</v>
      </c>
      <c r="EQ300">
        <v>160</v>
      </c>
      <c r="ER300">
        <v>100</v>
      </c>
      <c r="ES300" s="74">
        <f ca="1">INDIRECT(ADDRESS(11+(MATCH(RIGHT(Table18[[#This Row],[spawner_sku]],LEN(Table18[[#This Row],[spawner_sku]])-FIND("/",Table18[[#This Row],[spawner_sku]])),Table1[Entity Prefab],0)),10,1,1,"Entities"))</f>
        <v>95</v>
      </c>
      <c r="ET300" s="74">
        <f ca="1">ROUND((Table18[[#This Row],[XP]]*Table18[[#This Row],[entity_spawned (AVG)]])*(Table18[[#This Row],[activating_chance]]/100),0)</f>
        <v>95</v>
      </c>
      <c r="EU300" s="74" t="str">
        <f ca="1">INDIRECT(ADDRESS(11+(MATCH(RIGHT(Table18[[#This Row],[spawner_sku]],LEN(Table18[[#This Row],[spawner_sku]])-FIND("/",Table18[[#This Row],[spawner_sku]])),Table28[Entity Prefab],0)),26,1,1,"Entities"))</f>
        <v>no</v>
      </c>
      <c r="EV300">
        <v>1</v>
      </c>
      <c r="EW300">
        <v>1</v>
      </c>
      <c r="EX300" t="b">
        <v>0</v>
      </c>
    </row>
    <row r="301" spans="2:154" x14ac:dyDescent="0.25">
      <c r="B301" s="72" t="s">
        <v>225</v>
      </c>
      <c r="C301">
        <v>1</v>
      </c>
      <c r="D301">
        <v>2500</v>
      </c>
      <c r="E301">
        <v>100</v>
      </c>
      <c r="F301" s="74">
        <f ca="1">INDIRECT(ADDRESS(11+(MATCH(RIGHT(Table245[[#This Row],[spawner_sku]],LEN(Table245[[#This Row],[spawner_sku]])-FIND("/",Table245[[#This Row],[spawner_sku]])),Table1[Entity Prefab],0)),10,1,1,"Entities"))</f>
        <v>263</v>
      </c>
      <c r="G301" s="74">
        <f ca="1">ROUND((Table245[[#This Row],[XP]]*Table245[[#This Row],[entity_spawned (AVG)]])*(Table245[[#This Row],[activating_chance]]/100),0)</f>
        <v>263</v>
      </c>
      <c r="H301" s="71" t="str">
        <f ca="1">INDIRECT(ADDRESS(11+(MATCH(RIGHT(Table245[[#This Row],[spawner_sku]],LEN(Table245[[#This Row],[spawner_sku]])-FIND("/",Table245[[#This Row],[spawner_sku]])),Table28[Entity Prefab],0)),24,1,1,"Entities"))</f>
        <v>yes</v>
      </c>
      <c r="I301" s="71">
        <v>1</v>
      </c>
      <c r="J301" s="71">
        <v>1</v>
      </c>
      <c r="K301" s="71" t="b">
        <v>0</v>
      </c>
      <c r="AI301" t="s">
        <v>367</v>
      </c>
      <c r="AJ301">
        <v>1</v>
      </c>
      <c r="AK301">
        <v>200</v>
      </c>
      <c r="AL301">
        <v>100</v>
      </c>
      <c r="AM301" s="74">
        <f ca="1">INDIRECT(ADDRESS(11+(MATCH(RIGHT(Table2[[#This Row],[spawner_sku]],LEN(Table2[[#This Row],[spawner_sku]])-FIND("/",Table2[[#This Row],[spawner_sku]])),Table1[Entity Prefab],0)),10,1,1,"Entities"))</f>
        <v>75</v>
      </c>
      <c r="AN301" s="74">
        <f ca="1">ROUND((Table2[[#This Row],[XP]]*Table2[[#This Row],[entity_spawned (AVG)]])*(Table2[[#This Row],[activating_chance]]/100),0)</f>
        <v>75</v>
      </c>
      <c r="AO301" s="71" t="str">
        <f ca="1">INDIRECT(ADDRESS(11+(MATCH(RIGHT(Table2[[#This Row],[spawner_sku]],LEN(Table2[[#This Row],[spawner_sku]])-FIND("/",Table2[[#This Row],[spawner_sku]])),Table28[Entity Prefab],0)),24,1,1,"Entities"))</f>
        <v>no</v>
      </c>
      <c r="AP301" s="71">
        <v>1</v>
      </c>
      <c r="AQ301" s="71">
        <v>1</v>
      </c>
      <c r="AR301" s="71" t="b">
        <v>0</v>
      </c>
      <c r="BP301" t="s">
        <v>464</v>
      </c>
      <c r="BQ301">
        <v>1</v>
      </c>
      <c r="BR301">
        <v>220</v>
      </c>
      <c r="BS301">
        <v>100</v>
      </c>
      <c r="BT301" s="74">
        <f ca="1">INDIRECT(ADDRESS(11+(MATCH(RIGHT(Table61011[[#This Row],[spawner_sku]],LEN(Table61011[[#This Row],[spawner_sku]])-FIND("/",Table61011[[#This Row],[spawner_sku]])),Table1[Entity Prefab],0)),10,1,1,"Entities"))</f>
        <v>28</v>
      </c>
      <c r="BU301" s="74">
        <f ca="1">ROUND((Table61011[[#This Row],[XP]]*Table61011[[#This Row],[entity_spawned (AVG)]])*(Table61011[[#This Row],[activating_chance]]/100),0)</f>
        <v>28</v>
      </c>
      <c r="BV301" s="71" t="str">
        <f ca="1">INDIRECT(ADDRESS(11+(MATCH(RIGHT(Table61011[[#This Row],[spawner_sku]],LEN(Table61011[[#This Row],[spawner_sku]])-FIND("/",Table61011[[#This Row],[spawner_sku]])),Table28[Entity Prefab],0)),24,1,1,"Entities"))</f>
        <v>no</v>
      </c>
      <c r="BW301" s="71">
        <v>1</v>
      </c>
      <c r="BX301" s="71">
        <v>1</v>
      </c>
      <c r="BY301" s="71" t="b">
        <v>0</v>
      </c>
      <c r="BZ301" s="71"/>
      <c r="CA301" s="147" t="s">
        <v>3816</v>
      </c>
      <c r="CB301">
        <v>1</v>
      </c>
      <c r="CC301">
        <v>240</v>
      </c>
      <c r="CD301">
        <v>100</v>
      </c>
      <c r="CE301" s="74">
        <f ca="1">INDIRECT(ADDRESS(11+(MATCH(RIGHT(Table35[[#This Row],[spawner_sku]],LEN(Table35[[#This Row],[spawner_sku]])-FIND("/",Table35[[#This Row],[spawner_sku]])),Table1[Entity Prefab],0)),10,1,1,"Entities"))</f>
        <v>50</v>
      </c>
      <c r="CF301" s="74">
        <f ca="1">ROUND((Table35[[#This Row],[XP]]*Table35[[#This Row],[entity_spawned (AVG)]])*(Table35[[#This Row],[activating_chance]]/100),0)</f>
        <v>50</v>
      </c>
      <c r="CG301" s="144" t="str">
        <f ca="1">INDIRECT(ADDRESS(11+(MATCH(RIGHT(Table35[[#This Row],[spawner_sku]],LEN(Table35[[#This Row],[spawner_sku]])-FIND("/",Table35[[#This Row],[spawner_sku]])),Table28[Entity Prefab],0)),24,1,1,"Entities"))</f>
        <v>no</v>
      </c>
      <c r="CH301">
        <v>1</v>
      </c>
      <c r="CI301">
        <v>1</v>
      </c>
      <c r="CJ301" s="71" t="b">
        <v>0</v>
      </c>
      <c r="CL301" t="s">
        <v>448</v>
      </c>
      <c r="CM301">
        <v>1</v>
      </c>
      <c r="CN301">
        <v>280</v>
      </c>
      <c r="CO301">
        <v>100</v>
      </c>
      <c r="CP301" s="74">
        <f ca="1">INDIRECT(ADDRESS(11+(MATCH(RIGHT(Table11[[#This Row],[spawner_sku]],LEN(Table11[[#This Row],[spawner_sku]])-FIND("/",Table11[[#This Row],[spawner_sku]])),Table1[Entity Prefab],0)),10,1,1,"Entities"))</f>
        <v>143</v>
      </c>
      <c r="CQ301">
        <f ca="1">ROUND((Table11[[#This Row],[XP]]*Table11[[#This Row],[entity_spawned (AVG)]])*(Table11[[#This Row],[activating_chance]]/100),0)</f>
        <v>143</v>
      </c>
      <c r="CR301" s="144" t="str">
        <f ca="1">INDIRECT(ADDRESS(11+(MATCH(RIGHT(Table11[[#This Row],[spawner_sku]],LEN(Table11[[#This Row],[spawner_sku]])-FIND("/",Table11[[#This Row],[spawner_sku]])),Table28[Entity Prefab],0)),25,1,1,"Entities"))</f>
        <v>yes</v>
      </c>
      <c r="CS301" s="71">
        <v>1</v>
      </c>
      <c r="CT301" s="71">
        <v>1</v>
      </c>
      <c r="CU301" s="71" t="b">
        <v>0</v>
      </c>
      <c r="DH301" t="s">
        <v>366</v>
      </c>
      <c r="DI301">
        <v>1</v>
      </c>
      <c r="DJ301">
        <v>100</v>
      </c>
      <c r="DK301">
        <v>40</v>
      </c>
      <c r="DL301" s="74">
        <f ca="1">INDIRECT(ADDRESS(11+(MATCH(RIGHT(Table13[[#This Row],[spawner_sku]],LEN(Table13[[#This Row],[spawner_sku]])-FIND("/",Table13[[#This Row],[spawner_sku]])),Table1[Entity Prefab],0)),10,1,1,"Entities"))</f>
        <v>25</v>
      </c>
      <c r="DM301" s="74">
        <f ca="1">ROUND((Table13[[#This Row],[XP]]*Table13[[#This Row],[entity_spawned (AVG)]])*(Table13[[#This Row],[activating_chance]]/100),0)</f>
        <v>10</v>
      </c>
      <c r="DN301" s="144" t="str">
        <f ca="1">INDIRECT(ADDRESS(11+(MATCH(RIGHT(Table13[[#This Row],[spawner_sku]],LEN(Table13[[#This Row],[spawner_sku]])-FIND("/",Table13[[#This Row],[spawner_sku]])),Table28[Entity Prefab],0)),25,1,1,"Entities"))</f>
        <v>no</v>
      </c>
      <c r="DO301" s="71">
        <v>1</v>
      </c>
      <c r="DP301" s="71">
        <v>1</v>
      </c>
      <c r="DQ301" s="71" t="b">
        <v>0</v>
      </c>
      <c r="DS301" t="s">
        <v>367</v>
      </c>
      <c r="DT301">
        <v>1</v>
      </c>
      <c r="DU301">
        <v>150</v>
      </c>
      <c r="DV301">
        <v>100</v>
      </c>
      <c r="DW301" s="74">
        <f ca="1">INDIRECT(ADDRESS(11+(MATCH(RIGHT(Table14[[#This Row],[spawner_sku]],LEN(Table14[[#This Row],[spawner_sku]])-FIND("/",Table14[[#This Row],[spawner_sku]])),Table1[Entity Prefab],0)),10,1,1,"Entities"))</f>
        <v>75</v>
      </c>
      <c r="DX301" s="74">
        <f ca="1">ROUND((Table14[[#This Row],[XP]]*Table14[[#This Row],[entity_spawned (AVG)]])*(Table14[[#This Row],[activating_chance]]/100),0)</f>
        <v>75</v>
      </c>
      <c r="DY301" s="144" t="str">
        <f ca="1">INDIRECT(ADDRESS(11+(MATCH(RIGHT(Table14[[#This Row],[spawner_sku]],LEN(Table14[[#This Row],[spawner_sku]])-FIND("/",Table14[[#This Row],[spawner_sku]])),Table28[Entity Prefab],0)),25,1,1,"Entities"))</f>
        <v>no</v>
      </c>
      <c r="DZ301" s="71">
        <v>1</v>
      </c>
      <c r="EA301" s="71">
        <v>1</v>
      </c>
      <c r="EB301" s="71" t="b">
        <v>0</v>
      </c>
      <c r="EC301" s="71"/>
      <c r="EO301" t="s">
        <v>2406</v>
      </c>
      <c r="EP301">
        <v>1</v>
      </c>
      <c r="EQ301">
        <v>160</v>
      </c>
      <c r="ER301">
        <v>50</v>
      </c>
      <c r="ES301" s="74">
        <f ca="1">INDIRECT(ADDRESS(11+(MATCH(RIGHT(Table18[[#This Row],[spawner_sku]],LEN(Table18[[#This Row],[spawner_sku]])-FIND("/",Table18[[#This Row],[spawner_sku]])),Table1[Entity Prefab],0)),10,1,1,"Entities"))</f>
        <v>95</v>
      </c>
      <c r="ET301" s="74">
        <f ca="1">ROUND((Table18[[#This Row],[XP]]*Table18[[#This Row],[entity_spawned (AVG)]])*(Table18[[#This Row],[activating_chance]]/100),0)</f>
        <v>48</v>
      </c>
      <c r="EU301" s="74" t="str">
        <f ca="1">INDIRECT(ADDRESS(11+(MATCH(RIGHT(Table18[[#This Row],[spawner_sku]],LEN(Table18[[#This Row],[spawner_sku]])-FIND("/",Table18[[#This Row],[spawner_sku]])),Table28[Entity Prefab],0)),26,1,1,"Entities"))</f>
        <v>no</v>
      </c>
      <c r="EV301">
        <v>1</v>
      </c>
      <c r="EW301">
        <v>1</v>
      </c>
      <c r="EX301" t="b">
        <v>0</v>
      </c>
    </row>
    <row r="302" spans="2:154" x14ac:dyDescent="0.25">
      <c r="B302" s="72" t="s">
        <v>225</v>
      </c>
      <c r="C302">
        <v>1</v>
      </c>
      <c r="D302">
        <v>2500</v>
      </c>
      <c r="E302">
        <v>100</v>
      </c>
      <c r="F302" s="74">
        <f ca="1">INDIRECT(ADDRESS(11+(MATCH(RIGHT(Table245[[#This Row],[spawner_sku]],LEN(Table245[[#This Row],[spawner_sku]])-FIND("/",Table245[[#This Row],[spawner_sku]])),Table1[Entity Prefab],0)),10,1,1,"Entities"))</f>
        <v>263</v>
      </c>
      <c r="G302" s="74">
        <f ca="1">ROUND((Table245[[#This Row],[XP]]*Table245[[#This Row],[entity_spawned (AVG)]])*(Table245[[#This Row],[activating_chance]]/100),0)</f>
        <v>263</v>
      </c>
      <c r="H302" s="71" t="str">
        <f ca="1">INDIRECT(ADDRESS(11+(MATCH(RIGHT(Table245[[#This Row],[spawner_sku]],LEN(Table245[[#This Row],[spawner_sku]])-FIND("/",Table245[[#This Row],[spawner_sku]])),Table28[Entity Prefab],0)),24,1,1,"Entities"))</f>
        <v>yes</v>
      </c>
      <c r="I302" s="71">
        <v>1</v>
      </c>
      <c r="J302" s="71">
        <v>1</v>
      </c>
      <c r="K302" s="71" t="b">
        <v>0</v>
      </c>
      <c r="AI302" t="s">
        <v>367</v>
      </c>
      <c r="AJ302">
        <v>1</v>
      </c>
      <c r="AK302">
        <v>160</v>
      </c>
      <c r="AL302">
        <v>100</v>
      </c>
      <c r="AM302" s="74">
        <f ca="1">INDIRECT(ADDRESS(11+(MATCH(RIGHT(Table2[[#This Row],[spawner_sku]],LEN(Table2[[#This Row],[spawner_sku]])-FIND("/",Table2[[#This Row],[spawner_sku]])),Table1[Entity Prefab],0)),10,1,1,"Entities"))</f>
        <v>75</v>
      </c>
      <c r="AN302" s="74">
        <f ca="1">ROUND((Table2[[#This Row],[XP]]*Table2[[#This Row],[entity_spawned (AVG)]])*(Table2[[#This Row],[activating_chance]]/100),0)</f>
        <v>75</v>
      </c>
      <c r="AO302" s="71" t="str">
        <f ca="1">INDIRECT(ADDRESS(11+(MATCH(RIGHT(Table2[[#This Row],[spawner_sku]],LEN(Table2[[#This Row],[spawner_sku]])-FIND("/",Table2[[#This Row],[spawner_sku]])),Table28[Entity Prefab],0)),24,1,1,"Entities"))</f>
        <v>no</v>
      </c>
      <c r="AP302" s="71">
        <v>1</v>
      </c>
      <c r="AQ302" s="71">
        <v>1</v>
      </c>
      <c r="AR302" s="71" t="b">
        <v>0</v>
      </c>
      <c r="BP302" t="s">
        <v>464</v>
      </c>
      <c r="BQ302">
        <v>1</v>
      </c>
      <c r="BR302">
        <v>220</v>
      </c>
      <c r="BS302">
        <v>100</v>
      </c>
      <c r="BT302" s="74">
        <f ca="1">INDIRECT(ADDRESS(11+(MATCH(RIGHT(Table61011[[#This Row],[spawner_sku]],LEN(Table61011[[#This Row],[spawner_sku]])-FIND("/",Table61011[[#This Row],[spawner_sku]])),Table1[Entity Prefab],0)),10,1,1,"Entities"))</f>
        <v>28</v>
      </c>
      <c r="BU302" s="74">
        <f ca="1">ROUND((Table61011[[#This Row],[XP]]*Table61011[[#This Row],[entity_spawned (AVG)]])*(Table61011[[#This Row],[activating_chance]]/100),0)</f>
        <v>28</v>
      </c>
      <c r="BV302" s="71" t="str">
        <f ca="1">INDIRECT(ADDRESS(11+(MATCH(RIGHT(Table61011[[#This Row],[spawner_sku]],LEN(Table61011[[#This Row],[spawner_sku]])-FIND("/",Table61011[[#This Row],[spawner_sku]])),Table28[Entity Prefab],0)),24,1,1,"Entities"))</f>
        <v>no</v>
      </c>
      <c r="BW302" s="71">
        <v>1</v>
      </c>
      <c r="BX302" s="71">
        <v>1</v>
      </c>
      <c r="BY302" s="71" t="b">
        <v>0</v>
      </c>
      <c r="BZ302" s="71"/>
      <c r="CA302" s="147" t="s">
        <v>3816</v>
      </c>
      <c r="CB302">
        <v>1</v>
      </c>
      <c r="CC302">
        <v>240</v>
      </c>
      <c r="CD302">
        <v>100</v>
      </c>
      <c r="CE302" s="74">
        <f ca="1">INDIRECT(ADDRESS(11+(MATCH(RIGHT(Table35[[#This Row],[spawner_sku]],LEN(Table35[[#This Row],[spawner_sku]])-FIND("/",Table35[[#This Row],[spawner_sku]])),Table1[Entity Prefab],0)),10,1,1,"Entities"))</f>
        <v>50</v>
      </c>
      <c r="CF302" s="74">
        <f ca="1">ROUND((Table35[[#This Row],[XP]]*Table35[[#This Row],[entity_spawned (AVG)]])*(Table35[[#This Row],[activating_chance]]/100),0)</f>
        <v>50</v>
      </c>
      <c r="CG302" s="144" t="str">
        <f ca="1">INDIRECT(ADDRESS(11+(MATCH(RIGHT(Table35[[#This Row],[spawner_sku]],LEN(Table35[[#This Row],[spawner_sku]])-FIND("/",Table35[[#This Row],[spawner_sku]])),Table28[Entity Prefab],0)),24,1,1,"Entities"))</f>
        <v>no</v>
      </c>
      <c r="CH302">
        <v>1</v>
      </c>
      <c r="CI302">
        <v>1</v>
      </c>
      <c r="CJ302" s="71" t="b">
        <v>0</v>
      </c>
      <c r="CL302" t="s">
        <v>448</v>
      </c>
      <c r="CM302">
        <v>1</v>
      </c>
      <c r="CN302">
        <v>280</v>
      </c>
      <c r="CO302">
        <v>100</v>
      </c>
      <c r="CP302" s="74">
        <f ca="1">INDIRECT(ADDRESS(11+(MATCH(RIGHT(Table11[[#This Row],[spawner_sku]],LEN(Table11[[#This Row],[spawner_sku]])-FIND("/",Table11[[#This Row],[spawner_sku]])),Table1[Entity Prefab],0)),10,1,1,"Entities"))</f>
        <v>143</v>
      </c>
      <c r="CQ302">
        <f ca="1">ROUND((Table11[[#This Row],[XP]]*Table11[[#This Row],[entity_spawned (AVG)]])*(Table11[[#This Row],[activating_chance]]/100),0)</f>
        <v>143</v>
      </c>
      <c r="CR302" s="144" t="str">
        <f ca="1">INDIRECT(ADDRESS(11+(MATCH(RIGHT(Table11[[#This Row],[spawner_sku]],LEN(Table11[[#This Row],[spawner_sku]])-FIND("/",Table11[[#This Row],[spawner_sku]])),Table28[Entity Prefab],0)),25,1,1,"Entities"))</f>
        <v>yes</v>
      </c>
      <c r="CS302" s="71">
        <v>1</v>
      </c>
      <c r="CT302" s="71">
        <v>1</v>
      </c>
      <c r="CU302" s="71" t="b">
        <v>0</v>
      </c>
      <c r="DH302" t="s">
        <v>366</v>
      </c>
      <c r="DI302">
        <v>2.5</v>
      </c>
      <c r="DJ302">
        <v>100</v>
      </c>
      <c r="DK302">
        <v>100</v>
      </c>
      <c r="DL302" s="74">
        <f ca="1">INDIRECT(ADDRESS(11+(MATCH(RIGHT(Table13[[#This Row],[spawner_sku]],LEN(Table13[[#This Row],[spawner_sku]])-FIND("/",Table13[[#This Row],[spawner_sku]])),Table1[Entity Prefab],0)),10,1,1,"Entities"))</f>
        <v>25</v>
      </c>
      <c r="DM302" s="74">
        <f ca="1">ROUND((Table13[[#This Row],[XP]]*Table13[[#This Row],[entity_spawned (AVG)]])*(Table13[[#This Row],[activating_chance]]/100),0)</f>
        <v>63</v>
      </c>
      <c r="DN302" s="144" t="str">
        <f ca="1">INDIRECT(ADDRESS(11+(MATCH(RIGHT(Table13[[#This Row],[spawner_sku]],LEN(Table13[[#This Row],[spawner_sku]])-FIND("/",Table13[[#This Row],[spawner_sku]])),Table28[Entity Prefab],0)),25,1,1,"Entities"))</f>
        <v>no</v>
      </c>
      <c r="DO302" s="71">
        <v>2</v>
      </c>
      <c r="DP302" s="71">
        <v>3</v>
      </c>
      <c r="DQ302" s="71" t="b">
        <v>0</v>
      </c>
      <c r="DS302" t="s">
        <v>367</v>
      </c>
      <c r="DT302">
        <v>2</v>
      </c>
      <c r="DU302">
        <v>150</v>
      </c>
      <c r="DV302">
        <v>100</v>
      </c>
      <c r="DW302" s="74">
        <f ca="1">INDIRECT(ADDRESS(11+(MATCH(RIGHT(Table14[[#This Row],[spawner_sku]],LEN(Table14[[#This Row],[spawner_sku]])-FIND("/",Table14[[#This Row],[spawner_sku]])),Table1[Entity Prefab],0)),10,1,1,"Entities"))</f>
        <v>75</v>
      </c>
      <c r="DX302" s="74">
        <f ca="1">ROUND((Table14[[#This Row],[XP]]*Table14[[#This Row],[entity_spawned (AVG)]])*(Table14[[#This Row],[activating_chance]]/100),0)</f>
        <v>150</v>
      </c>
      <c r="DY302" s="144" t="str">
        <f ca="1">INDIRECT(ADDRESS(11+(MATCH(RIGHT(Table14[[#This Row],[spawner_sku]],LEN(Table14[[#This Row],[spawner_sku]])-FIND("/",Table14[[#This Row],[spawner_sku]])),Table28[Entity Prefab],0)),25,1,1,"Entities"))</f>
        <v>no</v>
      </c>
      <c r="DZ302" s="71">
        <v>2</v>
      </c>
      <c r="EA302" s="71">
        <v>2</v>
      </c>
      <c r="EB302" s="71" t="b">
        <v>0</v>
      </c>
      <c r="EC302" s="71"/>
      <c r="EO302" t="s">
        <v>5002</v>
      </c>
      <c r="EP302">
        <v>3.5</v>
      </c>
      <c r="EQ302">
        <v>85</v>
      </c>
      <c r="ER302">
        <v>100</v>
      </c>
      <c r="ES302" s="74">
        <f ca="1">INDIRECT(ADDRESS(11+(MATCH(RIGHT(Table18[[#This Row],[spawner_sku]],LEN(Table18[[#This Row],[spawner_sku]])-FIND("/",Table18[[#This Row],[spawner_sku]])),Table1[Entity Prefab],0)),10,1,1,"Entities"))</f>
        <v>40</v>
      </c>
      <c r="ET302" s="74">
        <f ca="1">ROUND((Table18[[#This Row],[XP]]*Table18[[#This Row],[entity_spawned (AVG)]])*(Table18[[#This Row],[activating_chance]]/100),0)</f>
        <v>140</v>
      </c>
      <c r="EU302" s="74" t="str">
        <f ca="1">INDIRECT(ADDRESS(11+(MATCH(RIGHT(Table18[[#This Row],[spawner_sku]],LEN(Table18[[#This Row],[spawner_sku]])-FIND("/",Table18[[#This Row],[spawner_sku]])),Table28[Entity Prefab],0)),26,1,1,"Entities"))</f>
        <v>no</v>
      </c>
      <c r="EV302">
        <v>3</v>
      </c>
      <c r="EW302">
        <v>4</v>
      </c>
      <c r="EX302" t="b">
        <v>0</v>
      </c>
    </row>
    <row r="303" spans="2:154" x14ac:dyDescent="0.25">
      <c r="B303" s="72" t="s">
        <v>226</v>
      </c>
      <c r="C303">
        <v>1</v>
      </c>
      <c r="D303">
        <v>2000</v>
      </c>
      <c r="E303">
        <v>100</v>
      </c>
      <c r="F303" s="74">
        <f ca="1">INDIRECT(ADDRESS(11+(MATCH(RIGHT(Table245[[#This Row],[spawner_sku]],LEN(Table245[[#This Row],[spawner_sku]])-FIND("/",Table245[[#This Row],[spawner_sku]])),Table1[Entity Prefab],0)),10,1,1,"Entities"))</f>
        <v>175</v>
      </c>
      <c r="G303" s="74">
        <f ca="1">ROUND((Table245[[#This Row],[XP]]*Table245[[#This Row],[entity_spawned (AVG)]])*(Table245[[#This Row],[activating_chance]]/100),0)</f>
        <v>175</v>
      </c>
      <c r="H303" s="71" t="str">
        <f ca="1">INDIRECT(ADDRESS(11+(MATCH(RIGHT(Table245[[#This Row],[spawner_sku]],LEN(Table245[[#This Row],[spawner_sku]])-FIND("/",Table245[[#This Row],[spawner_sku]])),Table28[Entity Prefab],0)),24,1,1,"Entities"))</f>
        <v>yes</v>
      </c>
      <c r="I303" s="71">
        <v>1</v>
      </c>
      <c r="J303" s="71">
        <v>1</v>
      </c>
      <c r="K303" s="71" t="b">
        <v>0</v>
      </c>
      <c r="AI303" t="s">
        <v>367</v>
      </c>
      <c r="AJ303">
        <v>1</v>
      </c>
      <c r="AK303">
        <v>140</v>
      </c>
      <c r="AL303">
        <v>100</v>
      </c>
      <c r="AM303" s="74">
        <f ca="1">INDIRECT(ADDRESS(11+(MATCH(RIGHT(Table2[[#This Row],[spawner_sku]],LEN(Table2[[#This Row],[spawner_sku]])-FIND("/",Table2[[#This Row],[spawner_sku]])),Table1[Entity Prefab],0)),10,1,1,"Entities"))</f>
        <v>75</v>
      </c>
      <c r="AN303" s="74">
        <f ca="1">ROUND((Table2[[#This Row],[XP]]*Table2[[#This Row],[entity_spawned (AVG)]])*(Table2[[#This Row],[activating_chance]]/100),0)</f>
        <v>75</v>
      </c>
      <c r="AO303" s="71" t="str">
        <f ca="1">INDIRECT(ADDRESS(11+(MATCH(RIGHT(Table2[[#This Row],[spawner_sku]],LEN(Table2[[#This Row],[spawner_sku]])-FIND("/",Table2[[#This Row],[spawner_sku]])),Table28[Entity Prefab],0)),24,1,1,"Entities"))</f>
        <v>no</v>
      </c>
      <c r="AP303" s="71">
        <v>1</v>
      </c>
      <c r="AQ303" s="71">
        <v>1</v>
      </c>
      <c r="AR303" s="71" t="b">
        <v>0</v>
      </c>
      <c r="BP303" t="s">
        <v>465</v>
      </c>
      <c r="BQ303">
        <v>1</v>
      </c>
      <c r="BR303">
        <v>160</v>
      </c>
      <c r="BS303">
        <v>100</v>
      </c>
      <c r="BT303" s="74">
        <f ca="1">INDIRECT(ADDRESS(11+(MATCH(RIGHT(Table61011[[#This Row],[spawner_sku]],LEN(Table61011[[#This Row],[spawner_sku]])-FIND("/",Table61011[[#This Row],[spawner_sku]])),Table1[Entity Prefab],0)),10,1,1,"Entities"))</f>
        <v>25</v>
      </c>
      <c r="BU303" s="74">
        <f ca="1">ROUND((Table61011[[#This Row],[XP]]*Table61011[[#This Row],[entity_spawned (AVG)]])*(Table61011[[#This Row],[activating_chance]]/100),0)</f>
        <v>25</v>
      </c>
      <c r="BV303" s="71" t="str">
        <f ca="1">INDIRECT(ADDRESS(11+(MATCH(RIGHT(Table61011[[#This Row],[spawner_sku]],LEN(Table61011[[#This Row],[spawner_sku]])-FIND("/",Table61011[[#This Row],[spawner_sku]])),Table28[Entity Prefab],0)),24,1,1,"Entities"))</f>
        <v>no</v>
      </c>
      <c r="BW303" s="71">
        <v>1</v>
      </c>
      <c r="BX303" s="71">
        <v>1</v>
      </c>
      <c r="BY303" s="71" t="b">
        <v>0</v>
      </c>
      <c r="BZ303" s="71"/>
      <c r="CA303" s="147" t="s">
        <v>3816</v>
      </c>
      <c r="CB303">
        <v>1</v>
      </c>
      <c r="CC303">
        <v>240</v>
      </c>
      <c r="CD303">
        <v>100</v>
      </c>
      <c r="CE303" s="74">
        <f ca="1">INDIRECT(ADDRESS(11+(MATCH(RIGHT(Table35[[#This Row],[spawner_sku]],LEN(Table35[[#This Row],[spawner_sku]])-FIND("/",Table35[[#This Row],[spawner_sku]])),Table1[Entity Prefab],0)),10,1,1,"Entities"))</f>
        <v>50</v>
      </c>
      <c r="CF303" s="74">
        <f ca="1">ROUND((Table35[[#This Row],[XP]]*Table35[[#This Row],[entity_spawned (AVG)]])*(Table35[[#This Row],[activating_chance]]/100),0)</f>
        <v>50</v>
      </c>
      <c r="CG303" s="144" t="str">
        <f ca="1">INDIRECT(ADDRESS(11+(MATCH(RIGHT(Table35[[#This Row],[spawner_sku]],LEN(Table35[[#This Row],[spawner_sku]])-FIND("/",Table35[[#This Row],[spawner_sku]])),Table28[Entity Prefab],0)),24,1,1,"Entities"))</f>
        <v>no</v>
      </c>
      <c r="CH303">
        <v>1</v>
      </c>
      <c r="CI303">
        <v>1</v>
      </c>
      <c r="CJ303" s="71" t="b">
        <v>0</v>
      </c>
      <c r="CL303" t="s">
        <v>448</v>
      </c>
      <c r="CM303">
        <v>1</v>
      </c>
      <c r="CN303">
        <v>280</v>
      </c>
      <c r="CO303">
        <v>100</v>
      </c>
      <c r="CP303" s="74">
        <f ca="1">INDIRECT(ADDRESS(11+(MATCH(RIGHT(Table11[[#This Row],[spawner_sku]],LEN(Table11[[#This Row],[spawner_sku]])-FIND("/",Table11[[#This Row],[spawner_sku]])),Table1[Entity Prefab],0)),10,1,1,"Entities"))</f>
        <v>143</v>
      </c>
      <c r="CQ303">
        <f ca="1">ROUND((Table11[[#This Row],[XP]]*Table11[[#This Row],[entity_spawned (AVG)]])*(Table11[[#This Row],[activating_chance]]/100),0)</f>
        <v>143</v>
      </c>
      <c r="CR303" s="144" t="str">
        <f ca="1">INDIRECT(ADDRESS(11+(MATCH(RIGHT(Table11[[#This Row],[spawner_sku]],LEN(Table11[[#This Row],[spawner_sku]])-FIND("/",Table11[[#This Row],[spawner_sku]])),Table28[Entity Prefab],0)),25,1,1,"Entities"))</f>
        <v>yes</v>
      </c>
      <c r="CS303" s="71">
        <v>1</v>
      </c>
      <c r="CT303" s="71">
        <v>1</v>
      </c>
      <c r="CU303" s="71" t="b">
        <v>0</v>
      </c>
      <c r="DH303" t="s">
        <v>366</v>
      </c>
      <c r="DI303">
        <v>2.5</v>
      </c>
      <c r="DJ303">
        <v>100</v>
      </c>
      <c r="DK303">
        <v>100</v>
      </c>
      <c r="DL303" s="74">
        <f ca="1">INDIRECT(ADDRESS(11+(MATCH(RIGHT(Table13[[#This Row],[spawner_sku]],LEN(Table13[[#This Row],[spawner_sku]])-FIND("/",Table13[[#This Row],[spawner_sku]])),Table1[Entity Prefab],0)),10,1,1,"Entities"))</f>
        <v>25</v>
      </c>
      <c r="DM303" s="74">
        <f ca="1">ROUND((Table13[[#This Row],[XP]]*Table13[[#This Row],[entity_spawned (AVG)]])*(Table13[[#This Row],[activating_chance]]/100),0)</f>
        <v>63</v>
      </c>
      <c r="DN303" s="144" t="str">
        <f ca="1">INDIRECT(ADDRESS(11+(MATCH(RIGHT(Table13[[#This Row],[spawner_sku]],LEN(Table13[[#This Row],[spawner_sku]])-FIND("/",Table13[[#This Row],[spawner_sku]])),Table28[Entity Prefab],0)),25,1,1,"Entities"))</f>
        <v>no</v>
      </c>
      <c r="DO303" s="71">
        <v>2</v>
      </c>
      <c r="DP303" s="71">
        <v>3</v>
      </c>
      <c r="DQ303" s="71" t="b">
        <v>0</v>
      </c>
      <c r="DS303" t="s">
        <v>367</v>
      </c>
      <c r="DT303">
        <v>1</v>
      </c>
      <c r="DU303">
        <v>125</v>
      </c>
      <c r="DV303">
        <v>100</v>
      </c>
      <c r="DW303" s="74">
        <f ca="1">INDIRECT(ADDRESS(11+(MATCH(RIGHT(Table14[[#This Row],[spawner_sku]],LEN(Table14[[#This Row],[spawner_sku]])-FIND("/",Table14[[#This Row],[spawner_sku]])),Table1[Entity Prefab],0)),10,1,1,"Entities"))</f>
        <v>75</v>
      </c>
      <c r="DX303" s="74">
        <f ca="1">ROUND((Table14[[#This Row],[XP]]*Table14[[#This Row],[entity_spawned (AVG)]])*(Table14[[#This Row],[activating_chance]]/100),0)</f>
        <v>75</v>
      </c>
      <c r="DY303" s="144" t="str">
        <f ca="1">INDIRECT(ADDRESS(11+(MATCH(RIGHT(Table14[[#This Row],[spawner_sku]],LEN(Table14[[#This Row],[spawner_sku]])-FIND("/",Table14[[#This Row],[spawner_sku]])),Table28[Entity Prefab],0)),25,1,1,"Entities"))</f>
        <v>no</v>
      </c>
      <c r="DZ303" s="71">
        <v>1</v>
      </c>
      <c r="EA303" s="71">
        <v>1</v>
      </c>
      <c r="EB303" s="71" t="b">
        <v>0</v>
      </c>
      <c r="EC303" s="71"/>
      <c r="EO303" t="s">
        <v>5002</v>
      </c>
      <c r="EP303">
        <v>5.5</v>
      </c>
      <c r="EQ303">
        <v>90</v>
      </c>
      <c r="ER303">
        <v>100</v>
      </c>
      <c r="ES303" s="74">
        <f ca="1">INDIRECT(ADDRESS(11+(MATCH(RIGHT(Table18[[#This Row],[spawner_sku]],LEN(Table18[[#This Row],[spawner_sku]])-FIND("/",Table18[[#This Row],[spawner_sku]])),Table1[Entity Prefab],0)),10,1,1,"Entities"))</f>
        <v>40</v>
      </c>
      <c r="ET303" s="74">
        <f ca="1">ROUND((Table18[[#This Row],[XP]]*Table18[[#This Row],[entity_spawned (AVG)]])*(Table18[[#This Row],[activating_chance]]/100),0)</f>
        <v>220</v>
      </c>
      <c r="EU303" s="74" t="str">
        <f ca="1">INDIRECT(ADDRESS(11+(MATCH(RIGHT(Table18[[#This Row],[spawner_sku]],LEN(Table18[[#This Row],[spawner_sku]])-FIND("/",Table18[[#This Row],[spawner_sku]])),Table28[Entity Prefab],0)),26,1,1,"Entities"))</f>
        <v>no</v>
      </c>
      <c r="EV303">
        <v>5</v>
      </c>
      <c r="EW303">
        <v>6</v>
      </c>
      <c r="EX303" t="b">
        <v>1</v>
      </c>
    </row>
    <row r="304" spans="2:154" x14ac:dyDescent="0.25">
      <c r="B304" s="72" t="s">
        <v>226</v>
      </c>
      <c r="C304">
        <v>1</v>
      </c>
      <c r="D304">
        <v>2000</v>
      </c>
      <c r="E304">
        <v>100</v>
      </c>
      <c r="F304" s="74">
        <f ca="1">INDIRECT(ADDRESS(11+(MATCH(RIGHT(Table245[[#This Row],[spawner_sku]],LEN(Table245[[#This Row],[spawner_sku]])-FIND("/",Table245[[#This Row],[spawner_sku]])),Table1[Entity Prefab],0)),10,1,1,"Entities"))</f>
        <v>175</v>
      </c>
      <c r="G304" s="74">
        <f ca="1">ROUND((Table245[[#This Row],[XP]]*Table245[[#This Row],[entity_spawned (AVG)]])*(Table245[[#This Row],[activating_chance]]/100),0)</f>
        <v>175</v>
      </c>
      <c r="H304" s="71" t="str">
        <f ca="1">INDIRECT(ADDRESS(11+(MATCH(RIGHT(Table245[[#This Row],[spawner_sku]],LEN(Table245[[#This Row],[spawner_sku]])-FIND("/",Table245[[#This Row],[spawner_sku]])),Table28[Entity Prefab],0)),24,1,1,"Entities"))</f>
        <v>yes</v>
      </c>
      <c r="I304" s="71">
        <v>1</v>
      </c>
      <c r="J304" s="71">
        <v>1</v>
      </c>
      <c r="K304" s="71" t="b">
        <v>0</v>
      </c>
      <c r="AI304" t="s">
        <v>367</v>
      </c>
      <c r="AJ304">
        <v>1</v>
      </c>
      <c r="AK304">
        <v>200</v>
      </c>
      <c r="AL304">
        <v>100</v>
      </c>
      <c r="AM304" s="74">
        <f ca="1">INDIRECT(ADDRESS(11+(MATCH(RIGHT(Table2[[#This Row],[spawner_sku]],LEN(Table2[[#This Row],[spawner_sku]])-FIND("/",Table2[[#This Row],[spawner_sku]])),Table1[Entity Prefab],0)),10,1,1,"Entities"))</f>
        <v>75</v>
      </c>
      <c r="AN304" s="74">
        <f ca="1">ROUND((Table2[[#This Row],[XP]]*Table2[[#This Row],[entity_spawned (AVG)]])*(Table2[[#This Row],[activating_chance]]/100),0)</f>
        <v>75</v>
      </c>
      <c r="AO304" s="71" t="str">
        <f ca="1">INDIRECT(ADDRESS(11+(MATCH(RIGHT(Table2[[#This Row],[spawner_sku]],LEN(Table2[[#This Row],[spawner_sku]])-FIND("/",Table2[[#This Row],[spawner_sku]])),Table28[Entity Prefab],0)),24,1,1,"Entities"))</f>
        <v>no</v>
      </c>
      <c r="AP304" s="71">
        <v>1</v>
      </c>
      <c r="AQ304" s="71">
        <v>1</v>
      </c>
      <c r="AR304" s="71" t="b">
        <v>0</v>
      </c>
      <c r="BP304" t="s">
        <v>465</v>
      </c>
      <c r="BQ304">
        <v>1</v>
      </c>
      <c r="BR304">
        <v>160</v>
      </c>
      <c r="BS304">
        <v>100</v>
      </c>
      <c r="BT304" s="74">
        <f ca="1">INDIRECT(ADDRESS(11+(MATCH(RIGHT(Table61011[[#This Row],[spawner_sku]],LEN(Table61011[[#This Row],[spawner_sku]])-FIND("/",Table61011[[#This Row],[spawner_sku]])),Table1[Entity Prefab],0)),10,1,1,"Entities"))</f>
        <v>25</v>
      </c>
      <c r="BU304" s="74">
        <f ca="1">ROUND((Table61011[[#This Row],[XP]]*Table61011[[#This Row],[entity_spawned (AVG)]])*(Table61011[[#This Row],[activating_chance]]/100),0)</f>
        <v>25</v>
      </c>
      <c r="BV304" s="71" t="str">
        <f ca="1">INDIRECT(ADDRESS(11+(MATCH(RIGHT(Table61011[[#This Row],[spawner_sku]],LEN(Table61011[[#This Row],[spawner_sku]])-FIND("/",Table61011[[#This Row],[spawner_sku]])),Table28[Entity Prefab],0)),24,1,1,"Entities"))</f>
        <v>no</v>
      </c>
      <c r="BW304" s="71">
        <v>1</v>
      </c>
      <c r="BX304" s="71">
        <v>1</v>
      </c>
      <c r="BY304" s="71" t="b">
        <v>0</v>
      </c>
      <c r="BZ304" s="71"/>
      <c r="CA304" s="147" t="s">
        <v>3816</v>
      </c>
      <c r="CB304">
        <v>1</v>
      </c>
      <c r="CC304">
        <v>240</v>
      </c>
      <c r="CD304">
        <v>100</v>
      </c>
      <c r="CE304" s="74">
        <f ca="1">INDIRECT(ADDRESS(11+(MATCH(RIGHT(Table35[[#This Row],[spawner_sku]],LEN(Table35[[#This Row],[spawner_sku]])-FIND("/",Table35[[#This Row],[spawner_sku]])),Table1[Entity Prefab],0)),10,1,1,"Entities"))</f>
        <v>50</v>
      </c>
      <c r="CF304" s="74">
        <f ca="1">ROUND((Table35[[#This Row],[XP]]*Table35[[#This Row],[entity_spawned (AVG)]])*(Table35[[#This Row],[activating_chance]]/100),0)</f>
        <v>50</v>
      </c>
      <c r="CG304" s="144" t="str">
        <f ca="1">INDIRECT(ADDRESS(11+(MATCH(RIGHT(Table35[[#This Row],[spawner_sku]],LEN(Table35[[#This Row],[spawner_sku]])-FIND("/",Table35[[#This Row],[spawner_sku]])),Table28[Entity Prefab],0)),24,1,1,"Entities"))</f>
        <v>no</v>
      </c>
      <c r="CH304">
        <v>1</v>
      </c>
      <c r="CI304">
        <v>1</v>
      </c>
      <c r="CJ304" s="71" t="b">
        <v>0</v>
      </c>
      <c r="CL304" t="s">
        <v>448</v>
      </c>
      <c r="CM304">
        <v>1</v>
      </c>
      <c r="CN304">
        <v>280</v>
      </c>
      <c r="CO304">
        <v>100</v>
      </c>
      <c r="CP304" s="74">
        <f ca="1">INDIRECT(ADDRESS(11+(MATCH(RIGHT(Table11[[#This Row],[spawner_sku]],LEN(Table11[[#This Row],[spawner_sku]])-FIND("/",Table11[[#This Row],[spawner_sku]])),Table1[Entity Prefab],0)),10,1,1,"Entities"))</f>
        <v>143</v>
      </c>
      <c r="CQ304">
        <f ca="1">ROUND((Table11[[#This Row],[XP]]*Table11[[#This Row],[entity_spawned (AVG)]])*(Table11[[#This Row],[activating_chance]]/100),0)</f>
        <v>143</v>
      </c>
      <c r="CR304" s="144" t="str">
        <f ca="1">INDIRECT(ADDRESS(11+(MATCH(RIGHT(Table11[[#This Row],[spawner_sku]],LEN(Table11[[#This Row],[spawner_sku]])-FIND("/",Table11[[#This Row],[spawner_sku]])),Table28[Entity Prefab],0)),25,1,1,"Entities"))</f>
        <v>yes</v>
      </c>
      <c r="CS304" s="71">
        <v>1</v>
      </c>
      <c r="CT304" s="71">
        <v>1</v>
      </c>
      <c r="CU304" s="71" t="b">
        <v>0</v>
      </c>
      <c r="DH304" t="s">
        <v>366</v>
      </c>
      <c r="DI304">
        <v>1</v>
      </c>
      <c r="DJ304">
        <v>100</v>
      </c>
      <c r="DK304">
        <v>80</v>
      </c>
      <c r="DL304" s="74">
        <f ca="1">INDIRECT(ADDRESS(11+(MATCH(RIGHT(Table13[[#This Row],[spawner_sku]],LEN(Table13[[#This Row],[spawner_sku]])-FIND("/",Table13[[#This Row],[spawner_sku]])),Table1[Entity Prefab],0)),10,1,1,"Entities"))</f>
        <v>25</v>
      </c>
      <c r="DM304" s="74">
        <f ca="1">ROUND((Table13[[#This Row],[XP]]*Table13[[#This Row],[entity_spawned (AVG)]])*(Table13[[#This Row],[activating_chance]]/100),0)</f>
        <v>20</v>
      </c>
      <c r="DN304" s="144" t="str">
        <f ca="1">INDIRECT(ADDRESS(11+(MATCH(RIGHT(Table13[[#This Row],[spawner_sku]],LEN(Table13[[#This Row],[spawner_sku]])-FIND("/",Table13[[#This Row],[spawner_sku]])),Table28[Entity Prefab],0)),25,1,1,"Entities"))</f>
        <v>no</v>
      </c>
      <c r="DO304" s="71">
        <v>1</v>
      </c>
      <c r="DP304" s="71">
        <v>1</v>
      </c>
      <c r="DQ304" s="71" t="b">
        <v>0</v>
      </c>
      <c r="DS304" t="s">
        <v>367</v>
      </c>
      <c r="DT304">
        <v>1</v>
      </c>
      <c r="DU304">
        <v>150</v>
      </c>
      <c r="DV304">
        <v>100</v>
      </c>
      <c r="DW304" s="74">
        <f ca="1">INDIRECT(ADDRESS(11+(MATCH(RIGHT(Table14[[#This Row],[spawner_sku]],LEN(Table14[[#This Row],[spawner_sku]])-FIND("/",Table14[[#This Row],[spawner_sku]])),Table1[Entity Prefab],0)),10,1,1,"Entities"))</f>
        <v>75</v>
      </c>
      <c r="DX304" s="74">
        <f ca="1">ROUND((Table14[[#This Row],[XP]]*Table14[[#This Row],[entity_spawned (AVG)]])*(Table14[[#This Row],[activating_chance]]/100),0)</f>
        <v>75</v>
      </c>
      <c r="DY304" s="144" t="str">
        <f ca="1">INDIRECT(ADDRESS(11+(MATCH(RIGHT(Table14[[#This Row],[spawner_sku]],LEN(Table14[[#This Row],[spawner_sku]])-FIND("/",Table14[[#This Row],[spawner_sku]])),Table28[Entity Prefab],0)),25,1,1,"Entities"))</f>
        <v>no</v>
      </c>
      <c r="DZ304" s="71">
        <v>1</v>
      </c>
      <c r="EA304" s="71">
        <v>1</v>
      </c>
      <c r="EB304" s="71" t="b">
        <v>0</v>
      </c>
      <c r="EC304" s="71"/>
      <c r="EO304" t="s">
        <v>5002</v>
      </c>
      <c r="EP304">
        <v>3.5</v>
      </c>
      <c r="EQ304">
        <v>85</v>
      </c>
      <c r="ER304">
        <v>100</v>
      </c>
      <c r="ES304" s="74">
        <f ca="1">INDIRECT(ADDRESS(11+(MATCH(RIGHT(Table18[[#This Row],[spawner_sku]],LEN(Table18[[#This Row],[spawner_sku]])-FIND("/",Table18[[#This Row],[spawner_sku]])),Table1[Entity Prefab],0)),10,1,1,"Entities"))</f>
        <v>40</v>
      </c>
      <c r="ET304" s="74">
        <f ca="1">ROUND((Table18[[#This Row],[XP]]*Table18[[#This Row],[entity_spawned (AVG)]])*(Table18[[#This Row],[activating_chance]]/100),0)</f>
        <v>140</v>
      </c>
      <c r="EU304" s="74" t="str">
        <f ca="1">INDIRECT(ADDRESS(11+(MATCH(RIGHT(Table18[[#This Row],[spawner_sku]],LEN(Table18[[#This Row],[spawner_sku]])-FIND("/",Table18[[#This Row],[spawner_sku]])),Table28[Entity Prefab],0)),26,1,1,"Entities"))</f>
        <v>no</v>
      </c>
      <c r="EV304">
        <v>3</v>
      </c>
      <c r="EW304">
        <v>4</v>
      </c>
      <c r="EX304" t="b">
        <v>0</v>
      </c>
    </row>
    <row r="305" spans="2:154" x14ac:dyDescent="0.25">
      <c r="B305" s="72" t="s">
        <v>227</v>
      </c>
      <c r="C305">
        <v>1</v>
      </c>
      <c r="D305">
        <v>2000</v>
      </c>
      <c r="E305">
        <v>100</v>
      </c>
      <c r="F305" s="74">
        <f ca="1">INDIRECT(ADDRESS(11+(MATCH(RIGHT(Table245[[#This Row],[spawner_sku]],LEN(Table245[[#This Row],[spawner_sku]])-FIND("/",Table245[[#This Row],[spawner_sku]])),Table1[Entity Prefab],0)),10,1,1,"Entities"))</f>
        <v>175</v>
      </c>
      <c r="G305" s="74">
        <f ca="1">ROUND((Table245[[#This Row],[XP]]*Table245[[#This Row],[entity_spawned (AVG)]])*(Table245[[#This Row],[activating_chance]]/100),0)</f>
        <v>175</v>
      </c>
      <c r="H305" s="71" t="str">
        <f ca="1">INDIRECT(ADDRESS(11+(MATCH(RIGHT(Table245[[#This Row],[spawner_sku]],LEN(Table245[[#This Row],[spawner_sku]])-FIND("/",Table245[[#This Row],[spawner_sku]])),Table28[Entity Prefab],0)),24,1,1,"Entities"))</f>
        <v>yes</v>
      </c>
      <c r="I305" s="71">
        <v>1</v>
      </c>
      <c r="J305" s="71">
        <v>1</v>
      </c>
      <c r="K305" s="71" t="b">
        <v>0</v>
      </c>
      <c r="AI305" t="s">
        <v>367</v>
      </c>
      <c r="AJ305">
        <v>1</v>
      </c>
      <c r="AK305">
        <v>150</v>
      </c>
      <c r="AL305">
        <v>100</v>
      </c>
      <c r="AM305" s="74">
        <f ca="1">INDIRECT(ADDRESS(11+(MATCH(RIGHT(Table2[[#This Row],[spawner_sku]],LEN(Table2[[#This Row],[spawner_sku]])-FIND("/",Table2[[#This Row],[spawner_sku]])),Table1[Entity Prefab],0)),10,1,1,"Entities"))</f>
        <v>75</v>
      </c>
      <c r="AN305" s="74">
        <f ca="1">ROUND((Table2[[#This Row],[XP]]*Table2[[#This Row],[entity_spawned (AVG)]])*(Table2[[#This Row],[activating_chance]]/100),0)</f>
        <v>75</v>
      </c>
      <c r="AO305" s="71" t="str">
        <f ca="1">INDIRECT(ADDRESS(11+(MATCH(RIGHT(Table2[[#This Row],[spawner_sku]],LEN(Table2[[#This Row],[spawner_sku]])-FIND("/",Table2[[#This Row],[spawner_sku]])),Table28[Entity Prefab],0)),24,1,1,"Entities"))</f>
        <v>no</v>
      </c>
      <c r="AP305" s="71">
        <v>1</v>
      </c>
      <c r="AQ305" s="71">
        <v>1</v>
      </c>
      <c r="AR305" s="71" t="b">
        <v>0</v>
      </c>
      <c r="BP305" t="s">
        <v>465</v>
      </c>
      <c r="BQ305">
        <v>1</v>
      </c>
      <c r="BR305">
        <v>160</v>
      </c>
      <c r="BS305">
        <v>100</v>
      </c>
      <c r="BT305" s="74">
        <f ca="1">INDIRECT(ADDRESS(11+(MATCH(RIGHT(Table61011[[#This Row],[spawner_sku]],LEN(Table61011[[#This Row],[spawner_sku]])-FIND("/",Table61011[[#This Row],[spawner_sku]])),Table1[Entity Prefab],0)),10,1,1,"Entities"))</f>
        <v>25</v>
      </c>
      <c r="BU305" s="74">
        <f ca="1">ROUND((Table61011[[#This Row],[XP]]*Table61011[[#This Row],[entity_spawned (AVG)]])*(Table61011[[#This Row],[activating_chance]]/100),0)</f>
        <v>25</v>
      </c>
      <c r="BV305" s="71" t="str">
        <f ca="1">INDIRECT(ADDRESS(11+(MATCH(RIGHT(Table61011[[#This Row],[spawner_sku]],LEN(Table61011[[#This Row],[spawner_sku]])-FIND("/",Table61011[[#This Row],[spawner_sku]])),Table28[Entity Prefab],0)),24,1,1,"Entities"))</f>
        <v>no</v>
      </c>
      <c r="BW305" s="71">
        <v>1</v>
      </c>
      <c r="BX305" s="71">
        <v>1</v>
      </c>
      <c r="BY305" s="71" t="b">
        <v>0</v>
      </c>
      <c r="BZ305" s="71"/>
      <c r="CA305" s="147" t="s">
        <v>3816</v>
      </c>
      <c r="CB305">
        <v>1</v>
      </c>
      <c r="CC305">
        <v>240</v>
      </c>
      <c r="CD305">
        <v>100</v>
      </c>
      <c r="CE305" s="74">
        <f ca="1">INDIRECT(ADDRESS(11+(MATCH(RIGHT(Table35[[#This Row],[spawner_sku]],LEN(Table35[[#This Row],[spawner_sku]])-FIND("/",Table35[[#This Row],[spawner_sku]])),Table1[Entity Prefab],0)),10,1,1,"Entities"))</f>
        <v>50</v>
      </c>
      <c r="CF305" s="74">
        <f ca="1">ROUND((Table35[[#This Row],[XP]]*Table35[[#This Row],[entity_spawned (AVG)]])*(Table35[[#This Row],[activating_chance]]/100),0)</f>
        <v>50</v>
      </c>
      <c r="CG305" s="144" t="str">
        <f ca="1">INDIRECT(ADDRESS(11+(MATCH(RIGHT(Table35[[#This Row],[spawner_sku]],LEN(Table35[[#This Row],[spawner_sku]])-FIND("/",Table35[[#This Row],[spawner_sku]])),Table28[Entity Prefab],0)),24,1,1,"Entities"))</f>
        <v>no</v>
      </c>
      <c r="CH305">
        <v>1</v>
      </c>
      <c r="CI305">
        <v>1</v>
      </c>
      <c r="CJ305" s="71" t="b">
        <v>0</v>
      </c>
      <c r="CL305" t="s">
        <v>448</v>
      </c>
      <c r="CM305">
        <v>1</v>
      </c>
      <c r="CN305">
        <v>280</v>
      </c>
      <c r="CO305">
        <v>100</v>
      </c>
      <c r="CP305" s="74">
        <f ca="1">INDIRECT(ADDRESS(11+(MATCH(RIGHT(Table11[[#This Row],[spawner_sku]],LEN(Table11[[#This Row],[spawner_sku]])-FIND("/",Table11[[#This Row],[spawner_sku]])),Table1[Entity Prefab],0)),10,1,1,"Entities"))</f>
        <v>143</v>
      </c>
      <c r="CQ305">
        <f ca="1">ROUND((Table11[[#This Row],[XP]]*Table11[[#This Row],[entity_spawned (AVG)]])*(Table11[[#This Row],[activating_chance]]/100),0)</f>
        <v>143</v>
      </c>
      <c r="CR305" s="144" t="str">
        <f ca="1">INDIRECT(ADDRESS(11+(MATCH(RIGHT(Table11[[#This Row],[spawner_sku]],LEN(Table11[[#This Row],[spawner_sku]])-FIND("/",Table11[[#This Row],[spawner_sku]])),Table28[Entity Prefab],0)),25,1,1,"Entities"))</f>
        <v>yes</v>
      </c>
      <c r="CS305" s="71">
        <v>1</v>
      </c>
      <c r="CT305" s="71">
        <v>1</v>
      </c>
      <c r="CU305" s="71" t="b">
        <v>0</v>
      </c>
      <c r="DH305" t="s">
        <v>366</v>
      </c>
      <c r="DI305">
        <v>1</v>
      </c>
      <c r="DJ305">
        <v>100</v>
      </c>
      <c r="DK305">
        <v>80</v>
      </c>
      <c r="DL305" s="74">
        <f ca="1">INDIRECT(ADDRESS(11+(MATCH(RIGHT(Table13[[#This Row],[spawner_sku]],LEN(Table13[[#This Row],[spawner_sku]])-FIND("/",Table13[[#This Row],[spawner_sku]])),Table1[Entity Prefab],0)),10,1,1,"Entities"))</f>
        <v>25</v>
      </c>
      <c r="DM305" s="74">
        <f ca="1">ROUND((Table13[[#This Row],[XP]]*Table13[[#This Row],[entity_spawned (AVG)]])*(Table13[[#This Row],[activating_chance]]/100),0)</f>
        <v>20</v>
      </c>
      <c r="DN305" s="144" t="str">
        <f ca="1">INDIRECT(ADDRESS(11+(MATCH(RIGHT(Table13[[#This Row],[spawner_sku]],LEN(Table13[[#This Row],[spawner_sku]])-FIND("/",Table13[[#This Row],[spawner_sku]])),Table28[Entity Prefab],0)),25,1,1,"Entities"))</f>
        <v>no</v>
      </c>
      <c r="DO305" s="71">
        <v>1</v>
      </c>
      <c r="DP305" s="71">
        <v>1</v>
      </c>
      <c r="DQ305" s="71" t="b">
        <v>0</v>
      </c>
      <c r="DS305" t="s">
        <v>367</v>
      </c>
      <c r="DT305">
        <v>1</v>
      </c>
      <c r="DU305">
        <v>110</v>
      </c>
      <c r="DV305">
        <v>100</v>
      </c>
      <c r="DW305" s="74">
        <f ca="1">INDIRECT(ADDRESS(11+(MATCH(RIGHT(Table14[[#This Row],[spawner_sku]],LEN(Table14[[#This Row],[spawner_sku]])-FIND("/",Table14[[#This Row],[spawner_sku]])),Table1[Entity Prefab],0)),10,1,1,"Entities"))</f>
        <v>75</v>
      </c>
      <c r="DX305" s="74">
        <f ca="1">ROUND((Table14[[#This Row],[XP]]*Table14[[#This Row],[entity_spawned (AVG)]])*(Table14[[#This Row],[activating_chance]]/100),0)</f>
        <v>75</v>
      </c>
      <c r="DY305" s="144" t="str">
        <f ca="1">INDIRECT(ADDRESS(11+(MATCH(RIGHT(Table14[[#This Row],[spawner_sku]],LEN(Table14[[#This Row],[spawner_sku]])-FIND("/",Table14[[#This Row],[spawner_sku]])),Table28[Entity Prefab],0)),25,1,1,"Entities"))</f>
        <v>no</v>
      </c>
      <c r="DZ305" s="71">
        <v>1</v>
      </c>
      <c r="EA305" s="71">
        <v>1</v>
      </c>
      <c r="EB305" s="71" t="b">
        <v>0</v>
      </c>
      <c r="EC305" s="71"/>
      <c r="EO305" t="s">
        <v>5002</v>
      </c>
      <c r="EP305">
        <v>6</v>
      </c>
      <c r="EQ305">
        <v>80</v>
      </c>
      <c r="ER305">
        <v>100</v>
      </c>
      <c r="ES305" s="74">
        <f ca="1">INDIRECT(ADDRESS(11+(MATCH(RIGHT(Table18[[#This Row],[spawner_sku]],LEN(Table18[[#This Row],[spawner_sku]])-FIND("/",Table18[[#This Row],[spawner_sku]])),Table1[Entity Prefab],0)),10,1,1,"Entities"))</f>
        <v>40</v>
      </c>
      <c r="ET305" s="74">
        <f ca="1">ROUND((Table18[[#This Row],[XP]]*Table18[[#This Row],[entity_spawned (AVG)]])*(Table18[[#This Row],[activating_chance]]/100),0)</f>
        <v>240</v>
      </c>
      <c r="EU305" s="74" t="str">
        <f ca="1">INDIRECT(ADDRESS(11+(MATCH(RIGHT(Table18[[#This Row],[spawner_sku]],LEN(Table18[[#This Row],[spawner_sku]])-FIND("/",Table18[[#This Row],[spawner_sku]])),Table28[Entity Prefab],0)),26,1,1,"Entities"))</f>
        <v>no</v>
      </c>
      <c r="EV305">
        <v>5</v>
      </c>
      <c r="EW305">
        <v>7</v>
      </c>
      <c r="EX305" t="b">
        <v>1</v>
      </c>
    </row>
    <row r="306" spans="2:154" x14ac:dyDescent="0.25">
      <c r="B306" s="72" t="s">
        <v>227</v>
      </c>
      <c r="C306">
        <v>1</v>
      </c>
      <c r="D306">
        <v>2000</v>
      </c>
      <c r="E306">
        <v>100</v>
      </c>
      <c r="F306" s="74">
        <f ca="1">INDIRECT(ADDRESS(11+(MATCH(RIGHT(Table245[[#This Row],[spawner_sku]],LEN(Table245[[#This Row],[spawner_sku]])-FIND("/",Table245[[#This Row],[spawner_sku]])),Table1[Entity Prefab],0)),10,1,1,"Entities"))</f>
        <v>175</v>
      </c>
      <c r="G306" s="74">
        <f ca="1">ROUND((Table245[[#This Row],[XP]]*Table245[[#This Row],[entity_spawned (AVG)]])*(Table245[[#This Row],[activating_chance]]/100),0)</f>
        <v>175</v>
      </c>
      <c r="H306" s="71" t="str">
        <f ca="1">INDIRECT(ADDRESS(11+(MATCH(RIGHT(Table245[[#This Row],[spawner_sku]],LEN(Table245[[#This Row],[spawner_sku]])-FIND("/",Table245[[#This Row],[spawner_sku]])),Table28[Entity Prefab],0)),24,1,1,"Entities"))</f>
        <v>yes</v>
      </c>
      <c r="I306" s="71">
        <v>1</v>
      </c>
      <c r="J306" s="71">
        <v>1</v>
      </c>
      <c r="K306" s="71" t="b">
        <v>0</v>
      </c>
      <c r="AI306" t="s">
        <v>367</v>
      </c>
      <c r="AJ306">
        <v>1</v>
      </c>
      <c r="AK306">
        <v>220</v>
      </c>
      <c r="AL306">
        <v>100</v>
      </c>
      <c r="AM306" s="74">
        <f ca="1">INDIRECT(ADDRESS(11+(MATCH(RIGHT(Table2[[#This Row],[spawner_sku]],LEN(Table2[[#This Row],[spawner_sku]])-FIND("/",Table2[[#This Row],[spawner_sku]])),Table1[Entity Prefab],0)),10,1,1,"Entities"))</f>
        <v>75</v>
      </c>
      <c r="AN306" s="74">
        <f ca="1">ROUND((Table2[[#This Row],[XP]]*Table2[[#This Row],[entity_spawned (AVG)]])*(Table2[[#This Row],[activating_chance]]/100),0)</f>
        <v>75</v>
      </c>
      <c r="AO306" s="71" t="str">
        <f ca="1">INDIRECT(ADDRESS(11+(MATCH(RIGHT(Table2[[#This Row],[spawner_sku]],LEN(Table2[[#This Row],[spawner_sku]])-FIND("/",Table2[[#This Row],[spawner_sku]])),Table28[Entity Prefab],0)),24,1,1,"Entities"))</f>
        <v>no</v>
      </c>
      <c r="AP306" s="71">
        <v>1</v>
      </c>
      <c r="AQ306" s="71">
        <v>1</v>
      </c>
      <c r="AR306" s="71" t="b">
        <v>0</v>
      </c>
      <c r="BP306" t="s">
        <v>465</v>
      </c>
      <c r="BQ306">
        <v>1</v>
      </c>
      <c r="BR306">
        <v>160</v>
      </c>
      <c r="BS306">
        <v>100</v>
      </c>
      <c r="BT306" s="74">
        <f ca="1">INDIRECT(ADDRESS(11+(MATCH(RIGHT(Table61011[[#This Row],[spawner_sku]],LEN(Table61011[[#This Row],[spawner_sku]])-FIND("/",Table61011[[#This Row],[spawner_sku]])),Table1[Entity Prefab],0)),10,1,1,"Entities"))</f>
        <v>25</v>
      </c>
      <c r="BU306" s="74">
        <f ca="1">ROUND((Table61011[[#This Row],[XP]]*Table61011[[#This Row],[entity_spawned (AVG)]])*(Table61011[[#This Row],[activating_chance]]/100),0)</f>
        <v>25</v>
      </c>
      <c r="BV306" s="71" t="str">
        <f ca="1">INDIRECT(ADDRESS(11+(MATCH(RIGHT(Table61011[[#This Row],[spawner_sku]],LEN(Table61011[[#This Row],[spawner_sku]])-FIND("/",Table61011[[#This Row],[spawner_sku]])),Table28[Entity Prefab],0)),24,1,1,"Entities"))</f>
        <v>no</v>
      </c>
      <c r="BW306" s="71">
        <v>1</v>
      </c>
      <c r="BX306" s="71">
        <v>1</v>
      </c>
      <c r="BY306" s="71" t="b">
        <v>0</v>
      </c>
      <c r="BZ306" s="71"/>
      <c r="CA306" s="147" t="s">
        <v>3816</v>
      </c>
      <c r="CB306">
        <v>1</v>
      </c>
      <c r="CC306">
        <v>240</v>
      </c>
      <c r="CD306">
        <v>100</v>
      </c>
      <c r="CE306" s="74">
        <f ca="1">INDIRECT(ADDRESS(11+(MATCH(RIGHT(Table35[[#This Row],[spawner_sku]],LEN(Table35[[#This Row],[spawner_sku]])-FIND("/",Table35[[#This Row],[spawner_sku]])),Table1[Entity Prefab],0)),10,1,1,"Entities"))</f>
        <v>50</v>
      </c>
      <c r="CF306" s="74">
        <f ca="1">ROUND((Table35[[#This Row],[XP]]*Table35[[#This Row],[entity_spawned (AVG)]])*(Table35[[#This Row],[activating_chance]]/100),0)</f>
        <v>50</v>
      </c>
      <c r="CG306" s="144" t="str">
        <f ca="1">INDIRECT(ADDRESS(11+(MATCH(RIGHT(Table35[[#This Row],[spawner_sku]],LEN(Table35[[#This Row],[spawner_sku]])-FIND("/",Table35[[#This Row],[spawner_sku]])),Table28[Entity Prefab],0)),24,1,1,"Entities"))</f>
        <v>no</v>
      </c>
      <c r="CH306">
        <v>1</v>
      </c>
      <c r="CI306">
        <v>1</v>
      </c>
      <c r="CJ306" s="71" t="b">
        <v>0</v>
      </c>
      <c r="CL306" t="s">
        <v>448</v>
      </c>
      <c r="CM306">
        <v>1</v>
      </c>
      <c r="CN306">
        <v>280</v>
      </c>
      <c r="CO306">
        <v>100</v>
      </c>
      <c r="CP306" s="74">
        <f ca="1">INDIRECT(ADDRESS(11+(MATCH(RIGHT(Table11[[#This Row],[spawner_sku]],LEN(Table11[[#This Row],[spawner_sku]])-FIND("/",Table11[[#This Row],[spawner_sku]])),Table1[Entity Prefab],0)),10,1,1,"Entities"))</f>
        <v>143</v>
      </c>
      <c r="CQ306">
        <f ca="1">ROUND((Table11[[#This Row],[XP]]*Table11[[#This Row],[entity_spawned (AVG)]])*(Table11[[#This Row],[activating_chance]]/100),0)</f>
        <v>143</v>
      </c>
      <c r="CR306" s="144" t="str">
        <f ca="1">INDIRECT(ADDRESS(11+(MATCH(RIGHT(Table11[[#This Row],[spawner_sku]],LEN(Table11[[#This Row],[spawner_sku]])-FIND("/",Table11[[#This Row],[spawner_sku]])),Table28[Entity Prefab],0)),25,1,1,"Entities"))</f>
        <v>yes</v>
      </c>
      <c r="CS306" s="71">
        <v>1</v>
      </c>
      <c r="CT306" s="71">
        <v>1</v>
      </c>
      <c r="CU306" s="71" t="b">
        <v>0</v>
      </c>
      <c r="DH306" t="s">
        <v>366</v>
      </c>
      <c r="DI306">
        <v>1.5</v>
      </c>
      <c r="DJ306">
        <v>100</v>
      </c>
      <c r="DK306">
        <v>100</v>
      </c>
      <c r="DL306" s="74">
        <f ca="1">INDIRECT(ADDRESS(11+(MATCH(RIGHT(Table13[[#This Row],[spawner_sku]],LEN(Table13[[#This Row],[spawner_sku]])-FIND("/",Table13[[#This Row],[spawner_sku]])),Table1[Entity Prefab],0)),10,1,1,"Entities"))</f>
        <v>25</v>
      </c>
      <c r="DM306" s="74">
        <f ca="1">ROUND((Table13[[#This Row],[XP]]*Table13[[#This Row],[entity_spawned (AVG)]])*(Table13[[#This Row],[activating_chance]]/100),0)</f>
        <v>38</v>
      </c>
      <c r="DN306" s="144" t="str">
        <f ca="1">INDIRECT(ADDRESS(11+(MATCH(RIGHT(Table13[[#This Row],[spawner_sku]],LEN(Table13[[#This Row],[spawner_sku]])-FIND("/",Table13[[#This Row],[spawner_sku]])),Table28[Entity Prefab],0)),25,1,1,"Entities"))</f>
        <v>no</v>
      </c>
      <c r="DO306" s="71">
        <v>1</v>
      </c>
      <c r="DP306" s="71">
        <v>2</v>
      </c>
      <c r="DQ306" s="71" t="b">
        <v>0</v>
      </c>
      <c r="DS306" t="s">
        <v>367</v>
      </c>
      <c r="DT306">
        <v>2</v>
      </c>
      <c r="DU306">
        <v>145</v>
      </c>
      <c r="DV306">
        <v>80</v>
      </c>
      <c r="DW306" s="74">
        <f ca="1">INDIRECT(ADDRESS(11+(MATCH(RIGHT(Table14[[#This Row],[spawner_sku]],LEN(Table14[[#This Row],[spawner_sku]])-FIND("/",Table14[[#This Row],[spawner_sku]])),Table1[Entity Prefab],0)),10,1,1,"Entities"))</f>
        <v>75</v>
      </c>
      <c r="DX306" s="74">
        <f ca="1">ROUND((Table14[[#This Row],[XP]]*Table14[[#This Row],[entity_spawned (AVG)]])*(Table14[[#This Row],[activating_chance]]/100),0)</f>
        <v>120</v>
      </c>
      <c r="DY306" s="144" t="str">
        <f ca="1">INDIRECT(ADDRESS(11+(MATCH(RIGHT(Table14[[#This Row],[spawner_sku]],LEN(Table14[[#This Row],[spawner_sku]])-FIND("/",Table14[[#This Row],[spawner_sku]])),Table28[Entity Prefab],0)),25,1,1,"Entities"))</f>
        <v>no</v>
      </c>
      <c r="DZ306" s="71">
        <v>2</v>
      </c>
      <c r="EA306" s="71">
        <v>2</v>
      </c>
      <c r="EB306" s="71" t="b">
        <v>0</v>
      </c>
      <c r="EC306" s="71"/>
      <c r="EO306" t="s">
        <v>5002</v>
      </c>
      <c r="EP306">
        <v>3</v>
      </c>
      <c r="EQ306">
        <v>85</v>
      </c>
      <c r="ER306">
        <v>100</v>
      </c>
      <c r="ES306" s="74">
        <f ca="1">INDIRECT(ADDRESS(11+(MATCH(RIGHT(Table18[[#This Row],[spawner_sku]],LEN(Table18[[#This Row],[spawner_sku]])-FIND("/",Table18[[#This Row],[spawner_sku]])),Table1[Entity Prefab],0)),10,1,1,"Entities"))</f>
        <v>40</v>
      </c>
      <c r="ET306" s="74">
        <f ca="1">ROUND((Table18[[#This Row],[XP]]*Table18[[#This Row],[entity_spawned (AVG)]])*(Table18[[#This Row],[activating_chance]]/100),0)</f>
        <v>120</v>
      </c>
      <c r="EU306" s="74" t="str">
        <f ca="1">INDIRECT(ADDRESS(11+(MATCH(RIGHT(Table18[[#This Row],[spawner_sku]],LEN(Table18[[#This Row],[spawner_sku]])-FIND("/",Table18[[#This Row],[spawner_sku]])),Table28[Entity Prefab],0)),26,1,1,"Entities"))</f>
        <v>no</v>
      </c>
      <c r="EV306">
        <v>2</v>
      </c>
      <c r="EW306">
        <v>4</v>
      </c>
      <c r="EX306" t="b">
        <v>0</v>
      </c>
    </row>
    <row r="307" spans="2:154" x14ac:dyDescent="0.25">
      <c r="B307" s="72" t="s">
        <v>227</v>
      </c>
      <c r="C307">
        <v>1</v>
      </c>
      <c r="D307">
        <v>2000</v>
      </c>
      <c r="E307">
        <v>100</v>
      </c>
      <c r="F307" s="74">
        <f ca="1">INDIRECT(ADDRESS(11+(MATCH(RIGHT(Table245[[#This Row],[spawner_sku]],LEN(Table245[[#This Row],[spawner_sku]])-FIND("/",Table245[[#This Row],[spawner_sku]])),Table1[Entity Prefab],0)),10,1,1,"Entities"))</f>
        <v>175</v>
      </c>
      <c r="G307" s="74">
        <f ca="1">ROUND((Table245[[#This Row],[XP]]*Table245[[#This Row],[entity_spawned (AVG)]])*(Table245[[#This Row],[activating_chance]]/100),0)</f>
        <v>175</v>
      </c>
      <c r="H307" s="71" t="str">
        <f ca="1">INDIRECT(ADDRESS(11+(MATCH(RIGHT(Table245[[#This Row],[spawner_sku]],LEN(Table245[[#This Row],[spawner_sku]])-FIND("/",Table245[[#This Row],[spawner_sku]])),Table28[Entity Prefab],0)),24,1,1,"Entities"))</f>
        <v>yes</v>
      </c>
      <c r="I307" s="71">
        <v>1</v>
      </c>
      <c r="J307" s="71">
        <v>1</v>
      </c>
      <c r="K307" s="71" t="b">
        <v>0</v>
      </c>
      <c r="AI307" t="s">
        <v>367</v>
      </c>
      <c r="AJ307">
        <v>1</v>
      </c>
      <c r="AK307">
        <v>220</v>
      </c>
      <c r="AL307">
        <v>100</v>
      </c>
      <c r="AM307" s="74">
        <f ca="1">INDIRECT(ADDRESS(11+(MATCH(RIGHT(Table2[[#This Row],[spawner_sku]],LEN(Table2[[#This Row],[spawner_sku]])-FIND("/",Table2[[#This Row],[spawner_sku]])),Table1[Entity Prefab],0)),10,1,1,"Entities"))</f>
        <v>75</v>
      </c>
      <c r="AN307" s="74">
        <f ca="1">ROUND((Table2[[#This Row],[XP]]*Table2[[#This Row],[entity_spawned (AVG)]])*(Table2[[#This Row],[activating_chance]]/100),0)</f>
        <v>75</v>
      </c>
      <c r="AO307" s="71" t="str">
        <f ca="1">INDIRECT(ADDRESS(11+(MATCH(RIGHT(Table2[[#This Row],[spawner_sku]],LEN(Table2[[#This Row],[spawner_sku]])-FIND("/",Table2[[#This Row],[spawner_sku]])),Table28[Entity Prefab],0)),24,1,1,"Entities"))</f>
        <v>no</v>
      </c>
      <c r="AP307" s="71">
        <v>1</v>
      </c>
      <c r="AQ307" s="71">
        <v>1</v>
      </c>
      <c r="AR307" s="71" t="b">
        <v>0</v>
      </c>
      <c r="BP307" t="s">
        <v>465</v>
      </c>
      <c r="BQ307">
        <v>1</v>
      </c>
      <c r="BR307">
        <v>160</v>
      </c>
      <c r="BS307">
        <v>100</v>
      </c>
      <c r="BT307" s="74">
        <f ca="1">INDIRECT(ADDRESS(11+(MATCH(RIGHT(Table61011[[#This Row],[spawner_sku]],LEN(Table61011[[#This Row],[spawner_sku]])-FIND("/",Table61011[[#This Row],[spawner_sku]])),Table1[Entity Prefab],0)),10,1,1,"Entities"))</f>
        <v>25</v>
      </c>
      <c r="BU307" s="74">
        <f ca="1">ROUND((Table61011[[#This Row],[XP]]*Table61011[[#This Row],[entity_spawned (AVG)]])*(Table61011[[#This Row],[activating_chance]]/100),0)</f>
        <v>25</v>
      </c>
      <c r="BV307" s="71" t="str">
        <f ca="1">INDIRECT(ADDRESS(11+(MATCH(RIGHT(Table61011[[#This Row],[spawner_sku]],LEN(Table61011[[#This Row],[spawner_sku]])-FIND("/",Table61011[[#This Row],[spawner_sku]])),Table28[Entity Prefab],0)),24,1,1,"Entities"))</f>
        <v>no</v>
      </c>
      <c r="BW307" s="71">
        <v>1</v>
      </c>
      <c r="BX307" s="71">
        <v>1</v>
      </c>
      <c r="BY307" s="71" t="b">
        <v>0</v>
      </c>
      <c r="BZ307" s="71"/>
      <c r="CA307" s="147" t="s">
        <v>3816</v>
      </c>
      <c r="CB307">
        <v>1</v>
      </c>
      <c r="CC307">
        <v>240</v>
      </c>
      <c r="CD307">
        <v>100</v>
      </c>
      <c r="CE307" s="74">
        <f ca="1">INDIRECT(ADDRESS(11+(MATCH(RIGHT(Table35[[#This Row],[spawner_sku]],LEN(Table35[[#This Row],[spawner_sku]])-FIND("/",Table35[[#This Row],[spawner_sku]])),Table1[Entity Prefab],0)),10,1,1,"Entities"))</f>
        <v>50</v>
      </c>
      <c r="CF307" s="74">
        <f ca="1">ROUND((Table35[[#This Row],[XP]]*Table35[[#This Row],[entity_spawned (AVG)]])*(Table35[[#This Row],[activating_chance]]/100),0)</f>
        <v>50</v>
      </c>
      <c r="CG307" s="144" t="str">
        <f ca="1">INDIRECT(ADDRESS(11+(MATCH(RIGHT(Table35[[#This Row],[spawner_sku]],LEN(Table35[[#This Row],[spawner_sku]])-FIND("/",Table35[[#This Row],[spawner_sku]])),Table28[Entity Prefab],0)),24,1,1,"Entities"))</f>
        <v>no</v>
      </c>
      <c r="CH307">
        <v>1</v>
      </c>
      <c r="CI307">
        <v>1</v>
      </c>
      <c r="CJ307" s="71" t="b">
        <v>0</v>
      </c>
      <c r="CL307" t="s">
        <v>448</v>
      </c>
      <c r="CM307">
        <v>1</v>
      </c>
      <c r="CN307">
        <v>280</v>
      </c>
      <c r="CO307">
        <v>100</v>
      </c>
      <c r="CP307" s="74">
        <f ca="1">INDIRECT(ADDRESS(11+(MATCH(RIGHT(Table11[[#This Row],[spawner_sku]],LEN(Table11[[#This Row],[spawner_sku]])-FIND("/",Table11[[#This Row],[spawner_sku]])),Table1[Entity Prefab],0)),10,1,1,"Entities"))</f>
        <v>143</v>
      </c>
      <c r="CQ307">
        <f ca="1">ROUND((Table11[[#This Row],[XP]]*Table11[[#This Row],[entity_spawned (AVG)]])*(Table11[[#This Row],[activating_chance]]/100),0)</f>
        <v>143</v>
      </c>
      <c r="CR307" s="144" t="str">
        <f ca="1">INDIRECT(ADDRESS(11+(MATCH(RIGHT(Table11[[#This Row],[spawner_sku]],LEN(Table11[[#This Row],[spawner_sku]])-FIND("/",Table11[[#This Row],[spawner_sku]])),Table28[Entity Prefab],0)),25,1,1,"Entities"))</f>
        <v>yes</v>
      </c>
      <c r="CS307" s="71">
        <v>1</v>
      </c>
      <c r="CT307" s="71">
        <v>1</v>
      </c>
      <c r="CU307" s="71" t="b">
        <v>0</v>
      </c>
      <c r="DH307" t="s">
        <v>366</v>
      </c>
      <c r="DI307">
        <v>1.5</v>
      </c>
      <c r="DJ307">
        <v>100</v>
      </c>
      <c r="DK307">
        <v>80</v>
      </c>
      <c r="DL307" s="74">
        <f ca="1">INDIRECT(ADDRESS(11+(MATCH(RIGHT(Table13[[#This Row],[spawner_sku]],LEN(Table13[[#This Row],[spawner_sku]])-FIND("/",Table13[[#This Row],[spawner_sku]])),Table1[Entity Prefab],0)),10,1,1,"Entities"))</f>
        <v>25</v>
      </c>
      <c r="DM307" s="74">
        <f ca="1">ROUND((Table13[[#This Row],[XP]]*Table13[[#This Row],[entity_spawned (AVG)]])*(Table13[[#This Row],[activating_chance]]/100),0)</f>
        <v>30</v>
      </c>
      <c r="DN307" s="144" t="str">
        <f ca="1">INDIRECT(ADDRESS(11+(MATCH(RIGHT(Table13[[#This Row],[spawner_sku]],LEN(Table13[[#This Row],[spawner_sku]])-FIND("/",Table13[[#This Row],[spawner_sku]])),Table28[Entity Prefab],0)),25,1,1,"Entities"))</f>
        <v>no</v>
      </c>
      <c r="DO307" s="71">
        <v>1</v>
      </c>
      <c r="DP307" s="71">
        <v>2</v>
      </c>
      <c r="DQ307" s="71" t="b">
        <v>0</v>
      </c>
      <c r="DS307" t="s">
        <v>367</v>
      </c>
      <c r="DT307">
        <v>1</v>
      </c>
      <c r="DU307">
        <v>150</v>
      </c>
      <c r="DV307">
        <v>100</v>
      </c>
      <c r="DW307" s="74">
        <f ca="1">INDIRECT(ADDRESS(11+(MATCH(RIGHT(Table14[[#This Row],[spawner_sku]],LEN(Table14[[#This Row],[spawner_sku]])-FIND("/",Table14[[#This Row],[spawner_sku]])),Table1[Entity Prefab],0)),10,1,1,"Entities"))</f>
        <v>75</v>
      </c>
      <c r="DX307" s="74">
        <f ca="1">ROUND((Table14[[#This Row],[XP]]*Table14[[#This Row],[entity_spawned (AVG)]])*(Table14[[#This Row],[activating_chance]]/100),0)</f>
        <v>75</v>
      </c>
      <c r="DY307" s="144" t="str">
        <f ca="1">INDIRECT(ADDRESS(11+(MATCH(RIGHT(Table14[[#This Row],[spawner_sku]],LEN(Table14[[#This Row],[spawner_sku]])-FIND("/",Table14[[#This Row],[spawner_sku]])),Table28[Entity Prefab],0)),25,1,1,"Entities"))</f>
        <v>no</v>
      </c>
      <c r="DZ307" s="71">
        <v>1</v>
      </c>
      <c r="EA307" s="71">
        <v>1</v>
      </c>
      <c r="EB307" s="71" t="b">
        <v>0</v>
      </c>
      <c r="EC307" s="71"/>
      <c r="EO307" t="s">
        <v>5002</v>
      </c>
      <c r="EP307">
        <v>5.5</v>
      </c>
      <c r="EQ307">
        <v>90</v>
      </c>
      <c r="ER307">
        <v>100</v>
      </c>
      <c r="ES307" s="74">
        <f ca="1">INDIRECT(ADDRESS(11+(MATCH(RIGHT(Table18[[#This Row],[spawner_sku]],LEN(Table18[[#This Row],[spawner_sku]])-FIND("/",Table18[[#This Row],[spawner_sku]])),Table1[Entity Prefab],0)),10,1,1,"Entities"))</f>
        <v>40</v>
      </c>
      <c r="ET307" s="74">
        <f ca="1">ROUND((Table18[[#This Row],[XP]]*Table18[[#This Row],[entity_spawned (AVG)]])*(Table18[[#This Row],[activating_chance]]/100),0)</f>
        <v>220</v>
      </c>
      <c r="EU307" s="74" t="str">
        <f ca="1">INDIRECT(ADDRESS(11+(MATCH(RIGHT(Table18[[#This Row],[spawner_sku]],LEN(Table18[[#This Row],[spawner_sku]])-FIND("/",Table18[[#This Row],[spawner_sku]])),Table28[Entity Prefab],0)),26,1,1,"Entities"))</f>
        <v>no</v>
      </c>
      <c r="EV307">
        <v>5</v>
      </c>
      <c r="EW307">
        <v>6</v>
      </c>
      <c r="EX307" t="b">
        <v>1</v>
      </c>
    </row>
    <row r="308" spans="2:154" x14ac:dyDescent="0.25">
      <c r="B308" s="72" t="s">
        <v>227</v>
      </c>
      <c r="C308">
        <v>1</v>
      </c>
      <c r="D308">
        <v>2000</v>
      </c>
      <c r="E308">
        <v>100</v>
      </c>
      <c r="F308" s="74">
        <f ca="1">INDIRECT(ADDRESS(11+(MATCH(RIGHT(Table245[[#This Row],[spawner_sku]],LEN(Table245[[#This Row],[spawner_sku]])-FIND("/",Table245[[#This Row],[spawner_sku]])),Table1[Entity Prefab],0)),10,1,1,"Entities"))</f>
        <v>175</v>
      </c>
      <c r="G308" s="74">
        <f ca="1">ROUND((Table245[[#This Row],[XP]]*Table245[[#This Row],[entity_spawned (AVG)]])*(Table245[[#This Row],[activating_chance]]/100),0)</f>
        <v>175</v>
      </c>
      <c r="H308" s="71" t="str">
        <f ca="1">INDIRECT(ADDRESS(11+(MATCH(RIGHT(Table245[[#This Row],[spawner_sku]],LEN(Table245[[#This Row],[spawner_sku]])-FIND("/",Table245[[#This Row],[spawner_sku]])),Table28[Entity Prefab],0)),24,1,1,"Entities"))</f>
        <v>yes</v>
      </c>
      <c r="I308" s="71">
        <v>1</v>
      </c>
      <c r="J308" s="71">
        <v>1</v>
      </c>
      <c r="K308" s="71" t="b">
        <v>0</v>
      </c>
      <c r="AI308" t="s">
        <v>367</v>
      </c>
      <c r="AJ308">
        <v>1</v>
      </c>
      <c r="AK308">
        <v>170</v>
      </c>
      <c r="AL308">
        <v>100</v>
      </c>
      <c r="AM308" s="74">
        <f ca="1">INDIRECT(ADDRESS(11+(MATCH(RIGHT(Table2[[#This Row],[spawner_sku]],LEN(Table2[[#This Row],[spawner_sku]])-FIND("/",Table2[[#This Row],[spawner_sku]])),Table1[Entity Prefab],0)),10,1,1,"Entities"))</f>
        <v>75</v>
      </c>
      <c r="AN308" s="74">
        <f ca="1">ROUND((Table2[[#This Row],[XP]]*Table2[[#This Row],[entity_spawned (AVG)]])*(Table2[[#This Row],[activating_chance]]/100),0)</f>
        <v>75</v>
      </c>
      <c r="AO308" s="71" t="str">
        <f ca="1">INDIRECT(ADDRESS(11+(MATCH(RIGHT(Table2[[#This Row],[spawner_sku]],LEN(Table2[[#This Row],[spawner_sku]])-FIND("/",Table2[[#This Row],[spawner_sku]])),Table28[Entity Prefab],0)),24,1,1,"Entities"))</f>
        <v>no</v>
      </c>
      <c r="AP308" s="71">
        <v>1</v>
      </c>
      <c r="AQ308" s="71">
        <v>1</v>
      </c>
      <c r="AR308" s="71" t="b">
        <v>0</v>
      </c>
      <c r="BP308" t="s">
        <v>466</v>
      </c>
      <c r="BQ308">
        <v>1</v>
      </c>
      <c r="BR308">
        <v>120</v>
      </c>
      <c r="BS308">
        <v>100</v>
      </c>
      <c r="BT308" s="74">
        <f ca="1">INDIRECT(ADDRESS(11+(MATCH(RIGHT(Table61011[[#This Row],[spawner_sku]],LEN(Table61011[[#This Row],[spawner_sku]])-FIND("/",Table61011[[#This Row],[spawner_sku]])),Table1[Entity Prefab],0)),10,1,1,"Entities"))</f>
        <v>75</v>
      </c>
      <c r="BU308" s="74">
        <f ca="1">ROUND((Table61011[[#This Row],[XP]]*Table61011[[#This Row],[entity_spawned (AVG)]])*(Table61011[[#This Row],[activating_chance]]/100),0)</f>
        <v>75</v>
      </c>
      <c r="BV308" s="71" t="str">
        <f ca="1">INDIRECT(ADDRESS(11+(MATCH(RIGHT(Table61011[[#This Row],[spawner_sku]],LEN(Table61011[[#This Row],[spawner_sku]])-FIND("/",Table61011[[#This Row],[spawner_sku]])),Table28[Entity Prefab],0)),24,1,1,"Entities"))</f>
        <v>no</v>
      </c>
      <c r="BW308" s="71">
        <v>1</v>
      </c>
      <c r="BX308" s="71">
        <v>1</v>
      </c>
      <c r="BY308" s="71" t="b">
        <v>0</v>
      </c>
      <c r="BZ308" s="71"/>
      <c r="CA308" s="147" t="s">
        <v>3816</v>
      </c>
      <c r="CB308">
        <v>1</v>
      </c>
      <c r="CC308">
        <v>240</v>
      </c>
      <c r="CD308">
        <v>100</v>
      </c>
      <c r="CE308" s="74">
        <f ca="1">INDIRECT(ADDRESS(11+(MATCH(RIGHT(Table35[[#This Row],[spawner_sku]],LEN(Table35[[#This Row],[spawner_sku]])-FIND("/",Table35[[#This Row],[spawner_sku]])),Table1[Entity Prefab],0)),10,1,1,"Entities"))</f>
        <v>50</v>
      </c>
      <c r="CF308" s="74">
        <f ca="1">ROUND((Table35[[#This Row],[XP]]*Table35[[#This Row],[entity_spawned (AVG)]])*(Table35[[#This Row],[activating_chance]]/100),0)</f>
        <v>50</v>
      </c>
      <c r="CG308" s="144" t="str">
        <f ca="1">INDIRECT(ADDRESS(11+(MATCH(RIGHT(Table35[[#This Row],[spawner_sku]],LEN(Table35[[#This Row],[spawner_sku]])-FIND("/",Table35[[#This Row],[spawner_sku]])),Table28[Entity Prefab],0)),24,1,1,"Entities"))</f>
        <v>no</v>
      </c>
      <c r="CH308">
        <v>1</v>
      </c>
      <c r="CI308">
        <v>1</v>
      </c>
      <c r="CJ308" s="71" t="b">
        <v>0</v>
      </c>
      <c r="CL308" t="s">
        <v>448</v>
      </c>
      <c r="CM308">
        <v>1</v>
      </c>
      <c r="CN308">
        <v>280</v>
      </c>
      <c r="CO308">
        <v>100</v>
      </c>
      <c r="CP308" s="74">
        <f ca="1">INDIRECT(ADDRESS(11+(MATCH(RIGHT(Table11[[#This Row],[spawner_sku]],LEN(Table11[[#This Row],[spawner_sku]])-FIND("/",Table11[[#This Row],[spawner_sku]])),Table1[Entity Prefab],0)),10,1,1,"Entities"))</f>
        <v>143</v>
      </c>
      <c r="CQ308">
        <f ca="1">ROUND((Table11[[#This Row],[XP]]*Table11[[#This Row],[entity_spawned (AVG)]])*(Table11[[#This Row],[activating_chance]]/100),0)</f>
        <v>143</v>
      </c>
      <c r="CR308" s="144" t="str">
        <f ca="1">INDIRECT(ADDRESS(11+(MATCH(RIGHT(Table11[[#This Row],[spawner_sku]],LEN(Table11[[#This Row],[spawner_sku]])-FIND("/",Table11[[#This Row],[spawner_sku]])),Table28[Entity Prefab],0)),25,1,1,"Entities"))</f>
        <v>yes</v>
      </c>
      <c r="CS308" s="71">
        <v>1</v>
      </c>
      <c r="CT308" s="71">
        <v>1</v>
      </c>
      <c r="CU308" s="71" t="b">
        <v>0</v>
      </c>
      <c r="DH308" t="s">
        <v>366</v>
      </c>
      <c r="DI308">
        <v>2</v>
      </c>
      <c r="DJ308">
        <v>100</v>
      </c>
      <c r="DK308">
        <v>100</v>
      </c>
      <c r="DL308" s="74">
        <f ca="1">INDIRECT(ADDRESS(11+(MATCH(RIGHT(Table13[[#This Row],[spawner_sku]],LEN(Table13[[#This Row],[spawner_sku]])-FIND("/",Table13[[#This Row],[spawner_sku]])),Table1[Entity Prefab],0)),10,1,1,"Entities"))</f>
        <v>25</v>
      </c>
      <c r="DM308" s="74">
        <f ca="1">ROUND((Table13[[#This Row],[XP]]*Table13[[#This Row],[entity_spawned (AVG)]])*(Table13[[#This Row],[activating_chance]]/100),0)</f>
        <v>50</v>
      </c>
      <c r="DN308" s="144" t="str">
        <f ca="1">INDIRECT(ADDRESS(11+(MATCH(RIGHT(Table13[[#This Row],[spawner_sku]],LEN(Table13[[#This Row],[spawner_sku]])-FIND("/",Table13[[#This Row],[spawner_sku]])),Table28[Entity Prefab],0)),25,1,1,"Entities"))</f>
        <v>no</v>
      </c>
      <c r="DO308" s="71">
        <v>1</v>
      </c>
      <c r="DP308" s="71">
        <v>3</v>
      </c>
      <c r="DQ308" s="71" t="b">
        <v>0</v>
      </c>
      <c r="DS308" t="s">
        <v>367</v>
      </c>
      <c r="DT308">
        <v>1</v>
      </c>
      <c r="DU308">
        <v>130</v>
      </c>
      <c r="DV308">
        <v>100</v>
      </c>
      <c r="DW308" s="74">
        <f ca="1">INDIRECT(ADDRESS(11+(MATCH(RIGHT(Table14[[#This Row],[spawner_sku]],LEN(Table14[[#This Row],[spawner_sku]])-FIND("/",Table14[[#This Row],[spawner_sku]])),Table1[Entity Prefab],0)),10,1,1,"Entities"))</f>
        <v>75</v>
      </c>
      <c r="DX308" s="74">
        <f ca="1">ROUND((Table14[[#This Row],[XP]]*Table14[[#This Row],[entity_spawned (AVG)]])*(Table14[[#This Row],[activating_chance]]/100),0)</f>
        <v>75</v>
      </c>
      <c r="DY308" s="144" t="str">
        <f ca="1">INDIRECT(ADDRESS(11+(MATCH(RIGHT(Table14[[#This Row],[spawner_sku]],LEN(Table14[[#This Row],[spawner_sku]])-FIND("/",Table14[[#This Row],[spawner_sku]])),Table28[Entity Prefab],0)),25,1,1,"Entities"))</f>
        <v>no</v>
      </c>
      <c r="DZ308" s="71">
        <v>1</v>
      </c>
      <c r="EA308" s="71">
        <v>1</v>
      </c>
      <c r="EB308" s="71" t="b">
        <v>0</v>
      </c>
      <c r="EC308" s="71"/>
      <c r="EO308" t="s">
        <v>5002</v>
      </c>
      <c r="EP308">
        <v>2.5</v>
      </c>
      <c r="EQ308">
        <v>85</v>
      </c>
      <c r="ER308">
        <v>100</v>
      </c>
      <c r="ES308" s="74">
        <f ca="1">INDIRECT(ADDRESS(11+(MATCH(RIGHT(Table18[[#This Row],[spawner_sku]],LEN(Table18[[#This Row],[spawner_sku]])-FIND("/",Table18[[#This Row],[spawner_sku]])),Table1[Entity Prefab],0)),10,1,1,"Entities"))</f>
        <v>40</v>
      </c>
      <c r="ET308" s="74">
        <f ca="1">ROUND((Table18[[#This Row],[XP]]*Table18[[#This Row],[entity_spawned (AVG)]])*(Table18[[#This Row],[activating_chance]]/100),0)</f>
        <v>100</v>
      </c>
      <c r="EU308" s="74" t="str">
        <f ca="1">INDIRECT(ADDRESS(11+(MATCH(RIGHT(Table18[[#This Row],[spawner_sku]],LEN(Table18[[#This Row],[spawner_sku]])-FIND("/",Table18[[#This Row],[spawner_sku]])),Table28[Entity Prefab],0)),26,1,1,"Entities"))</f>
        <v>no</v>
      </c>
      <c r="EV308">
        <v>1</v>
      </c>
      <c r="EW308">
        <v>4</v>
      </c>
      <c r="EX308" t="b">
        <v>0</v>
      </c>
    </row>
    <row r="309" spans="2:154" x14ac:dyDescent="0.25">
      <c r="B309" s="72" t="s">
        <v>227</v>
      </c>
      <c r="C309">
        <v>1</v>
      </c>
      <c r="D309">
        <v>2000</v>
      </c>
      <c r="E309">
        <v>100</v>
      </c>
      <c r="F309" s="74">
        <f ca="1">INDIRECT(ADDRESS(11+(MATCH(RIGHT(Table245[[#This Row],[spawner_sku]],LEN(Table245[[#This Row],[spawner_sku]])-FIND("/",Table245[[#This Row],[spawner_sku]])),Table1[Entity Prefab],0)),10,1,1,"Entities"))</f>
        <v>175</v>
      </c>
      <c r="G309" s="74">
        <f ca="1">ROUND((Table245[[#This Row],[XP]]*Table245[[#This Row],[entity_spawned (AVG)]])*(Table245[[#This Row],[activating_chance]]/100),0)</f>
        <v>175</v>
      </c>
      <c r="H309" s="71" t="str">
        <f ca="1">INDIRECT(ADDRESS(11+(MATCH(RIGHT(Table245[[#This Row],[spawner_sku]],LEN(Table245[[#This Row],[spawner_sku]])-FIND("/",Table245[[#This Row],[spawner_sku]])),Table28[Entity Prefab],0)),24,1,1,"Entities"))</f>
        <v>yes</v>
      </c>
      <c r="I309" s="71">
        <v>1</v>
      </c>
      <c r="J309" s="71">
        <v>1</v>
      </c>
      <c r="K309" s="71" t="b">
        <v>0</v>
      </c>
      <c r="AI309" t="s">
        <v>367</v>
      </c>
      <c r="AJ309">
        <v>1</v>
      </c>
      <c r="AK309">
        <v>170</v>
      </c>
      <c r="AL309">
        <v>100</v>
      </c>
      <c r="AM309" s="74">
        <f ca="1">INDIRECT(ADDRESS(11+(MATCH(RIGHT(Table2[[#This Row],[spawner_sku]],LEN(Table2[[#This Row],[spawner_sku]])-FIND("/",Table2[[#This Row],[spawner_sku]])),Table1[Entity Prefab],0)),10,1,1,"Entities"))</f>
        <v>75</v>
      </c>
      <c r="AN309" s="74">
        <f ca="1">ROUND((Table2[[#This Row],[XP]]*Table2[[#This Row],[entity_spawned (AVG)]])*(Table2[[#This Row],[activating_chance]]/100),0)</f>
        <v>75</v>
      </c>
      <c r="AO309" s="71" t="str">
        <f ca="1">INDIRECT(ADDRESS(11+(MATCH(RIGHT(Table2[[#This Row],[spawner_sku]],LEN(Table2[[#This Row],[spawner_sku]])-FIND("/",Table2[[#This Row],[spawner_sku]])),Table28[Entity Prefab],0)),24,1,1,"Entities"))</f>
        <v>no</v>
      </c>
      <c r="AP309" s="71">
        <v>1</v>
      </c>
      <c r="AQ309" s="71">
        <v>1</v>
      </c>
      <c r="AR309" s="71" t="b">
        <v>0</v>
      </c>
      <c r="BP309" t="s">
        <v>466</v>
      </c>
      <c r="BQ309">
        <v>1</v>
      </c>
      <c r="BR309">
        <v>140</v>
      </c>
      <c r="BS309">
        <v>100</v>
      </c>
      <c r="BT309" s="74">
        <f ca="1">INDIRECT(ADDRESS(11+(MATCH(RIGHT(Table61011[[#This Row],[spawner_sku]],LEN(Table61011[[#This Row],[spawner_sku]])-FIND("/",Table61011[[#This Row],[spawner_sku]])),Table1[Entity Prefab],0)),10,1,1,"Entities"))</f>
        <v>75</v>
      </c>
      <c r="BU309" s="74">
        <f ca="1">ROUND((Table61011[[#This Row],[XP]]*Table61011[[#This Row],[entity_spawned (AVG)]])*(Table61011[[#This Row],[activating_chance]]/100),0)</f>
        <v>75</v>
      </c>
      <c r="BV309" s="71" t="str">
        <f ca="1">INDIRECT(ADDRESS(11+(MATCH(RIGHT(Table61011[[#This Row],[spawner_sku]],LEN(Table61011[[#This Row],[spawner_sku]])-FIND("/",Table61011[[#This Row],[spawner_sku]])),Table28[Entity Prefab],0)),24,1,1,"Entities"))</f>
        <v>no</v>
      </c>
      <c r="BW309" s="71">
        <v>1</v>
      </c>
      <c r="BX309" s="71">
        <v>1</v>
      </c>
      <c r="BY309" s="71" t="b">
        <v>0</v>
      </c>
      <c r="BZ309" s="71"/>
      <c r="CA309" s="147" t="s">
        <v>3816</v>
      </c>
      <c r="CB309">
        <v>1</v>
      </c>
      <c r="CC309">
        <v>240</v>
      </c>
      <c r="CD309">
        <v>100</v>
      </c>
      <c r="CE309" s="74">
        <f ca="1">INDIRECT(ADDRESS(11+(MATCH(RIGHT(Table35[[#This Row],[spawner_sku]],LEN(Table35[[#This Row],[spawner_sku]])-FIND("/",Table35[[#This Row],[spawner_sku]])),Table1[Entity Prefab],0)),10,1,1,"Entities"))</f>
        <v>50</v>
      </c>
      <c r="CF309" s="74">
        <f ca="1">ROUND((Table35[[#This Row],[XP]]*Table35[[#This Row],[entity_spawned (AVG)]])*(Table35[[#This Row],[activating_chance]]/100),0)</f>
        <v>50</v>
      </c>
      <c r="CG309" s="144" t="str">
        <f ca="1">INDIRECT(ADDRESS(11+(MATCH(RIGHT(Table35[[#This Row],[spawner_sku]],LEN(Table35[[#This Row],[spawner_sku]])-FIND("/",Table35[[#This Row],[spawner_sku]])),Table28[Entity Prefab],0)),24,1,1,"Entities"))</f>
        <v>no</v>
      </c>
      <c r="CH309">
        <v>1</v>
      </c>
      <c r="CI309">
        <v>1</v>
      </c>
      <c r="CJ309" s="71" t="b">
        <v>0</v>
      </c>
      <c r="CL309" t="s">
        <v>448</v>
      </c>
      <c r="CM309">
        <v>1</v>
      </c>
      <c r="CN309">
        <v>280</v>
      </c>
      <c r="CO309">
        <v>100</v>
      </c>
      <c r="CP309" s="74">
        <f ca="1">INDIRECT(ADDRESS(11+(MATCH(RIGHT(Table11[[#This Row],[spawner_sku]],LEN(Table11[[#This Row],[spawner_sku]])-FIND("/",Table11[[#This Row],[spawner_sku]])),Table1[Entity Prefab],0)),10,1,1,"Entities"))</f>
        <v>143</v>
      </c>
      <c r="CQ309">
        <f ca="1">ROUND((Table11[[#This Row],[XP]]*Table11[[#This Row],[entity_spawned (AVG)]])*(Table11[[#This Row],[activating_chance]]/100),0)</f>
        <v>143</v>
      </c>
      <c r="CR309" s="144" t="str">
        <f ca="1">INDIRECT(ADDRESS(11+(MATCH(RIGHT(Table11[[#This Row],[spawner_sku]],LEN(Table11[[#This Row],[spawner_sku]])-FIND("/",Table11[[#This Row],[spawner_sku]])),Table28[Entity Prefab],0)),25,1,1,"Entities"))</f>
        <v>yes</v>
      </c>
      <c r="CS309" s="71">
        <v>1</v>
      </c>
      <c r="CT309" s="71">
        <v>1</v>
      </c>
      <c r="CU309" s="71" t="b">
        <v>0</v>
      </c>
      <c r="DH309" t="s">
        <v>366</v>
      </c>
      <c r="DI309">
        <v>2</v>
      </c>
      <c r="DJ309">
        <v>100</v>
      </c>
      <c r="DK309">
        <v>100</v>
      </c>
      <c r="DL309" s="74">
        <f ca="1">INDIRECT(ADDRESS(11+(MATCH(RIGHT(Table13[[#This Row],[spawner_sku]],LEN(Table13[[#This Row],[spawner_sku]])-FIND("/",Table13[[#This Row],[spawner_sku]])),Table1[Entity Prefab],0)),10,1,1,"Entities"))</f>
        <v>25</v>
      </c>
      <c r="DM309" s="74">
        <f ca="1">ROUND((Table13[[#This Row],[XP]]*Table13[[#This Row],[entity_spawned (AVG)]])*(Table13[[#This Row],[activating_chance]]/100),0)</f>
        <v>50</v>
      </c>
      <c r="DN309" s="144" t="str">
        <f ca="1">INDIRECT(ADDRESS(11+(MATCH(RIGHT(Table13[[#This Row],[spawner_sku]],LEN(Table13[[#This Row],[spawner_sku]])-FIND("/",Table13[[#This Row],[spawner_sku]])),Table28[Entity Prefab],0)),25,1,1,"Entities"))</f>
        <v>no</v>
      </c>
      <c r="DO309" s="71">
        <v>1</v>
      </c>
      <c r="DP309" s="71">
        <v>3</v>
      </c>
      <c r="DQ309" s="71" t="b">
        <v>0</v>
      </c>
      <c r="DS309" t="s">
        <v>367</v>
      </c>
      <c r="DT309">
        <v>1</v>
      </c>
      <c r="DU309">
        <v>160</v>
      </c>
      <c r="DV309">
        <v>100</v>
      </c>
      <c r="DW309" s="74">
        <f ca="1">INDIRECT(ADDRESS(11+(MATCH(RIGHT(Table14[[#This Row],[spawner_sku]],LEN(Table14[[#This Row],[spawner_sku]])-FIND("/",Table14[[#This Row],[spawner_sku]])),Table1[Entity Prefab],0)),10,1,1,"Entities"))</f>
        <v>75</v>
      </c>
      <c r="DX309" s="74">
        <f ca="1">ROUND((Table14[[#This Row],[XP]]*Table14[[#This Row],[entity_spawned (AVG)]])*(Table14[[#This Row],[activating_chance]]/100),0)</f>
        <v>75</v>
      </c>
      <c r="DY309" s="144" t="str">
        <f ca="1">INDIRECT(ADDRESS(11+(MATCH(RIGHT(Table14[[#This Row],[spawner_sku]],LEN(Table14[[#This Row],[spawner_sku]])-FIND("/",Table14[[#This Row],[spawner_sku]])),Table28[Entity Prefab],0)),25,1,1,"Entities"))</f>
        <v>no</v>
      </c>
      <c r="DZ309" s="71">
        <v>1</v>
      </c>
      <c r="EA309" s="71">
        <v>1</v>
      </c>
      <c r="EB309" s="71" t="b">
        <v>0</v>
      </c>
      <c r="EC309" s="71"/>
      <c r="EO309" t="s">
        <v>5002</v>
      </c>
      <c r="EP309">
        <v>3</v>
      </c>
      <c r="EQ309">
        <v>85</v>
      </c>
      <c r="ER309">
        <v>100</v>
      </c>
      <c r="ES309" s="74">
        <f ca="1">INDIRECT(ADDRESS(11+(MATCH(RIGHT(Table18[[#This Row],[spawner_sku]],LEN(Table18[[#This Row],[spawner_sku]])-FIND("/",Table18[[#This Row],[spawner_sku]])),Table1[Entity Prefab],0)),10,1,1,"Entities"))</f>
        <v>40</v>
      </c>
      <c r="ET309" s="74">
        <f ca="1">ROUND((Table18[[#This Row],[XP]]*Table18[[#This Row],[entity_spawned (AVG)]])*(Table18[[#This Row],[activating_chance]]/100),0)</f>
        <v>120</v>
      </c>
      <c r="EU309" s="74" t="str">
        <f ca="1">INDIRECT(ADDRESS(11+(MATCH(RIGHT(Table18[[#This Row],[spawner_sku]],LEN(Table18[[#This Row],[spawner_sku]])-FIND("/",Table18[[#This Row],[spawner_sku]])),Table28[Entity Prefab],0)),26,1,1,"Entities"))</f>
        <v>no</v>
      </c>
      <c r="EV309">
        <v>2</v>
      </c>
      <c r="EW309">
        <v>4</v>
      </c>
      <c r="EX309" t="b">
        <v>0</v>
      </c>
    </row>
    <row r="310" spans="2:154" x14ac:dyDescent="0.25">
      <c r="B310" s="72" t="s">
        <v>227</v>
      </c>
      <c r="C310">
        <v>1</v>
      </c>
      <c r="D310">
        <v>2000</v>
      </c>
      <c r="E310">
        <v>100</v>
      </c>
      <c r="F310" s="74">
        <f ca="1">INDIRECT(ADDRESS(11+(MATCH(RIGHT(Table245[[#This Row],[spawner_sku]],LEN(Table245[[#This Row],[spawner_sku]])-FIND("/",Table245[[#This Row],[spawner_sku]])),Table1[Entity Prefab],0)),10,1,1,"Entities"))</f>
        <v>175</v>
      </c>
      <c r="G310" s="74">
        <f ca="1">ROUND((Table245[[#This Row],[XP]]*Table245[[#This Row],[entity_spawned (AVG)]])*(Table245[[#This Row],[activating_chance]]/100),0)</f>
        <v>175</v>
      </c>
      <c r="H310" s="71" t="str">
        <f ca="1">INDIRECT(ADDRESS(11+(MATCH(RIGHT(Table245[[#This Row],[spawner_sku]],LEN(Table245[[#This Row],[spawner_sku]])-FIND("/",Table245[[#This Row],[spawner_sku]])),Table28[Entity Prefab],0)),24,1,1,"Entities"))</f>
        <v>yes</v>
      </c>
      <c r="I310" s="71">
        <v>1</v>
      </c>
      <c r="J310" s="71">
        <v>1</v>
      </c>
      <c r="K310" s="71" t="b">
        <v>0</v>
      </c>
      <c r="AI310" t="s">
        <v>367</v>
      </c>
      <c r="AJ310">
        <v>1</v>
      </c>
      <c r="AK310">
        <v>200</v>
      </c>
      <c r="AL310">
        <v>100</v>
      </c>
      <c r="AM310" s="74">
        <f ca="1">INDIRECT(ADDRESS(11+(MATCH(RIGHT(Table2[[#This Row],[spawner_sku]],LEN(Table2[[#This Row],[spawner_sku]])-FIND("/",Table2[[#This Row],[spawner_sku]])),Table1[Entity Prefab],0)),10,1,1,"Entities"))</f>
        <v>75</v>
      </c>
      <c r="AN310" s="74">
        <f ca="1">ROUND((Table2[[#This Row],[XP]]*Table2[[#This Row],[entity_spawned (AVG)]])*(Table2[[#This Row],[activating_chance]]/100),0)</f>
        <v>75</v>
      </c>
      <c r="AO310" s="71" t="str">
        <f ca="1">INDIRECT(ADDRESS(11+(MATCH(RIGHT(Table2[[#This Row],[spawner_sku]],LEN(Table2[[#This Row],[spawner_sku]])-FIND("/",Table2[[#This Row],[spawner_sku]])),Table28[Entity Prefab],0)),24,1,1,"Entities"))</f>
        <v>no</v>
      </c>
      <c r="AP310" s="71">
        <v>1</v>
      </c>
      <c r="AQ310" s="71">
        <v>1</v>
      </c>
      <c r="AR310" s="71" t="b">
        <v>0</v>
      </c>
      <c r="BP310" t="s">
        <v>466</v>
      </c>
      <c r="BQ310">
        <v>1</v>
      </c>
      <c r="BR310">
        <v>100</v>
      </c>
      <c r="BS310">
        <v>100</v>
      </c>
      <c r="BT310" s="74">
        <f ca="1">INDIRECT(ADDRESS(11+(MATCH(RIGHT(Table61011[[#This Row],[spawner_sku]],LEN(Table61011[[#This Row],[spawner_sku]])-FIND("/",Table61011[[#This Row],[spawner_sku]])),Table1[Entity Prefab],0)),10,1,1,"Entities"))</f>
        <v>75</v>
      </c>
      <c r="BU310" s="74">
        <f ca="1">ROUND((Table61011[[#This Row],[XP]]*Table61011[[#This Row],[entity_spawned (AVG)]])*(Table61011[[#This Row],[activating_chance]]/100),0)</f>
        <v>75</v>
      </c>
      <c r="BV310" s="71" t="str">
        <f ca="1">INDIRECT(ADDRESS(11+(MATCH(RIGHT(Table61011[[#This Row],[spawner_sku]],LEN(Table61011[[#This Row],[spawner_sku]])-FIND("/",Table61011[[#This Row],[spawner_sku]])),Table28[Entity Prefab],0)),24,1,1,"Entities"))</f>
        <v>no</v>
      </c>
      <c r="BW310" s="71">
        <v>1</v>
      </c>
      <c r="BX310" s="71">
        <v>1</v>
      </c>
      <c r="BY310" s="71" t="b">
        <v>0</v>
      </c>
      <c r="BZ310" s="71"/>
      <c r="CA310" s="147" t="s">
        <v>3816</v>
      </c>
      <c r="CB310">
        <v>1</v>
      </c>
      <c r="CC310">
        <v>240</v>
      </c>
      <c r="CD310">
        <v>100</v>
      </c>
      <c r="CE310" s="74">
        <f ca="1">INDIRECT(ADDRESS(11+(MATCH(RIGHT(Table35[[#This Row],[spawner_sku]],LEN(Table35[[#This Row],[spawner_sku]])-FIND("/",Table35[[#This Row],[spawner_sku]])),Table1[Entity Prefab],0)),10,1,1,"Entities"))</f>
        <v>50</v>
      </c>
      <c r="CF310" s="74">
        <f ca="1">ROUND((Table35[[#This Row],[XP]]*Table35[[#This Row],[entity_spawned (AVG)]])*(Table35[[#This Row],[activating_chance]]/100),0)</f>
        <v>50</v>
      </c>
      <c r="CG310" s="144" t="str">
        <f ca="1">INDIRECT(ADDRESS(11+(MATCH(RIGHT(Table35[[#This Row],[spawner_sku]],LEN(Table35[[#This Row],[spawner_sku]])-FIND("/",Table35[[#This Row],[spawner_sku]])),Table28[Entity Prefab],0)),24,1,1,"Entities"))</f>
        <v>no</v>
      </c>
      <c r="CH310">
        <v>1</v>
      </c>
      <c r="CI310">
        <v>1</v>
      </c>
      <c r="CJ310" s="71" t="b">
        <v>0</v>
      </c>
      <c r="CL310" t="s">
        <v>448</v>
      </c>
      <c r="CM310">
        <v>1</v>
      </c>
      <c r="CN310">
        <v>280</v>
      </c>
      <c r="CO310">
        <v>100</v>
      </c>
      <c r="CP310" s="74">
        <f ca="1">INDIRECT(ADDRESS(11+(MATCH(RIGHT(Table11[[#This Row],[spawner_sku]],LEN(Table11[[#This Row],[spawner_sku]])-FIND("/",Table11[[#This Row],[spawner_sku]])),Table1[Entity Prefab],0)),10,1,1,"Entities"))</f>
        <v>143</v>
      </c>
      <c r="CQ310">
        <f ca="1">ROUND((Table11[[#This Row],[XP]]*Table11[[#This Row],[entity_spawned (AVG)]])*(Table11[[#This Row],[activating_chance]]/100),0)</f>
        <v>143</v>
      </c>
      <c r="CR310" s="144" t="str">
        <f ca="1">INDIRECT(ADDRESS(11+(MATCH(RIGHT(Table11[[#This Row],[spawner_sku]],LEN(Table11[[#This Row],[spawner_sku]])-FIND("/",Table11[[#This Row],[spawner_sku]])),Table28[Entity Prefab],0)),25,1,1,"Entities"))</f>
        <v>yes</v>
      </c>
      <c r="CS310" s="71">
        <v>1</v>
      </c>
      <c r="CT310" s="71">
        <v>1</v>
      </c>
      <c r="CU310" s="71" t="b">
        <v>0</v>
      </c>
      <c r="DH310" t="s">
        <v>366</v>
      </c>
      <c r="DI310">
        <v>2.5</v>
      </c>
      <c r="DJ310">
        <v>100</v>
      </c>
      <c r="DK310">
        <v>80</v>
      </c>
      <c r="DL310" s="74">
        <f ca="1">INDIRECT(ADDRESS(11+(MATCH(RIGHT(Table13[[#This Row],[spawner_sku]],LEN(Table13[[#This Row],[spawner_sku]])-FIND("/",Table13[[#This Row],[spawner_sku]])),Table1[Entity Prefab],0)),10,1,1,"Entities"))</f>
        <v>25</v>
      </c>
      <c r="DM310" s="74">
        <f ca="1">ROUND((Table13[[#This Row],[XP]]*Table13[[#This Row],[entity_spawned (AVG)]])*(Table13[[#This Row],[activating_chance]]/100),0)</f>
        <v>50</v>
      </c>
      <c r="DN310" s="144" t="str">
        <f ca="1">INDIRECT(ADDRESS(11+(MATCH(RIGHT(Table13[[#This Row],[spawner_sku]],LEN(Table13[[#This Row],[spawner_sku]])-FIND("/",Table13[[#This Row],[spawner_sku]])),Table28[Entity Prefab],0)),25,1,1,"Entities"))</f>
        <v>no</v>
      </c>
      <c r="DO310" s="71">
        <v>2</v>
      </c>
      <c r="DP310" s="71">
        <v>3</v>
      </c>
      <c r="DQ310" s="71" t="b">
        <v>0</v>
      </c>
      <c r="DS310" t="s">
        <v>367</v>
      </c>
      <c r="DT310">
        <v>1.5</v>
      </c>
      <c r="DU310">
        <v>150</v>
      </c>
      <c r="DV310">
        <v>100</v>
      </c>
      <c r="DW310" s="74">
        <f ca="1">INDIRECT(ADDRESS(11+(MATCH(RIGHT(Table14[[#This Row],[spawner_sku]],LEN(Table14[[#This Row],[spawner_sku]])-FIND("/",Table14[[#This Row],[spawner_sku]])),Table1[Entity Prefab],0)),10,1,1,"Entities"))</f>
        <v>75</v>
      </c>
      <c r="DX310" s="74">
        <f ca="1">ROUND((Table14[[#This Row],[XP]]*Table14[[#This Row],[entity_spawned (AVG)]])*(Table14[[#This Row],[activating_chance]]/100),0)</f>
        <v>113</v>
      </c>
      <c r="DY310" s="144" t="str">
        <f ca="1">INDIRECT(ADDRESS(11+(MATCH(RIGHT(Table14[[#This Row],[spawner_sku]],LEN(Table14[[#This Row],[spawner_sku]])-FIND("/",Table14[[#This Row],[spawner_sku]])),Table28[Entity Prefab],0)),25,1,1,"Entities"))</f>
        <v>no</v>
      </c>
      <c r="DZ310" s="71">
        <v>1</v>
      </c>
      <c r="EA310" s="71">
        <v>2</v>
      </c>
      <c r="EB310" s="71" t="b">
        <v>0</v>
      </c>
      <c r="EC310" s="71"/>
      <c r="EO310" t="s">
        <v>240</v>
      </c>
      <c r="EP310">
        <v>1</v>
      </c>
      <c r="EQ310">
        <v>150</v>
      </c>
      <c r="ER310">
        <v>100</v>
      </c>
      <c r="ES310" s="74">
        <f ca="1">INDIRECT(ADDRESS(11+(MATCH(RIGHT(Table18[[#This Row],[spawner_sku]],LEN(Table18[[#This Row],[spawner_sku]])-FIND("/",Table18[[#This Row],[spawner_sku]])),Table1[Entity Prefab],0)),10,1,1,"Entities"))</f>
        <v>70</v>
      </c>
      <c r="ET310" s="74">
        <f ca="1">ROUND((Table18[[#This Row],[XP]]*Table18[[#This Row],[entity_spawned (AVG)]])*(Table18[[#This Row],[activating_chance]]/100),0)</f>
        <v>70</v>
      </c>
      <c r="EU310" s="74" t="str">
        <f ca="1">INDIRECT(ADDRESS(11+(MATCH(RIGHT(Table18[[#This Row],[spawner_sku]],LEN(Table18[[#This Row],[spawner_sku]])-FIND("/",Table18[[#This Row],[spawner_sku]])),Table28[Entity Prefab],0)),26,1,1,"Entities"))</f>
        <v>yes</v>
      </c>
      <c r="EV310">
        <v>1</v>
      </c>
      <c r="EW310">
        <v>1</v>
      </c>
      <c r="EX310" t="b">
        <v>0</v>
      </c>
    </row>
    <row r="311" spans="2:154" x14ac:dyDescent="0.25">
      <c r="B311" s="72" t="s">
        <v>227</v>
      </c>
      <c r="C311">
        <v>1</v>
      </c>
      <c r="D311">
        <v>2000</v>
      </c>
      <c r="E311">
        <v>100</v>
      </c>
      <c r="F311" s="74">
        <f ca="1">INDIRECT(ADDRESS(11+(MATCH(RIGHT(Table245[[#This Row],[spawner_sku]],LEN(Table245[[#This Row],[spawner_sku]])-FIND("/",Table245[[#This Row],[spawner_sku]])),Table1[Entity Prefab],0)),10,1,1,"Entities"))</f>
        <v>175</v>
      </c>
      <c r="G311" s="74">
        <f ca="1">ROUND((Table245[[#This Row],[XP]]*Table245[[#This Row],[entity_spawned (AVG)]])*(Table245[[#This Row],[activating_chance]]/100),0)</f>
        <v>175</v>
      </c>
      <c r="H311" s="71" t="str">
        <f ca="1">INDIRECT(ADDRESS(11+(MATCH(RIGHT(Table245[[#This Row],[spawner_sku]],LEN(Table245[[#This Row],[spawner_sku]])-FIND("/",Table245[[#This Row],[spawner_sku]])),Table28[Entity Prefab],0)),24,1,1,"Entities"))</f>
        <v>yes</v>
      </c>
      <c r="I311" s="71">
        <v>1</v>
      </c>
      <c r="J311" s="71">
        <v>1</v>
      </c>
      <c r="K311" s="71" t="b">
        <v>0</v>
      </c>
      <c r="AI311" t="s">
        <v>367</v>
      </c>
      <c r="AJ311">
        <v>1</v>
      </c>
      <c r="AK311">
        <v>220</v>
      </c>
      <c r="AL311">
        <v>80</v>
      </c>
      <c r="AM311" s="74">
        <f ca="1">INDIRECT(ADDRESS(11+(MATCH(RIGHT(Table2[[#This Row],[spawner_sku]],LEN(Table2[[#This Row],[spawner_sku]])-FIND("/",Table2[[#This Row],[spawner_sku]])),Table1[Entity Prefab],0)),10,1,1,"Entities"))</f>
        <v>75</v>
      </c>
      <c r="AN311" s="74">
        <f ca="1">ROUND((Table2[[#This Row],[XP]]*Table2[[#This Row],[entity_spawned (AVG)]])*(Table2[[#This Row],[activating_chance]]/100),0)</f>
        <v>60</v>
      </c>
      <c r="AO311" s="71" t="str">
        <f ca="1">INDIRECT(ADDRESS(11+(MATCH(RIGHT(Table2[[#This Row],[spawner_sku]],LEN(Table2[[#This Row],[spawner_sku]])-FIND("/",Table2[[#This Row],[spawner_sku]])),Table28[Entity Prefab],0)),24,1,1,"Entities"))</f>
        <v>no</v>
      </c>
      <c r="AP311" s="71">
        <v>1</v>
      </c>
      <c r="AQ311" s="71">
        <v>1</v>
      </c>
      <c r="AR311" s="71" t="b">
        <v>0</v>
      </c>
      <c r="BP311" t="s">
        <v>234</v>
      </c>
      <c r="BQ311">
        <v>1</v>
      </c>
      <c r="BR311">
        <v>420</v>
      </c>
      <c r="BS311">
        <v>100</v>
      </c>
      <c r="BT311" s="74">
        <f ca="1">INDIRECT(ADDRESS(11+(MATCH(RIGHT(Table61011[[#This Row],[spawner_sku]],LEN(Table61011[[#This Row],[spawner_sku]])-FIND("/",Table61011[[#This Row],[spawner_sku]])),Table1[Entity Prefab],0)),10,1,1,"Entities"))</f>
        <v>83</v>
      </c>
      <c r="BU311" s="74">
        <f ca="1">ROUND((Table61011[[#This Row],[XP]]*Table61011[[#This Row],[entity_spawned (AVG)]])*(Table61011[[#This Row],[activating_chance]]/100),0)</f>
        <v>83</v>
      </c>
      <c r="BV311" s="71" t="str">
        <f ca="1">INDIRECT(ADDRESS(11+(MATCH(RIGHT(Table61011[[#This Row],[spawner_sku]],LEN(Table61011[[#This Row],[spawner_sku]])-FIND("/",Table61011[[#This Row],[spawner_sku]])),Table28[Entity Prefab],0)),24,1,1,"Entities"))</f>
        <v>yes</v>
      </c>
      <c r="BW311" s="71">
        <v>1</v>
      </c>
      <c r="BX311" s="71">
        <v>1</v>
      </c>
      <c r="BY311" s="71" t="b">
        <v>0</v>
      </c>
      <c r="BZ311" s="71"/>
      <c r="CA311" s="147" t="s">
        <v>3816</v>
      </c>
      <c r="CB311">
        <v>1</v>
      </c>
      <c r="CC311">
        <v>240</v>
      </c>
      <c r="CD311">
        <v>100</v>
      </c>
      <c r="CE311" s="74">
        <f ca="1">INDIRECT(ADDRESS(11+(MATCH(RIGHT(Table35[[#This Row],[spawner_sku]],LEN(Table35[[#This Row],[spawner_sku]])-FIND("/",Table35[[#This Row],[spawner_sku]])),Table1[Entity Prefab],0)),10,1,1,"Entities"))</f>
        <v>50</v>
      </c>
      <c r="CF311" s="74">
        <f ca="1">ROUND((Table35[[#This Row],[XP]]*Table35[[#This Row],[entity_spawned (AVG)]])*(Table35[[#This Row],[activating_chance]]/100),0)</f>
        <v>50</v>
      </c>
      <c r="CG311" s="144" t="str">
        <f ca="1">INDIRECT(ADDRESS(11+(MATCH(RIGHT(Table35[[#This Row],[spawner_sku]],LEN(Table35[[#This Row],[spawner_sku]])-FIND("/",Table35[[#This Row],[spawner_sku]])),Table28[Entity Prefab],0)),24,1,1,"Entities"))</f>
        <v>no</v>
      </c>
      <c r="CH311">
        <v>1</v>
      </c>
      <c r="CI311">
        <v>1</v>
      </c>
      <c r="CJ311" s="71" t="b">
        <v>0</v>
      </c>
      <c r="CL311" t="s">
        <v>449</v>
      </c>
      <c r="CM311">
        <v>1</v>
      </c>
      <c r="CN311">
        <v>300</v>
      </c>
      <c r="CO311">
        <v>100</v>
      </c>
      <c r="CP311" s="74">
        <f ca="1">INDIRECT(ADDRESS(11+(MATCH(RIGHT(Table11[[#This Row],[spawner_sku]],LEN(Table11[[#This Row],[spawner_sku]])-FIND("/",Table11[[#This Row],[spawner_sku]])),Table1[Entity Prefab],0)),10,1,1,"Entities"))</f>
        <v>130</v>
      </c>
      <c r="CQ311">
        <f ca="1">ROUND((Table11[[#This Row],[XP]]*Table11[[#This Row],[entity_spawned (AVG)]])*(Table11[[#This Row],[activating_chance]]/100),0)</f>
        <v>130</v>
      </c>
      <c r="CR311" s="144" t="str">
        <f ca="1">INDIRECT(ADDRESS(11+(MATCH(RIGHT(Table11[[#This Row],[spawner_sku]],LEN(Table11[[#This Row],[spawner_sku]])-FIND("/",Table11[[#This Row],[spawner_sku]])),Table28[Entity Prefab],0)),25,1,1,"Entities"))</f>
        <v>yes</v>
      </c>
      <c r="CS311" s="71">
        <v>1</v>
      </c>
      <c r="CT311" s="71">
        <v>1</v>
      </c>
      <c r="CU311" s="71" t="b">
        <v>0</v>
      </c>
      <c r="DH311" t="s">
        <v>366</v>
      </c>
      <c r="DI311">
        <v>3.5</v>
      </c>
      <c r="DJ311">
        <v>100</v>
      </c>
      <c r="DK311">
        <v>70</v>
      </c>
      <c r="DL311" s="74">
        <f ca="1">INDIRECT(ADDRESS(11+(MATCH(RIGHT(Table13[[#This Row],[spawner_sku]],LEN(Table13[[#This Row],[spawner_sku]])-FIND("/",Table13[[#This Row],[spawner_sku]])),Table1[Entity Prefab],0)),10,1,1,"Entities"))</f>
        <v>25</v>
      </c>
      <c r="DM311" s="74">
        <f ca="1">ROUND((Table13[[#This Row],[XP]]*Table13[[#This Row],[entity_spawned (AVG)]])*(Table13[[#This Row],[activating_chance]]/100),0)</f>
        <v>61</v>
      </c>
      <c r="DN311" s="144" t="str">
        <f ca="1">INDIRECT(ADDRESS(11+(MATCH(RIGHT(Table13[[#This Row],[spawner_sku]],LEN(Table13[[#This Row],[spawner_sku]])-FIND("/",Table13[[#This Row],[spawner_sku]])),Table28[Entity Prefab],0)),25,1,1,"Entities"))</f>
        <v>no</v>
      </c>
      <c r="DO311" s="71">
        <v>3</v>
      </c>
      <c r="DP311" s="71">
        <v>4</v>
      </c>
      <c r="DQ311" s="71" t="b">
        <v>0</v>
      </c>
      <c r="DS311" t="s">
        <v>367</v>
      </c>
      <c r="DT311">
        <v>1.5</v>
      </c>
      <c r="DU311">
        <v>150</v>
      </c>
      <c r="DV311">
        <v>100</v>
      </c>
      <c r="DW311" s="74">
        <f ca="1">INDIRECT(ADDRESS(11+(MATCH(RIGHT(Table14[[#This Row],[spawner_sku]],LEN(Table14[[#This Row],[spawner_sku]])-FIND("/",Table14[[#This Row],[spawner_sku]])),Table1[Entity Prefab],0)),10,1,1,"Entities"))</f>
        <v>75</v>
      </c>
      <c r="DX311" s="74">
        <f ca="1">ROUND((Table14[[#This Row],[XP]]*Table14[[#This Row],[entity_spawned (AVG)]])*(Table14[[#This Row],[activating_chance]]/100),0)</f>
        <v>113</v>
      </c>
      <c r="DY311" s="144" t="str">
        <f ca="1">INDIRECT(ADDRESS(11+(MATCH(RIGHT(Table14[[#This Row],[spawner_sku]],LEN(Table14[[#This Row],[spawner_sku]])-FIND("/",Table14[[#This Row],[spawner_sku]])),Table28[Entity Prefab],0)),25,1,1,"Entities"))</f>
        <v>no</v>
      </c>
      <c r="DZ311" s="71">
        <v>1</v>
      </c>
      <c r="EA311" s="71">
        <v>2</v>
      </c>
      <c r="EB311" s="71" t="b">
        <v>0</v>
      </c>
      <c r="EC311" s="71"/>
      <c r="EO311" t="s">
        <v>241</v>
      </c>
      <c r="EP311">
        <v>2</v>
      </c>
      <c r="EQ311">
        <v>140</v>
      </c>
      <c r="ER311">
        <v>100</v>
      </c>
      <c r="ES311" s="74">
        <f ca="1">INDIRECT(ADDRESS(11+(MATCH(RIGHT(Table18[[#This Row],[spawner_sku]],LEN(Table18[[#This Row],[spawner_sku]])-FIND("/",Table18[[#This Row],[spawner_sku]])),Table1[Entity Prefab],0)),10,1,1,"Entities"))</f>
        <v>70</v>
      </c>
      <c r="ET311" s="74">
        <f ca="1">ROUND((Table18[[#This Row],[XP]]*Table18[[#This Row],[entity_spawned (AVG)]])*(Table18[[#This Row],[activating_chance]]/100),0)</f>
        <v>140</v>
      </c>
      <c r="EU311" s="74" t="str">
        <f ca="1">INDIRECT(ADDRESS(11+(MATCH(RIGHT(Table18[[#This Row],[spawner_sku]],LEN(Table18[[#This Row],[spawner_sku]])-FIND("/",Table18[[#This Row],[spawner_sku]])),Table28[Entity Prefab],0)),26,1,1,"Entities"))</f>
        <v>yes</v>
      </c>
      <c r="EV311">
        <v>2</v>
      </c>
      <c r="EW311">
        <v>2</v>
      </c>
      <c r="EX311" t="b">
        <v>0</v>
      </c>
    </row>
    <row r="312" spans="2:154" x14ac:dyDescent="0.25">
      <c r="B312" s="72" t="s">
        <v>227</v>
      </c>
      <c r="C312">
        <v>1</v>
      </c>
      <c r="D312">
        <v>2000</v>
      </c>
      <c r="E312">
        <v>100</v>
      </c>
      <c r="F312" s="74">
        <f ca="1">INDIRECT(ADDRESS(11+(MATCH(RIGHT(Table245[[#This Row],[spawner_sku]],LEN(Table245[[#This Row],[spawner_sku]])-FIND("/",Table245[[#This Row],[spawner_sku]])),Table1[Entity Prefab],0)),10,1,1,"Entities"))</f>
        <v>175</v>
      </c>
      <c r="G312" s="74">
        <f ca="1">ROUND((Table245[[#This Row],[XP]]*Table245[[#This Row],[entity_spawned (AVG)]])*(Table245[[#This Row],[activating_chance]]/100),0)</f>
        <v>175</v>
      </c>
      <c r="H312" s="71" t="str">
        <f ca="1">INDIRECT(ADDRESS(11+(MATCH(RIGHT(Table245[[#This Row],[spawner_sku]],LEN(Table245[[#This Row],[spawner_sku]])-FIND("/",Table245[[#This Row],[spawner_sku]])),Table28[Entity Prefab],0)),24,1,1,"Entities"))</f>
        <v>yes</v>
      </c>
      <c r="I312" s="71">
        <v>1</v>
      </c>
      <c r="J312" s="71">
        <v>1</v>
      </c>
      <c r="K312" s="71" t="b">
        <v>0</v>
      </c>
      <c r="AI312" t="s">
        <v>367</v>
      </c>
      <c r="AJ312">
        <v>1</v>
      </c>
      <c r="AK312">
        <v>200</v>
      </c>
      <c r="AL312">
        <v>80</v>
      </c>
      <c r="AM312" s="74">
        <f ca="1">INDIRECT(ADDRESS(11+(MATCH(RIGHT(Table2[[#This Row],[spawner_sku]],LEN(Table2[[#This Row],[spawner_sku]])-FIND("/",Table2[[#This Row],[spawner_sku]])),Table1[Entity Prefab],0)),10,1,1,"Entities"))</f>
        <v>75</v>
      </c>
      <c r="AN312" s="74">
        <f ca="1">ROUND((Table2[[#This Row],[XP]]*Table2[[#This Row],[entity_spawned (AVG)]])*(Table2[[#This Row],[activating_chance]]/100),0)</f>
        <v>60</v>
      </c>
      <c r="AO312" s="71" t="str">
        <f ca="1">INDIRECT(ADDRESS(11+(MATCH(RIGHT(Table2[[#This Row],[spawner_sku]],LEN(Table2[[#This Row],[spawner_sku]])-FIND("/",Table2[[#This Row],[spawner_sku]])),Table28[Entity Prefab],0)),24,1,1,"Entities"))</f>
        <v>no</v>
      </c>
      <c r="AP312" s="71">
        <v>1</v>
      </c>
      <c r="AQ312" s="71">
        <v>1</v>
      </c>
      <c r="AR312" s="71" t="b">
        <v>0</v>
      </c>
      <c r="BP312" t="s">
        <v>234</v>
      </c>
      <c r="BQ312">
        <v>1</v>
      </c>
      <c r="BR312">
        <v>420</v>
      </c>
      <c r="BS312">
        <v>100</v>
      </c>
      <c r="BT312" s="74">
        <f ca="1">INDIRECT(ADDRESS(11+(MATCH(RIGHT(Table61011[[#This Row],[spawner_sku]],LEN(Table61011[[#This Row],[spawner_sku]])-FIND("/",Table61011[[#This Row],[spawner_sku]])),Table1[Entity Prefab],0)),10,1,1,"Entities"))</f>
        <v>83</v>
      </c>
      <c r="BU312" s="74">
        <f ca="1">ROUND((Table61011[[#This Row],[XP]]*Table61011[[#This Row],[entity_spawned (AVG)]])*(Table61011[[#This Row],[activating_chance]]/100),0)</f>
        <v>83</v>
      </c>
      <c r="BV312" s="71" t="str">
        <f ca="1">INDIRECT(ADDRESS(11+(MATCH(RIGHT(Table61011[[#This Row],[spawner_sku]],LEN(Table61011[[#This Row],[spawner_sku]])-FIND("/",Table61011[[#This Row],[spawner_sku]])),Table28[Entity Prefab],0)),24,1,1,"Entities"))</f>
        <v>yes</v>
      </c>
      <c r="BW312" s="71">
        <v>1</v>
      </c>
      <c r="BX312" s="71">
        <v>1</v>
      </c>
      <c r="BY312" s="71" t="b">
        <v>0</v>
      </c>
      <c r="BZ312" s="71"/>
      <c r="CA312" s="147" t="s">
        <v>3816</v>
      </c>
      <c r="CB312">
        <v>1</v>
      </c>
      <c r="CC312">
        <v>240</v>
      </c>
      <c r="CD312">
        <v>100</v>
      </c>
      <c r="CE312" s="74">
        <f ca="1">INDIRECT(ADDRESS(11+(MATCH(RIGHT(Table35[[#This Row],[spawner_sku]],LEN(Table35[[#This Row],[spawner_sku]])-FIND("/",Table35[[#This Row],[spawner_sku]])),Table1[Entity Prefab],0)),10,1,1,"Entities"))</f>
        <v>50</v>
      </c>
      <c r="CF312" s="74">
        <f ca="1">ROUND((Table35[[#This Row],[XP]]*Table35[[#This Row],[entity_spawned (AVG)]])*(Table35[[#This Row],[activating_chance]]/100),0)</f>
        <v>50</v>
      </c>
      <c r="CG312" s="144" t="str">
        <f ca="1">INDIRECT(ADDRESS(11+(MATCH(RIGHT(Table35[[#This Row],[spawner_sku]],LEN(Table35[[#This Row],[spawner_sku]])-FIND("/",Table35[[#This Row],[spawner_sku]])),Table28[Entity Prefab],0)),24,1,1,"Entities"))</f>
        <v>no</v>
      </c>
      <c r="CH312">
        <v>1</v>
      </c>
      <c r="CI312">
        <v>1</v>
      </c>
      <c r="CJ312" s="71" t="b">
        <v>0</v>
      </c>
      <c r="CL312" t="s">
        <v>449</v>
      </c>
      <c r="CM312">
        <v>1</v>
      </c>
      <c r="CN312">
        <v>300</v>
      </c>
      <c r="CO312">
        <v>100</v>
      </c>
      <c r="CP312" s="74">
        <f ca="1">INDIRECT(ADDRESS(11+(MATCH(RIGHT(Table11[[#This Row],[spawner_sku]],LEN(Table11[[#This Row],[spawner_sku]])-FIND("/",Table11[[#This Row],[spawner_sku]])),Table1[Entity Prefab],0)),10,1,1,"Entities"))</f>
        <v>130</v>
      </c>
      <c r="CQ312">
        <f ca="1">ROUND((Table11[[#This Row],[XP]]*Table11[[#This Row],[entity_spawned (AVG)]])*(Table11[[#This Row],[activating_chance]]/100),0)</f>
        <v>130</v>
      </c>
      <c r="CR312" s="144" t="str">
        <f ca="1">INDIRECT(ADDRESS(11+(MATCH(RIGHT(Table11[[#This Row],[spawner_sku]],LEN(Table11[[#This Row],[spawner_sku]])-FIND("/",Table11[[#This Row],[spawner_sku]])),Table28[Entity Prefab],0)),25,1,1,"Entities"))</f>
        <v>yes</v>
      </c>
      <c r="CS312" s="71">
        <v>1</v>
      </c>
      <c r="CT312" s="71">
        <v>1</v>
      </c>
      <c r="CU312" s="71" t="b">
        <v>0</v>
      </c>
      <c r="DH312" t="s">
        <v>366</v>
      </c>
      <c r="DI312">
        <v>2.5</v>
      </c>
      <c r="DJ312">
        <v>100</v>
      </c>
      <c r="DK312">
        <v>80</v>
      </c>
      <c r="DL312" s="74">
        <f ca="1">INDIRECT(ADDRESS(11+(MATCH(RIGHT(Table13[[#This Row],[spawner_sku]],LEN(Table13[[#This Row],[spawner_sku]])-FIND("/",Table13[[#This Row],[spawner_sku]])),Table1[Entity Prefab],0)),10,1,1,"Entities"))</f>
        <v>25</v>
      </c>
      <c r="DM312" s="74">
        <f ca="1">ROUND((Table13[[#This Row],[XP]]*Table13[[#This Row],[entity_spawned (AVG)]])*(Table13[[#This Row],[activating_chance]]/100),0)</f>
        <v>50</v>
      </c>
      <c r="DN312" s="144" t="str">
        <f ca="1">INDIRECT(ADDRESS(11+(MATCH(RIGHT(Table13[[#This Row],[spawner_sku]],LEN(Table13[[#This Row],[spawner_sku]])-FIND("/",Table13[[#This Row],[spawner_sku]])),Table28[Entity Prefab],0)),25,1,1,"Entities"))</f>
        <v>no</v>
      </c>
      <c r="DO312" s="71">
        <v>2</v>
      </c>
      <c r="DP312" s="71">
        <v>3</v>
      </c>
      <c r="DQ312" s="71" t="b">
        <v>0</v>
      </c>
      <c r="DS312" t="s">
        <v>367</v>
      </c>
      <c r="DT312">
        <v>1</v>
      </c>
      <c r="DU312">
        <v>120</v>
      </c>
      <c r="DV312">
        <v>100</v>
      </c>
      <c r="DW312" s="74">
        <f ca="1">INDIRECT(ADDRESS(11+(MATCH(RIGHT(Table14[[#This Row],[spawner_sku]],LEN(Table14[[#This Row],[spawner_sku]])-FIND("/",Table14[[#This Row],[spawner_sku]])),Table1[Entity Prefab],0)),10,1,1,"Entities"))</f>
        <v>75</v>
      </c>
      <c r="DX312" s="74">
        <f ca="1">ROUND((Table14[[#This Row],[XP]]*Table14[[#This Row],[entity_spawned (AVG)]])*(Table14[[#This Row],[activating_chance]]/100),0)</f>
        <v>75</v>
      </c>
      <c r="DY312" s="144" t="str">
        <f ca="1">INDIRECT(ADDRESS(11+(MATCH(RIGHT(Table14[[#This Row],[spawner_sku]],LEN(Table14[[#This Row],[spawner_sku]])-FIND("/",Table14[[#This Row],[spawner_sku]])),Table28[Entity Prefab],0)),25,1,1,"Entities"))</f>
        <v>no</v>
      </c>
      <c r="DZ312" s="71">
        <v>1</v>
      </c>
      <c r="EA312" s="71">
        <v>1</v>
      </c>
      <c r="EB312" s="71" t="b">
        <v>0</v>
      </c>
      <c r="EC312" s="71"/>
      <c r="EO312" t="s">
        <v>241</v>
      </c>
      <c r="EP312">
        <v>2</v>
      </c>
      <c r="EQ312">
        <v>120</v>
      </c>
      <c r="ER312">
        <v>100</v>
      </c>
      <c r="ES312" s="74">
        <f ca="1">INDIRECT(ADDRESS(11+(MATCH(RIGHT(Table18[[#This Row],[spawner_sku]],LEN(Table18[[#This Row],[spawner_sku]])-FIND("/",Table18[[#This Row],[spawner_sku]])),Table1[Entity Prefab],0)),10,1,1,"Entities"))</f>
        <v>70</v>
      </c>
      <c r="ET312" s="74">
        <f ca="1">ROUND((Table18[[#This Row],[XP]]*Table18[[#This Row],[entity_spawned (AVG)]])*(Table18[[#This Row],[activating_chance]]/100),0)</f>
        <v>140</v>
      </c>
      <c r="EU312" s="74" t="str">
        <f ca="1">INDIRECT(ADDRESS(11+(MATCH(RIGHT(Table18[[#This Row],[spawner_sku]],LEN(Table18[[#This Row],[spawner_sku]])-FIND("/",Table18[[#This Row],[spawner_sku]])),Table28[Entity Prefab],0)),26,1,1,"Entities"))</f>
        <v>yes</v>
      </c>
      <c r="EV312">
        <v>2</v>
      </c>
      <c r="EW312">
        <v>2</v>
      </c>
      <c r="EX312" t="b">
        <v>0</v>
      </c>
    </row>
    <row r="313" spans="2:154" x14ac:dyDescent="0.25">
      <c r="B313" s="72" t="s">
        <v>227</v>
      </c>
      <c r="C313">
        <v>1</v>
      </c>
      <c r="D313">
        <v>2000</v>
      </c>
      <c r="E313">
        <v>100</v>
      </c>
      <c r="F313" s="74">
        <f ca="1">INDIRECT(ADDRESS(11+(MATCH(RIGHT(Table245[[#This Row],[spawner_sku]],LEN(Table245[[#This Row],[spawner_sku]])-FIND("/",Table245[[#This Row],[spawner_sku]])),Table1[Entity Prefab],0)),10,1,1,"Entities"))</f>
        <v>175</v>
      </c>
      <c r="G313" s="74">
        <f ca="1">ROUND((Table245[[#This Row],[XP]]*Table245[[#This Row],[entity_spawned (AVG)]])*(Table245[[#This Row],[activating_chance]]/100),0)</f>
        <v>175</v>
      </c>
      <c r="H313" s="71" t="str">
        <f ca="1">INDIRECT(ADDRESS(11+(MATCH(RIGHT(Table245[[#This Row],[spawner_sku]],LEN(Table245[[#This Row],[spawner_sku]])-FIND("/",Table245[[#This Row],[spawner_sku]])),Table28[Entity Prefab],0)),24,1,1,"Entities"))</f>
        <v>yes</v>
      </c>
      <c r="I313" s="71">
        <v>1</v>
      </c>
      <c r="J313" s="71">
        <v>1</v>
      </c>
      <c r="K313" s="71" t="b">
        <v>0</v>
      </c>
      <c r="AI313" t="s">
        <v>367</v>
      </c>
      <c r="AJ313">
        <v>1</v>
      </c>
      <c r="AK313">
        <v>200</v>
      </c>
      <c r="AL313">
        <v>100</v>
      </c>
      <c r="AM313" s="74">
        <f ca="1">INDIRECT(ADDRESS(11+(MATCH(RIGHT(Table2[[#This Row],[spawner_sku]],LEN(Table2[[#This Row],[spawner_sku]])-FIND("/",Table2[[#This Row],[spawner_sku]])),Table1[Entity Prefab],0)),10,1,1,"Entities"))</f>
        <v>75</v>
      </c>
      <c r="AN313" s="74">
        <f ca="1">ROUND((Table2[[#This Row],[XP]]*Table2[[#This Row],[entity_spawned (AVG)]])*(Table2[[#This Row],[activating_chance]]/100),0)</f>
        <v>75</v>
      </c>
      <c r="AO313" s="71" t="str">
        <f ca="1">INDIRECT(ADDRESS(11+(MATCH(RIGHT(Table2[[#This Row],[spawner_sku]],LEN(Table2[[#This Row],[spawner_sku]])-FIND("/",Table2[[#This Row],[spawner_sku]])),Table28[Entity Prefab],0)),24,1,1,"Entities"))</f>
        <v>no</v>
      </c>
      <c r="AP313" s="71">
        <v>1</v>
      </c>
      <c r="AQ313" s="71">
        <v>1</v>
      </c>
      <c r="AR313" s="71" t="b">
        <v>0</v>
      </c>
      <c r="BP313" t="s">
        <v>234</v>
      </c>
      <c r="BQ313">
        <v>1</v>
      </c>
      <c r="BR313">
        <v>420</v>
      </c>
      <c r="BS313">
        <v>100</v>
      </c>
      <c r="BT313" s="74">
        <f ca="1">INDIRECT(ADDRESS(11+(MATCH(RIGHT(Table61011[[#This Row],[spawner_sku]],LEN(Table61011[[#This Row],[spawner_sku]])-FIND("/",Table61011[[#This Row],[spawner_sku]])),Table1[Entity Prefab],0)),10,1,1,"Entities"))</f>
        <v>83</v>
      </c>
      <c r="BU313" s="74">
        <f ca="1">ROUND((Table61011[[#This Row],[XP]]*Table61011[[#This Row],[entity_spawned (AVG)]])*(Table61011[[#This Row],[activating_chance]]/100),0)</f>
        <v>83</v>
      </c>
      <c r="BV313" s="71" t="str">
        <f ca="1">INDIRECT(ADDRESS(11+(MATCH(RIGHT(Table61011[[#This Row],[spawner_sku]],LEN(Table61011[[#This Row],[spawner_sku]])-FIND("/",Table61011[[#This Row],[spawner_sku]])),Table28[Entity Prefab],0)),24,1,1,"Entities"))</f>
        <v>yes</v>
      </c>
      <c r="BW313" s="71">
        <v>1</v>
      </c>
      <c r="BX313" s="71">
        <v>1</v>
      </c>
      <c r="BY313" s="71" t="b">
        <v>0</v>
      </c>
      <c r="BZ313" s="71"/>
      <c r="CA313" s="147" t="s">
        <v>3816</v>
      </c>
      <c r="CB313">
        <v>1</v>
      </c>
      <c r="CC313">
        <v>240</v>
      </c>
      <c r="CD313">
        <v>100</v>
      </c>
      <c r="CE313" s="74">
        <f ca="1">INDIRECT(ADDRESS(11+(MATCH(RIGHT(Table35[[#This Row],[spawner_sku]],LEN(Table35[[#This Row],[spawner_sku]])-FIND("/",Table35[[#This Row],[spawner_sku]])),Table1[Entity Prefab],0)),10,1,1,"Entities"))</f>
        <v>50</v>
      </c>
      <c r="CF313" s="74">
        <f ca="1">ROUND((Table35[[#This Row],[XP]]*Table35[[#This Row],[entity_spawned (AVG)]])*(Table35[[#This Row],[activating_chance]]/100),0)</f>
        <v>50</v>
      </c>
      <c r="CG313" s="144" t="str">
        <f ca="1">INDIRECT(ADDRESS(11+(MATCH(RIGHT(Table35[[#This Row],[spawner_sku]],LEN(Table35[[#This Row],[spawner_sku]])-FIND("/",Table35[[#This Row],[spawner_sku]])),Table28[Entity Prefab],0)),24,1,1,"Entities"))</f>
        <v>no</v>
      </c>
      <c r="CH313">
        <v>1</v>
      </c>
      <c r="CI313">
        <v>1</v>
      </c>
      <c r="CJ313" s="71" t="b">
        <v>0</v>
      </c>
      <c r="CL313" t="s">
        <v>449</v>
      </c>
      <c r="CM313">
        <v>1</v>
      </c>
      <c r="CN313">
        <v>300</v>
      </c>
      <c r="CO313">
        <v>100</v>
      </c>
      <c r="CP313" s="74">
        <f ca="1">INDIRECT(ADDRESS(11+(MATCH(RIGHT(Table11[[#This Row],[spawner_sku]],LEN(Table11[[#This Row],[spawner_sku]])-FIND("/",Table11[[#This Row],[spawner_sku]])),Table1[Entity Prefab],0)),10,1,1,"Entities"))</f>
        <v>130</v>
      </c>
      <c r="CQ313">
        <f ca="1">ROUND((Table11[[#This Row],[XP]]*Table11[[#This Row],[entity_spawned (AVG)]])*(Table11[[#This Row],[activating_chance]]/100),0)</f>
        <v>130</v>
      </c>
      <c r="CR313" s="144" t="str">
        <f ca="1">INDIRECT(ADDRESS(11+(MATCH(RIGHT(Table11[[#This Row],[spawner_sku]],LEN(Table11[[#This Row],[spawner_sku]])-FIND("/",Table11[[#This Row],[spawner_sku]])),Table28[Entity Prefab],0)),25,1,1,"Entities"))</f>
        <v>yes</v>
      </c>
      <c r="CS313" s="71">
        <v>1</v>
      </c>
      <c r="CT313" s="71">
        <v>1</v>
      </c>
      <c r="CU313" s="71" t="b">
        <v>0</v>
      </c>
      <c r="DH313" t="s">
        <v>366</v>
      </c>
      <c r="DI313">
        <v>1.5</v>
      </c>
      <c r="DJ313">
        <v>100</v>
      </c>
      <c r="DK313">
        <v>20</v>
      </c>
      <c r="DL313" s="74">
        <f ca="1">INDIRECT(ADDRESS(11+(MATCH(RIGHT(Table13[[#This Row],[spawner_sku]],LEN(Table13[[#This Row],[spawner_sku]])-FIND("/",Table13[[#This Row],[spawner_sku]])),Table1[Entity Prefab],0)),10,1,1,"Entities"))</f>
        <v>25</v>
      </c>
      <c r="DM313" s="74">
        <f ca="1">ROUND((Table13[[#This Row],[XP]]*Table13[[#This Row],[entity_spawned (AVG)]])*(Table13[[#This Row],[activating_chance]]/100),0)</f>
        <v>8</v>
      </c>
      <c r="DN313" s="144" t="str">
        <f ca="1">INDIRECT(ADDRESS(11+(MATCH(RIGHT(Table13[[#This Row],[spawner_sku]],LEN(Table13[[#This Row],[spawner_sku]])-FIND("/",Table13[[#This Row],[spawner_sku]])),Table28[Entity Prefab],0)),25,1,1,"Entities"))</f>
        <v>no</v>
      </c>
      <c r="DO313" s="71">
        <v>1</v>
      </c>
      <c r="DP313" s="71">
        <v>2</v>
      </c>
      <c r="DQ313" s="71" t="b">
        <v>0</v>
      </c>
      <c r="DS313" t="s">
        <v>367</v>
      </c>
      <c r="DT313">
        <v>1</v>
      </c>
      <c r="DU313">
        <v>150</v>
      </c>
      <c r="DV313">
        <v>100</v>
      </c>
      <c r="DW313" s="74">
        <f ca="1">INDIRECT(ADDRESS(11+(MATCH(RIGHT(Table14[[#This Row],[spawner_sku]],LEN(Table14[[#This Row],[spawner_sku]])-FIND("/",Table14[[#This Row],[spawner_sku]])),Table1[Entity Prefab],0)),10,1,1,"Entities"))</f>
        <v>75</v>
      </c>
      <c r="DX313" s="74">
        <f ca="1">ROUND((Table14[[#This Row],[XP]]*Table14[[#This Row],[entity_spawned (AVG)]])*(Table14[[#This Row],[activating_chance]]/100),0)</f>
        <v>75</v>
      </c>
      <c r="DY313" s="144" t="str">
        <f ca="1">INDIRECT(ADDRESS(11+(MATCH(RIGHT(Table14[[#This Row],[spawner_sku]],LEN(Table14[[#This Row],[spawner_sku]])-FIND("/",Table14[[#This Row],[spawner_sku]])),Table28[Entity Prefab],0)),25,1,1,"Entities"))</f>
        <v>no</v>
      </c>
      <c r="DZ313" s="71">
        <v>1</v>
      </c>
      <c r="EA313" s="71">
        <v>1</v>
      </c>
      <c r="EB313" s="71" t="b">
        <v>0</v>
      </c>
      <c r="EC313" s="71"/>
      <c r="EO313" t="s">
        <v>241</v>
      </c>
      <c r="EP313">
        <v>2</v>
      </c>
      <c r="EQ313">
        <v>130</v>
      </c>
      <c r="ER313">
        <v>100</v>
      </c>
      <c r="ES313" s="74">
        <f ca="1">INDIRECT(ADDRESS(11+(MATCH(RIGHT(Table18[[#This Row],[spawner_sku]],LEN(Table18[[#This Row],[spawner_sku]])-FIND("/",Table18[[#This Row],[spawner_sku]])),Table1[Entity Prefab],0)),10,1,1,"Entities"))</f>
        <v>70</v>
      </c>
      <c r="ET313" s="74">
        <f ca="1">ROUND((Table18[[#This Row],[XP]]*Table18[[#This Row],[entity_spawned (AVG)]])*(Table18[[#This Row],[activating_chance]]/100),0)</f>
        <v>140</v>
      </c>
      <c r="EU313" s="74" t="str">
        <f ca="1">INDIRECT(ADDRESS(11+(MATCH(RIGHT(Table18[[#This Row],[spawner_sku]],LEN(Table18[[#This Row],[spawner_sku]])-FIND("/",Table18[[#This Row],[spawner_sku]])),Table28[Entity Prefab],0)),26,1,1,"Entities"))</f>
        <v>yes</v>
      </c>
      <c r="EV313">
        <v>2</v>
      </c>
      <c r="EW313">
        <v>2</v>
      </c>
      <c r="EX313" t="b">
        <v>0</v>
      </c>
    </row>
    <row r="314" spans="2:154" x14ac:dyDescent="0.25">
      <c r="B314" s="72" t="s">
        <v>228</v>
      </c>
      <c r="C314">
        <v>1</v>
      </c>
      <c r="D314">
        <v>1500</v>
      </c>
      <c r="E314">
        <v>100</v>
      </c>
      <c r="F314" s="74">
        <f ca="1">INDIRECT(ADDRESS(11+(MATCH(RIGHT(Table245[[#This Row],[spawner_sku]],LEN(Table245[[#This Row],[spawner_sku]])-FIND("/",Table245[[#This Row],[spawner_sku]])),Table1[Entity Prefab],0)),10,1,1,"Entities"))</f>
        <v>130</v>
      </c>
      <c r="G314" s="74">
        <f ca="1">ROUND((Table245[[#This Row],[XP]]*Table245[[#This Row],[entity_spawned (AVG)]])*(Table245[[#This Row],[activating_chance]]/100),0)</f>
        <v>130</v>
      </c>
      <c r="H314" s="71" t="str">
        <f ca="1">INDIRECT(ADDRESS(11+(MATCH(RIGHT(Table245[[#This Row],[spawner_sku]],LEN(Table245[[#This Row],[spawner_sku]])-FIND("/",Table245[[#This Row],[spawner_sku]])),Table28[Entity Prefab],0)),24,1,1,"Entities"))</f>
        <v>yes</v>
      </c>
      <c r="I314" s="71">
        <v>1</v>
      </c>
      <c r="J314" s="71">
        <v>1</v>
      </c>
      <c r="K314" s="71" t="b">
        <v>0</v>
      </c>
      <c r="AI314" t="s">
        <v>367</v>
      </c>
      <c r="AJ314">
        <v>1</v>
      </c>
      <c r="AK314">
        <v>220</v>
      </c>
      <c r="AL314">
        <v>100</v>
      </c>
      <c r="AM314" s="74">
        <f ca="1">INDIRECT(ADDRESS(11+(MATCH(RIGHT(Table2[[#This Row],[spawner_sku]],LEN(Table2[[#This Row],[spawner_sku]])-FIND("/",Table2[[#This Row],[spawner_sku]])),Table1[Entity Prefab],0)),10,1,1,"Entities"))</f>
        <v>75</v>
      </c>
      <c r="AN314" s="74">
        <f ca="1">ROUND((Table2[[#This Row],[XP]]*Table2[[#This Row],[entity_spawned (AVG)]])*(Table2[[#This Row],[activating_chance]]/100),0)</f>
        <v>75</v>
      </c>
      <c r="AO314" s="71" t="str">
        <f ca="1">INDIRECT(ADDRESS(11+(MATCH(RIGHT(Table2[[#This Row],[spawner_sku]],LEN(Table2[[#This Row],[spawner_sku]])-FIND("/",Table2[[#This Row],[spawner_sku]])),Table28[Entity Prefab],0)),24,1,1,"Entities"))</f>
        <v>no</v>
      </c>
      <c r="AP314" s="71">
        <v>1</v>
      </c>
      <c r="AQ314" s="71">
        <v>1</v>
      </c>
      <c r="AR314" s="71" t="b">
        <v>0</v>
      </c>
      <c r="BP314" t="s">
        <v>234</v>
      </c>
      <c r="BQ314">
        <v>1</v>
      </c>
      <c r="BR314">
        <v>420</v>
      </c>
      <c r="BS314">
        <v>100</v>
      </c>
      <c r="BT314" s="74">
        <f ca="1">INDIRECT(ADDRESS(11+(MATCH(RIGHT(Table61011[[#This Row],[spawner_sku]],LEN(Table61011[[#This Row],[spawner_sku]])-FIND("/",Table61011[[#This Row],[spawner_sku]])),Table1[Entity Prefab],0)),10,1,1,"Entities"))</f>
        <v>83</v>
      </c>
      <c r="BU314" s="74">
        <f ca="1">ROUND((Table61011[[#This Row],[XP]]*Table61011[[#This Row],[entity_spawned (AVG)]])*(Table61011[[#This Row],[activating_chance]]/100),0)</f>
        <v>83</v>
      </c>
      <c r="BV314" s="71" t="str">
        <f ca="1">INDIRECT(ADDRESS(11+(MATCH(RIGHT(Table61011[[#This Row],[spawner_sku]],LEN(Table61011[[#This Row],[spawner_sku]])-FIND("/",Table61011[[#This Row],[spawner_sku]])),Table28[Entity Prefab],0)),24,1,1,"Entities"))</f>
        <v>yes</v>
      </c>
      <c r="BW314" s="71">
        <v>1</v>
      </c>
      <c r="BX314" s="71">
        <v>1</v>
      </c>
      <c r="BY314" s="71" t="b">
        <v>0</v>
      </c>
      <c r="BZ314" s="71"/>
      <c r="CA314" s="147" t="s">
        <v>3816</v>
      </c>
      <c r="CB314">
        <v>1</v>
      </c>
      <c r="CC314">
        <v>240</v>
      </c>
      <c r="CD314">
        <v>100</v>
      </c>
      <c r="CE314" s="74">
        <f ca="1">INDIRECT(ADDRESS(11+(MATCH(RIGHT(Table35[[#This Row],[spawner_sku]],LEN(Table35[[#This Row],[spawner_sku]])-FIND("/",Table35[[#This Row],[spawner_sku]])),Table1[Entity Prefab],0)),10,1,1,"Entities"))</f>
        <v>50</v>
      </c>
      <c r="CF314" s="74">
        <f ca="1">ROUND((Table35[[#This Row],[XP]]*Table35[[#This Row],[entity_spawned (AVG)]])*(Table35[[#This Row],[activating_chance]]/100),0)</f>
        <v>50</v>
      </c>
      <c r="CG314" s="144" t="str">
        <f ca="1">INDIRECT(ADDRESS(11+(MATCH(RIGHT(Table35[[#This Row],[spawner_sku]],LEN(Table35[[#This Row],[spawner_sku]])-FIND("/",Table35[[#This Row],[spawner_sku]])),Table28[Entity Prefab],0)),24,1,1,"Entities"))</f>
        <v>no</v>
      </c>
      <c r="CH314">
        <v>1</v>
      </c>
      <c r="CI314">
        <v>1</v>
      </c>
      <c r="CJ314" s="71" t="b">
        <v>0</v>
      </c>
      <c r="CL314" t="s">
        <v>449</v>
      </c>
      <c r="CM314">
        <v>1</v>
      </c>
      <c r="CN314">
        <v>300</v>
      </c>
      <c r="CO314">
        <v>100</v>
      </c>
      <c r="CP314" s="74">
        <f ca="1">INDIRECT(ADDRESS(11+(MATCH(RIGHT(Table11[[#This Row],[spawner_sku]],LEN(Table11[[#This Row],[spawner_sku]])-FIND("/",Table11[[#This Row],[spawner_sku]])),Table1[Entity Prefab],0)),10,1,1,"Entities"))</f>
        <v>130</v>
      </c>
      <c r="CQ314">
        <f ca="1">ROUND((Table11[[#This Row],[XP]]*Table11[[#This Row],[entity_spawned (AVG)]])*(Table11[[#This Row],[activating_chance]]/100),0)</f>
        <v>130</v>
      </c>
      <c r="CR314" s="144" t="str">
        <f ca="1">INDIRECT(ADDRESS(11+(MATCH(RIGHT(Table11[[#This Row],[spawner_sku]],LEN(Table11[[#This Row],[spawner_sku]])-FIND("/",Table11[[#This Row],[spawner_sku]])),Table28[Entity Prefab],0)),25,1,1,"Entities"))</f>
        <v>yes</v>
      </c>
      <c r="CS314" s="71">
        <v>1</v>
      </c>
      <c r="CT314" s="71">
        <v>1</v>
      </c>
      <c r="CU314" s="71" t="b">
        <v>0</v>
      </c>
      <c r="DH314" t="s">
        <v>366</v>
      </c>
      <c r="DI314">
        <v>3.5</v>
      </c>
      <c r="DJ314">
        <v>100</v>
      </c>
      <c r="DK314">
        <v>80</v>
      </c>
      <c r="DL314" s="74">
        <f ca="1">INDIRECT(ADDRESS(11+(MATCH(RIGHT(Table13[[#This Row],[spawner_sku]],LEN(Table13[[#This Row],[spawner_sku]])-FIND("/",Table13[[#This Row],[spawner_sku]])),Table1[Entity Prefab],0)),10,1,1,"Entities"))</f>
        <v>25</v>
      </c>
      <c r="DM314" s="74">
        <f ca="1">ROUND((Table13[[#This Row],[XP]]*Table13[[#This Row],[entity_spawned (AVG)]])*(Table13[[#This Row],[activating_chance]]/100),0)</f>
        <v>70</v>
      </c>
      <c r="DN314" s="144" t="str">
        <f ca="1">INDIRECT(ADDRESS(11+(MATCH(RIGHT(Table13[[#This Row],[spawner_sku]],LEN(Table13[[#This Row],[spawner_sku]])-FIND("/",Table13[[#This Row],[spawner_sku]])),Table28[Entity Prefab],0)),25,1,1,"Entities"))</f>
        <v>no</v>
      </c>
      <c r="DO314" s="71">
        <v>3</v>
      </c>
      <c r="DP314" s="71">
        <v>4</v>
      </c>
      <c r="DQ314" s="71" t="b">
        <v>0</v>
      </c>
      <c r="DS314" t="s">
        <v>367</v>
      </c>
      <c r="DT314">
        <v>1.5</v>
      </c>
      <c r="DU314">
        <v>135</v>
      </c>
      <c r="DV314">
        <v>100</v>
      </c>
      <c r="DW314" s="74">
        <f ca="1">INDIRECT(ADDRESS(11+(MATCH(RIGHT(Table14[[#This Row],[spawner_sku]],LEN(Table14[[#This Row],[spawner_sku]])-FIND("/",Table14[[#This Row],[spawner_sku]])),Table1[Entity Prefab],0)),10,1,1,"Entities"))</f>
        <v>75</v>
      </c>
      <c r="DX314" s="74">
        <f ca="1">ROUND((Table14[[#This Row],[XP]]*Table14[[#This Row],[entity_spawned (AVG)]])*(Table14[[#This Row],[activating_chance]]/100),0)</f>
        <v>113</v>
      </c>
      <c r="DY314" s="144" t="str">
        <f ca="1">INDIRECT(ADDRESS(11+(MATCH(RIGHT(Table14[[#This Row],[spawner_sku]],LEN(Table14[[#This Row],[spawner_sku]])-FIND("/",Table14[[#This Row],[spawner_sku]])),Table28[Entity Prefab],0)),25,1,1,"Entities"))</f>
        <v>no</v>
      </c>
      <c r="DZ314" s="71">
        <v>1</v>
      </c>
      <c r="EA314" s="71">
        <v>2</v>
      </c>
      <c r="EB314" s="71" t="b">
        <v>0</v>
      </c>
      <c r="EC314" s="71"/>
      <c r="EO314" t="s">
        <v>241</v>
      </c>
      <c r="EP314">
        <v>1</v>
      </c>
      <c r="EQ314">
        <v>120</v>
      </c>
      <c r="ER314">
        <v>100</v>
      </c>
      <c r="ES314" s="74">
        <f ca="1">INDIRECT(ADDRESS(11+(MATCH(RIGHT(Table18[[#This Row],[spawner_sku]],LEN(Table18[[#This Row],[spawner_sku]])-FIND("/",Table18[[#This Row],[spawner_sku]])),Table1[Entity Prefab],0)),10,1,1,"Entities"))</f>
        <v>70</v>
      </c>
      <c r="ET314" s="74">
        <f ca="1">ROUND((Table18[[#This Row],[XP]]*Table18[[#This Row],[entity_spawned (AVG)]])*(Table18[[#This Row],[activating_chance]]/100),0)</f>
        <v>70</v>
      </c>
      <c r="EU314" s="74" t="str">
        <f ca="1">INDIRECT(ADDRESS(11+(MATCH(RIGHT(Table18[[#This Row],[spawner_sku]],LEN(Table18[[#This Row],[spawner_sku]])-FIND("/",Table18[[#This Row],[spawner_sku]])),Table28[Entity Prefab],0)),26,1,1,"Entities"))</f>
        <v>yes</v>
      </c>
      <c r="EV314">
        <v>1</v>
      </c>
      <c r="EW314">
        <v>1</v>
      </c>
      <c r="EX314" t="b">
        <v>0</v>
      </c>
    </row>
    <row r="315" spans="2:154" x14ac:dyDescent="0.25">
      <c r="B315" s="72" t="s">
        <v>228</v>
      </c>
      <c r="C315">
        <v>1</v>
      </c>
      <c r="D315">
        <v>1500</v>
      </c>
      <c r="E315">
        <v>100</v>
      </c>
      <c r="F315" s="74">
        <f ca="1">INDIRECT(ADDRESS(11+(MATCH(RIGHT(Table245[[#This Row],[spawner_sku]],LEN(Table245[[#This Row],[spawner_sku]])-FIND("/",Table245[[#This Row],[spawner_sku]])),Table1[Entity Prefab],0)),10,1,1,"Entities"))</f>
        <v>130</v>
      </c>
      <c r="G315" s="74">
        <f ca="1">ROUND((Table245[[#This Row],[XP]]*Table245[[#This Row],[entity_spawned (AVG)]])*(Table245[[#This Row],[activating_chance]]/100),0)</f>
        <v>130</v>
      </c>
      <c r="H315" s="71" t="str">
        <f ca="1">INDIRECT(ADDRESS(11+(MATCH(RIGHT(Table245[[#This Row],[spawner_sku]],LEN(Table245[[#This Row],[spawner_sku]])-FIND("/",Table245[[#This Row],[spawner_sku]])),Table28[Entity Prefab],0)),24,1,1,"Entities"))</f>
        <v>yes</v>
      </c>
      <c r="I315" s="71">
        <v>1</v>
      </c>
      <c r="J315" s="71">
        <v>1</v>
      </c>
      <c r="K315" s="71" t="b">
        <v>0</v>
      </c>
      <c r="AI315" t="s">
        <v>367</v>
      </c>
      <c r="AJ315">
        <v>1</v>
      </c>
      <c r="AK315">
        <v>200</v>
      </c>
      <c r="AL315">
        <v>100</v>
      </c>
      <c r="AM315" s="74">
        <f ca="1">INDIRECT(ADDRESS(11+(MATCH(RIGHT(Table2[[#This Row],[spawner_sku]],LEN(Table2[[#This Row],[spawner_sku]])-FIND("/",Table2[[#This Row],[spawner_sku]])),Table1[Entity Prefab],0)),10,1,1,"Entities"))</f>
        <v>75</v>
      </c>
      <c r="AN315" s="74">
        <f ca="1">ROUND((Table2[[#This Row],[XP]]*Table2[[#This Row],[entity_spawned (AVG)]])*(Table2[[#This Row],[activating_chance]]/100),0)</f>
        <v>75</v>
      </c>
      <c r="AO315" s="71" t="str">
        <f ca="1">INDIRECT(ADDRESS(11+(MATCH(RIGHT(Table2[[#This Row],[spawner_sku]],LEN(Table2[[#This Row],[spawner_sku]])-FIND("/",Table2[[#This Row],[spawner_sku]])),Table28[Entity Prefab],0)),24,1,1,"Entities"))</f>
        <v>no</v>
      </c>
      <c r="AP315" s="71">
        <v>1</v>
      </c>
      <c r="AQ315" s="71">
        <v>1</v>
      </c>
      <c r="AR315" s="71" t="b">
        <v>0</v>
      </c>
      <c r="BP315" t="s">
        <v>234</v>
      </c>
      <c r="BQ315">
        <v>1</v>
      </c>
      <c r="BR315">
        <v>420</v>
      </c>
      <c r="BS315">
        <v>100</v>
      </c>
      <c r="BT315" s="74">
        <f ca="1">INDIRECT(ADDRESS(11+(MATCH(RIGHT(Table61011[[#This Row],[spawner_sku]],LEN(Table61011[[#This Row],[spawner_sku]])-FIND("/",Table61011[[#This Row],[spawner_sku]])),Table1[Entity Prefab],0)),10,1,1,"Entities"))</f>
        <v>83</v>
      </c>
      <c r="BU315" s="74">
        <f ca="1">ROUND((Table61011[[#This Row],[XP]]*Table61011[[#This Row],[entity_spawned (AVG)]])*(Table61011[[#This Row],[activating_chance]]/100),0)</f>
        <v>83</v>
      </c>
      <c r="BV315" s="71" t="str">
        <f ca="1">INDIRECT(ADDRESS(11+(MATCH(RIGHT(Table61011[[#This Row],[spawner_sku]],LEN(Table61011[[#This Row],[spawner_sku]])-FIND("/",Table61011[[#This Row],[spawner_sku]])),Table28[Entity Prefab],0)),24,1,1,"Entities"))</f>
        <v>yes</v>
      </c>
      <c r="BW315" s="71">
        <v>1</v>
      </c>
      <c r="BX315" s="71">
        <v>1</v>
      </c>
      <c r="BY315" s="71" t="b">
        <v>0</v>
      </c>
      <c r="BZ315" s="71"/>
      <c r="CA315" s="147" t="s">
        <v>3816</v>
      </c>
      <c r="CB315">
        <v>1</v>
      </c>
      <c r="CC315">
        <v>240</v>
      </c>
      <c r="CD315">
        <v>100</v>
      </c>
      <c r="CE315" s="74">
        <f ca="1">INDIRECT(ADDRESS(11+(MATCH(RIGHT(Table35[[#This Row],[spawner_sku]],LEN(Table35[[#This Row],[spawner_sku]])-FIND("/",Table35[[#This Row],[spawner_sku]])),Table1[Entity Prefab],0)),10,1,1,"Entities"))</f>
        <v>50</v>
      </c>
      <c r="CF315" s="74">
        <f ca="1">ROUND((Table35[[#This Row],[XP]]*Table35[[#This Row],[entity_spawned (AVG)]])*(Table35[[#This Row],[activating_chance]]/100),0)</f>
        <v>50</v>
      </c>
      <c r="CG315" s="144" t="str">
        <f ca="1">INDIRECT(ADDRESS(11+(MATCH(RIGHT(Table35[[#This Row],[spawner_sku]],LEN(Table35[[#This Row],[spawner_sku]])-FIND("/",Table35[[#This Row],[spawner_sku]])),Table28[Entity Prefab],0)),24,1,1,"Entities"))</f>
        <v>no</v>
      </c>
      <c r="CH315">
        <v>1</v>
      </c>
      <c r="CI315">
        <v>1</v>
      </c>
      <c r="CJ315" s="71" t="b">
        <v>0</v>
      </c>
      <c r="CL315" t="s">
        <v>8112</v>
      </c>
      <c r="CM315">
        <v>1</v>
      </c>
      <c r="CN315">
        <v>300</v>
      </c>
      <c r="CO315">
        <v>100</v>
      </c>
      <c r="CP315" s="74">
        <f ca="1">INDIRECT(ADDRESS(11+(MATCH(RIGHT(Table11[[#This Row],[spawner_sku]],LEN(Table11[[#This Row],[spawner_sku]])-FIND("/",Table11[[#This Row],[spawner_sku]])),Table1[Entity Prefab],0)),10,1,1,"Entities"))</f>
        <v>150</v>
      </c>
      <c r="CQ315">
        <f ca="1">ROUND((Table11[[#This Row],[XP]]*Table11[[#This Row],[entity_spawned (AVG)]])*(Table11[[#This Row],[activating_chance]]/100),0)</f>
        <v>150</v>
      </c>
      <c r="CR315" s="144" t="str">
        <f ca="1">INDIRECT(ADDRESS(11+(MATCH(RIGHT(Table11[[#This Row],[spawner_sku]],LEN(Table11[[#This Row],[spawner_sku]])-FIND("/",Table11[[#This Row],[spawner_sku]])),Table28[Entity Prefab],0)),25,1,1,"Entities"))</f>
        <v>yes</v>
      </c>
      <c r="CS315" s="71">
        <v>1</v>
      </c>
      <c r="CT315" s="71">
        <v>1</v>
      </c>
      <c r="CU315" s="71" t="b">
        <v>0</v>
      </c>
      <c r="DH315" t="s">
        <v>366</v>
      </c>
      <c r="DI315">
        <v>2</v>
      </c>
      <c r="DJ315">
        <v>100</v>
      </c>
      <c r="DK315">
        <v>100</v>
      </c>
      <c r="DL315" s="74">
        <f ca="1">INDIRECT(ADDRESS(11+(MATCH(RIGHT(Table13[[#This Row],[spawner_sku]],LEN(Table13[[#This Row],[spawner_sku]])-FIND("/",Table13[[#This Row],[spawner_sku]])),Table1[Entity Prefab],0)),10,1,1,"Entities"))</f>
        <v>25</v>
      </c>
      <c r="DM315" s="74">
        <f ca="1">ROUND((Table13[[#This Row],[XP]]*Table13[[#This Row],[entity_spawned (AVG)]])*(Table13[[#This Row],[activating_chance]]/100),0)</f>
        <v>50</v>
      </c>
      <c r="DN315" s="144" t="str">
        <f ca="1">INDIRECT(ADDRESS(11+(MATCH(RIGHT(Table13[[#This Row],[spawner_sku]],LEN(Table13[[#This Row],[spawner_sku]])-FIND("/",Table13[[#This Row],[spawner_sku]])),Table28[Entity Prefab],0)),25,1,1,"Entities"))</f>
        <v>no</v>
      </c>
      <c r="DO315" s="71">
        <v>1</v>
      </c>
      <c r="DP315" s="71">
        <v>3</v>
      </c>
      <c r="DQ315" s="71" t="b">
        <v>0</v>
      </c>
      <c r="DS315" t="s">
        <v>511</v>
      </c>
      <c r="DT315">
        <v>1</v>
      </c>
      <c r="DU315">
        <v>130</v>
      </c>
      <c r="DV315">
        <v>100</v>
      </c>
      <c r="DW315" s="74">
        <f ca="1">INDIRECT(ADDRESS(11+(MATCH(RIGHT(Table14[[#This Row],[spawner_sku]],LEN(Table14[[#This Row],[spawner_sku]])-FIND("/",Table14[[#This Row],[spawner_sku]])),Table1[Entity Prefab],0)),10,1,1,"Entities"))</f>
        <v>75</v>
      </c>
      <c r="DX315" s="74">
        <f ca="1">ROUND((Table14[[#This Row],[XP]]*Table14[[#This Row],[entity_spawned (AVG)]])*(Table14[[#This Row],[activating_chance]]/100),0)</f>
        <v>75</v>
      </c>
      <c r="DY315" s="144" t="str">
        <f ca="1">INDIRECT(ADDRESS(11+(MATCH(RIGHT(Table14[[#This Row],[spawner_sku]],LEN(Table14[[#This Row],[spawner_sku]])-FIND("/",Table14[[#This Row],[spawner_sku]])),Table28[Entity Prefab],0)),25,1,1,"Entities"))</f>
        <v>no</v>
      </c>
      <c r="DZ315" s="71">
        <v>1</v>
      </c>
      <c r="EA315" s="71">
        <v>1</v>
      </c>
      <c r="EB315" s="71" t="b">
        <v>0</v>
      </c>
      <c r="EC315" s="71"/>
      <c r="EO315" t="s">
        <v>241</v>
      </c>
      <c r="EP315">
        <v>2.5</v>
      </c>
      <c r="EQ315">
        <v>140</v>
      </c>
      <c r="ER315">
        <v>100</v>
      </c>
      <c r="ES315" s="74">
        <f ca="1">INDIRECT(ADDRESS(11+(MATCH(RIGHT(Table18[[#This Row],[spawner_sku]],LEN(Table18[[#This Row],[spawner_sku]])-FIND("/",Table18[[#This Row],[spawner_sku]])),Table1[Entity Prefab],0)),10,1,1,"Entities"))</f>
        <v>70</v>
      </c>
      <c r="ET315" s="74">
        <f ca="1">ROUND((Table18[[#This Row],[XP]]*Table18[[#This Row],[entity_spawned (AVG)]])*(Table18[[#This Row],[activating_chance]]/100),0)</f>
        <v>175</v>
      </c>
      <c r="EU315" s="74" t="str">
        <f ca="1">INDIRECT(ADDRESS(11+(MATCH(RIGHT(Table18[[#This Row],[spawner_sku]],LEN(Table18[[#This Row],[spawner_sku]])-FIND("/",Table18[[#This Row],[spawner_sku]])),Table28[Entity Prefab],0)),26,1,1,"Entities"))</f>
        <v>yes</v>
      </c>
      <c r="EV315">
        <v>2</v>
      </c>
      <c r="EW315">
        <v>3</v>
      </c>
      <c r="EX315" t="b">
        <v>0</v>
      </c>
    </row>
    <row r="316" spans="2:154" x14ac:dyDescent="0.25">
      <c r="B316" s="72" t="s">
        <v>228</v>
      </c>
      <c r="C316">
        <v>1</v>
      </c>
      <c r="D316">
        <v>1500</v>
      </c>
      <c r="E316">
        <v>100</v>
      </c>
      <c r="F316" s="74">
        <f ca="1">INDIRECT(ADDRESS(11+(MATCH(RIGHT(Table245[[#This Row],[spawner_sku]],LEN(Table245[[#This Row],[spawner_sku]])-FIND("/",Table245[[#This Row],[spawner_sku]])),Table1[Entity Prefab],0)),10,1,1,"Entities"))</f>
        <v>130</v>
      </c>
      <c r="G316" s="74">
        <f ca="1">ROUND((Table245[[#This Row],[XP]]*Table245[[#This Row],[entity_spawned (AVG)]])*(Table245[[#This Row],[activating_chance]]/100),0)</f>
        <v>130</v>
      </c>
      <c r="H316" s="71" t="str">
        <f ca="1">INDIRECT(ADDRESS(11+(MATCH(RIGHT(Table245[[#This Row],[spawner_sku]],LEN(Table245[[#This Row],[spawner_sku]])-FIND("/",Table245[[#This Row],[spawner_sku]])),Table28[Entity Prefab],0)),24,1,1,"Entities"))</f>
        <v>yes</v>
      </c>
      <c r="I316" s="71">
        <v>1</v>
      </c>
      <c r="J316" s="71">
        <v>1</v>
      </c>
      <c r="K316" s="71" t="b">
        <v>0</v>
      </c>
      <c r="AI316" t="s">
        <v>367</v>
      </c>
      <c r="AJ316">
        <v>1</v>
      </c>
      <c r="AK316">
        <v>220</v>
      </c>
      <c r="AL316">
        <v>100</v>
      </c>
      <c r="AM316" s="74">
        <f ca="1">INDIRECT(ADDRESS(11+(MATCH(RIGHT(Table2[[#This Row],[spawner_sku]],LEN(Table2[[#This Row],[spawner_sku]])-FIND("/",Table2[[#This Row],[spawner_sku]])),Table1[Entity Prefab],0)),10,1,1,"Entities"))</f>
        <v>75</v>
      </c>
      <c r="AN316" s="74">
        <f ca="1">ROUND((Table2[[#This Row],[XP]]*Table2[[#This Row],[entity_spawned (AVG)]])*(Table2[[#This Row],[activating_chance]]/100),0)</f>
        <v>75</v>
      </c>
      <c r="AO316" s="71" t="str">
        <f ca="1">INDIRECT(ADDRESS(11+(MATCH(RIGHT(Table2[[#This Row],[spawner_sku]],LEN(Table2[[#This Row],[spawner_sku]])-FIND("/",Table2[[#This Row],[spawner_sku]])),Table28[Entity Prefab],0)),24,1,1,"Entities"))</f>
        <v>no</v>
      </c>
      <c r="AP316" s="71">
        <v>1</v>
      </c>
      <c r="AQ316" s="71">
        <v>1</v>
      </c>
      <c r="AR316" s="71" t="b">
        <v>0</v>
      </c>
      <c r="BP316" t="s">
        <v>234</v>
      </c>
      <c r="BQ316">
        <v>1</v>
      </c>
      <c r="BR316">
        <v>420</v>
      </c>
      <c r="BS316">
        <v>100</v>
      </c>
      <c r="BT316" s="74">
        <f ca="1">INDIRECT(ADDRESS(11+(MATCH(RIGHT(Table61011[[#This Row],[spawner_sku]],LEN(Table61011[[#This Row],[spawner_sku]])-FIND("/",Table61011[[#This Row],[spawner_sku]])),Table1[Entity Prefab],0)),10,1,1,"Entities"))</f>
        <v>83</v>
      </c>
      <c r="BU316" s="74">
        <f ca="1">ROUND((Table61011[[#This Row],[XP]]*Table61011[[#This Row],[entity_spawned (AVG)]])*(Table61011[[#This Row],[activating_chance]]/100),0)</f>
        <v>83</v>
      </c>
      <c r="BV316" s="71" t="str">
        <f ca="1">INDIRECT(ADDRESS(11+(MATCH(RIGHT(Table61011[[#This Row],[spawner_sku]],LEN(Table61011[[#This Row],[spawner_sku]])-FIND("/",Table61011[[#This Row],[spawner_sku]])),Table28[Entity Prefab],0)),24,1,1,"Entities"))</f>
        <v>yes</v>
      </c>
      <c r="BW316" s="71">
        <v>1</v>
      </c>
      <c r="BX316" s="71">
        <v>1</v>
      </c>
      <c r="BY316" s="71" t="b">
        <v>0</v>
      </c>
      <c r="BZ316" s="71"/>
      <c r="CA316" s="147" t="s">
        <v>3816</v>
      </c>
      <c r="CB316">
        <v>1</v>
      </c>
      <c r="CC316">
        <v>240</v>
      </c>
      <c r="CD316">
        <v>100</v>
      </c>
      <c r="CE316" s="74">
        <f ca="1">INDIRECT(ADDRESS(11+(MATCH(RIGHT(Table35[[#This Row],[spawner_sku]],LEN(Table35[[#This Row],[spawner_sku]])-FIND("/",Table35[[#This Row],[spawner_sku]])),Table1[Entity Prefab],0)),10,1,1,"Entities"))</f>
        <v>50</v>
      </c>
      <c r="CF316" s="74">
        <f ca="1">ROUND((Table35[[#This Row],[XP]]*Table35[[#This Row],[entity_spawned (AVG)]])*(Table35[[#This Row],[activating_chance]]/100),0)</f>
        <v>50</v>
      </c>
      <c r="CG316" s="144" t="str">
        <f ca="1">INDIRECT(ADDRESS(11+(MATCH(RIGHT(Table35[[#This Row],[spawner_sku]],LEN(Table35[[#This Row],[spawner_sku]])-FIND("/",Table35[[#This Row],[spawner_sku]])),Table28[Entity Prefab],0)),24,1,1,"Entities"))</f>
        <v>no</v>
      </c>
      <c r="CH316">
        <v>1</v>
      </c>
      <c r="CI316">
        <v>1</v>
      </c>
      <c r="CJ316" s="71" t="b">
        <v>0</v>
      </c>
      <c r="CL316" t="s">
        <v>512</v>
      </c>
      <c r="CM316">
        <v>1</v>
      </c>
      <c r="CN316">
        <v>220</v>
      </c>
      <c r="CO316">
        <v>100</v>
      </c>
      <c r="CP316" s="74">
        <f ca="1">INDIRECT(ADDRESS(11+(MATCH(RIGHT(Table11[[#This Row],[spawner_sku]],LEN(Table11[[#This Row],[spawner_sku]])-FIND("/",Table11[[#This Row],[spawner_sku]])),Table1[Entity Prefab],0)),10,1,1,"Entities"))</f>
        <v>105</v>
      </c>
      <c r="CQ316">
        <f ca="1">ROUND((Table11[[#This Row],[XP]]*Table11[[#This Row],[entity_spawned (AVG)]])*(Table11[[#This Row],[activating_chance]]/100),0)</f>
        <v>105</v>
      </c>
      <c r="CR316" s="144" t="str">
        <f ca="1">INDIRECT(ADDRESS(11+(MATCH(RIGHT(Table11[[#This Row],[spawner_sku]],LEN(Table11[[#This Row],[spawner_sku]])-FIND("/",Table11[[#This Row],[spawner_sku]])),Table28[Entity Prefab],0)),25,1,1,"Entities"))</f>
        <v>yes</v>
      </c>
      <c r="CS316" s="71">
        <v>1</v>
      </c>
      <c r="CT316" s="71">
        <v>1</v>
      </c>
      <c r="CU316" s="71" t="b">
        <v>0</v>
      </c>
      <c r="DH316" t="s">
        <v>507</v>
      </c>
      <c r="DI316">
        <v>6.5</v>
      </c>
      <c r="DJ316">
        <v>100</v>
      </c>
      <c r="DK316">
        <v>100</v>
      </c>
      <c r="DL316" s="74">
        <f ca="1">INDIRECT(ADDRESS(11+(MATCH(RIGHT(Table13[[#This Row],[spawner_sku]],LEN(Table13[[#This Row],[spawner_sku]])-FIND("/",Table13[[#This Row],[spawner_sku]])),Table1[Entity Prefab],0)),10,1,1,"Entities"))</f>
        <v>25</v>
      </c>
      <c r="DM316" s="74">
        <f ca="1">ROUND((Table13[[#This Row],[XP]]*Table13[[#This Row],[entity_spawned (AVG)]])*(Table13[[#This Row],[activating_chance]]/100),0)</f>
        <v>163</v>
      </c>
      <c r="DN316" s="144" t="str">
        <f ca="1">INDIRECT(ADDRESS(11+(MATCH(RIGHT(Table13[[#This Row],[spawner_sku]],LEN(Table13[[#This Row],[spawner_sku]])-FIND("/",Table13[[#This Row],[spawner_sku]])),Table28[Entity Prefab],0)),25,1,1,"Entities"))</f>
        <v>no</v>
      </c>
      <c r="DO316" s="71">
        <v>5</v>
      </c>
      <c r="DP316" s="71">
        <v>8</v>
      </c>
      <c r="DQ316" s="71" t="b">
        <v>1</v>
      </c>
      <c r="DS316" t="s">
        <v>511</v>
      </c>
      <c r="DT316">
        <v>1</v>
      </c>
      <c r="DU316">
        <v>100</v>
      </c>
      <c r="DV316">
        <v>100</v>
      </c>
      <c r="DW316" s="74">
        <f ca="1">INDIRECT(ADDRESS(11+(MATCH(RIGHT(Table14[[#This Row],[spawner_sku]],LEN(Table14[[#This Row],[spawner_sku]])-FIND("/",Table14[[#This Row],[spawner_sku]])),Table1[Entity Prefab],0)),10,1,1,"Entities"))</f>
        <v>75</v>
      </c>
      <c r="DX316" s="74">
        <f ca="1">ROUND((Table14[[#This Row],[XP]]*Table14[[#This Row],[entity_spawned (AVG)]])*(Table14[[#This Row],[activating_chance]]/100),0)</f>
        <v>75</v>
      </c>
      <c r="DY316" s="144" t="str">
        <f ca="1">INDIRECT(ADDRESS(11+(MATCH(RIGHT(Table14[[#This Row],[spawner_sku]],LEN(Table14[[#This Row],[spawner_sku]])-FIND("/",Table14[[#This Row],[spawner_sku]])),Table28[Entity Prefab],0)),25,1,1,"Entities"))</f>
        <v>no</v>
      </c>
      <c r="DZ316" s="71">
        <v>1</v>
      </c>
      <c r="EA316" s="71">
        <v>1</v>
      </c>
      <c r="EB316" s="71" t="b">
        <v>0</v>
      </c>
      <c r="EC316" s="71"/>
      <c r="EO316" t="s">
        <v>241</v>
      </c>
      <c r="EP316">
        <v>1</v>
      </c>
      <c r="EQ316">
        <v>140</v>
      </c>
      <c r="ER316">
        <v>60</v>
      </c>
      <c r="ES316" s="74">
        <f ca="1">INDIRECT(ADDRESS(11+(MATCH(RIGHT(Table18[[#This Row],[spawner_sku]],LEN(Table18[[#This Row],[spawner_sku]])-FIND("/",Table18[[#This Row],[spawner_sku]])),Table1[Entity Prefab],0)),10,1,1,"Entities"))</f>
        <v>70</v>
      </c>
      <c r="ET316" s="74">
        <f ca="1">ROUND((Table18[[#This Row],[XP]]*Table18[[#This Row],[entity_spawned (AVG)]])*(Table18[[#This Row],[activating_chance]]/100),0)</f>
        <v>42</v>
      </c>
      <c r="EU316" s="74" t="str">
        <f ca="1">INDIRECT(ADDRESS(11+(MATCH(RIGHT(Table18[[#This Row],[spawner_sku]],LEN(Table18[[#This Row],[spawner_sku]])-FIND("/",Table18[[#This Row],[spawner_sku]])),Table28[Entity Prefab],0)),26,1,1,"Entities"))</f>
        <v>yes</v>
      </c>
      <c r="EV316">
        <v>1</v>
      </c>
      <c r="EW316">
        <v>1</v>
      </c>
      <c r="EX316" t="b">
        <v>0</v>
      </c>
    </row>
    <row r="317" spans="2:154" x14ac:dyDescent="0.25">
      <c r="B317" s="72" t="s">
        <v>228</v>
      </c>
      <c r="C317">
        <v>1</v>
      </c>
      <c r="D317">
        <v>1500</v>
      </c>
      <c r="E317">
        <v>100</v>
      </c>
      <c r="F317" s="74">
        <f ca="1">INDIRECT(ADDRESS(11+(MATCH(RIGHT(Table245[[#This Row],[spawner_sku]],LEN(Table245[[#This Row],[spawner_sku]])-FIND("/",Table245[[#This Row],[spawner_sku]])),Table1[Entity Prefab],0)),10,1,1,"Entities"))</f>
        <v>130</v>
      </c>
      <c r="G317" s="74">
        <f ca="1">ROUND((Table245[[#This Row],[XP]]*Table245[[#This Row],[entity_spawned (AVG)]])*(Table245[[#This Row],[activating_chance]]/100),0)</f>
        <v>130</v>
      </c>
      <c r="H317" s="71" t="str">
        <f ca="1">INDIRECT(ADDRESS(11+(MATCH(RIGHT(Table245[[#This Row],[spawner_sku]],LEN(Table245[[#This Row],[spawner_sku]])-FIND("/",Table245[[#This Row],[spawner_sku]])),Table28[Entity Prefab],0)),24,1,1,"Entities"))</f>
        <v>yes</v>
      </c>
      <c r="I317" s="71">
        <v>1</v>
      </c>
      <c r="J317" s="71">
        <v>1</v>
      </c>
      <c r="K317" s="71" t="b">
        <v>0</v>
      </c>
      <c r="AI317" t="s">
        <v>367</v>
      </c>
      <c r="AJ317">
        <v>1</v>
      </c>
      <c r="AK317">
        <v>170</v>
      </c>
      <c r="AL317">
        <v>100</v>
      </c>
      <c r="AM317" s="74">
        <f ca="1">INDIRECT(ADDRESS(11+(MATCH(RIGHT(Table2[[#This Row],[spawner_sku]],LEN(Table2[[#This Row],[spawner_sku]])-FIND("/",Table2[[#This Row],[spawner_sku]])),Table1[Entity Prefab],0)),10,1,1,"Entities"))</f>
        <v>75</v>
      </c>
      <c r="AN317" s="74">
        <f ca="1">ROUND((Table2[[#This Row],[XP]]*Table2[[#This Row],[entity_spawned (AVG)]])*(Table2[[#This Row],[activating_chance]]/100),0)</f>
        <v>75</v>
      </c>
      <c r="AO317" s="71" t="str">
        <f ca="1">INDIRECT(ADDRESS(11+(MATCH(RIGHT(Table2[[#This Row],[spawner_sku]],LEN(Table2[[#This Row],[spawner_sku]])-FIND("/",Table2[[#This Row],[spawner_sku]])),Table28[Entity Prefab],0)),24,1,1,"Entities"))</f>
        <v>no</v>
      </c>
      <c r="AP317" s="71">
        <v>1</v>
      </c>
      <c r="AQ317" s="71">
        <v>1</v>
      </c>
      <c r="AR317" s="71" t="b">
        <v>0</v>
      </c>
      <c r="BP317" t="s">
        <v>234</v>
      </c>
      <c r="BQ317">
        <v>1</v>
      </c>
      <c r="BR317">
        <v>420</v>
      </c>
      <c r="BS317">
        <v>100</v>
      </c>
      <c r="BT317" s="74">
        <f ca="1">INDIRECT(ADDRESS(11+(MATCH(RIGHT(Table61011[[#This Row],[spawner_sku]],LEN(Table61011[[#This Row],[spawner_sku]])-FIND("/",Table61011[[#This Row],[spawner_sku]])),Table1[Entity Prefab],0)),10,1,1,"Entities"))</f>
        <v>83</v>
      </c>
      <c r="BU317" s="74">
        <f ca="1">ROUND((Table61011[[#This Row],[XP]]*Table61011[[#This Row],[entity_spawned (AVG)]])*(Table61011[[#This Row],[activating_chance]]/100),0)</f>
        <v>83</v>
      </c>
      <c r="BV317" s="71" t="str">
        <f ca="1">INDIRECT(ADDRESS(11+(MATCH(RIGHT(Table61011[[#This Row],[spawner_sku]],LEN(Table61011[[#This Row],[spawner_sku]])-FIND("/",Table61011[[#This Row],[spawner_sku]])),Table28[Entity Prefab],0)),24,1,1,"Entities"))</f>
        <v>yes</v>
      </c>
      <c r="BW317" s="71">
        <v>1</v>
      </c>
      <c r="BX317" s="71">
        <v>1</v>
      </c>
      <c r="BY317" s="71" t="b">
        <v>0</v>
      </c>
      <c r="BZ317" s="71"/>
      <c r="CA317" s="147" t="s">
        <v>3816</v>
      </c>
      <c r="CB317">
        <v>1</v>
      </c>
      <c r="CC317">
        <v>240</v>
      </c>
      <c r="CD317">
        <v>100</v>
      </c>
      <c r="CE317" s="74">
        <f ca="1">INDIRECT(ADDRESS(11+(MATCH(RIGHT(Table35[[#This Row],[spawner_sku]],LEN(Table35[[#This Row],[spawner_sku]])-FIND("/",Table35[[#This Row],[spawner_sku]])),Table1[Entity Prefab],0)),10,1,1,"Entities"))</f>
        <v>50</v>
      </c>
      <c r="CF317" s="74">
        <f ca="1">ROUND((Table35[[#This Row],[XP]]*Table35[[#This Row],[entity_spawned (AVG)]])*(Table35[[#This Row],[activating_chance]]/100),0)</f>
        <v>50</v>
      </c>
      <c r="CG317" s="144" t="str">
        <f ca="1">INDIRECT(ADDRESS(11+(MATCH(RIGHT(Table35[[#This Row],[spawner_sku]],LEN(Table35[[#This Row],[spawner_sku]])-FIND("/",Table35[[#This Row],[spawner_sku]])),Table28[Entity Prefab],0)),24,1,1,"Entities"))</f>
        <v>no</v>
      </c>
      <c r="CH317">
        <v>1</v>
      </c>
      <c r="CI317">
        <v>1</v>
      </c>
      <c r="CJ317" s="71" t="b">
        <v>0</v>
      </c>
      <c r="CL317" t="s">
        <v>494</v>
      </c>
      <c r="CM317">
        <v>1</v>
      </c>
      <c r="CN317">
        <v>350</v>
      </c>
      <c r="CO317">
        <v>100</v>
      </c>
      <c r="CP317" s="74">
        <f ca="1">INDIRECT(ADDRESS(11+(MATCH(RIGHT(Table11[[#This Row],[spawner_sku]],LEN(Table11[[#This Row],[spawner_sku]])-FIND("/",Table11[[#This Row],[spawner_sku]])),Table1[Entity Prefab],0)),10,1,1,"Entities"))</f>
        <v>103</v>
      </c>
      <c r="CQ317">
        <f ca="1">ROUND((Table11[[#This Row],[XP]]*Table11[[#This Row],[entity_spawned (AVG)]])*(Table11[[#This Row],[activating_chance]]/100),0)</f>
        <v>103</v>
      </c>
      <c r="CR317" s="144" t="str">
        <f ca="1">INDIRECT(ADDRESS(11+(MATCH(RIGHT(Table11[[#This Row],[spawner_sku]],LEN(Table11[[#This Row],[spawner_sku]])-FIND("/",Table11[[#This Row],[spawner_sku]])),Table28[Entity Prefab],0)),25,1,1,"Entities"))</f>
        <v>yes</v>
      </c>
      <c r="CS317" s="71">
        <v>1</v>
      </c>
      <c r="CT317" s="71">
        <v>1</v>
      </c>
      <c r="CU317" s="71" t="b">
        <v>0</v>
      </c>
      <c r="DH317" t="s">
        <v>507</v>
      </c>
      <c r="DI317">
        <v>6</v>
      </c>
      <c r="DJ317">
        <v>100</v>
      </c>
      <c r="DK317">
        <v>100</v>
      </c>
      <c r="DL317" s="74">
        <f ca="1">INDIRECT(ADDRESS(11+(MATCH(RIGHT(Table13[[#This Row],[spawner_sku]],LEN(Table13[[#This Row],[spawner_sku]])-FIND("/",Table13[[#This Row],[spawner_sku]])),Table1[Entity Prefab],0)),10,1,1,"Entities"))</f>
        <v>25</v>
      </c>
      <c r="DM317" s="74">
        <f ca="1">ROUND((Table13[[#This Row],[XP]]*Table13[[#This Row],[entity_spawned (AVG)]])*(Table13[[#This Row],[activating_chance]]/100),0)</f>
        <v>150</v>
      </c>
      <c r="DN317" s="144" t="str">
        <f ca="1">INDIRECT(ADDRESS(11+(MATCH(RIGHT(Table13[[#This Row],[spawner_sku]],LEN(Table13[[#This Row],[spawner_sku]])-FIND("/",Table13[[#This Row],[spawner_sku]])),Table28[Entity Prefab],0)),25,1,1,"Entities"))</f>
        <v>no</v>
      </c>
      <c r="DO317" s="71">
        <v>6</v>
      </c>
      <c r="DP317" s="71">
        <v>6</v>
      </c>
      <c r="DQ317" s="71" t="b">
        <v>1</v>
      </c>
      <c r="DS317" t="s">
        <v>511</v>
      </c>
      <c r="DT317">
        <v>1</v>
      </c>
      <c r="DU317">
        <v>145</v>
      </c>
      <c r="DV317">
        <v>100</v>
      </c>
      <c r="DW317" s="74">
        <f ca="1">INDIRECT(ADDRESS(11+(MATCH(RIGHT(Table14[[#This Row],[spawner_sku]],LEN(Table14[[#This Row],[spawner_sku]])-FIND("/",Table14[[#This Row],[spawner_sku]])),Table1[Entity Prefab],0)),10,1,1,"Entities"))</f>
        <v>75</v>
      </c>
      <c r="DX317" s="74">
        <f ca="1">ROUND((Table14[[#This Row],[XP]]*Table14[[#This Row],[entity_spawned (AVG)]])*(Table14[[#This Row],[activating_chance]]/100),0)</f>
        <v>75</v>
      </c>
      <c r="DY317" s="144" t="str">
        <f ca="1">INDIRECT(ADDRESS(11+(MATCH(RIGHT(Table14[[#This Row],[spawner_sku]],LEN(Table14[[#This Row],[spawner_sku]])-FIND("/",Table14[[#This Row],[spawner_sku]])),Table28[Entity Prefab],0)),25,1,1,"Entities"))</f>
        <v>no</v>
      </c>
      <c r="DZ317" s="71">
        <v>1</v>
      </c>
      <c r="EA317" s="71">
        <v>1</v>
      </c>
      <c r="EB317" s="71" t="b">
        <v>0</v>
      </c>
      <c r="EC317" s="71"/>
      <c r="EO317" t="s">
        <v>241</v>
      </c>
      <c r="EP317">
        <v>1</v>
      </c>
      <c r="EQ317">
        <v>150</v>
      </c>
      <c r="ER317">
        <v>100</v>
      </c>
      <c r="ES317" s="74">
        <f ca="1">INDIRECT(ADDRESS(11+(MATCH(RIGHT(Table18[[#This Row],[spawner_sku]],LEN(Table18[[#This Row],[spawner_sku]])-FIND("/",Table18[[#This Row],[spawner_sku]])),Table1[Entity Prefab],0)),10,1,1,"Entities"))</f>
        <v>70</v>
      </c>
      <c r="ET317" s="74">
        <f ca="1">ROUND((Table18[[#This Row],[XP]]*Table18[[#This Row],[entity_spawned (AVG)]])*(Table18[[#This Row],[activating_chance]]/100),0)</f>
        <v>70</v>
      </c>
      <c r="EU317" s="74" t="str">
        <f ca="1">INDIRECT(ADDRESS(11+(MATCH(RIGHT(Table18[[#This Row],[spawner_sku]],LEN(Table18[[#This Row],[spawner_sku]])-FIND("/",Table18[[#This Row],[spawner_sku]])),Table28[Entity Prefab],0)),26,1,1,"Entities"))</f>
        <v>yes</v>
      </c>
      <c r="EV317">
        <v>1</v>
      </c>
      <c r="EW317">
        <v>1</v>
      </c>
      <c r="EX317" t="b">
        <v>0</v>
      </c>
    </row>
    <row r="318" spans="2:154" x14ac:dyDescent="0.25">
      <c r="B318" s="72" t="s">
        <v>228</v>
      </c>
      <c r="C318">
        <v>1</v>
      </c>
      <c r="D318">
        <v>1500</v>
      </c>
      <c r="E318">
        <v>100</v>
      </c>
      <c r="F318" s="74">
        <f ca="1">INDIRECT(ADDRESS(11+(MATCH(RIGHT(Table245[[#This Row],[spawner_sku]],LEN(Table245[[#This Row],[spawner_sku]])-FIND("/",Table245[[#This Row],[spawner_sku]])),Table1[Entity Prefab],0)),10,1,1,"Entities"))</f>
        <v>130</v>
      </c>
      <c r="G318" s="74">
        <f ca="1">ROUND((Table245[[#This Row],[XP]]*Table245[[#This Row],[entity_spawned (AVG)]])*(Table245[[#This Row],[activating_chance]]/100),0)</f>
        <v>130</v>
      </c>
      <c r="H318" s="71" t="str">
        <f ca="1">INDIRECT(ADDRESS(11+(MATCH(RIGHT(Table245[[#This Row],[spawner_sku]],LEN(Table245[[#This Row],[spawner_sku]])-FIND("/",Table245[[#This Row],[spawner_sku]])),Table28[Entity Prefab],0)),24,1,1,"Entities"))</f>
        <v>yes</v>
      </c>
      <c r="I318" s="71">
        <v>1</v>
      </c>
      <c r="J318" s="71">
        <v>1</v>
      </c>
      <c r="K318" s="71" t="b">
        <v>0</v>
      </c>
      <c r="AI318" t="s">
        <v>367</v>
      </c>
      <c r="AJ318">
        <v>1</v>
      </c>
      <c r="AK318">
        <v>200</v>
      </c>
      <c r="AL318">
        <v>100</v>
      </c>
      <c r="AM318" s="74">
        <f ca="1">INDIRECT(ADDRESS(11+(MATCH(RIGHT(Table2[[#This Row],[spawner_sku]],LEN(Table2[[#This Row],[spawner_sku]])-FIND("/",Table2[[#This Row],[spawner_sku]])),Table1[Entity Prefab],0)),10,1,1,"Entities"))</f>
        <v>75</v>
      </c>
      <c r="AN318" s="74">
        <f ca="1">ROUND((Table2[[#This Row],[XP]]*Table2[[#This Row],[entity_spawned (AVG)]])*(Table2[[#This Row],[activating_chance]]/100),0)</f>
        <v>75</v>
      </c>
      <c r="AO318" s="71" t="str">
        <f ca="1">INDIRECT(ADDRESS(11+(MATCH(RIGHT(Table2[[#This Row],[spawner_sku]],LEN(Table2[[#This Row],[spawner_sku]])-FIND("/",Table2[[#This Row],[spawner_sku]])),Table28[Entity Prefab],0)),24,1,1,"Entities"))</f>
        <v>no</v>
      </c>
      <c r="AP318" s="71">
        <v>1</v>
      </c>
      <c r="AQ318" s="71">
        <v>1</v>
      </c>
      <c r="AR318" s="71" t="b">
        <v>0</v>
      </c>
      <c r="BP318" t="s">
        <v>554</v>
      </c>
      <c r="BQ318">
        <v>1</v>
      </c>
      <c r="BR318">
        <v>300</v>
      </c>
      <c r="BS318">
        <v>100</v>
      </c>
      <c r="BT318" s="74">
        <f ca="1">INDIRECT(ADDRESS(11+(MATCH(RIGHT(Table61011[[#This Row],[spawner_sku]],LEN(Table61011[[#This Row],[spawner_sku]])-FIND("/",Table61011[[#This Row],[spawner_sku]])),Table1[Entity Prefab],0)),10,1,1,"Entities"))</f>
        <v>50</v>
      </c>
      <c r="BU318" s="74">
        <f ca="1">ROUND((Table61011[[#This Row],[XP]]*Table61011[[#This Row],[entity_spawned (AVG)]])*(Table61011[[#This Row],[activating_chance]]/100),0)</f>
        <v>50</v>
      </c>
      <c r="BV318" s="71" t="str">
        <f ca="1">INDIRECT(ADDRESS(11+(MATCH(RIGHT(Table61011[[#This Row],[spawner_sku]],LEN(Table61011[[#This Row],[spawner_sku]])-FIND("/",Table61011[[#This Row],[spawner_sku]])),Table28[Entity Prefab],0)),24,1,1,"Entities"))</f>
        <v>yes</v>
      </c>
      <c r="BW318" s="71">
        <v>1</v>
      </c>
      <c r="BX318" s="71">
        <v>1</v>
      </c>
      <c r="BY318" s="71" t="b">
        <v>0</v>
      </c>
      <c r="BZ318" s="71"/>
      <c r="CA318" s="147" t="s">
        <v>3816</v>
      </c>
      <c r="CB318">
        <v>1</v>
      </c>
      <c r="CC318">
        <v>240</v>
      </c>
      <c r="CD318">
        <v>100</v>
      </c>
      <c r="CE318" s="74">
        <f ca="1">INDIRECT(ADDRESS(11+(MATCH(RIGHT(Table35[[#This Row],[spawner_sku]],LEN(Table35[[#This Row],[spawner_sku]])-FIND("/",Table35[[#This Row],[spawner_sku]])),Table1[Entity Prefab],0)),10,1,1,"Entities"))</f>
        <v>50</v>
      </c>
      <c r="CF318" s="74">
        <f ca="1">ROUND((Table35[[#This Row],[XP]]*Table35[[#This Row],[entity_spawned (AVG)]])*(Table35[[#This Row],[activating_chance]]/100),0)</f>
        <v>50</v>
      </c>
      <c r="CG318" s="144" t="str">
        <f ca="1">INDIRECT(ADDRESS(11+(MATCH(RIGHT(Table35[[#This Row],[spawner_sku]],LEN(Table35[[#This Row],[spawner_sku]])-FIND("/",Table35[[#This Row],[spawner_sku]])),Table28[Entity Prefab],0)),24,1,1,"Entities"))</f>
        <v>no</v>
      </c>
      <c r="CH318">
        <v>1</v>
      </c>
      <c r="CI318">
        <v>1</v>
      </c>
      <c r="CJ318" s="71" t="b">
        <v>0</v>
      </c>
      <c r="CL318" t="s">
        <v>368</v>
      </c>
      <c r="CM318">
        <v>1</v>
      </c>
      <c r="CN318">
        <v>180</v>
      </c>
      <c r="CO318">
        <v>50</v>
      </c>
      <c r="CP318" s="74">
        <f ca="1">INDIRECT(ADDRESS(11+(MATCH(RIGHT(Table11[[#This Row],[spawner_sku]],LEN(Table11[[#This Row],[spawner_sku]])-FIND("/",Table11[[#This Row],[spawner_sku]])),Table1[Entity Prefab],0)),10,1,1,"Entities"))</f>
        <v>75</v>
      </c>
      <c r="CQ318">
        <f ca="1">ROUND((Table11[[#This Row],[XP]]*Table11[[#This Row],[entity_spawned (AVG)]])*(Table11[[#This Row],[activating_chance]]/100),0)</f>
        <v>38</v>
      </c>
      <c r="CR318" s="144" t="str">
        <f ca="1">INDIRECT(ADDRESS(11+(MATCH(RIGHT(Table11[[#This Row],[spawner_sku]],LEN(Table11[[#This Row],[spawner_sku]])-FIND("/",Table11[[#This Row],[spawner_sku]])),Table28[Entity Prefab],0)),25,1,1,"Entities"))</f>
        <v>yes</v>
      </c>
      <c r="CS318" s="71">
        <v>1</v>
      </c>
      <c r="CT318" s="71">
        <v>1</v>
      </c>
      <c r="CU318" s="71" t="b">
        <v>0</v>
      </c>
      <c r="DH318" t="s">
        <v>508</v>
      </c>
      <c r="DI318">
        <v>3</v>
      </c>
      <c r="DJ318">
        <v>100</v>
      </c>
      <c r="DK318">
        <v>100</v>
      </c>
      <c r="DL318" s="74">
        <f ca="1">INDIRECT(ADDRESS(11+(MATCH(RIGHT(Table13[[#This Row],[spawner_sku]],LEN(Table13[[#This Row],[spawner_sku]])-FIND("/",Table13[[#This Row],[spawner_sku]])),Table1[Entity Prefab],0)),10,1,1,"Entities"))</f>
        <v>25</v>
      </c>
      <c r="DM318" s="74">
        <f ca="1">ROUND((Table13[[#This Row],[XP]]*Table13[[#This Row],[entity_spawned (AVG)]])*(Table13[[#This Row],[activating_chance]]/100),0)</f>
        <v>75</v>
      </c>
      <c r="DN318" s="144" t="str">
        <f ca="1">INDIRECT(ADDRESS(11+(MATCH(RIGHT(Table13[[#This Row],[spawner_sku]],LEN(Table13[[#This Row],[spawner_sku]])-FIND("/",Table13[[#This Row],[spawner_sku]])),Table28[Entity Prefab],0)),25,1,1,"Entities"))</f>
        <v>no</v>
      </c>
      <c r="DO318" s="71">
        <v>3</v>
      </c>
      <c r="DP318" s="71">
        <v>3</v>
      </c>
      <c r="DQ318" s="71" t="b">
        <v>0</v>
      </c>
      <c r="DS318" t="s">
        <v>511</v>
      </c>
      <c r="DT318">
        <v>1</v>
      </c>
      <c r="DU318">
        <v>140</v>
      </c>
      <c r="DV318">
        <v>100</v>
      </c>
      <c r="DW318" s="74">
        <f ca="1">INDIRECT(ADDRESS(11+(MATCH(RIGHT(Table14[[#This Row],[spawner_sku]],LEN(Table14[[#This Row],[spawner_sku]])-FIND("/",Table14[[#This Row],[spawner_sku]])),Table1[Entity Prefab],0)),10,1,1,"Entities"))</f>
        <v>75</v>
      </c>
      <c r="DX318" s="74">
        <f ca="1">ROUND((Table14[[#This Row],[XP]]*Table14[[#This Row],[entity_spawned (AVG)]])*(Table14[[#This Row],[activating_chance]]/100),0)</f>
        <v>75</v>
      </c>
      <c r="DY318" s="144" t="str">
        <f ca="1">INDIRECT(ADDRESS(11+(MATCH(RIGHT(Table14[[#This Row],[spawner_sku]],LEN(Table14[[#This Row],[spawner_sku]])-FIND("/",Table14[[#This Row],[spawner_sku]])),Table28[Entity Prefab],0)),25,1,1,"Entities"))</f>
        <v>no</v>
      </c>
      <c r="DZ318" s="71">
        <v>1</v>
      </c>
      <c r="EA318" s="71">
        <v>1</v>
      </c>
      <c r="EB318" s="71" t="b">
        <v>0</v>
      </c>
      <c r="EC318" s="71"/>
      <c r="EO318" t="s">
        <v>241</v>
      </c>
      <c r="EP318">
        <v>1.5</v>
      </c>
      <c r="EQ318">
        <v>140</v>
      </c>
      <c r="ER318">
        <v>100</v>
      </c>
      <c r="ES318" s="74">
        <f ca="1">INDIRECT(ADDRESS(11+(MATCH(RIGHT(Table18[[#This Row],[spawner_sku]],LEN(Table18[[#This Row],[spawner_sku]])-FIND("/",Table18[[#This Row],[spawner_sku]])),Table1[Entity Prefab],0)),10,1,1,"Entities"))</f>
        <v>70</v>
      </c>
      <c r="ET318" s="74">
        <f ca="1">ROUND((Table18[[#This Row],[XP]]*Table18[[#This Row],[entity_spawned (AVG)]])*(Table18[[#This Row],[activating_chance]]/100),0)</f>
        <v>105</v>
      </c>
      <c r="EU318" s="74" t="str">
        <f ca="1">INDIRECT(ADDRESS(11+(MATCH(RIGHT(Table18[[#This Row],[spawner_sku]],LEN(Table18[[#This Row],[spawner_sku]])-FIND("/",Table18[[#This Row],[spawner_sku]])),Table28[Entity Prefab],0)),26,1,1,"Entities"))</f>
        <v>yes</v>
      </c>
      <c r="EV318">
        <v>1</v>
      </c>
      <c r="EW318">
        <v>2</v>
      </c>
      <c r="EX318" t="b">
        <v>0</v>
      </c>
    </row>
    <row r="319" spans="2:154" x14ac:dyDescent="0.25">
      <c r="B319" s="72" t="s">
        <v>229</v>
      </c>
      <c r="C319">
        <v>1</v>
      </c>
      <c r="D319">
        <v>1500</v>
      </c>
      <c r="E319">
        <v>80</v>
      </c>
      <c r="F319" s="74">
        <f ca="1">INDIRECT(ADDRESS(11+(MATCH(RIGHT(Table245[[#This Row],[spawner_sku]],LEN(Table245[[#This Row],[spawner_sku]])-FIND("/",Table245[[#This Row],[spawner_sku]])),Table1[Entity Prefab],0)),10,1,1,"Entities"))</f>
        <v>130</v>
      </c>
      <c r="G319" s="74">
        <f ca="1">ROUND((Table245[[#This Row],[XP]]*Table245[[#This Row],[entity_spawned (AVG)]])*(Table245[[#This Row],[activating_chance]]/100),0)</f>
        <v>104</v>
      </c>
      <c r="H319" s="71" t="str">
        <f ca="1">INDIRECT(ADDRESS(11+(MATCH(RIGHT(Table245[[#This Row],[spawner_sku]],LEN(Table245[[#This Row],[spawner_sku]])-FIND("/",Table245[[#This Row],[spawner_sku]])),Table28[Entity Prefab],0)),24,1,1,"Entities"))</f>
        <v>yes</v>
      </c>
      <c r="I319" s="71">
        <v>1</v>
      </c>
      <c r="J319" s="71">
        <v>1</v>
      </c>
      <c r="K319" s="71" t="b">
        <v>0</v>
      </c>
      <c r="AI319" t="s">
        <v>367</v>
      </c>
      <c r="AJ319">
        <v>2</v>
      </c>
      <c r="AK319">
        <v>200</v>
      </c>
      <c r="AL319">
        <v>70</v>
      </c>
      <c r="AM319" s="74">
        <f ca="1">INDIRECT(ADDRESS(11+(MATCH(RIGHT(Table2[[#This Row],[spawner_sku]],LEN(Table2[[#This Row],[spawner_sku]])-FIND("/",Table2[[#This Row],[spawner_sku]])),Table1[Entity Prefab],0)),10,1,1,"Entities"))</f>
        <v>75</v>
      </c>
      <c r="AN319" s="74">
        <f ca="1">ROUND((Table2[[#This Row],[XP]]*Table2[[#This Row],[entity_spawned (AVG)]])*(Table2[[#This Row],[activating_chance]]/100),0)</f>
        <v>105</v>
      </c>
      <c r="AO319" s="71" t="str">
        <f ca="1">INDIRECT(ADDRESS(11+(MATCH(RIGHT(Table2[[#This Row],[spawner_sku]],LEN(Table2[[#This Row],[spawner_sku]])-FIND("/",Table2[[#This Row],[spawner_sku]])),Table28[Entity Prefab],0)),24,1,1,"Entities"))</f>
        <v>no</v>
      </c>
      <c r="AP319" s="71">
        <v>2</v>
      </c>
      <c r="AQ319" s="71">
        <v>2</v>
      </c>
      <c r="AR319" s="71" t="b">
        <v>0</v>
      </c>
      <c r="BP319" t="s">
        <v>554</v>
      </c>
      <c r="BQ319">
        <v>1</v>
      </c>
      <c r="BR319">
        <v>300</v>
      </c>
      <c r="BS319">
        <v>100</v>
      </c>
      <c r="BT319" s="74">
        <f ca="1">INDIRECT(ADDRESS(11+(MATCH(RIGHT(Table61011[[#This Row],[spawner_sku]],LEN(Table61011[[#This Row],[spawner_sku]])-FIND("/",Table61011[[#This Row],[spawner_sku]])),Table1[Entity Prefab],0)),10,1,1,"Entities"))</f>
        <v>50</v>
      </c>
      <c r="BU319" s="74">
        <f ca="1">ROUND((Table61011[[#This Row],[XP]]*Table61011[[#This Row],[entity_spawned (AVG)]])*(Table61011[[#This Row],[activating_chance]]/100),0)</f>
        <v>50</v>
      </c>
      <c r="BV319" s="71" t="str">
        <f ca="1">INDIRECT(ADDRESS(11+(MATCH(RIGHT(Table61011[[#This Row],[spawner_sku]],LEN(Table61011[[#This Row],[spawner_sku]])-FIND("/",Table61011[[#This Row],[spawner_sku]])),Table28[Entity Prefab],0)),24,1,1,"Entities"))</f>
        <v>yes</v>
      </c>
      <c r="BW319" s="71">
        <v>1</v>
      </c>
      <c r="BX319" s="71">
        <v>1</v>
      </c>
      <c r="BY319" s="71" t="b">
        <v>0</v>
      </c>
      <c r="BZ319" s="71"/>
      <c r="CA319" s="147" t="s">
        <v>3816</v>
      </c>
      <c r="CB319">
        <v>1</v>
      </c>
      <c r="CC319">
        <v>240</v>
      </c>
      <c r="CD319">
        <v>100</v>
      </c>
      <c r="CE319" s="74">
        <f ca="1">INDIRECT(ADDRESS(11+(MATCH(RIGHT(Table35[[#This Row],[spawner_sku]],LEN(Table35[[#This Row],[spawner_sku]])-FIND("/",Table35[[#This Row],[spawner_sku]])),Table1[Entity Prefab],0)),10,1,1,"Entities"))</f>
        <v>50</v>
      </c>
      <c r="CF319" s="74">
        <f ca="1">ROUND((Table35[[#This Row],[XP]]*Table35[[#This Row],[entity_spawned (AVG)]])*(Table35[[#This Row],[activating_chance]]/100),0)</f>
        <v>50</v>
      </c>
      <c r="CG319" s="144" t="str">
        <f ca="1">INDIRECT(ADDRESS(11+(MATCH(RIGHT(Table35[[#This Row],[spawner_sku]],LEN(Table35[[#This Row],[spawner_sku]])-FIND("/",Table35[[#This Row],[spawner_sku]])),Table28[Entity Prefab],0)),24,1,1,"Entities"))</f>
        <v>no</v>
      </c>
      <c r="CH319">
        <v>1</v>
      </c>
      <c r="CI319">
        <v>1</v>
      </c>
      <c r="CJ319" s="71" t="b">
        <v>0</v>
      </c>
      <c r="CL319" t="s">
        <v>368</v>
      </c>
      <c r="CM319">
        <v>1</v>
      </c>
      <c r="CN319">
        <v>180</v>
      </c>
      <c r="CO319">
        <v>100</v>
      </c>
      <c r="CP319" s="74">
        <f ca="1">INDIRECT(ADDRESS(11+(MATCH(RIGHT(Table11[[#This Row],[spawner_sku]],LEN(Table11[[#This Row],[spawner_sku]])-FIND("/",Table11[[#This Row],[spawner_sku]])),Table1[Entity Prefab],0)),10,1,1,"Entities"))</f>
        <v>75</v>
      </c>
      <c r="CQ319">
        <f ca="1">ROUND((Table11[[#This Row],[XP]]*Table11[[#This Row],[entity_spawned (AVG)]])*(Table11[[#This Row],[activating_chance]]/100),0)</f>
        <v>75</v>
      </c>
      <c r="CR319" s="144" t="str">
        <f ca="1">INDIRECT(ADDRESS(11+(MATCH(RIGHT(Table11[[#This Row],[spawner_sku]],LEN(Table11[[#This Row],[spawner_sku]])-FIND("/",Table11[[#This Row],[spawner_sku]])),Table28[Entity Prefab],0)),25,1,1,"Entities"))</f>
        <v>yes</v>
      </c>
      <c r="CS319" s="71">
        <v>1</v>
      </c>
      <c r="CT319" s="71">
        <v>1</v>
      </c>
      <c r="CU319" s="71" t="b">
        <v>0</v>
      </c>
      <c r="DH319" t="s">
        <v>365</v>
      </c>
      <c r="DI319">
        <v>1.5</v>
      </c>
      <c r="DJ319">
        <v>170</v>
      </c>
      <c r="DK319">
        <v>100</v>
      </c>
      <c r="DL319" s="74">
        <f ca="1">INDIRECT(ADDRESS(11+(MATCH(RIGHT(Table13[[#This Row],[spawner_sku]],LEN(Table13[[#This Row],[spawner_sku]])-FIND("/",Table13[[#This Row],[spawner_sku]])),Table1[Entity Prefab],0)),10,1,1,"Entities"))</f>
        <v>28</v>
      </c>
      <c r="DM319" s="74">
        <f ca="1">ROUND((Table13[[#This Row],[XP]]*Table13[[#This Row],[entity_spawned (AVG)]])*(Table13[[#This Row],[activating_chance]]/100),0)</f>
        <v>42</v>
      </c>
      <c r="DN319" s="144" t="str">
        <f ca="1">INDIRECT(ADDRESS(11+(MATCH(RIGHT(Table13[[#This Row],[spawner_sku]],LEN(Table13[[#This Row],[spawner_sku]])-FIND("/",Table13[[#This Row],[spawner_sku]])),Table28[Entity Prefab],0)),25,1,1,"Entities"))</f>
        <v>yes</v>
      </c>
      <c r="DO319" s="71">
        <v>1</v>
      </c>
      <c r="DP319" s="71">
        <v>2</v>
      </c>
      <c r="DQ319" s="71" t="b">
        <v>0</v>
      </c>
      <c r="DS319" t="s">
        <v>511</v>
      </c>
      <c r="DT319">
        <v>1</v>
      </c>
      <c r="DU319">
        <v>150</v>
      </c>
      <c r="DV319">
        <v>100</v>
      </c>
      <c r="DW319" s="74">
        <f ca="1">INDIRECT(ADDRESS(11+(MATCH(RIGHT(Table14[[#This Row],[spawner_sku]],LEN(Table14[[#This Row],[spawner_sku]])-FIND("/",Table14[[#This Row],[spawner_sku]])),Table1[Entity Prefab],0)),10,1,1,"Entities"))</f>
        <v>75</v>
      </c>
      <c r="DX319" s="74">
        <f ca="1">ROUND((Table14[[#This Row],[XP]]*Table14[[#This Row],[entity_spawned (AVG)]])*(Table14[[#This Row],[activating_chance]]/100),0)</f>
        <v>75</v>
      </c>
      <c r="DY319" s="144" t="str">
        <f ca="1">INDIRECT(ADDRESS(11+(MATCH(RIGHT(Table14[[#This Row],[spawner_sku]],LEN(Table14[[#This Row],[spawner_sku]])-FIND("/",Table14[[#This Row],[spawner_sku]])),Table28[Entity Prefab],0)),25,1,1,"Entities"))</f>
        <v>no</v>
      </c>
      <c r="DZ319" s="71">
        <v>1</v>
      </c>
      <c r="EA319" s="71">
        <v>1</v>
      </c>
      <c r="EB319" s="71" t="b">
        <v>0</v>
      </c>
      <c r="EC319" s="71"/>
      <c r="EO319" t="s">
        <v>241</v>
      </c>
      <c r="EP319">
        <v>1.5</v>
      </c>
      <c r="EQ319">
        <v>120</v>
      </c>
      <c r="ER319">
        <v>100</v>
      </c>
      <c r="ES319" s="74">
        <f ca="1">INDIRECT(ADDRESS(11+(MATCH(RIGHT(Table18[[#This Row],[spawner_sku]],LEN(Table18[[#This Row],[spawner_sku]])-FIND("/",Table18[[#This Row],[spawner_sku]])),Table1[Entity Prefab],0)),10,1,1,"Entities"))</f>
        <v>70</v>
      </c>
      <c r="ET319" s="74">
        <f ca="1">ROUND((Table18[[#This Row],[XP]]*Table18[[#This Row],[entity_spawned (AVG)]])*(Table18[[#This Row],[activating_chance]]/100),0)</f>
        <v>105</v>
      </c>
      <c r="EU319" s="74" t="str">
        <f ca="1">INDIRECT(ADDRESS(11+(MATCH(RIGHT(Table18[[#This Row],[spawner_sku]],LEN(Table18[[#This Row],[spawner_sku]])-FIND("/",Table18[[#This Row],[spawner_sku]])),Table28[Entity Prefab],0)),26,1,1,"Entities"))</f>
        <v>yes</v>
      </c>
      <c r="EV319">
        <v>1</v>
      </c>
      <c r="EW319">
        <v>2</v>
      </c>
      <c r="EX319" t="b">
        <v>0</v>
      </c>
    </row>
    <row r="320" spans="2:154" x14ac:dyDescent="0.25">
      <c r="B320" s="72" t="s">
        <v>229</v>
      </c>
      <c r="C320">
        <v>1</v>
      </c>
      <c r="D320">
        <v>1500</v>
      </c>
      <c r="E320">
        <v>100</v>
      </c>
      <c r="F320" s="74">
        <f ca="1">INDIRECT(ADDRESS(11+(MATCH(RIGHT(Table245[[#This Row],[spawner_sku]],LEN(Table245[[#This Row],[spawner_sku]])-FIND("/",Table245[[#This Row],[spawner_sku]])),Table1[Entity Prefab],0)),10,1,1,"Entities"))</f>
        <v>130</v>
      </c>
      <c r="G320" s="74">
        <f ca="1">ROUND((Table245[[#This Row],[XP]]*Table245[[#This Row],[entity_spawned (AVG)]])*(Table245[[#This Row],[activating_chance]]/100),0)</f>
        <v>130</v>
      </c>
      <c r="H320" s="71" t="str">
        <f ca="1">INDIRECT(ADDRESS(11+(MATCH(RIGHT(Table245[[#This Row],[spawner_sku]],LEN(Table245[[#This Row],[spawner_sku]])-FIND("/",Table245[[#This Row],[spawner_sku]])),Table28[Entity Prefab],0)),24,1,1,"Entities"))</f>
        <v>yes</v>
      </c>
      <c r="I320" s="71">
        <v>1</v>
      </c>
      <c r="J320" s="71">
        <v>1</v>
      </c>
      <c r="K320" s="71" t="b">
        <v>0</v>
      </c>
      <c r="AI320" t="s">
        <v>367</v>
      </c>
      <c r="AJ320">
        <v>1</v>
      </c>
      <c r="AK320">
        <v>150</v>
      </c>
      <c r="AL320">
        <v>100</v>
      </c>
      <c r="AM320" s="74">
        <f ca="1">INDIRECT(ADDRESS(11+(MATCH(RIGHT(Table2[[#This Row],[spawner_sku]],LEN(Table2[[#This Row],[spawner_sku]])-FIND("/",Table2[[#This Row],[spawner_sku]])),Table1[Entity Prefab],0)),10,1,1,"Entities"))</f>
        <v>75</v>
      </c>
      <c r="AN320" s="74">
        <f ca="1">ROUND((Table2[[#This Row],[XP]]*Table2[[#This Row],[entity_spawned (AVG)]])*(Table2[[#This Row],[activating_chance]]/100),0)</f>
        <v>75</v>
      </c>
      <c r="AO320" s="71" t="str">
        <f ca="1">INDIRECT(ADDRESS(11+(MATCH(RIGHT(Table2[[#This Row],[spawner_sku]],LEN(Table2[[#This Row],[spawner_sku]])-FIND("/",Table2[[#This Row],[spawner_sku]])),Table28[Entity Prefab],0)),24,1,1,"Entities"))</f>
        <v>no</v>
      </c>
      <c r="AP320" s="71">
        <v>1</v>
      </c>
      <c r="AQ320" s="71">
        <v>1</v>
      </c>
      <c r="AR320" s="71" t="b">
        <v>0</v>
      </c>
      <c r="BP320" t="s">
        <v>554</v>
      </c>
      <c r="BQ320">
        <v>1</v>
      </c>
      <c r="BR320">
        <v>300</v>
      </c>
      <c r="BS320">
        <v>100</v>
      </c>
      <c r="BT320" s="74">
        <f ca="1">INDIRECT(ADDRESS(11+(MATCH(RIGHT(Table61011[[#This Row],[spawner_sku]],LEN(Table61011[[#This Row],[spawner_sku]])-FIND("/",Table61011[[#This Row],[spawner_sku]])),Table1[Entity Prefab],0)),10,1,1,"Entities"))</f>
        <v>50</v>
      </c>
      <c r="BU320" s="74">
        <f ca="1">ROUND((Table61011[[#This Row],[XP]]*Table61011[[#This Row],[entity_spawned (AVG)]])*(Table61011[[#This Row],[activating_chance]]/100),0)</f>
        <v>50</v>
      </c>
      <c r="BV320" s="71" t="str">
        <f ca="1">INDIRECT(ADDRESS(11+(MATCH(RIGHT(Table61011[[#This Row],[spawner_sku]],LEN(Table61011[[#This Row],[spawner_sku]])-FIND("/",Table61011[[#This Row],[spawner_sku]])),Table28[Entity Prefab],0)),24,1,1,"Entities"))</f>
        <v>yes</v>
      </c>
      <c r="BW320" s="71">
        <v>1</v>
      </c>
      <c r="BX320" s="71">
        <v>1</v>
      </c>
      <c r="BY320" s="71" t="b">
        <v>0</v>
      </c>
      <c r="BZ320" s="71"/>
      <c r="CA320" s="147" t="s">
        <v>3816</v>
      </c>
      <c r="CB320">
        <v>1</v>
      </c>
      <c r="CC320">
        <v>240</v>
      </c>
      <c r="CD320">
        <v>100</v>
      </c>
      <c r="CE320" s="74">
        <f ca="1">INDIRECT(ADDRESS(11+(MATCH(RIGHT(Table35[[#This Row],[spawner_sku]],LEN(Table35[[#This Row],[spawner_sku]])-FIND("/",Table35[[#This Row],[spawner_sku]])),Table1[Entity Prefab],0)),10,1,1,"Entities"))</f>
        <v>50</v>
      </c>
      <c r="CF320" s="74">
        <f ca="1">ROUND((Table35[[#This Row],[XP]]*Table35[[#This Row],[entity_spawned (AVG)]])*(Table35[[#This Row],[activating_chance]]/100),0)</f>
        <v>50</v>
      </c>
      <c r="CG320" s="144" t="str">
        <f ca="1">INDIRECT(ADDRESS(11+(MATCH(RIGHT(Table35[[#This Row],[spawner_sku]],LEN(Table35[[#This Row],[spawner_sku]])-FIND("/",Table35[[#This Row],[spawner_sku]])),Table28[Entity Prefab],0)),24,1,1,"Entities"))</f>
        <v>no</v>
      </c>
      <c r="CH320">
        <v>1</v>
      </c>
      <c r="CI320">
        <v>1</v>
      </c>
      <c r="CJ320" s="71" t="b">
        <v>0</v>
      </c>
      <c r="CL320" t="s">
        <v>510</v>
      </c>
      <c r="CM320">
        <v>1</v>
      </c>
      <c r="CN320">
        <v>150</v>
      </c>
      <c r="CO320">
        <v>80</v>
      </c>
      <c r="CP320" s="74">
        <f ca="1">INDIRECT(ADDRESS(11+(MATCH(RIGHT(Table11[[#This Row],[spawner_sku]],LEN(Table11[[#This Row],[spawner_sku]])-FIND("/",Table11[[#This Row],[spawner_sku]])),Table1[Entity Prefab],0)),10,1,1,"Entities"))</f>
        <v>90</v>
      </c>
      <c r="CQ320">
        <f ca="1">ROUND((Table11[[#This Row],[XP]]*Table11[[#This Row],[entity_spawned (AVG)]])*(Table11[[#This Row],[activating_chance]]/100),0)</f>
        <v>72</v>
      </c>
      <c r="CR320" s="144" t="str">
        <f ca="1">INDIRECT(ADDRESS(11+(MATCH(RIGHT(Table11[[#This Row],[spawner_sku]],LEN(Table11[[#This Row],[spawner_sku]])-FIND("/",Table11[[#This Row],[spawner_sku]])),Table28[Entity Prefab],0)),25,1,1,"Entities"))</f>
        <v>no</v>
      </c>
      <c r="CS320" s="71">
        <v>1</v>
      </c>
      <c r="CT320" s="71">
        <v>1</v>
      </c>
      <c r="CU320" s="71" t="b">
        <v>0</v>
      </c>
      <c r="DH320" t="s">
        <v>365</v>
      </c>
      <c r="DI320">
        <v>5.5</v>
      </c>
      <c r="DJ320">
        <v>170</v>
      </c>
      <c r="DK320">
        <v>100</v>
      </c>
      <c r="DL320" s="74">
        <f ca="1">INDIRECT(ADDRESS(11+(MATCH(RIGHT(Table13[[#This Row],[spawner_sku]],LEN(Table13[[#This Row],[spawner_sku]])-FIND("/",Table13[[#This Row],[spawner_sku]])),Table1[Entity Prefab],0)),10,1,1,"Entities"))</f>
        <v>28</v>
      </c>
      <c r="DM320" s="74">
        <f ca="1">ROUND((Table13[[#This Row],[XP]]*Table13[[#This Row],[entity_spawned (AVG)]])*(Table13[[#This Row],[activating_chance]]/100),0)</f>
        <v>154</v>
      </c>
      <c r="DN320" s="144" t="str">
        <f ca="1">INDIRECT(ADDRESS(11+(MATCH(RIGHT(Table13[[#This Row],[spawner_sku]],LEN(Table13[[#This Row],[spawner_sku]])-FIND("/",Table13[[#This Row],[spawner_sku]])),Table28[Entity Prefab],0)),25,1,1,"Entities"))</f>
        <v>yes</v>
      </c>
      <c r="DO320" s="71">
        <v>5</v>
      </c>
      <c r="DP320" s="71">
        <v>6</v>
      </c>
      <c r="DQ320" s="71" t="b">
        <v>1</v>
      </c>
      <c r="DS320" t="s">
        <v>511</v>
      </c>
      <c r="DT320">
        <v>1</v>
      </c>
      <c r="DU320">
        <v>120</v>
      </c>
      <c r="DV320">
        <v>100</v>
      </c>
      <c r="DW320" s="74">
        <f ca="1">INDIRECT(ADDRESS(11+(MATCH(RIGHT(Table14[[#This Row],[spawner_sku]],LEN(Table14[[#This Row],[spawner_sku]])-FIND("/",Table14[[#This Row],[spawner_sku]])),Table1[Entity Prefab],0)),10,1,1,"Entities"))</f>
        <v>75</v>
      </c>
      <c r="DX320" s="74">
        <f ca="1">ROUND((Table14[[#This Row],[XP]]*Table14[[#This Row],[entity_spawned (AVG)]])*(Table14[[#This Row],[activating_chance]]/100),0)</f>
        <v>75</v>
      </c>
      <c r="DY320" s="144" t="str">
        <f ca="1">INDIRECT(ADDRESS(11+(MATCH(RIGHT(Table14[[#This Row],[spawner_sku]],LEN(Table14[[#This Row],[spawner_sku]])-FIND("/",Table14[[#This Row],[spawner_sku]])),Table28[Entity Prefab],0)),25,1,1,"Entities"))</f>
        <v>no</v>
      </c>
      <c r="DZ320" s="71">
        <v>1</v>
      </c>
      <c r="EA320" s="71">
        <v>1</v>
      </c>
      <c r="EB320" s="71" t="b">
        <v>0</v>
      </c>
      <c r="EC320" s="71"/>
      <c r="EO320" t="s">
        <v>242</v>
      </c>
      <c r="EP320">
        <v>3.5</v>
      </c>
      <c r="EQ320">
        <v>150</v>
      </c>
      <c r="ER320">
        <v>80</v>
      </c>
      <c r="ES320" s="74">
        <f ca="1">INDIRECT(ADDRESS(11+(MATCH(RIGHT(Table18[[#This Row],[spawner_sku]],LEN(Table18[[#This Row],[spawner_sku]])-FIND("/",Table18[[#This Row],[spawner_sku]])),Table1[Entity Prefab],0)),10,1,1,"Entities"))</f>
        <v>25</v>
      </c>
      <c r="ET320" s="74">
        <f ca="1">ROUND((Table18[[#This Row],[XP]]*Table18[[#This Row],[entity_spawned (AVG)]])*(Table18[[#This Row],[activating_chance]]/100),0)</f>
        <v>70</v>
      </c>
      <c r="EU320" s="74" t="str">
        <f ca="1">INDIRECT(ADDRESS(11+(MATCH(RIGHT(Table18[[#This Row],[spawner_sku]],LEN(Table18[[#This Row],[spawner_sku]])-FIND("/",Table18[[#This Row],[spawner_sku]])),Table28[Entity Prefab],0)),26,1,1,"Entities"))</f>
        <v>no</v>
      </c>
      <c r="EV320">
        <v>3</v>
      </c>
      <c r="EW320">
        <v>4</v>
      </c>
      <c r="EX320" t="b">
        <v>0</v>
      </c>
    </row>
    <row r="321" spans="2:154" x14ac:dyDescent="0.25">
      <c r="B321" s="72" t="s">
        <v>229</v>
      </c>
      <c r="C321">
        <v>1</v>
      </c>
      <c r="D321">
        <v>1500</v>
      </c>
      <c r="E321">
        <v>80</v>
      </c>
      <c r="F321" s="74">
        <f ca="1">INDIRECT(ADDRESS(11+(MATCH(RIGHT(Table245[[#This Row],[spawner_sku]],LEN(Table245[[#This Row],[spawner_sku]])-FIND("/",Table245[[#This Row],[spawner_sku]])),Table1[Entity Prefab],0)),10,1,1,"Entities"))</f>
        <v>130</v>
      </c>
      <c r="G321" s="74">
        <f ca="1">ROUND((Table245[[#This Row],[XP]]*Table245[[#This Row],[entity_spawned (AVG)]])*(Table245[[#This Row],[activating_chance]]/100),0)</f>
        <v>104</v>
      </c>
      <c r="H321" s="71" t="str">
        <f ca="1">INDIRECT(ADDRESS(11+(MATCH(RIGHT(Table245[[#This Row],[spawner_sku]],LEN(Table245[[#This Row],[spawner_sku]])-FIND("/",Table245[[#This Row],[spawner_sku]])),Table28[Entity Prefab],0)),24,1,1,"Entities"))</f>
        <v>yes</v>
      </c>
      <c r="I321" s="71">
        <v>1</v>
      </c>
      <c r="J321" s="71">
        <v>1</v>
      </c>
      <c r="K321" s="71" t="b">
        <v>0</v>
      </c>
      <c r="AI321" t="s">
        <v>367</v>
      </c>
      <c r="AJ321">
        <v>1</v>
      </c>
      <c r="AK321">
        <v>180</v>
      </c>
      <c r="AL321">
        <v>100</v>
      </c>
      <c r="AM321" s="74">
        <f ca="1">INDIRECT(ADDRESS(11+(MATCH(RIGHT(Table2[[#This Row],[spawner_sku]],LEN(Table2[[#This Row],[spawner_sku]])-FIND("/",Table2[[#This Row],[spawner_sku]])),Table1[Entity Prefab],0)),10,1,1,"Entities"))</f>
        <v>75</v>
      </c>
      <c r="AN321" s="74">
        <f ca="1">ROUND((Table2[[#This Row],[XP]]*Table2[[#This Row],[entity_spawned (AVG)]])*(Table2[[#This Row],[activating_chance]]/100),0)</f>
        <v>75</v>
      </c>
      <c r="AO321" s="71" t="str">
        <f ca="1">INDIRECT(ADDRESS(11+(MATCH(RIGHT(Table2[[#This Row],[spawner_sku]],LEN(Table2[[#This Row],[spawner_sku]])-FIND("/",Table2[[#This Row],[spawner_sku]])),Table28[Entity Prefab],0)),24,1,1,"Entities"))</f>
        <v>no</v>
      </c>
      <c r="AP321" s="71">
        <v>1</v>
      </c>
      <c r="AQ321" s="71">
        <v>1</v>
      </c>
      <c r="AR321" s="71" t="b">
        <v>0</v>
      </c>
      <c r="BP321" t="s">
        <v>554</v>
      </c>
      <c r="BQ321">
        <v>1</v>
      </c>
      <c r="BR321">
        <v>300</v>
      </c>
      <c r="BS321">
        <v>40</v>
      </c>
      <c r="BT321" s="74">
        <f ca="1">INDIRECT(ADDRESS(11+(MATCH(RIGHT(Table61011[[#This Row],[spawner_sku]],LEN(Table61011[[#This Row],[spawner_sku]])-FIND("/",Table61011[[#This Row],[spawner_sku]])),Table1[Entity Prefab],0)),10,1,1,"Entities"))</f>
        <v>50</v>
      </c>
      <c r="BU321" s="74">
        <f ca="1">ROUND((Table61011[[#This Row],[XP]]*Table61011[[#This Row],[entity_spawned (AVG)]])*(Table61011[[#This Row],[activating_chance]]/100),0)</f>
        <v>20</v>
      </c>
      <c r="BV321" s="71" t="str">
        <f ca="1">INDIRECT(ADDRESS(11+(MATCH(RIGHT(Table61011[[#This Row],[spawner_sku]],LEN(Table61011[[#This Row],[spawner_sku]])-FIND("/",Table61011[[#This Row],[spawner_sku]])),Table28[Entity Prefab],0)),24,1,1,"Entities"))</f>
        <v>yes</v>
      </c>
      <c r="BW321" s="71">
        <v>1</v>
      </c>
      <c r="BX321" s="71">
        <v>1</v>
      </c>
      <c r="BY321" s="71" t="b">
        <v>0</v>
      </c>
      <c r="BZ321" s="71"/>
      <c r="CA321" s="147" t="s">
        <v>3816</v>
      </c>
      <c r="CB321">
        <v>1</v>
      </c>
      <c r="CC321">
        <v>240</v>
      </c>
      <c r="CD321">
        <v>100</v>
      </c>
      <c r="CE321" s="74">
        <f ca="1">INDIRECT(ADDRESS(11+(MATCH(RIGHT(Table35[[#This Row],[spawner_sku]],LEN(Table35[[#This Row],[spawner_sku]])-FIND("/",Table35[[#This Row],[spawner_sku]])),Table1[Entity Prefab],0)),10,1,1,"Entities"))</f>
        <v>50</v>
      </c>
      <c r="CF321" s="74">
        <f ca="1">ROUND((Table35[[#This Row],[XP]]*Table35[[#This Row],[entity_spawned (AVG)]])*(Table35[[#This Row],[activating_chance]]/100),0)</f>
        <v>50</v>
      </c>
      <c r="CG321" s="144" t="str">
        <f ca="1">INDIRECT(ADDRESS(11+(MATCH(RIGHT(Table35[[#This Row],[spawner_sku]],LEN(Table35[[#This Row],[spawner_sku]])-FIND("/",Table35[[#This Row],[spawner_sku]])),Table28[Entity Prefab],0)),24,1,1,"Entities"))</f>
        <v>no</v>
      </c>
      <c r="CH321">
        <v>1</v>
      </c>
      <c r="CI321">
        <v>1</v>
      </c>
      <c r="CJ321" s="71" t="b">
        <v>0</v>
      </c>
      <c r="CL321" t="s">
        <v>510</v>
      </c>
      <c r="CM321">
        <v>1</v>
      </c>
      <c r="CN321">
        <v>165</v>
      </c>
      <c r="CO321">
        <v>100</v>
      </c>
      <c r="CP321" s="74">
        <f ca="1">INDIRECT(ADDRESS(11+(MATCH(RIGHT(Table11[[#This Row],[spawner_sku]],LEN(Table11[[#This Row],[spawner_sku]])-FIND("/",Table11[[#This Row],[spawner_sku]])),Table1[Entity Prefab],0)),10,1,1,"Entities"))</f>
        <v>90</v>
      </c>
      <c r="CQ321">
        <f ca="1">ROUND((Table11[[#This Row],[XP]]*Table11[[#This Row],[entity_spawned (AVG)]])*(Table11[[#This Row],[activating_chance]]/100),0)</f>
        <v>90</v>
      </c>
      <c r="CR321" s="144" t="str">
        <f ca="1">INDIRECT(ADDRESS(11+(MATCH(RIGHT(Table11[[#This Row],[spawner_sku]],LEN(Table11[[#This Row],[spawner_sku]])-FIND("/",Table11[[#This Row],[spawner_sku]])),Table28[Entity Prefab],0)),25,1,1,"Entities"))</f>
        <v>no</v>
      </c>
      <c r="CS321" s="71">
        <v>1</v>
      </c>
      <c r="CT321" s="71">
        <v>1</v>
      </c>
      <c r="CU321" s="71" t="b">
        <v>0</v>
      </c>
      <c r="DH321" t="s">
        <v>365</v>
      </c>
      <c r="DI321">
        <v>1.5</v>
      </c>
      <c r="DJ321">
        <v>170</v>
      </c>
      <c r="DK321">
        <v>30</v>
      </c>
      <c r="DL321" s="74">
        <f ca="1">INDIRECT(ADDRESS(11+(MATCH(RIGHT(Table13[[#This Row],[spawner_sku]],LEN(Table13[[#This Row],[spawner_sku]])-FIND("/",Table13[[#This Row],[spawner_sku]])),Table1[Entity Prefab],0)),10,1,1,"Entities"))</f>
        <v>28</v>
      </c>
      <c r="DM321" s="74">
        <f ca="1">ROUND((Table13[[#This Row],[XP]]*Table13[[#This Row],[entity_spawned (AVG)]])*(Table13[[#This Row],[activating_chance]]/100),0)</f>
        <v>13</v>
      </c>
      <c r="DN321" s="144" t="str">
        <f ca="1">INDIRECT(ADDRESS(11+(MATCH(RIGHT(Table13[[#This Row],[spawner_sku]],LEN(Table13[[#This Row],[spawner_sku]])-FIND("/",Table13[[#This Row],[spawner_sku]])),Table28[Entity Prefab],0)),25,1,1,"Entities"))</f>
        <v>yes</v>
      </c>
      <c r="DO321" s="71">
        <v>1</v>
      </c>
      <c r="DP321" s="71">
        <v>2</v>
      </c>
      <c r="DQ321" s="71" t="b">
        <v>0</v>
      </c>
      <c r="DS321" t="s">
        <v>511</v>
      </c>
      <c r="DT321">
        <v>1</v>
      </c>
      <c r="DU321">
        <v>145</v>
      </c>
      <c r="DV321">
        <v>100</v>
      </c>
      <c r="DW321" s="74">
        <f ca="1">INDIRECT(ADDRESS(11+(MATCH(RIGHT(Table14[[#This Row],[spawner_sku]],LEN(Table14[[#This Row],[spawner_sku]])-FIND("/",Table14[[#This Row],[spawner_sku]])),Table1[Entity Prefab],0)),10,1,1,"Entities"))</f>
        <v>75</v>
      </c>
      <c r="DX321" s="74">
        <f ca="1">ROUND((Table14[[#This Row],[XP]]*Table14[[#This Row],[entity_spawned (AVG)]])*(Table14[[#This Row],[activating_chance]]/100),0)</f>
        <v>75</v>
      </c>
      <c r="DY321" s="144" t="str">
        <f ca="1">INDIRECT(ADDRESS(11+(MATCH(RIGHT(Table14[[#This Row],[spawner_sku]],LEN(Table14[[#This Row],[spawner_sku]])-FIND("/",Table14[[#This Row],[spawner_sku]])),Table28[Entity Prefab],0)),25,1,1,"Entities"))</f>
        <v>no</v>
      </c>
      <c r="DZ321" s="71">
        <v>1</v>
      </c>
      <c r="EA321" s="71">
        <v>1</v>
      </c>
      <c r="EB321" s="71" t="b">
        <v>0</v>
      </c>
      <c r="EC321" s="71"/>
      <c r="EO321" t="s">
        <v>242</v>
      </c>
      <c r="EP321">
        <v>3.5</v>
      </c>
      <c r="EQ321">
        <v>150</v>
      </c>
      <c r="ER321">
        <v>100</v>
      </c>
      <c r="ES321" s="74">
        <f ca="1">INDIRECT(ADDRESS(11+(MATCH(RIGHT(Table18[[#This Row],[spawner_sku]],LEN(Table18[[#This Row],[spawner_sku]])-FIND("/",Table18[[#This Row],[spawner_sku]])),Table1[Entity Prefab],0)),10,1,1,"Entities"))</f>
        <v>25</v>
      </c>
      <c r="ET321" s="74">
        <f ca="1">ROUND((Table18[[#This Row],[XP]]*Table18[[#This Row],[entity_spawned (AVG)]])*(Table18[[#This Row],[activating_chance]]/100),0)</f>
        <v>88</v>
      </c>
      <c r="EU321" s="74" t="str">
        <f ca="1">INDIRECT(ADDRESS(11+(MATCH(RIGHT(Table18[[#This Row],[spawner_sku]],LEN(Table18[[#This Row],[spawner_sku]])-FIND("/",Table18[[#This Row],[spawner_sku]])),Table28[Entity Prefab],0)),26,1,1,"Entities"))</f>
        <v>no</v>
      </c>
      <c r="EV321">
        <v>3</v>
      </c>
      <c r="EW321">
        <v>4</v>
      </c>
      <c r="EX321" t="b">
        <v>0</v>
      </c>
    </row>
    <row r="322" spans="2:154" x14ac:dyDescent="0.25">
      <c r="B322" s="72" t="s">
        <v>229</v>
      </c>
      <c r="C322">
        <v>1</v>
      </c>
      <c r="D322">
        <v>1500</v>
      </c>
      <c r="E322">
        <v>100</v>
      </c>
      <c r="F322" s="74">
        <f ca="1">INDIRECT(ADDRESS(11+(MATCH(RIGHT(Table245[[#This Row],[spawner_sku]],LEN(Table245[[#This Row],[spawner_sku]])-FIND("/",Table245[[#This Row],[spawner_sku]])),Table1[Entity Prefab],0)),10,1,1,"Entities"))</f>
        <v>130</v>
      </c>
      <c r="G322" s="74">
        <f ca="1">ROUND((Table245[[#This Row],[XP]]*Table245[[#This Row],[entity_spawned (AVG)]])*(Table245[[#This Row],[activating_chance]]/100),0)</f>
        <v>130</v>
      </c>
      <c r="H322" s="71" t="str">
        <f ca="1">INDIRECT(ADDRESS(11+(MATCH(RIGHT(Table245[[#This Row],[spawner_sku]],LEN(Table245[[#This Row],[spawner_sku]])-FIND("/",Table245[[#This Row],[spawner_sku]])),Table28[Entity Prefab],0)),24,1,1,"Entities"))</f>
        <v>yes</v>
      </c>
      <c r="I322" s="71">
        <v>1</v>
      </c>
      <c r="J322" s="71">
        <v>1</v>
      </c>
      <c r="K322" s="71" t="b">
        <v>0</v>
      </c>
      <c r="AI322" t="s">
        <v>367</v>
      </c>
      <c r="AJ322">
        <v>1</v>
      </c>
      <c r="AK322">
        <v>200</v>
      </c>
      <c r="AL322">
        <v>100</v>
      </c>
      <c r="AM322" s="74">
        <f ca="1">INDIRECT(ADDRESS(11+(MATCH(RIGHT(Table2[[#This Row],[spawner_sku]],LEN(Table2[[#This Row],[spawner_sku]])-FIND("/",Table2[[#This Row],[spawner_sku]])),Table1[Entity Prefab],0)),10,1,1,"Entities"))</f>
        <v>75</v>
      </c>
      <c r="AN322" s="74">
        <f ca="1">ROUND((Table2[[#This Row],[XP]]*Table2[[#This Row],[entity_spawned (AVG)]])*(Table2[[#This Row],[activating_chance]]/100),0)</f>
        <v>75</v>
      </c>
      <c r="AO322" s="71" t="str">
        <f ca="1">INDIRECT(ADDRESS(11+(MATCH(RIGHT(Table2[[#This Row],[spawner_sku]],LEN(Table2[[#This Row],[spawner_sku]])-FIND("/",Table2[[#This Row],[spawner_sku]])),Table28[Entity Prefab],0)),24,1,1,"Entities"))</f>
        <v>no</v>
      </c>
      <c r="AP322" s="71">
        <v>1</v>
      </c>
      <c r="AQ322" s="71">
        <v>1</v>
      </c>
      <c r="AR322" s="71" t="b">
        <v>0</v>
      </c>
      <c r="BP322" t="s">
        <v>554</v>
      </c>
      <c r="BQ322">
        <v>1</v>
      </c>
      <c r="BR322">
        <v>300</v>
      </c>
      <c r="BS322">
        <v>100</v>
      </c>
      <c r="BT322" s="74">
        <f ca="1">INDIRECT(ADDRESS(11+(MATCH(RIGHT(Table61011[[#This Row],[spawner_sku]],LEN(Table61011[[#This Row],[spawner_sku]])-FIND("/",Table61011[[#This Row],[spawner_sku]])),Table1[Entity Prefab],0)),10,1,1,"Entities"))</f>
        <v>50</v>
      </c>
      <c r="BU322" s="74">
        <f ca="1">ROUND((Table61011[[#This Row],[XP]]*Table61011[[#This Row],[entity_spawned (AVG)]])*(Table61011[[#This Row],[activating_chance]]/100),0)</f>
        <v>50</v>
      </c>
      <c r="BV322" s="71" t="str">
        <f ca="1">INDIRECT(ADDRESS(11+(MATCH(RIGHT(Table61011[[#This Row],[spawner_sku]],LEN(Table61011[[#This Row],[spawner_sku]])-FIND("/",Table61011[[#This Row],[spawner_sku]])),Table28[Entity Prefab],0)),24,1,1,"Entities"))</f>
        <v>yes</v>
      </c>
      <c r="BW322" s="71">
        <v>1</v>
      </c>
      <c r="BX322" s="71">
        <v>1</v>
      </c>
      <c r="BY322" s="71" t="b">
        <v>0</v>
      </c>
      <c r="BZ322" s="71"/>
      <c r="CA322" s="147" t="s">
        <v>3816</v>
      </c>
      <c r="CB322">
        <v>1</v>
      </c>
      <c r="CC322">
        <v>240</v>
      </c>
      <c r="CD322">
        <v>100</v>
      </c>
      <c r="CE322" s="74">
        <f ca="1">INDIRECT(ADDRESS(11+(MATCH(RIGHT(Table35[[#This Row],[spawner_sku]],LEN(Table35[[#This Row],[spawner_sku]])-FIND("/",Table35[[#This Row],[spawner_sku]])),Table1[Entity Prefab],0)),10,1,1,"Entities"))</f>
        <v>50</v>
      </c>
      <c r="CF322" s="74">
        <f ca="1">ROUND((Table35[[#This Row],[XP]]*Table35[[#This Row],[entity_spawned (AVG)]])*(Table35[[#This Row],[activating_chance]]/100),0)</f>
        <v>50</v>
      </c>
      <c r="CG322" s="144" t="str">
        <f ca="1">INDIRECT(ADDRESS(11+(MATCH(RIGHT(Table35[[#This Row],[spawner_sku]],LEN(Table35[[#This Row],[spawner_sku]])-FIND("/",Table35[[#This Row],[spawner_sku]])),Table28[Entity Prefab],0)),24,1,1,"Entities"))</f>
        <v>no</v>
      </c>
      <c r="CH322">
        <v>1</v>
      </c>
      <c r="CI322">
        <v>1</v>
      </c>
      <c r="CJ322" s="71" t="b">
        <v>0</v>
      </c>
      <c r="CL322" t="s">
        <v>510</v>
      </c>
      <c r="CM322">
        <v>1</v>
      </c>
      <c r="CN322">
        <v>140</v>
      </c>
      <c r="CO322">
        <v>60</v>
      </c>
      <c r="CP322" s="74">
        <f ca="1">INDIRECT(ADDRESS(11+(MATCH(RIGHT(Table11[[#This Row],[spawner_sku]],LEN(Table11[[#This Row],[spawner_sku]])-FIND("/",Table11[[#This Row],[spawner_sku]])),Table1[Entity Prefab],0)),10,1,1,"Entities"))</f>
        <v>90</v>
      </c>
      <c r="CQ322">
        <f ca="1">ROUND((Table11[[#This Row],[XP]]*Table11[[#This Row],[entity_spawned (AVG)]])*(Table11[[#This Row],[activating_chance]]/100),0)</f>
        <v>54</v>
      </c>
      <c r="CR322" s="144" t="str">
        <f ca="1">INDIRECT(ADDRESS(11+(MATCH(RIGHT(Table11[[#This Row],[spawner_sku]],LEN(Table11[[#This Row],[spawner_sku]])-FIND("/",Table11[[#This Row],[spawner_sku]])),Table28[Entity Prefab],0)),25,1,1,"Entities"))</f>
        <v>no</v>
      </c>
      <c r="CS322" s="71">
        <v>1</v>
      </c>
      <c r="CT322" s="71">
        <v>1</v>
      </c>
      <c r="CU322" s="71" t="b">
        <v>0</v>
      </c>
      <c r="DH322" t="s">
        <v>365</v>
      </c>
      <c r="DI322">
        <v>2</v>
      </c>
      <c r="DJ322">
        <v>170</v>
      </c>
      <c r="DK322">
        <v>100</v>
      </c>
      <c r="DL322" s="74">
        <f ca="1">INDIRECT(ADDRESS(11+(MATCH(RIGHT(Table13[[#This Row],[spawner_sku]],LEN(Table13[[#This Row],[spawner_sku]])-FIND("/",Table13[[#This Row],[spawner_sku]])),Table1[Entity Prefab],0)),10,1,1,"Entities"))</f>
        <v>28</v>
      </c>
      <c r="DM322" s="74">
        <f ca="1">ROUND((Table13[[#This Row],[XP]]*Table13[[#This Row],[entity_spawned (AVG)]])*(Table13[[#This Row],[activating_chance]]/100),0)</f>
        <v>56</v>
      </c>
      <c r="DN322" s="144" t="str">
        <f ca="1">INDIRECT(ADDRESS(11+(MATCH(RIGHT(Table13[[#This Row],[spawner_sku]],LEN(Table13[[#This Row],[spawner_sku]])-FIND("/",Table13[[#This Row],[spawner_sku]])),Table28[Entity Prefab],0)),25,1,1,"Entities"))</f>
        <v>yes</v>
      </c>
      <c r="DO322" s="71">
        <v>2</v>
      </c>
      <c r="DP322" s="71">
        <v>2</v>
      </c>
      <c r="DQ322" s="71" t="b">
        <v>0</v>
      </c>
      <c r="DS322" t="s">
        <v>511</v>
      </c>
      <c r="DT322">
        <v>1</v>
      </c>
      <c r="DU322">
        <v>150</v>
      </c>
      <c r="DV322">
        <v>100</v>
      </c>
      <c r="DW322" s="74">
        <f ca="1">INDIRECT(ADDRESS(11+(MATCH(RIGHT(Table14[[#This Row],[spawner_sku]],LEN(Table14[[#This Row],[spawner_sku]])-FIND("/",Table14[[#This Row],[spawner_sku]])),Table1[Entity Prefab],0)),10,1,1,"Entities"))</f>
        <v>75</v>
      </c>
      <c r="DX322" s="74">
        <f ca="1">ROUND((Table14[[#This Row],[XP]]*Table14[[#This Row],[entity_spawned (AVG)]])*(Table14[[#This Row],[activating_chance]]/100),0)</f>
        <v>75</v>
      </c>
      <c r="DY322" s="144" t="str">
        <f ca="1">INDIRECT(ADDRESS(11+(MATCH(RIGHT(Table14[[#This Row],[spawner_sku]],LEN(Table14[[#This Row],[spawner_sku]])-FIND("/",Table14[[#This Row],[spawner_sku]])),Table28[Entity Prefab],0)),25,1,1,"Entities"))</f>
        <v>no</v>
      </c>
      <c r="DZ322" s="71">
        <v>1</v>
      </c>
      <c r="EA322" s="71">
        <v>1</v>
      </c>
      <c r="EB322" s="71" t="b">
        <v>0</v>
      </c>
      <c r="EC322" s="71"/>
      <c r="EO322" t="s">
        <v>242</v>
      </c>
      <c r="EP322">
        <v>2.5</v>
      </c>
      <c r="EQ322">
        <v>100</v>
      </c>
      <c r="ER322">
        <v>100</v>
      </c>
      <c r="ES322" s="74">
        <f ca="1">INDIRECT(ADDRESS(11+(MATCH(RIGHT(Table18[[#This Row],[spawner_sku]],LEN(Table18[[#This Row],[spawner_sku]])-FIND("/",Table18[[#This Row],[spawner_sku]])),Table1[Entity Prefab],0)),10,1,1,"Entities"))</f>
        <v>25</v>
      </c>
      <c r="ET322" s="74">
        <f ca="1">ROUND((Table18[[#This Row],[XP]]*Table18[[#This Row],[entity_spawned (AVG)]])*(Table18[[#This Row],[activating_chance]]/100),0)</f>
        <v>63</v>
      </c>
      <c r="EU322" s="74" t="str">
        <f ca="1">INDIRECT(ADDRESS(11+(MATCH(RIGHT(Table18[[#This Row],[spawner_sku]],LEN(Table18[[#This Row],[spawner_sku]])-FIND("/",Table18[[#This Row],[spawner_sku]])),Table28[Entity Prefab],0)),26,1,1,"Entities"))</f>
        <v>no</v>
      </c>
      <c r="EV322">
        <v>2</v>
      </c>
      <c r="EW322">
        <v>3</v>
      </c>
      <c r="EX322" t="b">
        <v>0</v>
      </c>
    </row>
    <row r="323" spans="2:154" x14ac:dyDescent="0.25">
      <c r="B323" s="72" t="s">
        <v>229</v>
      </c>
      <c r="C323">
        <v>1</v>
      </c>
      <c r="D323">
        <v>1500</v>
      </c>
      <c r="E323">
        <v>80</v>
      </c>
      <c r="F323" s="74">
        <f ca="1">INDIRECT(ADDRESS(11+(MATCH(RIGHT(Table245[[#This Row],[spawner_sku]],LEN(Table245[[#This Row],[spawner_sku]])-FIND("/",Table245[[#This Row],[spawner_sku]])),Table1[Entity Prefab],0)),10,1,1,"Entities"))</f>
        <v>130</v>
      </c>
      <c r="G323" s="74">
        <f ca="1">ROUND((Table245[[#This Row],[XP]]*Table245[[#This Row],[entity_spawned (AVG)]])*(Table245[[#This Row],[activating_chance]]/100),0)</f>
        <v>104</v>
      </c>
      <c r="H323" s="71" t="str">
        <f ca="1">INDIRECT(ADDRESS(11+(MATCH(RIGHT(Table245[[#This Row],[spawner_sku]],LEN(Table245[[#This Row],[spawner_sku]])-FIND("/",Table245[[#This Row],[spawner_sku]])),Table28[Entity Prefab],0)),24,1,1,"Entities"))</f>
        <v>yes</v>
      </c>
      <c r="I323" s="71">
        <v>1</v>
      </c>
      <c r="J323" s="71">
        <v>1</v>
      </c>
      <c r="K323" s="71" t="b">
        <v>0</v>
      </c>
      <c r="AI323" t="s">
        <v>367</v>
      </c>
      <c r="AJ323">
        <v>1</v>
      </c>
      <c r="AK323">
        <v>200</v>
      </c>
      <c r="AL323">
        <v>100</v>
      </c>
      <c r="AM323" s="74">
        <f ca="1">INDIRECT(ADDRESS(11+(MATCH(RIGHT(Table2[[#This Row],[spawner_sku]],LEN(Table2[[#This Row],[spawner_sku]])-FIND("/",Table2[[#This Row],[spawner_sku]])),Table1[Entity Prefab],0)),10,1,1,"Entities"))</f>
        <v>75</v>
      </c>
      <c r="AN323" s="74">
        <f ca="1">ROUND((Table2[[#This Row],[XP]]*Table2[[#This Row],[entity_spawned (AVG)]])*(Table2[[#This Row],[activating_chance]]/100),0)</f>
        <v>75</v>
      </c>
      <c r="AO323" s="71" t="str">
        <f ca="1">INDIRECT(ADDRESS(11+(MATCH(RIGHT(Table2[[#This Row],[spawner_sku]],LEN(Table2[[#This Row],[spawner_sku]])-FIND("/",Table2[[#This Row],[spawner_sku]])),Table28[Entity Prefab],0)),24,1,1,"Entities"))</f>
        <v>no</v>
      </c>
      <c r="AP323" s="71">
        <v>1</v>
      </c>
      <c r="AQ323" s="71">
        <v>1</v>
      </c>
      <c r="AR323" s="71" t="b">
        <v>0</v>
      </c>
      <c r="BP323" t="s">
        <v>235</v>
      </c>
      <c r="BQ323">
        <v>1</v>
      </c>
      <c r="BR323">
        <v>300</v>
      </c>
      <c r="BS323">
        <v>100</v>
      </c>
      <c r="BT323" s="74">
        <f ca="1">INDIRECT(ADDRESS(11+(MATCH(RIGHT(Table61011[[#This Row],[spawner_sku]],LEN(Table61011[[#This Row],[spawner_sku]])-FIND("/",Table61011[[#This Row],[spawner_sku]])),Table1[Entity Prefab],0)),10,1,1,"Entities"))</f>
        <v>75</v>
      </c>
      <c r="BU323" s="74">
        <f ca="1">ROUND((Table61011[[#This Row],[XP]]*Table61011[[#This Row],[entity_spawned (AVG)]])*(Table61011[[#This Row],[activating_chance]]/100),0)</f>
        <v>75</v>
      </c>
      <c r="BV323" s="71" t="str">
        <f ca="1">INDIRECT(ADDRESS(11+(MATCH(RIGHT(Table61011[[#This Row],[spawner_sku]],LEN(Table61011[[#This Row],[spawner_sku]])-FIND("/",Table61011[[#This Row],[spawner_sku]])),Table28[Entity Prefab],0)),24,1,1,"Entities"))</f>
        <v>yes</v>
      </c>
      <c r="BW323" s="71">
        <v>1</v>
      </c>
      <c r="BX323" s="71">
        <v>1</v>
      </c>
      <c r="BY323" s="71" t="b">
        <v>0</v>
      </c>
      <c r="BZ323" s="71"/>
      <c r="CA323" s="147" t="s">
        <v>3816</v>
      </c>
      <c r="CB323">
        <v>1</v>
      </c>
      <c r="CC323">
        <v>240</v>
      </c>
      <c r="CD323">
        <v>100</v>
      </c>
      <c r="CE323" s="74">
        <f ca="1">INDIRECT(ADDRESS(11+(MATCH(RIGHT(Table35[[#This Row],[spawner_sku]],LEN(Table35[[#This Row],[spawner_sku]])-FIND("/",Table35[[#This Row],[spawner_sku]])),Table1[Entity Prefab],0)),10,1,1,"Entities"))</f>
        <v>50</v>
      </c>
      <c r="CF323" s="74">
        <f ca="1">ROUND((Table35[[#This Row],[XP]]*Table35[[#This Row],[entity_spawned (AVG)]])*(Table35[[#This Row],[activating_chance]]/100),0)</f>
        <v>50</v>
      </c>
      <c r="CG323" s="144" t="str">
        <f ca="1">INDIRECT(ADDRESS(11+(MATCH(RIGHT(Table35[[#This Row],[spawner_sku]],LEN(Table35[[#This Row],[spawner_sku]])-FIND("/",Table35[[#This Row],[spawner_sku]])),Table28[Entity Prefab],0)),24,1,1,"Entities"))</f>
        <v>no</v>
      </c>
      <c r="CH323">
        <v>1</v>
      </c>
      <c r="CI323">
        <v>1</v>
      </c>
      <c r="CJ323" s="71" t="b">
        <v>0</v>
      </c>
      <c r="CL323" t="s">
        <v>510</v>
      </c>
      <c r="CM323">
        <v>1</v>
      </c>
      <c r="CN323">
        <v>140</v>
      </c>
      <c r="CO323">
        <v>100</v>
      </c>
      <c r="CP323" s="74">
        <f ca="1">INDIRECT(ADDRESS(11+(MATCH(RIGHT(Table11[[#This Row],[spawner_sku]],LEN(Table11[[#This Row],[spawner_sku]])-FIND("/",Table11[[#This Row],[spawner_sku]])),Table1[Entity Prefab],0)),10,1,1,"Entities"))</f>
        <v>90</v>
      </c>
      <c r="CQ323">
        <f ca="1">ROUND((Table11[[#This Row],[XP]]*Table11[[#This Row],[entity_spawned (AVG)]])*(Table11[[#This Row],[activating_chance]]/100),0)</f>
        <v>90</v>
      </c>
      <c r="CR323" s="144" t="str">
        <f ca="1">INDIRECT(ADDRESS(11+(MATCH(RIGHT(Table11[[#This Row],[spawner_sku]],LEN(Table11[[#This Row],[spawner_sku]])-FIND("/",Table11[[#This Row],[spawner_sku]])),Table28[Entity Prefab],0)),25,1,1,"Entities"))</f>
        <v>no</v>
      </c>
      <c r="CS323" s="71">
        <v>1</v>
      </c>
      <c r="CT323" s="71">
        <v>1</v>
      </c>
      <c r="CU323" s="71" t="b">
        <v>0</v>
      </c>
      <c r="DH323" t="s">
        <v>365</v>
      </c>
      <c r="DI323">
        <v>1.5</v>
      </c>
      <c r="DJ323">
        <v>170</v>
      </c>
      <c r="DK323">
        <v>100</v>
      </c>
      <c r="DL323" s="74">
        <f ca="1">INDIRECT(ADDRESS(11+(MATCH(RIGHT(Table13[[#This Row],[spawner_sku]],LEN(Table13[[#This Row],[spawner_sku]])-FIND("/",Table13[[#This Row],[spawner_sku]])),Table1[Entity Prefab],0)),10,1,1,"Entities"))</f>
        <v>28</v>
      </c>
      <c r="DM323" s="74">
        <f ca="1">ROUND((Table13[[#This Row],[XP]]*Table13[[#This Row],[entity_spawned (AVG)]])*(Table13[[#This Row],[activating_chance]]/100),0)</f>
        <v>42</v>
      </c>
      <c r="DN323" s="144" t="str">
        <f ca="1">INDIRECT(ADDRESS(11+(MATCH(RIGHT(Table13[[#This Row],[spawner_sku]],LEN(Table13[[#This Row],[spawner_sku]])-FIND("/",Table13[[#This Row],[spawner_sku]])),Table28[Entity Prefab],0)),25,1,1,"Entities"))</f>
        <v>yes</v>
      </c>
      <c r="DO323" s="71">
        <v>1</v>
      </c>
      <c r="DP323" s="71">
        <v>2</v>
      </c>
      <c r="DQ323" s="71" t="b">
        <v>0</v>
      </c>
      <c r="DS323" t="s">
        <v>511</v>
      </c>
      <c r="DT323">
        <v>1</v>
      </c>
      <c r="DU323">
        <v>150</v>
      </c>
      <c r="DV323">
        <v>100</v>
      </c>
      <c r="DW323" s="74">
        <f ca="1">INDIRECT(ADDRESS(11+(MATCH(RIGHT(Table14[[#This Row],[spawner_sku]],LEN(Table14[[#This Row],[spawner_sku]])-FIND("/",Table14[[#This Row],[spawner_sku]])),Table1[Entity Prefab],0)),10,1,1,"Entities"))</f>
        <v>75</v>
      </c>
      <c r="DX323" s="74">
        <f ca="1">ROUND((Table14[[#This Row],[XP]]*Table14[[#This Row],[entity_spawned (AVG)]])*(Table14[[#This Row],[activating_chance]]/100),0)</f>
        <v>75</v>
      </c>
      <c r="DY323" s="144" t="str">
        <f ca="1">INDIRECT(ADDRESS(11+(MATCH(RIGHT(Table14[[#This Row],[spawner_sku]],LEN(Table14[[#This Row],[spawner_sku]])-FIND("/",Table14[[#This Row],[spawner_sku]])),Table28[Entity Prefab],0)),25,1,1,"Entities"))</f>
        <v>no</v>
      </c>
      <c r="DZ323" s="71">
        <v>1</v>
      </c>
      <c r="EA323" s="71">
        <v>1</v>
      </c>
      <c r="EB323" s="71" t="b">
        <v>0</v>
      </c>
      <c r="EC323" s="71"/>
      <c r="EO323" t="s">
        <v>242</v>
      </c>
      <c r="EP323">
        <v>3.5</v>
      </c>
      <c r="EQ323">
        <v>130</v>
      </c>
      <c r="ER323">
        <v>100</v>
      </c>
      <c r="ES323" s="74">
        <f ca="1">INDIRECT(ADDRESS(11+(MATCH(RIGHT(Table18[[#This Row],[spawner_sku]],LEN(Table18[[#This Row],[spawner_sku]])-FIND("/",Table18[[#This Row],[spawner_sku]])),Table1[Entity Prefab],0)),10,1,1,"Entities"))</f>
        <v>25</v>
      </c>
      <c r="ET323" s="74">
        <f ca="1">ROUND((Table18[[#This Row],[XP]]*Table18[[#This Row],[entity_spawned (AVG)]])*(Table18[[#This Row],[activating_chance]]/100),0)</f>
        <v>88</v>
      </c>
      <c r="EU323" s="74" t="str">
        <f ca="1">INDIRECT(ADDRESS(11+(MATCH(RIGHT(Table18[[#This Row],[spawner_sku]],LEN(Table18[[#This Row],[spawner_sku]])-FIND("/",Table18[[#This Row],[spawner_sku]])),Table28[Entity Prefab],0)),26,1,1,"Entities"))</f>
        <v>no</v>
      </c>
      <c r="EV323">
        <v>3</v>
      </c>
      <c r="EW323">
        <v>4</v>
      </c>
      <c r="EX323" t="b">
        <v>0</v>
      </c>
    </row>
    <row r="324" spans="2:154" x14ac:dyDescent="0.25">
      <c r="B324" s="72" t="s">
        <v>229</v>
      </c>
      <c r="C324">
        <v>1</v>
      </c>
      <c r="D324">
        <v>1500</v>
      </c>
      <c r="E324">
        <v>100</v>
      </c>
      <c r="F324" s="74">
        <f ca="1">INDIRECT(ADDRESS(11+(MATCH(RIGHT(Table245[[#This Row],[spawner_sku]],LEN(Table245[[#This Row],[spawner_sku]])-FIND("/",Table245[[#This Row],[spawner_sku]])),Table1[Entity Prefab],0)),10,1,1,"Entities"))</f>
        <v>130</v>
      </c>
      <c r="G324" s="74">
        <f ca="1">ROUND((Table245[[#This Row],[XP]]*Table245[[#This Row],[entity_spawned (AVG)]])*(Table245[[#This Row],[activating_chance]]/100),0)</f>
        <v>130</v>
      </c>
      <c r="H324" s="71" t="str">
        <f ca="1">INDIRECT(ADDRESS(11+(MATCH(RIGHT(Table245[[#This Row],[spawner_sku]],LEN(Table245[[#This Row],[spawner_sku]])-FIND("/",Table245[[#This Row],[spawner_sku]])),Table28[Entity Prefab],0)),24,1,1,"Entities"))</f>
        <v>yes</v>
      </c>
      <c r="I324" s="71">
        <v>1</v>
      </c>
      <c r="J324" s="71">
        <v>1</v>
      </c>
      <c r="K324" s="71" t="b">
        <v>0</v>
      </c>
      <c r="AI324" t="s">
        <v>367</v>
      </c>
      <c r="AJ324">
        <v>1</v>
      </c>
      <c r="AK324">
        <v>220</v>
      </c>
      <c r="AL324">
        <v>100</v>
      </c>
      <c r="AM324" s="74">
        <f ca="1">INDIRECT(ADDRESS(11+(MATCH(RIGHT(Table2[[#This Row],[spawner_sku]],LEN(Table2[[#This Row],[spawner_sku]])-FIND("/",Table2[[#This Row],[spawner_sku]])),Table1[Entity Prefab],0)),10,1,1,"Entities"))</f>
        <v>75</v>
      </c>
      <c r="AN324" s="74">
        <f ca="1">ROUND((Table2[[#This Row],[XP]]*Table2[[#This Row],[entity_spawned (AVG)]])*(Table2[[#This Row],[activating_chance]]/100),0)</f>
        <v>75</v>
      </c>
      <c r="AO324" s="71" t="str">
        <f ca="1">INDIRECT(ADDRESS(11+(MATCH(RIGHT(Table2[[#This Row],[spawner_sku]],LEN(Table2[[#This Row],[spawner_sku]])-FIND("/",Table2[[#This Row],[spawner_sku]])),Table28[Entity Prefab],0)),24,1,1,"Entities"))</f>
        <v>no</v>
      </c>
      <c r="AP324" s="71">
        <v>1</v>
      </c>
      <c r="AQ324" s="71">
        <v>1</v>
      </c>
      <c r="AR324" s="71" t="b">
        <v>0</v>
      </c>
      <c r="BP324" t="s">
        <v>235</v>
      </c>
      <c r="BQ324">
        <v>1</v>
      </c>
      <c r="BR324">
        <v>220</v>
      </c>
      <c r="BS324">
        <v>30</v>
      </c>
      <c r="BT324" s="74">
        <f ca="1">INDIRECT(ADDRESS(11+(MATCH(RIGHT(Table61011[[#This Row],[spawner_sku]],LEN(Table61011[[#This Row],[spawner_sku]])-FIND("/",Table61011[[#This Row],[spawner_sku]])),Table1[Entity Prefab],0)),10,1,1,"Entities"))</f>
        <v>75</v>
      </c>
      <c r="BU324" s="74">
        <f ca="1">ROUND((Table61011[[#This Row],[XP]]*Table61011[[#This Row],[entity_spawned (AVG)]])*(Table61011[[#This Row],[activating_chance]]/100),0)</f>
        <v>23</v>
      </c>
      <c r="BV324" s="71" t="str">
        <f ca="1">INDIRECT(ADDRESS(11+(MATCH(RIGHT(Table61011[[#This Row],[spawner_sku]],LEN(Table61011[[#This Row],[spawner_sku]])-FIND("/",Table61011[[#This Row],[spawner_sku]])),Table28[Entity Prefab],0)),24,1,1,"Entities"))</f>
        <v>yes</v>
      </c>
      <c r="BW324" s="71">
        <v>1</v>
      </c>
      <c r="BX324" s="71">
        <v>1</v>
      </c>
      <c r="BY324" s="71" t="b">
        <v>0</v>
      </c>
      <c r="BZ324" s="71"/>
      <c r="CA324" s="147" t="s">
        <v>3816</v>
      </c>
      <c r="CB324">
        <v>1</v>
      </c>
      <c r="CC324">
        <v>240</v>
      </c>
      <c r="CD324">
        <v>100</v>
      </c>
      <c r="CE324" s="74">
        <f ca="1">INDIRECT(ADDRESS(11+(MATCH(RIGHT(Table35[[#This Row],[spawner_sku]],LEN(Table35[[#This Row],[spawner_sku]])-FIND("/",Table35[[#This Row],[spawner_sku]])),Table1[Entity Prefab],0)),10,1,1,"Entities"))</f>
        <v>50</v>
      </c>
      <c r="CF324" s="74">
        <f ca="1">ROUND((Table35[[#This Row],[XP]]*Table35[[#This Row],[entity_spawned (AVG)]])*(Table35[[#This Row],[activating_chance]]/100),0)</f>
        <v>50</v>
      </c>
      <c r="CG324" s="144" t="str">
        <f ca="1">INDIRECT(ADDRESS(11+(MATCH(RIGHT(Table35[[#This Row],[spawner_sku]],LEN(Table35[[#This Row],[spawner_sku]])-FIND("/",Table35[[#This Row],[spawner_sku]])),Table28[Entity Prefab],0)),24,1,1,"Entities"))</f>
        <v>no</v>
      </c>
      <c r="CH324">
        <v>1</v>
      </c>
      <c r="CI324">
        <v>1</v>
      </c>
      <c r="CJ324" s="71" t="b">
        <v>0</v>
      </c>
      <c r="CL324" t="s">
        <v>510</v>
      </c>
      <c r="CM324">
        <v>1</v>
      </c>
      <c r="CN324">
        <v>150</v>
      </c>
      <c r="CO324">
        <v>40</v>
      </c>
      <c r="CP324" s="74">
        <f ca="1">INDIRECT(ADDRESS(11+(MATCH(RIGHT(Table11[[#This Row],[spawner_sku]],LEN(Table11[[#This Row],[spawner_sku]])-FIND("/",Table11[[#This Row],[spawner_sku]])),Table1[Entity Prefab],0)),10,1,1,"Entities"))</f>
        <v>90</v>
      </c>
      <c r="CQ324">
        <f ca="1">ROUND((Table11[[#This Row],[XP]]*Table11[[#This Row],[entity_spawned (AVG)]])*(Table11[[#This Row],[activating_chance]]/100),0)</f>
        <v>36</v>
      </c>
      <c r="CR324" s="144" t="str">
        <f ca="1">INDIRECT(ADDRESS(11+(MATCH(RIGHT(Table11[[#This Row],[spawner_sku]],LEN(Table11[[#This Row],[spawner_sku]])-FIND("/",Table11[[#This Row],[spawner_sku]])),Table28[Entity Prefab],0)),25,1,1,"Entities"))</f>
        <v>no</v>
      </c>
      <c r="CS324" s="71">
        <v>1</v>
      </c>
      <c r="CT324" s="71">
        <v>1</v>
      </c>
      <c r="CU324" s="71" t="b">
        <v>0</v>
      </c>
      <c r="DH324" t="s">
        <v>365</v>
      </c>
      <c r="DI324">
        <v>5.5</v>
      </c>
      <c r="DJ324">
        <v>170</v>
      </c>
      <c r="DK324">
        <v>100</v>
      </c>
      <c r="DL324" s="74">
        <f ca="1">INDIRECT(ADDRESS(11+(MATCH(RIGHT(Table13[[#This Row],[spawner_sku]],LEN(Table13[[#This Row],[spawner_sku]])-FIND("/",Table13[[#This Row],[spawner_sku]])),Table1[Entity Prefab],0)),10,1,1,"Entities"))</f>
        <v>28</v>
      </c>
      <c r="DM324" s="74">
        <f ca="1">ROUND((Table13[[#This Row],[XP]]*Table13[[#This Row],[entity_spawned (AVG)]])*(Table13[[#This Row],[activating_chance]]/100),0)</f>
        <v>154</v>
      </c>
      <c r="DN324" s="144" t="str">
        <f ca="1">INDIRECT(ADDRESS(11+(MATCH(RIGHT(Table13[[#This Row],[spawner_sku]],LEN(Table13[[#This Row],[spawner_sku]])-FIND("/",Table13[[#This Row],[spawner_sku]])),Table28[Entity Prefab],0)),25,1,1,"Entities"))</f>
        <v>yes</v>
      </c>
      <c r="DO324" s="71">
        <v>5</v>
      </c>
      <c r="DP324" s="71">
        <v>6</v>
      </c>
      <c r="DQ324" s="71" t="b">
        <v>1</v>
      </c>
      <c r="DS324" t="s">
        <v>511</v>
      </c>
      <c r="DT324">
        <v>1</v>
      </c>
      <c r="DU324">
        <v>100</v>
      </c>
      <c r="DV324">
        <v>100</v>
      </c>
      <c r="DW324" s="74">
        <f ca="1">INDIRECT(ADDRESS(11+(MATCH(RIGHT(Table14[[#This Row],[spawner_sku]],LEN(Table14[[#This Row],[spawner_sku]])-FIND("/",Table14[[#This Row],[spawner_sku]])),Table1[Entity Prefab],0)),10,1,1,"Entities"))</f>
        <v>75</v>
      </c>
      <c r="DX324" s="74">
        <f ca="1">ROUND((Table14[[#This Row],[XP]]*Table14[[#This Row],[entity_spawned (AVG)]])*(Table14[[#This Row],[activating_chance]]/100),0)</f>
        <v>75</v>
      </c>
      <c r="DY324" s="144" t="str">
        <f ca="1">INDIRECT(ADDRESS(11+(MATCH(RIGHT(Table14[[#This Row],[spawner_sku]],LEN(Table14[[#This Row],[spawner_sku]])-FIND("/",Table14[[#This Row],[spawner_sku]])),Table28[Entity Prefab],0)),25,1,1,"Entities"))</f>
        <v>no</v>
      </c>
      <c r="DZ324" s="71">
        <v>1</v>
      </c>
      <c r="EA324" s="71">
        <v>1</v>
      </c>
      <c r="EB324" s="71" t="b">
        <v>0</v>
      </c>
      <c r="EC324" s="71"/>
      <c r="EO324" t="s">
        <v>242</v>
      </c>
      <c r="EP324">
        <v>2.5</v>
      </c>
      <c r="EQ324">
        <v>150</v>
      </c>
      <c r="ER324">
        <v>100</v>
      </c>
      <c r="ES324" s="74">
        <f ca="1">INDIRECT(ADDRESS(11+(MATCH(RIGHT(Table18[[#This Row],[spawner_sku]],LEN(Table18[[#This Row],[spawner_sku]])-FIND("/",Table18[[#This Row],[spawner_sku]])),Table1[Entity Prefab],0)),10,1,1,"Entities"))</f>
        <v>25</v>
      </c>
      <c r="ET324" s="74">
        <f ca="1">ROUND((Table18[[#This Row],[XP]]*Table18[[#This Row],[entity_spawned (AVG)]])*(Table18[[#This Row],[activating_chance]]/100),0)</f>
        <v>63</v>
      </c>
      <c r="EU324" s="74" t="str">
        <f ca="1">INDIRECT(ADDRESS(11+(MATCH(RIGHT(Table18[[#This Row],[spawner_sku]],LEN(Table18[[#This Row],[spawner_sku]])-FIND("/",Table18[[#This Row],[spawner_sku]])),Table28[Entity Prefab],0)),26,1,1,"Entities"))</f>
        <v>no</v>
      </c>
      <c r="EV324">
        <v>2</v>
      </c>
      <c r="EW324">
        <v>3</v>
      </c>
      <c r="EX324" t="b">
        <v>0</v>
      </c>
    </row>
    <row r="325" spans="2:154" x14ac:dyDescent="0.25">
      <c r="B325" s="72" t="s">
        <v>229</v>
      </c>
      <c r="C325">
        <v>1</v>
      </c>
      <c r="D325">
        <v>1500</v>
      </c>
      <c r="E325">
        <v>100</v>
      </c>
      <c r="F325" s="74">
        <f ca="1">INDIRECT(ADDRESS(11+(MATCH(RIGHT(Table245[[#This Row],[spawner_sku]],LEN(Table245[[#This Row],[spawner_sku]])-FIND("/",Table245[[#This Row],[spawner_sku]])),Table1[Entity Prefab],0)),10,1,1,"Entities"))</f>
        <v>130</v>
      </c>
      <c r="G325" s="74">
        <f ca="1">ROUND((Table245[[#This Row],[XP]]*Table245[[#This Row],[entity_spawned (AVG)]])*(Table245[[#This Row],[activating_chance]]/100),0)</f>
        <v>130</v>
      </c>
      <c r="H325" s="71" t="str">
        <f ca="1">INDIRECT(ADDRESS(11+(MATCH(RIGHT(Table245[[#This Row],[spawner_sku]],LEN(Table245[[#This Row],[spawner_sku]])-FIND("/",Table245[[#This Row],[spawner_sku]])),Table28[Entity Prefab],0)),24,1,1,"Entities"))</f>
        <v>yes</v>
      </c>
      <c r="I325" s="71">
        <v>1</v>
      </c>
      <c r="J325" s="71">
        <v>1</v>
      </c>
      <c r="K325" s="71" t="b">
        <v>0</v>
      </c>
      <c r="AI325" t="s">
        <v>367</v>
      </c>
      <c r="AJ325">
        <v>1</v>
      </c>
      <c r="AK325">
        <v>220</v>
      </c>
      <c r="AL325">
        <v>100</v>
      </c>
      <c r="AM325" s="74">
        <f ca="1">INDIRECT(ADDRESS(11+(MATCH(RIGHT(Table2[[#This Row],[spawner_sku]],LEN(Table2[[#This Row],[spawner_sku]])-FIND("/",Table2[[#This Row],[spawner_sku]])),Table1[Entity Prefab],0)),10,1,1,"Entities"))</f>
        <v>75</v>
      </c>
      <c r="AN325" s="74">
        <f ca="1">ROUND((Table2[[#This Row],[XP]]*Table2[[#This Row],[entity_spawned (AVG)]])*(Table2[[#This Row],[activating_chance]]/100),0)</f>
        <v>75</v>
      </c>
      <c r="AO325" s="71" t="str">
        <f ca="1">INDIRECT(ADDRESS(11+(MATCH(RIGHT(Table2[[#This Row],[spawner_sku]],LEN(Table2[[#This Row],[spawner_sku]])-FIND("/",Table2[[#This Row],[spawner_sku]])),Table28[Entity Prefab],0)),24,1,1,"Entities"))</f>
        <v>no</v>
      </c>
      <c r="AP325" s="71">
        <v>1</v>
      </c>
      <c r="AQ325" s="71">
        <v>1</v>
      </c>
      <c r="AR325" s="71" t="b">
        <v>0</v>
      </c>
      <c r="BP325" t="s">
        <v>235</v>
      </c>
      <c r="BQ325">
        <v>1</v>
      </c>
      <c r="BR325">
        <v>200</v>
      </c>
      <c r="BS325">
        <v>30</v>
      </c>
      <c r="BT325" s="74">
        <f ca="1">INDIRECT(ADDRESS(11+(MATCH(RIGHT(Table61011[[#This Row],[spawner_sku]],LEN(Table61011[[#This Row],[spawner_sku]])-FIND("/",Table61011[[#This Row],[spawner_sku]])),Table1[Entity Prefab],0)),10,1,1,"Entities"))</f>
        <v>75</v>
      </c>
      <c r="BU325" s="74">
        <f ca="1">ROUND((Table61011[[#This Row],[XP]]*Table61011[[#This Row],[entity_spawned (AVG)]])*(Table61011[[#This Row],[activating_chance]]/100),0)</f>
        <v>23</v>
      </c>
      <c r="BV325" s="71" t="str">
        <f ca="1">INDIRECT(ADDRESS(11+(MATCH(RIGHT(Table61011[[#This Row],[spawner_sku]],LEN(Table61011[[#This Row],[spawner_sku]])-FIND("/",Table61011[[#This Row],[spawner_sku]])),Table28[Entity Prefab],0)),24,1,1,"Entities"))</f>
        <v>yes</v>
      </c>
      <c r="BW325" s="71">
        <v>1</v>
      </c>
      <c r="BX325" s="71">
        <v>1</v>
      </c>
      <c r="BY325" s="71" t="b">
        <v>0</v>
      </c>
      <c r="BZ325" s="71"/>
      <c r="CA325" s="147" t="s">
        <v>3816</v>
      </c>
      <c r="CB325">
        <v>1</v>
      </c>
      <c r="CC325">
        <v>240</v>
      </c>
      <c r="CD325">
        <v>100</v>
      </c>
      <c r="CE325" s="74">
        <f ca="1">INDIRECT(ADDRESS(11+(MATCH(RIGHT(Table35[[#This Row],[spawner_sku]],LEN(Table35[[#This Row],[spawner_sku]])-FIND("/",Table35[[#This Row],[spawner_sku]])),Table1[Entity Prefab],0)),10,1,1,"Entities"))</f>
        <v>50</v>
      </c>
      <c r="CF325" s="74">
        <f ca="1">ROUND((Table35[[#This Row],[XP]]*Table35[[#This Row],[entity_spawned (AVG)]])*(Table35[[#This Row],[activating_chance]]/100),0)</f>
        <v>50</v>
      </c>
      <c r="CG325" s="144" t="str">
        <f ca="1">INDIRECT(ADDRESS(11+(MATCH(RIGHT(Table35[[#This Row],[spawner_sku]],LEN(Table35[[#This Row],[spawner_sku]])-FIND("/",Table35[[#This Row],[spawner_sku]])),Table28[Entity Prefab],0)),24,1,1,"Entities"))</f>
        <v>no</v>
      </c>
      <c r="CH325">
        <v>1</v>
      </c>
      <c r="CI325">
        <v>1</v>
      </c>
      <c r="CJ325" s="71" t="b">
        <v>0</v>
      </c>
      <c r="CL325" t="s">
        <v>510</v>
      </c>
      <c r="CM325">
        <v>1</v>
      </c>
      <c r="CN325">
        <v>150</v>
      </c>
      <c r="CO325">
        <v>100</v>
      </c>
      <c r="CP325" s="74">
        <f ca="1">INDIRECT(ADDRESS(11+(MATCH(RIGHT(Table11[[#This Row],[spawner_sku]],LEN(Table11[[#This Row],[spawner_sku]])-FIND("/",Table11[[#This Row],[spawner_sku]])),Table1[Entity Prefab],0)),10,1,1,"Entities"))</f>
        <v>90</v>
      </c>
      <c r="CQ325">
        <f ca="1">ROUND((Table11[[#This Row],[XP]]*Table11[[#This Row],[entity_spawned (AVG)]])*(Table11[[#This Row],[activating_chance]]/100),0)</f>
        <v>90</v>
      </c>
      <c r="CR325" s="144" t="str">
        <f ca="1">INDIRECT(ADDRESS(11+(MATCH(RIGHT(Table11[[#This Row],[spawner_sku]],LEN(Table11[[#This Row],[spawner_sku]])-FIND("/",Table11[[#This Row],[spawner_sku]])),Table28[Entity Prefab],0)),25,1,1,"Entities"))</f>
        <v>no</v>
      </c>
      <c r="CS325" s="71">
        <v>1</v>
      </c>
      <c r="CT325" s="71">
        <v>1</v>
      </c>
      <c r="CU325" s="71" t="b">
        <v>0</v>
      </c>
      <c r="DH325" t="s">
        <v>365</v>
      </c>
      <c r="DI325">
        <v>1.5</v>
      </c>
      <c r="DJ325">
        <v>170</v>
      </c>
      <c r="DK325">
        <v>100</v>
      </c>
      <c r="DL325" s="74">
        <f ca="1">INDIRECT(ADDRESS(11+(MATCH(RIGHT(Table13[[#This Row],[spawner_sku]],LEN(Table13[[#This Row],[spawner_sku]])-FIND("/",Table13[[#This Row],[spawner_sku]])),Table1[Entity Prefab],0)),10,1,1,"Entities"))</f>
        <v>28</v>
      </c>
      <c r="DM325" s="74">
        <f ca="1">ROUND((Table13[[#This Row],[XP]]*Table13[[#This Row],[entity_spawned (AVG)]])*(Table13[[#This Row],[activating_chance]]/100),0)</f>
        <v>42</v>
      </c>
      <c r="DN325" s="144" t="str">
        <f ca="1">INDIRECT(ADDRESS(11+(MATCH(RIGHT(Table13[[#This Row],[spawner_sku]],LEN(Table13[[#This Row],[spawner_sku]])-FIND("/",Table13[[#This Row],[spawner_sku]])),Table28[Entity Prefab],0)),25,1,1,"Entities"))</f>
        <v>yes</v>
      </c>
      <c r="DO325" s="71">
        <v>1</v>
      </c>
      <c r="DP325" s="71">
        <v>2</v>
      </c>
      <c r="DQ325" s="71" t="b">
        <v>0</v>
      </c>
      <c r="DS325" t="s">
        <v>511</v>
      </c>
      <c r="DT325">
        <v>1</v>
      </c>
      <c r="DU325">
        <v>140</v>
      </c>
      <c r="DV325">
        <v>80</v>
      </c>
      <c r="DW325" s="74">
        <f ca="1">INDIRECT(ADDRESS(11+(MATCH(RIGHT(Table14[[#This Row],[spawner_sku]],LEN(Table14[[#This Row],[spawner_sku]])-FIND("/",Table14[[#This Row],[spawner_sku]])),Table1[Entity Prefab],0)),10,1,1,"Entities"))</f>
        <v>75</v>
      </c>
      <c r="DX325" s="74">
        <f ca="1">ROUND((Table14[[#This Row],[XP]]*Table14[[#This Row],[entity_spawned (AVG)]])*(Table14[[#This Row],[activating_chance]]/100),0)</f>
        <v>60</v>
      </c>
      <c r="DY325" s="144" t="str">
        <f ca="1">INDIRECT(ADDRESS(11+(MATCH(RIGHT(Table14[[#This Row],[spawner_sku]],LEN(Table14[[#This Row],[spawner_sku]])-FIND("/",Table14[[#This Row],[spawner_sku]])),Table28[Entity Prefab],0)),25,1,1,"Entities"))</f>
        <v>no</v>
      </c>
      <c r="DZ325" s="71">
        <v>1</v>
      </c>
      <c r="EA325" s="71">
        <v>1</v>
      </c>
      <c r="EB325" s="71" t="b">
        <v>0</v>
      </c>
      <c r="EC325" s="71"/>
      <c r="EO325" t="s">
        <v>242</v>
      </c>
      <c r="EP325">
        <v>2.5</v>
      </c>
      <c r="EQ325">
        <v>120</v>
      </c>
      <c r="ER325">
        <v>100</v>
      </c>
      <c r="ES325" s="74">
        <f ca="1">INDIRECT(ADDRESS(11+(MATCH(RIGHT(Table18[[#This Row],[spawner_sku]],LEN(Table18[[#This Row],[spawner_sku]])-FIND("/",Table18[[#This Row],[spawner_sku]])),Table1[Entity Prefab],0)),10,1,1,"Entities"))</f>
        <v>25</v>
      </c>
      <c r="ET325" s="74">
        <f ca="1">ROUND((Table18[[#This Row],[XP]]*Table18[[#This Row],[entity_spawned (AVG)]])*(Table18[[#This Row],[activating_chance]]/100),0)</f>
        <v>63</v>
      </c>
      <c r="EU325" s="74" t="str">
        <f ca="1">INDIRECT(ADDRESS(11+(MATCH(RIGHT(Table18[[#This Row],[spawner_sku]],LEN(Table18[[#This Row],[spawner_sku]])-FIND("/",Table18[[#This Row],[spawner_sku]])),Table28[Entity Prefab],0)),26,1,1,"Entities"))</f>
        <v>no</v>
      </c>
      <c r="EV325">
        <v>2</v>
      </c>
      <c r="EW325">
        <v>3</v>
      </c>
      <c r="EX325" t="b">
        <v>0</v>
      </c>
    </row>
    <row r="326" spans="2:154" x14ac:dyDescent="0.25">
      <c r="B326" s="72" t="s">
        <v>229</v>
      </c>
      <c r="C326">
        <v>1</v>
      </c>
      <c r="D326">
        <v>1500</v>
      </c>
      <c r="E326">
        <v>100</v>
      </c>
      <c r="F326" s="74">
        <f ca="1">INDIRECT(ADDRESS(11+(MATCH(RIGHT(Table245[[#This Row],[spawner_sku]],LEN(Table245[[#This Row],[spawner_sku]])-FIND("/",Table245[[#This Row],[spawner_sku]])),Table1[Entity Prefab],0)),10,1,1,"Entities"))</f>
        <v>130</v>
      </c>
      <c r="G326" s="74">
        <f ca="1">ROUND((Table245[[#This Row],[XP]]*Table245[[#This Row],[entity_spawned (AVG)]])*(Table245[[#This Row],[activating_chance]]/100),0)</f>
        <v>130</v>
      </c>
      <c r="H326" s="71" t="str">
        <f ca="1">INDIRECT(ADDRESS(11+(MATCH(RIGHT(Table245[[#This Row],[spawner_sku]],LEN(Table245[[#This Row],[spawner_sku]])-FIND("/",Table245[[#This Row],[spawner_sku]])),Table28[Entity Prefab],0)),24,1,1,"Entities"))</f>
        <v>yes</v>
      </c>
      <c r="I326" s="71">
        <v>1</v>
      </c>
      <c r="J326" s="71">
        <v>1</v>
      </c>
      <c r="K326" s="71" t="b">
        <v>0</v>
      </c>
      <c r="AI326" t="s">
        <v>367</v>
      </c>
      <c r="AJ326">
        <v>1</v>
      </c>
      <c r="AK326">
        <v>200</v>
      </c>
      <c r="AL326">
        <v>100</v>
      </c>
      <c r="AM326" s="74">
        <f ca="1">INDIRECT(ADDRESS(11+(MATCH(RIGHT(Table2[[#This Row],[spawner_sku]],LEN(Table2[[#This Row],[spawner_sku]])-FIND("/",Table2[[#This Row],[spawner_sku]])),Table1[Entity Prefab],0)),10,1,1,"Entities"))</f>
        <v>75</v>
      </c>
      <c r="AN326" s="74">
        <f ca="1">ROUND((Table2[[#This Row],[XP]]*Table2[[#This Row],[entity_spawned (AVG)]])*(Table2[[#This Row],[activating_chance]]/100),0)</f>
        <v>75</v>
      </c>
      <c r="AO326" s="71" t="str">
        <f ca="1">INDIRECT(ADDRESS(11+(MATCH(RIGHT(Table2[[#This Row],[spawner_sku]],LEN(Table2[[#This Row],[spawner_sku]])-FIND("/",Table2[[#This Row],[spawner_sku]])),Table28[Entity Prefab],0)),24,1,1,"Entities"))</f>
        <v>no</v>
      </c>
      <c r="AP326" s="71">
        <v>1</v>
      </c>
      <c r="AQ326" s="71">
        <v>1</v>
      </c>
      <c r="AR326" s="71" t="b">
        <v>0</v>
      </c>
      <c r="BP326" t="s">
        <v>235</v>
      </c>
      <c r="BQ326">
        <v>1</v>
      </c>
      <c r="BR326">
        <v>300</v>
      </c>
      <c r="BS326">
        <v>100</v>
      </c>
      <c r="BT326" s="74">
        <f ca="1">INDIRECT(ADDRESS(11+(MATCH(RIGHT(Table61011[[#This Row],[spawner_sku]],LEN(Table61011[[#This Row],[spawner_sku]])-FIND("/",Table61011[[#This Row],[spawner_sku]])),Table1[Entity Prefab],0)),10,1,1,"Entities"))</f>
        <v>75</v>
      </c>
      <c r="BU326" s="74">
        <f ca="1">ROUND((Table61011[[#This Row],[XP]]*Table61011[[#This Row],[entity_spawned (AVG)]])*(Table61011[[#This Row],[activating_chance]]/100),0)</f>
        <v>75</v>
      </c>
      <c r="BV326" s="71" t="str">
        <f ca="1">INDIRECT(ADDRESS(11+(MATCH(RIGHT(Table61011[[#This Row],[spawner_sku]],LEN(Table61011[[#This Row],[spawner_sku]])-FIND("/",Table61011[[#This Row],[spawner_sku]])),Table28[Entity Prefab],0)),24,1,1,"Entities"))</f>
        <v>yes</v>
      </c>
      <c r="BW326" s="71">
        <v>1</v>
      </c>
      <c r="BX326" s="71">
        <v>1</v>
      </c>
      <c r="BY326" s="71" t="b">
        <v>0</v>
      </c>
      <c r="BZ326" s="71"/>
      <c r="CA326" s="147" t="s">
        <v>3816</v>
      </c>
      <c r="CB326">
        <v>1</v>
      </c>
      <c r="CC326">
        <v>240</v>
      </c>
      <c r="CD326">
        <v>100</v>
      </c>
      <c r="CE326" s="74">
        <f ca="1">INDIRECT(ADDRESS(11+(MATCH(RIGHT(Table35[[#This Row],[spawner_sku]],LEN(Table35[[#This Row],[spawner_sku]])-FIND("/",Table35[[#This Row],[spawner_sku]])),Table1[Entity Prefab],0)),10,1,1,"Entities"))</f>
        <v>50</v>
      </c>
      <c r="CF326" s="74">
        <f ca="1">ROUND((Table35[[#This Row],[XP]]*Table35[[#This Row],[entity_spawned (AVG)]])*(Table35[[#This Row],[activating_chance]]/100),0)</f>
        <v>50</v>
      </c>
      <c r="CG326" s="144" t="str">
        <f ca="1">INDIRECT(ADDRESS(11+(MATCH(RIGHT(Table35[[#This Row],[spawner_sku]],LEN(Table35[[#This Row],[spawner_sku]])-FIND("/",Table35[[#This Row],[spawner_sku]])),Table28[Entity Prefab],0)),24,1,1,"Entities"))</f>
        <v>no</v>
      </c>
      <c r="CH326">
        <v>1</v>
      </c>
      <c r="CI326">
        <v>1</v>
      </c>
      <c r="CJ326" s="71" t="b">
        <v>0</v>
      </c>
      <c r="CL326" t="s">
        <v>510</v>
      </c>
      <c r="CM326">
        <v>1</v>
      </c>
      <c r="CN326">
        <v>165</v>
      </c>
      <c r="CO326">
        <v>100</v>
      </c>
      <c r="CP326" s="74">
        <f ca="1">INDIRECT(ADDRESS(11+(MATCH(RIGHT(Table11[[#This Row],[spawner_sku]],LEN(Table11[[#This Row],[spawner_sku]])-FIND("/",Table11[[#This Row],[spawner_sku]])),Table1[Entity Prefab],0)),10,1,1,"Entities"))</f>
        <v>90</v>
      </c>
      <c r="CQ326">
        <f ca="1">ROUND((Table11[[#This Row],[XP]]*Table11[[#This Row],[entity_spawned (AVG)]])*(Table11[[#This Row],[activating_chance]]/100),0)</f>
        <v>90</v>
      </c>
      <c r="CR326" s="144" t="str">
        <f ca="1">INDIRECT(ADDRESS(11+(MATCH(RIGHT(Table11[[#This Row],[spawner_sku]],LEN(Table11[[#This Row],[spawner_sku]])-FIND("/",Table11[[#This Row],[spawner_sku]])),Table28[Entity Prefab],0)),25,1,1,"Entities"))</f>
        <v>no</v>
      </c>
      <c r="CS326" s="71">
        <v>1</v>
      </c>
      <c r="CT326" s="71">
        <v>1</v>
      </c>
      <c r="CU326" s="71" t="b">
        <v>0</v>
      </c>
      <c r="DH326" t="s">
        <v>365</v>
      </c>
      <c r="DI326">
        <v>1.5</v>
      </c>
      <c r="DJ326">
        <v>170</v>
      </c>
      <c r="DK326">
        <v>100</v>
      </c>
      <c r="DL326" s="74">
        <f ca="1">INDIRECT(ADDRESS(11+(MATCH(RIGHT(Table13[[#This Row],[spawner_sku]],LEN(Table13[[#This Row],[spawner_sku]])-FIND("/",Table13[[#This Row],[spawner_sku]])),Table1[Entity Prefab],0)),10,1,1,"Entities"))</f>
        <v>28</v>
      </c>
      <c r="DM326" s="74">
        <f ca="1">ROUND((Table13[[#This Row],[XP]]*Table13[[#This Row],[entity_spawned (AVG)]])*(Table13[[#This Row],[activating_chance]]/100),0)</f>
        <v>42</v>
      </c>
      <c r="DN326" s="144" t="str">
        <f ca="1">INDIRECT(ADDRESS(11+(MATCH(RIGHT(Table13[[#This Row],[spawner_sku]],LEN(Table13[[#This Row],[spawner_sku]])-FIND("/",Table13[[#This Row],[spawner_sku]])),Table28[Entity Prefab],0)),25,1,1,"Entities"))</f>
        <v>yes</v>
      </c>
      <c r="DO326" s="71">
        <v>1</v>
      </c>
      <c r="DP326" s="71">
        <v>2</v>
      </c>
      <c r="DQ326" s="71" t="b">
        <v>0</v>
      </c>
      <c r="DS326" t="s">
        <v>511</v>
      </c>
      <c r="DT326">
        <v>1</v>
      </c>
      <c r="DU326">
        <v>135</v>
      </c>
      <c r="DV326">
        <v>100</v>
      </c>
      <c r="DW326" s="74">
        <f ca="1">INDIRECT(ADDRESS(11+(MATCH(RIGHT(Table14[[#This Row],[spawner_sku]],LEN(Table14[[#This Row],[spawner_sku]])-FIND("/",Table14[[#This Row],[spawner_sku]])),Table1[Entity Prefab],0)),10,1,1,"Entities"))</f>
        <v>75</v>
      </c>
      <c r="DX326" s="74">
        <f ca="1">ROUND((Table14[[#This Row],[XP]]*Table14[[#This Row],[entity_spawned (AVG)]])*(Table14[[#This Row],[activating_chance]]/100),0)</f>
        <v>75</v>
      </c>
      <c r="DY326" s="144" t="str">
        <f ca="1">INDIRECT(ADDRESS(11+(MATCH(RIGHT(Table14[[#This Row],[spawner_sku]],LEN(Table14[[#This Row],[spawner_sku]])-FIND("/",Table14[[#This Row],[spawner_sku]])),Table28[Entity Prefab],0)),25,1,1,"Entities"))</f>
        <v>no</v>
      </c>
      <c r="DZ326" s="71">
        <v>1</v>
      </c>
      <c r="EA326" s="71">
        <v>1</v>
      </c>
      <c r="EB326" s="71" t="b">
        <v>0</v>
      </c>
      <c r="EC326" s="71"/>
      <c r="EO326" t="s">
        <v>242</v>
      </c>
      <c r="EP326">
        <v>2.5</v>
      </c>
      <c r="EQ326">
        <v>120</v>
      </c>
      <c r="ER326">
        <v>60</v>
      </c>
      <c r="ES326" s="74">
        <f ca="1">INDIRECT(ADDRESS(11+(MATCH(RIGHT(Table18[[#This Row],[spawner_sku]],LEN(Table18[[#This Row],[spawner_sku]])-FIND("/",Table18[[#This Row],[spawner_sku]])),Table1[Entity Prefab],0)),10,1,1,"Entities"))</f>
        <v>25</v>
      </c>
      <c r="ET326" s="74">
        <f ca="1">ROUND((Table18[[#This Row],[XP]]*Table18[[#This Row],[entity_spawned (AVG)]])*(Table18[[#This Row],[activating_chance]]/100),0)</f>
        <v>38</v>
      </c>
      <c r="EU326" s="74" t="str">
        <f ca="1">INDIRECT(ADDRESS(11+(MATCH(RIGHT(Table18[[#This Row],[spawner_sku]],LEN(Table18[[#This Row],[spawner_sku]])-FIND("/",Table18[[#This Row],[spawner_sku]])),Table28[Entity Prefab],0)),26,1,1,"Entities"))</f>
        <v>no</v>
      </c>
      <c r="EV326">
        <v>2</v>
      </c>
      <c r="EW326">
        <v>3</v>
      </c>
      <c r="EX326" t="b">
        <v>0</v>
      </c>
    </row>
    <row r="327" spans="2:154" x14ac:dyDescent="0.25">
      <c r="B327" s="72" t="s">
        <v>229</v>
      </c>
      <c r="C327">
        <v>1</v>
      </c>
      <c r="D327">
        <v>1500</v>
      </c>
      <c r="E327">
        <v>100</v>
      </c>
      <c r="F327" s="74">
        <f ca="1">INDIRECT(ADDRESS(11+(MATCH(RIGHT(Table245[[#This Row],[spawner_sku]],LEN(Table245[[#This Row],[spawner_sku]])-FIND("/",Table245[[#This Row],[spawner_sku]])),Table1[Entity Prefab],0)),10,1,1,"Entities"))</f>
        <v>130</v>
      </c>
      <c r="G327" s="74">
        <f ca="1">ROUND((Table245[[#This Row],[XP]]*Table245[[#This Row],[entity_spawned (AVG)]])*(Table245[[#This Row],[activating_chance]]/100),0)</f>
        <v>130</v>
      </c>
      <c r="H327" s="71" t="str">
        <f ca="1">INDIRECT(ADDRESS(11+(MATCH(RIGHT(Table245[[#This Row],[spawner_sku]],LEN(Table245[[#This Row],[spawner_sku]])-FIND("/",Table245[[#This Row],[spawner_sku]])),Table28[Entity Prefab],0)),24,1,1,"Entities"))</f>
        <v>yes</v>
      </c>
      <c r="I327" s="71">
        <v>1</v>
      </c>
      <c r="J327" s="71">
        <v>1</v>
      </c>
      <c r="K327" s="71" t="b">
        <v>0</v>
      </c>
      <c r="AI327" t="s">
        <v>367</v>
      </c>
      <c r="AJ327">
        <v>1</v>
      </c>
      <c r="AK327">
        <v>170</v>
      </c>
      <c r="AL327">
        <v>100</v>
      </c>
      <c r="AM327" s="74">
        <f ca="1">INDIRECT(ADDRESS(11+(MATCH(RIGHT(Table2[[#This Row],[spawner_sku]],LEN(Table2[[#This Row],[spawner_sku]])-FIND("/",Table2[[#This Row],[spawner_sku]])),Table1[Entity Prefab],0)),10,1,1,"Entities"))</f>
        <v>75</v>
      </c>
      <c r="AN327" s="74">
        <f ca="1">ROUND((Table2[[#This Row],[XP]]*Table2[[#This Row],[entity_spawned (AVG)]])*(Table2[[#This Row],[activating_chance]]/100),0)</f>
        <v>75</v>
      </c>
      <c r="AO327" s="71" t="str">
        <f ca="1">INDIRECT(ADDRESS(11+(MATCH(RIGHT(Table2[[#This Row],[spawner_sku]],LEN(Table2[[#This Row],[spawner_sku]])-FIND("/",Table2[[#This Row],[spawner_sku]])),Table28[Entity Prefab],0)),24,1,1,"Entities"))</f>
        <v>no</v>
      </c>
      <c r="AP327" s="71">
        <v>1</v>
      </c>
      <c r="AQ327" s="71">
        <v>1</v>
      </c>
      <c r="AR327" s="71" t="b">
        <v>0</v>
      </c>
      <c r="BP327" t="s">
        <v>235</v>
      </c>
      <c r="BQ327">
        <v>1</v>
      </c>
      <c r="BR327">
        <v>300</v>
      </c>
      <c r="BS327">
        <v>30</v>
      </c>
      <c r="BT327" s="74">
        <f ca="1">INDIRECT(ADDRESS(11+(MATCH(RIGHT(Table61011[[#This Row],[spawner_sku]],LEN(Table61011[[#This Row],[spawner_sku]])-FIND("/",Table61011[[#This Row],[spawner_sku]])),Table1[Entity Prefab],0)),10,1,1,"Entities"))</f>
        <v>75</v>
      </c>
      <c r="BU327" s="74">
        <f ca="1">ROUND((Table61011[[#This Row],[XP]]*Table61011[[#This Row],[entity_spawned (AVG)]])*(Table61011[[#This Row],[activating_chance]]/100),0)</f>
        <v>23</v>
      </c>
      <c r="BV327" s="71" t="str">
        <f ca="1">INDIRECT(ADDRESS(11+(MATCH(RIGHT(Table61011[[#This Row],[spawner_sku]],LEN(Table61011[[#This Row],[spawner_sku]])-FIND("/",Table61011[[#This Row],[spawner_sku]])),Table28[Entity Prefab],0)),24,1,1,"Entities"))</f>
        <v>yes</v>
      </c>
      <c r="BW327" s="71">
        <v>1</v>
      </c>
      <c r="BX327" s="71">
        <v>1</v>
      </c>
      <c r="BY327" s="71" t="b">
        <v>0</v>
      </c>
      <c r="BZ327" s="71"/>
      <c r="CA327" s="147" t="s">
        <v>3816</v>
      </c>
      <c r="CB327">
        <v>1</v>
      </c>
      <c r="CC327">
        <v>240</v>
      </c>
      <c r="CD327">
        <v>100</v>
      </c>
      <c r="CE327" s="74">
        <f ca="1">INDIRECT(ADDRESS(11+(MATCH(RIGHT(Table35[[#This Row],[spawner_sku]],LEN(Table35[[#This Row],[spawner_sku]])-FIND("/",Table35[[#This Row],[spawner_sku]])),Table1[Entity Prefab],0)),10,1,1,"Entities"))</f>
        <v>50</v>
      </c>
      <c r="CF327" s="74">
        <f ca="1">ROUND((Table35[[#This Row],[XP]]*Table35[[#This Row],[entity_spawned (AVG)]])*(Table35[[#This Row],[activating_chance]]/100),0)</f>
        <v>50</v>
      </c>
      <c r="CG327" s="144" t="str">
        <f ca="1">INDIRECT(ADDRESS(11+(MATCH(RIGHT(Table35[[#This Row],[spawner_sku]],LEN(Table35[[#This Row],[spawner_sku]])-FIND("/",Table35[[#This Row],[spawner_sku]])),Table28[Entity Prefab],0)),24,1,1,"Entities"))</f>
        <v>no</v>
      </c>
      <c r="CH327">
        <v>1</v>
      </c>
      <c r="CI327">
        <v>1</v>
      </c>
      <c r="CJ327" s="71" t="b">
        <v>0</v>
      </c>
      <c r="CL327" t="s">
        <v>510</v>
      </c>
      <c r="CM327">
        <v>1</v>
      </c>
      <c r="CN327">
        <v>140</v>
      </c>
      <c r="CO327">
        <v>100</v>
      </c>
      <c r="CP327" s="74">
        <f ca="1">INDIRECT(ADDRESS(11+(MATCH(RIGHT(Table11[[#This Row],[spawner_sku]],LEN(Table11[[#This Row],[spawner_sku]])-FIND("/",Table11[[#This Row],[spawner_sku]])),Table1[Entity Prefab],0)),10,1,1,"Entities"))</f>
        <v>90</v>
      </c>
      <c r="CQ327">
        <f ca="1">ROUND((Table11[[#This Row],[XP]]*Table11[[#This Row],[entity_spawned (AVG)]])*(Table11[[#This Row],[activating_chance]]/100),0)</f>
        <v>90</v>
      </c>
      <c r="CR327" s="144" t="str">
        <f ca="1">INDIRECT(ADDRESS(11+(MATCH(RIGHT(Table11[[#This Row],[spawner_sku]],LEN(Table11[[#This Row],[spawner_sku]])-FIND("/",Table11[[#This Row],[spawner_sku]])),Table28[Entity Prefab],0)),25,1,1,"Entities"))</f>
        <v>no</v>
      </c>
      <c r="CS327" s="71">
        <v>1</v>
      </c>
      <c r="CT327" s="71">
        <v>1</v>
      </c>
      <c r="CU327" s="71" t="b">
        <v>0</v>
      </c>
      <c r="DH327" t="s">
        <v>365</v>
      </c>
      <c r="DI327">
        <v>3.5</v>
      </c>
      <c r="DJ327">
        <v>170</v>
      </c>
      <c r="DK327">
        <v>30</v>
      </c>
      <c r="DL327" s="74">
        <f ca="1">INDIRECT(ADDRESS(11+(MATCH(RIGHT(Table13[[#This Row],[spawner_sku]],LEN(Table13[[#This Row],[spawner_sku]])-FIND("/",Table13[[#This Row],[spawner_sku]])),Table1[Entity Prefab],0)),10,1,1,"Entities"))</f>
        <v>28</v>
      </c>
      <c r="DM327" s="74">
        <f ca="1">ROUND((Table13[[#This Row],[XP]]*Table13[[#This Row],[entity_spawned (AVG)]])*(Table13[[#This Row],[activating_chance]]/100),0)</f>
        <v>29</v>
      </c>
      <c r="DN327" s="144" t="str">
        <f ca="1">INDIRECT(ADDRESS(11+(MATCH(RIGHT(Table13[[#This Row],[spawner_sku]],LEN(Table13[[#This Row],[spawner_sku]])-FIND("/",Table13[[#This Row],[spawner_sku]])),Table28[Entity Prefab],0)),25,1,1,"Entities"))</f>
        <v>yes</v>
      </c>
      <c r="DO327" s="71">
        <v>3</v>
      </c>
      <c r="DP327" s="71">
        <v>4</v>
      </c>
      <c r="DQ327" s="71" t="b">
        <v>0</v>
      </c>
      <c r="DS327" t="s">
        <v>511</v>
      </c>
      <c r="DT327">
        <v>1</v>
      </c>
      <c r="DU327">
        <v>150</v>
      </c>
      <c r="DV327">
        <v>100</v>
      </c>
      <c r="DW327" s="74">
        <f ca="1">INDIRECT(ADDRESS(11+(MATCH(RIGHT(Table14[[#This Row],[spawner_sku]],LEN(Table14[[#This Row],[spawner_sku]])-FIND("/",Table14[[#This Row],[spawner_sku]])),Table1[Entity Prefab],0)),10,1,1,"Entities"))</f>
        <v>75</v>
      </c>
      <c r="DX327" s="74">
        <f ca="1">ROUND((Table14[[#This Row],[XP]]*Table14[[#This Row],[entity_spawned (AVG)]])*(Table14[[#This Row],[activating_chance]]/100),0)</f>
        <v>75</v>
      </c>
      <c r="DY327" s="144" t="str">
        <f ca="1">INDIRECT(ADDRESS(11+(MATCH(RIGHT(Table14[[#This Row],[spawner_sku]],LEN(Table14[[#This Row],[spawner_sku]])-FIND("/",Table14[[#This Row],[spawner_sku]])),Table28[Entity Prefab],0)),25,1,1,"Entities"))</f>
        <v>no</v>
      </c>
      <c r="DZ327" s="71">
        <v>1</v>
      </c>
      <c r="EA327" s="71">
        <v>1</v>
      </c>
      <c r="EB327" s="71" t="b">
        <v>0</v>
      </c>
      <c r="EC327" s="71"/>
      <c r="EO327" t="s">
        <v>242</v>
      </c>
      <c r="EP327">
        <v>3.5</v>
      </c>
      <c r="EQ327">
        <v>150</v>
      </c>
      <c r="ER327">
        <v>100</v>
      </c>
      <c r="ES327" s="74">
        <f ca="1">INDIRECT(ADDRESS(11+(MATCH(RIGHT(Table18[[#This Row],[spawner_sku]],LEN(Table18[[#This Row],[spawner_sku]])-FIND("/",Table18[[#This Row],[spawner_sku]])),Table1[Entity Prefab],0)),10,1,1,"Entities"))</f>
        <v>25</v>
      </c>
      <c r="ET327" s="74">
        <f ca="1">ROUND((Table18[[#This Row],[XP]]*Table18[[#This Row],[entity_spawned (AVG)]])*(Table18[[#This Row],[activating_chance]]/100),0)</f>
        <v>88</v>
      </c>
      <c r="EU327" s="74" t="str">
        <f ca="1">INDIRECT(ADDRESS(11+(MATCH(RIGHT(Table18[[#This Row],[spawner_sku]],LEN(Table18[[#This Row],[spawner_sku]])-FIND("/",Table18[[#This Row],[spawner_sku]])),Table28[Entity Prefab],0)),26,1,1,"Entities"))</f>
        <v>no</v>
      </c>
      <c r="EV327">
        <v>3</v>
      </c>
      <c r="EW327">
        <v>4</v>
      </c>
      <c r="EX327" t="b">
        <v>0</v>
      </c>
    </row>
    <row r="328" spans="2:154" x14ac:dyDescent="0.25">
      <c r="B328" s="72" t="s">
        <v>229</v>
      </c>
      <c r="C328">
        <v>1</v>
      </c>
      <c r="D328">
        <v>1500</v>
      </c>
      <c r="E328">
        <v>100</v>
      </c>
      <c r="F328" s="74">
        <f ca="1">INDIRECT(ADDRESS(11+(MATCH(RIGHT(Table245[[#This Row],[spawner_sku]],LEN(Table245[[#This Row],[spawner_sku]])-FIND("/",Table245[[#This Row],[spawner_sku]])),Table1[Entity Prefab],0)),10,1,1,"Entities"))</f>
        <v>130</v>
      </c>
      <c r="G328" s="74">
        <f ca="1">ROUND((Table245[[#This Row],[XP]]*Table245[[#This Row],[entity_spawned (AVG)]])*(Table245[[#This Row],[activating_chance]]/100),0)</f>
        <v>130</v>
      </c>
      <c r="H328" s="71" t="str">
        <f ca="1">INDIRECT(ADDRESS(11+(MATCH(RIGHT(Table245[[#This Row],[spawner_sku]],LEN(Table245[[#This Row],[spawner_sku]])-FIND("/",Table245[[#This Row],[spawner_sku]])),Table28[Entity Prefab],0)),24,1,1,"Entities"))</f>
        <v>yes</v>
      </c>
      <c r="I328" s="71">
        <v>1</v>
      </c>
      <c r="J328" s="71">
        <v>1</v>
      </c>
      <c r="K328" s="71" t="b">
        <v>0</v>
      </c>
      <c r="AI328" t="s">
        <v>367</v>
      </c>
      <c r="AJ328">
        <v>2</v>
      </c>
      <c r="AK328">
        <v>220</v>
      </c>
      <c r="AL328">
        <v>100</v>
      </c>
      <c r="AM328" s="74">
        <f ca="1">INDIRECT(ADDRESS(11+(MATCH(RIGHT(Table2[[#This Row],[spawner_sku]],LEN(Table2[[#This Row],[spawner_sku]])-FIND("/",Table2[[#This Row],[spawner_sku]])),Table1[Entity Prefab],0)),10,1,1,"Entities"))</f>
        <v>75</v>
      </c>
      <c r="AN328" s="74">
        <f ca="1">ROUND((Table2[[#This Row],[XP]]*Table2[[#This Row],[entity_spawned (AVG)]])*(Table2[[#This Row],[activating_chance]]/100),0)</f>
        <v>150</v>
      </c>
      <c r="AO328" s="71" t="str">
        <f ca="1">INDIRECT(ADDRESS(11+(MATCH(RIGHT(Table2[[#This Row],[spawner_sku]],LEN(Table2[[#This Row],[spawner_sku]])-FIND("/",Table2[[#This Row],[spawner_sku]])),Table28[Entity Prefab],0)),24,1,1,"Entities"))</f>
        <v>no</v>
      </c>
      <c r="AP328" s="71">
        <v>2</v>
      </c>
      <c r="AQ328" s="71">
        <v>2</v>
      </c>
      <c r="AR328" s="71" t="b">
        <v>0</v>
      </c>
      <c r="BP328" t="s">
        <v>235</v>
      </c>
      <c r="BQ328">
        <v>1</v>
      </c>
      <c r="BR328">
        <v>300</v>
      </c>
      <c r="BS328">
        <v>100</v>
      </c>
      <c r="BT328" s="74">
        <f ca="1">INDIRECT(ADDRESS(11+(MATCH(RIGHT(Table61011[[#This Row],[spawner_sku]],LEN(Table61011[[#This Row],[spawner_sku]])-FIND("/",Table61011[[#This Row],[spawner_sku]])),Table1[Entity Prefab],0)),10,1,1,"Entities"))</f>
        <v>75</v>
      </c>
      <c r="BU328" s="74">
        <f ca="1">ROUND((Table61011[[#This Row],[XP]]*Table61011[[#This Row],[entity_spawned (AVG)]])*(Table61011[[#This Row],[activating_chance]]/100),0)</f>
        <v>75</v>
      </c>
      <c r="BV328" s="71" t="str">
        <f ca="1">INDIRECT(ADDRESS(11+(MATCH(RIGHT(Table61011[[#This Row],[spawner_sku]],LEN(Table61011[[#This Row],[spawner_sku]])-FIND("/",Table61011[[#This Row],[spawner_sku]])),Table28[Entity Prefab],0)),24,1,1,"Entities"))</f>
        <v>yes</v>
      </c>
      <c r="BW328" s="71">
        <v>1</v>
      </c>
      <c r="BX328" s="71">
        <v>1</v>
      </c>
      <c r="BY328" s="71" t="b">
        <v>0</v>
      </c>
      <c r="BZ328" s="71"/>
      <c r="CA328" s="147" t="s">
        <v>3816</v>
      </c>
      <c r="CB328">
        <v>1</v>
      </c>
      <c r="CC328">
        <v>240</v>
      </c>
      <c r="CD328">
        <v>100</v>
      </c>
      <c r="CE328" s="74">
        <f ca="1">INDIRECT(ADDRESS(11+(MATCH(RIGHT(Table35[[#This Row],[spawner_sku]],LEN(Table35[[#This Row],[spawner_sku]])-FIND("/",Table35[[#This Row],[spawner_sku]])),Table1[Entity Prefab],0)),10,1,1,"Entities"))</f>
        <v>50</v>
      </c>
      <c r="CF328" s="74">
        <f ca="1">ROUND((Table35[[#This Row],[XP]]*Table35[[#This Row],[entity_spawned (AVG)]])*(Table35[[#This Row],[activating_chance]]/100),0)</f>
        <v>50</v>
      </c>
      <c r="CG328" s="144" t="str">
        <f ca="1">INDIRECT(ADDRESS(11+(MATCH(RIGHT(Table35[[#This Row],[spawner_sku]],LEN(Table35[[#This Row],[spawner_sku]])-FIND("/",Table35[[#This Row],[spawner_sku]])),Table28[Entity Prefab],0)),24,1,1,"Entities"))</f>
        <v>no</v>
      </c>
      <c r="CH328">
        <v>1</v>
      </c>
      <c r="CI328">
        <v>1</v>
      </c>
      <c r="CJ328" s="71" t="b">
        <v>0</v>
      </c>
      <c r="CL328" t="s">
        <v>510</v>
      </c>
      <c r="CM328">
        <v>1</v>
      </c>
      <c r="CN328">
        <v>160</v>
      </c>
      <c r="CO328">
        <v>100</v>
      </c>
      <c r="CP328" s="74">
        <f ca="1">INDIRECT(ADDRESS(11+(MATCH(RIGHT(Table11[[#This Row],[spawner_sku]],LEN(Table11[[#This Row],[spawner_sku]])-FIND("/",Table11[[#This Row],[spawner_sku]])),Table1[Entity Prefab],0)),10,1,1,"Entities"))</f>
        <v>90</v>
      </c>
      <c r="CQ328">
        <f ca="1">ROUND((Table11[[#This Row],[XP]]*Table11[[#This Row],[entity_spawned (AVG)]])*(Table11[[#This Row],[activating_chance]]/100),0)</f>
        <v>90</v>
      </c>
      <c r="CR328" s="144" t="str">
        <f ca="1">INDIRECT(ADDRESS(11+(MATCH(RIGHT(Table11[[#This Row],[spawner_sku]],LEN(Table11[[#This Row],[spawner_sku]])-FIND("/",Table11[[#This Row],[spawner_sku]])),Table28[Entity Prefab],0)),25,1,1,"Entities"))</f>
        <v>no</v>
      </c>
      <c r="CS328" s="71">
        <v>1</v>
      </c>
      <c r="CT328" s="71">
        <v>1</v>
      </c>
      <c r="CU328" s="71" t="b">
        <v>0</v>
      </c>
      <c r="DH328" t="s">
        <v>365</v>
      </c>
      <c r="DI328">
        <v>1.5</v>
      </c>
      <c r="DJ328">
        <v>170</v>
      </c>
      <c r="DK328">
        <v>100</v>
      </c>
      <c r="DL328" s="74">
        <f ca="1">INDIRECT(ADDRESS(11+(MATCH(RIGHT(Table13[[#This Row],[spawner_sku]],LEN(Table13[[#This Row],[spawner_sku]])-FIND("/",Table13[[#This Row],[spawner_sku]])),Table1[Entity Prefab],0)),10,1,1,"Entities"))</f>
        <v>28</v>
      </c>
      <c r="DM328" s="74">
        <f ca="1">ROUND((Table13[[#This Row],[XP]]*Table13[[#This Row],[entity_spawned (AVG)]])*(Table13[[#This Row],[activating_chance]]/100),0)</f>
        <v>42</v>
      </c>
      <c r="DN328" s="144" t="str">
        <f ca="1">INDIRECT(ADDRESS(11+(MATCH(RIGHT(Table13[[#This Row],[spawner_sku]],LEN(Table13[[#This Row],[spawner_sku]])-FIND("/",Table13[[#This Row],[spawner_sku]])),Table28[Entity Prefab],0)),25,1,1,"Entities"))</f>
        <v>yes</v>
      </c>
      <c r="DO328" s="71">
        <v>1</v>
      </c>
      <c r="DP328" s="71">
        <v>2</v>
      </c>
      <c r="DQ328" s="71" t="b">
        <v>0</v>
      </c>
      <c r="DS328" t="s">
        <v>511</v>
      </c>
      <c r="DT328">
        <v>1</v>
      </c>
      <c r="DU328">
        <v>150</v>
      </c>
      <c r="DV328">
        <v>100</v>
      </c>
      <c r="DW328" s="74">
        <f ca="1">INDIRECT(ADDRESS(11+(MATCH(RIGHT(Table14[[#This Row],[spawner_sku]],LEN(Table14[[#This Row],[spawner_sku]])-FIND("/",Table14[[#This Row],[spawner_sku]])),Table1[Entity Prefab],0)),10,1,1,"Entities"))</f>
        <v>75</v>
      </c>
      <c r="DX328" s="74">
        <f ca="1">ROUND((Table14[[#This Row],[XP]]*Table14[[#This Row],[entity_spawned (AVG)]])*(Table14[[#This Row],[activating_chance]]/100),0)</f>
        <v>75</v>
      </c>
      <c r="DY328" s="144" t="str">
        <f ca="1">INDIRECT(ADDRESS(11+(MATCH(RIGHT(Table14[[#This Row],[spawner_sku]],LEN(Table14[[#This Row],[spawner_sku]])-FIND("/",Table14[[#This Row],[spawner_sku]])),Table28[Entity Prefab],0)),25,1,1,"Entities"))</f>
        <v>no</v>
      </c>
      <c r="DZ328" s="71">
        <v>1</v>
      </c>
      <c r="EA328" s="71">
        <v>1</v>
      </c>
      <c r="EB328" s="71" t="b">
        <v>0</v>
      </c>
      <c r="EC328" s="71"/>
      <c r="EO328" t="s">
        <v>242</v>
      </c>
      <c r="EP328">
        <v>2.5</v>
      </c>
      <c r="EQ328">
        <v>150</v>
      </c>
      <c r="ER328">
        <v>100</v>
      </c>
      <c r="ES328" s="74">
        <f ca="1">INDIRECT(ADDRESS(11+(MATCH(RIGHT(Table18[[#This Row],[spawner_sku]],LEN(Table18[[#This Row],[spawner_sku]])-FIND("/",Table18[[#This Row],[spawner_sku]])),Table1[Entity Prefab],0)),10,1,1,"Entities"))</f>
        <v>25</v>
      </c>
      <c r="ET328" s="74">
        <f ca="1">ROUND((Table18[[#This Row],[XP]]*Table18[[#This Row],[entity_spawned (AVG)]])*(Table18[[#This Row],[activating_chance]]/100),0)</f>
        <v>63</v>
      </c>
      <c r="EU328" s="74" t="str">
        <f ca="1">INDIRECT(ADDRESS(11+(MATCH(RIGHT(Table18[[#This Row],[spawner_sku]],LEN(Table18[[#This Row],[spawner_sku]])-FIND("/",Table18[[#This Row],[spawner_sku]])),Table28[Entity Prefab],0)),26,1,1,"Entities"))</f>
        <v>no</v>
      </c>
      <c r="EV328">
        <v>2</v>
      </c>
      <c r="EW328">
        <v>3</v>
      </c>
      <c r="EX328" t="b">
        <v>0</v>
      </c>
    </row>
    <row r="329" spans="2:154" x14ac:dyDescent="0.25">
      <c r="B329" s="72" t="s">
        <v>229</v>
      </c>
      <c r="C329">
        <v>1</v>
      </c>
      <c r="D329">
        <v>1500</v>
      </c>
      <c r="E329">
        <v>100</v>
      </c>
      <c r="F329" s="74">
        <f ca="1">INDIRECT(ADDRESS(11+(MATCH(RIGHT(Table245[[#This Row],[spawner_sku]],LEN(Table245[[#This Row],[spawner_sku]])-FIND("/",Table245[[#This Row],[spawner_sku]])),Table1[Entity Prefab],0)),10,1,1,"Entities"))</f>
        <v>130</v>
      </c>
      <c r="G329" s="74">
        <f ca="1">ROUND((Table245[[#This Row],[XP]]*Table245[[#This Row],[entity_spawned (AVG)]])*(Table245[[#This Row],[activating_chance]]/100),0)</f>
        <v>130</v>
      </c>
      <c r="H329" s="71" t="str">
        <f ca="1">INDIRECT(ADDRESS(11+(MATCH(RIGHT(Table245[[#This Row],[spawner_sku]],LEN(Table245[[#This Row],[spawner_sku]])-FIND("/",Table245[[#This Row],[spawner_sku]])),Table28[Entity Prefab],0)),24,1,1,"Entities"))</f>
        <v>yes</v>
      </c>
      <c r="I329" s="71">
        <v>1</v>
      </c>
      <c r="J329" s="71">
        <v>1</v>
      </c>
      <c r="K329" s="71" t="b">
        <v>0</v>
      </c>
      <c r="AI329" t="s">
        <v>367</v>
      </c>
      <c r="AJ329">
        <v>1</v>
      </c>
      <c r="AK329">
        <v>180</v>
      </c>
      <c r="AL329">
        <v>100</v>
      </c>
      <c r="AM329" s="74">
        <f ca="1">INDIRECT(ADDRESS(11+(MATCH(RIGHT(Table2[[#This Row],[spawner_sku]],LEN(Table2[[#This Row],[spawner_sku]])-FIND("/",Table2[[#This Row],[spawner_sku]])),Table1[Entity Prefab],0)),10,1,1,"Entities"))</f>
        <v>75</v>
      </c>
      <c r="AN329" s="74">
        <f ca="1">ROUND((Table2[[#This Row],[XP]]*Table2[[#This Row],[entity_spawned (AVG)]])*(Table2[[#This Row],[activating_chance]]/100),0)</f>
        <v>75</v>
      </c>
      <c r="AO329" s="71" t="str">
        <f ca="1">INDIRECT(ADDRESS(11+(MATCH(RIGHT(Table2[[#This Row],[spawner_sku]],LEN(Table2[[#This Row],[spawner_sku]])-FIND("/",Table2[[#This Row],[spawner_sku]])),Table28[Entity Prefab],0)),24,1,1,"Entities"))</f>
        <v>no</v>
      </c>
      <c r="AP329" s="71">
        <v>1</v>
      </c>
      <c r="AQ329" s="71">
        <v>1</v>
      </c>
      <c r="AR329" s="71" t="b">
        <v>0</v>
      </c>
      <c r="BP329" t="s">
        <v>235</v>
      </c>
      <c r="BQ329">
        <v>1</v>
      </c>
      <c r="BR329">
        <v>300</v>
      </c>
      <c r="BS329">
        <v>100</v>
      </c>
      <c r="BT329" s="74">
        <f ca="1">INDIRECT(ADDRESS(11+(MATCH(RIGHT(Table61011[[#This Row],[spawner_sku]],LEN(Table61011[[#This Row],[spawner_sku]])-FIND("/",Table61011[[#This Row],[spawner_sku]])),Table1[Entity Prefab],0)),10,1,1,"Entities"))</f>
        <v>75</v>
      </c>
      <c r="BU329" s="74">
        <f ca="1">ROUND((Table61011[[#This Row],[XP]]*Table61011[[#This Row],[entity_spawned (AVG)]])*(Table61011[[#This Row],[activating_chance]]/100),0)</f>
        <v>75</v>
      </c>
      <c r="BV329" s="71" t="str">
        <f ca="1">INDIRECT(ADDRESS(11+(MATCH(RIGHT(Table61011[[#This Row],[spawner_sku]],LEN(Table61011[[#This Row],[spawner_sku]])-FIND("/",Table61011[[#This Row],[spawner_sku]])),Table28[Entity Prefab],0)),24,1,1,"Entities"))</f>
        <v>yes</v>
      </c>
      <c r="BW329" s="71">
        <v>1</v>
      </c>
      <c r="BX329" s="71">
        <v>1</v>
      </c>
      <c r="BY329" s="71" t="b">
        <v>0</v>
      </c>
      <c r="BZ329" s="71"/>
      <c r="CA329" s="147" t="s">
        <v>3816</v>
      </c>
      <c r="CB329">
        <v>1</v>
      </c>
      <c r="CC329">
        <v>240</v>
      </c>
      <c r="CD329">
        <v>100</v>
      </c>
      <c r="CE329" s="74">
        <f ca="1">INDIRECT(ADDRESS(11+(MATCH(RIGHT(Table35[[#This Row],[spawner_sku]],LEN(Table35[[#This Row],[spawner_sku]])-FIND("/",Table35[[#This Row],[spawner_sku]])),Table1[Entity Prefab],0)),10,1,1,"Entities"))</f>
        <v>50</v>
      </c>
      <c r="CF329" s="74">
        <f ca="1">ROUND((Table35[[#This Row],[XP]]*Table35[[#This Row],[entity_spawned (AVG)]])*(Table35[[#This Row],[activating_chance]]/100),0)</f>
        <v>50</v>
      </c>
      <c r="CG329" s="144" t="str">
        <f ca="1">INDIRECT(ADDRESS(11+(MATCH(RIGHT(Table35[[#This Row],[spawner_sku]],LEN(Table35[[#This Row],[spawner_sku]])-FIND("/",Table35[[#This Row],[spawner_sku]])),Table28[Entity Prefab],0)),24,1,1,"Entities"))</f>
        <v>no</v>
      </c>
      <c r="CH329">
        <v>1</v>
      </c>
      <c r="CI329">
        <v>1</v>
      </c>
      <c r="CJ329" s="71" t="b">
        <v>0</v>
      </c>
      <c r="CL329" t="s">
        <v>510</v>
      </c>
      <c r="CM329">
        <v>1</v>
      </c>
      <c r="CN329">
        <v>165</v>
      </c>
      <c r="CO329">
        <v>100</v>
      </c>
      <c r="CP329" s="74">
        <f ca="1">INDIRECT(ADDRESS(11+(MATCH(RIGHT(Table11[[#This Row],[spawner_sku]],LEN(Table11[[#This Row],[spawner_sku]])-FIND("/",Table11[[#This Row],[spawner_sku]])),Table1[Entity Prefab],0)),10,1,1,"Entities"))</f>
        <v>90</v>
      </c>
      <c r="CQ329">
        <f ca="1">ROUND((Table11[[#This Row],[XP]]*Table11[[#This Row],[entity_spawned (AVG)]])*(Table11[[#This Row],[activating_chance]]/100),0)</f>
        <v>90</v>
      </c>
      <c r="CR329" s="144" t="str">
        <f ca="1">INDIRECT(ADDRESS(11+(MATCH(RIGHT(Table11[[#This Row],[spawner_sku]],LEN(Table11[[#This Row],[spawner_sku]])-FIND("/",Table11[[#This Row],[spawner_sku]])),Table28[Entity Prefab],0)),25,1,1,"Entities"))</f>
        <v>no</v>
      </c>
      <c r="CS329" s="71">
        <v>1</v>
      </c>
      <c r="CT329" s="71">
        <v>1</v>
      </c>
      <c r="CU329" s="71" t="b">
        <v>0</v>
      </c>
      <c r="DH329" t="s">
        <v>365</v>
      </c>
      <c r="DI329">
        <v>3.5</v>
      </c>
      <c r="DJ329">
        <v>170</v>
      </c>
      <c r="DK329">
        <v>80</v>
      </c>
      <c r="DL329" s="74">
        <f ca="1">INDIRECT(ADDRESS(11+(MATCH(RIGHT(Table13[[#This Row],[spawner_sku]],LEN(Table13[[#This Row],[spawner_sku]])-FIND("/",Table13[[#This Row],[spawner_sku]])),Table1[Entity Prefab],0)),10,1,1,"Entities"))</f>
        <v>28</v>
      </c>
      <c r="DM329" s="74">
        <f ca="1">ROUND((Table13[[#This Row],[XP]]*Table13[[#This Row],[entity_spawned (AVG)]])*(Table13[[#This Row],[activating_chance]]/100),0)</f>
        <v>78</v>
      </c>
      <c r="DN329" s="144" t="str">
        <f ca="1">INDIRECT(ADDRESS(11+(MATCH(RIGHT(Table13[[#This Row],[spawner_sku]],LEN(Table13[[#This Row],[spawner_sku]])-FIND("/",Table13[[#This Row],[spawner_sku]])),Table28[Entity Prefab],0)),25,1,1,"Entities"))</f>
        <v>yes</v>
      </c>
      <c r="DO329" s="71">
        <v>3</v>
      </c>
      <c r="DP329" s="71">
        <v>4</v>
      </c>
      <c r="DQ329" s="71" t="b">
        <v>0</v>
      </c>
      <c r="DS329" t="s">
        <v>511</v>
      </c>
      <c r="DT329">
        <v>1</v>
      </c>
      <c r="DU329">
        <v>100</v>
      </c>
      <c r="DV329">
        <v>100</v>
      </c>
      <c r="DW329" s="74">
        <f ca="1">INDIRECT(ADDRESS(11+(MATCH(RIGHT(Table14[[#This Row],[spawner_sku]],LEN(Table14[[#This Row],[spawner_sku]])-FIND("/",Table14[[#This Row],[spawner_sku]])),Table1[Entity Prefab],0)),10,1,1,"Entities"))</f>
        <v>75</v>
      </c>
      <c r="DX329" s="74">
        <f ca="1">ROUND((Table14[[#This Row],[XP]]*Table14[[#This Row],[entity_spawned (AVG)]])*(Table14[[#This Row],[activating_chance]]/100),0)</f>
        <v>75</v>
      </c>
      <c r="DY329" s="144" t="str">
        <f ca="1">INDIRECT(ADDRESS(11+(MATCH(RIGHT(Table14[[#This Row],[spawner_sku]],LEN(Table14[[#This Row],[spawner_sku]])-FIND("/",Table14[[#This Row],[spawner_sku]])),Table28[Entity Prefab],0)),25,1,1,"Entities"))</f>
        <v>no</v>
      </c>
      <c r="DZ329" s="71">
        <v>1</v>
      </c>
      <c r="EA329" s="71">
        <v>1</v>
      </c>
      <c r="EB329" s="71" t="b">
        <v>0</v>
      </c>
      <c r="EC329" s="71"/>
      <c r="EO329" t="s">
        <v>242</v>
      </c>
      <c r="EP329">
        <v>1.5</v>
      </c>
      <c r="EQ329">
        <v>140</v>
      </c>
      <c r="ER329">
        <v>100</v>
      </c>
      <c r="ES329" s="74">
        <f ca="1">INDIRECT(ADDRESS(11+(MATCH(RIGHT(Table18[[#This Row],[spawner_sku]],LEN(Table18[[#This Row],[spawner_sku]])-FIND("/",Table18[[#This Row],[spawner_sku]])),Table1[Entity Prefab],0)),10,1,1,"Entities"))</f>
        <v>25</v>
      </c>
      <c r="ET329" s="74">
        <f ca="1">ROUND((Table18[[#This Row],[XP]]*Table18[[#This Row],[entity_spawned (AVG)]])*(Table18[[#This Row],[activating_chance]]/100),0)</f>
        <v>38</v>
      </c>
      <c r="EU329" s="74" t="str">
        <f ca="1">INDIRECT(ADDRESS(11+(MATCH(RIGHT(Table18[[#This Row],[spawner_sku]],LEN(Table18[[#This Row],[spawner_sku]])-FIND("/",Table18[[#This Row],[spawner_sku]])),Table28[Entity Prefab],0)),26,1,1,"Entities"))</f>
        <v>no</v>
      </c>
      <c r="EV329">
        <v>1</v>
      </c>
      <c r="EW329">
        <v>2</v>
      </c>
      <c r="EX329" t="b">
        <v>0</v>
      </c>
    </row>
    <row r="330" spans="2:154" x14ac:dyDescent="0.25">
      <c r="B330" s="72" t="s">
        <v>229</v>
      </c>
      <c r="C330">
        <v>1</v>
      </c>
      <c r="D330">
        <v>1500</v>
      </c>
      <c r="E330">
        <v>100</v>
      </c>
      <c r="F330" s="74">
        <f ca="1">INDIRECT(ADDRESS(11+(MATCH(RIGHT(Table245[[#This Row],[spawner_sku]],LEN(Table245[[#This Row],[spawner_sku]])-FIND("/",Table245[[#This Row],[spawner_sku]])),Table1[Entity Prefab],0)),10,1,1,"Entities"))</f>
        <v>130</v>
      </c>
      <c r="G330" s="74">
        <f ca="1">ROUND((Table245[[#This Row],[XP]]*Table245[[#This Row],[entity_spawned (AVG)]])*(Table245[[#This Row],[activating_chance]]/100),0)</f>
        <v>130</v>
      </c>
      <c r="H330" s="71" t="str">
        <f ca="1">INDIRECT(ADDRESS(11+(MATCH(RIGHT(Table245[[#This Row],[spawner_sku]],LEN(Table245[[#This Row],[spawner_sku]])-FIND("/",Table245[[#This Row],[spawner_sku]])),Table28[Entity Prefab],0)),24,1,1,"Entities"))</f>
        <v>yes</v>
      </c>
      <c r="I330" s="71">
        <v>1</v>
      </c>
      <c r="J330" s="71">
        <v>1</v>
      </c>
      <c r="K330" s="71" t="b">
        <v>0</v>
      </c>
      <c r="AI330" t="s">
        <v>233</v>
      </c>
      <c r="AJ330">
        <v>1</v>
      </c>
      <c r="AK330">
        <v>500</v>
      </c>
      <c r="AL330">
        <v>75</v>
      </c>
      <c r="AM330" s="74">
        <f ca="1">INDIRECT(ADDRESS(11+(MATCH(RIGHT(Table2[[#This Row],[spawner_sku]],LEN(Table2[[#This Row],[spawner_sku]])-FIND("/",Table2[[#This Row],[spawner_sku]])),Table1[Entity Prefab],0)),10,1,1,"Entities"))</f>
        <v>25</v>
      </c>
      <c r="AN330" s="74">
        <f ca="1">ROUND((Table2[[#This Row],[XP]]*Table2[[#This Row],[entity_spawned (AVG)]])*(Table2[[#This Row],[activating_chance]]/100),0)</f>
        <v>19</v>
      </c>
      <c r="AO330" s="71" t="str">
        <f ca="1">INDIRECT(ADDRESS(11+(MATCH(RIGHT(Table2[[#This Row],[spawner_sku]],LEN(Table2[[#This Row],[spawner_sku]])-FIND("/",Table2[[#This Row],[spawner_sku]])),Table28[Entity Prefab],0)),24,1,1,"Entities"))</f>
        <v>no</v>
      </c>
      <c r="AP330" s="71">
        <v>1</v>
      </c>
      <c r="AQ330" s="71">
        <v>1</v>
      </c>
      <c r="AR330" s="71" t="b">
        <v>0</v>
      </c>
      <c r="BP330" t="s">
        <v>235</v>
      </c>
      <c r="BQ330">
        <v>1</v>
      </c>
      <c r="BR330">
        <v>280</v>
      </c>
      <c r="BS330">
        <v>30</v>
      </c>
      <c r="BT330" s="74">
        <f ca="1">INDIRECT(ADDRESS(11+(MATCH(RIGHT(Table61011[[#This Row],[spawner_sku]],LEN(Table61011[[#This Row],[spawner_sku]])-FIND("/",Table61011[[#This Row],[spawner_sku]])),Table1[Entity Prefab],0)),10,1,1,"Entities"))</f>
        <v>75</v>
      </c>
      <c r="BU330" s="74">
        <f ca="1">ROUND((Table61011[[#This Row],[XP]]*Table61011[[#This Row],[entity_spawned (AVG)]])*(Table61011[[#This Row],[activating_chance]]/100),0)</f>
        <v>23</v>
      </c>
      <c r="BV330" s="71" t="str">
        <f ca="1">INDIRECT(ADDRESS(11+(MATCH(RIGHT(Table61011[[#This Row],[spawner_sku]],LEN(Table61011[[#This Row],[spawner_sku]])-FIND("/",Table61011[[#This Row],[spawner_sku]])),Table28[Entity Prefab],0)),24,1,1,"Entities"))</f>
        <v>yes</v>
      </c>
      <c r="BW330" s="71">
        <v>1</v>
      </c>
      <c r="BX330" s="71">
        <v>1</v>
      </c>
      <c r="BY330" s="71" t="b">
        <v>0</v>
      </c>
      <c r="BZ330" s="71"/>
      <c r="CA330" s="147" t="s">
        <v>3816</v>
      </c>
      <c r="CB330">
        <v>1</v>
      </c>
      <c r="CC330">
        <v>240</v>
      </c>
      <c r="CD330">
        <v>100</v>
      </c>
      <c r="CE330" s="74">
        <f ca="1">INDIRECT(ADDRESS(11+(MATCH(RIGHT(Table35[[#This Row],[spawner_sku]],LEN(Table35[[#This Row],[spawner_sku]])-FIND("/",Table35[[#This Row],[spawner_sku]])),Table1[Entity Prefab],0)),10,1,1,"Entities"))</f>
        <v>50</v>
      </c>
      <c r="CF330" s="74">
        <f ca="1">ROUND((Table35[[#This Row],[XP]]*Table35[[#This Row],[entity_spawned (AVG)]])*(Table35[[#This Row],[activating_chance]]/100),0)</f>
        <v>50</v>
      </c>
      <c r="CG330" s="144" t="str">
        <f ca="1">INDIRECT(ADDRESS(11+(MATCH(RIGHT(Table35[[#This Row],[spawner_sku]],LEN(Table35[[#This Row],[spawner_sku]])-FIND("/",Table35[[#This Row],[spawner_sku]])),Table28[Entity Prefab],0)),24,1,1,"Entities"))</f>
        <v>no</v>
      </c>
      <c r="CH330">
        <v>1</v>
      </c>
      <c r="CI330">
        <v>1</v>
      </c>
      <c r="CJ330" s="71" t="b">
        <v>0</v>
      </c>
      <c r="CL330" t="s">
        <v>510</v>
      </c>
      <c r="CM330">
        <v>1</v>
      </c>
      <c r="CN330">
        <v>135</v>
      </c>
      <c r="CO330">
        <v>100</v>
      </c>
      <c r="CP330" s="74">
        <f ca="1">INDIRECT(ADDRESS(11+(MATCH(RIGHT(Table11[[#This Row],[spawner_sku]],LEN(Table11[[#This Row],[spawner_sku]])-FIND("/",Table11[[#This Row],[spawner_sku]])),Table1[Entity Prefab],0)),10,1,1,"Entities"))</f>
        <v>90</v>
      </c>
      <c r="CQ330">
        <f ca="1">ROUND((Table11[[#This Row],[XP]]*Table11[[#This Row],[entity_spawned (AVG)]])*(Table11[[#This Row],[activating_chance]]/100),0)</f>
        <v>90</v>
      </c>
      <c r="CR330" s="144" t="str">
        <f ca="1">INDIRECT(ADDRESS(11+(MATCH(RIGHT(Table11[[#This Row],[spawner_sku]],LEN(Table11[[#This Row],[spawner_sku]])-FIND("/",Table11[[#This Row],[spawner_sku]])),Table28[Entity Prefab],0)),25,1,1,"Entities"))</f>
        <v>no</v>
      </c>
      <c r="CS330" s="71">
        <v>1</v>
      </c>
      <c r="CT330" s="71">
        <v>1</v>
      </c>
      <c r="CU330" s="71" t="b">
        <v>0</v>
      </c>
      <c r="DH330" t="s">
        <v>8010</v>
      </c>
      <c r="DI330">
        <v>1</v>
      </c>
      <c r="DJ330">
        <v>150</v>
      </c>
      <c r="DK330">
        <v>100</v>
      </c>
      <c r="DL330" s="74">
        <f ca="1">INDIRECT(ADDRESS(11+(MATCH(RIGHT(Table13[[#This Row],[spawner_sku]],LEN(Table13[[#This Row],[spawner_sku]])-FIND("/",Table13[[#This Row],[spawner_sku]])),Table1[Entity Prefab],0)),10,1,1,"Entities"))</f>
        <v>50</v>
      </c>
      <c r="DM330" s="74">
        <f ca="1">ROUND((Table13[[#This Row],[XP]]*Table13[[#This Row],[entity_spawned (AVG)]])*(Table13[[#This Row],[activating_chance]]/100),0)</f>
        <v>50</v>
      </c>
      <c r="DN330" s="144" t="str">
        <f ca="1">INDIRECT(ADDRESS(11+(MATCH(RIGHT(Table13[[#This Row],[spawner_sku]],LEN(Table13[[#This Row],[spawner_sku]])-FIND("/",Table13[[#This Row],[spawner_sku]])),Table28[Entity Prefab],0)),25,1,1,"Entities"))</f>
        <v>no</v>
      </c>
      <c r="DO330" s="71">
        <v>1</v>
      </c>
      <c r="DP330" s="71">
        <v>1</v>
      </c>
      <c r="DQ330" s="71" t="b">
        <v>0</v>
      </c>
      <c r="DS330" t="s">
        <v>511</v>
      </c>
      <c r="DT330">
        <v>1</v>
      </c>
      <c r="DU330">
        <v>110</v>
      </c>
      <c r="DV330">
        <v>100</v>
      </c>
      <c r="DW330" s="74">
        <f ca="1">INDIRECT(ADDRESS(11+(MATCH(RIGHT(Table14[[#This Row],[spawner_sku]],LEN(Table14[[#This Row],[spawner_sku]])-FIND("/",Table14[[#This Row],[spawner_sku]])),Table1[Entity Prefab],0)),10,1,1,"Entities"))</f>
        <v>75</v>
      </c>
      <c r="DX330" s="74">
        <f ca="1">ROUND((Table14[[#This Row],[XP]]*Table14[[#This Row],[entity_spawned (AVG)]])*(Table14[[#This Row],[activating_chance]]/100),0)</f>
        <v>75</v>
      </c>
      <c r="DY330" s="144" t="str">
        <f ca="1">INDIRECT(ADDRESS(11+(MATCH(RIGHT(Table14[[#This Row],[spawner_sku]],LEN(Table14[[#This Row],[spawner_sku]])-FIND("/",Table14[[#This Row],[spawner_sku]])),Table28[Entity Prefab],0)),25,1,1,"Entities"))</f>
        <v>no</v>
      </c>
      <c r="DZ330" s="71">
        <v>1</v>
      </c>
      <c r="EA330" s="71">
        <v>1</v>
      </c>
      <c r="EB330" s="71" t="b">
        <v>0</v>
      </c>
      <c r="EC330" s="71"/>
      <c r="EO330" t="s">
        <v>242</v>
      </c>
      <c r="EP330">
        <v>1.5</v>
      </c>
      <c r="EQ330">
        <v>100</v>
      </c>
      <c r="ER330">
        <v>100</v>
      </c>
      <c r="ES330" s="74">
        <f ca="1">INDIRECT(ADDRESS(11+(MATCH(RIGHT(Table18[[#This Row],[spawner_sku]],LEN(Table18[[#This Row],[spawner_sku]])-FIND("/",Table18[[#This Row],[spawner_sku]])),Table1[Entity Prefab],0)),10,1,1,"Entities"))</f>
        <v>25</v>
      </c>
      <c r="ET330" s="74">
        <f ca="1">ROUND((Table18[[#This Row],[XP]]*Table18[[#This Row],[entity_spawned (AVG)]])*(Table18[[#This Row],[activating_chance]]/100),0)</f>
        <v>38</v>
      </c>
      <c r="EU330" s="74" t="str">
        <f ca="1">INDIRECT(ADDRESS(11+(MATCH(RIGHT(Table18[[#This Row],[spawner_sku]],LEN(Table18[[#This Row],[spawner_sku]])-FIND("/",Table18[[#This Row],[spawner_sku]])),Table28[Entity Prefab],0)),26,1,1,"Entities"))</f>
        <v>no</v>
      </c>
      <c r="EV330">
        <v>1</v>
      </c>
      <c r="EW330">
        <v>2</v>
      </c>
      <c r="EX330" t="b">
        <v>0</v>
      </c>
    </row>
    <row r="331" spans="2:154" x14ac:dyDescent="0.25">
      <c r="B331" s="72" t="s">
        <v>229</v>
      </c>
      <c r="C331">
        <v>1</v>
      </c>
      <c r="D331">
        <v>1500</v>
      </c>
      <c r="E331">
        <v>100</v>
      </c>
      <c r="F331" s="74">
        <f ca="1">INDIRECT(ADDRESS(11+(MATCH(RIGHT(Table245[[#This Row],[spawner_sku]],LEN(Table245[[#This Row],[spawner_sku]])-FIND("/",Table245[[#This Row],[spawner_sku]])),Table1[Entity Prefab],0)),10,1,1,"Entities"))</f>
        <v>130</v>
      </c>
      <c r="G331" s="74">
        <f ca="1">ROUND((Table245[[#This Row],[XP]]*Table245[[#This Row],[entity_spawned (AVG)]])*(Table245[[#This Row],[activating_chance]]/100),0)</f>
        <v>130</v>
      </c>
      <c r="H331" s="71" t="str">
        <f ca="1">INDIRECT(ADDRESS(11+(MATCH(RIGHT(Table245[[#This Row],[spawner_sku]],LEN(Table245[[#This Row],[spawner_sku]])-FIND("/",Table245[[#This Row],[spawner_sku]])),Table28[Entity Prefab],0)),24,1,1,"Entities"))</f>
        <v>yes</v>
      </c>
      <c r="I331" s="71">
        <v>1</v>
      </c>
      <c r="J331" s="71">
        <v>1</v>
      </c>
      <c r="K331" s="71" t="b">
        <v>0</v>
      </c>
      <c r="AI331" t="s">
        <v>233</v>
      </c>
      <c r="AJ331">
        <v>1</v>
      </c>
      <c r="AK331">
        <v>500</v>
      </c>
      <c r="AL331">
        <v>75</v>
      </c>
      <c r="AM331" s="74">
        <f ca="1">INDIRECT(ADDRESS(11+(MATCH(RIGHT(Table2[[#This Row],[spawner_sku]],LEN(Table2[[#This Row],[spawner_sku]])-FIND("/",Table2[[#This Row],[spawner_sku]])),Table1[Entity Prefab],0)),10,1,1,"Entities"))</f>
        <v>25</v>
      </c>
      <c r="AN331" s="74">
        <f ca="1">ROUND((Table2[[#This Row],[XP]]*Table2[[#This Row],[entity_spawned (AVG)]])*(Table2[[#This Row],[activating_chance]]/100),0)</f>
        <v>19</v>
      </c>
      <c r="AO331" s="71" t="str">
        <f ca="1">INDIRECT(ADDRESS(11+(MATCH(RIGHT(Table2[[#This Row],[spawner_sku]],LEN(Table2[[#This Row],[spawner_sku]])-FIND("/",Table2[[#This Row],[spawner_sku]])),Table28[Entity Prefab],0)),24,1,1,"Entities"))</f>
        <v>no</v>
      </c>
      <c r="AP331" s="71">
        <v>1</v>
      </c>
      <c r="AQ331" s="71">
        <v>1</v>
      </c>
      <c r="AR331" s="71" t="b">
        <v>0</v>
      </c>
      <c r="BP331" t="s">
        <v>235</v>
      </c>
      <c r="BQ331">
        <v>1</v>
      </c>
      <c r="BR331">
        <v>220</v>
      </c>
      <c r="BS331">
        <v>100</v>
      </c>
      <c r="BT331" s="74">
        <f ca="1">INDIRECT(ADDRESS(11+(MATCH(RIGHT(Table61011[[#This Row],[spawner_sku]],LEN(Table61011[[#This Row],[spawner_sku]])-FIND("/",Table61011[[#This Row],[spawner_sku]])),Table1[Entity Prefab],0)),10,1,1,"Entities"))</f>
        <v>75</v>
      </c>
      <c r="BU331" s="74">
        <f ca="1">ROUND((Table61011[[#This Row],[XP]]*Table61011[[#This Row],[entity_spawned (AVG)]])*(Table61011[[#This Row],[activating_chance]]/100),0)</f>
        <v>75</v>
      </c>
      <c r="BV331" s="71" t="str">
        <f ca="1">INDIRECT(ADDRESS(11+(MATCH(RIGHT(Table61011[[#This Row],[spawner_sku]],LEN(Table61011[[#This Row],[spawner_sku]])-FIND("/",Table61011[[#This Row],[spawner_sku]])),Table28[Entity Prefab],0)),24,1,1,"Entities"))</f>
        <v>yes</v>
      </c>
      <c r="BW331" s="71">
        <v>1</v>
      </c>
      <c r="BX331" s="71">
        <v>1</v>
      </c>
      <c r="BY331" s="71" t="b">
        <v>0</v>
      </c>
      <c r="BZ331" s="71"/>
      <c r="CA331" s="147" t="s">
        <v>3816</v>
      </c>
      <c r="CB331">
        <v>1</v>
      </c>
      <c r="CC331">
        <v>240</v>
      </c>
      <c r="CD331">
        <v>100</v>
      </c>
      <c r="CE331" s="74">
        <f ca="1">INDIRECT(ADDRESS(11+(MATCH(RIGHT(Table35[[#This Row],[spawner_sku]],LEN(Table35[[#This Row],[spawner_sku]])-FIND("/",Table35[[#This Row],[spawner_sku]])),Table1[Entity Prefab],0)),10,1,1,"Entities"))</f>
        <v>50</v>
      </c>
      <c r="CF331" s="74">
        <f ca="1">ROUND((Table35[[#This Row],[XP]]*Table35[[#This Row],[entity_spawned (AVG)]])*(Table35[[#This Row],[activating_chance]]/100),0)</f>
        <v>50</v>
      </c>
      <c r="CG331" s="144" t="str">
        <f ca="1">INDIRECT(ADDRESS(11+(MATCH(RIGHT(Table35[[#This Row],[spawner_sku]],LEN(Table35[[#This Row],[spawner_sku]])-FIND("/",Table35[[#This Row],[spawner_sku]])),Table28[Entity Prefab],0)),24,1,1,"Entities"))</f>
        <v>no</v>
      </c>
      <c r="CH331">
        <v>1</v>
      </c>
      <c r="CI331">
        <v>1</v>
      </c>
      <c r="CJ331" s="71" t="b">
        <v>0</v>
      </c>
      <c r="CL331" t="s">
        <v>510</v>
      </c>
      <c r="CM331">
        <v>1</v>
      </c>
      <c r="CN331">
        <v>150</v>
      </c>
      <c r="CO331">
        <v>100</v>
      </c>
      <c r="CP331" s="74">
        <f ca="1">INDIRECT(ADDRESS(11+(MATCH(RIGHT(Table11[[#This Row],[spawner_sku]],LEN(Table11[[#This Row],[spawner_sku]])-FIND("/",Table11[[#This Row],[spawner_sku]])),Table1[Entity Prefab],0)),10,1,1,"Entities"))</f>
        <v>90</v>
      </c>
      <c r="CQ331">
        <f ca="1">ROUND((Table11[[#This Row],[XP]]*Table11[[#This Row],[entity_spawned (AVG)]])*(Table11[[#This Row],[activating_chance]]/100),0)</f>
        <v>90</v>
      </c>
      <c r="CR331" s="144" t="str">
        <f ca="1">INDIRECT(ADDRESS(11+(MATCH(RIGHT(Table11[[#This Row],[spawner_sku]],LEN(Table11[[#This Row],[spawner_sku]])-FIND("/",Table11[[#This Row],[spawner_sku]])),Table28[Entity Prefab],0)),25,1,1,"Entities"))</f>
        <v>no</v>
      </c>
      <c r="CS331" s="71">
        <v>1</v>
      </c>
      <c r="CT331" s="71">
        <v>1</v>
      </c>
      <c r="CU331" s="71" t="b">
        <v>0</v>
      </c>
      <c r="DH331" t="s">
        <v>8010</v>
      </c>
      <c r="DI331">
        <v>1</v>
      </c>
      <c r="DJ331">
        <v>150</v>
      </c>
      <c r="DK331">
        <v>100</v>
      </c>
      <c r="DL331" s="74">
        <f ca="1">INDIRECT(ADDRESS(11+(MATCH(RIGHT(Table13[[#This Row],[spawner_sku]],LEN(Table13[[#This Row],[spawner_sku]])-FIND("/",Table13[[#This Row],[spawner_sku]])),Table1[Entity Prefab],0)),10,1,1,"Entities"))</f>
        <v>50</v>
      </c>
      <c r="DM331" s="74">
        <f ca="1">ROUND((Table13[[#This Row],[XP]]*Table13[[#This Row],[entity_spawned (AVG)]])*(Table13[[#This Row],[activating_chance]]/100),0)</f>
        <v>50</v>
      </c>
      <c r="DN331" s="144" t="str">
        <f ca="1">INDIRECT(ADDRESS(11+(MATCH(RIGHT(Table13[[#This Row],[spawner_sku]],LEN(Table13[[#This Row],[spawner_sku]])-FIND("/",Table13[[#This Row],[spawner_sku]])),Table28[Entity Prefab],0)),25,1,1,"Entities"))</f>
        <v>no</v>
      </c>
      <c r="DO331" s="71">
        <v>1</v>
      </c>
      <c r="DP331" s="71">
        <v>1</v>
      </c>
      <c r="DQ331" s="71" t="b">
        <v>0</v>
      </c>
      <c r="DS331" t="s">
        <v>510</v>
      </c>
      <c r="DT331">
        <v>3</v>
      </c>
      <c r="DU331">
        <v>200</v>
      </c>
      <c r="DV331">
        <v>100</v>
      </c>
      <c r="DW331" s="74">
        <f ca="1">INDIRECT(ADDRESS(11+(MATCH(RIGHT(Table14[[#This Row],[spawner_sku]],LEN(Table14[[#This Row],[spawner_sku]])-FIND("/",Table14[[#This Row],[spawner_sku]])),Table1[Entity Prefab],0)),10,1,1,"Entities"))</f>
        <v>90</v>
      </c>
      <c r="DX331" s="74">
        <f ca="1">ROUND((Table14[[#This Row],[XP]]*Table14[[#This Row],[entity_spawned (AVG)]])*(Table14[[#This Row],[activating_chance]]/100),0)</f>
        <v>270</v>
      </c>
      <c r="DY331" s="144" t="str">
        <f ca="1">INDIRECT(ADDRESS(11+(MATCH(RIGHT(Table14[[#This Row],[spawner_sku]],LEN(Table14[[#This Row],[spawner_sku]])-FIND("/",Table14[[#This Row],[spawner_sku]])),Table28[Entity Prefab],0)),25,1,1,"Entities"))</f>
        <v>no</v>
      </c>
      <c r="DZ331" s="71">
        <v>2</v>
      </c>
      <c r="EA331" s="71">
        <v>4</v>
      </c>
      <c r="EB331" s="71" t="b">
        <v>0</v>
      </c>
      <c r="EC331" s="71"/>
      <c r="EO331" t="s">
        <v>242</v>
      </c>
      <c r="EP331">
        <v>3</v>
      </c>
      <c r="EQ331">
        <v>100</v>
      </c>
      <c r="ER331">
        <v>100</v>
      </c>
      <c r="ES331" s="74">
        <f ca="1">INDIRECT(ADDRESS(11+(MATCH(RIGHT(Table18[[#This Row],[spawner_sku]],LEN(Table18[[#This Row],[spawner_sku]])-FIND("/",Table18[[#This Row],[spawner_sku]])),Table1[Entity Prefab],0)),10,1,1,"Entities"))</f>
        <v>25</v>
      </c>
      <c r="ET331" s="74">
        <f ca="1">ROUND((Table18[[#This Row],[XP]]*Table18[[#This Row],[entity_spawned (AVG)]])*(Table18[[#This Row],[activating_chance]]/100),0)</f>
        <v>75</v>
      </c>
      <c r="EU331" s="74" t="str">
        <f ca="1">INDIRECT(ADDRESS(11+(MATCH(RIGHT(Table18[[#This Row],[spawner_sku]],LEN(Table18[[#This Row],[spawner_sku]])-FIND("/",Table18[[#This Row],[spawner_sku]])),Table28[Entity Prefab],0)),26,1,1,"Entities"))</f>
        <v>no</v>
      </c>
      <c r="EV331">
        <v>2</v>
      </c>
      <c r="EW331">
        <v>4</v>
      </c>
      <c r="EX331" t="b">
        <v>0</v>
      </c>
    </row>
    <row r="332" spans="2:154" x14ac:dyDescent="0.25">
      <c r="B332" s="72" t="s">
        <v>229</v>
      </c>
      <c r="C332">
        <v>1</v>
      </c>
      <c r="D332">
        <v>1500</v>
      </c>
      <c r="E332">
        <v>20</v>
      </c>
      <c r="F332" s="74">
        <f ca="1">INDIRECT(ADDRESS(11+(MATCH(RIGHT(Table245[[#This Row],[spawner_sku]],LEN(Table245[[#This Row],[spawner_sku]])-FIND("/",Table245[[#This Row],[spawner_sku]])),Table1[Entity Prefab],0)),10,1,1,"Entities"))</f>
        <v>130</v>
      </c>
      <c r="G332" s="74">
        <f ca="1">ROUND((Table245[[#This Row],[XP]]*Table245[[#This Row],[entity_spawned (AVG)]])*(Table245[[#This Row],[activating_chance]]/100),0)</f>
        <v>26</v>
      </c>
      <c r="H332" s="71" t="str">
        <f ca="1">INDIRECT(ADDRESS(11+(MATCH(RIGHT(Table245[[#This Row],[spawner_sku]],LEN(Table245[[#This Row],[spawner_sku]])-FIND("/",Table245[[#This Row],[spawner_sku]])),Table28[Entity Prefab],0)),24,1,1,"Entities"))</f>
        <v>yes</v>
      </c>
      <c r="I332" s="71">
        <v>1</v>
      </c>
      <c r="J332" s="71">
        <v>1</v>
      </c>
      <c r="K332" s="71" t="b">
        <v>0</v>
      </c>
      <c r="AI332" t="s">
        <v>5003</v>
      </c>
      <c r="AJ332">
        <v>1</v>
      </c>
      <c r="AK332">
        <v>5000</v>
      </c>
      <c r="AL332">
        <v>30</v>
      </c>
      <c r="AM332" s="74">
        <f ca="1">INDIRECT(ADDRESS(11+(MATCH(RIGHT(Table2[[#This Row],[spawner_sku]],LEN(Table2[[#This Row],[spawner_sku]])-FIND("/",Table2[[#This Row],[spawner_sku]])),Table1[Entity Prefab],0)),10,1,1,"Entities"))</f>
        <v>25</v>
      </c>
      <c r="AN332" s="74">
        <f ca="1">ROUND((Table2[[#This Row],[XP]]*Table2[[#This Row],[entity_spawned (AVG)]])*(Table2[[#This Row],[activating_chance]]/100),0)</f>
        <v>8</v>
      </c>
      <c r="AO332" s="71" t="str">
        <f ca="1">INDIRECT(ADDRESS(11+(MATCH(RIGHT(Table2[[#This Row],[spawner_sku]],LEN(Table2[[#This Row],[spawner_sku]])-FIND("/",Table2[[#This Row],[spawner_sku]])),Table28[Entity Prefab],0)),24,1,1,"Entities"))</f>
        <v>no</v>
      </c>
      <c r="AP332" s="71">
        <v>1</v>
      </c>
      <c r="AQ332" s="71">
        <v>1</v>
      </c>
      <c r="AR332" s="71" t="b">
        <v>0</v>
      </c>
      <c r="BP332" t="s">
        <v>381</v>
      </c>
      <c r="BQ332">
        <v>1</v>
      </c>
      <c r="BR332">
        <v>200</v>
      </c>
      <c r="BS332">
        <v>100</v>
      </c>
      <c r="BT332" s="74">
        <f ca="1">INDIRECT(ADDRESS(11+(MATCH(RIGHT(Table61011[[#This Row],[spawner_sku]],LEN(Table61011[[#This Row],[spawner_sku]])-FIND("/",Table61011[[#This Row],[spawner_sku]])),Table1[Entity Prefab],0)),10,1,1,"Entities"))</f>
        <v>75</v>
      </c>
      <c r="BU332" s="74">
        <f ca="1">ROUND((Table61011[[#This Row],[XP]]*Table61011[[#This Row],[entity_spawned (AVG)]])*(Table61011[[#This Row],[activating_chance]]/100),0)</f>
        <v>75</v>
      </c>
      <c r="BV332" s="71" t="str">
        <f ca="1">INDIRECT(ADDRESS(11+(MATCH(RIGHT(Table61011[[#This Row],[spawner_sku]],LEN(Table61011[[#This Row],[spawner_sku]])-FIND("/",Table61011[[#This Row],[spawner_sku]])),Table28[Entity Prefab],0)),24,1,1,"Entities"))</f>
        <v>yes</v>
      </c>
      <c r="BW332" s="71">
        <v>1</v>
      </c>
      <c r="BX332" s="71">
        <v>1</v>
      </c>
      <c r="BY332" s="71" t="b">
        <v>0</v>
      </c>
      <c r="BZ332" s="71"/>
      <c r="CA332" s="147" t="s">
        <v>3816</v>
      </c>
      <c r="CB332">
        <v>1</v>
      </c>
      <c r="CC332">
        <v>240</v>
      </c>
      <c r="CD332">
        <v>100</v>
      </c>
      <c r="CE332" s="74">
        <f ca="1">INDIRECT(ADDRESS(11+(MATCH(RIGHT(Table35[[#This Row],[spawner_sku]],LEN(Table35[[#This Row],[spawner_sku]])-FIND("/",Table35[[#This Row],[spawner_sku]])),Table1[Entity Prefab],0)),10,1,1,"Entities"))</f>
        <v>50</v>
      </c>
      <c r="CF332" s="74">
        <f ca="1">ROUND((Table35[[#This Row],[XP]]*Table35[[#This Row],[entity_spawned (AVG)]])*(Table35[[#This Row],[activating_chance]]/100),0)</f>
        <v>50</v>
      </c>
      <c r="CG332" s="144" t="str">
        <f ca="1">INDIRECT(ADDRESS(11+(MATCH(RIGHT(Table35[[#This Row],[spawner_sku]],LEN(Table35[[#This Row],[spawner_sku]])-FIND("/",Table35[[#This Row],[spawner_sku]])),Table28[Entity Prefab],0)),24,1,1,"Entities"))</f>
        <v>no</v>
      </c>
      <c r="CH332">
        <v>1</v>
      </c>
      <c r="CI332">
        <v>1</v>
      </c>
      <c r="CJ332" s="71" t="b">
        <v>0</v>
      </c>
      <c r="CL332" t="s">
        <v>510</v>
      </c>
      <c r="CM332">
        <v>1</v>
      </c>
      <c r="CN332">
        <v>150</v>
      </c>
      <c r="CO332">
        <v>100</v>
      </c>
      <c r="CP332" s="74">
        <f ca="1">INDIRECT(ADDRESS(11+(MATCH(RIGHT(Table11[[#This Row],[spawner_sku]],LEN(Table11[[#This Row],[spawner_sku]])-FIND("/",Table11[[#This Row],[spawner_sku]])),Table1[Entity Prefab],0)),10,1,1,"Entities"))</f>
        <v>90</v>
      </c>
      <c r="CQ332">
        <f ca="1">ROUND((Table11[[#This Row],[XP]]*Table11[[#This Row],[entity_spawned (AVG)]])*(Table11[[#This Row],[activating_chance]]/100),0)</f>
        <v>90</v>
      </c>
      <c r="CR332" s="144" t="str">
        <f ca="1">INDIRECT(ADDRESS(11+(MATCH(RIGHT(Table11[[#This Row],[spawner_sku]],LEN(Table11[[#This Row],[spawner_sku]])-FIND("/",Table11[[#This Row],[spawner_sku]])),Table28[Entity Prefab],0)),25,1,1,"Entities"))</f>
        <v>no</v>
      </c>
      <c r="CS332" s="71">
        <v>1</v>
      </c>
      <c r="CT332" s="71">
        <v>1</v>
      </c>
      <c r="CU332" s="71" t="b">
        <v>0</v>
      </c>
      <c r="DH332" t="s">
        <v>8010</v>
      </c>
      <c r="DI332">
        <v>1</v>
      </c>
      <c r="DJ332">
        <v>150</v>
      </c>
      <c r="DK332">
        <v>100</v>
      </c>
      <c r="DL332" s="74">
        <f ca="1">INDIRECT(ADDRESS(11+(MATCH(RIGHT(Table13[[#This Row],[spawner_sku]],LEN(Table13[[#This Row],[spawner_sku]])-FIND("/",Table13[[#This Row],[spawner_sku]])),Table1[Entity Prefab],0)),10,1,1,"Entities"))</f>
        <v>50</v>
      </c>
      <c r="DM332" s="74">
        <f ca="1">ROUND((Table13[[#This Row],[XP]]*Table13[[#This Row],[entity_spawned (AVG)]])*(Table13[[#This Row],[activating_chance]]/100),0)</f>
        <v>50</v>
      </c>
      <c r="DN332" s="144" t="str">
        <f ca="1">INDIRECT(ADDRESS(11+(MATCH(RIGHT(Table13[[#This Row],[spawner_sku]],LEN(Table13[[#This Row],[spawner_sku]])-FIND("/",Table13[[#This Row],[spawner_sku]])),Table28[Entity Prefab],0)),25,1,1,"Entities"))</f>
        <v>no</v>
      </c>
      <c r="DO332" s="71">
        <v>1</v>
      </c>
      <c r="DP332" s="71">
        <v>1</v>
      </c>
      <c r="DQ332" s="71" t="b">
        <v>0</v>
      </c>
      <c r="DS332" t="s">
        <v>510</v>
      </c>
      <c r="DT332">
        <v>1</v>
      </c>
      <c r="DU332">
        <v>145</v>
      </c>
      <c r="DV332">
        <v>100</v>
      </c>
      <c r="DW332" s="74">
        <f ca="1">INDIRECT(ADDRESS(11+(MATCH(RIGHT(Table14[[#This Row],[spawner_sku]],LEN(Table14[[#This Row],[spawner_sku]])-FIND("/",Table14[[#This Row],[spawner_sku]])),Table1[Entity Prefab],0)),10,1,1,"Entities"))</f>
        <v>90</v>
      </c>
      <c r="DX332" s="74">
        <f ca="1">ROUND((Table14[[#This Row],[XP]]*Table14[[#This Row],[entity_spawned (AVG)]])*(Table14[[#This Row],[activating_chance]]/100),0)</f>
        <v>90</v>
      </c>
      <c r="DY332" s="144" t="str">
        <f ca="1">INDIRECT(ADDRESS(11+(MATCH(RIGHT(Table14[[#This Row],[spawner_sku]],LEN(Table14[[#This Row],[spawner_sku]])-FIND("/",Table14[[#This Row],[spawner_sku]])),Table28[Entity Prefab],0)),25,1,1,"Entities"))</f>
        <v>no</v>
      </c>
      <c r="DZ332" s="71">
        <v>1</v>
      </c>
      <c r="EA332" s="71">
        <v>1</v>
      </c>
      <c r="EB332" s="71" t="b">
        <v>0</v>
      </c>
      <c r="EC332" s="71"/>
      <c r="EO332" t="s">
        <v>243</v>
      </c>
      <c r="EP332">
        <v>2.5</v>
      </c>
      <c r="EQ332">
        <v>135</v>
      </c>
      <c r="ER332">
        <v>100</v>
      </c>
      <c r="ES332" s="74">
        <f ca="1">INDIRECT(ADDRESS(11+(MATCH(RIGHT(Table18[[#This Row],[spawner_sku]],LEN(Table18[[#This Row],[spawner_sku]])-FIND("/",Table18[[#This Row],[spawner_sku]])),Table1[Entity Prefab],0)),10,1,1,"Entities"))</f>
        <v>25</v>
      </c>
      <c r="ET332" s="74">
        <f ca="1">ROUND((Table18[[#This Row],[XP]]*Table18[[#This Row],[entity_spawned (AVG)]])*(Table18[[#This Row],[activating_chance]]/100),0)</f>
        <v>63</v>
      </c>
      <c r="EU332" s="74" t="str">
        <f ca="1">INDIRECT(ADDRESS(11+(MATCH(RIGHT(Table18[[#This Row],[spawner_sku]],LEN(Table18[[#This Row],[spawner_sku]])-FIND("/",Table18[[#This Row],[spawner_sku]])),Table28[Entity Prefab],0)),26,1,1,"Entities"))</f>
        <v>no</v>
      </c>
      <c r="EV332">
        <v>2</v>
      </c>
      <c r="EW332">
        <v>3</v>
      </c>
      <c r="EX332" t="b">
        <v>0</v>
      </c>
    </row>
    <row r="333" spans="2:154" x14ac:dyDescent="0.25">
      <c r="B333" s="72" t="s">
        <v>229</v>
      </c>
      <c r="C333">
        <v>1</v>
      </c>
      <c r="D333">
        <v>1500</v>
      </c>
      <c r="E333">
        <v>100</v>
      </c>
      <c r="F333" s="74">
        <f ca="1">INDIRECT(ADDRESS(11+(MATCH(RIGHT(Table245[[#This Row],[spawner_sku]],LEN(Table245[[#This Row],[spawner_sku]])-FIND("/",Table245[[#This Row],[spawner_sku]])),Table1[Entity Prefab],0)),10,1,1,"Entities"))</f>
        <v>130</v>
      </c>
      <c r="G333" s="74">
        <f ca="1">ROUND((Table245[[#This Row],[XP]]*Table245[[#This Row],[entity_spawned (AVG)]])*(Table245[[#This Row],[activating_chance]]/100),0)</f>
        <v>130</v>
      </c>
      <c r="H333" s="71" t="str">
        <f ca="1">INDIRECT(ADDRESS(11+(MATCH(RIGHT(Table245[[#This Row],[spawner_sku]],LEN(Table245[[#This Row],[spawner_sku]])-FIND("/",Table245[[#This Row],[spawner_sku]])),Table28[Entity Prefab],0)),24,1,1,"Entities"))</f>
        <v>yes</v>
      </c>
      <c r="I333" s="71">
        <v>1</v>
      </c>
      <c r="J333" s="71">
        <v>1</v>
      </c>
      <c r="K333" s="71" t="b">
        <v>0</v>
      </c>
      <c r="AI333" t="s">
        <v>5003</v>
      </c>
      <c r="AJ333">
        <v>1</v>
      </c>
      <c r="AK333">
        <v>5000</v>
      </c>
      <c r="AL333">
        <v>80</v>
      </c>
      <c r="AM333" s="74">
        <f ca="1">INDIRECT(ADDRESS(11+(MATCH(RIGHT(Table2[[#This Row],[spawner_sku]],LEN(Table2[[#This Row],[spawner_sku]])-FIND("/",Table2[[#This Row],[spawner_sku]])),Table1[Entity Prefab],0)),10,1,1,"Entities"))</f>
        <v>25</v>
      </c>
      <c r="AN333" s="74">
        <f ca="1">ROUND((Table2[[#This Row],[XP]]*Table2[[#This Row],[entity_spawned (AVG)]])*(Table2[[#This Row],[activating_chance]]/100),0)</f>
        <v>20</v>
      </c>
      <c r="AO333" s="71" t="str">
        <f ca="1">INDIRECT(ADDRESS(11+(MATCH(RIGHT(Table2[[#This Row],[spawner_sku]],LEN(Table2[[#This Row],[spawner_sku]])-FIND("/",Table2[[#This Row],[spawner_sku]])),Table28[Entity Prefab],0)),24,1,1,"Entities"))</f>
        <v>no</v>
      </c>
      <c r="AP333" s="71">
        <v>1</v>
      </c>
      <c r="AQ333" s="71">
        <v>1</v>
      </c>
      <c r="AR333" s="71" t="b">
        <v>0</v>
      </c>
      <c r="BP333" t="s">
        <v>381</v>
      </c>
      <c r="BQ333">
        <v>1</v>
      </c>
      <c r="BR333">
        <v>200</v>
      </c>
      <c r="BS333">
        <v>100</v>
      </c>
      <c r="BT333" s="74">
        <f ca="1">INDIRECT(ADDRESS(11+(MATCH(RIGHT(Table61011[[#This Row],[spawner_sku]],LEN(Table61011[[#This Row],[spawner_sku]])-FIND("/",Table61011[[#This Row],[spawner_sku]])),Table1[Entity Prefab],0)),10,1,1,"Entities"))</f>
        <v>75</v>
      </c>
      <c r="BU333" s="74">
        <f ca="1">ROUND((Table61011[[#This Row],[XP]]*Table61011[[#This Row],[entity_spawned (AVG)]])*(Table61011[[#This Row],[activating_chance]]/100),0)</f>
        <v>75</v>
      </c>
      <c r="BV333" s="71" t="str">
        <f ca="1">INDIRECT(ADDRESS(11+(MATCH(RIGHT(Table61011[[#This Row],[spawner_sku]],LEN(Table61011[[#This Row],[spawner_sku]])-FIND("/",Table61011[[#This Row],[spawner_sku]])),Table28[Entity Prefab],0)),24,1,1,"Entities"))</f>
        <v>yes</v>
      </c>
      <c r="BW333" s="71">
        <v>1</v>
      </c>
      <c r="BX333" s="71">
        <v>1</v>
      </c>
      <c r="BY333" s="71" t="b">
        <v>0</v>
      </c>
      <c r="BZ333" s="71"/>
      <c r="CA333" s="147" t="s">
        <v>3816</v>
      </c>
      <c r="CB333">
        <v>1</v>
      </c>
      <c r="CC333">
        <v>240</v>
      </c>
      <c r="CD333">
        <v>100</v>
      </c>
      <c r="CE333" s="74">
        <f ca="1">INDIRECT(ADDRESS(11+(MATCH(RIGHT(Table35[[#This Row],[spawner_sku]],LEN(Table35[[#This Row],[spawner_sku]])-FIND("/",Table35[[#This Row],[spawner_sku]])),Table1[Entity Prefab],0)),10,1,1,"Entities"))</f>
        <v>50</v>
      </c>
      <c r="CF333" s="74">
        <f ca="1">ROUND((Table35[[#This Row],[XP]]*Table35[[#This Row],[entity_spawned (AVG)]])*(Table35[[#This Row],[activating_chance]]/100),0)</f>
        <v>50</v>
      </c>
      <c r="CG333" s="144" t="str">
        <f ca="1">INDIRECT(ADDRESS(11+(MATCH(RIGHT(Table35[[#This Row],[spawner_sku]],LEN(Table35[[#This Row],[spawner_sku]])-FIND("/",Table35[[#This Row],[spawner_sku]])),Table28[Entity Prefab],0)),24,1,1,"Entities"))</f>
        <v>no</v>
      </c>
      <c r="CH333">
        <v>1</v>
      </c>
      <c r="CI333">
        <v>1</v>
      </c>
      <c r="CJ333" s="71" t="b">
        <v>0</v>
      </c>
      <c r="CL333" t="s">
        <v>510</v>
      </c>
      <c r="CM333">
        <v>1</v>
      </c>
      <c r="CN333">
        <v>165</v>
      </c>
      <c r="CO333">
        <v>100</v>
      </c>
      <c r="CP333" s="74">
        <f ca="1">INDIRECT(ADDRESS(11+(MATCH(RIGHT(Table11[[#This Row],[spawner_sku]],LEN(Table11[[#This Row],[spawner_sku]])-FIND("/",Table11[[#This Row],[spawner_sku]])),Table1[Entity Prefab],0)),10,1,1,"Entities"))</f>
        <v>90</v>
      </c>
      <c r="CQ333">
        <f ca="1">ROUND((Table11[[#This Row],[XP]]*Table11[[#This Row],[entity_spawned (AVG)]])*(Table11[[#This Row],[activating_chance]]/100),0)</f>
        <v>90</v>
      </c>
      <c r="CR333" s="144" t="str">
        <f ca="1">INDIRECT(ADDRESS(11+(MATCH(RIGHT(Table11[[#This Row],[spawner_sku]],LEN(Table11[[#This Row],[spawner_sku]])-FIND("/",Table11[[#This Row],[spawner_sku]])),Table28[Entity Prefab],0)),25,1,1,"Entities"))</f>
        <v>no</v>
      </c>
      <c r="CS333" s="71">
        <v>1</v>
      </c>
      <c r="CT333" s="71">
        <v>1</v>
      </c>
      <c r="CU333" s="71" t="b">
        <v>0</v>
      </c>
      <c r="DH333" t="s">
        <v>8010</v>
      </c>
      <c r="DI333">
        <v>1</v>
      </c>
      <c r="DJ333">
        <v>150</v>
      </c>
      <c r="DK333">
        <v>100</v>
      </c>
      <c r="DL333" s="74">
        <f ca="1">INDIRECT(ADDRESS(11+(MATCH(RIGHT(Table13[[#This Row],[spawner_sku]],LEN(Table13[[#This Row],[spawner_sku]])-FIND("/",Table13[[#This Row],[spawner_sku]])),Table1[Entity Prefab],0)),10,1,1,"Entities"))</f>
        <v>50</v>
      </c>
      <c r="DM333" s="74">
        <f ca="1">ROUND((Table13[[#This Row],[XP]]*Table13[[#This Row],[entity_spawned (AVG)]])*(Table13[[#This Row],[activating_chance]]/100),0)</f>
        <v>50</v>
      </c>
      <c r="DN333" s="144" t="str">
        <f ca="1">INDIRECT(ADDRESS(11+(MATCH(RIGHT(Table13[[#This Row],[spawner_sku]],LEN(Table13[[#This Row],[spawner_sku]])-FIND("/",Table13[[#This Row],[spawner_sku]])),Table28[Entity Prefab],0)),25,1,1,"Entities"))</f>
        <v>no</v>
      </c>
      <c r="DO333" s="71">
        <v>1</v>
      </c>
      <c r="DP333" s="71">
        <v>1</v>
      </c>
      <c r="DQ333" s="71" t="b">
        <v>0</v>
      </c>
      <c r="DS333" t="s">
        <v>510</v>
      </c>
      <c r="DT333">
        <v>1</v>
      </c>
      <c r="DU333">
        <v>130</v>
      </c>
      <c r="DV333">
        <v>100</v>
      </c>
      <c r="DW333" s="74">
        <f ca="1">INDIRECT(ADDRESS(11+(MATCH(RIGHT(Table14[[#This Row],[spawner_sku]],LEN(Table14[[#This Row],[spawner_sku]])-FIND("/",Table14[[#This Row],[spawner_sku]])),Table1[Entity Prefab],0)),10,1,1,"Entities"))</f>
        <v>90</v>
      </c>
      <c r="DX333" s="74">
        <f ca="1">ROUND((Table14[[#This Row],[XP]]*Table14[[#This Row],[entity_spawned (AVG)]])*(Table14[[#This Row],[activating_chance]]/100),0)</f>
        <v>90</v>
      </c>
      <c r="DY333" s="144" t="str">
        <f ca="1">INDIRECT(ADDRESS(11+(MATCH(RIGHT(Table14[[#This Row],[spawner_sku]],LEN(Table14[[#This Row],[spawner_sku]])-FIND("/",Table14[[#This Row],[spawner_sku]])),Table28[Entity Prefab],0)),25,1,1,"Entities"))</f>
        <v>no</v>
      </c>
      <c r="DZ333" s="71">
        <v>1</v>
      </c>
      <c r="EA333" s="71">
        <v>1</v>
      </c>
      <c r="EB333" s="71" t="b">
        <v>0</v>
      </c>
      <c r="EC333" s="71"/>
      <c r="EO333" t="s">
        <v>243</v>
      </c>
      <c r="EP333">
        <v>1.5</v>
      </c>
      <c r="EQ333">
        <v>150</v>
      </c>
      <c r="ER333">
        <v>80</v>
      </c>
      <c r="ES333" s="74">
        <f ca="1">INDIRECT(ADDRESS(11+(MATCH(RIGHT(Table18[[#This Row],[spawner_sku]],LEN(Table18[[#This Row],[spawner_sku]])-FIND("/",Table18[[#This Row],[spawner_sku]])),Table1[Entity Prefab],0)),10,1,1,"Entities"))</f>
        <v>25</v>
      </c>
      <c r="ET333" s="74">
        <f ca="1">ROUND((Table18[[#This Row],[XP]]*Table18[[#This Row],[entity_spawned (AVG)]])*(Table18[[#This Row],[activating_chance]]/100),0)</f>
        <v>30</v>
      </c>
      <c r="EU333" s="74" t="str">
        <f ca="1">INDIRECT(ADDRESS(11+(MATCH(RIGHT(Table18[[#This Row],[spawner_sku]],LEN(Table18[[#This Row],[spawner_sku]])-FIND("/",Table18[[#This Row],[spawner_sku]])),Table28[Entity Prefab],0)),26,1,1,"Entities"))</f>
        <v>no</v>
      </c>
      <c r="EV333">
        <v>1</v>
      </c>
      <c r="EW333">
        <v>2</v>
      </c>
      <c r="EX333" t="b">
        <v>0</v>
      </c>
    </row>
    <row r="334" spans="2:154" x14ac:dyDescent="0.25">
      <c r="B334" s="72" t="s">
        <v>229</v>
      </c>
      <c r="C334">
        <v>1</v>
      </c>
      <c r="D334">
        <v>1500</v>
      </c>
      <c r="E334">
        <v>100</v>
      </c>
      <c r="F334" s="74">
        <f ca="1">INDIRECT(ADDRESS(11+(MATCH(RIGHT(Table245[[#This Row],[spawner_sku]],LEN(Table245[[#This Row],[spawner_sku]])-FIND("/",Table245[[#This Row],[spawner_sku]])),Table1[Entity Prefab],0)),10,1,1,"Entities"))</f>
        <v>130</v>
      </c>
      <c r="G334" s="74">
        <f ca="1">ROUND((Table245[[#This Row],[XP]]*Table245[[#This Row],[entity_spawned (AVG)]])*(Table245[[#This Row],[activating_chance]]/100),0)</f>
        <v>130</v>
      </c>
      <c r="H334" s="71" t="str">
        <f ca="1">INDIRECT(ADDRESS(11+(MATCH(RIGHT(Table245[[#This Row],[spawner_sku]],LEN(Table245[[#This Row],[spawner_sku]])-FIND("/",Table245[[#This Row],[spawner_sku]])),Table28[Entity Prefab],0)),24,1,1,"Entities"))</f>
        <v>yes</v>
      </c>
      <c r="I334" s="71">
        <v>1</v>
      </c>
      <c r="J334" s="71">
        <v>1</v>
      </c>
      <c r="K334" s="71" t="b">
        <v>0</v>
      </c>
      <c r="AI334" t="s">
        <v>5003</v>
      </c>
      <c r="AJ334">
        <v>1</v>
      </c>
      <c r="AK334">
        <v>5000</v>
      </c>
      <c r="AL334">
        <v>30</v>
      </c>
      <c r="AM334" s="74">
        <f ca="1">INDIRECT(ADDRESS(11+(MATCH(RIGHT(Table2[[#This Row],[spawner_sku]],LEN(Table2[[#This Row],[spawner_sku]])-FIND("/",Table2[[#This Row],[spawner_sku]])),Table1[Entity Prefab],0)),10,1,1,"Entities"))</f>
        <v>25</v>
      </c>
      <c r="AN334" s="74">
        <f ca="1">ROUND((Table2[[#This Row],[XP]]*Table2[[#This Row],[entity_spawned (AVG)]])*(Table2[[#This Row],[activating_chance]]/100),0)</f>
        <v>8</v>
      </c>
      <c r="AO334" s="71" t="str">
        <f ca="1">INDIRECT(ADDRESS(11+(MATCH(RIGHT(Table2[[#This Row],[spawner_sku]],LEN(Table2[[#This Row],[spawner_sku]])-FIND("/",Table2[[#This Row],[spawner_sku]])),Table28[Entity Prefab],0)),24,1,1,"Entities"))</f>
        <v>no</v>
      </c>
      <c r="AP334" s="71">
        <v>1</v>
      </c>
      <c r="AQ334" s="71">
        <v>1</v>
      </c>
      <c r="AR334" s="71" t="b">
        <v>0</v>
      </c>
      <c r="BP334" t="s">
        <v>381</v>
      </c>
      <c r="BQ334">
        <v>1</v>
      </c>
      <c r="BR334">
        <v>280</v>
      </c>
      <c r="BS334">
        <v>100</v>
      </c>
      <c r="BT334" s="74">
        <f ca="1">INDIRECT(ADDRESS(11+(MATCH(RIGHT(Table61011[[#This Row],[spawner_sku]],LEN(Table61011[[#This Row],[spawner_sku]])-FIND("/",Table61011[[#This Row],[spawner_sku]])),Table1[Entity Prefab],0)),10,1,1,"Entities"))</f>
        <v>75</v>
      </c>
      <c r="BU334" s="74">
        <f ca="1">ROUND((Table61011[[#This Row],[XP]]*Table61011[[#This Row],[entity_spawned (AVG)]])*(Table61011[[#This Row],[activating_chance]]/100),0)</f>
        <v>75</v>
      </c>
      <c r="BV334" s="71" t="str">
        <f ca="1">INDIRECT(ADDRESS(11+(MATCH(RIGHT(Table61011[[#This Row],[spawner_sku]],LEN(Table61011[[#This Row],[spawner_sku]])-FIND("/",Table61011[[#This Row],[spawner_sku]])),Table28[Entity Prefab],0)),24,1,1,"Entities"))</f>
        <v>yes</v>
      </c>
      <c r="BW334" s="71">
        <v>1</v>
      </c>
      <c r="BX334" s="71">
        <v>1</v>
      </c>
      <c r="BY334" s="71" t="b">
        <v>0</v>
      </c>
      <c r="BZ334" s="71"/>
      <c r="CA334" s="147" t="s">
        <v>3816</v>
      </c>
      <c r="CB334">
        <v>1</v>
      </c>
      <c r="CC334">
        <v>240</v>
      </c>
      <c r="CD334">
        <v>100</v>
      </c>
      <c r="CE334" s="74">
        <f ca="1">INDIRECT(ADDRESS(11+(MATCH(RIGHT(Table35[[#This Row],[spawner_sku]],LEN(Table35[[#This Row],[spawner_sku]])-FIND("/",Table35[[#This Row],[spawner_sku]])),Table1[Entity Prefab],0)),10,1,1,"Entities"))</f>
        <v>50</v>
      </c>
      <c r="CF334" s="74">
        <f ca="1">ROUND((Table35[[#This Row],[XP]]*Table35[[#This Row],[entity_spawned (AVG)]])*(Table35[[#This Row],[activating_chance]]/100),0)</f>
        <v>50</v>
      </c>
      <c r="CG334" s="144" t="str">
        <f ca="1">INDIRECT(ADDRESS(11+(MATCH(RIGHT(Table35[[#This Row],[spawner_sku]],LEN(Table35[[#This Row],[spawner_sku]])-FIND("/",Table35[[#This Row],[spawner_sku]])),Table28[Entity Prefab],0)),24,1,1,"Entities"))</f>
        <v>no</v>
      </c>
      <c r="CH334">
        <v>1</v>
      </c>
      <c r="CI334">
        <v>1</v>
      </c>
      <c r="CJ334" s="71" t="b">
        <v>0</v>
      </c>
      <c r="CL334" t="s">
        <v>510</v>
      </c>
      <c r="CM334">
        <v>1</v>
      </c>
      <c r="CN334">
        <v>160</v>
      </c>
      <c r="CO334">
        <v>100</v>
      </c>
      <c r="CP334" s="74">
        <f ca="1">INDIRECT(ADDRESS(11+(MATCH(RIGHT(Table11[[#This Row],[spawner_sku]],LEN(Table11[[#This Row],[spawner_sku]])-FIND("/",Table11[[#This Row],[spawner_sku]])),Table1[Entity Prefab],0)),10,1,1,"Entities"))</f>
        <v>90</v>
      </c>
      <c r="CQ334">
        <f ca="1">ROUND((Table11[[#This Row],[XP]]*Table11[[#This Row],[entity_spawned (AVG)]])*(Table11[[#This Row],[activating_chance]]/100),0)</f>
        <v>90</v>
      </c>
      <c r="CR334" s="144" t="str">
        <f ca="1">INDIRECT(ADDRESS(11+(MATCH(RIGHT(Table11[[#This Row],[spawner_sku]],LEN(Table11[[#This Row],[spawner_sku]])-FIND("/",Table11[[#This Row],[spawner_sku]])),Table28[Entity Prefab],0)),25,1,1,"Entities"))</f>
        <v>no</v>
      </c>
      <c r="CS334" s="71">
        <v>1</v>
      </c>
      <c r="CT334" s="71">
        <v>1</v>
      </c>
      <c r="CU334" s="71" t="b">
        <v>0</v>
      </c>
      <c r="DS334" t="s">
        <v>510</v>
      </c>
      <c r="DT334">
        <v>1</v>
      </c>
      <c r="DU334">
        <v>140</v>
      </c>
      <c r="DV334">
        <v>100</v>
      </c>
      <c r="DW334" s="74">
        <f ca="1">INDIRECT(ADDRESS(11+(MATCH(RIGHT(Table14[[#This Row],[spawner_sku]],LEN(Table14[[#This Row],[spawner_sku]])-FIND("/",Table14[[#This Row],[spawner_sku]])),Table1[Entity Prefab],0)),10,1,1,"Entities"))</f>
        <v>90</v>
      </c>
      <c r="DX334" s="74">
        <f ca="1">ROUND((Table14[[#This Row],[XP]]*Table14[[#This Row],[entity_spawned (AVG)]])*(Table14[[#This Row],[activating_chance]]/100),0)</f>
        <v>90</v>
      </c>
      <c r="DY334" s="144" t="str">
        <f ca="1">INDIRECT(ADDRESS(11+(MATCH(RIGHT(Table14[[#This Row],[spawner_sku]],LEN(Table14[[#This Row],[spawner_sku]])-FIND("/",Table14[[#This Row],[spawner_sku]])),Table28[Entity Prefab],0)),25,1,1,"Entities"))</f>
        <v>no</v>
      </c>
      <c r="DZ334" s="71">
        <v>1</v>
      </c>
      <c r="EA334" s="71">
        <v>1</v>
      </c>
      <c r="EB334" s="71" t="b">
        <v>0</v>
      </c>
      <c r="EC334" s="71"/>
      <c r="EO334" t="s">
        <v>243</v>
      </c>
      <c r="EP334">
        <v>2.5</v>
      </c>
      <c r="EQ334">
        <v>150</v>
      </c>
      <c r="ER334">
        <v>100</v>
      </c>
      <c r="ES334" s="74">
        <f ca="1">INDIRECT(ADDRESS(11+(MATCH(RIGHT(Table18[[#This Row],[spawner_sku]],LEN(Table18[[#This Row],[spawner_sku]])-FIND("/",Table18[[#This Row],[spawner_sku]])),Table1[Entity Prefab],0)),10,1,1,"Entities"))</f>
        <v>25</v>
      </c>
      <c r="ET334" s="74">
        <f ca="1">ROUND((Table18[[#This Row],[XP]]*Table18[[#This Row],[entity_spawned (AVG)]])*(Table18[[#This Row],[activating_chance]]/100),0)</f>
        <v>63</v>
      </c>
      <c r="EU334" s="74" t="str">
        <f ca="1">INDIRECT(ADDRESS(11+(MATCH(RIGHT(Table18[[#This Row],[spawner_sku]],LEN(Table18[[#This Row],[spawner_sku]])-FIND("/",Table18[[#This Row],[spawner_sku]])),Table28[Entity Prefab],0)),26,1,1,"Entities"))</f>
        <v>no</v>
      </c>
      <c r="EV334">
        <v>2</v>
      </c>
      <c r="EW334">
        <v>3</v>
      </c>
      <c r="EX334" t="b">
        <v>0</v>
      </c>
    </row>
    <row r="335" spans="2:154" x14ac:dyDescent="0.25">
      <c r="B335" s="72" t="s">
        <v>229</v>
      </c>
      <c r="C335">
        <v>1</v>
      </c>
      <c r="D335">
        <v>1500</v>
      </c>
      <c r="E335">
        <v>100</v>
      </c>
      <c r="F335" s="74">
        <f ca="1">INDIRECT(ADDRESS(11+(MATCH(RIGHT(Table245[[#This Row],[spawner_sku]],LEN(Table245[[#This Row],[spawner_sku]])-FIND("/",Table245[[#This Row],[spawner_sku]])),Table1[Entity Prefab],0)),10,1,1,"Entities"))</f>
        <v>130</v>
      </c>
      <c r="G335" s="74">
        <f ca="1">ROUND((Table245[[#This Row],[XP]]*Table245[[#This Row],[entity_spawned (AVG)]])*(Table245[[#This Row],[activating_chance]]/100),0)</f>
        <v>130</v>
      </c>
      <c r="H335" s="71" t="str">
        <f ca="1">INDIRECT(ADDRESS(11+(MATCH(RIGHT(Table245[[#This Row],[spawner_sku]],LEN(Table245[[#This Row],[spawner_sku]])-FIND("/",Table245[[#This Row],[spawner_sku]])),Table28[Entity Prefab],0)),24,1,1,"Entities"))</f>
        <v>yes</v>
      </c>
      <c r="I335" s="71">
        <v>1</v>
      </c>
      <c r="J335" s="71">
        <v>1</v>
      </c>
      <c r="K335" s="71" t="b">
        <v>0</v>
      </c>
      <c r="AI335" t="s">
        <v>5003</v>
      </c>
      <c r="AJ335">
        <v>1</v>
      </c>
      <c r="AK335">
        <v>5000</v>
      </c>
      <c r="AL335">
        <v>50</v>
      </c>
      <c r="AM335" s="74">
        <f ca="1">INDIRECT(ADDRESS(11+(MATCH(RIGHT(Table2[[#This Row],[spawner_sku]],LEN(Table2[[#This Row],[spawner_sku]])-FIND("/",Table2[[#This Row],[spawner_sku]])),Table1[Entity Prefab],0)),10,1,1,"Entities"))</f>
        <v>25</v>
      </c>
      <c r="AN335" s="74">
        <f ca="1">ROUND((Table2[[#This Row],[XP]]*Table2[[#This Row],[entity_spawned (AVG)]])*(Table2[[#This Row],[activating_chance]]/100),0)</f>
        <v>13</v>
      </c>
      <c r="AO335" s="71" t="str">
        <f ca="1">INDIRECT(ADDRESS(11+(MATCH(RIGHT(Table2[[#This Row],[spawner_sku]],LEN(Table2[[#This Row],[spawner_sku]])-FIND("/",Table2[[#This Row],[spawner_sku]])),Table28[Entity Prefab],0)),24,1,1,"Entities"))</f>
        <v>no</v>
      </c>
      <c r="AP335" s="71">
        <v>1</v>
      </c>
      <c r="AQ335" s="71">
        <v>1</v>
      </c>
      <c r="AR335" s="71" t="b">
        <v>0</v>
      </c>
      <c r="BP335" t="s">
        <v>381</v>
      </c>
      <c r="BQ335">
        <v>1</v>
      </c>
      <c r="BR335">
        <v>280</v>
      </c>
      <c r="BS335">
        <v>100</v>
      </c>
      <c r="BT335" s="74">
        <f ca="1">INDIRECT(ADDRESS(11+(MATCH(RIGHT(Table61011[[#This Row],[spawner_sku]],LEN(Table61011[[#This Row],[spawner_sku]])-FIND("/",Table61011[[#This Row],[spawner_sku]])),Table1[Entity Prefab],0)),10,1,1,"Entities"))</f>
        <v>75</v>
      </c>
      <c r="BU335" s="74">
        <f ca="1">ROUND((Table61011[[#This Row],[XP]]*Table61011[[#This Row],[entity_spawned (AVG)]])*(Table61011[[#This Row],[activating_chance]]/100),0)</f>
        <v>75</v>
      </c>
      <c r="BV335" s="71" t="str">
        <f ca="1">INDIRECT(ADDRESS(11+(MATCH(RIGHT(Table61011[[#This Row],[spawner_sku]],LEN(Table61011[[#This Row],[spawner_sku]])-FIND("/",Table61011[[#This Row],[spawner_sku]])),Table28[Entity Prefab],0)),24,1,1,"Entities"))</f>
        <v>yes</v>
      </c>
      <c r="BW335" s="71">
        <v>1</v>
      </c>
      <c r="BX335" s="71">
        <v>1</v>
      </c>
      <c r="BY335" s="71" t="b">
        <v>0</v>
      </c>
      <c r="BZ335" s="71"/>
      <c r="CA335" s="147" t="s">
        <v>3816</v>
      </c>
      <c r="CB335">
        <v>1</v>
      </c>
      <c r="CC335">
        <v>240</v>
      </c>
      <c r="CD335">
        <v>100</v>
      </c>
      <c r="CE335" s="74">
        <f ca="1">INDIRECT(ADDRESS(11+(MATCH(RIGHT(Table35[[#This Row],[spawner_sku]],LEN(Table35[[#This Row],[spawner_sku]])-FIND("/",Table35[[#This Row],[spawner_sku]])),Table1[Entity Prefab],0)),10,1,1,"Entities"))</f>
        <v>50</v>
      </c>
      <c r="CF335" s="74">
        <f ca="1">ROUND((Table35[[#This Row],[XP]]*Table35[[#This Row],[entity_spawned (AVG)]])*(Table35[[#This Row],[activating_chance]]/100),0)</f>
        <v>50</v>
      </c>
      <c r="CG335" s="144" t="str">
        <f ca="1">INDIRECT(ADDRESS(11+(MATCH(RIGHT(Table35[[#This Row],[spawner_sku]],LEN(Table35[[#This Row],[spawner_sku]])-FIND("/",Table35[[#This Row],[spawner_sku]])),Table28[Entity Prefab],0)),24,1,1,"Entities"))</f>
        <v>no</v>
      </c>
      <c r="CH335">
        <v>1</v>
      </c>
      <c r="CI335">
        <v>1</v>
      </c>
      <c r="CJ335" s="71" t="b">
        <v>0</v>
      </c>
      <c r="CL335" t="s">
        <v>510</v>
      </c>
      <c r="CM335">
        <v>1</v>
      </c>
      <c r="CN335">
        <v>150</v>
      </c>
      <c r="CO335">
        <v>100</v>
      </c>
      <c r="CP335" s="74">
        <f ca="1">INDIRECT(ADDRESS(11+(MATCH(RIGHT(Table11[[#This Row],[spawner_sku]],LEN(Table11[[#This Row],[spawner_sku]])-FIND("/",Table11[[#This Row],[spawner_sku]])),Table1[Entity Prefab],0)),10,1,1,"Entities"))</f>
        <v>90</v>
      </c>
      <c r="CQ335">
        <f ca="1">ROUND((Table11[[#This Row],[XP]]*Table11[[#This Row],[entity_spawned (AVG)]])*(Table11[[#This Row],[activating_chance]]/100),0)</f>
        <v>90</v>
      </c>
      <c r="CR335" s="144" t="str">
        <f ca="1">INDIRECT(ADDRESS(11+(MATCH(RIGHT(Table11[[#This Row],[spawner_sku]],LEN(Table11[[#This Row],[spawner_sku]])-FIND("/",Table11[[#This Row],[spawner_sku]])),Table28[Entity Prefab],0)),25,1,1,"Entities"))</f>
        <v>no</v>
      </c>
      <c r="CS335" s="71">
        <v>1</v>
      </c>
      <c r="CT335" s="71">
        <v>1</v>
      </c>
      <c r="CU335" s="71" t="b">
        <v>0</v>
      </c>
      <c r="DS335" t="s">
        <v>510</v>
      </c>
      <c r="DT335">
        <v>1</v>
      </c>
      <c r="DU335">
        <v>150</v>
      </c>
      <c r="DV335">
        <v>100</v>
      </c>
      <c r="DW335" s="74">
        <f ca="1">INDIRECT(ADDRESS(11+(MATCH(RIGHT(Table14[[#This Row],[spawner_sku]],LEN(Table14[[#This Row],[spawner_sku]])-FIND("/",Table14[[#This Row],[spawner_sku]])),Table1[Entity Prefab],0)),10,1,1,"Entities"))</f>
        <v>90</v>
      </c>
      <c r="DX335" s="74">
        <f ca="1">ROUND((Table14[[#This Row],[XP]]*Table14[[#This Row],[entity_spawned (AVG)]])*(Table14[[#This Row],[activating_chance]]/100),0)</f>
        <v>90</v>
      </c>
      <c r="DY335" s="144" t="str">
        <f ca="1">INDIRECT(ADDRESS(11+(MATCH(RIGHT(Table14[[#This Row],[spawner_sku]],LEN(Table14[[#This Row],[spawner_sku]])-FIND("/",Table14[[#This Row],[spawner_sku]])),Table28[Entity Prefab],0)),25,1,1,"Entities"))</f>
        <v>no</v>
      </c>
      <c r="DZ335" s="71">
        <v>1</v>
      </c>
      <c r="EA335" s="71">
        <v>1</v>
      </c>
      <c r="EB335" s="71" t="b">
        <v>0</v>
      </c>
      <c r="EC335" s="71"/>
      <c r="EO335" t="s">
        <v>243</v>
      </c>
      <c r="EP335">
        <v>2.5</v>
      </c>
      <c r="EQ335">
        <v>150</v>
      </c>
      <c r="ER335">
        <v>80</v>
      </c>
      <c r="ES335" s="74">
        <f ca="1">INDIRECT(ADDRESS(11+(MATCH(RIGHT(Table18[[#This Row],[spawner_sku]],LEN(Table18[[#This Row],[spawner_sku]])-FIND("/",Table18[[#This Row],[spawner_sku]])),Table1[Entity Prefab],0)),10,1,1,"Entities"))</f>
        <v>25</v>
      </c>
      <c r="ET335" s="74">
        <f ca="1">ROUND((Table18[[#This Row],[XP]]*Table18[[#This Row],[entity_spawned (AVG)]])*(Table18[[#This Row],[activating_chance]]/100),0)</f>
        <v>50</v>
      </c>
      <c r="EU335" s="74" t="str">
        <f ca="1">INDIRECT(ADDRESS(11+(MATCH(RIGHT(Table18[[#This Row],[spawner_sku]],LEN(Table18[[#This Row],[spawner_sku]])-FIND("/",Table18[[#This Row],[spawner_sku]])),Table28[Entity Prefab],0)),26,1,1,"Entities"))</f>
        <v>no</v>
      </c>
      <c r="EV335">
        <v>2</v>
      </c>
      <c r="EW335">
        <v>3</v>
      </c>
      <c r="EX335" t="b">
        <v>0</v>
      </c>
    </row>
    <row r="336" spans="2:154" x14ac:dyDescent="0.25">
      <c r="B336" s="72" t="s">
        <v>229</v>
      </c>
      <c r="C336">
        <v>1</v>
      </c>
      <c r="D336">
        <v>1500</v>
      </c>
      <c r="E336">
        <v>100</v>
      </c>
      <c r="F336" s="74">
        <f ca="1">INDIRECT(ADDRESS(11+(MATCH(RIGHT(Table245[[#This Row],[spawner_sku]],LEN(Table245[[#This Row],[spawner_sku]])-FIND("/",Table245[[#This Row],[spawner_sku]])),Table1[Entity Prefab],0)),10,1,1,"Entities"))</f>
        <v>130</v>
      </c>
      <c r="G336" s="74">
        <f ca="1">ROUND((Table245[[#This Row],[XP]]*Table245[[#This Row],[entity_spawned (AVG)]])*(Table245[[#This Row],[activating_chance]]/100),0)</f>
        <v>130</v>
      </c>
      <c r="H336" s="71" t="str">
        <f ca="1">INDIRECT(ADDRESS(11+(MATCH(RIGHT(Table245[[#This Row],[spawner_sku]],LEN(Table245[[#This Row],[spawner_sku]])-FIND("/",Table245[[#This Row],[spawner_sku]])),Table28[Entity Prefab],0)),24,1,1,"Entities"))</f>
        <v>yes</v>
      </c>
      <c r="I336" s="71">
        <v>1</v>
      </c>
      <c r="J336" s="71">
        <v>1</v>
      </c>
      <c r="K336" s="71" t="b">
        <v>0</v>
      </c>
      <c r="AI336" t="s">
        <v>5003</v>
      </c>
      <c r="AJ336">
        <v>1</v>
      </c>
      <c r="AK336">
        <v>5000</v>
      </c>
      <c r="AL336">
        <v>100</v>
      </c>
      <c r="AM336" s="74">
        <f ca="1">INDIRECT(ADDRESS(11+(MATCH(RIGHT(Table2[[#This Row],[spawner_sku]],LEN(Table2[[#This Row],[spawner_sku]])-FIND("/",Table2[[#This Row],[spawner_sku]])),Table1[Entity Prefab],0)),10,1,1,"Entities"))</f>
        <v>25</v>
      </c>
      <c r="AN336" s="74">
        <f ca="1">ROUND((Table2[[#This Row],[XP]]*Table2[[#This Row],[entity_spawned (AVG)]])*(Table2[[#This Row],[activating_chance]]/100),0)</f>
        <v>25</v>
      </c>
      <c r="AO336" s="71" t="str">
        <f ca="1">INDIRECT(ADDRESS(11+(MATCH(RIGHT(Table2[[#This Row],[spawner_sku]],LEN(Table2[[#This Row],[spawner_sku]])-FIND("/",Table2[[#This Row],[spawner_sku]])),Table28[Entity Prefab],0)),24,1,1,"Entities"))</f>
        <v>no</v>
      </c>
      <c r="AP336" s="71">
        <v>1</v>
      </c>
      <c r="AQ336" s="71">
        <v>1</v>
      </c>
      <c r="AR336" s="71" t="b">
        <v>0</v>
      </c>
      <c r="BP336" t="s">
        <v>381</v>
      </c>
      <c r="BQ336">
        <v>1</v>
      </c>
      <c r="BR336">
        <v>200</v>
      </c>
      <c r="BS336">
        <v>100</v>
      </c>
      <c r="BT336" s="74">
        <f ca="1">INDIRECT(ADDRESS(11+(MATCH(RIGHT(Table61011[[#This Row],[spawner_sku]],LEN(Table61011[[#This Row],[spawner_sku]])-FIND("/",Table61011[[#This Row],[spawner_sku]])),Table1[Entity Prefab],0)),10,1,1,"Entities"))</f>
        <v>75</v>
      </c>
      <c r="BU336" s="74">
        <f ca="1">ROUND((Table61011[[#This Row],[XP]]*Table61011[[#This Row],[entity_spawned (AVG)]])*(Table61011[[#This Row],[activating_chance]]/100),0)</f>
        <v>75</v>
      </c>
      <c r="BV336" s="71" t="str">
        <f ca="1">INDIRECT(ADDRESS(11+(MATCH(RIGHT(Table61011[[#This Row],[spawner_sku]],LEN(Table61011[[#This Row],[spawner_sku]])-FIND("/",Table61011[[#This Row],[spawner_sku]])),Table28[Entity Prefab],0)),24,1,1,"Entities"))</f>
        <v>yes</v>
      </c>
      <c r="BW336" s="71">
        <v>1</v>
      </c>
      <c r="BX336" s="71">
        <v>1</v>
      </c>
      <c r="BY336" s="71" t="b">
        <v>0</v>
      </c>
      <c r="BZ336" s="71"/>
      <c r="CA336" s="147" t="s">
        <v>3816</v>
      </c>
      <c r="CB336">
        <v>1</v>
      </c>
      <c r="CC336">
        <v>240</v>
      </c>
      <c r="CD336">
        <v>100</v>
      </c>
      <c r="CE336" s="74">
        <f ca="1">INDIRECT(ADDRESS(11+(MATCH(RIGHT(Table35[[#This Row],[spawner_sku]],LEN(Table35[[#This Row],[spawner_sku]])-FIND("/",Table35[[#This Row],[spawner_sku]])),Table1[Entity Prefab],0)),10,1,1,"Entities"))</f>
        <v>50</v>
      </c>
      <c r="CF336" s="74">
        <f ca="1">ROUND((Table35[[#This Row],[XP]]*Table35[[#This Row],[entity_spawned (AVG)]])*(Table35[[#This Row],[activating_chance]]/100),0)</f>
        <v>50</v>
      </c>
      <c r="CG336" s="144" t="str">
        <f ca="1">INDIRECT(ADDRESS(11+(MATCH(RIGHT(Table35[[#This Row],[spawner_sku]],LEN(Table35[[#This Row],[spawner_sku]])-FIND("/",Table35[[#This Row],[spawner_sku]])),Table28[Entity Prefab],0)),24,1,1,"Entities"))</f>
        <v>no</v>
      </c>
      <c r="CH336">
        <v>1</v>
      </c>
      <c r="CI336">
        <v>1</v>
      </c>
      <c r="CJ336" s="71" t="b">
        <v>0</v>
      </c>
      <c r="CL336" t="s">
        <v>510</v>
      </c>
      <c r="CM336">
        <v>1</v>
      </c>
      <c r="CN336">
        <v>140</v>
      </c>
      <c r="CO336">
        <v>100</v>
      </c>
      <c r="CP336" s="74">
        <f ca="1">INDIRECT(ADDRESS(11+(MATCH(RIGHT(Table11[[#This Row],[spawner_sku]],LEN(Table11[[#This Row],[spawner_sku]])-FIND("/",Table11[[#This Row],[spawner_sku]])),Table1[Entity Prefab],0)),10,1,1,"Entities"))</f>
        <v>90</v>
      </c>
      <c r="CQ336">
        <f ca="1">ROUND((Table11[[#This Row],[XP]]*Table11[[#This Row],[entity_spawned (AVG)]])*(Table11[[#This Row],[activating_chance]]/100),0)</f>
        <v>90</v>
      </c>
      <c r="CR336" s="144" t="str">
        <f ca="1">INDIRECT(ADDRESS(11+(MATCH(RIGHT(Table11[[#This Row],[spawner_sku]],LEN(Table11[[#This Row],[spawner_sku]])-FIND("/",Table11[[#This Row],[spawner_sku]])),Table28[Entity Prefab],0)),25,1,1,"Entities"))</f>
        <v>no</v>
      </c>
      <c r="CS336" s="71">
        <v>1</v>
      </c>
      <c r="CT336" s="71">
        <v>1</v>
      </c>
      <c r="CU336" s="71" t="b">
        <v>0</v>
      </c>
      <c r="DS336" t="s">
        <v>510</v>
      </c>
      <c r="DT336">
        <v>1</v>
      </c>
      <c r="DU336">
        <v>140</v>
      </c>
      <c r="DV336">
        <v>100</v>
      </c>
      <c r="DW336" s="74">
        <f ca="1">INDIRECT(ADDRESS(11+(MATCH(RIGHT(Table14[[#This Row],[spawner_sku]],LEN(Table14[[#This Row],[spawner_sku]])-FIND("/",Table14[[#This Row],[spawner_sku]])),Table1[Entity Prefab],0)),10,1,1,"Entities"))</f>
        <v>90</v>
      </c>
      <c r="DX336" s="74">
        <f ca="1">ROUND((Table14[[#This Row],[XP]]*Table14[[#This Row],[entity_spawned (AVG)]])*(Table14[[#This Row],[activating_chance]]/100),0)</f>
        <v>90</v>
      </c>
      <c r="DY336" s="144" t="str">
        <f ca="1">INDIRECT(ADDRESS(11+(MATCH(RIGHT(Table14[[#This Row],[spawner_sku]],LEN(Table14[[#This Row],[spawner_sku]])-FIND("/",Table14[[#This Row],[spawner_sku]])),Table28[Entity Prefab],0)),25,1,1,"Entities"))</f>
        <v>no</v>
      </c>
      <c r="DZ336" s="71">
        <v>1</v>
      </c>
      <c r="EA336" s="71">
        <v>1</v>
      </c>
      <c r="EB336" s="71" t="b">
        <v>0</v>
      </c>
      <c r="EC336" s="71"/>
      <c r="EO336" t="s">
        <v>3812</v>
      </c>
      <c r="EP336">
        <v>1</v>
      </c>
      <c r="EQ336">
        <v>220</v>
      </c>
      <c r="ER336">
        <v>100</v>
      </c>
      <c r="ES336" s="74">
        <f ca="1">INDIRECT(ADDRESS(11+(MATCH(RIGHT(Table18[[#This Row],[spawner_sku]],LEN(Table18[[#This Row],[spawner_sku]])-FIND("/",Table18[[#This Row],[spawner_sku]])),Table1[Entity Prefab],0)),10,1,1,"Entities"))</f>
        <v>0</v>
      </c>
      <c r="ET336" s="74">
        <f ca="1">ROUND((Table18[[#This Row],[XP]]*Table18[[#This Row],[entity_spawned (AVG)]])*(Table18[[#This Row],[activating_chance]]/100),0)</f>
        <v>0</v>
      </c>
      <c r="EU336" s="74" t="str">
        <f ca="1">INDIRECT(ADDRESS(11+(MATCH(RIGHT(Table18[[#This Row],[spawner_sku]],LEN(Table18[[#This Row],[spawner_sku]])-FIND("/",Table18[[#This Row],[spawner_sku]])),Table28[Entity Prefab],0)),26,1,1,"Entities"))</f>
        <v>no</v>
      </c>
      <c r="EV336">
        <v>1</v>
      </c>
      <c r="EW336">
        <v>1</v>
      </c>
      <c r="EX336" t="b">
        <v>0</v>
      </c>
    </row>
    <row r="337" spans="2:154" x14ac:dyDescent="0.25">
      <c r="B337" s="72" t="s">
        <v>229</v>
      </c>
      <c r="C337">
        <v>1</v>
      </c>
      <c r="D337">
        <v>1500</v>
      </c>
      <c r="E337">
        <v>100</v>
      </c>
      <c r="F337" s="74">
        <f ca="1">INDIRECT(ADDRESS(11+(MATCH(RIGHT(Table245[[#This Row],[spawner_sku]],LEN(Table245[[#This Row],[spawner_sku]])-FIND("/",Table245[[#This Row],[spawner_sku]])),Table1[Entity Prefab],0)),10,1,1,"Entities"))</f>
        <v>130</v>
      </c>
      <c r="G337" s="74">
        <f ca="1">ROUND((Table245[[#This Row],[XP]]*Table245[[#This Row],[entity_spawned (AVG)]])*(Table245[[#This Row],[activating_chance]]/100),0)</f>
        <v>130</v>
      </c>
      <c r="H337" s="71" t="str">
        <f ca="1">INDIRECT(ADDRESS(11+(MATCH(RIGHT(Table245[[#This Row],[spawner_sku]],LEN(Table245[[#This Row],[spawner_sku]])-FIND("/",Table245[[#This Row],[spawner_sku]])),Table28[Entity Prefab],0)),24,1,1,"Entities"))</f>
        <v>yes</v>
      </c>
      <c r="I337" s="71">
        <v>1</v>
      </c>
      <c r="J337" s="71">
        <v>1</v>
      </c>
      <c r="K337" s="71" t="b">
        <v>0</v>
      </c>
      <c r="AI337" t="s">
        <v>465</v>
      </c>
      <c r="AJ337">
        <v>1</v>
      </c>
      <c r="AK337">
        <v>140</v>
      </c>
      <c r="AL337">
        <v>100</v>
      </c>
      <c r="AM337" s="74">
        <f ca="1">INDIRECT(ADDRESS(11+(MATCH(RIGHT(Table2[[#This Row],[spawner_sku]],LEN(Table2[[#This Row],[spawner_sku]])-FIND("/",Table2[[#This Row],[spawner_sku]])),Table1[Entity Prefab],0)),10,1,1,"Entities"))</f>
        <v>25</v>
      </c>
      <c r="AN337" s="74">
        <f ca="1">ROUND((Table2[[#This Row],[XP]]*Table2[[#This Row],[entity_spawned (AVG)]])*(Table2[[#This Row],[activating_chance]]/100),0)</f>
        <v>25</v>
      </c>
      <c r="AO337" s="71" t="str">
        <f ca="1">INDIRECT(ADDRESS(11+(MATCH(RIGHT(Table2[[#This Row],[spawner_sku]],LEN(Table2[[#This Row],[spawner_sku]])-FIND("/",Table2[[#This Row],[spawner_sku]])),Table28[Entity Prefab],0)),24,1,1,"Entities"))</f>
        <v>no</v>
      </c>
      <c r="AP337" s="71">
        <v>1</v>
      </c>
      <c r="AQ337" s="71">
        <v>1</v>
      </c>
      <c r="AR337" s="71" t="b">
        <v>0</v>
      </c>
      <c r="BP337" t="s">
        <v>381</v>
      </c>
      <c r="BQ337">
        <v>1</v>
      </c>
      <c r="BR337">
        <v>220</v>
      </c>
      <c r="BS337">
        <v>100</v>
      </c>
      <c r="BT337" s="74">
        <f ca="1">INDIRECT(ADDRESS(11+(MATCH(RIGHT(Table61011[[#This Row],[spawner_sku]],LEN(Table61011[[#This Row],[spawner_sku]])-FIND("/",Table61011[[#This Row],[spawner_sku]])),Table1[Entity Prefab],0)),10,1,1,"Entities"))</f>
        <v>75</v>
      </c>
      <c r="BU337" s="74">
        <f ca="1">ROUND((Table61011[[#This Row],[XP]]*Table61011[[#This Row],[entity_spawned (AVG)]])*(Table61011[[#This Row],[activating_chance]]/100),0)</f>
        <v>75</v>
      </c>
      <c r="BV337" s="71" t="str">
        <f ca="1">INDIRECT(ADDRESS(11+(MATCH(RIGHT(Table61011[[#This Row],[spawner_sku]],LEN(Table61011[[#This Row],[spawner_sku]])-FIND("/",Table61011[[#This Row],[spawner_sku]])),Table28[Entity Prefab],0)),24,1,1,"Entities"))</f>
        <v>yes</v>
      </c>
      <c r="BW337" s="71">
        <v>1</v>
      </c>
      <c r="BX337" s="71">
        <v>1</v>
      </c>
      <c r="BY337" s="71" t="b">
        <v>0</v>
      </c>
      <c r="BZ337" s="71"/>
      <c r="CA337" s="147" t="s">
        <v>3816</v>
      </c>
      <c r="CB337">
        <v>1</v>
      </c>
      <c r="CC337">
        <v>240</v>
      </c>
      <c r="CD337">
        <v>100</v>
      </c>
      <c r="CE337" s="74">
        <f ca="1">INDIRECT(ADDRESS(11+(MATCH(RIGHT(Table35[[#This Row],[spawner_sku]],LEN(Table35[[#This Row],[spawner_sku]])-FIND("/",Table35[[#This Row],[spawner_sku]])),Table1[Entity Prefab],0)),10,1,1,"Entities"))</f>
        <v>50</v>
      </c>
      <c r="CF337" s="74">
        <f ca="1">ROUND((Table35[[#This Row],[XP]]*Table35[[#This Row],[entity_spawned (AVG)]])*(Table35[[#This Row],[activating_chance]]/100),0)</f>
        <v>50</v>
      </c>
      <c r="CG337" s="144" t="str">
        <f ca="1">INDIRECT(ADDRESS(11+(MATCH(RIGHT(Table35[[#This Row],[spawner_sku]],LEN(Table35[[#This Row],[spawner_sku]])-FIND("/",Table35[[#This Row],[spawner_sku]])),Table28[Entity Prefab],0)),24,1,1,"Entities"))</f>
        <v>no</v>
      </c>
      <c r="CH337">
        <v>1</v>
      </c>
      <c r="CI337">
        <v>1</v>
      </c>
      <c r="CJ337" s="71" t="b">
        <v>0</v>
      </c>
      <c r="CL337" t="s">
        <v>510</v>
      </c>
      <c r="CM337">
        <v>1</v>
      </c>
      <c r="CN337">
        <v>160</v>
      </c>
      <c r="CO337">
        <v>100</v>
      </c>
      <c r="CP337" s="74">
        <f ca="1">INDIRECT(ADDRESS(11+(MATCH(RIGHT(Table11[[#This Row],[spawner_sku]],LEN(Table11[[#This Row],[spawner_sku]])-FIND("/",Table11[[#This Row],[spawner_sku]])),Table1[Entity Prefab],0)),10,1,1,"Entities"))</f>
        <v>90</v>
      </c>
      <c r="CQ337">
        <f ca="1">ROUND((Table11[[#This Row],[XP]]*Table11[[#This Row],[entity_spawned (AVG)]])*(Table11[[#This Row],[activating_chance]]/100),0)</f>
        <v>90</v>
      </c>
      <c r="CR337" s="144" t="str">
        <f ca="1">INDIRECT(ADDRESS(11+(MATCH(RIGHT(Table11[[#This Row],[spawner_sku]],LEN(Table11[[#This Row],[spawner_sku]])-FIND("/",Table11[[#This Row],[spawner_sku]])),Table28[Entity Prefab],0)),25,1,1,"Entities"))</f>
        <v>no</v>
      </c>
      <c r="CS337" s="71">
        <v>1</v>
      </c>
      <c r="CT337" s="71">
        <v>1</v>
      </c>
      <c r="CU337" s="71" t="b">
        <v>0</v>
      </c>
      <c r="DS337" t="s">
        <v>510</v>
      </c>
      <c r="DT337">
        <v>1</v>
      </c>
      <c r="DU337">
        <v>160</v>
      </c>
      <c r="DV337">
        <v>100</v>
      </c>
      <c r="DW337" s="74">
        <f ca="1">INDIRECT(ADDRESS(11+(MATCH(RIGHT(Table14[[#This Row],[spawner_sku]],LEN(Table14[[#This Row],[spawner_sku]])-FIND("/",Table14[[#This Row],[spawner_sku]])),Table1[Entity Prefab],0)),10,1,1,"Entities"))</f>
        <v>90</v>
      </c>
      <c r="DX337" s="74">
        <f ca="1">ROUND((Table14[[#This Row],[XP]]*Table14[[#This Row],[entity_spawned (AVG)]])*(Table14[[#This Row],[activating_chance]]/100),0)</f>
        <v>90</v>
      </c>
      <c r="DY337" s="144" t="str">
        <f ca="1">INDIRECT(ADDRESS(11+(MATCH(RIGHT(Table14[[#This Row],[spawner_sku]],LEN(Table14[[#This Row],[spawner_sku]])-FIND("/",Table14[[#This Row],[spawner_sku]])),Table28[Entity Prefab],0)),25,1,1,"Entities"))</f>
        <v>no</v>
      </c>
      <c r="DZ337" s="71">
        <v>1</v>
      </c>
      <c r="EA337" s="71">
        <v>1</v>
      </c>
      <c r="EB337" s="71" t="b">
        <v>0</v>
      </c>
      <c r="EC337" s="71"/>
      <c r="EO337" t="s">
        <v>3812</v>
      </c>
      <c r="EP337">
        <v>1</v>
      </c>
      <c r="EQ337">
        <v>220</v>
      </c>
      <c r="ER337">
        <v>100</v>
      </c>
      <c r="ES337" s="74">
        <f ca="1">INDIRECT(ADDRESS(11+(MATCH(RIGHT(Table18[[#This Row],[spawner_sku]],LEN(Table18[[#This Row],[spawner_sku]])-FIND("/",Table18[[#This Row],[spawner_sku]])),Table1[Entity Prefab],0)),10,1,1,"Entities"))</f>
        <v>0</v>
      </c>
      <c r="ET337" s="74">
        <f ca="1">ROUND((Table18[[#This Row],[XP]]*Table18[[#This Row],[entity_spawned (AVG)]])*(Table18[[#This Row],[activating_chance]]/100),0)</f>
        <v>0</v>
      </c>
      <c r="EU337" s="74" t="str">
        <f ca="1">INDIRECT(ADDRESS(11+(MATCH(RIGHT(Table18[[#This Row],[spawner_sku]],LEN(Table18[[#This Row],[spawner_sku]])-FIND("/",Table18[[#This Row],[spawner_sku]])),Table28[Entity Prefab],0)),26,1,1,"Entities"))</f>
        <v>no</v>
      </c>
      <c r="EV337">
        <v>1</v>
      </c>
      <c r="EW337">
        <v>1</v>
      </c>
      <c r="EX337" t="b">
        <v>0</v>
      </c>
    </row>
    <row r="338" spans="2:154" x14ac:dyDescent="0.25">
      <c r="B338" s="72" t="s">
        <v>229</v>
      </c>
      <c r="C338">
        <v>1</v>
      </c>
      <c r="D338">
        <v>1500</v>
      </c>
      <c r="E338">
        <v>100</v>
      </c>
      <c r="F338" s="74">
        <f ca="1">INDIRECT(ADDRESS(11+(MATCH(RIGHT(Table245[[#This Row],[spawner_sku]],LEN(Table245[[#This Row],[spawner_sku]])-FIND("/",Table245[[#This Row],[spawner_sku]])),Table1[Entity Prefab],0)),10,1,1,"Entities"))</f>
        <v>130</v>
      </c>
      <c r="G338" s="74">
        <f ca="1">ROUND((Table245[[#This Row],[XP]]*Table245[[#This Row],[entity_spawned (AVG)]])*(Table245[[#This Row],[activating_chance]]/100),0)</f>
        <v>130</v>
      </c>
      <c r="H338" s="71" t="str">
        <f ca="1">INDIRECT(ADDRESS(11+(MATCH(RIGHT(Table245[[#This Row],[spawner_sku]],LEN(Table245[[#This Row],[spawner_sku]])-FIND("/",Table245[[#This Row],[spawner_sku]])),Table28[Entity Prefab],0)),24,1,1,"Entities"))</f>
        <v>yes</v>
      </c>
      <c r="I338" s="71">
        <v>1</v>
      </c>
      <c r="J338" s="71">
        <v>1</v>
      </c>
      <c r="K338" s="71" t="b">
        <v>0</v>
      </c>
      <c r="AI338" t="s">
        <v>465</v>
      </c>
      <c r="AJ338">
        <v>1</v>
      </c>
      <c r="AK338">
        <v>160</v>
      </c>
      <c r="AL338">
        <v>100</v>
      </c>
      <c r="AM338" s="74">
        <f ca="1">INDIRECT(ADDRESS(11+(MATCH(RIGHT(Table2[[#This Row],[spawner_sku]],LEN(Table2[[#This Row],[spawner_sku]])-FIND("/",Table2[[#This Row],[spawner_sku]])),Table1[Entity Prefab],0)),10,1,1,"Entities"))</f>
        <v>25</v>
      </c>
      <c r="AN338" s="74">
        <f ca="1">ROUND((Table2[[#This Row],[XP]]*Table2[[#This Row],[entity_spawned (AVG)]])*(Table2[[#This Row],[activating_chance]]/100),0)</f>
        <v>25</v>
      </c>
      <c r="AO338" s="71" t="str">
        <f ca="1">INDIRECT(ADDRESS(11+(MATCH(RIGHT(Table2[[#This Row],[spawner_sku]],LEN(Table2[[#This Row],[spawner_sku]])-FIND("/",Table2[[#This Row],[spawner_sku]])),Table28[Entity Prefab],0)),24,1,1,"Entities"))</f>
        <v>no</v>
      </c>
      <c r="AP338" s="71">
        <v>1</v>
      </c>
      <c r="AQ338" s="71">
        <v>1</v>
      </c>
      <c r="AR338" s="71" t="b">
        <v>0</v>
      </c>
      <c r="BP338" t="s">
        <v>381</v>
      </c>
      <c r="BQ338">
        <v>1</v>
      </c>
      <c r="BR338">
        <v>220</v>
      </c>
      <c r="BS338">
        <v>100</v>
      </c>
      <c r="BT338" s="74">
        <f ca="1">INDIRECT(ADDRESS(11+(MATCH(RIGHT(Table61011[[#This Row],[spawner_sku]],LEN(Table61011[[#This Row],[spawner_sku]])-FIND("/",Table61011[[#This Row],[spawner_sku]])),Table1[Entity Prefab],0)),10,1,1,"Entities"))</f>
        <v>75</v>
      </c>
      <c r="BU338" s="74">
        <f ca="1">ROUND((Table61011[[#This Row],[XP]]*Table61011[[#This Row],[entity_spawned (AVG)]])*(Table61011[[#This Row],[activating_chance]]/100),0)</f>
        <v>75</v>
      </c>
      <c r="BV338" s="71" t="str">
        <f ca="1">INDIRECT(ADDRESS(11+(MATCH(RIGHT(Table61011[[#This Row],[spawner_sku]],LEN(Table61011[[#This Row],[spawner_sku]])-FIND("/",Table61011[[#This Row],[spawner_sku]])),Table28[Entity Prefab],0)),24,1,1,"Entities"))</f>
        <v>yes</v>
      </c>
      <c r="BW338" s="71">
        <v>1</v>
      </c>
      <c r="BX338" s="71">
        <v>1</v>
      </c>
      <c r="BY338" s="71" t="b">
        <v>0</v>
      </c>
      <c r="BZ338" s="71"/>
      <c r="CA338" s="147" t="s">
        <v>3816</v>
      </c>
      <c r="CB338">
        <v>1</v>
      </c>
      <c r="CC338">
        <v>240</v>
      </c>
      <c r="CD338">
        <v>100</v>
      </c>
      <c r="CE338" s="74">
        <f ca="1">INDIRECT(ADDRESS(11+(MATCH(RIGHT(Table35[[#This Row],[spawner_sku]],LEN(Table35[[#This Row],[spawner_sku]])-FIND("/",Table35[[#This Row],[spawner_sku]])),Table1[Entity Prefab],0)),10,1,1,"Entities"))</f>
        <v>50</v>
      </c>
      <c r="CF338" s="74">
        <f ca="1">ROUND((Table35[[#This Row],[XP]]*Table35[[#This Row],[entity_spawned (AVG)]])*(Table35[[#This Row],[activating_chance]]/100),0)</f>
        <v>50</v>
      </c>
      <c r="CG338" s="144" t="str">
        <f ca="1">INDIRECT(ADDRESS(11+(MATCH(RIGHT(Table35[[#This Row],[spawner_sku]],LEN(Table35[[#This Row],[spawner_sku]])-FIND("/",Table35[[#This Row],[spawner_sku]])),Table28[Entity Prefab],0)),24,1,1,"Entities"))</f>
        <v>no</v>
      </c>
      <c r="CH338">
        <v>1</v>
      </c>
      <c r="CI338">
        <v>1</v>
      </c>
      <c r="CJ338" s="71" t="b">
        <v>0</v>
      </c>
      <c r="CL338" t="s">
        <v>510</v>
      </c>
      <c r="CM338">
        <v>1</v>
      </c>
      <c r="CN338">
        <v>135</v>
      </c>
      <c r="CO338">
        <v>100</v>
      </c>
      <c r="CP338" s="74">
        <f ca="1">INDIRECT(ADDRESS(11+(MATCH(RIGHT(Table11[[#This Row],[spawner_sku]],LEN(Table11[[#This Row],[spawner_sku]])-FIND("/",Table11[[#This Row],[spawner_sku]])),Table1[Entity Prefab],0)),10,1,1,"Entities"))</f>
        <v>90</v>
      </c>
      <c r="CQ338">
        <f ca="1">ROUND((Table11[[#This Row],[XP]]*Table11[[#This Row],[entity_spawned (AVG)]])*(Table11[[#This Row],[activating_chance]]/100),0)</f>
        <v>90</v>
      </c>
      <c r="CR338" s="144" t="str">
        <f ca="1">INDIRECT(ADDRESS(11+(MATCH(RIGHT(Table11[[#This Row],[spawner_sku]],LEN(Table11[[#This Row],[spawner_sku]])-FIND("/",Table11[[#This Row],[spawner_sku]])),Table28[Entity Prefab],0)),25,1,1,"Entities"))</f>
        <v>no</v>
      </c>
      <c r="CS338" s="71">
        <v>1</v>
      </c>
      <c r="CT338" s="71">
        <v>1</v>
      </c>
      <c r="CU338" s="71" t="b">
        <v>0</v>
      </c>
      <c r="DS338" t="s">
        <v>510</v>
      </c>
      <c r="DT338">
        <v>2</v>
      </c>
      <c r="DU338">
        <v>140</v>
      </c>
      <c r="DV338">
        <v>100</v>
      </c>
      <c r="DW338" s="74">
        <f ca="1">INDIRECT(ADDRESS(11+(MATCH(RIGHT(Table14[[#This Row],[spawner_sku]],LEN(Table14[[#This Row],[spawner_sku]])-FIND("/",Table14[[#This Row],[spawner_sku]])),Table1[Entity Prefab],0)),10,1,1,"Entities"))</f>
        <v>90</v>
      </c>
      <c r="DX338" s="74">
        <f ca="1">ROUND((Table14[[#This Row],[XP]]*Table14[[#This Row],[entity_spawned (AVG)]])*(Table14[[#This Row],[activating_chance]]/100),0)</f>
        <v>180</v>
      </c>
      <c r="DY338" s="144" t="str">
        <f ca="1">INDIRECT(ADDRESS(11+(MATCH(RIGHT(Table14[[#This Row],[spawner_sku]],LEN(Table14[[#This Row],[spawner_sku]])-FIND("/",Table14[[#This Row],[spawner_sku]])),Table28[Entity Prefab],0)),25,1,1,"Entities"))</f>
        <v>no</v>
      </c>
      <c r="DZ338" s="71">
        <v>2</v>
      </c>
      <c r="EA338" s="71">
        <v>2</v>
      </c>
      <c r="EB338" s="71" t="b">
        <v>0</v>
      </c>
      <c r="EC338" s="71"/>
    </row>
    <row r="339" spans="2:154" x14ac:dyDescent="0.25">
      <c r="B339" s="72" t="s">
        <v>229</v>
      </c>
      <c r="C339">
        <v>1</v>
      </c>
      <c r="D339">
        <v>1500</v>
      </c>
      <c r="E339">
        <v>100</v>
      </c>
      <c r="F339" s="74">
        <f ca="1">INDIRECT(ADDRESS(11+(MATCH(RIGHT(Table245[[#This Row],[spawner_sku]],LEN(Table245[[#This Row],[spawner_sku]])-FIND("/",Table245[[#This Row],[spawner_sku]])),Table1[Entity Prefab],0)),10,1,1,"Entities"))</f>
        <v>130</v>
      </c>
      <c r="G339" s="74">
        <f ca="1">ROUND((Table245[[#This Row],[XP]]*Table245[[#This Row],[entity_spawned (AVG)]])*(Table245[[#This Row],[activating_chance]]/100),0)</f>
        <v>130</v>
      </c>
      <c r="H339" s="71" t="str">
        <f ca="1">INDIRECT(ADDRESS(11+(MATCH(RIGHT(Table245[[#This Row],[spawner_sku]],LEN(Table245[[#This Row],[spawner_sku]])-FIND("/",Table245[[#This Row],[spawner_sku]])),Table28[Entity Prefab],0)),24,1,1,"Entities"))</f>
        <v>yes</v>
      </c>
      <c r="I339" s="71">
        <v>1</v>
      </c>
      <c r="J339" s="71">
        <v>1</v>
      </c>
      <c r="K339" s="71" t="b">
        <v>0</v>
      </c>
      <c r="AI339" t="s">
        <v>465</v>
      </c>
      <c r="AJ339">
        <v>1</v>
      </c>
      <c r="AK339">
        <v>160</v>
      </c>
      <c r="AL339">
        <v>100</v>
      </c>
      <c r="AM339" s="74">
        <f ca="1">INDIRECT(ADDRESS(11+(MATCH(RIGHT(Table2[[#This Row],[spawner_sku]],LEN(Table2[[#This Row],[spawner_sku]])-FIND("/",Table2[[#This Row],[spawner_sku]])),Table1[Entity Prefab],0)),10,1,1,"Entities"))</f>
        <v>25</v>
      </c>
      <c r="AN339" s="74">
        <f ca="1">ROUND((Table2[[#This Row],[XP]]*Table2[[#This Row],[entity_spawned (AVG)]])*(Table2[[#This Row],[activating_chance]]/100),0)</f>
        <v>25</v>
      </c>
      <c r="AO339" s="71" t="str">
        <f ca="1">INDIRECT(ADDRESS(11+(MATCH(RIGHT(Table2[[#This Row],[spawner_sku]],LEN(Table2[[#This Row],[spawner_sku]])-FIND("/",Table2[[#This Row],[spawner_sku]])),Table28[Entity Prefab],0)),24,1,1,"Entities"))</f>
        <v>no</v>
      </c>
      <c r="AP339" s="71">
        <v>1</v>
      </c>
      <c r="AQ339" s="71">
        <v>1</v>
      </c>
      <c r="AR339" s="71" t="b">
        <v>0</v>
      </c>
      <c r="BP339" t="s">
        <v>381</v>
      </c>
      <c r="BQ339">
        <v>1</v>
      </c>
      <c r="BR339">
        <v>210</v>
      </c>
      <c r="BS339">
        <v>100</v>
      </c>
      <c r="BT339" s="74">
        <f ca="1">INDIRECT(ADDRESS(11+(MATCH(RIGHT(Table61011[[#This Row],[spawner_sku]],LEN(Table61011[[#This Row],[spawner_sku]])-FIND("/",Table61011[[#This Row],[spawner_sku]])),Table1[Entity Prefab],0)),10,1,1,"Entities"))</f>
        <v>75</v>
      </c>
      <c r="BU339" s="74">
        <f ca="1">ROUND((Table61011[[#This Row],[XP]]*Table61011[[#This Row],[entity_spawned (AVG)]])*(Table61011[[#This Row],[activating_chance]]/100),0)</f>
        <v>75</v>
      </c>
      <c r="BV339" s="71" t="str">
        <f ca="1">INDIRECT(ADDRESS(11+(MATCH(RIGHT(Table61011[[#This Row],[spawner_sku]],LEN(Table61011[[#This Row],[spawner_sku]])-FIND("/",Table61011[[#This Row],[spawner_sku]])),Table28[Entity Prefab],0)),24,1,1,"Entities"))</f>
        <v>yes</v>
      </c>
      <c r="BW339" s="71">
        <v>1</v>
      </c>
      <c r="BX339" s="71">
        <v>1</v>
      </c>
      <c r="BY339" s="71" t="b">
        <v>0</v>
      </c>
      <c r="BZ339" s="71"/>
      <c r="CA339" s="147" t="s">
        <v>3816</v>
      </c>
      <c r="CB339">
        <v>1</v>
      </c>
      <c r="CC339">
        <v>240</v>
      </c>
      <c r="CD339">
        <v>100</v>
      </c>
      <c r="CE339" s="74">
        <f ca="1">INDIRECT(ADDRESS(11+(MATCH(RIGHT(Table35[[#This Row],[spawner_sku]],LEN(Table35[[#This Row],[spawner_sku]])-FIND("/",Table35[[#This Row],[spawner_sku]])),Table1[Entity Prefab],0)),10,1,1,"Entities"))</f>
        <v>50</v>
      </c>
      <c r="CF339" s="74">
        <f ca="1">ROUND((Table35[[#This Row],[XP]]*Table35[[#This Row],[entity_spawned (AVG)]])*(Table35[[#This Row],[activating_chance]]/100),0)</f>
        <v>50</v>
      </c>
      <c r="CG339" s="144" t="str">
        <f ca="1">INDIRECT(ADDRESS(11+(MATCH(RIGHT(Table35[[#This Row],[spawner_sku]],LEN(Table35[[#This Row],[spawner_sku]])-FIND("/",Table35[[#This Row],[spawner_sku]])),Table28[Entity Prefab],0)),24,1,1,"Entities"))</f>
        <v>no</v>
      </c>
      <c r="CH339">
        <v>1</v>
      </c>
      <c r="CI339">
        <v>1</v>
      </c>
      <c r="CJ339" s="71" t="b">
        <v>0</v>
      </c>
      <c r="CL339" t="s">
        <v>510</v>
      </c>
      <c r="CM339">
        <v>1</v>
      </c>
      <c r="CN339">
        <v>140</v>
      </c>
      <c r="CO339">
        <v>50</v>
      </c>
      <c r="CP339" s="74">
        <f ca="1">INDIRECT(ADDRESS(11+(MATCH(RIGHT(Table11[[#This Row],[spawner_sku]],LEN(Table11[[#This Row],[spawner_sku]])-FIND("/",Table11[[#This Row],[spawner_sku]])),Table1[Entity Prefab],0)),10,1,1,"Entities"))</f>
        <v>90</v>
      </c>
      <c r="CQ339">
        <f ca="1">ROUND((Table11[[#This Row],[XP]]*Table11[[#This Row],[entity_spawned (AVG)]])*(Table11[[#This Row],[activating_chance]]/100),0)</f>
        <v>45</v>
      </c>
      <c r="CR339" s="144" t="str">
        <f ca="1">INDIRECT(ADDRESS(11+(MATCH(RIGHT(Table11[[#This Row],[spawner_sku]],LEN(Table11[[#This Row],[spawner_sku]])-FIND("/",Table11[[#This Row],[spawner_sku]])),Table28[Entity Prefab],0)),25,1,1,"Entities"))</f>
        <v>no</v>
      </c>
      <c r="CS339" s="71">
        <v>1</v>
      </c>
      <c r="CT339" s="71">
        <v>1</v>
      </c>
      <c r="CU339" s="71" t="b">
        <v>0</v>
      </c>
      <c r="DS339" t="s">
        <v>510</v>
      </c>
      <c r="DT339">
        <v>1</v>
      </c>
      <c r="DU339">
        <v>130</v>
      </c>
      <c r="DV339">
        <v>100</v>
      </c>
      <c r="DW339" s="74">
        <f ca="1">INDIRECT(ADDRESS(11+(MATCH(RIGHT(Table14[[#This Row],[spawner_sku]],LEN(Table14[[#This Row],[spawner_sku]])-FIND("/",Table14[[#This Row],[spawner_sku]])),Table1[Entity Prefab],0)),10,1,1,"Entities"))</f>
        <v>90</v>
      </c>
      <c r="DX339" s="74">
        <f ca="1">ROUND((Table14[[#This Row],[XP]]*Table14[[#This Row],[entity_spawned (AVG)]])*(Table14[[#This Row],[activating_chance]]/100),0)</f>
        <v>90</v>
      </c>
      <c r="DY339" s="144" t="str">
        <f ca="1">INDIRECT(ADDRESS(11+(MATCH(RIGHT(Table14[[#This Row],[spawner_sku]],LEN(Table14[[#This Row],[spawner_sku]])-FIND("/",Table14[[#This Row],[spawner_sku]])),Table28[Entity Prefab],0)),25,1,1,"Entities"))</f>
        <v>no</v>
      </c>
      <c r="DZ339" s="71">
        <v>1</v>
      </c>
      <c r="EA339" s="71">
        <v>1</v>
      </c>
      <c r="EB339" s="71" t="b">
        <v>0</v>
      </c>
      <c r="EC339" s="71"/>
    </row>
    <row r="340" spans="2:154" x14ac:dyDescent="0.25">
      <c r="B340" s="72" t="s">
        <v>229</v>
      </c>
      <c r="C340">
        <v>1</v>
      </c>
      <c r="D340">
        <v>1500</v>
      </c>
      <c r="E340">
        <v>100</v>
      </c>
      <c r="F340" s="74">
        <f ca="1">INDIRECT(ADDRESS(11+(MATCH(RIGHT(Table245[[#This Row],[spawner_sku]],LEN(Table245[[#This Row],[spawner_sku]])-FIND("/",Table245[[#This Row],[spawner_sku]])),Table1[Entity Prefab],0)),10,1,1,"Entities"))</f>
        <v>130</v>
      </c>
      <c r="G340" s="74">
        <f ca="1">ROUND((Table245[[#This Row],[XP]]*Table245[[#This Row],[entity_spawned (AVG)]])*(Table245[[#This Row],[activating_chance]]/100),0)</f>
        <v>130</v>
      </c>
      <c r="H340" s="71" t="str">
        <f ca="1">INDIRECT(ADDRESS(11+(MATCH(RIGHT(Table245[[#This Row],[spawner_sku]],LEN(Table245[[#This Row],[spawner_sku]])-FIND("/",Table245[[#This Row],[spawner_sku]])),Table28[Entity Prefab],0)),24,1,1,"Entities"))</f>
        <v>yes</v>
      </c>
      <c r="I340" s="71">
        <v>1</v>
      </c>
      <c r="J340" s="71">
        <v>1</v>
      </c>
      <c r="K340" s="71" t="b">
        <v>0</v>
      </c>
      <c r="AI340" t="s">
        <v>466</v>
      </c>
      <c r="AJ340">
        <v>1</v>
      </c>
      <c r="AK340">
        <v>150</v>
      </c>
      <c r="AL340">
        <v>100</v>
      </c>
      <c r="AM340" s="74">
        <f ca="1">INDIRECT(ADDRESS(11+(MATCH(RIGHT(Table2[[#This Row],[spawner_sku]],LEN(Table2[[#This Row],[spawner_sku]])-FIND("/",Table2[[#This Row],[spawner_sku]])),Table1[Entity Prefab],0)),10,1,1,"Entities"))</f>
        <v>75</v>
      </c>
      <c r="AN340" s="74">
        <f ca="1">ROUND((Table2[[#This Row],[XP]]*Table2[[#This Row],[entity_spawned (AVG)]])*(Table2[[#This Row],[activating_chance]]/100),0)</f>
        <v>75</v>
      </c>
      <c r="AO340" s="71" t="str">
        <f ca="1">INDIRECT(ADDRESS(11+(MATCH(RIGHT(Table2[[#This Row],[spawner_sku]],LEN(Table2[[#This Row],[spawner_sku]])-FIND("/",Table2[[#This Row],[spawner_sku]])),Table28[Entity Prefab],0)),24,1,1,"Entities"))</f>
        <v>no</v>
      </c>
      <c r="AP340" s="71">
        <v>1</v>
      </c>
      <c r="AQ340" s="71">
        <v>1</v>
      </c>
      <c r="AR340" s="71" t="b">
        <v>0</v>
      </c>
      <c r="BP340" t="s">
        <v>381</v>
      </c>
      <c r="BQ340">
        <v>1</v>
      </c>
      <c r="BR340">
        <v>200</v>
      </c>
      <c r="BS340">
        <v>100</v>
      </c>
      <c r="BT340" s="74">
        <f ca="1">INDIRECT(ADDRESS(11+(MATCH(RIGHT(Table61011[[#This Row],[spawner_sku]],LEN(Table61011[[#This Row],[spawner_sku]])-FIND("/",Table61011[[#This Row],[spawner_sku]])),Table1[Entity Prefab],0)),10,1,1,"Entities"))</f>
        <v>75</v>
      </c>
      <c r="BU340" s="74">
        <f ca="1">ROUND((Table61011[[#This Row],[XP]]*Table61011[[#This Row],[entity_spawned (AVG)]])*(Table61011[[#This Row],[activating_chance]]/100),0)</f>
        <v>75</v>
      </c>
      <c r="BV340" s="71" t="str">
        <f ca="1">INDIRECT(ADDRESS(11+(MATCH(RIGHT(Table61011[[#This Row],[spawner_sku]],LEN(Table61011[[#This Row],[spawner_sku]])-FIND("/",Table61011[[#This Row],[spawner_sku]])),Table28[Entity Prefab],0)),24,1,1,"Entities"))</f>
        <v>yes</v>
      </c>
      <c r="BW340" s="71">
        <v>1</v>
      </c>
      <c r="BX340" s="71">
        <v>1</v>
      </c>
      <c r="BY340" s="71" t="b">
        <v>0</v>
      </c>
      <c r="BZ340" s="71"/>
      <c r="CA340" s="147" t="s">
        <v>3816</v>
      </c>
      <c r="CB340">
        <v>1</v>
      </c>
      <c r="CC340">
        <v>240</v>
      </c>
      <c r="CD340">
        <v>100</v>
      </c>
      <c r="CE340" s="74">
        <f ca="1">INDIRECT(ADDRESS(11+(MATCH(RIGHT(Table35[[#This Row],[spawner_sku]],LEN(Table35[[#This Row],[spawner_sku]])-FIND("/",Table35[[#This Row],[spawner_sku]])),Table1[Entity Prefab],0)),10,1,1,"Entities"))</f>
        <v>50</v>
      </c>
      <c r="CF340" s="74">
        <f ca="1">ROUND((Table35[[#This Row],[XP]]*Table35[[#This Row],[entity_spawned (AVG)]])*(Table35[[#This Row],[activating_chance]]/100),0)</f>
        <v>50</v>
      </c>
      <c r="CG340" s="144" t="str">
        <f ca="1">INDIRECT(ADDRESS(11+(MATCH(RIGHT(Table35[[#This Row],[spawner_sku]],LEN(Table35[[#This Row],[spawner_sku]])-FIND("/",Table35[[#This Row],[spawner_sku]])),Table28[Entity Prefab],0)),24,1,1,"Entities"))</f>
        <v>no</v>
      </c>
      <c r="CH340">
        <v>1</v>
      </c>
      <c r="CI340">
        <v>1</v>
      </c>
      <c r="CJ340" s="71" t="b">
        <v>0</v>
      </c>
      <c r="CL340" t="s">
        <v>510</v>
      </c>
      <c r="CM340">
        <v>1</v>
      </c>
      <c r="CN340">
        <v>140</v>
      </c>
      <c r="CO340">
        <v>40</v>
      </c>
      <c r="CP340" s="74">
        <f ca="1">INDIRECT(ADDRESS(11+(MATCH(RIGHT(Table11[[#This Row],[spawner_sku]],LEN(Table11[[#This Row],[spawner_sku]])-FIND("/",Table11[[#This Row],[spawner_sku]])),Table1[Entity Prefab],0)),10,1,1,"Entities"))</f>
        <v>90</v>
      </c>
      <c r="CQ340">
        <f ca="1">ROUND((Table11[[#This Row],[XP]]*Table11[[#This Row],[entity_spawned (AVG)]])*(Table11[[#This Row],[activating_chance]]/100),0)</f>
        <v>36</v>
      </c>
      <c r="CR340" s="144" t="str">
        <f ca="1">INDIRECT(ADDRESS(11+(MATCH(RIGHT(Table11[[#This Row],[spawner_sku]],LEN(Table11[[#This Row],[spawner_sku]])-FIND("/",Table11[[#This Row],[spawner_sku]])),Table28[Entity Prefab],0)),25,1,1,"Entities"))</f>
        <v>no</v>
      </c>
      <c r="CS340" s="71">
        <v>1</v>
      </c>
      <c r="CT340" s="71">
        <v>1</v>
      </c>
      <c r="CU340" s="71" t="b">
        <v>0</v>
      </c>
      <c r="DS340" t="s">
        <v>510</v>
      </c>
      <c r="DT340">
        <v>1</v>
      </c>
      <c r="DU340">
        <v>150</v>
      </c>
      <c r="DV340">
        <v>100</v>
      </c>
      <c r="DW340" s="74">
        <f ca="1">INDIRECT(ADDRESS(11+(MATCH(RIGHT(Table14[[#This Row],[spawner_sku]],LEN(Table14[[#This Row],[spawner_sku]])-FIND("/",Table14[[#This Row],[spawner_sku]])),Table1[Entity Prefab],0)),10,1,1,"Entities"))</f>
        <v>90</v>
      </c>
      <c r="DX340" s="74">
        <f ca="1">ROUND((Table14[[#This Row],[XP]]*Table14[[#This Row],[entity_spawned (AVG)]])*(Table14[[#This Row],[activating_chance]]/100),0)</f>
        <v>90</v>
      </c>
      <c r="DY340" s="144" t="str">
        <f ca="1">INDIRECT(ADDRESS(11+(MATCH(RIGHT(Table14[[#This Row],[spawner_sku]],LEN(Table14[[#This Row],[spawner_sku]])-FIND("/",Table14[[#This Row],[spawner_sku]])),Table28[Entity Prefab],0)),25,1,1,"Entities"))</f>
        <v>no</v>
      </c>
      <c r="DZ340" s="71">
        <v>1</v>
      </c>
      <c r="EA340" s="71">
        <v>1</v>
      </c>
      <c r="EB340" s="71" t="b">
        <v>0</v>
      </c>
      <c r="EC340" s="71"/>
    </row>
    <row r="341" spans="2:154" x14ac:dyDescent="0.25">
      <c r="B341" s="72" t="s">
        <v>229</v>
      </c>
      <c r="C341">
        <v>1</v>
      </c>
      <c r="D341">
        <v>1500</v>
      </c>
      <c r="E341">
        <v>100</v>
      </c>
      <c r="F341" s="74">
        <f ca="1">INDIRECT(ADDRESS(11+(MATCH(RIGHT(Table245[[#This Row],[spawner_sku]],LEN(Table245[[#This Row],[spawner_sku]])-FIND("/",Table245[[#This Row],[spawner_sku]])),Table1[Entity Prefab],0)),10,1,1,"Entities"))</f>
        <v>130</v>
      </c>
      <c r="G341" s="74">
        <f ca="1">ROUND((Table245[[#This Row],[XP]]*Table245[[#This Row],[entity_spawned (AVG)]])*(Table245[[#This Row],[activating_chance]]/100),0)</f>
        <v>130</v>
      </c>
      <c r="H341" s="71" t="str">
        <f ca="1">INDIRECT(ADDRESS(11+(MATCH(RIGHT(Table245[[#This Row],[spawner_sku]],LEN(Table245[[#This Row],[spawner_sku]])-FIND("/",Table245[[#This Row],[spawner_sku]])),Table28[Entity Prefab],0)),24,1,1,"Entities"))</f>
        <v>yes</v>
      </c>
      <c r="I341" s="71">
        <v>1</v>
      </c>
      <c r="J341" s="71">
        <v>1</v>
      </c>
      <c r="K341" s="71" t="b">
        <v>0</v>
      </c>
      <c r="AI341" t="s">
        <v>466</v>
      </c>
      <c r="AJ341">
        <v>1</v>
      </c>
      <c r="AK341">
        <v>150</v>
      </c>
      <c r="AL341">
        <v>100</v>
      </c>
      <c r="AM341" s="74">
        <f ca="1">INDIRECT(ADDRESS(11+(MATCH(RIGHT(Table2[[#This Row],[spawner_sku]],LEN(Table2[[#This Row],[spawner_sku]])-FIND("/",Table2[[#This Row],[spawner_sku]])),Table1[Entity Prefab],0)),10,1,1,"Entities"))</f>
        <v>75</v>
      </c>
      <c r="AN341" s="74">
        <f ca="1">ROUND((Table2[[#This Row],[XP]]*Table2[[#This Row],[entity_spawned (AVG)]])*(Table2[[#This Row],[activating_chance]]/100),0)</f>
        <v>75</v>
      </c>
      <c r="AO341" s="71" t="str">
        <f ca="1">INDIRECT(ADDRESS(11+(MATCH(RIGHT(Table2[[#This Row],[spawner_sku]],LEN(Table2[[#This Row],[spawner_sku]])-FIND("/",Table2[[#This Row],[spawner_sku]])),Table28[Entity Prefab],0)),24,1,1,"Entities"))</f>
        <v>no</v>
      </c>
      <c r="AP341" s="71">
        <v>1</v>
      </c>
      <c r="AQ341" s="71">
        <v>1</v>
      </c>
      <c r="AR341" s="71" t="b">
        <v>0</v>
      </c>
      <c r="BP341" t="s">
        <v>381</v>
      </c>
      <c r="BQ341">
        <v>1</v>
      </c>
      <c r="BR341">
        <v>300</v>
      </c>
      <c r="BS341">
        <v>100</v>
      </c>
      <c r="BT341" s="74">
        <f ca="1">INDIRECT(ADDRESS(11+(MATCH(RIGHT(Table61011[[#This Row],[spawner_sku]],LEN(Table61011[[#This Row],[spawner_sku]])-FIND("/",Table61011[[#This Row],[spawner_sku]])),Table1[Entity Prefab],0)),10,1,1,"Entities"))</f>
        <v>75</v>
      </c>
      <c r="BU341" s="74">
        <f ca="1">ROUND((Table61011[[#This Row],[XP]]*Table61011[[#This Row],[entity_spawned (AVG)]])*(Table61011[[#This Row],[activating_chance]]/100),0)</f>
        <v>75</v>
      </c>
      <c r="BV341" s="71" t="str">
        <f ca="1">INDIRECT(ADDRESS(11+(MATCH(RIGHT(Table61011[[#This Row],[spawner_sku]],LEN(Table61011[[#This Row],[spawner_sku]])-FIND("/",Table61011[[#This Row],[spawner_sku]])),Table28[Entity Prefab],0)),24,1,1,"Entities"))</f>
        <v>yes</v>
      </c>
      <c r="BW341" s="71">
        <v>1</v>
      </c>
      <c r="BX341" s="71">
        <v>1</v>
      </c>
      <c r="BY341" s="71" t="b">
        <v>0</v>
      </c>
      <c r="BZ341" s="71"/>
      <c r="CA341" s="147" t="s">
        <v>3816</v>
      </c>
      <c r="CB341">
        <v>1</v>
      </c>
      <c r="CC341">
        <v>240</v>
      </c>
      <c r="CD341">
        <v>100</v>
      </c>
      <c r="CE341" s="74">
        <f ca="1">INDIRECT(ADDRESS(11+(MATCH(RIGHT(Table35[[#This Row],[spawner_sku]],LEN(Table35[[#This Row],[spawner_sku]])-FIND("/",Table35[[#This Row],[spawner_sku]])),Table1[Entity Prefab],0)),10,1,1,"Entities"))</f>
        <v>50</v>
      </c>
      <c r="CF341" s="74">
        <f ca="1">ROUND((Table35[[#This Row],[XP]]*Table35[[#This Row],[entity_spawned (AVG)]])*(Table35[[#This Row],[activating_chance]]/100),0)</f>
        <v>50</v>
      </c>
      <c r="CG341" s="144" t="str">
        <f ca="1">INDIRECT(ADDRESS(11+(MATCH(RIGHT(Table35[[#This Row],[spawner_sku]],LEN(Table35[[#This Row],[spawner_sku]])-FIND("/",Table35[[#This Row],[spawner_sku]])),Table28[Entity Prefab],0)),24,1,1,"Entities"))</f>
        <v>no</v>
      </c>
      <c r="CH341">
        <v>1</v>
      </c>
      <c r="CI341">
        <v>1</v>
      </c>
      <c r="CJ341" s="71" t="b">
        <v>0</v>
      </c>
      <c r="CL341" t="s">
        <v>510</v>
      </c>
      <c r="CM341">
        <v>1</v>
      </c>
      <c r="CN341">
        <v>150</v>
      </c>
      <c r="CO341">
        <v>100</v>
      </c>
      <c r="CP341" s="74">
        <f ca="1">INDIRECT(ADDRESS(11+(MATCH(RIGHT(Table11[[#This Row],[spawner_sku]],LEN(Table11[[#This Row],[spawner_sku]])-FIND("/",Table11[[#This Row],[spawner_sku]])),Table1[Entity Prefab],0)),10,1,1,"Entities"))</f>
        <v>90</v>
      </c>
      <c r="CQ341">
        <f ca="1">ROUND((Table11[[#This Row],[XP]]*Table11[[#This Row],[entity_spawned (AVG)]])*(Table11[[#This Row],[activating_chance]]/100),0)</f>
        <v>90</v>
      </c>
      <c r="CR341" s="144" t="str">
        <f ca="1">INDIRECT(ADDRESS(11+(MATCH(RIGHT(Table11[[#This Row],[spawner_sku]],LEN(Table11[[#This Row],[spawner_sku]])-FIND("/",Table11[[#This Row],[spawner_sku]])),Table28[Entity Prefab],0)),25,1,1,"Entities"))</f>
        <v>no</v>
      </c>
      <c r="CS341" s="71">
        <v>1</v>
      </c>
      <c r="CT341" s="71">
        <v>1</v>
      </c>
      <c r="CU341" s="71" t="b">
        <v>0</v>
      </c>
      <c r="DS341" t="s">
        <v>510</v>
      </c>
      <c r="DT341">
        <v>1</v>
      </c>
      <c r="DU341">
        <v>145</v>
      </c>
      <c r="DV341">
        <v>100</v>
      </c>
      <c r="DW341" s="74">
        <f ca="1">INDIRECT(ADDRESS(11+(MATCH(RIGHT(Table14[[#This Row],[spawner_sku]],LEN(Table14[[#This Row],[spawner_sku]])-FIND("/",Table14[[#This Row],[spawner_sku]])),Table1[Entity Prefab],0)),10,1,1,"Entities"))</f>
        <v>90</v>
      </c>
      <c r="DX341" s="74">
        <f ca="1">ROUND((Table14[[#This Row],[XP]]*Table14[[#This Row],[entity_spawned (AVG)]])*(Table14[[#This Row],[activating_chance]]/100),0)</f>
        <v>90</v>
      </c>
      <c r="DY341" s="144" t="str">
        <f ca="1">INDIRECT(ADDRESS(11+(MATCH(RIGHT(Table14[[#This Row],[spawner_sku]],LEN(Table14[[#This Row],[spawner_sku]])-FIND("/",Table14[[#This Row],[spawner_sku]])),Table28[Entity Prefab],0)),25,1,1,"Entities"))</f>
        <v>no</v>
      </c>
      <c r="DZ341" s="71">
        <v>1</v>
      </c>
      <c r="EA341" s="71">
        <v>1</v>
      </c>
      <c r="EB341" s="71" t="b">
        <v>0</v>
      </c>
      <c r="EC341" s="71"/>
    </row>
    <row r="342" spans="2:154" x14ac:dyDescent="0.25">
      <c r="B342" s="72" t="s">
        <v>229</v>
      </c>
      <c r="C342">
        <v>1</v>
      </c>
      <c r="D342">
        <v>1500</v>
      </c>
      <c r="E342">
        <v>100</v>
      </c>
      <c r="F342" s="74">
        <f ca="1">INDIRECT(ADDRESS(11+(MATCH(RIGHT(Table245[[#This Row],[spawner_sku]],LEN(Table245[[#This Row],[spawner_sku]])-FIND("/",Table245[[#This Row],[spawner_sku]])),Table1[Entity Prefab],0)),10,1,1,"Entities"))</f>
        <v>130</v>
      </c>
      <c r="G342" s="74">
        <f ca="1">ROUND((Table245[[#This Row],[XP]]*Table245[[#This Row],[entity_spawned (AVG)]])*(Table245[[#This Row],[activating_chance]]/100),0)</f>
        <v>130</v>
      </c>
      <c r="H342" s="71" t="str">
        <f ca="1">INDIRECT(ADDRESS(11+(MATCH(RIGHT(Table245[[#This Row],[spawner_sku]],LEN(Table245[[#This Row],[spawner_sku]])-FIND("/",Table245[[#This Row],[spawner_sku]])),Table28[Entity Prefab],0)),24,1,1,"Entities"))</f>
        <v>yes</v>
      </c>
      <c r="I342" s="71">
        <v>1</v>
      </c>
      <c r="J342" s="71">
        <v>1</v>
      </c>
      <c r="K342" s="71" t="b">
        <v>0</v>
      </c>
      <c r="AI342" t="s">
        <v>234</v>
      </c>
      <c r="AJ342">
        <v>1</v>
      </c>
      <c r="AK342">
        <v>420</v>
      </c>
      <c r="AL342">
        <v>100</v>
      </c>
      <c r="AM342" s="74">
        <f ca="1">INDIRECT(ADDRESS(11+(MATCH(RIGHT(Table2[[#This Row],[spawner_sku]],LEN(Table2[[#This Row],[spawner_sku]])-FIND("/",Table2[[#This Row],[spawner_sku]])),Table1[Entity Prefab],0)),10,1,1,"Entities"))</f>
        <v>83</v>
      </c>
      <c r="AN342" s="74">
        <f ca="1">ROUND((Table2[[#This Row],[XP]]*Table2[[#This Row],[entity_spawned (AVG)]])*(Table2[[#This Row],[activating_chance]]/100),0)</f>
        <v>83</v>
      </c>
      <c r="AO342" s="71" t="str">
        <f ca="1">INDIRECT(ADDRESS(11+(MATCH(RIGHT(Table2[[#This Row],[spawner_sku]],LEN(Table2[[#This Row],[spawner_sku]])-FIND("/",Table2[[#This Row],[spawner_sku]])),Table28[Entity Prefab],0)),24,1,1,"Entities"))</f>
        <v>yes</v>
      </c>
      <c r="AP342" s="71">
        <v>1</v>
      </c>
      <c r="AQ342" s="71">
        <v>1</v>
      </c>
      <c r="AR342" s="71" t="b">
        <v>0</v>
      </c>
      <c r="BP342" t="s">
        <v>424</v>
      </c>
      <c r="BQ342">
        <v>1</v>
      </c>
      <c r="BR342">
        <v>210</v>
      </c>
      <c r="BS342">
        <v>100</v>
      </c>
      <c r="BT342" s="74">
        <f ca="1">INDIRECT(ADDRESS(11+(MATCH(RIGHT(Table61011[[#This Row],[spawner_sku]],LEN(Table61011[[#This Row],[spawner_sku]])-FIND("/",Table61011[[#This Row],[spawner_sku]])),Table1[Entity Prefab],0)),10,1,1,"Entities"))</f>
        <v>55</v>
      </c>
      <c r="BU342" s="74">
        <f ca="1">ROUND((Table61011[[#This Row],[XP]]*Table61011[[#This Row],[entity_spawned (AVG)]])*(Table61011[[#This Row],[activating_chance]]/100),0)</f>
        <v>55</v>
      </c>
      <c r="BV342" s="71" t="str">
        <f ca="1">INDIRECT(ADDRESS(11+(MATCH(RIGHT(Table61011[[#This Row],[spawner_sku]],LEN(Table61011[[#This Row],[spawner_sku]])-FIND("/",Table61011[[#This Row],[spawner_sku]])),Table28[Entity Prefab],0)),24,1,1,"Entities"))</f>
        <v>yes</v>
      </c>
      <c r="BW342" s="71">
        <v>1</v>
      </c>
      <c r="BX342" s="71">
        <v>1</v>
      </c>
      <c r="BY342" s="71" t="b">
        <v>0</v>
      </c>
      <c r="BZ342" s="71"/>
      <c r="CA342" s="147" t="s">
        <v>3816</v>
      </c>
      <c r="CB342">
        <v>1</v>
      </c>
      <c r="CC342">
        <v>240</v>
      </c>
      <c r="CD342">
        <v>100</v>
      </c>
      <c r="CE342" s="74">
        <f ca="1">INDIRECT(ADDRESS(11+(MATCH(RIGHT(Table35[[#This Row],[spawner_sku]],LEN(Table35[[#This Row],[spawner_sku]])-FIND("/",Table35[[#This Row],[spawner_sku]])),Table1[Entity Prefab],0)),10,1,1,"Entities"))</f>
        <v>50</v>
      </c>
      <c r="CF342" s="74">
        <f ca="1">ROUND((Table35[[#This Row],[XP]]*Table35[[#This Row],[entity_spawned (AVG)]])*(Table35[[#This Row],[activating_chance]]/100),0)</f>
        <v>50</v>
      </c>
      <c r="CG342" s="144" t="str">
        <f ca="1">INDIRECT(ADDRESS(11+(MATCH(RIGHT(Table35[[#This Row],[spawner_sku]],LEN(Table35[[#This Row],[spawner_sku]])-FIND("/",Table35[[#This Row],[spawner_sku]])),Table28[Entity Prefab],0)),24,1,1,"Entities"))</f>
        <v>no</v>
      </c>
      <c r="CH342">
        <v>1</v>
      </c>
      <c r="CI342">
        <v>1</v>
      </c>
      <c r="CJ342" s="71" t="b">
        <v>0</v>
      </c>
      <c r="CL342" t="s">
        <v>510</v>
      </c>
      <c r="CM342">
        <v>1</v>
      </c>
      <c r="CN342">
        <v>150</v>
      </c>
      <c r="CO342">
        <v>100</v>
      </c>
      <c r="CP342" s="74">
        <f ca="1">INDIRECT(ADDRESS(11+(MATCH(RIGHT(Table11[[#This Row],[spawner_sku]],LEN(Table11[[#This Row],[spawner_sku]])-FIND("/",Table11[[#This Row],[spawner_sku]])),Table1[Entity Prefab],0)),10,1,1,"Entities"))</f>
        <v>90</v>
      </c>
      <c r="CQ342">
        <f ca="1">ROUND((Table11[[#This Row],[XP]]*Table11[[#This Row],[entity_spawned (AVG)]])*(Table11[[#This Row],[activating_chance]]/100),0)</f>
        <v>90</v>
      </c>
      <c r="CR342" s="144" t="str">
        <f ca="1">INDIRECT(ADDRESS(11+(MATCH(RIGHT(Table11[[#This Row],[spawner_sku]],LEN(Table11[[#This Row],[spawner_sku]])-FIND("/",Table11[[#This Row],[spawner_sku]])),Table28[Entity Prefab],0)),25,1,1,"Entities"))</f>
        <v>no</v>
      </c>
      <c r="CS342" s="71">
        <v>1</v>
      </c>
      <c r="CT342" s="71">
        <v>1</v>
      </c>
      <c r="CU342" s="71" t="b">
        <v>0</v>
      </c>
      <c r="DS342" t="s">
        <v>510</v>
      </c>
      <c r="DT342">
        <v>2</v>
      </c>
      <c r="DU342">
        <v>110</v>
      </c>
      <c r="DV342">
        <v>100</v>
      </c>
      <c r="DW342" s="74">
        <f ca="1">INDIRECT(ADDRESS(11+(MATCH(RIGHT(Table14[[#This Row],[spawner_sku]],LEN(Table14[[#This Row],[spawner_sku]])-FIND("/",Table14[[#This Row],[spawner_sku]])),Table1[Entity Prefab],0)),10,1,1,"Entities"))</f>
        <v>90</v>
      </c>
      <c r="DX342" s="74">
        <f ca="1">ROUND((Table14[[#This Row],[XP]]*Table14[[#This Row],[entity_spawned (AVG)]])*(Table14[[#This Row],[activating_chance]]/100),0)</f>
        <v>180</v>
      </c>
      <c r="DY342" s="144" t="str">
        <f ca="1">INDIRECT(ADDRESS(11+(MATCH(RIGHT(Table14[[#This Row],[spawner_sku]],LEN(Table14[[#This Row],[spawner_sku]])-FIND("/",Table14[[#This Row],[spawner_sku]])),Table28[Entity Prefab],0)),25,1,1,"Entities"))</f>
        <v>no</v>
      </c>
      <c r="DZ342" s="71">
        <v>2</v>
      </c>
      <c r="EA342" s="71">
        <v>2</v>
      </c>
      <c r="EB342" s="71" t="b">
        <v>0</v>
      </c>
      <c r="EC342" s="71"/>
    </row>
    <row r="343" spans="2:154" x14ac:dyDescent="0.25">
      <c r="B343" s="72" t="s">
        <v>229</v>
      </c>
      <c r="C343">
        <v>1</v>
      </c>
      <c r="D343">
        <v>1500</v>
      </c>
      <c r="E343">
        <v>100</v>
      </c>
      <c r="F343" s="74">
        <f ca="1">INDIRECT(ADDRESS(11+(MATCH(RIGHT(Table245[[#This Row],[spawner_sku]],LEN(Table245[[#This Row],[spawner_sku]])-FIND("/",Table245[[#This Row],[spawner_sku]])),Table1[Entity Prefab],0)),10,1,1,"Entities"))</f>
        <v>130</v>
      </c>
      <c r="G343" s="74">
        <f ca="1">ROUND((Table245[[#This Row],[XP]]*Table245[[#This Row],[entity_spawned (AVG)]])*(Table245[[#This Row],[activating_chance]]/100),0)</f>
        <v>130</v>
      </c>
      <c r="H343" s="71" t="str">
        <f ca="1">INDIRECT(ADDRESS(11+(MATCH(RIGHT(Table245[[#This Row],[spawner_sku]],LEN(Table245[[#This Row],[spawner_sku]])-FIND("/",Table245[[#This Row],[spawner_sku]])),Table28[Entity Prefab],0)),24,1,1,"Entities"))</f>
        <v>yes</v>
      </c>
      <c r="I343" s="71">
        <v>1</v>
      </c>
      <c r="J343" s="71">
        <v>1</v>
      </c>
      <c r="K343" s="71" t="b">
        <v>0</v>
      </c>
      <c r="AI343" t="s">
        <v>241</v>
      </c>
      <c r="AJ343">
        <v>1</v>
      </c>
      <c r="AK343">
        <v>190</v>
      </c>
      <c r="AL343">
        <v>100</v>
      </c>
      <c r="AM343" s="74">
        <f ca="1">INDIRECT(ADDRESS(11+(MATCH(RIGHT(Table2[[#This Row],[spawner_sku]],LEN(Table2[[#This Row],[spawner_sku]])-FIND("/",Table2[[#This Row],[spawner_sku]])),Table1[Entity Prefab],0)),10,1,1,"Entities"))</f>
        <v>70</v>
      </c>
      <c r="AN343" s="74">
        <f ca="1">ROUND((Table2[[#This Row],[XP]]*Table2[[#This Row],[entity_spawned (AVG)]])*(Table2[[#This Row],[activating_chance]]/100),0)</f>
        <v>70</v>
      </c>
      <c r="AO343" s="71" t="str">
        <f ca="1">INDIRECT(ADDRESS(11+(MATCH(RIGHT(Table2[[#This Row],[spawner_sku]],LEN(Table2[[#This Row],[spawner_sku]])-FIND("/",Table2[[#This Row],[spawner_sku]])),Table28[Entity Prefab],0)),24,1,1,"Entities"))</f>
        <v>yes</v>
      </c>
      <c r="AP343" s="71">
        <v>1</v>
      </c>
      <c r="AQ343" s="71">
        <v>1</v>
      </c>
      <c r="AR343" s="71" t="b">
        <v>0</v>
      </c>
      <c r="BP343" t="s">
        <v>424</v>
      </c>
      <c r="BQ343">
        <v>1</v>
      </c>
      <c r="BR343">
        <v>210</v>
      </c>
      <c r="BS343">
        <v>100</v>
      </c>
      <c r="BT343" s="74">
        <f ca="1">INDIRECT(ADDRESS(11+(MATCH(RIGHT(Table61011[[#This Row],[spawner_sku]],LEN(Table61011[[#This Row],[spawner_sku]])-FIND("/",Table61011[[#This Row],[spawner_sku]])),Table1[Entity Prefab],0)),10,1,1,"Entities"))</f>
        <v>55</v>
      </c>
      <c r="BU343" s="74">
        <f ca="1">ROUND((Table61011[[#This Row],[XP]]*Table61011[[#This Row],[entity_spawned (AVG)]])*(Table61011[[#This Row],[activating_chance]]/100),0)</f>
        <v>55</v>
      </c>
      <c r="BV343" s="71" t="str">
        <f ca="1">INDIRECT(ADDRESS(11+(MATCH(RIGHT(Table61011[[#This Row],[spawner_sku]],LEN(Table61011[[#This Row],[spawner_sku]])-FIND("/",Table61011[[#This Row],[spawner_sku]])),Table28[Entity Prefab],0)),24,1,1,"Entities"))</f>
        <v>yes</v>
      </c>
      <c r="BW343" s="71">
        <v>1</v>
      </c>
      <c r="BX343" s="71">
        <v>1</v>
      </c>
      <c r="BY343" s="71" t="b">
        <v>0</v>
      </c>
      <c r="BZ343" s="71"/>
      <c r="CA343" s="147" t="s">
        <v>3816</v>
      </c>
      <c r="CB343">
        <v>1</v>
      </c>
      <c r="CC343">
        <v>240</v>
      </c>
      <c r="CD343">
        <v>100</v>
      </c>
      <c r="CE343" s="74">
        <f ca="1">INDIRECT(ADDRESS(11+(MATCH(RIGHT(Table35[[#This Row],[spawner_sku]],LEN(Table35[[#This Row],[spawner_sku]])-FIND("/",Table35[[#This Row],[spawner_sku]])),Table1[Entity Prefab],0)),10,1,1,"Entities"))</f>
        <v>50</v>
      </c>
      <c r="CF343" s="74">
        <f ca="1">ROUND((Table35[[#This Row],[XP]]*Table35[[#This Row],[entity_spawned (AVG)]])*(Table35[[#This Row],[activating_chance]]/100),0)</f>
        <v>50</v>
      </c>
      <c r="CG343" s="144" t="str">
        <f ca="1">INDIRECT(ADDRESS(11+(MATCH(RIGHT(Table35[[#This Row],[spawner_sku]],LEN(Table35[[#This Row],[spawner_sku]])-FIND("/",Table35[[#This Row],[spawner_sku]])),Table28[Entity Prefab],0)),24,1,1,"Entities"))</f>
        <v>no</v>
      </c>
      <c r="CH343">
        <v>1</v>
      </c>
      <c r="CI343">
        <v>1</v>
      </c>
      <c r="CJ343" s="71" t="b">
        <v>0</v>
      </c>
      <c r="CL343" t="s">
        <v>510</v>
      </c>
      <c r="CM343">
        <v>1</v>
      </c>
      <c r="CN343">
        <v>165</v>
      </c>
      <c r="CO343">
        <v>40</v>
      </c>
      <c r="CP343" s="74">
        <f ca="1">INDIRECT(ADDRESS(11+(MATCH(RIGHT(Table11[[#This Row],[spawner_sku]],LEN(Table11[[#This Row],[spawner_sku]])-FIND("/",Table11[[#This Row],[spawner_sku]])),Table1[Entity Prefab],0)),10,1,1,"Entities"))</f>
        <v>90</v>
      </c>
      <c r="CQ343">
        <f ca="1">ROUND((Table11[[#This Row],[XP]]*Table11[[#This Row],[entity_spawned (AVG)]])*(Table11[[#This Row],[activating_chance]]/100),0)</f>
        <v>36</v>
      </c>
      <c r="CR343" s="144" t="str">
        <f ca="1">INDIRECT(ADDRESS(11+(MATCH(RIGHT(Table11[[#This Row],[spawner_sku]],LEN(Table11[[#This Row],[spawner_sku]])-FIND("/",Table11[[#This Row],[spawner_sku]])),Table28[Entity Prefab],0)),25,1,1,"Entities"))</f>
        <v>no</v>
      </c>
      <c r="CS343" s="71">
        <v>1</v>
      </c>
      <c r="CT343" s="71">
        <v>1</v>
      </c>
      <c r="CU343" s="71" t="b">
        <v>0</v>
      </c>
      <c r="DS343" t="s">
        <v>510</v>
      </c>
      <c r="DT343">
        <v>1</v>
      </c>
      <c r="DU343">
        <v>145</v>
      </c>
      <c r="DV343">
        <v>100</v>
      </c>
      <c r="DW343" s="74">
        <f ca="1">INDIRECT(ADDRESS(11+(MATCH(RIGHT(Table14[[#This Row],[spawner_sku]],LEN(Table14[[#This Row],[spawner_sku]])-FIND("/",Table14[[#This Row],[spawner_sku]])),Table1[Entity Prefab],0)),10,1,1,"Entities"))</f>
        <v>90</v>
      </c>
      <c r="DX343" s="74">
        <f ca="1">ROUND((Table14[[#This Row],[XP]]*Table14[[#This Row],[entity_spawned (AVG)]])*(Table14[[#This Row],[activating_chance]]/100),0)</f>
        <v>90</v>
      </c>
      <c r="DY343" s="144" t="str">
        <f ca="1">INDIRECT(ADDRESS(11+(MATCH(RIGHT(Table14[[#This Row],[spawner_sku]],LEN(Table14[[#This Row],[spawner_sku]])-FIND("/",Table14[[#This Row],[spawner_sku]])),Table28[Entity Prefab],0)),25,1,1,"Entities"))</f>
        <v>no</v>
      </c>
      <c r="DZ343" s="71">
        <v>1</v>
      </c>
      <c r="EA343" s="71">
        <v>1</v>
      </c>
      <c r="EB343" s="71" t="b">
        <v>0</v>
      </c>
      <c r="EC343" s="71"/>
    </row>
    <row r="344" spans="2:154" x14ac:dyDescent="0.25">
      <c r="B344" s="72" t="s">
        <v>229</v>
      </c>
      <c r="C344">
        <v>1</v>
      </c>
      <c r="D344">
        <v>1500</v>
      </c>
      <c r="E344">
        <v>100</v>
      </c>
      <c r="F344" s="74">
        <f ca="1">INDIRECT(ADDRESS(11+(MATCH(RIGHT(Table245[[#This Row],[spawner_sku]],LEN(Table245[[#This Row],[spawner_sku]])-FIND("/",Table245[[#This Row],[spawner_sku]])),Table1[Entity Prefab],0)),10,1,1,"Entities"))</f>
        <v>130</v>
      </c>
      <c r="G344" s="74">
        <f ca="1">ROUND((Table245[[#This Row],[XP]]*Table245[[#This Row],[entity_spawned (AVG)]])*(Table245[[#This Row],[activating_chance]]/100),0)</f>
        <v>130</v>
      </c>
      <c r="H344" s="71" t="str">
        <f ca="1">INDIRECT(ADDRESS(11+(MATCH(RIGHT(Table245[[#This Row],[spawner_sku]],LEN(Table245[[#This Row],[spawner_sku]])-FIND("/",Table245[[#This Row],[spawner_sku]])),Table28[Entity Prefab],0)),24,1,1,"Entities"))</f>
        <v>yes</v>
      </c>
      <c r="I344" s="71">
        <v>1</v>
      </c>
      <c r="J344" s="71">
        <v>1</v>
      </c>
      <c r="K344" s="71" t="b">
        <v>0</v>
      </c>
      <c r="AI344" t="s">
        <v>241</v>
      </c>
      <c r="AJ344">
        <v>1</v>
      </c>
      <c r="AK344">
        <v>120</v>
      </c>
      <c r="AL344">
        <v>100</v>
      </c>
      <c r="AM344" s="74">
        <f ca="1">INDIRECT(ADDRESS(11+(MATCH(RIGHT(Table2[[#This Row],[spawner_sku]],LEN(Table2[[#This Row],[spawner_sku]])-FIND("/",Table2[[#This Row],[spawner_sku]])),Table1[Entity Prefab],0)),10,1,1,"Entities"))</f>
        <v>70</v>
      </c>
      <c r="AN344" s="74">
        <f ca="1">ROUND((Table2[[#This Row],[XP]]*Table2[[#This Row],[entity_spawned (AVG)]])*(Table2[[#This Row],[activating_chance]]/100),0)</f>
        <v>70</v>
      </c>
      <c r="AO344" s="71" t="str">
        <f ca="1">INDIRECT(ADDRESS(11+(MATCH(RIGHT(Table2[[#This Row],[spawner_sku]],LEN(Table2[[#This Row],[spawner_sku]])-FIND("/",Table2[[#This Row],[spawner_sku]])),Table28[Entity Prefab],0)),24,1,1,"Entities"))</f>
        <v>yes</v>
      </c>
      <c r="AP344" s="71">
        <v>1</v>
      </c>
      <c r="AQ344" s="71">
        <v>1</v>
      </c>
      <c r="AR344" s="71" t="b">
        <v>0</v>
      </c>
      <c r="BP344" t="s">
        <v>424</v>
      </c>
      <c r="BQ344">
        <v>1</v>
      </c>
      <c r="BR344">
        <v>210</v>
      </c>
      <c r="BS344">
        <v>100</v>
      </c>
      <c r="BT344" s="74">
        <f ca="1">INDIRECT(ADDRESS(11+(MATCH(RIGHT(Table61011[[#This Row],[spawner_sku]],LEN(Table61011[[#This Row],[spawner_sku]])-FIND("/",Table61011[[#This Row],[spawner_sku]])),Table1[Entity Prefab],0)),10,1,1,"Entities"))</f>
        <v>55</v>
      </c>
      <c r="BU344" s="74">
        <f ca="1">ROUND((Table61011[[#This Row],[XP]]*Table61011[[#This Row],[entity_spawned (AVG)]])*(Table61011[[#This Row],[activating_chance]]/100),0)</f>
        <v>55</v>
      </c>
      <c r="BV344" s="71" t="str">
        <f ca="1">INDIRECT(ADDRESS(11+(MATCH(RIGHT(Table61011[[#This Row],[spawner_sku]],LEN(Table61011[[#This Row],[spawner_sku]])-FIND("/",Table61011[[#This Row],[spawner_sku]])),Table28[Entity Prefab],0)),24,1,1,"Entities"))</f>
        <v>yes</v>
      </c>
      <c r="BW344" s="71">
        <v>1</v>
      </c>
      <c r="BX344" s="71">
        <v>1</v>
      </c>
      <c r="BY344" s="71" t="b">
        <v>0</v>
      </c>
      <c r="BZ344" s="71"/>
      <c r="CA344" s="147" t="s">
        <v>3816</v>
      </c>
      <c r="CB344">
        <v>1</v>
      </c>
      <c r="CC344">
        <v>240</v>
      </c>
      <c r="CD344">
        <v>100</v>
      </c>
      <c r="CE344" s="74">
        <f ca="1">INDIRECT(ADDRESS(11+(MATCH(RIGHT(Table35[[#This Row],[spawner_sku]],LEN(Table35[[#This Row],[spawner_sku]])-FIND("/",Table35[[#This Row],[spawner_sku]])),Table1[Entity Prefab],0)),10,1,1,"Entities"))</f>
        <v>50</v>
      </c>
      <c r="CF344" s="74">
        <f ca="1">ROUND((Table35[[#This Row],[XP]]*Table35[[#This Row],[entity_spawned (AVG)]])*(Table35[[#This Row],[activating_chance]]/100),0)</f>
        <v>50</v>
      </c>
      <c r="CG344" s="144" t="str">
        <f ca="1">INDIRECT(ADDRESS(11+(MATCH(RIGHT(Table35[[#This Row],[spawner_sku]],LEN(Table35[[#This Row],[spawner_sku]])-FIND("/",Table35[[#This Row],[spawner_sku]])),Table28[Entity Prefab],0)),24,1,1,"Entities"))</f>
        <v>no</v>
      </c>
      <c r="CH344">
        <v>1</v>
      </c>
      <c r="CI344">
        <v>1</v>
      </c>
      <c r="CJ344" s="71" t="b">
        <v>0</v>
      </c>
      <c r="CL344" t="s">
        <v>233</v>
      </c>
      <c r="CM344">
        <v>1</v>
      </c>
      <c r="CN344">
        <v>500</v>
      </c>
      <c r="CO344">
        <v>75</v>
      </c>
      <c r="CP344" s="74">
        <f ca="1">INDIRECT(ADDRESS(11+(MATCH(RIGHT(Table11[[#This Row],[spawner_sku]],LEN(Table11[[#This Row],[spawner_sku]])-FIND("/",Table11[[#This Row],[spawner_sku]])),Table1[Entity Prefab],0)),10,1,1,"Entities"))</f>
        <v>25</v>
      </c>
      <c r="CQ344">
        <f ca="1">ROUND((Table11[[#This Row],[XP]]*Table11[[#This Row],[entity_spawned (AVG)]])*(Table11[[#This Row],[activating_chance]]/100),0)</f>
        <v>19</v>
      </c>
      <c r="CR344" s="144" t="str">
        <f ca="1">INDIRECT(ADDRESS(11+(MATCH(RIGHT(Table11[[#This Row],[spawner_sku]],LEN(Table11[[#This Row],[spawner_sku]])-FIND("/",Table11[[#This Row],[spawner_sku]])),Table28[Entity Prefab],0)),25,1,1,"Entities"))</f>
        <v>no</v>
      </c>
      <c r="CS344" s="71">
        <v>1</v>
      </c>
      <c r="CT344" s="71">
        <v>1</v>
      </c>
      <c r="CU344" s="71" t="b">
        <v>0</v>
      </c>
      <c r="DS344" t="s">
        <v>510</v>
      </c>
      <c r="DT344">
        <v>1</v>
      </c>
      <c r="DU344">
        <v>140</v>
      </c>
      <c r="DV344">
        <v>100</v>
      </c>
      <c r="DW344" s="74">
        <f ca="1">INDIRECT(ADDRESS(11+(MATCH(RIGHT(Table14[[#This Row],[spawner_sku]],LEN(Table14[[#This Row],[spawner_sku]])-FIND("/",Table14[[#This Row],[spawner_sku]])),Table1[Entity Prefab],0)),10,1,1,"Entities"))</f>
        <v>90</v>
      </c>
      <c r="DX344" s="74">
        <f ca="1">ROUND((Table14[[#This Row],[XP]]*Table14[[#This Row],[entity_spawned (AVG)]])*(Table14[[#This Row],[activating_chance]]/100),0)</f>
        <v>90</v>
      </c>
      <c r="DY344" s="144" t="str">
        <f ca="1">INDIRECT(ADDRESS(11+(MATCH(RIGHT(Table14[[#This Row],[spawner_sku]],LEN(Table14[[#This Row],[spawner_sku]])-FIND("/",Table14[[#This Row],[spawner_sku]])),Table28[Entity Prefab],0)),25,1,1,"Entities"))</f>
        <v>no</v>
      </c>
      <c r="DZ344" s="71">
        <v>1</v>
      </c>
      <c r="EA344" s="71">
        <v>1</v>
      </c>
      <c r="EB344" s="71" t="b">
        <v>0</v>
      </c>
      <c r="EC344" s="71"/>
    </row>
    <row r="345" spans="2:154" x14ac:dyDescent="0.25">
      <c r="B345" s="72" t="s">
        <v>229</v>
      </c>
      <c r="C345">
        <v>1</v>
      </c>
      <c r="D345">
        <v>1500</v>
      </c>
      <c r="E345">
        <v>80</v>
      </c>
      <c r="F345" s="74">
        <f ca="1">INDIRECT(ADDRESS(11+(MATCH(RIGHT(Table245[[#This Row],[spawner_sku]],LEN(Table245[[#This Row],[spawner_sku]])-FIND("/",Table245[[#This Row],[spawner_sku]])),Table1[Entity Prefab],0)),10,1,1,"Entities"))</f>
        <v>130</v>
      </c>
      <c r="G345" s="74">
        <f ca="1">ROUND((Table245[[#This Row],[XP]]*Table245[[#This Row],[entity_spawned (AVG)]])*(Table245[[#This Row],[activating_chance]]/100),0)</f>
        <v>104</v>
      </c>
      <c r="H345" s="71" t="str">
        <f ca="1">INDIRECT(ADDRESS(11+(MATCH(RIGHT(Table245[[#This Row],[spawner_sku]],LEN(Table245[[#This Row],[spawner_sku]])-FIND("/",Table245[[#This Row],[spawner_sku]])),Table28[Entity Prefab],0)),24,1,1,"Entities"))</f>
        <v>yes</v>
      </c>
      <c r="I345" s="71">
        <v>1</v>
      </c>
      <c r="J345" s="71">
        <v>1</v>
      </c>
      <c r="K345" s="71" t="b">
        <v>0</v>
      </c>
      <c r="AI345" t="s">
        <v>241</v>
      </c>
      <c r="AJ345">
        <v>1</v>
      </c>
      <c r="AK345">
        <v>190</v>
      </c>
      <c r="AL345">
        <v>100</v>
      </c>
      <c r="AM345" s="74">
        <f ca="1">INDIRECT(ADDRESS(11+(MATCH(RIGHT(Table2[[#This Row],[spawner_sku]],LEN(Table2[[#This Row],[spawner_sku]])-FIND("/",Table2[[#This Row],[spawner_sku]])),Table1[Entity Prefab],0)),10,1,1,"Entities"))</f>
        <v>70</v>
      </c>
      <c r="AN345" s="74">
        <f ca="1">ROUND((Table2[[#This Row],[XP]]*Table2[[#This Row],[entity_spawned (AVG)]])*(Table2[[#This Row],[activating_chance]]/100),0)</f>
        <v>70</v>
      </c>
      <c r="AO345" s="71" t="str">
        <f ca="1">INDIRECT(ADDRESS(11+(MATCH(RIGHT(Table2[[#This Row],[spawner_sku]],LEN(Table2[[#This Row],[spawner_sku]])-FIND("/",Table2[[#This Row],[spawner_sku]])),Table28[Entity Prefab],0)),24,1,1,"Entities"))</f>
        <v>yes</v>
      </c>
      <c r="AP345" s="71">
        <v>1</v>
      </c>
      <c r="AQ345" s="71">
        <v>1</v>
      </c>
      <c r="AR345" s="71" t="b">
        <v>0</v>
      </c>
      <c r="BP345" t="s">
        <v>424</v>
      </c>
      <c r="BQ345">
        <v>1</v>
      </c>
      <c r="BR345">
        <v>210</v>
      </c>
      <c r="BS345">
        <v>100</v>
      </c>
      <c r="BT345" s="74">
        <f ca="1">INDIRECT(ADDRESS(11+(MATCH(RIGHT(Table61011[[#This Row],[spawner_sku]],LEN(Table61011[[#This Row],[spawner_sku]])-FIND("/",Table61011[[#This Row],[spawner_sku]])),Table1[Entity Prefab],0)),10,1,1,"Entities"))</f>
        <v>55</v>
      </c>
      <c r="BU345" s="74">
        <f ca="1">ROUND((Table61011[[#This Row],[XP]]*Table61011[[#This Row],[entity_spawned (AVG)]])*(Table61011[[#This Row],[activating_chance]]/100),0)</f>
        <v>55</v>
      </c>
      <c r="BV345" s="71" t="str">
        <f ca="1">INDIRECT(ADDRESS(11+(MATCH(RIGHT(Table61011[[#This Row],[spawner_sku]],LEN(Table61011[[#This Row],[spawner_sku]])-FIND("/",Table61011[[#This Row],[spawner_sku]])),Table28[Entity Prefab],0)),24,1,1,"Entities"))</f>
        <v>yes</v>
      </c>
      <c r="BW345" s="71">
        <v>1</v>
      </c>
      <c r="BX345" s="71">
        <v>1</v>
      </c>
      <c r="BY345" s="71" t="b">
        <v>0</v>
      </c>
      <c r="BZ345" s="71"/>
      <c r="CA345" s="147" t="s">
        <v>3816</v>
      </c>
      <c r="CB345">
        <v>1</v>
      </c>
      <c r="CC345">
        <v>240</v>
      </c>
      <c r="CD345">
        <v>100</v>
      </c>
      <c r="CE345" s="74">
        <f ca="1">INDIRECT(ADDRESS(11+(MATCH(RIGHT(Table35[[#This Row],[spawner_sku]],LEN(Table35[[#This Row],[spawner_sku]])-FIND("/",Table35[[#This Row],[spawner_sku]])),Table1[Entity Prefab],0)),10,1,1,"Entities"))</f>
        <v>50</v>
      </c>
      <c r="CF345" s="74">
        <f ca="1">ROUND((Table35[[#This Row],[XP]]*Table35[[#This Row],[entity_spawned (AVG)]])*(Table35[[#This Row],[activating_chance]]/100),0)</f>
        <v>50</v>
      </c>
      <c r="CG345" s="144" t="str">
        <f ca="1">INDIRECT(ADDRESS(11+(MATCH(RIGHT(Table35[[#This Row],[spawner_sku]],LEN(Table35[[#This Row],[spawner_sku]])-FIND("/",Table35[[#This Row],[spawner_sku]])),Table28[Entity Prefab],0)),24,1,1,"Entities"))</f>
        <v>no</v>
      </c>
      <c r="CH345">
        <v>1</v>
      </c>
      <c r="CI345">
        <v>1</v>
      </c>
      <c r="CJ345" s="71" t="b">
        <v>0</v>
      </c>
      <c r="CL345" t="s">
        <v>233</v>
      </c>
      <c r="CM345">
        <v>1</v>
      </c>
      <c r="CN345">
        <v>500</v>
      </c>
      <c r="CO345">
        <v>50</v>
      </c>
      <c r="CP345" s="74">
        <f ca="1">INDIRECT(ADDRESS(11+(MATCH(RIGHT(Table11[[#This Row],[spawner_sku]],LEN(Table11[[#This Row],[spawner_sku]])-FIND("/",Table11[[#This Row],[spawner_sku]])),Table1[Entity Prefab],0)),10,1,1,"Entities"))</f>
        <v>25</v>
      </c>
      <c r="CQ345">
        <f ca="1">ROUND((Table11[[#This Row],[XP]]*Table11[[#This Row],[entity_spawned (AVG)]])*(Table11[[#This Row],[activating_chance]]/100),0)</f>
        <v>13</v>
      </c>
      <c r="CR345" s="144" t="str">
        <f ca="1">INDIRECT(ADDRESS(11+(MATCH(RIGHT(Table11[[#This Row],[spawner_sku]],LEN(Table11[[#This Row],[spawner_sku]])-FIND("/",Table11[[#This Row],[spawner_sku]])),Table28[Entity Prefab],0)),25,1,1,"Entities"))</f>
        <v>no</v>
      </c>
      <c r="CS345" s="71">
        <v>1</v>
      </c>
      <c r="CT345" s="71">
        <v>1</v>
      </c>
      <c r="CU345" s="71" t="b">
        <v>0</v>
      </c>
      <c r="DS345" t="s">
        <v>510</v>
      </c>
      <c r="DT345">
        <v>1</v>
      </c>
      <c r="DU345">
        <v>145</v>
      </c>
      <c r="DV345">
        <v>100</v>
      </c>
      <c r="DW345" s="74">
        <f ca="1">INDIRECT(ADDRESS(11+(MATCH(RIGHT(Table14[[#This Row],[spawner_sku]],LEN(Table14[[#This Row],[spawner_sku]])-FIND("/",Table14[[#This Row],[spawner_sku]])),Table1[Entity Prefab],0)),10,1,1,"Entities"))</f>
        <v>90</v>
      </c>
      <c r="DX345" s="74">
        <f ca="1">ROUND((Table14[[#This Row],[XP]]*Table14[[#This Row],[entity_spawned (AVG)]])*(Table14[[#This Row],[activating_chance]]/100),0)</f>
        <v>90</v>
      </c>
      <c r="DY345" s="144" t="str">
        <f ca="1">INDIRECT(ADDRESS(11+(MATCH(RIGHT(Table14[[#This Row],[spawner_sku]],LEN(Table14[[#This Row],[spawner_sku]])-FIND("/",Table14[[#This Row],[spawner_sku]])),Table28[Entity Prefab],0)),25,1,1,"Entities"))</f>
        <v>no</v>
      </c>
      <c r="DZ345" s="71">
        <v>1</v>
      </c>
      <c r="EA345" s="71">
        <v>1</v>
      </c>
      <c r="EB345" s="71" t="b">
        <v>0</v>
      </c>
      <c r="EC345" s="71"/>
    </row>
    <row r="346" spans="2:154" x14ac:dyDescent="0.25">
      <c r="B346" s="72" t="s">
        <v>231</v>
      </c>
      <c r="C346">
        <v>1</v>
      </c>
      <c r="D346">
        <v>180</v>
      </c>
      <c r="E346">
        <v>70</v>
      </c>
      <c r="F346" s="74">
        <f ca="1">INDIRECT(ADDRESS(11+(MATCH(RIGHT(Table245[[#This Row],[spawner_sku]],LEN(Table245[[#This Row],[spawner_sku]])-FIND("/",Table245[[#This Row],[spawner_sku]])),Table1[Entity Prefab],0)),10,1,1,"Entities"))</f>
        <v>25</v>
      </c>
      <c r="G346" s="74">
        <f ca="1">ROUND((Table245[[#This Row],[XP]]*Table245[[#This Row],[entity_spawned (AVG)]])*(Table245[[#This Row],[activating_chance]]/100),0)</f>
        <v>18</v>
      </c>
      <c r="H346" s="71" t="str">
        <f ca="1">INDIRECT(ADDRESS(11+(MATCH(RIGHT(Table245[[#This Row],[spawner_sku]],LEN(Table245[[#This Row],[spawner_sku]])-FIND("/",Table245[[#This Row],[spawner_sku]])),Table28[Entity Prefab],0)),24,1,1,"Entities"))</f>
        <v>yes</v>
      </c>
      <c r="I346" s="71">
        <v>1</v>
      </c>
      <c r="J346" s="71">
        <v>1</v>
      </c>
      <c r="K346" s="71" t="b">
        <v>0</v>
      </c>
      <c r="AI346" t="s">
        <v>241</v>
      </c>
      <c r="AJ346">
        <v>1</v>
      </c>
      <c r="AK346">
        <v>190</v>
      </c>
      <c r="AL346">
        <v>100</v>
      </c>
      <c r="AM346" s="74">
        <f ca="1">INDIRECT(ADDRESS(11+(MATCH(RIGHT(Table2[[#This Row],[spawner_sku]],LEN(Table2[[#This Row],[spawner_sku]])-FIND("/",Table2[[#This Row],[spawner_sku]])),Table1[Entity Prefab],0)),10,1,1,"Entities"))</f>
        <v>70</v>
      </c>
      <c r="AN346" s="74">
        <f ca="1">ROUND((Table2[[#This Row],[XP]]*Table2[[#This Row],[entity_spawned (AVG)]])*(Table2[[#This Row],[activating_chance]]/100),0)</f>
        <v>70</v>
      </c>
      <c r="AO346" s="71" t="str">
        <f ca="1">INDIRECT(ADDRESS(11+(MATCH(RIGHT(Table2[[#This Row],[spawner_sku]],LEN(Table2[[#This Row],[spawner_sku]])-FIND("/",Table2[[#This Row],[spawner_sku]])),Table28[Entity Prefab],0)),24,1,1,"Entities"))</f>
        <v>yes</v>
      </c>
      <c r="AP346" s="71">
        <v>1</v>
      </c>
      <c r="AQ346" s="71">
        <v>1</v>
      </c>
      <c r="AR346" s="71" t="b">
        <v>0</v>
      </c>
      <c r="BP346" t="s">
        <v>424</v>
      </c>
      <c r="BQ346">
        <v>1</v>
      </c>
      <c r="BR346">
        <v>310</v>
      </c>
      <c r="BS346">
        <v>100</v>
      </c>
      <c r="BT346" s="74">
        <f ca="1">INDIRECT(ADDRESS(11+(MATCH(RIGHT(Table61011[[#This Row],[spawner_sku]],LEN(Table61011[[#This Row],[spawner_sku]])-FIND("/",Table61011[[#This Row],[spawner_sku]])),Table1[Entity Prefab],0)),10,1,1,"Entities"))</f>
        <v>55</v>
      </c>
      <c r="BU346" s="74">
        <f ca="1">ROUND((Table61011[[#This Row],[XP]]*Table61011[[#This Row],[entity_spawned (AVG)]])*(Table61011[[#This Row],[activating_chance]]/100),0)</f>
        <v>55</v>
      </c>
      <c r="BV346" s="71" t="str">
        <f ca="1">INDIRECT(ADDRESS(11+(MATCH(RIGHT(Table61011[[#This Row],[spawner_sku]],LEN(Table61011[[#This Row],[spawner_sku]])-FIND("/",Table61011[[#This Row],[spawner_sku]])),Table28[Entity Prefab],0)),24,1,1,"Entities"))</f>
        <v>yes</v>
      </c>
      <c r="BW346" s="71">
        <v>1</v>
      </c>
      <c r="BX346" s="71">
        <v>1</v>
      </c>
      <c r="BY346" s="71" t="b">
        <v>0</v>
      </c>
      <c r="BZ346" s="71"/>
      <c r="CA346" s="147" t="s">
        <v>3816</v>
      </c>
      <c r="CB346">
        <v>1</v>
      </c>
      <c r="CC346">
        <v>240</v>
      </c>
      <c r="CD346">
        <v>100</v>
      </c>
      <c r="CE346" s="74">
        <f ca="1">INDIRECT(ADDRESS(11+(MATCH(RIGHT(Table35[[#This Row],[spawner_sku]],LEN(Table35[[#This Row],[spawner_sku]])-FIND("/",Table35[[#This Row],[spawner_sku]])),Table1[Entity Prefab],0)),10,1,1,"Entities"))</f>
        <v>50</v>
      </c>
      <c r="CF346" s="74">
        <f ca="1">ROUND((Table35[[#This Row],[XP]]*Table35[[#This Row],[entity_spawned (AVG)]])*(Table35[[#This Row],[activating_chance]]/100),0)</f>
        <v>50</v>
      </c>
      <c r="CG346" s="144" t="str">
        <f ca="1">INDIRECT(ADDRESS(11+(MATCH(RIGHT(Table35[[#This Row],[spawner_sku]],LEN(Table35[[#This Row],[spawner_sku]])-FIND("/",Table35[[#This Row],[spawner_sku]])),Table28[Entity Prefab],0)),24,1,1,"Entities"))</f>
        <v>no</v>
      </c>
      <c r="CH346">
        <v>1</v>
      </c>
      <c r="CI346">
        <v>1</v>
      </c>
      <c r="CJ346" s="71" t="b">
        <v>0</v>
      </c>
      <c r="CL346" t="s">
        <v>233</v>
      </c>
      <c r="CM346">
        <v>1</v>
      </c>
      <c r="CN346">
        <v>500</v>
      </c>
      <c r="CO346">
        <v>75</v>
      </c>
      <c r="CP346" s="74">
        <f ca="1">INDIRECT(ADDRESS(11+(MATCH(RIGHT(Table11[[#This Row],[spawner_sku]],LEN(Table11[[#This Row],[spawner_sku]])-FIND("/",Table11[[#This Row],[spawner_sku]])),Table1[Entity Prefab],0)),10,1,1,"Entities"))</f>
        <v>25</v>
      </c>
      <c r="CQ346">
        <f ca="1">ROUND((Table11[[#This Row],[XP]]*Table11[[#This Row],[entity_spawned (AVG)]])*(Table11[[#This Row],[activating_chance]]/100),0)</f>
        <v>19</v>
      </c>
      <c r="CR346" s="144" t="str">
        <f ca="1">INDIRECT(ADDRESS(11+(MATCH(RIGHT(Table11[[#This Row],[spawner_sku]],LEN(Table11[[#This Row],[spawner_sku]])-FIND("/",Table11[[#This Row],[spawner_sku]])),Table28[Entity Prefab],0)),25,1,1,"Entities"))</f>
        <v>no</v>
      </c>
      <c r="CS346" s="71">
        <v>1</v>
      </c>
      <c r="CT346" s="71">
        <v>1</v>
      </c>
      <c r="CU346" s="71" t="b">
        <v>0</v>
      </c>
      <c r="DS346" t="s">
        <v>510</v>
      </c>
      <c r="DT346">
        <v>1</v>
      </c>
      <c r="DU346">
        <v>130</v>
      </c>
      <c r="DV346">
        <v>100</v>
      </c>
      <c r="DW346" s="74">
        <f ca="1">INDIRECT(ADDRESS(11+(MATCH(RIGHT(Table14[[#This Row],[spawner_sku]],LEN(Table14[[#This Row],[spawner_sku]])-FIND("/",Table14[[#This Row],[spawner_sku]])),Table1[Entity Prefab],0)),10,1,1,"Entities"))</f>
        <v>90</v>
      </c>
      <c r="DX346" s="74">
        <f ca="1">ROUND((Table14[[#This Row],[XP]]*Table14[[#This Row],[entity_spawned (AVG)]])*(Table14[[#This Row],[activating_chance]]/100),0)</f>
        <v>90</v>
      </c>
      <c r="DY346" s="144" t="str">
        <f ca="1">INDIRECT(ADDRESS(11+(MATCH(RIGHT(Table14[[#This Row],[spawner_sku]],LEN(Table14[[#This Row],[spawner_sku]])-FIND("/",Table14[[#This Row],[spawner_sku]])),Table28[Entity Prefab],0)),25,1,1,"Entities"))</f>
        <v>no</v>
      </c>
      <c r="DZ346" s="71">
        <v>1</v>
      </c>
      <c r="EA346" s="71">
        <v>1</v>
      </c>
      <c r="EB346" s="71" t="b">
        <v>0</v>
      </c>
      <c r="EC346" s="71"/>
    </row>
    <row r="347" spans="2:154" x14ac:dyDescent="0.25">
      <c r="B347" s="72" t="s">
        <v>231</v>
      </c>
      <c r="C347">
        <v>1</v>
      </c>
      <c r="D347">
        <v>200</v>
      </c>
      <c r="E347">
        <v>80</v>
      </c>
      <c r="F347" s="74">
        <f ca="1">INDIRECT(ADDRESS(11+(MATCH(RIGHT(Table245[[#This Row],[spawner_sku]],LEN(Table245[[#This Row],[spawner_sku]])-FIND("/",Table245[[#This Row],[spawner_sku]])),Table1[Entity Prefab],0)),10,1,1,"Entities"))</f>
        <v>25</v>
      </c>
      <c r="G347" s="74">
        <f ca="1">ROUND((Table245[[#This Row],[XP]]*Table245[[#This Row],[entity_spawned (AVG)]])*(Table245[[#This Row],[activating_chance]]/100),0)</f>
        <v>20</v>
      </c>
      <c r="H347" s="71" t="str">
        <f ca="1">INDIRECT(ADDRESS(11+(MATCH(RIGHT(Table245[[#This Row],[spawner_sku]],LEN(Table245[[#This Row],[spawner_sku]])-FIND("/",Table245[[#This Row],[spawner_sku]])),Table28[Entity Prefab],0)),24,1,1,"Entities"))</f>
        <v>yes</v>
      </c>
      <c r="I347" s="71">
        <v>1</v>
      </c>
      <c r="J347" s="71">
        <v>1</v>
      </c>
      <c r="K347" s="71" t="b">
        <v>0</v>
      </c>
      <c r="AI347" t="s">
        <v>241</v>
      </c>
      <c r="AJ347">
        <v>1</v>
      </c>
      <c r="AK347">
        <v>190</v>
      </c>
      <c r="AL347">
        <v>40</v>
      </c>
      <c r="AM347" s="74">
        <f ca="1">INDIRECT(ADDRESS(11+(MATCH(RIGHT(Table2[[#This Row],[spawner_sku]],LEN(Table2[[#This Row],[spawner_sku]])-FIND("/",Table2[[#This Row],[spawner_sku]])),Table1[Entity Prefab],0)),10,1,1,"Entities"))</f>
        <v>70</v>
      </c>
      <c r="AN347" s="74">
        <f ca="1">ROUND((Table2[[#This Row],[XP]]*Table2[[#This Row],[entity_spawned (AVG)]])*(Table2[[#This Row],[activating_chance]]/100),0)</f>
        <v>28</v>
      </c>
      <c r="AO347" s="71" t="str">
        <f ca="1">INDIRECT(ADDRESS(11+(MATCH(RIGHT(Table2[[#This Row],[spawner_sku]],LEN(Table2[[#This Row],[spawner_sku]])-FIND("/",Table2[[#This Row],[spawner_sku]])),Table28[Entity Prefab],0)),24,1,1,"Entities"))</f>
        <v>yes</v>
      </c>
      <c r="AP347" s="71">
        <v>1</v>
      </c>
      <c r="AQ347" s="71">
        <v>1</v>
      </c>
      <c r="AR347" s="71" t="b">
        <v>0</v>
      </c>
      <c r="BP347" t="s">
        <v>424</v>
      </c>
      <c r="BQ347">
        <v>1</v>
      </c>
      <c r="BR347">
        <v>310</v>
      </c>
      <c r="BS347">
        <v>100</v>
      </c>
      <c r="BT347" s="74">
        <f ca="1">INDIRECT(ADDRESS(11+(MATCH(RIGHT(Table61011[[#This Row],[spawner_sku]],LEN(Table61011[[#This Row],[spawner_sku]])-FIND("/",Table61011[[#This Row],[spawner_sku]])),Table1[Entity Prefab],0)),10,1,1,"Entities"))</f>
        <v>55</v>
      </c>
      <c r="BU347" s="74">
        <f ca="1">ROUND((Table61011[[#This Row],[XP]]*Table61011[[#This Row],[entity_spawned (AVG)]])*(Table61011[[#This Row],[activating_chance]]/100),0)</f>
        <v>55</v>
      </c>
      <c r="BV347" s="71" t="str">
        <f ca="1">INDIRECT(ADDRESS(11+(MATCH(RIGHT(Table61011[[#This Row],[spawner_sku]],LEN(Table61011[[#This Row],[spawner_sku]])-FIND("/",Table61011[[#This Row],[spawner_sku]])),Table28[Entity Prefab],0)),24,1,1,"Entities"))</f>
        <v>yes</v>
      </c>
      <c r="BW347" s="71">
        <v>1</v>
      </c>
      <c r="BX347" s="71">
        <v>1</v>
      </c>
      <c r="BY347" s="71" t="b">
        <v>0</v>
      </c>
      <c r="BZ347" s="71"/>
      <c r="CA347" s="147" t="s">
        <v>3816</v>
      </c>
      <c r="CB347">
        <v>1</v>
      </c>
      <c r="CC347">
        <v>240</v>
      </c>
      <c r="CD347">
        <v>100</v>
      </c>
      <c r="CE347" s="74">
        <f ca="1">INDIRECT(ADDRESS(11+(MATCH(RIGHT(Table35[[#This Row],[spawner_sku]],LEN(Table35[[#This Row],[spawner_sku]])-FIND("/",Table35[[#This Row],[spawner_sku]])),Table1[Entity Prefab],0)),10,1,1,"Entities"))</f>
        <v>50</v>
      </c>
      <c r="CF347" s="74">
        <f ca="1">ROUND((Table35[[#This Row],[XP]]*Table35[[#This Row],[entity_spawned (AVG)]])*(Table35[[#This Row],[activating_chance]]/100),0)</f>
        <v>50</v>
      </c>
      <c r="CG347" s="144" t="str">
        <f ca="1">INDIRECT(ADDRESS(11+(MATCH(RIGHT(Table35[[#This Row],[spawner_sku]],LEN(Table35[[#This Row],[spawner_sku]])-FIND("/",Table35[[#This Row],[spawner_sku]])),Table28[Entity Prefab],0)),24,1,1,"Entities"))</f>
        <v>no</v>
      </c>
      <c r="CH347">
        <v>1</v>
      </c>
      <c r="CI347">
        <v>1</v>
      </c>
      <c r="CJ347" s="71" t="b">
        <v>0</v>
      </c>
      <c r="CL347" t="s">
        <v>233</v>
      </c>
      <c r="CM347">
        <v>1</v>
      </c>
      <c r="CN347">
        <v>500</v>
      </c>
      <c r="CO347">
        <v>50</v>
      </c>
      <c r="CP347" s="74">
        <f ca="1">INDIRECT(ADDRESS(11+(MATCH(RIGHT(Table11[[#This Row],[spawner_sku]],LEN(Table11[[#This Row],[spawner_sku]])-FIND("/",Table11[[#This Row],[spawner_sku]])),Table1[Entity Prefab],0)),10,1,1,"Entities"))</f>
        <v>25</v>
      </c>
      <c r="CQ347">
        <f ca="1">ROUND((Table11[[#This Row],[XP]]*Table11[[#This Row],[entity_spawned (AVG)]])*(Table11[[#This Row],[activating_chance]]/100),0)</f>
        <v>13</v>
      </c>
      <c r="CR347" s="144" t="str">
        <f ca="1">INDIRECT(ADDRESS(11+(MATCH(RIGHT(Table11[[#This Row],[spawner_sku]],LEN(Table11[[#This Row],[spawner_sku]])-FIND("/",Table11[[#This Row],[spawner_sku]])),Table28[Entity Prefab],0)),25,1,1,"Entities"))</f>
        <v>no</v>
      </c>
      <c r="CS347" s="71">
        <v>1</v>
      </c>
      <c r="CT347" s="71">
        <v>1</v>
      </c>
      <c r="CU347" s="71" t="b">
        <v>0</v>
      </c>
      <c r="DS347" t="s">
        <v>510</v>
      </c>
      <c r="DT347">
        <v>1</v>
      </c>
      <c r="DU347">
        <v>160</v>
      </c>
      <c r="DV347">
        <v>80</v>
      </c>
      <c r="DW347" s="74">
        <f ca="1">INDIRECT(ADDRESS(11+(MATCH(RIGHT(Table14[[#This Row],[spawner_sku]],LEN(Table14[[#This Row],[spawner_sku]])-FIND("/",Table14[[#This Row],[spawner_sku]])),Table1[Entity Prefab],0)),10,1,1,"Entities"))</f>
        <v>90</v>
      </c>
      <c r="DX347" s="74">
        <f ca="1">ROUND((Table14[[#This Row],[XP]]*Table14[[#This Row],[entity_spawned (AVG)]])*(Table14[[#This Row],[activating_chance]]/100),0)</f>
        <v>72</v>
      </c>
      <c r="DY347" s="144" t="str">
        <f ca="1">INDIRECT(ADDRESS(11+(MATCH(RIGHT(Table14[[#This Row],[spawner_sku]],LEN(Table14[[#This Row],[spawner_sku]])-FIND("/",Table14[[#This Row],[spawner_sku]])),Table28[Entity Prefab],0)),25,1,1,"Entities"))</f>
        <v>no</v>
      </c>
      <c r="DZ347" s="71">
        <v>1</v>
      </c>
      <c r="EA347" s="71">
        <v>1</v>
      </c>
      <c r="EB347" s="71" t="b">
        <v>0</v>
      </c>
      <c r="EC347" s="71"/>
    </row>
    <row r="348" spans="2:154" x14ac:dyDescent="0.25">
      <c r="B348" s="72" t="s">
        <v>231</v>
      </c>
      <c r="C348">
        <v>1</v>
      </c>
      <c r="D348">
        <v>240</v>
      </c>
      <c r="E348">
        <v>80</v>
      </c>
      <c r="F348" s="74">
        <f ca="1">INDIRECT(ADDRESS(11+(MATCH(RIGHT(Table245[[#This Row],[spawner_sku]],LEN(Table245[[#This Row],[spawner_sku]])-FIND("/",Table245[[#This Row],[spawner_sku]])),Table1[Entity Prefab],0)),10,1,1,"Entities"))</f>
        <v>25</v>
      </c>
      <c r="G348" s="74">
        <f ca="1">ROUND((Table245[[#This Row],[XP]]*Table245[[#This Row],[entity_spawned (AVG)]])*(Table245[[#This Row],[activating_chance]]/100),0)</f>
        <v>20</v>
      </c>
      <c r="H348" s="71" t="str">
        <f ca="1">INDIRECT(ADDRESS(11+(MATCH(RIGHT(Table245[[#This Row],[spawner_sku]],LEN(Table245[[#This Row],[spawner_sku]])-FIND("/",Table245[[#This Row],[spawner_sku]])),Table28[Entity Prefab],0)),24,1,1,"Entities"))</f>
        <v>yes</v>
      </c>
      <c r="I348" s="71">
        <v>1</v>
      </c>
      <c r="J348" s="71">
        <v>1</v>
      </c>
      <c r="K348" s="71" t="b">
        <v>0</v>
      </c>
      <c r="AI348" t="s">
        <v>241</v>
      </c>
      <c r="AJ348">
        <v>1</v>
      </c>
      <c r="AK348">
        <v>190</v>
      </c>
      <c r="AL348">
        <v>100</v>
      </c>
      <c r="AM348" s="74">
        <f ca="1">INDIRECT(ADDRESS(11+(MATCH(RIGHT(Table2[[#This Row],[spawner_sku]],LEN(Table2[[#This Row],[spawner_sku]])-FIND("/",Table2[[#This Row],[spawner_sku]])),Table1[Entity Prefab],0)),10,1,1,"Entities"))</f>
        <v>70</v>
      </c>
      <c r="AN348" s="74">
        <f ca="1">ROUND((Table2[[#This Row],[XP]]*Table2[[#This Row],[entity_spawned (AVG)]])*(Table2[[#This Row],[activating_chance]]/100),0)</f>
        <v>70</v>
      </c>
      <c r="AO348" s="71" t="str">
        <f ca="1">INDIRECT(ADDRESS(11+(MATCH(RIGHT(Table2[[#This Row],[spawner_sku]],LEN(Table2[[#This Row],[spawner_sku]])-FIND("/",Table2[[#This Row],[spawner_sku]])),Table28[Entity Prefab],0)),24,1,1,"Entities"))</f>
        <v>yes</v>
      </c>
      <c r="AP348" s="71">
        <v>1</v>
      </c>
      <c r="AQ348" s="71">
        <v>1</v>
      </c>
      <c r="AR348" s="71" t="b">
        <v>0</v>
      </c>
      <c r="BP348" t="s">
        <v>424</v>
      </c>
      <c r="BQ348">
        <v>1</v>
      </c>
      <c r="BR348">
        <v>310</v>
      </c>
      <c r="BS348">
        <v>100</v>
      </c>
      <c r="BT348" s="74">
        <f ca="1">INDIRECT(ADDRESS(11+(MATCH(RIGHT(Table61011[[#This Row],[spawner_sku]],LEN(Table61011[[#This Row],[spawner_sku]])-FIND("/",Table61011[[#This Row],[spawner_sku]])),Table1[Entity Prefab],0)),10,1,1,"Entities"))</f>
        <v>55</v>
      </c>
      <c r="BU348" s="74">
        <f ca="1">ROUND((Table61011[[#This Row],[XP]]*Table61011[[#This Row],[entity_spawned (AVG)]])*(Table61011[[#This Row],[activating_chance]]/100),0)</f>
        <v>55</v>
      </c>
      <c r="BV348" s="71" t="str">
        <f ca="1">INDIRECT(ADDRESS(11+(MATCH(RIGHT(Table61011[[#This Row],[spawner_sku]],LEN(Table61011[[#This Row],[spawner_sku]])-FIND("/",Table61011[[#This Row],[spawner_sku]])),Table28[Entity Prefab],0)),24,1,1,"Entities"))</f>
        <v>yes</v>
      </c>
      <c r="BW348" s="71">
        <v>1</v>
      </c>
      <c r="BX348" s="71">
        <v>1</v>
      </c>
      <c r="BY348" s="71" t="b">
        <v>0</v>
      </c>
      <c r="BZ348" s="71"/>
      <c r="CA348" s="147" t="s">
        <v>3816</v>
      </c>
      <c r="CB348">
        <v>1</v>
      </c>
      <c r="CC348">
        <v>240</v>
      </c>
      <c r="CD348">
        <v>100</v>
      </c>
      <c r="CE348" s="74">
        <f ca="1">INDIRECT(ADDRESS(11+(MATCH(RIGHT(Table35[[#This Row],[spawner_sku]],LEN(Table35[[#This Row],[spawner_sku]])-FIND("/",Table35[[#This Row],[spawner_sku]])),Table1[Entity Prefab],0)),10,1,1,"Entities"))</f>
        <v>50</v>
      </c>
      <c r="CF348" s="74">
        <f ca="1">ROUND((Table35[[#This Row],[XP]]*Table35[[#This Row],[entity_spawned (AVG)]])*(Table35[[#This Row],[activating_chance]]/100),0)</f>
        <v>50</v>
      </c>
      <c r="CG348" s="144" t="str">
        <f ca="1">INDIRECT(ADDRESS(11+(MATCH(RIGHT(Table35[[#This Row],[spawner_sku]],LEN(Table35[[#This Row],[spawner_sku]])-FIND("/",Table35[[#This Row],[spawner_sku]])),Table28[Entity Prefab],0)),24,1,1,"Entities"))</f>
        <v>no</v>
      </c>
      <c r="CH348">
        <v>1</v>
      </c>
      <c r="CI348">
        <v>1</v>
      </c>
      <c r="CJ348" s="71" t="b">
        <v>0</v>
      </c>
      <c r="CL348" t="s">
        <v>233</v>
      </c>
      <c r="CM348">
        <v>1</v>
      </c>
      <c r="CN348">
        <v>500</v>
      </c>
      <c r="CO348">
        <v>75</v>
      </c>
      <c r="CP348" s="74">
        <f ca="1">INDIRECT(ADDRESS(11+(MATCH(RIGHT(Table11[[#This Row],[spawner_sku]],LEN(Table11[[#This Row],[spawner_sku]])-FIND("/",Table11[[#This Row],[spawner_sku]])),Table1[Entity Prefab],0)),10,1,1,"Entities"))</f>
        <v>25</v>
      </c>
      <c r="CQ348">
        <f ca="1">ROUND((Table11[[#This Row],[XP]]*Table11[[#This Row],[entity_spawned (AVG)]])*(Table11[[#This Row],[activating_chance]]/100),0)</f>
        <v>19</v>
      </c>
      <c r="CR348" s="144" t="str">
        <f ca="1">INDIRECT(ADDRESS(11+(MATCH(RIGHT(Table11[[#This Row],[spawner_sku]],LEN(Table11[[#This Row],[spawner_sku]])-FIND("/",Table11[[#This Row],[spawner_sku]])),Table28[Entity Prefab],0)),25,1,1,"Entities"))</f>
        <v>no</v>
      </c>
      <c r="CS348" s="71">
        <v>1</v>
      </c>
      <c r="CT348" s="71">
        <v>1</v>
      </c>
      <c r="CU348" s="71" t="b">
        <v>0</v>
      </c>
      <c r="DS348" t="s">
        <v>510</v>
      </c>
      <c r="DT348">
        <v>1</v>
      </c>
      <c r="DU348">
        <v>130</v>
      </c>
      <c r="DV348">
        <v>80</v>
      </c>
      <c r="DW348" s="74">
        <f ca="1">INDIRECT(ADDRESS(11+(MATCH(RIGHT(Table14[[#This Row],[spawner_sku]],LEN(Table14[[#This Row],[spawner_sku]])-FIND("/",Table14[[#This Row],[spawner_sku]])),Table1[Entity Prefab],0)),10,1,1,"Entities"))</f>
        <v>90</v>
      </c>
      <c r="DX348" s="74">
        <f ca="1">ROUND((Table14[[#This Row],[XP]]*Table14[[#This Row],[entity_spawned (AVG)]])*(Table14[[#This Row],[activating_chance]]/100),0)</f>
        <v>72</v>
      </c>
      <c r="DY348" s="144" t="str">
        <f ca="1">INDIRECT(ADDRESS(11+(MATCH(RIGHT(Table14[[#This Row],[spawner_sku]],LEN(Table14[[#This Row],[spawner_sku]])-FIND("/",Table14[[#This Row],[spawner_sku]])),Table28[Entity Prefab],0)),25,1,1,"Entities"))</f>
        <v>no</v>
      </c>
      <c r="DZ348" s="71">
        <v>1</v>
      </c>
      <c r="EA348" s="71">
        <v>1</v>
      </c>
      <c r="EB348" s="71" t="b">
        <v>0</v>
      </c>
      <c r="EC348" s="71"/>
    </row>
    <row r="349" spans="2:154" x14ac:dyDescent="0.25">
      <c r="B349" s="72" t="s">
        <v>231</v>
      </c>
      <c r="C349">
        <v>1</v>
      </c>
      <c r="D349">
        <v>240</v>
      </c>
      <c r="E349">
        <v>100</v>
      </c>
      <c r="F349" s="74">
        <f ca="1">INDIRECT(ADDRESS(11+(MATCH(RIGHT(Table245[[#This Row],[spawner_sku]],LEN(Table245[[#This Row],[spawner_sku]])-FIND("/",Table245[[#This Row],[spawner_sku]])),Table1[Entity Prefab],0)),10,1,1,"Entities"))</f>
        <v>25</v>
      </c>
      <c r="G349" s="74">
        <f ca="1">ROUND((Table245[[#This Row],[XP]]*Table245[[#This Row],[entity_spawned (AVG)]])*(Table245[[#This Row],[activating_chance]]/100),0)</f>
        <v>25</v>
      </c>
      <c r="H349" s="71" t="str">
        <f ca="1">INDIRECT(ADDRESS(11+(MATCH(RIGHT(Table245[[#This Row],[spawner_sku]],LEN(Table245[[#This Row],[spawner_sku]])-FIND("/",Table245[[#This Row],[spawner_sku]])),Table28[Entity Prefab],0)),24,1,1,"Entities"))</f>
        <v>yes</v>
      </c>
      <c r="I349" s="71">
        <v>1</v>
      </c>
      <c r="J349" s="71">
        <v>1</v>
      </c>
      <c r="K349" s="71" t="b">
        <v>0</v>
      </c>
      <c r="AI349" t="s">
        <v>241</v>
      </c>
      <c r="AJ349">
        <v>1</v>
      </c>
      <c r="AK349">
        <v>190</v>
      </c>
      <c r="AL349">
        <v>100</v>
      </c>
      <c r="AM349" s="74">
        <f ca="1">INDIRECT(ADDRESS(11+(MATCH(RIGHT(Table2[[#This Row],[spawner_sku]],LEN(Table2[[#This Row],[spawner_sku]])-FIND("/",Table2[[#This Row],[spawner_sku]])),Table1[Entity Prefab],0)),10,1,1,"Entities"))</f>
        <v>70</v>
      </c>
      <c r="AN349" s="74">
        <f ca="1">ROUND((Table2[[#This Row],[XP]]*Table2[[#This Row],[entity_spawned (AVG)]])*(Table2[[#This Row],[activating_chance]]/100),0)</f>
        <v>70</v>
      </c>
      <c r="AO349" s="71" t="str">
        <f ca="1">INDIRECT(ADDRESS(11+(MATCH(RIGHT(Table2[[#This Row],[spawner_sku]],LEN(Table2[[#This Row],[spawner_sku]])-FIND("/",Table2[[#This Row],[spawner_sku]])),Table28[Entity Prefab],0)),24,1,1,"Entities"))</f>
        <v>yes</v>
      </c>
      <c r="AP349" s="71">
        <v>1</v>
      </c>
      <c r="AQ349" s="71">
        <v>1</v>
      </c>
      <c r="AR349" s="71" t="b">
        <v>0</v>
      </c>
      <c r="BP349" t="s">
        <v>424</v>
      </c>
      <c r="BQ349">
        <v>1</v>
      </c>
      <c r="BR349">
        <v>210</v>
      </c>
      <c r="BS349">
        <v>100</v>
      </c>
      <c r="BT349" s="74">
        <f ca="1">INDIRECT(ADDRESS(11+(MATCH(RIGHT(Table61011[[#This Row],[spawner_sku]],LEN(Table61011[[#This Row],[spawner_sku]])-FIND("/",Table61011[[#This Row],[spawner_sku]])),Table1[Entity Prefab],0)),10,1,1,"Entities"))</f>
        <v>55</v>
      </c>
      <c r="BU349" s="74">
        <f ca="1">ROUND((Table61011[[#This Row],[XP]]*Table61011[[#This Row],[entity_spawned (AVG)]])*(Table61011[[#This Row],[activating_chance]]/100),0)</f>
        <v>55</v>
      </c>
      <c r="BV349" s="71" t="str">
        <f ca="1">INDIRECT(ADDRESS(11+(MATCH(RIGHT(Table61011[[#This Row],[spawner_sku]],LEN(Table61011[[#This Row],[spawner_sku]])-FIND("/",Table61011[[#This Row],[spawner_sku]])),Table28[Entity Prefab],0)),24,1,1,"Entities"))</f>
        <v>yes</v>
      </c>
      <c r="BW349" s="71">
        <v>1</v>
      </c>
      <c r="BX349" s="71">
        <v>1</v>
      </c>
      <c r="BY349" s="71" t="b">
        <v>0</v>
      </c>
      <c r="BZ349" s="71"/>
      <c r="CA349" s="147" t="s">
        <v>3816</v>
      </c>
      <c r="CB349">
        <v>1</v>
      </c>
      <c r="CC349">
        <v>240</v>
      </c>
      <c r="CD349">
        <v>100</v>
      </c>
      <c r="CE349" s="74">
        <f ca="1">INDIRECT(ADDRESS(11+(MATCH(RIGHT(Table35[[#This Row],[spawner_sku]],LEN(Table35[[#This Row],[spawner_sku]])-FIND("/",Table35[[#This Row],[spawner_sku]])),Table1[Entity Prefab],0)),10,1,1,"Entities"))</f>
        <v>50</v>
      </c>
      <c r="CF349" s="74">
        <f ca="1">ROUND((Table35[[#This Row],[XP]]*Table35[[#This Row],[entity_spawned (AVG)]])*(Table35[[#This Row],[activating_chance]]/100),0)</f>
        <v>50</v>
      </c>
      <c r="CG349" s="144" t="str">
        <f ca="1">INDIRECT(ADDRESS(11+(MATCH(RIGHT(Table35[[#This Row],[spawner_sku]],LEN(Table35[[#This Row],[spawner_sku]])-FIND("/",Table35[[#This Row],[spawner_sku]])),Table28[Entity Prefab],0)),24,1,1,"Entities"))</f>
        <v>no</v>
      </c>
      <c r="CH349">
        <v>1</v>
      </c>
      <c r="CI349">
        <v>1</v>
      </c>
      <c r="CJ349" s="71" t="b">
        <v>0</v>
      </c>
      <c r="CL349" t="s">
        <v>233</v>
      </c>
      <c r="CM349">
        <v>1</v>
      </c>
      <c r="CN349">
        <v>500</v>
      </c>
      <c r="CO349">
        <v>50</v>
      </c>
      <c r="CP349" s="74">
        <f ca="1">INDIRECT(ADDRESS(11+(MATCH(RIGHT(Table11[[#This Row],[spawner_sku]],LEN(Table11[[#This Row],[spawner_sku]])-FIND("/",Table11[[#This Row],[spawner_sku]])),Table1[Entity Prefab],0)),10,1,1,"Entities"))</f>
        <v>25</v>
      </c>
      <c r="CQ349">
        <f ca="1">ROUND((Table11[[#This Row],[XP]]*Table11[[#This Row],[entity_spawned (AVG)]])*(Table11[[#This Row],[activating_chance]]/100),0)</f>
        <v>13</v>
      </c>
      <c r="CR349" s="144" t="str">
        <f ca="1">INDIRECT(ADDRESS(11+(MATCH(RIGHT(Table11[[#This Row],[spawner_sku]],LEN(Table11[[#This Row],[spawner_sku]])-FIND("/",Table11[[#This Row],[spawner_sku]])),Table28[Entity Prefab],0)),25,1,1,"Entities"))</f>
        <v>no</v>
      </c>
      <c r="CS349" s="71">
        <v>1</v>
      </c>
      <c r="CT349" s="71">
        <v>1</v>
      </c>
      <c r="CU349" s="71" t="b">
        <v>0</v>
      </c>
      <c r="DS349" t="s">
        <v>510</v>
      </c>
      <c r="DT349">
        <v>1</v>
      </c>
      <c r="DU349">
        <v>135</v>
      </c>
      <c r="DV349">
        <v>100</v>
      </c>
      <c r="DW349" s="74">
        <f ca="1">INDIRECT(ADDRESS(11+(MATCH(RIGHT(Table14[[#This Row],[spawner_sku]],LEN(Table14[[#This Row],[spawner_sku]])-FIND("/",Table14[[#This Row],[spawner_sku]])),Table1[Entity Prefab],0)),10,1,1,"Entities"))</f>
        <v>90</v>
      </c>
      <c r="DX349" s="74">
        <f ca="1">ROUND((Table14[[#This Row],[XP]]*Table14[[#This Row],[entity_spawned (AVG)]])*(Table14[[#This Row],[activating_chance]]/100),0)</f>
        <v>90</v>
      </c>
      <c r="DY349" s="144" t="str">
        <f ca="1">INDIRECT(ADDRESS(11+(MATCH(RIGHT(Table14[[#This Row],[spawner_sku]],LEN(Table14[[#This Row],[spawner_sku]])-FIND("/",Table14[[#This Row],[spawner_sku]])),Table28[Entity Prefab],0)),25,1,1,"Entities"))</f>
        <v>no</v>
      </c>
      <c r="DZ349" s="71">
        <v>1</v>
      </c>
      <c r="EA349" s="71">
        <v>1</v>
      </c>
      <c r="EB349" s="71" t="b">
        <v>0</v>
      </c>
      <c r="EC349" s="71"/>
    </row>
    <row r="350" spans="2:154" x14ac:dyDescent="0.25">
      <c r="B350" s="72" t="s">
        <v>231</v>
      </c>
      <c r="C350">
        <v>1</v>
      </c>
      <c r="D350">
        <v>200</v>
      </c>
      <c r="E350">
        <v>100</v>
      </c>
      <c r="F350" s="74">
        <f ca="1">INDIRECT(ADDRESS(11+(MATCH(RIGHT(Table245[[#This Row],[spawner_sku]],LEN(Table245[[#This Row],[spawner_sku]])-FIND("/",Table245[[#This Row],[spawner_sku]])),Table1[Entity Prefab],0)),10,1,1,"Entities"))</f>
        <v>25</v>
      </c>
      <c r="G350" s="74">
        <f ca="1">ROUND((Table245[[#This Row],[XP]]*Table245[[#This Row],[entity_spawned (AVG)]])*(Table245[[#This Row],[activating_chance]]/100),0)</f>
        <v>25</v>
      </c>
      <c r="H350" s="71" t="str">
        <f ca="1">INDIRECT(ADDRESS(11+(MATCH(RIGHT(Table245[[#This Row],[spawner_sku]],LEN(Table245[[#This Row],[spawner_sku]])-FIND("/",Table245[[#This Row],[spawner_sku]])),Table28[Entity Prefab],0)),24,1,1,"Entities"))</f>
        <v>yes</v>
      </c>
      <c r="I350" s="71">
        <v>1</v>
      </c>
      <c r="J350" s="71">
        <v>1</v>
      </c>
      <c r="K350" s="71" t="b">
        <v>0</v>
      </c>
      <c r="AI350" t="s">
        <v>241</v>
      </c>
      <c r="AJ350">
        <v>1</v>
      </c>
      <c r="AK350">
        <v>190</v>
      </c>
      <c r="AL350">
        <v>100</v>
      </c>
      <c r="AM350" s="74">
        <f ca="1">INDIRECT(ADDRESS(11+(MATCH(RIGHT(Table2[[#This Row],[spawner_sku]],LEN(Table2[[#This Row],[spawner_sku]])-FIND("/",Table2[[#This Row],[spawner_sku]])),Table1[Entity Prefab],0)),10,1,1,"Entities"))</f>
        <v>70</v>
      </c>
      <c r="AN350" s="74">
        <f ca="1">ROUND((Table2[[#This Row],[XP]]*Table2[[#This Row],[entity_spawned (AVG)]])*(Table2[[#This Row],[activating_chance]]/100),0)</f>
        <v>70</v>
      </c>
      <c r="AO350" s="71" t="str">
        <f ca="1">INDIRECT(ADDRESS(11+(MATCH(RIGHT(Table2[[#This Row],[spawner_sku]],LEN(Table2[[#This Row],[spawner_sku]])-FIND("/",Table2[[#This Row],[spawner_sku]])),Table28[Entity Prefab],0)),24,1,1,"Entities"))</f>
        <v>yes</v>
      </c>
      <c r="AP350" s="71">
        <v>1</v>
      </c>
      <c r="AQ350" s="71">
        <v>1</v>
      </c>
      <c r="AR350" s="71" t="b">
        <v>0</v>
      </c>
      <c r="BP350" t="s">
        <v>433</v>
      </c>
      <c r="BQ350">
        <v>1</v>
      </c>
      <c r="BR350">
        <v>310</v>
      </c>
      <c r="BS350">
        <v>100</v>
      </c>
      <c r="BT350" s="74">
        <f ca="1">INDIRECT(ADDRESS(11+(MATCH(RIGHT(Table61011[[#This Row],[spawner_sku]],LEN(Table61011[[#This Row],[spawner_sku]])-FIND("/",Table61011[[#This Row],[spawner_sku]])),Table1[Entity Prefab],0)),10,1,1,"Entities"))</f>
        <v>55</v>
      </c>
      <c r="BU350" s="74">
        <f ca="1">ROUND((Table61011[[#This Row],[XP]]*Table61011[[#This Row],[entity_spawned (AVG)]])*(Table61011[[#This Row],[activating_chance]]/100),0)</f>
        <v>55</v>
      </c>
      <c r="BV350" s="71" t="str">
        <f ca="1">INDIRECT(ADDRESS(11+(MATCH(RIGHT(Table61011[[#This Row],[spawner_sku]],LEN(Table61011[[#This Row],[spawner_sku]])-FIND("/",Table61011[[#This Row],[spawner_sku]])),Table28[Entity Prefab],0)),24,1,1,"Entities"))</f>
        <v>yes</v>
      </c>
      <c r="BW350" s="71">
        <v>1</v>
      </c>
      <c r="BX350" s="71">
        <v>1</v>
      </c>
      <c r="BY350" s="71" t="b">
        <v>0</v>
      </c>
      <c r="BZ350" s="71"/>
      <c r="CA350" s="147" t="s">
        <v>3816</v>
      </c>
      <c r="CB350">
        <v>1</v>
      </c>
      <c r="CC350">
        <v>240</v>
      </c>
      <c r="CD350">
        <v>100</v>
      </c>
      <c r="CE350" s="74">
        <f ca="1">INDIRECT(ADDRESS(11+(MATCH(RIGHT(Table35[[#This Row],[spawner_sku]],LEN(Table35[[#This Row],[spawner_sku]])-FIND("/",Table35[[#This Row],[spawner_sku]])),Table1[Entity Prefab],0)),10,1,1,"Entities"))</f>
        <v>50</v>
      </c>
      <c r="CF350" s="74">
        <f ca="1">ROUND((Table35[[#This Row],[XP]]*Table35[[#This Row],[entity_spawned (AVG)]])*(Table35[[#This Row],[activating_chance]]/100),0)</f>
        <v>50</v>
      </c>
      <c r="CG350" s="144" t="str">
        <f ca="1">INDIRECT(ADDRESS(11+(MATCH(RIGHT(Table35[[#This Row],[spawner_sku]],LEN(Table35[[#This Row],[spawner_sku]])-FIND("/",Table35[[#This Row],[spawner_sku]])),Table28[Entity Prefab],0)),24,1,1,"Entities"))</f>
        <v>no</v>
      </c>
      <c r="CH350">
        <v>1</v>
      </c>
      <c r="CI350">
        <v>1</v>
      </c>
      <c r="CJ350" s="71" t="b">
        <v>0</v>
      </c>
      <c r="CL350" t="s">
        <v>233</v>
      </c>
      <c r="CM350">
        <v>1</v>
      </c>
      <c r="CN350">
        <v>500</v>
      </c>
      <c r="CO350">
        <v>50</v>
      </c>
      <c r="CP350" s="74">
        <f ca="1">INDIRECT(ADDRESS(11+(MATCH(RIGHT(Table11[[#This Row],[spawner_sku]],LEN(Table11[[#This Row],[spawner_sku]])-FIND("/",Table11[[#This Row],[spawner_sku]])),Table1[Entity Prefab],0)),10,1,1,"Entities"))</f>
        <v>25</v>
      </c>
      <c r="CQ350">
        <f ca="1">ROUND((Table11[[#This Row],[XP]]*Table11[[#This Row],[entity_spawned (AVG)]])*(Table11[[#This Row],[activating_chance]]/100),0)</f>
        <v>13</v>
      </c>
      <c r="CR350" s="144" t="str">
        <f ca="1">INDIRECT(ADDRESS(11+(MATCH(RIGHT(Table11[[#This Row],[spawner_sku]],LEN(Table11[[#This Row],[spawner_sku]])-FIND("/",Table11[[#This Row],[spawner_sku]])),Table28[Entity Prefab],0)),25,1,1,"Entities"))</f>
        <v>no</v>
      </c>
      <c r="CS350" s="71">
        <v>1</v>
      </c>
      <c r="CT350" s="71">
        <v>1</v>
      </c>
      <c r="CU350" s="71" t="b">
        <v>0</v>
      </c>
      <c r="DS350" t="s">
        <v>510</v>
      </c>
      <c r="DT350">
        <v>1</v>
      </c>
      <c r="DU350">
        <v>130</v>
      </c>
      <c r="DV350">
        <v>10</v>
      </c>
      <c r="DW350" s="74">
        <f ca="1">INDIRECT(ADDRESS(11+(MATCH(RIGHT(Table14[[#This Row],[spawner_sku]],LEN(Table14[[#This Row],[spawner_sku]])-FIND("/",Table14[[#This Row],[spawner_sku]])),Table1[Entity Prefab],0)),10,1,1,"Entities"))</f>
        <v>90</v>
      </c>
      <c r="DX350" s="74">
        <f ca="1">ROUND((Table14[[#This Row],[XP]]*Table14[[#This Row],[entity_spawned (AVG)]])*(Table14[[#This Row],[activating_chance]]/100),0)</f>
        <v>9</v>
      </c>
      <c r="DY350" s="144" t="str">
        <f ca="1">INDIRECT(ADDRESS(11+(MATCH(RIGHT(Table14[[#This Row],[spawner_sku]],LEN(Table14[[#This Row],[spawner_sku]])-FIND("/",Table14[[#This Row],[spawner_sku]])),Table28[Entity Prefab],0)),25,1,1,"Entities"))</f>
        <v>no</v>
      </c>
      <c r="DZ350" s="71">
        <v>1</v>
      </c>
      <c r="EA350" s="71">
        <v>1</v>
      </c>
      <c r="EB350" s="71" t="b">
        <v>0</v>
      </c>
      <c r="EC350" s="71"/>
    </row>
    <row r="351" spans="2:154" x14ac:dyDescent="0.25">
      <c r="B351" s="72" t="s">
        <v>231</v>
      </c>
      <c r="C351">
        <v>1</v>
      </c>
      <c r="D351">
        <v>220</v>
      </c>
      <c r="E351">
        <v>100</v>
      </c>
      <c r="F351" s="74">
        <f ca="1">INDIRECT(ADDRESS(11+(MATCH(RIGHT(Table245[[#This Row],[spawner_sku]],LEN(Table245[[#This Row],[spawner_sku]])-FIND("/",Table245[[#This Row],[spawner_sku]])),Table1[Entity Prefab],0)),10,1,1,"Entities"))</f>
        <v>25</v>
      </c>
      <c r="G351" s="74">
        <f ca="1">ROUND((Table245[[#This Row],[XP]]*Table245[[#This Row],[entity_spawned (AVG)]])*(Table245[[#This Row],[activating_chance]]/100),0)</f>
        <v>25</v>
      </c>
      <c r="H351" s="71" t="str">
        <f ca="1">INDIRECT(ADDRESS(11+(MATCH(RIGHT(Table245[[#This Row],[spawner_sku]],LEN(Table245[[#This Row],[spawner_sku]])-FIND("/",Table245[[#This Row],[spawner_sku]])),Table28[Entity Prefab],0)),24,1,1,"Entities"))</f>
        <v>yes</v>
      </c>
      <c r="I351" s="71">
        <v>1</v>
      </c>
      <c r="J351" s="71">
        <v>1</v>
      </c>
      <c r="K351" s="71" t="b">
        <v>0</v>
      </c>
      <c r="AI351" t="s">
        <v>241</v>
      </c>
      <c r="AJ351">
        <v>1</v>
      </c>
      <c r="AK351">
        <v>190</v>
      </c>
      <c r="AL351">
        <v>40</v>
      </c>
      <c r="AM351" s="74">
        <f ca="1">INDIRECT(ADDRESS(11+(MATCH(RIGHT(Table2[[#This Row],[spawner_sku]],LEN(Table2[[#This Row],[spawner_sku]])-FIND("/",Table2[[#This Row],[spawner_sku]])),Table1[Entity Prefab],0)),10,1,1,"Entities"))</f>
        <v>70</v>
      </c>
      <c r="AN351" s="74">
        <f ca="1">ROUND((Table2[[#This Row],[XP]]*Table2[[#This Row],[entity_spawned (AVG)]])*(Table2[[#This Row],[activating_chance]]/100),0)</f>
        <v>28</v>
      </c>
      <c r="AO351" s="71" t="str">
        <f ca="1">INDIRECT(ADDRESS(11+(MATCH(RIGHT(Table2[[#This Row],[spawner_sku]],LEN(Table2[[#This Row],[spawner_sku]])-FIND("/",Table2[[#This Row],[spawner_sku]])),Table28[Entity Prefab],0)),24,1,1,"Entities"))</f>
        <v>yes</v>
      </c>
      <c r="AP351" s="71">
        <v>1</v>
      </c>
      <c r="AQ351" s="71">
        <v>1</v>
      </c>
      <c r="AR351" s="71" t="b">
        <v>0</v>
      </c>
      <c r="BP351" t="s">
        <v>433</v>
      </c>
      <c r="BQ351">
        <v>1</v>
      </c>
      <c r="BR351">
        <v>310</v>
      </c>
      <c r="BS351">
        <v>100</v>
      </c>
      <c r="BT351" s="74">
        <f ca="1">INDIRECT(ADDRESS(11+(MATCH(RIGHT(Table61011[[#This Row],[spawner_sku]],LEN(Table61011[[#This Row],[spawner_sku]])-FIND("/",Table61011[[#This Row],[spawner_sku]])),Table1[Entity Prefab],0)),10,1,1,"Entities"))</f>
        <v>55</v>
      </c>
      <c r="BU351" s="74">
        <f ca="1">ROUND((Table61011[[#This Row],[XP]]*Table61011[[#This Row],[entity_spawned (AVG)]])*(Table61011[[#This Row],[activating_chance]]/100),0)</f>
        <v>55</v>
      </c>
      <c r="BV351" s="71" t="str">
        <f ca="1">INDIRECT(ADDRESS(11+(MATCH(RIGHT(Table61011[[#This Row],[spawner_sku]],LEN(Table61011[[#This Row],[spawner_sku]])-FIND("/",Table61011[[#This Row],[spawner_sku]])),Table28[Entity Prefab],0)),24,1,1,"Entities"))</f>
        <v>yes</v>
      </c>
      <c r="BW351" s="71">
        <v>1</v>
      </c>
      <c r="BX351" s="71">
        <v>1</v>
      </c>
      <c r="BY351" s="71" t="b">
        <v>0</v>
      </c>
      <c r="BZ351" s="71"/>
      <c r="CA351" s="147" t="s">
        <v>3816</v>
      </c>
      <c r="CB351">
        <v>1</v>
      </c>
      <c r="CC351">
        <v>240</v>
      </c>
      <c r="CD351">
        <v>100</v>
      </c>
      <c r="CE351" s="74">
        <f ca="1">INDIRECT(ADDRESS(11+(MATCH(RIGHT(Table35[[#This Row],[spawner_sku]],LEN(Table35[[#This Row],[spawner_sku]])-FIND("/",Table35[[#This Row],[spawner_sku]])),Table1[Entity Prefab],0)),10,1,1,"Entities"))</f>
        <v>50</v>
      </c>
      <c r="CF351" s="74">
        <f ca="1">ROUND((Table35[[#This Row],[XP]]*Table35[[#This Row],[entity_spawned (AVG)]])*(Table35[[#This Row],[activating_chance]]/100),0)</f>
        <v>50</v>
      </c>
      <c r="CG351" s="144" t="str">
        <f ca="1">INDIRECT(ADDRESS(11+(MATCH(RIGHT(Table35[[#This Row],[spawner_sku]],LEN(Table35[[#This Row],[spawner_sku]])-FIND("/",Table35[[#This Row],[spawner_sku]])),Table28[Entity Prefab],0)),24,1,1,"Entities"))</f>
        <v>no</v>
      </c>
      <c r="CH351">
        <v>1</v>
      </c>
      <c r="CI351">
        <v>1</v>
      </c>
      <c r="CJ351" s="71" t="b">
        <v>0</v>
      </c>
      <c r="CL351" t="s">
        <v>233</v>
      </c>
      <c r="CM351">
        <v>1</v>
      </c>
      <c r="CN351">
        <v>500</v>
      </c>
      <c r="CO351">
        <v>50</v>
      </c>
      <c r="CP351" s="74">
        <f ca="1">INDIRECT(ADDRESS(11+(MATCH(RIGHT(Table11[[#This Row],[spawner_sku]],LEN(Table11[[#This Row],[spawner_sku]])-FIND("/",Table11[[#This Row],[spawner_sku]])),Table1[Entity Prefab],0)),10,1,1,"Entities"))</f>
        <v>25</v>
      </c>
      <c r="CQ351">
        <f ca="1">ROUND((Table11[[#This Row],[XP]]*Table11[[#This Row],[entity_spawned (AVG)]])*(Table11[[#This Row],[activating_chance]]/100),0)</f>
        <v>13</v>
      </c>
      <c r="CR351" s="144" t="str">
        <f ca="1">INDIRECT(ADDRESS(11+(MATCH(RIGHT(Table11[[#This Row],[spawner_sku]],LEN(Table11[[#This Row],[spawner_sku]])-FIND("/",Table11[[#This Row],[spawner_sku]])),Table28[Entity Prefab],0)),25,1,1,"Entities"))</f>
        <v>no</v>
      </c>
      <c r="CS351" s="71">
        <v>1</v>
      </c>
      <c r="CT351" s="71">
        <v>1</v>
      </c>
      <c r="CU351" s="71" t="b">
        <v>0</v>
      </c>
      <c r="DS351" t="s">
        <v>510</v>
      </c>
      <c r="DT351">
        <v>2</v>
      </c>
      <c r="DU351">
        <v>145</v>
      </c>
      <c r="DV351">
        <v>100</v>
      </c>
      <c r="DW351" s="74">
        <f ca="1">INDIRECT(ADDRESS(11+(MATCH(RIGHT(Table14[[#This Row],[spawner_sku]],LEN(Table14[[#This Row],[spawner_sku]])-FIND("/",Table14[[#This Row],[spawner_sku]])),Table1[Entity Prefab],0)),10,1,1,"Entities"))</f>
        <v>90</v>
      </c>
      <c r="DX351" s="74">
        <f ca="1">ROUND((Table14[[#This Row],[XP]]*Table14[[#This Row],[entity_spawned (AVG)]])*(Table14[[#This Row],[activating_chance]]/100),0)</f>
        <v>180</v>
      </c>
      <c r="DY351" s="144" t="str">
        <f ca="1">INDIRECT(ADDRESS(11+(MATCH(RIGHT(Table14[[#This Row],[spawner_sku]],LEN(Table14[[#This Row],[spawner_sku]])-FIND("/",Table14[[#This Row],[spawner_sku]])),Table28[Entity Prefab],0)),25,1,1,"Entities"))</f>
        <v>no</v>
      </c>
      <c r="DZ351" s="71">
        <v>2</v>
      </c>
      <c r="EA351" s="71">
        <v>2</v>
      </c>
      <c r="EB351" s="71" t="b">
        <v>0</v>
      </c>
      <c r="EC351" s="71"/>
    </row>
    <row r="352" spans="2:154" x14ac:dyDescent="0.25">
      <c r="B352" s="72" t="s">
        <v>231</v>
      </c>
      <c r="C352">
        <v>1</v>
      </c>
      <c r="D352">
        <v>180</v>
      </c>
      <c r="E352">
        <v>80</v>
      </c>
      <c r="F352" s="74">
        <f ca="1">INDIRECT(ADDRESS(11+(MATCH(RIGHT(Table245[[#This Row],[spawner_sku]],LEN(Table245[[#This Row],[spawner_sku]])-FIND("/",Table245[[#This Row],[spawner_sku]])),Table1[Entity Prefab],0)),10,1,1,"Entities"))</f>
        <v>25</v>
      </c>
      <c r="G352" s="74">
        <f ca="1">ROUND((Table245[[#This Row],[XP]]*Table245[[#This Row],[entity_spawned (AVG)]])*(Table245[[#This Row],[activating_chance]]/100),0)</f>
        <v>20</v>
      </c>
      <c r="H352" s="71" t="str">
        <f ca="1">INDIRECT(ADDRESS(11+(MATCH(RIGHT(Table245[[#This Row],[spawner_sku]],LEN(Table245[[#This Row],[spawner_sku]])-FIND("/",Table245[[#This Row],[spawner_sku]])),Table28[Entity Prefab],0)),24,1,1,"Entities"))</f>
        <v>yes</v>
      </c>
      <c r="I352" s="71">
        <v>1</v>
      </c>
      <c r="J352" s="71">
        <v>1</v>
      </c>
      <c r="K352" s="71" t="b">
        <v>0</v>
      </c>
      <c r="AI352" t="s">
        <v>241</v>
      </c>
      <c r="AJ352">
        <v>1</v>
      </c>
      <c r="AK352">
        <v>190</v>
      </c>
      <c r="AL352">
        <v>100</v>
      </c>
      <c r="AM352" s="74">
        <f ca="1">INDIRECT(ADDRESS(11+(MATCH(RIGHT(Table2[[#This Row],[spawner_sku]],LEN(Table2[[#This Row],[spawner_sku]])-FIND("/",Table2[[#This Row],[spawner_sku]])),Table1[Entity Prefab],0)),10,1,1,"Entities"))</f>
        <v>70</v>
      </c>
      <c r="AN352" s="74">
        <f ca="1">ROUND((Table2[[#This Row],[XP]]*Table2[[#This Row],[entity_spawned (AVG)]])*(Table2[[#This Row],[activating_chance]]/100),0)</f>
        <v>70</v>
      </c>
      <c r="AO352" s="71" t="str">
        <f ca="1">INDIRECT(ADDRESS(11+(MATCH(RIGHT(Table2[[#This Row],[spawner_sku]],LEN(Table2[[#This Row],[spawner_sku]])-FIND("/",Table2[[#This Row],[spawner_sku]])),Table28[Entity Prefab],0)),24,1,1,"Entities"))</f>
        <v>yes</v>
      </c>
      <c r="AP352" s="71">
        <v>1</v>
      </c>
      <c r="AQ352" s="71">
        <v>1</v>
      </c>
      <c r="AR352" s="71" t="b">
        <v>0</v>
      </c>
      <c r="BP352" t="s">
        <v>433</v>
      </c>
      <c r="BQ352">
        <v>1</v>
      </c>
      <c r="BR352">
        <v>210</v>
      </c>
      <c r="BS352">
        <v>100</v>
      </c>
      <c r="BT352" s="74">
        <f ca="1">INDIRECT(ADDRESS(11+(MATCH(RIGHT(Table61011[[#This Row],[spawner_sku]],LEN(Table61011[[#This Row],[spawner_sku]])-FIND("/",Table61011[[#This Row],[spawner_sku]])),Table1[Entity Prefab],0)),10,1,1,"Entities"))</f>
        <v>55</v>
      </c>
      <c r="BU352" s="74">
        <f ca="1">ROUND((Table61011[[#This Row],[XP]]*Table61011[[#This Row],[entity_spawned (AVG)]])*(Table61011[[#This Row],[activating_chance]]/100),0)</f>
        <v>55</v>
      </c>
      <c r="BV352" s="71" t="str">
        <f ca="1">INDIRECT(ADDRESS(11+(MATCH(RIGHT(Table61011[[#This Row],[spawner_sku]],LEN(Table61011[[#This Row],[spawner_sku]])-FIND("/",Table61011[[#This Row],[spawner_sku]])),Table28[Entity Prefab],0)),24,1,1,"Entities"))</f>
        <v>yes</v>
      </c>
      <c r="BW352" s="71">
        <v>1</v>
      </c>
      <c r="BX352" s="71">
        <v>1</v>
      </c>
      <c r="BY352" s="71" t="b">
        <v>0</v>
      </c>
      <c r="BZ352" s="71"/>
      <c r="CA352" s="147" t="s">
        <v>3816</v>
      </c>
      <c r="CB352">
        <v>1</v>
      </c>
      <c r="CC352">
        <v>240</v>
      </c>
      <c r="CD352">
        <v>100</v>
      </c>
      <c r="CE352" s="74">
        <f ca="1">INDIRECT(ADDRESS(11+(MATCH(RIGHT(Table35[[#This Row],[spawner_sku]],LEN(Table35[[#This Row],[spawner_sku]])-FIND("/",Table35[[#This Row],[spawner_sku]])),Table1[Entity Prefab],0)),10,1,1,"Entities"))</f>
        <v>50</v>
      </c>
      <c r="CF352" s="74">
        <f ca="1">ROUND((Table35[[#This Row],[XP]]*Table35[[#This Row],[entity_spawned (AVG)]])*(Table35[[#This Row],[activating_chance]]/100),0)</f>
        <v>50</v>
      </c>
      <c r="CG352" s="144" t="str">
        <f ca="1">INDIRECT(ADDRESS(11+(MATCH(RIGHT(Table35[[#This Row],[spawner_sku]],LEN(Table35[[#This Row],[spawner_sku]])-FIND("/",Table35[[#This Row],[spawner_sku]])),Table28[Entity Prefab],0)),24,1,1,"Entities"))</f>
        <v>no</v>
      </c>
      <c r="CH352">
        <v>1</v>
      </c>
      <c r="CI352">
        <v>1</v>
      </c>
      <c r="CJ352" s="71" t="b">
        <v>0</v>
      </c>
      <c r="CL352" t="s">
        <v>233</v>
      </c>
      <c r="CM352">
        <v>1</v>
      </c>
      <c r="CN352">
        <v>500</v>
      </c>
      <c r="CO352">
        <v>100</v>
      </c>
      <c r="CP352" s="74">
        <f ca="1">INDIRECT(ADDRESS(11+(MATCH(RIGHT(Table11[[#This Row],[spawner_sku]],LEN(Table11[[#This Row],[spawner_sku]])-FIND("/",Table11[[#This Row],[spawner_sku]])),Table1[Entity Prefab],0)),10,1,1,"Entities"))</f>
        <v>25</v>
      </c>
      <c r="CQ352">
        <f ca="1">ROUND((Table11[[#This Row],[XP]]*Table11[[#This Row],[entity_spawned (AVG)]])*(Table11[[#This Row],[activating_chance]]/100),0)</f>
        <v>25</v>
      </c>
      <c r="CR352" s="144" t="str">
        <f ca="1">INDIRECT(ADDRESS(11+(MATCH(RIGHT(Table11[[#This Row],[spawner_sku]],LEN(Table11[[#This Row],[spawner_sku]])-FIND("/",Table11[[#This Row],[spawner_sku]])),Table28[Entity Prefab],0)),25,1,1,"Entities"))</f>
        <v>no</v>
      </c>
      <c r="CS352" s="71">
        <v>1</v>
      </c>
      <c r="CT352" s="71">
        <v>1</v>
      </c>
      <c r="CU352" s="71" t="b">
        <v>0</v>
      </c>
      <c r="DS352" t="s">
        <v>510</v>
      </c>
      <c r="DT352">
        <v>1</v>
      </c>
      <c r="DU352">
        <v>100</v>
      </c>
      <c r="DV352">
        <v>100</v>
      </c>
      <c r="DW352" s="74">
        <f ca="1">INDIRECT(ADDRESS(11+(MATCH(RIGHT(Table14[[#This Row],[spawner_sku]],LEN(Table14[[#This Row],[spawner_sku]])-FIND("/",Table14[[#This Row],[spawner_sku]])),Table1[Entity Prefab],0)),10,1,1,"Entities"))</f>
        <v>90</v>
      </c>
      <c r="DX352" s="74">
        <f ca="1">ROUND((Table14[[#This Row],[XP]]*Table14[[#This Row],[entity_spawned (AVG)]])*(Table14[[#This Row],[activating_chance]]/100),0)</f>
        <v>90</v>
      </c>
      <c r="DY352" s="144" t="str">
        <f ca="1">INDIRECT(ADDRESS(11+(MATCH(RIGHT(Table14[[#This Row],[spawner_sku]],LEN(Table14[[#This Row],[spawner_sku]])-FIND("/",Table14[[#This Row],[spawner_sku]])),Table28[Entity Prefab],0)),25,1,1,"Entities"))</f>
        <v>no</v>
      </c>
      <c r="DZ352" s="71">
        <v>1</v>
      </c>
      <c r="EA352" s="71">
        <v>1</v>
      </c>
      <c r="EB352" s="71" t="b">
        <v>0</v>
      </c>
      <c r="EC352" s="71"/>
    </row>
    <row r="353" spans="2:133" x14ac:dyDescent="0.25">
      <c r="B353" s="72" t="s">
        <v>231</v>
      </c>
      <c r="C353">
        <v>1</v>
      </c>
      <c r="D353">
        <v>240</v>
      </c>
      <c r="E353">
        <v>100</v>
      </c>
      <c r="F353" s="74">
        <f ca="1">INDIRECT(ADDRESS(11+(MATCH(RIGHT(Table245[[#This Row],[spawner_sku]],LEN(Table245[[#This Row],[spawner_sku]])-FIND("/",Table245[[#This Row],[spawner_sku]])),Table1[Entity Prefab],0)),10,1,1,"Entities"))</f>
        <v>25</v>
      </c>
      <c r="G353" s="74">
        <f ca="1">ROUND((Table245[[#This Row],[XP]]*Table245[[#This Row],[entity_spawned (AVG)]])*(Table245[[#This Row],[activating_chance]]/100),0)</f>
        <v>25</v>
      </c>
      <c r="H353" s="71" t="str">
        <f ca="1">INDIRECT(ADDRESS(11+(MATCH(RIGHT(Table245[[#This Row],[spawner_sku]],LEN(Table245[[#This Row],[spawner_sku]])-FIND("/",Table245[[#This Row],[spawner_sku]])),Table28[Entity Prefab],0)),24,1,1,"Entities"))</f>
        <v>yes</v>
      </c>
      <c r="I353" s="71">
        <v>1</v>
      </c>
      <c r="J353" s="71">
        <v>1</v>
      </c>
      <c r="K353" s="71" t="b">
        <v>0</v>
      </c>
      <c r="AI353" t="s">
        <v>241</v>
      </c>
      <c r="AJ353">
        <v>1</v>
      </c>
      <c r="AK353">
        <v>110</v>
      </c>
      <c r="AL353">
        <v>100</v>
      </c>
      <c r="AM353" s="74">
        <f ca="1">INDIRECT(ADDRESS(11+(MATCH(RIGHT(Table2[[#This Row],[spawner_sku]],LEN(Table2[[#This Row],[spawner_sku]])-FIND("/",Table2[[#This Row],[spawner_sku]])),Table1[Entity Prefab],0)),10,1,1,"Entities"))</f>
        <v>70</v>
      </c>
      <c r="AN353" s="74">
        <f ca="1">ROUND((Table2[[#This Row],[XP]]*Table2[[#This Row],[entity_spawned (AVG)]])*(Table2[[#This Row],[activating_chance]]/100),0)</f>
        <v>70</v>
      </c>
      <c r="AO353" s="71" t="str">
        <f ca="1">INDIRECT(ADDRESS(11+(MATCH(RIGHT(Table2[[#This Row],[spawner_sku]],LEN(Table2[[#This Row],[spawner_sku]])-FIND("/",Table2[[#This Row],[spawner_sku]])),Table28[Entity Prefab],0)),24,1,1,"Entities"))</f>
        <v>yes</v>
      </c>
      <c r="AP353" s="71">
        <v>1</v>
      </c>
      <c r="AQ353" s="71">
        <v>1</v>
      </c>
      <c r="AR353" s="71" t="b">
        <v>0</v>
      </c>
      <c r="BP353" t="s">
        <v>237</v>
      </c>
      <c r="BQ353">
        <v>1</v>
      </c>
      <c r="BR353">
        <v>230</v>
      </c>
      <c r="BS353">
        <v>100</v>
      </c>
      <c r="BT353" s="74">
        <f ca="1">INDIRECT(ADDRESS(11+(MATCH(RIGHT(Table61011[[#This Row],[spawner_sku]],LEN(Table61011[[#This Row],[spawner_sku]])-FIND("/",Table61011[[#This Row],[spawner_sku]])),Table1[Entity Prefab],0)),10,1,1,"Entities"))</f>
        <v>83</v>
      </c>
      <c r="BU353" s="74">
        <f ca="1">ROUND((Table61011[[#This Row],[XP]]*Table61011[[#This Row],[entity_spawned (AVG)]])*(Table61011[[#This Row],[activating_chance]]/100),0)</f>
        <v>83</v>
      </c>
      <c r="BV353" s="71" t="str">
        <f ca="1">INDIRECT(ADDRESS(11+(MATCH(RIGHT(Table61011[[#This Row],[spawner_sku]],LEN(Table61011[[#This Row],[spawner_sku]])-FIND("/",Table61011[[#This Row],[spawner_sku]])),Table28[Entity Prefab],0)),24,1,1,"Entities"))</f>
        <v>no</v>
      </c>
      <c r="BW353" s="71">
        <v>1</v>
      </c>
      <c r="BX353" s="71">
        <v>1</v>
      </c>
      <c r="BY353" s="71" t="b">
        <v>0</v>
      </c>
      <c r="BZ353" s="71"/>
      <c r="CA353" s="147" t="s">
        <v>3816</v>
      </c>
      <c r="CB353">
        <v>1</v>
      </c>
      <c r="CC353">
        <v>240</v>
      </c>
      <c r="CD353">
        <v>100</v>
      </c>
      <c r="CE353" s="74">
        <f ca="1">INDIRECT(ADDRESS(11+(MATCH(RIGHT(Table35[[#This Row],[spawner_sku]],LEN(Table35[[#This Row],[spawner_sku]])-FIND("/",Table35[[#This Row],[spawner_sku]])),Table1[Entity Prefab],0)),10,1,1,"Entities"))</f>
        <v>50</v>
      </c>
      <c r="CF353" s="74">
        <f ca="1">ROUND((Table35[[#This Row],[XP]]*Table35[[#This Row],[entity_spawned (AVG)]])*(Table35[[#This Row],[activating_chance]]/100),0)</f>
        <v>50</v>
      </c>
      <c r="CG353" s="144" t="str">
        <f ca="1">INDIRECT(ADDRESS(11+(MATCH(RIGHT(Table35[[#This Row],[spawner_sku]],LEN(Table35[[#This Row],[spawner_sku]])-FIND("/",Table35[[#This Row],[spawner_sku]])),Table28[Entity Prefab],0)),24,1,1,"Entities"))</f>
        <v>no</v>
      </c>
      <c r="CH353">
        <v>1</v>
      </c>
      <c r="CI353">
        <v>1</v>
      </c>
      <c r="CJ353" s="71" t="b">
        <v>0</v>
      </c>
      <c r="CL353" t="s">
        <v>233</v>
      </c>
      <c r="CM353">
        <v>1</v>
      </c>
      <c r="CN353">
        <v>500</v>
      </c>
      <c r="CO353">
        <v>75</v>
      </c>
      <c r="CP353" s="74">
        <f ca="1">INDIRECT(ADDRESS(11+(MATCH(RIGHT(Table11[[#This Row],[spawner_sku]],LEN(Table11[[#This Row],[spawner_sku]])-FIND("/",Table11[[#This Row],[spawner_sku]])),Table1[Entity Prefab],0)),10,1,1,"Entities"))</f>
        <v>25</v>
      </c>
      <c r="CQ353">
        <f ca="1">ROUND((Table11[[#This Row],[XP]]*Table11[[#This Row],[entity_spawned (AVG)]])*(Table11[[#This Row],[activating_chance]]/100),0)</f>
        <v>19</v>
      </c>
      <c r="CR353" s="144" t="str">
        <f ca="1">INDIRECT(ADDRESS(11+(MATCH(RIGHT(Table11[[#This Row],[spawner_sku]],LEN(Table11[[#This Row],[spawner_sku]])-FIND("/",Table11[[#This Row],[spawner_sku]])),Table28[Entity Prefab],0)),25,1,1,"Entities"))</f>
        <v>no</v>
      </c>
      <c r="CS353" s="71">
        <v>1</v>
      </c>
      <c r="CT353" s="71">
        <v>1</v>
      </c>
      <c r="CU353" s="71" t="b">
        <v>0</v>
      </c>
      <c r="DS353" t="s">
        <v>510</v>
      </c>
      <c r="DT353">
        <v>1</v>
      </c>
      <c r="DU353">
        <v>200</v>
      </c>
      <c r="DV353">
        <v>100</v>
      </c>
      <c r="DW353" s="74">
        <f ca="1">INDIRECT(ADDRESS(11+(MATCH(RIGHT(Table14[[#This Row],[spawner_sku]],LEN(Table14[[#This Row],[spawner_sku]])-FIND("/",Table14[[#This Row],[spawner_sku]])),Table1[Entity Prefab],0)),10,1,1,"Entities"))</f>
        <v>90</v>
      </c>
      <c r="DX353" s="74">
        <f ca="1">ROUND((Table14[[#This Row],[XP]]*Table14[[#This Row],[entity_spawned (AVG)]])*(Table14[[#This Row],[activating_chance]]/100),0)</f>
        <v>90</v>
      </c>
      <c r="DY353" s="144" t="str">
        <f ca="1">INDIRECT(ADDRESS(11+(MATCH(RIGHT(Table14[[#This Row],[spawner_sku]],LEN(Table14[[#This Row],[spawner_sku]])-FIND("/",Table14[[#This Row],[spawner_sku]])),Table28[Entity Prefab],0)),25,1,1,"Entities"))</f>
        <v>no</v>
      </c>
      <c r="DZ353" s="71">
        <v>1</v>
      </c>
      <c r="EA353" s="71">
        <v>1</v>
      </c>
      <c r="EB353" s="71" t="b">
        <v>0</v>
      </c>
      <c r="EC353" s="71"/>
    </row>
    <row r="354" spans="2:133" x14ac:dyDescent="0.25">
      <c r="B354" s="72" t="s">
        <v>231</v>
      </c>
      <c r="C354">
        <v>1</v>
      </c>
      <c r="D354">
        <v>220</v>
      </c>
      <c r="E354">
        <v>100</v>
      </c>
      <c r="F354" s="74">
        <f ca="1">INDIRECT(ADDRESS(11+(MATCH(RIGHT(Table245[[#This Row],[spawner_sku]],LEN(Table245[[#This Row],[spawner_sku]])-FIND("/",Table245[[#This Row],[spawner_sku]])),Table1[Entity Prefab],0)),10,1,1,"Entities"))</f>
        <v>25</v>
      </c>
      <c r="G354" s="74">
        <f ca="1">ROUND((Table245[[#This Row],[XP]]*Table245[[#This Row],[entity_spawned (AVG)]])*(Table245[[#This Row],[activating_chance]]/100),0)</f>
        <v>25</v>
      </c>
      <c r="H354" s="71" t="str">
        <f ca="1">INDIRECT(ADDRESS(11+(MATCH(RIGHT(Table245[[#This Row],[spawner_sku]],LEN(Table245[[#This Row],[spawner_sku]])-FIND("/",Table245[[#This Row],[spawner_sku]])),Table28[Entity Prefab],0)),24,1,1,"Entities"))</f>
        <v>yes</v>
      </c>
      <c r="I354" s="71">
        <v>1</v>
      </c>
      <c r="J354" s="71">
        <v>1</v>
      </c>
      <c r="K354" s="71" t="b">
        <v>0</v>
      </c>
      <c r="AI354" t="s">
        <v>241</v>
      </c>
      <c r="AJ354">
        <v>1</v>
      </c>
      <c r="AK354">
        <v>190</v>
      </c>
      <c r="AL354">
        <v>100</v>
      </c>
      <c r="AM354" s="74">
        <f ca="1">INDIRECT(ADDRESS(11+(MATCH(RIGHT(Table2[[#This Row],[spawner_sku]],LEN(Table2[[#This Row],[spawner_sku]])-FIND("/",Table2[[#This Row],[spawner_sku]])),Table1[Entity Prefab],0)),10,1,1,"Entities"))</f>
        <v>70</v>
      </c>
      <c r="AN354" s="74">
        <f ca="1">ROUND((Table2[[#This Row],[XP]]*Table2[[#This Row],[entity_spawned (AVG)]])*(Table2[[#This Row],[activating_chance]]/100),0)</f>
        <v>70</v>
      </c>
      <c r="AO354" s="71" t="str">
        <f ca="1">INDIRECT(ADDRESS(11+(MATCH(RIGHT(Table2[[#This Row],[spawner_sku]],LEN(Table2[[#This Row],[spawner_sku]])-FIND("/",Table2[[#This Row],[spawner_sku]])),Table28[Entity Prefab],0)),24,1,1,"Entities"))</f>
        <v>yes</v>
      </c>
      <c r="AP354" s="71">
        <v>1</v>
      </c>
      <c r="AQ354" s="71">
        <v>1</v>
      </c>
      <c r="AR354" s="71" t="b">
        <v>0</v>
      </c>
      <c r="BP354" t="s">
        <v>237</v>
      </c>
      <c r="BQ354">
        <v>1</v>
      </c>
      <c r="BR354">
        <v>230</v>
      </c>
      <c r="BS354">
        <v>100</v>
      </c>
      <c r="BT354" s="74">
        <f ca="1">INDIRECT(ADDRESS(11+(MATCH(RIGHT(Table61011[[#This Row],[spawner_sku]],LEN(Table61011[[#This Row],[spawner_sku]])-FIND("/",Table61011[[#This Row],[spawner_sku]])),Table1[Entity Prefab],0)),10,1,1,"Entities"))</f>
        <v>83</v>
      </c>
      <c r="BU354" s="74">
        <f ca="1">ROUND((Table61011[[#This Row],[XP]]*Table61011[[#This Row],[entity_spawned (AVG)]])*(Table61011[[#This Row],[activating_chance]]/100),0)</f>
        <v>83</v>
      </c>
      <c r="BV354" s="71" t="str">
        <f ca="1">INDIRECT(ADDRESS(11+(MATCH(RIGHT(Table61011[[#This Row],[spawner_sku]],LEN(Table61011[[#This Row],[spawner_sku]])-FIND("/",Table61011[[#This Row],[spawner_sku]])),Table28[Entity Prefab],0)),24,1,1,"Entities"))</f>
        <v>no</v>
      </c>
      <c r="BW354" s="71">
        <v>1</v>
      </c>
      <c r="BX354" s="71">
        <v>1</v>
      </c>
      <c r="BY354" s="71" t="b">
        <v>0</v>
      </c>
      <c r="BZ354" s="71"/>
      <c r="CA354" s="147" t="s">
        <v>3816</v>
      </c>
      <c r="CB354">
        <v>1</v>
      </c>
      <c r="CC354">
        <v>240</v>
      </c>
      <c r="CD354">
        <v>100</v>
      </c>
      <c r="CE354" s="74">
        <f ca="1">INDIRECT(ADDRESS(11+(MATCH(RIGHT(Table35[[#This Row],[spawner_sku]],LEN(Table35[[#This Row],[spawner_sku]])-FIND("/",Table35[[#This Row],[spawner_sku]])),Table1[Entity Prefab],0)),10,1,1,"Entities"))</f>
        <v>50</v>
      </c>
      <c r="CF354" s="74">
        <f ca="1">ROUND((Table35[[#This Row],[XP]]*Table35[[#This Row],[entity_spawned (AVG)]])*(Table35[[#This Row],[activating_chance]]/100),0)</f>
        <v>50</v>
      </c>
      <c r="CG354" s="144" t="str">
        <f ca="1">INDIRECT(ADDRESS(11+(MATCH(RIGHT(Table35[[#This Row],[spawner_sku]],LEN(Table35[[#This Row],[spawner_sku]])-FIND("/",Table35[[#This Row],[spawner_sku]])),Table28[Entity Prefab],0)),24,1,1,"Entities"))</f>
        <v>no</v>
      </c>
      <c r="CH354">
        <v>1</v>
      </c>
      <c r="CI354">
        <v>1</v>
      </c>
      <c r="CJ354" s="71" t="b">
        <v>0</v>
      </c>
      <c r="CL354" t="s">
        <v>233</v>
      </c>
      <c r="CM354">
        <v>1</v>
      </c>
      <c r="CN354">
        <v>500</v>
      </c>
      <c r="CO354">
        <v>75</v>
      </c>
      <c r="CP354" s="74">
        <f ca="1">INDIRECT(ADDRESS(11+(MATCH(RIGHT(Table11[[#This Row],[spawner_sku]],LEN(Table11[[#This Row],[spawner_sku]])-FIND("/",Table11[[#This Row],[spawner_sku]])),Table1[Entity Prefab],0)),10,1,1,"Entities"))</f>
        <v>25</v>
      </c>
      <c r="CQ354">
        <f ca="1">ROUND((Table11[[#This Row],[XP]]*Table11[[#This Row],[entity_spawned (AVG)]])*(Table11[[#This Row],[activating_chance]]/100),0)</f>
        <v>19</v>
      </c>
      <c r="CR354" s="144" t="str">
        <f ca="1">INDIRECT(ADDRESS(11+(MATCH(RIGHT(Table11[[#This Row],[spawner_sku]],LEN(Table11[[#This Row],[spawner_sku]])-FIND("/",Table11[[#This Row],[spawner_sku]])),Table28[Entity Prefab],0)),25,1,1,"Entities"))</f>
        <v>no</v>
      </c>
      <c r="CS354" s="71">
        <v>1</v>
      </c>
      <c r="CT354" s="71">
        <v>1</v>
      </c>
      <c r="CU354" s="71" t="b">
        <v>0</v>
      </c>
      <c r="DS354" t="s">
        <v>510</v>
      </c>
      <c r="DT354">
        <v>1</v>
      </c>
      <c r="DU354">
        <v>150</v>
      </c>
      <c r="DV354">
        <v>100</v>
      </c>
      <c r="DW354" s="74">
        <f ca="1">INDIRECT(ADDRESS(11+(MATCH(RIGHT(Table14[[#This Row],[spawner_sku]],LEN(Table14[[#This Row],[spawner_sku]])-FIND("/",Table14[[#This Row],[spawner_sku]])),Table1[Entity Prefab],0)),10,1,1,"Entities"))</f>
        <v>90</v>
      </c>
      <c r="DX354" s="74">
        <f ca="1">ROUND((Table14[[#This Row],[XP]]*Table14[[#This Row],[entity_spawned (AVG)]])*(Table14[[#This Row],[activating_chance]]/100),0)</f>
        <v>90</v>
      </c>
      <c r="DY354" s="144" t="str">
        <f ca="1">INDIRECT(ADDRESS(11+(MATCH(RIGHT(Table14[[#This Row],[spawner_sku]],LEN(Table14[[#This Row],[spawner_sku]])-FIND("/",Table14[[#This Row],[spawner_sku]])),Table28[Entity Prefab],0)),25,1,1,"Entities"))</f>
        <v>no</v>
      </c>
      <c r="DZ354" s="71">
        <v>1</v>
      </c>
      <c r="EA354" s="71">
        <v>1</v>
      </c>
      <c r="EB354" s="71" t="b">
        <v>0</v>
      </c>
      <c r="EC354" s="71"/>
    </row>
    <row r="355" spans="2:133" x14ac:dyDescent="0.25">
      <c r="B355" s="72" t="s">
        <v>231</v>
      </c>
      <c r="C355">
        <v>1</v>
      </c>
      <c r="D355">
        <v>240</v>
      </c>
      <c r="E355">
        <v>100</v>
      </c>
      <c r="F355" s="74">
        <f ca="1">INDIRECT(ADDRESS(11+(MATCH(RIGHT(Table245[[#This Row],[spawner_sku]],LEN(Table245[[#This Row],[spawner_sku]])-FIND("/",Table245[[#This Row],[spawner_sku]])),Table1[Entity Prefab],0)),10,1,1,"Entities"))</f>
        <v>25</v>
      </c>
      <c r="G355" s="74">
        <f ca="1">ROUND((Table245[[#This Row],[XP]]*Table245[[#This Row],[entity_spawned (AVG)]])*(Table245[[#This Row],[activating_chance]]/100),0)</f>
        <v>25</v>
      </c>
      <c r="H355" s="71" t="str">
        <f ca="1">INDIRECT(ADDRESS(11+(MATCH(RIGHT(Table245[[#This Row],[spawner_sku]],LEN(Table245[[#This Row],[spawner_sku]])-FIND("/",Table245[[#This Row],[spawner_sku]])),Table28[Entity Prefab],0)),24,1,1,"Entities"))</f>
        <v>yes</v>
      </c>
      <c r="I355" s="71">
        <v>1</v>
      </c>
      <c r="J355" s="71">
        <v>1</v>
      </c>
      <c r="K355" s="71" t="b">
        <v>0</v>
      </c>
      <c r="AI355" t="s">
        <v>241</v>
      </c>
      <c r="AJ355">
        <v>1</v>
      </c>
      <c r="AK355">
        <v>120</v>
      </c>
      <c r="AL355">
        <v>100</v>
      </c>
      <c r="AM355" s="74">
        <f ca="1">INDIRECT(ADDRESS(11+(MATCH(RIGHT(Table2[[#This Row],[spawner_sku]],LEN(Table2[[#This Row],[spawner_sku]])-FIND("/",Table2[[#This Row],[spawner_sku]])),Table1[Entity Prefab],0)),10,1,1,"Entities"))</f>
        <v>70</v>
      </c>
      <c r="AN355" s="74">
        <f ca="1">ROUND((Table2[[#This Row],[XP]]*Table2[[#This Row],[entity_spawned (AVG)]])*(Table2[[#This Row],[activating_chance]]/100),0)</f>
        <v>70</v>
      </c>
      <c r="AO355" s="71" t="str">
        <f ca="1">INDIRECT(ADDRESS(11+(MATCH(RIGHT(Table2[[#This Row],[spawner_sku]],LEN(Table2[[#This Row],[spawner_sku]])-FIND("/",Table2[[#This Row],[spawner_sku]])),Table28[Entity Prefab],0)),24,1,1,"Entities"))</f>
        <v>yes</v>
      </c>
      <c r="AP355" s="71">
        <v>1</v>
      </c>
      <c r="AQ355" s="71">
        <v>1</v>
      </c>
      <c r="AR355" s="71" t="b">
        <v>0</v>
      </c>
      <c r="BP355" t="s">
        <v>374</v>
      </c>
      <c r="BQ355">
        <v>1</v>
      </c>
      <c r="BR355">
        <v>180</v>
      </c>
      <c r="BS355">
        <v>60</v>
      </c>
      <c r="BT355" s="74">
        <f ca="1">INDIRECT(ADDRESS(11+(MATCH(RIGHT(Table61011[[#This Row],[spawner_sku]],LEN(Table61011[[#This Row],[spawner_sku]])-FIND("/",Table61011[[#This Row],[spawner_sku]])),Table1[Entity Prefab],0)),10,1,1,"Entities"))</f>
        <v>83</v>
      </c>
      <c r="BU355" s="74">
        <f ca="1">ROUND((Table61011[[#This Row],[XP]]*Table61011[[#This Row],[entity_spawned (AVG)]])*(Table61011[[#This Row],[activating_chance]]/100),0)</f>
        <v>50</v>
      </c>
      <c r="BV355" s="71" t="str">
        <f ca="1">INDIRECT(ADDRESS(11+(MATCH(RIGHT(Table61011[[#This Row],[spawner_sku]],LEN(Table61011[[#This Row],[spawner_sku]])-FIND("/",Table61011[[#This Row],[spawner_sku]])),Table28[Entity Prefab],0)),24,1,1,"Entities"))</f>
        <v>no</v>
      </c>
      <c r="BW355" s="71">
        <v>1</v>
      </c>
      <c r="BX355" s="71">
        <v>1</v>
      </c>
      <c r="BY355" s="71" t="b">
        <v>0</v>
      </c>
      <c r="BZ355" s="71"/>
      <c r="CA355" s="147" t="s">
        <v>3816</v>
      </c>
      <c r="CB355">
        <v>1</v>
      </c>
      <c r="CC355">
        <v>240</v>
      </c>
      <c r="CD355">
        <v>100</v>
      </c>
      <c r="CE355" s="74">
        <f ca="1">INDIRECT(ADDRESS(11+(MATCH(RIGHT(Table35[[#This Row],[spawner_sku]],LEN(Table35[[#This Row],[spawner_sku]])-FIND("/",Table35[[#This Row],[spawner_sku]])),Table1[Entity Prefab],0)),10,1,1,"Entities"))</f>
        <v>50</v>
      </c>
      <c r="CF355" s="74">
        <f ca="1">ROUND((Table35[[#This Row],[XP]]*Table35[[#This Row],[entity_spawned (AVG)]])*(Table35[[#This Row],[activating_chance]]/100),0)</f>
        <v>50</v>
      </c>
      <c r="CG355" s="144" t="str">
        <f ca="1">INDIRECT(ADDRESS(11+(MATCH(RIGHT(Table35[[#This Row],[spawner_sku]],LEN(Table35[[#This Row],[spawner_sku]])-FIND("/",Table35[[#This Row],[spawner_sku]])),Table28[Entity Prefab],0)),24,1,1,"Entities"))</f>
        <v>no</v>
      </c>
      <c r="CH355">
        <v>1</v>
      </c>
      <c r="CI355">
        <v>1</v>
      </c>
      <c r="CJ355" s="71" t="b">
        <v>0</v>
      </c>
      <c r="CL355" t="s">
        <v>233</v>
      </c>
      <c r="CM355">
        <v>1</v>
      </c>
      <c r="CN355">
        <v>500</v>
      </c>
      <c r="CO355">
        <v>75</v>
      </c>
      <c r="CP355" s="74">
        <f ca="1">INDIRECT(ADDRESS(11+(MATCH(RIGHT(Table11[[#This Row],[spawner_sku]],LEN(Table11[[#This Row],[spawner_sku]])-FIND("/",Table11[[#This Row],[spawner_sku]])),Table1[Entity Prefab],0)),10,1,1,"Entities"))</f>
        <v>25</v>
      </c>
      <c r="CQ355">
        <f ca="1">ROUND((Table11[[#This Row],[XP]]*Table11[[#This Row],[entity_spawned (AVG)]])*(Table11[[#This Row],[activating_chance]]/100),0)</f>
        <v>19</v>
      </c>
      <c r="CR355" s="144" t="str">
        <f ca="1">INDIRECT(ADDRESS(11+(MATCH(RIGHT(Table11[[#This Row],[spawner_sku]],LEN(Table11[[#This Row],[spawner_sku]])-FIND("/",Table11[[#This Row],[spawner_sku]])),Table28[Entity Prefab],0)),25,1,1,"Entities"))</f>
        <v>no</v>
      </c>
      <c r="CS355" s="71">
        <v>1</v>
      </c>
      <c r="CT355" s="71">
        <v>1</v>
      </c>
      <c r="CU355" s="71" t="b">
        <v>0</v>
      </c>
      <c r="DS355" t="s">
        <v>510</v>
      </c>
      <c r="DT355">
        <v>1</v>
      </c>
      <c r="DU355">
        <v>100</v>
      </c>
      <c r="DV355">
        <v>100</v>
      </c>
      <c r="DW355" s="74">
        <f ca="1">INDIRECT(ADDRESS(11+(MATCH(RIGHT(Table14[[#This Row],[spawner_sku]],LEN(Table14[[#This Row],[spawner_sku]])-FIND("/",Table14[[#This Row],[spawner_sku]])),Table1[Entity Prefab],0)),10,1,1,"Entities"))</f>
        <v>90</v>
      </c>
      <c r="DX355" s="74">
        <f ca="1">ROUND((Table14[[#This Row],[XP]]*Table14[[#This Row],[entity_spawned (AVG)]])*(Table14[[#This Row],[activating_chance]]/100),0)</f>
        <v>90</v>
      </c>
      <c r="DY355" s="144" t="str">
        <f ca="1">INDIRECT(ADDRESS(11+(MATCH(RIGHT(Table14[[#This Row],[spawner_sku]],LEN(Table14[[#This Row],[spawner_sku]])-FIND("/",Table14[[#This Row],[spawner_sku]])),Table28[Entity Prefab],0)),25,1,1,"Entities"))</f>
        <v>no</v>
      </c>
      <c r="DZ355" s="71">
        <v>1</v>
      </c>
      <c r="EA355" s="71">
        <v>1</v>
      </c>
      <c r="EB355" s="71" t="b">
        <v>0</v>
      </c>
      <c r="EC355" s="71"/>
    </row>
    <row r="356" spans="2:133" x14ac:dyDescent="0.25">
      <c r="B356" s="72" t="s">
        <v>231</v>
      </c>
      <c r="C356">
        <v>1</v>
      </c>
      <c r="D356">
        <v>220</v>
      </c>
      <c r="E356">
        <v>100</v>
      </c>
      <c r="F356" s="74">
        <f ca="1">INDIRECT(ADDRESS(11+(MATCH(RIGHT(Table245[[#This Row],[spawner_sku]],LEN(Table245[[#This Row],[spawner_sku]])-FIND("/",Table245[[#This Row],[spawner_sku]])),Table1[Entity Prefab],0)),10,1,1,"Entities"))</f>
        <v>25</v>
      </c>
      <c r="G356" s="74">
        <f ca="1">ROUND((Table245[[#This Row],[XP]]*Table245[[#This Row],[entity_spawned (AVG)]])*(Table245[[#This Row],[activating_chance]]/100),0)</f>
        <v>25</v>
      </c>
      <c r="H356" s="71" t="str">
        <f ca="1">INDIRECT(ADDRESS(11+(MATCH(RIGHT(Table245[[#This Row],[spawner_sku]],LEN(Table245[[#This Row],[spawner_sku]])-FIND("/",Table245[[#This Row],[spawner_sku]])),Table28[Entity Prefab],0)),24,1,1,"Entities"))</f>
        <v>yes</v>
      </c>
      <c r="I356" s="71">
        <v>1</v>
      </c>
      <c r="J356" s="71">
        <v>1</v>
      </c>
      <c r="K356" s="71" t="b">
        <v>0</v>
      </c>
      <c r="AI356" t="s">
        <v>241</v>
      </c>
      <c r="AJ356">
        <v>1</v>
      </c>
      <c r="AK356">
        <v>190</v>
      </c>
      <c r="AL356">
        <v>100</v>
      </c>
      <c r="AM356" s="74">
        <f ca="1">INDIRECT(ADDRESS(11+(MATCH(RIGHT(Table2[[#This Row],[spawner_sku]],LEN(Table2[[#This Row],[spawner_sku]])-FIND("/",Table2[[#This Row],[spawner_sku]])),Table1[Entity Prefab],0)),10,1,1,"Entities"))</f>
        <v>70</v>
      </c>
      <c r="AN356" s="74">
        <f ca="1">ROUND((Table2[[#This Row],[XP]]*Table2[[#This Row],[entity_spawned (AVG)]])*(Table2[[#This Row],[activating_chance]]/100),0)</f>
        <v>70</v>
      </c>
      <c r="AO356" s="71" t="str">
        <f ca="1">INDIRECT(ADDRESS(11+(MATCH(RIGHT(Table2[[#This Row],[spawner_sku]],LEN(Table2[[#This Row],[spawner_sku]])-FIND("/",Table2[[#This Row],[spawner_sku]])),Table28[Entity Prefab],0)),24,1,1,"Entities"))</f>
        <v>yes</v>
      </c>
      <c r="AP356" s="71">
        <v>1</v>
      </c>
      <c r="AQ356" s="71">
        <v>1</v>
      </c>
      <c r="AR356" s="71" t="b">
        <v>0</v>
      </c>
      <c r="BP356" t="s">
        <v>374</v>
      </c>
      <c r="BQ356">
        <v>1</v>
      </c>
      <c r="BR356">
        <v>240</v>
      </c>
      <c r="BS356">
        <v>60</v>
      </c>
      <c r="BT356" s="74">
        <f ca="1">INDIRECT(ADDRESS(11+(MATCH(RIGHT(Table61011[[#This Row],[spawner_sku]],LEN(Table61011[[#This Row],[spawner_sku]])-FIND("/",Table61011[[#This Row],[spawner_sku]])),Table1[Entity Prefab],0)),10,1,1,"Entities"))</f>
        <v>83</v>
      </c>
      <c r="BU356" s="74">
        <f ca="1">ROUND((Table61011[[#This Row],[XP]]*Table61011[[#This Row],[entity_spawned (AVG)]])*(Table61011[[#This Row],[activating_chance]]/100),0)</f>
        <v>50</v>
      </c>
      <c r="BV356" s="71" t="str">
        <f ca="1">INDIRECT(ADDRESS(11+(MATCH(RIGHT(Table61011[[#This Row],[spawner_sku]],LEN(Table61011[[#This Row],[spawner_sku]])-FIND("/",Table61011[[#This Row],[spawner_sku]])),Table28[Entity Prefab],0)),24,1,1,"Entities"))</f>
        <v>no</v>
      </c>
      <c r="BW356" s="71">
        <v>1</v>
      </c>
      <c r="BX356" s="71">
        <v>1</v>
      </c>
      <c r="BY356" s="71" t="b">
        <v>0</v>
      </c>
      <c r="BZ356" s="71"/>
      <c r="CA356" s="147" t="s">
        <v>3816</v>
      </c>
      <c r="CB356">
        <v>1</v>
      </c>
      <c r="CC356">
        <v>240</v>
      </c>
      <c r="CD356">
        <v>100</v>
      </c>
      <c r="CE356" s="74">
        <f ca="1">INDIRECT(ADDRESS(11+(MATCH(RIGHT(Table35[[#This Row],[spawner_sku]],LEN(Table35[[#This Row],[spawner_sku]])-FIND("/",Table35[[#This Row],[spawner_sku]])),Table1[Entity Prefab],0)),10,1,1,"Entities"))</f>
        <v>50</v>
      </c>
      <c r="CF356" s="74">
        <f ca="1">ROUND((Table35[[#This Row],[XP]]*Table35[[#This Row],[entity_spawned (AVG)]])*(Table35[[#This Row],[activating_chance]]/100),0)</f>
        <v>50</v>
      </c>
      <c r="CG356" s="144" t="str">
        <f ca="1">INDIRECT(ADDRESS(11+(MATCH(RIGHT(Table35[[#This Row],[spawner_sku]],LEN(Table35[[#This Row],[spawner_sku]])-FIND("/",Table35[[#This Row],[spawner_sku]])),Table28[Entity Prefab],0)),24,1,1,"Entities"))</f>
        <v>no</v>
      </c>
      <c r="CH356">
        <v>1</v>
      </c>
      <c r="CI356">
        <v>1</v>
      </c>
      <c r="CJ356" s="71" t="b">
        <v>0</v>
      </c>
      <c r="CL356" t="s">
        <v>233</v>
      </c>
      <c r="CM356">
        <v>1</v>
      </c>
      <c r="CN356">
        <v>500</v>
      </c>
      <c r="CO356">
        <v>100</v>
      </c>
      <c r="CP356" s="74">
        <f ca="1">INDIRECT(ADDRESS(11+(MATCH(RIGHT(Table11[[#This Row],[spawner_sku]],LEN(Table11[[#This Row],[spawner_sku]])-FIND("/",Table11[[#This Row],[spawner_sku]])),Table1[Entity Prefab],0)),10,1,1,"Entities"))</f>
        <v>25</v>
      </c>
      <c r="CQ356">
        <f ca="1">ROUND((Table11[[#This Row],[XP]]*Table11[[#This Row],[entity_spawned (AVG)]])*(Table11[[#This Row],[activating_chance]]/100),0)</f>
        <v>25</v>
      </c>
      <c r="CR356" s="144" t="str">
        <f ca="1">INDIRECT(ADDRESS(11+(MATCH(RIGHT(Table11[[#This Row],[spawner_sku]],LEN(Table11[[#This Row],[spawner_sku]])-FIND("/",Table11[[#This Row],[spawner_sku]])),Table28[Entity Prefab],0)),25,1,1,"Entities"))</f>
        <v>no</v>
      </c>
      <c r="CS356" s="71">
        <v>1</v>
      </c>
      <c r="CT356" s="71">
        <v>1</v>
      </c>
      <c r="CU356" s="71" t="b">
        <v>0</v>
      </c>
      <c r="DS356" t="s">
        <v>510</v>
      </c>
      <c r="DT356">
        <v>1</v>
      </c>
      <c r="DU356">
        <v>145</v>
      </c>
      <c r="DV356">
        <v>100</v>
      </c>
      <c r="DW356" s="74">
        <f ca="1">INDIRECT(ADDRESS(11+(MATCH(RIGHT(Table14[[#This Row],[spawner_sku]],LEN(Table14[[#This Row],[spawner_sku]])-FIND("/",Table14[[#This Row],[spawner_sku]])),Table1[Entity Prefab],0)),10,1,1,"Entities"))</f>
        <v>90</v>
      </c>
      <c r="DX356" s="74">
        <f ca="1">ROUND((Table14[[#This Row],[XP]]*Table14[[#This Row],[entity_spawned (AVG)]])*(Table14[[#This Row],[activating_chance]]/100),0)</f>
        <v>90</v>
      </c>
      <c r="DY356" s="144" t="str">
        <f ca="1">INDIRECT(ADDRESS(11+(MATCH(RIGHT(Table14[[#This Row],[spawner_sku]],LEN(Table14[[#This Row],[spawner_sku]])-FIND("/",Table14[[#This Row],[spawner_sku]])),Table28[Entity Prefab],0)),25,1,1,"Entities"))</f>
        <v>no</v>
      </c>
      <c r="DZ356" s="71">
        <v>1</v>
      </c>
      <c r="EA356" s="71">
        <v>1</v>
      </c>
      <c r="EB356" s="71" t="b">
        <v>0</v>
      </c>
      <c r="EC356" s="71"/>
    </row>
    <row r="357" spans="2:133" x14ac:dyDescent="0.25">
      <c r="B357" s="72" t="s">
        <v>231</v>
      </c>
      <c r="C357">
        <v>1</v>
      </c>
      <c r="D357">
        <v>220</v>
      </c>
      <c r="E357">
        <v>100</v>
      </c>
      <c r="F357" s="74">
        <f ca="1">INDIRECT(ADDRESS(11+(MATCH(RIGHT(Table245[[#This Row],[spawner_sku]],LEN(Table245[[#This Row],[spawner_sku]])-FIND("/",Table245[[#This Row],[spawner_sku]])),Table1[Entity Prefab],0)),10,1,1,"Entities"))</f>
        <v>25</v>
      </c>
      <c r="G357" s="74">
        <f ca="1">ROUND((Table245[[#This Row],[XP]]*Table245[[#This Row],[entity_spawned (AVG)]])*(Table245[[#This Row],[activating_chance]]/100),0)</f>
        <v>25</v>
      </c>
      <c r="H357" s="71" t="str">
        <f ca="1">INDIRECT(ADDRESS(11+(MATCH(RIGHT(Table245[[#This Row],[spawner_sku]],LEN(Table245[[#This Row],[spawner_sku]])-FIND("/",Table245[[#This Row],[spawner_sku]])),Table28[Entity Prefab],0)),24,1,1,"Entities"))</f>
        <v>yes</v>
      </c>
      <c r="I357" s="71">
        <v>1</v>
      </c>
      <c r="J357" s="71">
        <v>1</v>
      </c>
      <c r="K357" s="71" t="b">
        <v>0</v>
      </c>
      <c r="AI357" t="s">
        <v>241</v>
      </c>
      <c r="AJ357">
        <v>1</v>
      </c>
      <c r="AK357">
        <v>190</v>
      </c>
      <c r="AL357">
        <v>100</v>
      </c>
      <c r="AM357" s="74">
        <f ca="1">INDIRECT(ADDRESS(11+(MATCH(RIGHT(Table2[[#This Row],[spawner_sku]],LEN(Table2[[#This Row],[spawner_sku]])-FIND("/",Table2[[#This Row],[spawner_sku]])),Table1[Entity Prefab],0)),10,1,1,"Entities"))</f>
        <v>70</v>
      </c>
      <c r="AN357" s="74">
        <f ca="1">ROUND((Table2[[#This Row],[XP]]*Table2[[#This Row],[entity_spawned (AVG)]])*(Table2[[#This Row],[activating_chance]]/100),0)</f>
        <v>70</v>
      </c>
      <c r="AO357" s="71" t="str">
        <f ca="1">INDIRECT(ADDRESS(11+(MATCH(RIGHT(Table2[[#This Row],[spawner_sku]],LEN(Table2[[#This Row],[spawner_sku]])-FIND("/",Table2[[#This Row],[spawner_sku]])),Table28[Entity Prefab],0)),24,1,1,"Entities"))</f>
        <v>yes</v>
      </c>
      <c r="AP357" s="71">
        <v>1</v>
      </c>
      <c r="AQ357" s="71">
        <v>1</v>
      </c>
      <c r="AR357" s="71" t="b">
        <v>0</v>
      </c>
      <c r="BP357" t="s">
        <v>374</v>
      </c>
      <c r="BQ357">
        <v>1</v>
      </c>
      <c r="BR357">
        <v>240</v>
      </c>
      <c r="BS357">
        <v>100</v>
      </c>
      <c r="BT357" s="74">
        <f ca="1">INDIRECT(ADDRESS(11+(MATCH(RIGHT(Table61011[[#This Row],[spawner_sku]],LEN(Table61011[[#This Row],[spawner_sku]])-FIND("/",Table61011[[#This Row],[spawner_sku]])),Table1[Entity Prefab],0)),10,1,1,"Entities"))</f>
        <v>83</v>
      </c>
      <c r="BU357" s="74">
        <f ca="1">ROUND((Table61011[[#This Row],[XP]]*Table61011[[#This Row],[entity_spawned (AVG)]])*(Table61011[[#This Row],[activating_chance]]/100),0)</f>
        <v>83</v>
      </c>
      <c r="BV357" s="71" t="str">
        <f ca="1">INDIRECT(ADDRESS(11+(MATCH(RIGHT(Table61011[[#This Row],[spawner_sku]],LEN(Table61011[[#This Row],[spawner_sku]])-FIND("/",Table61011[[#This Row],[spawner_sku]])),Table28[Entity Prefab],0)),24,1,1,"Entities"))</f>
        <v>no</v>
      </c>
      <c r="BW357" s="71">
        <v>1</v>
      </c>
      <c r="BX357" s="71">
        <v>1</v>
      </c>
      <c r="BY357" s="71" t="b">
        <v>0</v>
      </c>
      <c r="BZ357" s="71"/>
      <c r="CA357" s="147" t="s">
        <v>3816</v>
      </c>
      <c r="CB357">
        <v>1</v>
      </c>
      <c r="CC357">
        <v>240</v>
      </c>
      <c r="CD357">
        <v>100</v>
      </c>
      <c r="CE357" s="74">
        <f ca="1">INDIRECT(ADDRESS(11+(MATCH(RIGHT(Table35[[#This Row],[spawner_sku]],LEN(Table35[[#This Row],[spawner_sku]])-FIND("/",Table35[[#This Row],[spawner_sku]])),Table1[Entity Prefab],0)),10,1,1,"Entities"))</f>
        <v>50</v>
      </c>
      <c r="CF357" s="74">
        <f ca="1">ROUND((Table35[[#This Row],[XP]]*Table35[[#This Row],[entity_spawned (AVG)]])*(Table35[[#This Row],[activating_chance]]/100),0)</f>
        <v>50</v>
      </c>
      <c r="CG357" s="144" t="str">
        <f ca="1">INDIRECT(ADDRESS(11+(MATCH(RIGHT(Table35[[#This Row],[spawner_sku]],LEN(Table35[[#This Row],[spawner_sku]])-FIND("/",Table35[[#This Row],[spawner_sku]])),Table28[Entity Prefab],0)),24,1,1,"Entities"))</f>
        <v>no</v>
      </c>
      <c r="CH357">
        <v>1</v>
      </c>
      <c r="CI357">
        <v>1</v>
      </c>
      <c r="CJ357" s="71" t="b">
        <v>0</v>
      </c>
      <c r="CL357" t="s">
        <v>233</v>
      </c>
      <c r="CM357">
        <v>1</v>
      </c>
      <c r="CN357">
        <v>500</v>
      </c>
      <c r="CO357">
        <v>75</v>
      </c>
      <c r="CP357" s="74">
        <f ca="1">INDIRECT(ADDRESS(11+(MATCH(RIGHT(Table11[[#This Row],[spawner_sku]],LEN(Table11[[#This Row],[spawner_sku]])-FIND("/",Table11[[#This Row],[spawner_sku]])),Table1[Entity Prefab],0)),10,1,1,"Entities"))</f>
        <v>25</v>
      </c>
      <c r="CQ357">
        <f ca="1">ROUND((Table11[[#This Row],[XP]]*Table11[[#This Row],[entity_spawned (AVG)]])*(Table11[[#This Row],[activating_chance]]/100),0)</f>
        <v>19</v>
      </c>
      <c r="CR357" s="144" t="str">
        <f ca="1">INDIRECT(ADDRESS(11+(MATCH(RIGHT(Table11[[#This Row],[spawner_sku]],LEN(Table11[[#This Row],[spawner_sku]])-FIND("/",Table11[[#This Row],[spawner_sku]])),Table28[Entity Prefab],0)),25,1,1,"Entities"))</f>
        <v>no</v>
      </c>
      <c r="CS357" s="71">
        <v>1</v>
      </c>
      <c r="CT357" s="71">
        <v>1</v>
      </c>
      <c r="CU357" s="71" t="b">
        <v>0</v>
      </c>
      <c r="DS357" t="s">
        <v>510</v>
      </c>
      <c r="DT357">
        <v>1</v>
      </c>
      <c r="DU357">
        <v>150</v>
      </c>
      <c r="DV357">
        <v>100</v>
      </c>
      <c r="DW357" s="74">
        <f ca="1">INDIRECT(ADDRESS(11+(MATCH(RIGHT(Table14[[#This Row],[spawner_sku]],LEN(Table14[[#This Row],[spawner_sku]])-FIND("/",Table14[[#This Row],[spawner_sku]])),Table1[Entity Prefab],0)),10,1,1,"Entities"))</f>
        <v>90</v>
      </c>
      <c r="DX357" s="74">
        <f ca="1">ROUND((Table14[[#This Row],[XP]]*Table14[[#This Row],[entity_spawned (AVG)]])*(Table14[[#This Row],[activating_chance]]/100),0)</f>
        <v>90</v>
      </c>
      <c r="DY357" s="144" t="str">
        <f ca="1">INDIRECT(ADDRESS(11+(MATCH(RIGHT(Table14[[#This Row],[spawner_sku]],LEN(Table14[[#This Row],[spawner_sku]])-FIND("/",Table14[[#This Row],[spawner_sku]])),Table28[Entity Prefab],0)),25,1,1,"Entities"))</f>
        <v>no</v>
      </c>
      <c r="DZ357" s="71">
        <v>1</v>
      </c>
      <c r="EA357" s="71">
        <v>1</v>
      </c>
      <c r="EB357" s="71" t="b">
        <v>0</v>
      </c>
      <c r="EC357" s="71"/>
    </row>
    <row r="358" spans="2:133" x14ac:dyDescent="0.25">
      <c r="B358" s="72" t="s">
        <v>231</v>
      </c>
      <c r="C358">
        <v>1</v>
      </c>
      <c r="D358">
        <v>220</v>
      </c>
      <c r="E358">
        <v>100</v>
      </c>
      <c r="F358" s="74">
        <f ca="1">INDIRECT(ADDRESS(11+(MATCH(RIGHT(Table245[[#This Row],[spawner_sku]],LEN(Table245[[#This Row],[spawner_sku]])-FIND("/",Table245[[#This Row],[spawner_sku]])),Table1[Entity Prefab],0)),10,1,1,"Entities"))</f>
        <v>25</v>
      </c>
      <c r="G358" s="74">
        <f ca="1">ROUND((Table245[[#This Row],[XP]]*Table245[[#This Row],[entity_spawned (AVG)]])*(Table245[[#This Row],[activating_chance]]/100),0)</f>
        <v>25</v>
      </c>
      <c r="H358" s="71" t="str">
        <f ca="1">INDIRECT(ADDRESS(11+(MATCH(RIGHT(Table245[[#This Row],[spawner_sku]],LEN(Table245[[#This Row],[spawner_sku]])-FIND("/",Table245[[#This Row],[spawner_sku]])),Table28[Entity Prefab],0)),24,1,1,"Entities"))</f>
        <v>yes</v>
      </c>
      <c r="I358" s="71">
        <v>1</v>
      </c>
      <c r="J358" s="71">
        <v>1</v>
      </c>
      <c r="K358" s="71" t="b">
        <v>0</v>
      </c>
      <c r="AI358" t="s">
        <v>242</v>
      </c>
      <c r="AJ358">
        <v>1</v>
      </c>
      <c r="AK358">
        <v>120</v>
      </c>
      <c r="AL358">
        <v>80</v>
      </c>
      <c r="AM358" s="74">
        <f ca="1">INDIRECT(ADDRESS(11+(MATCH(RIGHT(Table2[[#This Row],[spawner_sku]],LEN(Table2[[#This Row],[spawner_sku]])-FIND("/",Table2[[#This Row],[spawner_sku]])),Table1[Entity Prefab],0)),10,1,1,"Entities"))</f>
        <v>25</v>
      </c>
      <c r="AN358" s="74">
        <f ca="1">ROUND((Table2[[#This Row],[XP]]*Table2[[#This Row],[entity_spawned (AVG)]])*(Table2[[#This Row],[activating_chance]]/100),0)</f>
        <v>20</v>
      </c>
      <c r="AO358" s="71" t="str">
        <f ca="1">INDIRECT(ADDRESS(11+(MATCH(RIGHT(Table2[[#This Row],[spawner_sku]],LEN(Table2[[#This Row],[spawner_sku]])-FIND("/",Table2[[#This Row],[spawner_sku]])),Table28[Entity Prefab],0)),24,1,1,"Entities"))</f>
        <v>no</v>
      </c>
      <c r="AP358" s="71">
        <v>1</v>
      </c>
      <c r="AQ358" s="71">
        <v>1</v>
      </c>
      <c r="AR358" s="71" t="b">
        <v>0</v>
      </c>
      <c r="BP358" t="s">
        <v>374</v>
      </c>
      <c r="BQ358">
        <v>2</v>
      </c>
      <c r="BR358">
        <v>190</v>
      </c>
      <c r="BS358">
        <v>70</v>
      </c>
      <c r="BT358" s="74">
        <f ca="1">INDIRECT(ADDRESS(11+(MATCH(RIGHT(Table61011[[#This Row],[spawner_sku]],LEN(Table61011[[#This Row],[spawner_sku]])-FIND("/",Table61011[[#This Row],[spawner_sku]])),Table1[Entity Prefab],0)),10,1,1,"Entities"))</f>
        <v>83</v>
      </c>
      <c r="BU358" s="74">
        <f ca="1">ROUND((Table61011[[#This Row],[XP]]*Table61011[[#This Row],[entity_spawned (AVG)]])*(Table61011[[#This Row],[activating_chance]]/100),0)</f>
        <v>116</v>
      </c>
      <c r="BV358" s="71" t="str">
        <f ca="1">INDIRECT(ADDRESS(11+(MATCH(RIGHT(Table61011[[#This Row],[spawner_sku]],LEN(Table61011[[#This Row],[spawner_sku]])-FIND("/",Table61011[[#This Row],[spawner_sku]])),Table28[Entity Prefab],0)),24,1,1,"Entities"))</f>
        <v>no</v>
      </c>
      <c r="BW358" s="71">
        <v>2</v>
      </c>
      <c r="BX358" s="71">
        <v>2</v>
      </c>
      <c r="BY358" s="71" t="b">
        <v>0</v>
      </c>
      <c r="BZ358" s="71"/>
      <c r="CA358" s="147" t="s">
        <v>3816</v>
      </c>
      <c r="CB358">
        <v>1</v>
      </c>
      <c r="CC358">
        <v>240</v>
      </c>
      <c r="CD358">
        <v>100</v>
      </c>
      <c r="CE358" s="74">
        <f ca="1">INDIRECT(ADDRESS(11+(MATCH(RIGHT(Table35[[#This Row],[spawner_sku]],LEN(Table35[[#This Row],[spawner_sku]])-FIND("/",Table35[[#This Row],[spawner_sku]])),Table1[Entity Prefab],0)),10,1,1,"Entities"))</f>
        <v>50</v>
      </c>
      <c r="CF358" s="74">
        <f ca="1">ROUND((Table35[[#This Row],[XP]]*Table35[[#This Row],[entity_spawned (AVG)]])*(Table35[[#This Row],[activating_chance]]/100),0)</f>
        <v>50</v>
      </c>
      <c r="CG358" s="144" t="str">
        <f ca="1">INDIRECT(ADDRESS(11+(MATCH(RIGHT(Table35[[#This Row],[spawner_sku]],LEN(Table35[[#This Row],[spawner_sku]])-FIND("/",Table35[[#This Row],[spawner_sku]])),Table28[Entity Prefab],0)),24,1,1,"Entities"))</f>
        <v>no</v>
      </c>
      <c r="CH358">
        <v>1</v>
      </c>
      <c r="CI358">
        <v>1</v>
      </c>
      <c r="CJ358" s="71" t="b">
        <v>0</v>
      </c>
      <c r="CL358" t="s">
        <v>233</v>
      </c>
      <c r="CM358">
        <v>1</v>
      </c>
      <c r="CN358">
        <v>500</v>
      </c>
      <c r="CO358">
        <v>75</v>
      </c>
      <c r="CP358" s="74">
        <f ca="1">INDIRECT(ADDRESS(11+(MATCH(RIGHT(Table11[[#This Row],[spawner_sku]],LEN(Table11[[#This Row],[spawner_sku]])-FIND("/",Table11[[#This Row],[spawner_sku]])),Table1[Entity Prefab],0)),10,1,1,"Entities"))</f>
        <v>25</v>
      </c>
      <c r="CQ358">
        <f ca="1">ROUND((Table11[[#This Row],[XP]]*Table11[[#This Row],[entity_spawned (AVG)]])*(Table11[[#This Row],[activating_chance]]/100),0)</f>
        <v>19</v>
      </c>
      <c r="CR358" s="144" t="str">
        <f ca="1">INDIRECT(ADDRESS(11+(MATCH(RIGHT(Table11[[#This Row],[spawner_sku]],LEN(Table11[[#This Row],[spawner_sku]])-FIND("/",Table11[[#This Row],[spawner_sku]])),Table28[Entity Prefab],0)),25,1,1,"Entities"))</f>
        <v>no</v>
      </c>
      <c r="CS358" s="71">
        <v>1</v>
      </c>
      <c r="CT358" s="71">
        <v>1</v>
      </c>
      <c r="CU358" s="71" t="b">
        <v>0</v>
      </c>
      <c r="DS358" t="s">
        <v>510</v>
      </c>
      <c r="DT358">
        <v>1</v>
      </c>
      <c r="DU358">
        <v>140</v>
      </c>
      <c r="DV358">
        <v>100</v>
      </c>
      <c r="DW358" s="74">
        <f ca="1">INDIRECT(ADDRESS(11+(MATCH(RIGHT(Table14[[#This Row],[spawner_sku]],LEN(Table14[[#This Row],[spawner_sku]])-FIND("/",Table14[[#This Row],[spawner_sku]])),Table1[Entity Prefab],0)),10,1,1,"Entities"))</f>
        <v>90</v>
      </c>
      <c r="DX358" s="74">
        <f ca="1">ROUND((Table14[[#This Row],[XP]]*Table14[[#This Row],[entity_spawned (AVG)]])*(Table14[[#This Row],[activating_chance]]/100),0)</f>
        <v>90</v>
      </c>
      <c r="DY358" s="144" t="str">
        <f ca="1">INDIRECT(ADDRESS(11+(MATCH(RIGHT(Table14[[#This Row],[spawner_sku]],LEN(Table14[[#This Row],[spawner_sku]])-FIND("/",Table14[[#This Row],[spawner_sku]])),Table28[Entity Prefab],0)),25,1,1,"Entities"))</f>
        <v>no</v>
      </c>
      <c r="DZ358" s="71">
        <v>1</v>
      </c>
      <c r="EA358" s="71">
        <v>1</v>
      </c>
      <c r="EB358" s="71" t="b">
        <v>0</v>
      </c>
      <c r="EC358" s="71"/>
    </row>
    <row r="359" spans="2:133" x14ac:dyDescent="0.25">
      <c r="B359" s="72" t="s">
        <v>232</v>
      </c>
      <c r="C359">
        <v>10.5</v>
      </c>
      <c r="D359">
        <v>180</v>
      </c>
      <c r="E359">
        <v>100</v>
      </c>
      <c r="F359" s="74">
        <f ca="1">INDIRECT(ADDRESS(11+(MATCH(RIGHT(Table245[[#This Row],[spawner_sku]],LEN(Table245[[#This Row],[spawner_sku]])-FIND("/",Table245[[#This Row],[spawner_sku]])),Table1[Entity Prefab],0)),10,1,1,"Entities"))</f>
        <v>25</v>
      </c>
      <c r="G359" s="74">
        <f ca="1">ROUND((Table245[[#This Row],[XP]]*Table245[[#This Row],[entity_spawned (AVG)]])*(Table245[[#This Row],[activating_chance]]/100),0)</f>
        <v>263</v>
      </c>
      <c r="H359" s="71" t="str">
        <f ca="1">INDIRECT(ADDRESS(11+(MATCH(RIGHT(Table245[[#This Row],[spawner_sku]],LEN(Table245[[#This Row],[spawner_sku]])-FIND("/",Table245[[#This Row],[spawner_sku]])),Table28[Entity Prefab],0)),24,1,1,"Entities"))</f>
        <v>no</v>
      </c>
      <c r="I359" s="71">
        <v>6</v>
      </c>
      <c r="J359" s="71">
        <v>15</v>
      </c>
      <c r="K359" s="71" t="b">
        <v>1</v>
      </c>
      <c r="AI359" t="s">
        <v>242</v>
      </c>
      <c r="AJ359">
        <v>1</v>
      </c>
      <c r="AK359">
        <v>180</v>
      </c>
      <c r="AL359">
        <v>80</v>
      </c>
      <c r="AM359" s="74">
        <f ca="1">INDIRECT(ADDRESS(11+(MATCH(RIGHT(Table2[[#This Row],[spawner_sku]],LEN(Table2[[#This Row],[spawner_sku]])-FIND("/",Table2[[#This Row],[spawner_sku]])),Table1[Entity Prefab],0)),10,1,1,"Entities"))</f>
        <v>25</v>
      </c>
      <c r="AN359" s="74">
        <f ca="1">ROUND((Table2[[#This Row],[XP]]*Table2[[#This Row],[entity_spawned (AVG)]])*(Table2[[#This Row],[activating_chance]]/100),0)</f>
        <v>20</v>
      </c>
      <c r="AO359" s="71" t="str">
        <f ca="1">INDIRECT(ADDRESS(11+(MATCH(RIGHT(Table2[[#This Row],[spawner_sku]],LEN(Table2[[#This Row],[spawner_sku]])-FIND("/",Table2[[#This Row],[spawner_sku]])),Table28[Entity Prefab],0)),24,1,1,"Entities"))</f>
        <v>no</v>
      </c>
      <c r="AP359" s="71">
        <v>1</v>
      </c>
      <c r="AQ359" s="71">
        <v>1</v>
      </c>
      <c r="AR359" s="71" t="b">
        <v>0</v>
      </c>
      <c r="BP359" t="s">
        <v>377</v>
      </c>
      <c r="BQ359">
        <v>1</v>
      </c>
      <c r="BR359">
        <v>100</v>
      </c>
      <c r="BS359">
        <v>100</v>
      </c>
      <c r="BT359" s="74">
        <f ca="1">INDIRECT(ADDRESS(11+(MATCH(RIGHT(Table61011[[#This Row],[spawner_sku]],LEN(Table61011[[#This Row],[spawner_sku]])-FIND("/",Table61011[[#This Row],[spawner_sku]])),Table1[Entity Prefab],0)),10,1,1,"Entities"))</f>
        <v>25</v>
      </c>
      <c r="BU359" s="74">
        <f ca="1">ROUND((Table61011[[#This Row],[XP]]*Table61011[[#This Row],[entity_spawned (AVG)]])*(Table61011[[#This Row],[activating_chance]]/100),0)</f>
        <v>25</v>
      </c>
      <c r="BV359" s="71" t="str">
        <f ca="1">INDIRECT(ADDRESS(11+(MATCH(RIGHT(Table61011[[#This Row],[spawner_sku]],LEN(Table61011[[#This Row],[spawner_sku]])-FIND("/",Table61011[[#This Row],[spawner_sku]])),Table28[Entity Prefab],0)),24,1,1,"Entities"))</f>
        <v>no</v>
      </c>
      <c r="BW359" s="71">
        <v>1</v>
      </c>
      <c r="BX359" s="71">
        <v>1</v>
      </c>
      <c r="BY359" s="71" t="b">
        <v>0</v>
      </c>
      <c r="BZ359" s="71"/>
      <c r="CA359" s="147" t="s">
        <v>3816</v>
      </c>
      <c r="CB359">
        <v>1</v>
      </c>
      <c r="CC359">
        <v>240</v>
      </c>
      <c r="CD359">
        <v>100</v>
      </c>
      <c r="CE359" s="74">
        <f ca="1">INDIRECT(ADDRESS(11+(MATCH(RIGHT(Table35[[#This Row],[spawner_sku]],LEN(Table35[[#This Row],[spawner_sku]])-FIND("/",Table35[[#This Row],[spawner_sku]])),Table1[Entity Prefab],0)),10,1,1,"Entities"))</f>
        <v>50</v>
      </c>
      <c r="CF359" s="74">
        <f ca="1">ROUND((Table35[[#This Row],[XP]]*Table35[[#This Row],[entity_spawned (AVG)]])*(Table35[[#This Row],[activating_chance]]/100),0)</f>
        <v>50</v>
      </c>
      <c r="CG359" s="144" t="str">
        <f ca="1">INDIRECT(ADDRESS(11+(MATCH(RIGHT(Table35[[#This Row],[spawner_sku]],LEN(Table35[[#This Row],[spawner_sku]])-FIND("/",Table35[[#This Row],[spawner_sku]])),Table28[Entity Prefab],0)),24,1,1,"Entities"))</f>
        <v>no</v>
      </c>
      <c r="CH359">
        <v>1</v>
      </c>
      <c r="CI359">
        <v>1</v>
      </c>
      <c r="CJ359" s="71" t="b">
        <v>0</v>
      </c>
      <c r="CL359" t="s">
        <v>233</v>
      </c>
      <c r="CM359">
        <v>1</v>
      </c>
      <c r="CN359">
        <v>500</v>
      </c>
      <c r="CO359">
        <v>75</v>
      </c>
      <c r="CP359" s="74">
        <f ca="1">INDIRECT(ADDRESS(11+(MATCH(RIGHT(Table11[[#This Row],[spawner_sku]],LEN(Table11[[#This Row],[spawner_sku]])-FIND("/",Table11[[#This Row],[spawner_sku]])),Table1[Entity Prefab],0)),10,1,1,"Entities"))</f>
        <v>25</v>
      </c>
      <c r="CQ359">
        <f ca="1">ROUND((Table11[[#This Row],[XP]]*Table11[[#This Row],[entity_spawned (AVG)]])*(Table11[[#This Row],[activating_chance]]/100),0)</f>
        <v>19</v>
      </c>
      <c r="CR359" s="144" t="str">
        <f ca="1">INDIRECT(ADDRESS(11+(MATCH(RIGHT(Table11[[#This Row],[spawner_sku]],LEN(Table11[[#This Row],[spawner_sku]])-FIND("/",Table11[[#This Row],[spawner_sku]])),Table28[Entity Prefab],0)),25,1,1,"Entities"))</f>
        <v>no</v>
      </c>
      <c r="CS359" s="71">
        <v>1</v>
      </c>
      <c r="CT359" s="71">
        <v>1</v>
      </c>
      <c r="CU359" s="71" t="b">
        <v>0</v>
      </c>
      <c r="DS359" t="s">
        <v>510</v>
      </c>
      <c r="DT359">
        <v>1</v>
      </c>
      <c r="DU359">
        <v>140</v>
      </c>
      <c r="DV359">
        <v>100</v>
      </c>
      <c r="DW359" s="74">
        <f ca="1">INDIRECT(ADDRESS(11+(MATCH(RIGHT(Table14[[#This Row],[spawner_sku]],LEN(Table14[[#This Row],[spawner_sku]])-FIND("/",Table14[[#This Row],[spawner_sku]])),Table1[Entity Prefab],0)),10,1,1,"Entities"))</f>
        <v>90</v>
      </c>
      <c r="DX359" s="74">
        <f ca="1">ROUND((Table14[[#This Row],[XP]]*Table14[[#This Row],[entity_spawned (AVG)]])*(Table14[[#This Row],[activating_chance]]/100),0)</f>
        <v>90</v>
      </c>
      <c r="DY359" s="144" t="str">
        <f ca="1">INDIRECT(ADDRESS(11+(MATCH(RIGHT(Table14[[#This Row],[spawner_sku]],LEN(Table14[[#This Row],[spawner_sku]])-FIND("/",Table14[[#This Row],[spawner_sku]])),Table28[Entity Prefab],0)),25,1,1,"Entities"))</f>
        <v>no</v>
      </c>
      <c r="DZ359" s="71">
        <v>1</v>
      </c>
      <c r="EA359" s="71">
        <v>1</v>
      </c>
      <c r="EB359" s="71" t="b">
        <v>0</v>
      </c>
      <c r="EC359" s="71"/>
    </row>
    <row r="360" spans="2:133" x14ac:dyDescent="0.25">
      <c r="B360" s="72" t="s">
        <v>232</v>
      </c>
      <c r="C360">
        <v>8</v>
      </c>
      <c r="D360">
        <v>160</v>
      </c>
      <c r="E360">
        <v>100</v>
      </c>
      <c r="F360" s="74">
        <f ca="1">INDIRECT(ADDRESS(11+(MATCH(RIGHT(Table245[[#This Row],[spawner_sku]],LEN(Table245[[#This Row],[spawner_sku]])-FIND("/",Table245[[#This Row],[spawner_sku]])),Table1[Entity Prefab],0)),10,1,1,"Entities"))</f>
        <v>25</v>
      </c>
      <c r="G360" s="74">
        <f ca="1">ROUND((Table245[[#This Row],[XP]]*Table245[[#This Row],[entity_spawned (AVG)]])*(Table245[[#This Row],[activating_chance]]/100),0)</f>
        <v>200</v>
      </c>
      <c r="H360" s="71" t="str">
        <f ca="1">INDIRECT(ADDRESS(11+(MATCH(RIGHT(Table245[[#This Row],[spawner_sku]],LEN(Table245[[#This Row],[spawner_sku]])-FIND("/",Table245[[#This Row],[spawner_sku]])),Table28[Entity Prefab],0)),24,1,1,"Entities"))</f>
        <v>no</v>
      </c>
      <c r="I360" s="71">
        <v>6</v>
      </c>
      <c r="J360" s="71">
        <v>10</v>
      </c>
      <c r="K360" s="71" t="b">
        <v>1</v>
      </c>
      <c r="AI360" t="s">
        <v>242</v>
      </c>
      <c r="AJ360">
        <v>2</v>
      </c>
      <c r="AK360">
        <v>140</v>
      </c>
      <c r="AL360">
        <v>95</v>
      </c>
      <c r="AM360" s="74">
        <f ca="1">INDIRECT(ADDRESS(11+(MATCH(RIGHT(Table2[[#This Row],[spawner_sku]],LEN(Table2[[#This Row],[spawner_sku]])-FIND("/",Table2[[#This Row],[spawner_sku]])),Table1[Entity Prefab],0)),10,1,1,"Entities"))</f>
        <v>25</v>
      </c>
      <c r="AN360" s="74">
        <f ca="1">ROUND((Table2[[#This Row],[XP]]*Table2[[#This Row],[entity_spawned (AVG)]])*(Table2[[#This Row],[activating_chance]]/100),0)</f>
        <v>48</v>
      </c>
      <c r="AO360" s="71" t="str">
        <f ca="1">INDIRECT(ADDRESS(11+(MATCH(RIGHT(Table2[[#This Row],[spawner_sku]],LEN(Table2[[#This Row],[spawner_sku]])-FIND("/",Table2[[#This Row],[spawner_sku]])),Table28[Entity Prefab],0)),24,1,1,"Entities"))</f>
        <v>no</v>
      </c>
      <c r="AP360" s="71">
        <v>2</v>
      </c>
      <c r="AQ360" s="71">
        <v>2</v>
      </c>
      <c r="AR360" s="71" t="b">
        <v>0</v>
      </c>
      <c r="BP360" t="s">
        <v>426</v>
      </c>
      <c r="BQ360">
        <v>1</v>
      </c>
      <c r="BR360">
        <v>80</v>
      </c>
      <c r="BS360">
        <v>100</v>
      </c>
      <c r="BT360" s="74">
        <f ca="1">INDIRECT(ADDRESS(11+(MATCH(RIGHT(Table61011[[#This Row],[spawner_sku]],LEN(Table61011[[#This Row],[spawner_sku]])-FIND("/",Table61011[[#This Row],[spawner_sku]])),Table1[Entity Prefab],0)),10,1,1,"Entities"))</f>
        <v>25</v>
      </c>
      <c r="BU360" s="74">
        <f ca="1">ROUND((Table61011[[#This Row],[XP]]*Table61011[[#This Row],[entity_spawned (AVG)]])*(Table61011[[#This Row],[activating_chance]]/100),0)</f>
        <v>25</v>
      </c>
      <c r="BV360" s="71" t="str">
        <f ca="1">INDIRECT(ADDRESS(11+(MATCH(RIGHT(Table61011[[#This Row],[spawner_sku]],LEN(Table61011[[#This Row],[spawner_sku]])-FIND("/",Table61011[[#This Row],[spawner_sku]])),Table28[Entity Prefab],0)),24,1,1,"Entities"))</f>
        <v>no</v>
      </c>
      <c r="BW360" s="71">
        <v>1</v>
      </c>
      <c r="BX360" s="71">
        <v>1</v>
      </c>
      <c r="BY360" s="71" t="b">
        <v>0</v>
      </c>
      <c r="BZ360" s="71"/>
      <c r="CA360" s="147" t="s">
        <v>3816</v>
      </c>
      <c r="CB360">
        <v>1</v>
      </c>
      <c r="CC360">
        <v>240</v>
      </c>
      <c r="CD360">
        <v>100</v>
      </c>
      <c r="CE360" s="74">
        <f ca="1">INDIRECT(ADDRESS(11+(MATCH(RIGHT(Table35[[#This Row],[spawner_sku]],LEN(Table35[[#This Row],[spawner_sku]])-FIND("/",Table35[[#This Row],[spawner_sku]])),Table1[Entity Prefab],0)),10,1,1,"Entities"))</f>
        <v>50</v>
      </c>
      <c r="CF360" s="74">
        <f ca="1">ROUND((Table35[[#This Row],[XP]]*Table35[[#This Row],[entity_spawned (AVG)]])*(Table35[[#This Row],[activating_chance]]/100),0)</f>
        <v>50</v>
      </c>
      <c r="CG360" s="144" t="str">
        <f ca="1">INDIRECT(ADDRESS(11+(MATCH(RIGHT(Table35[[#This Row],[spawner_sku]],LEN(Table35[[#This Row],[spawner_sku]])-FIND("/",Table35[[#This Row],[spawner_sku]])),Table28[Entity Prefab],0)),24,1,1,"Entities"))</f>
        <v>no</v>
      </c>
      <c r="CH360">
        <v>1</v>
      </c>
      <c r="CI360">
        <v>1</v>
      </c>
      <c r="CJ360" s="71" t="b">
        <v>0</v>
      </c>
      <c r="CL360" t="s">
        <v>233</v>
      </c>
      <c r="CM360">
        <v>1</v>
      </c>
      <c r="CN360">
        <v>500</v>
      </c>
      <c r="CO360">
        <v>100</v>
      </c>
      <c r="CP360" s="74">
        <f ca="1">INDIRECT(ADDRESS(11+(MATCH(RIGHT(Table11[[#This Row],[spawner_sku]],LEN(Table11[[#This Row],[spawner_sku]])-FIND("/",Table11[[#This Row],[spawner_sku]])),Table1[Entity Prefab],0)),10,1,1,"Entities"))</f>
        <v>25</v>
      </c>
      <c r="CQ360">
        <f ca="1">ROUND((Table11[[#This Row],[XP]]*Table11[[#This Row],[entity_spawned (AVG)]])*(Table11[[#This Row],[activating_chance]]/100),0)</f>
        <v>25</v>
      </c>
      <c r="CR360" s="144" t="str">
        <f ca="1">INDIRECT(ADDRESS(11+(MATCH(RIGHT(Table11[[#This Row],[spawner_sku]],LEN(Table11[[#This Row],[spawner_sku]])-FIND("/",Table11[[#This Row],[spawner_sku]])),Table28[Entity Prefab],0)),25,1,1,"Entities"))</f>
        <v>no</v>
      </c>
      <c r="CS360" s="71">
        <v>1</v>
      </c>
      <c r="CT360" s="71">
        <v>1</v>
      </c>
      <c r="CU360" s="71" t="b">
        <v>0</v>
      </c>
      <c r="DS360" t="s">
        <v>510</v>
      </c>
      <c r="DT360">
        <v>1</v>
      </c>
      <c r="DU360">
        <v>145</v>
      </c>
      <c r="DV360">
        <v>100</v>
      </c>
      <c r="DW360" s="74">
        <f ca="1">INDIRECT(ADDRESS(11+(MATCH(RIGHT(Table14[[#This Row],[spawner_sku]],LEN(Table14[[#This Row],[spawner_sku]])-FIND("/",Table14[[#This Row],[spawner_sku]])),Table1[Entity Prefab],0)),10,1,1,"Entities"))</f>
        <v>90</v>
      </c>
      <c r="DX360" s="74">
        <f ca="1">ROUND((Table14[[#This Row],[XP]]*Table14[[#This Row],[entity_spawned (AVG)]])*(Table14[[#This Row],[activating_chance]]/100),0)</f>
        <v>90</v>
      </c>
      <c r="DY360" s="144" t="str">
        <f ca="1">INDIRECT(ADDRESS(11+(MATCH(RIGHT(Table14[[#This Row],[spawner_sku]],LEN(Table14[[#This Row],[spawner_sku]])-FIND("/",Table14[[#This Row],[spawner_sku]])),Table28[Entity Prefab],0)),25,1,1,"Entities"))</f>
        <v>no</v>
      </c>
      <c r="DZ360" s="71">
        <v>1</v>
      </c>
      <c r="EA360" s="71">
        <v>1</v>
      </c>
      <c r="EB360" s="71" t="b">
        <v>0</v>
      </c>
      <c r="EC360" s="71"/>
    </row>
    <row r="361" spans="2:133" x14ac:dyDescent="0.25">
      <c r="B361" s="72" t="s">
        <v>232</v>
      </c>
      <c r="C361">
        <v>8</v>
      </c>
      <c r="D361">
        <v>160</v>
      </c>
      <c r="E361">
        <v>100</v>
      </c>
      <c r="F361" s="74">
        <f ca="1">INDIRECT(ADDRESS(11+(MATCH(RIGHT(Table245[[#This Row],[spawner_sku]],LEN(Table245[[#This Row],[spawner_sku]])-FIND("/",Table245[[#This Row],[spawner_sku]])),Table1[Entity Prefab],0)),10,1,1,"Entities"))</f>
        <v>25</v>
      </c>
      <c r="G361" s="74">
        <f ca="1">ROUND((Table245[[#This Row],[XP]]*Table245[[#This Row],[entity_spawned (AVG)]])*(Table245[[#This Row],[activating_chance]]/100),0)</f>
        <v>200</v>
      </c>
      <c r="H361" s="71" t="str">
        <f ca="1">INDIRECT(ADDRESS(11+(MATCH(RIGHT(Table245[[#This Row],[spawner_sku]],LEN(Table245[[#This Row],[spawner_sku]])-FIND("/",Table245[[#This Row],[spawner_sku]])),Table28[Entity Prefab],0)),24,1,1,"Entities"))</f>
        <v>no</v>
      </c>
      <c r="I361" s="71">
        <v>6</v>
      </c>
      <c r="J361" s="71">
        <v>10</v>
      </c>
      <c r="K361" s="71" t="b">
        <v>1</v>
      </c>
      <c r="AI361" t="s">
        <v>242</v>
      </c>
      <c r="AJ361">
        <v>1</v>
      </c>
      <c r="AK361">
        <v>180</v>
      </c>
      <c r="AL361">
        <v>100</v>
      </c>
      <c r="AM361" s="74">
        <f ca="1">INDIRECT(ADDRESS(11+(MATCH(RIGHT(Table2[[#This Row],[spawner_sku]],LEN(Table2[[#This Row],[spawner_sku]])-FIND("/",Table2[[#This Row],[spawner_sku]])),Table1[Entity Prefab],0)),10,1,1,"Entities"))</f>
        <v>25</v>
      </c>
      <c r="AN361" s="74">
        <f ca="1">ROUND((Table2[[#This Row],[XP]]*Table2[[#This Row],[entity_spawned (AVG)]])*(Table2[[#This Row],[activating_chance]]/100),0)</f>
        <v>25</v>
      </c>
      <c r="AO361" s="71" t="str">
        <f ca="1">INDIRECT(ADDRESS(11+(MATCH(RIGHT(Table2[[#This Row],[spawner_sku]],LEN(Table2[[#This Row],[spawner_sku]])-FIND("/",Table2[[#This Row],[spawner_sku]])),Table28[Entity Prefab],0)),24,1,1,"Entities"))</f>
        <v>no</v>
      </c>
      <c r="AP361" s="71">
        <v>1</v>
      </c>
      <c r="AQ361" s="71">
        <v>1</v>
      </c>
      <c r="AR361" s="71" t="b">
        <v>0</v>
      </c>
      <c r="BP361" t="s">
        <v>426</v>
      </c>
      <c r="BQ361">
        <v>2</v>
      </c>
      <c r="BR361">
        <v>100</v>
      </c>
      <c r="BS361">
        <v>85</v>
      </c>
      <c r="BT361" s="74">
        <f ca="1">INDIRECT(ADDRESS(11+(MATCH(RIGHT(Table61011[[#This Row],[spawner_sku]],LEN(Table61011[[#This Row],[spawner_sku]])-FIND("/",Table61011[[#This Row],[spawner_sku]])),Table1[Entity Prefab],0)),10,1,1,"Entities"))</f>
        <v>25</v>
      </c>
      <c r="BU361" s="74">
        <f ca="1">ROUND((Table61011[[#This Row],[XP]]*Table61011[[#This Row],[entity_spawned (AVG)]])*(Table61011[[#This Row],[activating_chance]]/100),0)</f>
        <v>43</v>
      </c>
      <c r="BV361" s="71" t="str">
        <f ca="1">INDIRECT(ADDRESS(11+(MATCH(RIGHT(Table61011[[#This Row],[spawner_sku]],LEN(Table61011[[#This Row],[spawner_sku]])-FIND("/",Table61011[[#This Row],[spawner_sku]])),Table28[Entity Prefab],0)),24,1,1,"Entities"))</f>
        <v>no</v>
      </c>
      <c r="BW361" s="71">
        <v>2</v>
      </c>
      <c r="BX361" s="71">
        <v>2</v>
      </c>
      <c r="BY361" s="71" t="b">
        <v>0</v>
      </c>
      <c r="BZ361" s="71"/>
      <c r="CA361" s="147" t="s">
        <v>3816</v>
      </c>
      <c r="CB361">
        <v>1</v>
      </c>
      <c r="CC361">
        <v>240</v>
      </c>
      <c r="CD361">
        <v>100</v>
      </c>
      <c r="CE361" s="74">
        <f ca="1">INDIRECT(ADDRESS(11+(MATCH(RIGHT(Table35[[#This Row],[spawner_sku]],LEN(Table35[[#This Row],[spawner_sku]])-FIND("/",Table35[[#This Row],[spawner_sku]])),Table1[Entity Prefab],0)),10,1,1,"Entities"))</f>
        <v>50</v>
      </c>
      <c r="CF361" s="74">
        <f ca="1">ROUND((Table35[[#This Row],[XP]]*Table35[[#This Row],[entity_spawned (AVG)]])*(Table35[[#This Row],[activating_chance]]/100),0)</f>
        <v>50</v>
      </c>
      <c r="CG361" s="144" t="str">
        <f ca="1">INDIRECT(ADDRESS(11+(MATCH(RIGHT(Table35[[#This Row],[spawner_sku]],LEN(Table35[[#This Row],[spawner_sku]])-FIND("/",Table35[[#This Row],[spawner_sku]])),Table28[Entity Prefab],0)),24,1,1,"Entities"))</f>
        <v>no</v>
      </c>
      <c r="CH361">
        <v>1</v>
      </c>
      <c r="CI361">
        <v>1</v>
      </c>
      <c r="CJ361" s="71" t="b">
        <v>0</v>
      </c>
      <c r="CL361" t="s">
        <v>233</v>
      </c>
      <c r="CM361">
        <v>1</v>
      </c>
      <c r="CN361">
        <v>500</v>
      </c>
      <c r="CO361">
        <v>100</v>
      </c>
      <c r="CP361" s="74">
        <f ca="1">INDIRECT(ADDRESS(11+(MATCH(RIGHT(Table11[[#This Row],[spawner_sku]],LEN(Table11[[#This Row],[spawner_sku]])-FIND("/",Table11[[#This Row],[spawner_sku]])),Table1[Entity Prefab],0)),10,1,1,"Entities"))</f>
        <v>25</v>
      </c>
      <c r="CQ361">
        <f ca="1">ROUND((Table11[[#This Row],[XP]]*Table11[[#This Row],[entity_spawned (AVG)]])*(Table11[[#This Row],[activating_chance]]/100),0)</f>
        <v>25</v>
      </c>
      <c r="CR361" s="144" t="str">
        <f ca="1">INDIRECT(ADDRESS(11+(MATCH(RIGHT(Table11[[#This Row],[spawner_sku]],LEN(Table11[[#This Row],[spawner_sku]])-FIND("/",Table11[[#This Row],[spawner_sku]])),Table28[Entity Prefab],0)),25,1,1,"Entities"))</f>
        <v>no</v>
      </c>
      <c r="CS361" s="71">
        <v>1</v>
      </c>
      <c r="CT361" s="71">
        <v>1</v>
      </c>
      <c r="CU361" s="71" t="b">
        <v>0</v>
      </c>
      <c r="DS361" t="s">
        <v>510</v>
      </c>
      <c r="DT361">
        <v>1</v>
      </c>
      <c r="DU361">
        <v>130</v>
      </c>
      <c r="DV361">
        <v>80</v>
      </c>
      <c r="DW361" s="74">
        <f ca="1">INDIRECT(ADDRESS(11+(MATCH(RIGHT(Table14[[#This Row],[spawner_sku]],LEN(Table14[[#This Row],[spawner_sku]])-FIND("/",Table14[[#This Row],[spawner_sku]])),Table1[Entity Prefab],0)),10,1,1,"Entities"))</f>
        <v>90</v>
      </c>
      <c r="DX361" s="74">
        <f ca="1">ROUND((Table14[[#This Row],[XP]]*Table14[[#This Row],[entity_spawned (AVG)]])*(Table14[[#This Row],[activating_chance]]/100),0)</f>
        <v>72</v>
      </c>
      <c r="DY361" s="144" t="str">
        <f ca="1">INDIRECT(ADDRESS(11+(MATCH(RIGHT(Table14[[#This Row],[spawner_sku]],LEN(Table14[[#This Row],[spawner_sku]])-FIND("/",Table14[[#This Row],[spawner_sku]])),Table28[Entity Prefab],0)),25,1,1,"Entities"))</f>
        <v>no</v>
      </c>
      <c r="DZ361" s="71">
        <v>1</v>
      </c>
      <c r="EA361" s="71">
        <v>1</v>
      </c>
      <c r="EB361" s="71" t="b">
        <v>0</v>
      </c>
      <c r="EC361" s="71"/>
    </row>
    <row r="362" spans="2:133" x14ac:dyDescent="0.25">
      <c r="B362" s="72" t="s">
        <v>232</v>
      </c>
      <c r="C362">
        <v>5.5</v>
      </c>
      <c r="D362">
        <v>150</v>
      </c>
      <c r="E362">
        <v>100</v>
      </c>
      <c r="F362" s="74">
        <f ca="1">INDIRECT(ADDRESS(11+(MATCH(RIGHT(Table245[[#This Row],[spawner_sku]],LEN(Table245[[#This Row],[spawner_sku]])-FIND("/",Table245[[#This Row],[spawner_sku]])),Table1[Entity Prefab],0)),10,1,1,"Entities"))</f>
        <v>25</v>
      </c>
      <c r="G362" s="74">
        <f ca="1">ROUND((Table245[[#This Row],[XP]]*Table245[[#This Row],[entity_spawned (AVG)]])*(Table245[[#This Row],[activating_chance]]/100),0)</f>
        <v>138</v>
      </c>
      <c r="H362" s="71" t="str">
        <f ca="1">INDIRECT(ADDRESS(11+(MATCH(RIGHT(Table245[[#This Row],[spawner_sku]],LEN(Table245[[#This Row],[spawner_sku]])-FIND("/",Table245[[#This Row],[spawner_sku]])),Table28[Entity Prefab],0)),24,1,1,"Entities"))</f>
        <v>no</v>
      </c>
      <c r="I362" s="71">
        <v>5</v>
      </c>
      <c r="J362" s="71">
        <v>6</v>
      </c>
      <c r="K362" s="71" t="b">
        <v>1</v>
      </c>
      <c r="AI362" t="s">
        <v>242</v>
      </c>
      <c r="AJ362">
        <v>1</v>
      </c>
      <c r="AK362">
        <v>170</v>
      </c>
      <c r="AL362">
        <v>100</v>
      </c>
      <c r="AM362" s="74">
        <f ca="1">INDIRECT(ADDRESS(11+(MATCH(RIGHT(Table2[[#This Row],[spawner_sku]],LEN(Table2[[#This Row],[spawner_sku]])-FIND("/",Table2[[#This Row],[spawner_sku]])),Table1[Entity Prefab],0)),10,1,1,"Entities"))</f>
        <v>25</v>
      </c>
      <c r="AN362" s="74">
        <f ca="1">ROUND((Table2[[#This Row],[XP]]*Table2[[#This Row],[entity_spawned (AVG)]])*(Table2[[#This Row],[activating_chance]]/100),0)</f>
        <v>25</v>
      </c>
      <c r="AO362" s="71" t="str">
        <f ca="1">INDIRECT(ADDRESS(11+(MATCH(RIGHT(Table2[[#This Row],[spawner_sku]],LEN(Table2[[#This Row],[spawner_sku]])-FIND("/",Table2[[#This Row],[spawner_sku]])),Table28[Entity Prefab],0)),24,1,1,"Entities"))</f>
        <v>no</v>
      </c>
      <c r="AP362" s="71">
        <v>1</v>
      </c>
      <c r="AQ362" s="71">
        <v>1</v>
      </c>
      <c r="AR362" s="71" t="b">
        <v>0</v>
      </c>
      <c r="BP362" t="s">
        <v>332</v>
      </c>
      <c r="BQ362">
        <v>1</v>
      </c>
      <c r="BR362">
        <v>150</v>
      </c>
      <c r="BS362">
        <v>100</v>
      </c>
      <c r="BT362" s="74">
        <f ca="1">INDIRECT(ADDRESS(11+(MATCH(RIGHT(Table61011[[#This Row],[spawner_sku]],LEN(Table61011[[#This Row],[spawner_sku]])-FIND("/",Table61011[[#This Row],[spawner_sku]])),Table1[Entity Prefab],0)),10,1,1,"Entities"))</f>
        <v>50</v>
      </c>
      <c r="BU362" s="74">
        <f ca="1">ROUND((Table61011[[#This Row],[XP]]*Table61011[[#This Row],[entity_spawned (AVG)]])*(Table61011[[#This Row],[activating_chance]]/100),0)</f>
        <v>50</v>
      </c>
      <c r="BV362" s="71" t="str">
        <f ca="1">INDIRECT(ADDRESS(11+(MATCH(RIGHT(Table61011[[#This Row],[spawner_sku]],LEN(Table61011[[#This Row],[spawner_sku]])-FIND("/",Table61011[[#This Row],[spawner_sku]])),Table28[Entity Prefab],0)),24,1,1,"Entities"))</f>
        <v>no</v>
      </c>
      <c r="BW362" s="71">
        <v>1</v>
      </c>
      <c r="BX362" s="71">
        <v>1</v>
      </c>
      <c r="BY362" s="71" t="b">
        <v>0</v>
      </c>
      <c r="BZ362" s="71"/>
      <c r="CA362" s="147" t="s">
        <v>3816</v>
      </c>
      <c r="CB362">
        <v>1</v>
      </c>
      <c r="CC362">
        <v>240</v>
      </c>
      <c r="CD362">
        <v>100</v>
      </c>
      <c r="CE362" s="74">
        <f ca="1">INDIRECT(ADDRESS(11+(MATCH(RIGHT(Table35[[#This Row],[spawner_sku]],LEN(Table35[[#This Row],[spawner_sku]])-FIND("/",Table35[[#This Row],[spawner_sku]])),Table1[Entity Prefab],0)),10,1,1,"Entities"))</f>
        <v>50</v>
      </c>
      <c r="CF362" s="74">
        <f ca="1">ROUND((Table35[[#This Row],[XP]]*Table35[[#This Row],[entity_spawned (AVG)]])*(Table35[[#This Row],[activating_chance]]/100),0)</f>
        <v>50</v>
      </c>
      <c r="CG362" s="144" t="str">
        <f ca="1">INDIRECT(ADDRESS(11+(MATCH(RIGHT(Table35[[#This Row],[spawner_sku]],LEN(Table35[[#This Row],[spawner_sku]])-FIND("/",Table35[[#This Row],[spawner_sku]])),Table28[Entity Prefab],0)),24,1,1,"Entities"))</f>
        <v>no</v>
      </c>
      <c r="CH362">
        <v>1</v>
      </c>
      <c r="CI362">
        <v>1</v>
      </c>
      <c r="CJ362" s="71" t="b">
        <v>0</v>
      </c>
      <c r="CL362" t="s">
        <v>233</v>
      </c>
      <c r="CM362">
        <v>1</v>
      </c>
      <c r="CN362">
        <v>500</v>
      </c>
      <c r="CO362">
        <v>75</v>
      </c>
      <c r="CP362" s="74">
        <f ca="1">INDIRECT(ADDRESS(11+(MATCH(RIGHT(Table11[[#This Row],[spawner_sku]],LEN(Table11[[#This Row],[spawner_sku]])-FIND("/",Table11[[#This Row],[spawner_sku]])),Table1[Entity Prefab],0)),10,1,1,"Entities"))</f>
        <v>25</v>
      </c>
      <c r="CQ362">
        <f ca="1">ROUND((Table11[[#This Row],[XP]]*Table11[[#This Row],[entity_spawned (AVG)]])*(Table11[[#This Row],[activating_chance]]/100),0)</f>
        <v>19</v>
      </c>
      <c r="CR362" s="144" t="str">
        <f ca="1">INDIRECT(ADDRESS(11+(MATCH(RIGHT(Table11[[#This Row],[spawner_sku]],LEN(Table11[[#This Row],[spawner_sku]])-FIND("/",Table11[[#This Row],[spawner_sku]])),Table28[Entity Prefab],0)),25,1,1,"Entities"))</f>
        <v>no</v>
      </c>
      <c r="CS362" s="71">
        <v>1</v>
      </c>
      <c r="CT362" s="71">
        <v>1</v>
      </c>
      <c r="CU362" s="71" t="b">
        <v>0</v>
      </c>
      <c r="DS362" t="s">
        <v>510</v>
      </c>
      <c r="DT362">
        <v>2</v>
      </c>
      <c r="DU362">
        <v>160</v>
      </c>
      <c r="DV362">
        <v>100</v>
      </c>
      <c r="DW362" s="74">
        <f ca="1">INDIRECT(ADDRESS(11+(MATCH(RIGHT(Table14[[#This Row],[spawner_sku]],LEN(Table14[[#This Row],[spawner_sku]])-FIND("/",Table14[[#This Row],[spawner_sku]])),Table1[Entity Prefab],0)),10,1,1,"Entities"))</f>
        <v>90</v>
      </c>
      <c r="DX362" s="74">
        <f ca="1">ROUND((Table14[[#This Row],[XP]]*Table14[[#This Row],[entity_spawned (AVG)]])*(Table14[[#This Row],[activating_chance]]/100),0)</f>
        <v>180</v>
      </c>
      <c r="DY362" s="144" t="str">
        <f ca="1">INDIRECT(ADDRESS(11+(MATCH(RIGHT(Table14[[#This Row],[spawner_sku]],LEN(Table14[[#This Row],[spawner_sku]])-FIND("/",Table14[[#This Row],[spawner_sku]])),Table28[Entity Prefab],0)),25,1,1,"Entities"))</f>
        <v>no</v>
      </c>
      <c r="DZ362" s="71">
        <v>1</v>
      </c>
      <c r="EA362" s="71">
        <v>3</v>
      </c>
      <c r="EB362" s="71" t="b">
        <v>0</v>
      </c>
      <c r="EC362" s="71"/>
    </row>
    <row r="363" spans="2:133" x14ac:dyDescent="0.25">
      <c r="B363" s="72" t="s">
        <v>232</v>
      </c>
      <c r="C363">
        <v>3.5</v>
      </c>
      <c r="D363">
        <v>60</v>
      </c>
      <c r="E363">
        <v>100</v>
      </c>
      <c r="F363" s="74">
        <f ca="1">INDIRECT(ADDRESS(11+(MATCH(RIGHT(Table245[[#This Row],[spawner_sku]],LEN(Table245[[#This Row],[spawner_sku]])-FIND("/",Table245[[#This Row],[spawner_sku]])),Table1[Entity Prefab],0)),10,1,1,"Entities"))</f>
        <v>25</v>
      </c>
      <c r="G363" s="74">
        <f ca="1">ROUND((Table245[[#This Row],[XP]]*Table245[[#This Row],[entity_spawned (AVG)]])*(Table245[[#This Row],[activating_chance]]/100),0)</f>
        <v>88</v>
      </c>
      <c r="H363" s="71" t="str">
        <f ca="1">INDIRECT(ADDRESS(11+(MATCH(RIGHT(Table245[[#This Row],[spawner_sku]],LEN(Table245[[#This Row],[spawner_sku]])-FIND("/",Table245[[#This Row],[spawner_sku]])),Table28[Entity Prefab],0)),24,1,1,"Entities"))</f>
        <v>no</v>
      </c>
      <c r="I363" s="71">
        <v>3</v>
      </c>
      <c r="J363" s="71">
        <v>4</v>
      </c>
      <c r="K363" s="71" t="b">
        <v>0</v>
      </c>
      <c r="AI363" t="s">
        <v>242</v>
      </c>
      <c r="AJ363">
        <v>1</v>
      </c>
      <c r="AK363">
        <v>170</v>
      </c>
      <c r="AL363">
        <v>100</v>
      </c>
      <c r="AM363" s="74">
        <f ca="1">INDIRECT(ADDRESS(11+(MATCH(RIGHT(Table2[[#This Row],[spawner_sku]],LEN(Table2[[#This Row],[spawner_sku]])-FIND("/",Table2[[#This Row],[spawner_sku]])),Table1[Entity Prefab],0)),10,1,1,"Entities"))</f>
        <v>25</v>
      </c>
      <c r="AN363" s="74">
        <f ca="1">ROUND((Table2[[#This Row],[XP]]*Table2[[#This Row],[entity_spawned (AVG)]])*(Table2[[#This Row],[activating_chance]]/100),0)</f>
        <v>25</v>
      </c>
      <c r="AO363" s="71" t="str">
        <f ca="1">INDIRECT(ADDRESS(11+(MATCH(RIGHT(Table2[[#This Row],[spawner_sku]],LEN(Table2[[#This Row],[spawner_sku]])-FIND("/",Table2[[#This Row],[spawner_sku]])),Table28[Entity Prefab],0)),24,1,1,"Entities"))</f>
        <v>no</v>
      </c>
      <c r="AP363" s="71">
        <v>1</v>
      </c>
      <c r="AQ363" s="71">
        <v>1</v>
      </c>
      <c r="AR363" s="71" t="b">
        <v>0</v>
      </c>
      <c r="BP363" t="s">
        <v>239</v>
      </c>
      <c r="BQ363">
        <v>1</v>
      </c>
      <c r="BR363">
        <v>190</v>
      </c>
      <c r="BS363">
        <v>100</v>
      </c>
      <c r="BT363" s="74">
        <f ca="1">INDIRECT(ADDRESS(11+(MATCH(RIGHT(Table61011[[#This Row],[spawner_sku]],LEN(Table61011[[#This Row],[spawner_sku]])-FIND("/",Table61011[[#This Row],[spawner_sku]])),Table1[Entity Prefab],0)),10,1,1,"Entities"))</f>
        <v>75</v>
      </c>
      <c r="BU363" s="74">
        <f ca="1">ROUND((Table61011[[#This Row],[XP]]*Table61011[[#This Row],[entity_spawned (AVG)]])*(Table61011[[#This Row],[activating_chance]]/100),0)</f>
        <v>75</v>
      </c>
      <c r="BV363" s="71" t="str">
        <f ca="1">INDIRECT(ADDRESS(11+(MATCH(RIGHT(Table61011[[#This Row],[spawner_sku]],LEN(Table61011[[#This Row],[spawner_sku]])-FIND("/",Table61011[[#This Row],[spawner_sku]])),Table28[Entity Prefab],0)),24,1,1,"Entities"))</f>
        <v>no</v>
      </c>
      <c r="BW363" s="71">
        <v>1</v>
      </c>
      <c r="BX363" s="71">
        <v>1</v>
      </c>
      <c r="BY363" s="71" t="b">
        <v>0</v>
      </c>
      <c r="BZ363" s="71"/>
      <c r="CA363" s="147" t="s">
        <v>3816</v>
      </c>
      <c r="CB363">
        <v>1</v>
      </c>
      <c r="CC363">
        <v>240</v>
      </c>
      <c r="CD363">
        <v>100</v>
      </c>
      <c r="CE363" s="74">
        <f ca="1">INDIRECT(ADDRESS(11+(MATCH(RIGHT(Table35[[#This Row],[spawner_sku]],LEN(Table35[[#This Row],[spawner_sku]])-FIND("/",Table35[[#This Row],[spawner_sku]])),Table1[Entity Prefab],0)),10,1,1,"Entities"))</f>
        <v>50</v>
      </c>
      <c r="CF363" s="74">
        <f ca="1">ROUND((Table35[[#This Row],[XP]]*Table35[[#This Row],[entity_spawned (AVG)]])*(Table35[[#This Row],[activating_chance]]/100),0)</f>
        <v>50</v>
      </c>
      <c r="CG363" s="144" t="str">
        <f ca="1">INDIRECT(ADDRESS(11+(MATCH(RIGHT(Table35[[#This Row],[spawner_sku]],LEN(Table35[[#This Row],[spawner_sku]])-FIND("/",Table35[[#This Row],[spawner_sku]])),Table28[Entity Prefab],0)),24,1,1,"Entities"))</f>
        <v>no</v>
      </c>
      <c r="CH363">
        <v>1</v>
      </c>
      <c r="CI363">
        <v>1</v>
      </c>
      <c r="CJ363" s="71" t="b">
        <v>0</v>
      </c>
      <c r="CL363" t="s">
        <v>5003</v>
      </c>
      <c r="CM363">
        <v>1</v>
      </c>
      <c r="CN363">
        <v>5000</v>
      </c>
      <c r="CO363">
        <v>40</v>
      </c>
      <c r="CP363" s="74">
        <f ca="1">INDIRECT(ADDRESS(11+(MATCH(RIGHT(Table11[[#This Row],[spawner_sku]],LEN(Table11[[#This Row],[spawner_sku]])-FIND("/",Table11[[#This Row],[spawner_sku]])),Table1[Entity Prefab],0)),10,1,1,"Entities"))</f>
        <v>25</v>
      </c>
      <c r="CQ363">
        <f ca="1">ROUND((Table11[[#This Row],[XP]]*Table11[[#This Row],[entity_spawned (AVG)]])*(Table11[[#This Row],[activating_chance]]/100),0)</f>
        <v>10</v>
      </c>
      <c r="CR363" s="144" t="str">
        <f ca="1">INDIRECT(ADDRESS(11+(MATCH(RIGHT(Table11[[#This Row],[spawner_sku]],LEN(Table11[[#This Row],[spawner_sku]])-FIND("/",Table11[[#This Row],[spawner_sku]])),Table28[Entity Prefab],0)),25,1,1,"Entities"))</f>
        <v>no</v>
      </c>
      <c r="CS363" s="71">
        <v>1</v>
      </c>
      <c r="CT363" s="71">
        <v>1</v>
      </c>
      <c r="CU363" s="71" t="b">
        <v>0</v>
      </c>
      <c r="DS363" t="s">
        <v>510</v>
      </c>
      <c r="DT363">
        <v>1</v>
      </c>
      <c r="DU363">
        <v>160</v>
      </c>
      <c r="DV363">
        <v>100</v>
      </c>
      <c r="DW363" s="74">
        <f ca="1">INDIRECT(ADDRESS(11+(MATCH(RIGHT(Table14[[#This Row],[spawner_sku]],LEN(Table14[[#This Row],[spawner_sku]])-FIND("/",Table14[[#This Row],[spawner_sku]])),Table1[Entity Prefab],0)),10,1,1,"Entities"))</f>
        <v>90</v>
      </c>
      <c r="DX363" s="74">
        <f ca="1">ROUND((Table14[[#This Row],[XP]]*Table14[[#This Row],[entity_spawned (AVG)]])*(Table14[[#This Row],[activating_chance]]/100),0)</f>
        <v>90</v>
      </c>
      <c r="DY363" s="144" t="str">
        <f ca="1">INDIRECT(ADDRESS(11+(MATCH(RIGHT(Table14[[#This Row],[spawner_sku]],LEN(Table14[[#This Row],[spawner_sku]])-FIND("/",Table14[[#This Row],[spawner_sku]])),Table28[Entity Prefab],0)),25,1,1,"Entities"))</f>
        <v>no</v>
      </c>
      <c r="DZ363" s="71">
        <v>1</v>
      </c>
      <c r="EA363" s="71">
        <v>1</v>
      </c>
      <c r="EB363" s="71" t="b">
        <v>0</v>
      </c>
      <c r="EC363" s="71"/>
    </row>
    <row r="364" spans="2:133" x14ac:dyDescent="0.25">
      <c r="B364" s="72" t="s">
        <v>232</v>
      </c>
      <c r="C364">
        <v>8.5</v>
      </c>
      <c r="D364">
        <v>180</v>
      </c>
      <c r="E364">
        <v>100</v>
      </c>
      <c r="F364" s="74">
        <f ca="1">INDIRECT(ADDRESS(11+(MATCH(RIGHT(Table245[[#This Row],[spawner_sku]],LEN(Table245[[#This Row],[spawner_sku]])-FIND("/",Table245[[#This Row],[spawner_sku]])),Table1[Entity Prefab],0)),10,1,1,"Entities"))</f>
        <v>25</v>
      </c>
      <c r="G364" s="74">
        <f ca="1">ROUND((Table245[[#This Row],[XP]]*Table245[[#This Row],[entity_spawned (AVG)]])*(Table245[[#This Row],[activating_chance]]/100),0)</f>
        <v>213</v>
      </c>
      <c r="H364" s="71" t="str">
        <f ca="1">INDIRECT(ADDRESS(11+(MATCH(RIGHT(Table245[[#This Row],[spawner_sku]],LEN(Table245[[#This Row],[spawner_sku]])-FIND("/",Table245[[#This Row],[spawner_sku]])),Table28[Entity Prefab],0)),24,1,1,"Entities"))</f>
        <v>no</v>
      </c>
      <c r="I364" s="71">
        <v>5</v>
      </c>
      <c r="J364" s="71">
        <v>12</v>
      </c>
      <c r="K364" s="71" t="b">
        <v>1</v>
      </c>
      <c r="AI364" t="s">
        <v>242</v>
      </c>
      <c r="AJ364">
        <v>1</v>
      </c>
      <c r="AK364">
        <v>170</v>
      </c>
      <c r="AL364">
        <v>40</v>
      </c>
      <c r="AM364" s="74">
        <f ca="1">INDIRECT(ADDRESS(11+(MATCH(RIGHT(Table2[[#This Row],[spawner_sku]],LEN(Table2[[#This Row],[spawner_sku]])-FIND("/",Table2[[#This Row],[spawner_sku]])),Table1[Entity Prefab],0)),10,1,1,"Entities"))</f>
        <v>25</v>
      </c>
      <c r="AN364" s="74">
        <f ca="1">ROUND((Table2[[#This Row],[XP]]*Table2[[#This Row],[entity_spawned (AVG)]])*(Table2[[#This Row],[activating_chance]]/100),0)</f>
        <v>10</v>
      </c>
      <c r="AO364" s="71" t="str">
        <f ca="1">INDIRECT(ADDRESS(11+(MATCH(RIGHT(Table2[[#This Row],[spawner_sku]],LEN(Table2[[#This Row],[spawner_sku]])-FIND("/",Table2[[#This Row],[spawner_sku]])),Table28[Entity Prefab],0)),24,1,1,"Entities"))</f>
        <v>no</v>
      </c>
      <c r="AP364" s="71">
        <v>1</v>
      </c>
      <c r="AQ364" s="71">
        <v>1</v>
      </c>
      <c r="AR364" s="71" t="b">
        <v>0</v>
      </c>
      <c r="BP364" t="s">
        <v>239</v>
      </c>
      <c r="BQ364">
        <v>1</v>
      </c>
      <c r="BR364">
        <v>220</v>
      </c>
      <c r="BS364">
        <v>100</v>
      </c>
      <c r="BT364" s="74">
        <f ca="1">INDIRECT(ADDRESS(11+(MATCH(RIGHT(Table61011[[#This Row],[spawner_sku]],LEN(Table61011[[#This Row],[spawner_sku]])-FIND("/",Table61011[[#This Row],[spawner_sku]])),Table1[Entity Prefab],0)),10,1,1,"Entities"))</f>
        <v>75</v>
      </c>
      <c r="BU364" s="74">
        <f ca="1">ROUND((Table61011[[#This Row],[XP]]*Table61011[[#This Row],[entity_spawned (AVG)]])*(Table61011[[#This Row],[activating_chance]]/100),0)</f>
        <v>75</v>
      </c>
      <c r="BV364" s="71" t="str">
        <f ca="1">INDIRECT(ADDRESS(11+(MATCH(RIGHT(Table61011[[#This Row],[spawner_sku]],LEN(Table61011[[#This Row],[spawner_sku]])-FIND("/",Table61011[[#This Row],[spawner_sku]])),Table28[Entity Prefab],0)),24,1,1,"Entities"))</f>
        <v>no</v>
      </c>
      <c r="BW364" s="71">
        <v>1</v>
      </c>
      <c r="BX364" s="71">
        <v>1</v>
      </c>
      <c r="BY364" s="71" t="b">
        <v>0</v>
      </c>
      <c r="BZ364" s="71"/>
      <c r="CA364" s="147" t="s">
        <v>3816</v>
      </c>
      <c r="CB364">
        <v>1</v>
      </c>
      <c r="CC364">
        <v>240</v>
      </c>
      <c r="CD364">
        <v>100</v>
      </c>
      <c r="CE364" s="74">
        <f ca="1">INDIRECT(ADDRESS(11+(MATCH(RIGHT(Table35[[#This Row],[spawner_sku]],LEN(Table35[[#This Row],[spawner_sku]])-FIND("/",Table35[[#This Row],[spawner_sku]])),Table1[Entity Prefab],0)),10,1,1,"Entities"))</f>
        <v>50</v>
      </c>
      <c r="CF364" s="74">
        <f ca="1">ROUND((Table35[[#This Row],[XP]]*Table35[[#This Row],[entity_spawned (AVG)]])*(Table35[[#This Row],[activating_chance]]/100),0)</f>
        <v>50</v>
      </c>
      <c r="CG364" s="144" t="str">
        <f ca="1">INDIRECT(ADDRESS(11+(MATCH(RIGHT(Table35[[#This Row],[spawner_sku]],LEN(Table35[[#This Row],[spawner_sku]])-FIND("/",Table35[[#This Row],[spawner_sku]])),Table28[Entity Prefab],0)),24,1,1,"Entities"))</f>
        <v>no</v>
      </c>
      <c r="CH364">
        <v>1</v>
      </c>
      <c r="CI364">
        <v>1</v>
      </c>
      <c r="CJ364" s="71" t="b">
        <v>0</v>
      </c>
      <c r="CL364" t="s">
        <v>5003</v>
      </c>
      <c r="CM364">
        <v>1</v>
      </c>
      <c r="CN364">
        <v>5000</v>
      </c>
      <c r="CO364">
        <v>100</v>
      </c>
      <c r="CP364" s="74">
        <f ca="1">INDIRECT(ADDRESS(11+(MATCH(RIGHT(Table11[[#This Row],[spawner_sku]],LEN(Table11[[#This Row],[spawner_sku]])-FIND("/",Table11[[#This Row],[spawner_sku]])),Table1[Entity Prefab],0)),10,1,1,"Entities"))</f>
        <v>25</v>
      </c>
      <c r="CQ364">
        <f ca="1">ROUND((Table11[[#This Row],[XP]]*Table11[[#This Row],[entity_spawned (AVG)]])*(Table11[[#This Row],[activating_chance]]/100),0)</f>
        <v>25</v>
      </c>
      <c r="CR364" s="144" t="str">
        <f ca="1">INDIRECT(ADDRESS(11+(MATCH(RIGHT(Table11[[#This Row],[spawner_sku]],LEN(Table11[[#This Row],[spawner_sku]])-FIND("/",Table11[[#This Row],[spawner_sku]])),Table28[Entity Prefab],0)),25,1,1,"Entities"))</f>
        <v>no</v>
      </c>
      <c r="CS364" s="71">
        <v>1</v>
      </c>
      <c r="CT364" s="71">
        <v>1</v>
      </c>
      <c r="CU364" s="71" t="b">
        <v>0</v>
      </c>
      <c r="DS364" t="s">
        <v>510</v>
      </c>
      <c r="DT364">
        <v>1.5</v>
      </c>
      <c r="DU364">
        <v>140</v>
      </c>
      <c r="DV364">
        <v>100</v>
      </c>
      <c r="DW364" s="74">
        <f ca="1">INDIRECT(ADDRESS(11+(MATCH(RIGHT(Table14[[#This Row],[spawner_sku]],LEN(Table14[[#This Row],[spawner_sku]])-FIND("/",Table14[[#This Row],[spawner_sku]])),Table1[Entity Prefab],0)),10,1,1,"Entities"))</f>
        <v>90</v>
      </c>
      <c r="DX364" s="74">
        <f ca="1">ROUND((Table14[[#This Row],[XP]]*Table14[[#This Row],[entity_spawned (AVG)]])*(Table14[[#This Row],[activating_chance]]/100),0)</f>
        <v>135</v>
      </c>
      <c r="DY364" s="144" t="str">
        <f ca="1">INDIRECT(ADDRESS(11+(MATCH(RIGHT(Table14[[#This Row],[spawner_sku]],LEN(Table14[[#This Row],[spawner_sku]])-FIND("/",Table14[[#This Row],[spawner_sku]])),Table28[Entity Prefab],0)),25,1,1,"Entities"))</f>
        <v>no</v>
      </c>
      <c r="DZ364" s="71">
        <v>1</v>
      </c>
      <c r="EA364" s="71">
        <v>2</v>
      </c>
      <c r="EB364" s="71" t="b">
        <v>0</v>
      </c>
      <c r="EC364" s="71"/>
    </row>
    <row r="365" spans="2:133" x14ac:dyDescent="0.25">
      <c r="B365" s="72" t="s">
        <v>570</v>
      </c>
      <c r="C365">
        <v>1</v>
      </c>
      <c r="D365">
        <v>110</v>
      </c>
      <c r="E365">
        <v>100</v>
      </c>
      <c r="F365" s="74">
        <f ca="1">INDIRECT(ADDRESS(11+(MATCH(RIGHT(Table245[[#This Row],[spawner_sku]],LEN(Table245[[#This Row],[spawner_sku]])-FIND("/",Table245[[#This Row],[spawner_sku]])),Table1[Entity Prefab],0)),10,1,1,"Entities"))</f>
        <v>50</v>
      </c>
      <c r="G365" s="74">
        <f ca="1">ROUND((Table245[[#This Row],[XP]]*Table245[[#This Row],[entity_spawned (AVG)]])*(Table245[[#This Row],[activating_chance]]/100),0)</f>
        <v>50</v>
      </c>
      <c r="H365" s="71" t="str">
        <f ca="1">INDIRECT(ADDRESS(11+(MATCH(RIGHT(Table245[[#This Row],[spawner_sku]],LEN(Table245[[#This Row],[spawner_sku]])-FIND("/",Table245[[#This Row],[spawner_sku]])),Table28[Entity Prefab],0)),24,1,1,"Entities"))</f>
        <v>no</v>
      </c>
      <c r="I365" s="71">
        <v>1</v>
      </c>
      <c r="J365" s="71">
        <v>1</v>
      </c>
      <c r="K365" s="71" t="b">
        <v>0</v>
      </c>
      <c r="AI365" t="s">
        <v>242</v>
      </c>
      <c r="AJ365">
        <v>1</v>
      </c>
      <c r="AK365">
        <v>170</v>
      </c>
      <c r="AL365">
        <v>90</v>
      </c>
      <c r="AM365" s="74">
        <f ca="1">INDIRECT(ADDRESS(11+(MATCH(RIGHT(Table2[[#This Row],[spawner_sku]],LEN(Table2[[#This Row],[spawner_sku]])-FIND("/",Table2[[#This Row],[spawner_sku]])),Table1[Entity Prefab],0)),10,1,1,"Entities"))</f>
        <v>25</v>
      </c>
      <c r="AN365" s="74">
        <f ca="1">ROUND((Table2[[#This Row],[XP]]*Table2[[#This Row],[entity_spawned (AVG)]])*(Table2[[#This Row],[activating_chance]]/100),0)</f>
        <v>23</v>
      </c>
      <c r="AO365" s="71" t="str">
        <f ca="1">INDIRECT(ADDRESS(11+(MATCH(RIGHT(Table2[[#This Row],[spawner_sku]],LEN(Table2[[#This Row],[spawner_sku]])-FIND("/",Table2[[#This Row],[spawner_sku]])),Table28[Entity Prefab],0)),24,1,1,"Entities"))</f>
        <v>no</v>
      </c>
      <c r="AP365" s="71">
        <v>1</v>
      </c>
      <c r="AQ365" s="71">
        <v>1</v>
      </c>
      <c r="AR365" s="71" t="b">
        <v>0</v>
      </c>
      <c r="BP365" t="s">
        <v>239</v>
      </c>
      <c r="BQ365">
        <v>1</v>
      </c>
      <c r="BR365">
        <v>220</v>
      </c>
      <c r="BS365">
        <v>100</v>
      </c>
      <c r="BT365" s="74">
        <f ca="1">INDIRECT(ADDRESS(11+(MATCH(RIGHT(Table61011[[#This Row],[spawner_sku]],LEN(Table61011[[#This Row],[spawner_sku]])-FIND("/",Table61011[[#This Row],[spawner_sku]])),Table1[Entity Prefab],0)),10,1,1,"Entities"))</f>
        <v>75</v>
      </c>
      <c r="BU365" s="74">
        <f ca="1">ROUND((Table61011[[#This Row],[XP]]*Table61011[[#This Row],[entity_spawned (AVG)]])*(Table61011[[#This Row],[activating_chance]]/100),0)</f>
        <v>75</v>
      </c>
      <c r="BV365" s="71" t="str">
        <f ca="1">INDIRECT(ADDRESS(11+(MATCH(RIGHT(Table61011[[#This Row],[spawner_sku]],LEN(Table61011[[#This Row],[spawner_sku]])-FIND("/",Table61011[[#This Row],[spawner_sku]])),Table28[Entity Prefab],0)),24,1,1,"Entities"))</f>
        <v>no</v>
      </c>
      <c r="BW365" s="71">
        <v>1</v>
      </c>
      <c r="BX365" s="71">
        <v>1</v>
      </c>
      <c r="BY365" s="71" t="b">
        <v>0</v>
      </c>
      <c r="BZ365" s="71"/>
      <c r="CA365" s="147" t="s">
        <v>3817</v>
      </c>
      <c r="CB365">
        <v>1</v>
      </c>
      <c r="CC365">
        <v>180</v>
      </c>
      <c r="CD365">
        <v>100</v>
      </c>
      <c r="CE365" s="74">
        <f ca="1">INDIRECT(ADDRESS(11+(MATCH(RIGHT(Table35[[#This Row],[spawner_sku]],LEN(Table35[[#This Row],[spawner_sku]])-FIND("/",Table35[[#This Row],[spawner_sku]])),Table1[Entity Prefab],0)),10,1,1,"Entities"))</f>
        <v>83</v>
      </c>
      <c r="CF365" s="74">
        <f ca="1">ROUND((Table35[[#This Row],[XP]]*Table35[[#This Row],[entity_spawned (AVG)]])*(Table35[[#This Row],[activating_chance]]/100),0)</f>
        <v>83</v>
      </c>
      <c r="CG365" s="144" t="str">
        <f ca="1">INDIRECT(ADDRESS(11+(MATCH(RIGHT(Table35[[#This Row],[spawner_sku]],LEN(Table35[[#This Row],[spawner_sku]])-FIND("/",Table35[[#This Row],[spawner_sku]])),Table28[Entity Prefab],0)),24,1,1,"Entities"))</f>
        <v>yes</v>
      </c>
      <c r="CH365">
        <v>1</v>
      </c>
      <c r="CI365">
        <v>1</v>
      </c>
      <c r="CJ365" s="71" t="b">
        <v>0</v>
      </c>
      <c r="CL365" t="s">
        <v>5003</v>
      </c>
      <c r="CM365">
        <v>1</v>
      </c>
      <c r="CN365">
        <v>5000</v>
      </c>
      <c r="CO365">
        <v>40</v>
      </c>
      <c r="CP365" s="74">
        <f ca="1">INDIRECT(ADDRESS(11+(MATCH(RIGHT(Table11[[#This Row],[spawner_sku]],LEN(Table11[[#This Row],[spawner_sku]])-FIND("/",Table11[[#This Row],[spawner_sku]])),Table1[Entity Prefab],0)),10,1,1,"Entities"))</f>
        <v>25</v>
      </c>
      <c r="CQ365">
        <f ca="1">ROUND((Table11[[#This Row],[XP]]*Table11[[#This Row],[entity_spawned (AVG)]])*(Table11[[#This Row],[activating_chance]]/100),0)</f>
        <v>10</v>
      </c>
      <c r="CR365" s="144" t="str">
        <f ca="1">INDIRECT(ADDRESS(11+(MATCH(RIGHT(Table11[[#This Row],[spawner_sku]],LEN(Table11[[#This Row],[spawner_sku]])-FIND("/",Table11[[#This Row],[spawner_sku]])),Table28[Entity Prefab],0)),25,1,1,"Entities"))</f>
        <v>no</v>
      </c>
      <c r="CS365" s="71">
        <v>1</v>
      </c>
      <c r="CT365" s="71">
        <v>1</v>
      </c>
      <c r="CU365" s="71" t="b">
        <v>0</v>
      </c>
      <c r="DS365" t="s">
        <v>510</v>
      </c>
      <c r="DT365">
        <v>1.5</v>
      </c>
      <c r="DU365">
        <v>120</v>
      </c>
      <c r="DV365">
        <v>100</v>
      </c>
      <c r="DW365" s="74">
        <f ca="1">INDIRECT(ADDRESS(11+(MATCH(RIGHT(Table14[[#This Row],[spawner_sku]],LEN(Table14[[#This Row],[spawner_sku]])-FIND("/",Table14[[#This Row],[spawner_sku]])),Table1[Entity Prefab],0)),10,1,1,"Entities"))</f>
        <v>90</v>
      </c>
      <c r="DX365" s="74">
        <f ca="1">ROUND((Table14[[#This Row],[XP]]*Table14[[#This Row],[entity_spawned (AVG)]])*(Table14[[#This Row],[activating_chance]]/100),0)</f>
        <v>135</v>
      </c>
      <c r="DY365" s="144" t="str">
        <f ca="1">INDIRECT(ADDRESS(11+(MATCH(RIGHT(Table14[[#This Row],[spawner_sku]],LEN(Table14[[#This Row],[spawner_sku]])-FIND("/",Table14[[#This Row],[spawner_sku]])),Table28[Entity Prefab],0)),25,1,1,"Entities"))</f>
        <v>no</v>
      </c>
      <c r="DZ365" s="71">
        <v>1</v>
      </c>
      <c r="EA365" s="71">
        <v>2</v>
      </c>
      <c r="EB365" s="71" t="b">
        <v>0</v>
      </c>
      <c r="EC365" s="71"/>
    </row>
    <row r="366" spans="2:133" x14ac:dyDescent="0.25">
      <c r="B366" s="72" t="s">
        <v>570</v>
      </c>
      <c r="C366">
        <v>1</v>
      </c>
      <c r="D366">
        <v>110</v>
      </c>
      <c r="E366">
        <v>100</v>
      </c>
      <c r="F366" s="74">
        <f ca="1">INDIRECT(ADDRESS(11+(MATCH(RIGHT(Table245[[#This Row],[spawner_sku]],LEN(Table245[[#This Row],[spawner_sku]])-FIND("/",Table245[[#This Row],[spawner_sku]])),Table1[Entity Prefab],0)),10,1,1,"Entities"))</f>
        <v>50</v>
      </c>
      <c r="G366" s="74">
        <f ca="1">ROUND((Table245[[#This Row],[XP]]*Table245[[#This Row],[entity_spawned (AVG)]])*(Table245[[#This Row],[activating_chance]]/100),0)</f>
        <v>50</v>
      </c>
      <c r="H366" s="71" t="str">
        <f ca="1">INDIRECT(ADDRESS(11+(MATCH(RIGHT(Table245[[#This Row],[spawner_sku]],LEN(Table245[[#This Row],[spawner_sku]])-FIND("/",Table245[[#This Row],[spawner_sku]])),Table28[Entity Prefab],0)),24,1,1,"Entities"))</f>
        <v>no</v>
      </c>
      <c r="I366" s="71">
        <v>1</v>
      </c>
      <c r="J366" s="71">
        <v>1</v>
      </c>
      <c r="K366" s="71" t="b">
        <v>0</v>
      </c>
      <c r="AI366" t="s">
        <v>242</v>
      </c>
      <c r="AJ366">
        <v>1</v>
      </c>
      <c r="AK366">
        <v>180</v>
      </c>
      <c r="AL366">
        <v>100</v>
      </c>
      <c r="AM366" s="74">
        <f ca="1">INDIRECT(ADDRESS(11+(MATCH(RIGHT(Table2[[#This Row],[spawner_sku]],LEN(Table2[[#This Row],[spawner_sku]])-FIND("/",Table2[[#This Row],[spawner_sku]])),Table1[Entity Prefab],0)),10,1,1,"Entities"))</f>
        <v>25</v>
      </c>
      <c r="AN366" s="74">
        <f ca="1">ROUND((Table2[[#This Row],[XP]]*Table2[[#This Row],[entity_spawned (AVG)]])*(Table2[[#This Row],[activating_chance]]/100),0)</f>
        <v>25</v>
      </c>
      <c r="AO366" s="71" t="str">
        <f ca="1">INDIRECT(ADDRESS(11+(MATCH(RIGHT(Table2[[#This Row],[spawner_sku]],LEN(Table2[[#This Row],[spawner_sku]])-FIND("/",Table2[[#This Row],[spawner_sku]])),Table28[Entity Prefab],0)),24,1,1,"Entities"))</f>
        <v>no</v>
      </c>
      <c r="AP366" s="71">
        <v>1</v>
      </c>
      <c r="AQ366" s="71">
        <v>1</v>
      </c>
      <c r="AR366" s="71" t="b">
        <v>0</v>
      </c>
      <c r="BP366" t="s">
        <v>239</v>
      </c>
      <c r="BQ366">
        <v>1</v>
      </c>
      <c r="BR366">
        <v>170</v>
      </c>
      <c r="BS366">
        <v>100</v>
      </c>
      <c r="BT366" s="74">
        <f ca="1">INDIRECT(ADDRESS(11+(MATCH(RIGHT(Table61011[[#This Row],[spawner_sku]],LEN(Table61011[[#This Row],[spawner_sku]])-FIND("/",Table61011[[#This Row],[spawner_sku]])),Table1[Entity Prefab],0)),10,1,1,"Entities"))</f>
        <v>75</v>
      </c>
      <c r="BU366" s="74">
        <f ca="1">ROUND((Table61011[[#This Row],[XP]]*Table61011[[#This Row],[entity_spawned (AVG)]])*(Table61011[[#This Row],[activating_chance]]/100),0)</f>
        <v>75</v>
      </c>
      <c r="BV366" s="71" t="str">
        <f ca="1">INDIRECT(ADDRESS(11+(MATCH(RIGHT(Table61011[[#This Row],[spawner_sku]],LEN(Table61011[[#This Row],[spawner_sku]])-FIND("/",Table61011[[#This Row],[spawner_sku]])),Table28[Entity Prefab],0)),24,1,1,"Entities"))</f>
        <v>no</v>
      </c>
      <c r="BW366" s="71">
        <v>1</v>
      </c>
      <c r="BX366" s="71">
        <v>1</v>
      </c>
      <c r="BY366" s="71" t="b">
        <v>0</v>
      </c>
      <c r="BZ366" s="71"/>
      <c r="CA366" s="147" t="s">
        <v>3817</v>
      </c>
      <c r="CB366">
        <v>1</v>
      </c>
      <c r="CC366">
        <v>180</v>
      </c>
      <c r="CD366">
        <v>100</v>
      </c>
      <c r="CE366" s="74">
        <f ca="1">INDIRECT(ADDRESS(11+(MATCH(RIGHT(Table35[[#This Row],[spawner_sku]],LEN(Table35[[#This Row],[spawner_sku]])-FIND("/",Table35[[#This Row],[spawner_sku]])),Table1[Entity Prefab],0)),10,1,1,"Entities"))</f>
        <v>83</v>
      </c>
      <c r="CF366" s="74">
        <f ca="1">ROUND((Table35[[#This Row],[XP]]*Table35[[#This Row],[entity_spawned (AVG)]])*(Table35[[#This Row],[activating_chance]]/100),0)</f>
        <v>83</v>
      </c>
      <c r="CG366" s="144" t="str">
        <f ca="1">INDIRECT(ADDRESS(11+(MATCH(RIGHT(Table35[[#This Row],[spawner_sku]],LEN(Table35[[#This Row],[spawner_sku]])-FIND("/",Table35[[#This Row],[spawner_sku]])),Table28[Entity Prefab],0)),24,1,1,"Entities"))</f>
        <v>yes</v>
      </c>
      <c r="CH366">
        <v>1</v>
      </c>
      <c r="CI366">
        <v>1</v>
      </c>
      <c r="CJ366" s="71" t="b">
        <v>0</v>
      </c>
      <c r="CL366" t="s">
        <v>465</v>
      </c>
      <c r="CM366">
        <v>1</v>
      </c>
      <c r="CN366">
        <v>120</v>
      </c>
      <c r="CO366">
        <v>50</v>
      </c>
      <c r="CP366" s="74">
        <f ca="1">INDIRECT(ADDRESS(11+(MATCH(RIGHT(Table11[[#This Row],[spawner_sku]],LEN(Table11[[#This Row],[spawner_sku]])-FIND("/",Table11[[#This Row],[spawner_sku]])),Table1[Entity Prefab],0)),10,1,1,"Entities"))</f>
        <v>25</v>
      </c>
      <c r="CQ366">
        <f ca="1">ROUND((Table11[[#This Row],[XP]]*Table11[[#This Row],[entity_spawned (AVG)]])*(Table11[[#This Row],[activating_chance]]/100),0)</f>
        <v>13</v>
      </c>
      <c r="CR366" s="144" t="str">
        <f ca="1">INDIRECT(ADDRESS(11+(MATCH(RIGHT(Table11[[#This Row],[spawner_sku]],LEN(Table11[[#This Row],[spawner_sku]])-FIND("/",Table11[[#This Row],[spawner_sku]])),Table28[Entity Prefab],0)),25,1,1,"Entities"))</f>
        <v>no</v>
      </c>
      <c r="CS366" s="71">
        <v>1</v>
      </c>
      <c r="CT366" s="71">
        <v>1</v>
      </c>
      <c r="CU366" s="71" t="b">
        <v>0</v>
      </c>
      <c r="DS366" t="s">
        <v>510</v>
      </c>
      <c r="DT366">
        <v>1</v>
      </c>
      <c r="DU366">
        <v>135</v>
      </c>
      <c r="DV366">
        <v>100</v>
      </c>
      <c r="DW366" s="74">
        <f ca="1">INDIRECT(ADDRESS(11+(MATCH(RIGHT(Table14[[#This Row],[spawner_sku]],LEN(Table14[[#This Row],[spawner_sku]])-FIND("/",Table14[[#This Row],[spawner_sku]])),Table1[Entity Prefab],0)),10,1,1,"Entities"))</f>
        <v>90</v>
      </c>
      <c r="DX366" s="74">
        <f ca="1">ROUND((Table14[[#This Row],[XP]]*Table14[[#This Row],[entity_spawned (AVG)]])*(Table14[[#This Row],[activating_chance]]/100),0)</f>
        <v>90</v>
      </c>
      <c r="DY366" s="144" t="str">
        <f ca="1">INDIRECT(ADDRESS(11+(MATCH(RIGHT(Table14[[#This Row],[spawner_sku]],LEN(Table14[[#This Row],[spawner_sku]])-FIND("/",Table14[[#This Row],[spawner_sku]])),Table28[Entity Prefab],0)),25,1,1,"Entities"))</f>
        <v>no</v>
      </c>
      <c r="DZ366" s="71">
        <v>1</v>
      </c>
      <c r="EA366" s="71">
        <v>1</v>
      </c>
      <c r="EB366" s="71" t="b">
        <v>0</v>
      </c>
      <c r="EC366" s="71"/>
    </row>
    <row r="367" spans="2:133" x14ac:dyDescent="0.25">
      <c r="B367" s="72" t="s">
        <v>570</v>
      </c>
      <c r="C367">
        <v>1</v>
      </c>
      <c r="D367">
        <v>130</v>
      </c>
      <c r="E367">
        <v>100</v>
      </c>
      <c r="F367" s="74">
        <f ca="1">INDIRECT(ADDRESS(11+(MATCH(RIGHT(Table245[[#This Row],[spawner_sku]],LEN(Table245[[#This Row],[spawner_sku]])-FIND("/",Table245[[#This Row],[spawner_sku]])),Table1[Entity Prefab],0)),10,1,1,"Entities"))</f>
        <v>50</v>
      </c>
      <c r="G367" s="74">
        <f ca="1">ROUND((Table245[[#This Row],[XP]]*Table245[[#This Row],[entity_spawned (AVG)]])*(Table245[[#This Row],[activating_chance]]/100),0)</f>
        <v>50</v>
      </c>
      <c r="H367" s="71" t="str">
        <f ca="1">INDIRECT(ADDRESS(11+(MATCH(RIGHT(Table245[[#This Row],[spawner_sku]],LEN(Table245[[#This Row],[spawner_sku]])-FIND("/",Table245[[#This Row],[spawner_sku]])),Table28[Entity Prefab],0)),24,1,1,"Entities"))</f>
        <v>no</v>
      </c>
      <c r="I367" s="71">
        <v>1</v>
      </c>
      <c r="J367" s="71">
        <v>1</v>
      </c>
      <c r="K367" s="71" t="b">
        <v>0</v>
      </c>
      <c r="AI367" t="s">
        <v>242</v>
      </c>
      <c r="AJ367">
        <v>1</v>
      </c>
      <c r="AK367">
        <v>100</v>
      </c>
      <c r="AL367">
        <v>100</v>
      </c>
      <c r="AM367" s="74">
        <f ca="1">INDIRECT(ADDRESS(11+(MATCH(RIGHT(Table2[[#This Row],[spawner_sku]],LEN(Table2[[#This Row],[spawner_sku]])-FIND("/",Table2[[#This Row],[spawner_sku]])),Table1[Entity Prefab],0)),10,1,1,"Entities"))</f>
        <v>25</v>
      </c>
      <c r="AN367" s="74">
        <f ca="1">ROUND((Table2[[#This Row],[XP]]*Table2[[#This Row],[entity_spawned (AVG)]])*(Table2[[#This Row],[activating_chance]]/100),0)</f>
        <v>25</v>
      </c>
      <c r="AO367" s="71" t="str">
        <f ca="1">INDIRECT(ADDRESS(11+(MATCH(RIGHT(Table2[[#This Row],[spawner_sku]],LEN(Table2[[#This Row],[spawner_sku]])-FIND("/",Table2[[#This Row],[spawner_sku]])),Table28[Entity Prefab],0)),24,1,1,"Entities"))</f>
        <v>no</v>
      </c>
      <c r="AP367" s="71">
        <v>1</v>
      </c>
      <c r="AQ367" s="71">
        <v>1</v>
      </c>
      <c r="AR367" s="71" t="b">
        <v>0</v>
      </c>
      <c r="BP367" t="s">
        <v>239</v>
      </c>
      <c r="BQ367">
        <v>1</v>
      </c>
      <c r="BR367">
        <v>220</v>
      </c>
      <c r="BS367">
        <v>30</v>
      </c>
      <c r="BT367" s="74">
        <f ca="1">INDIRECT(ADDRESS(11+(MATCH(RIGHT(Table61011[[#This Row],[spawner_sku]],LEN(Table61011[[#This Row],[spawner_sku]])-FIND("/",Table61011[[#This Row],[spawner_sku]])),Table1[Entity Prefab],0)),10,1,1,"Entities"))</f>
        <v>75</v>
      </c>
      <c r="BU367" s="74">
        <f ca="1">ROUND((Table61011[[#This Row],[XP]]*Table61011[[#This Row],[entity_spawned (AVG)]])*(Table61011[[#This Row],[activating_chance]]/100),0)</f>
        <v>23</v>
      </c>
      <c r="BV367" s="71" t="str">
        <f ca="1">INDIRECT(ADDRESS(11+(MATCH(RIGHT(Table61011[[#This Row],[spawner_sku]],LEN(Table61011[[#This Row],[spawner_sku]])-FIND("/",Table61011[[#This Row],[spawner_sku]])),Table28[Entity Prefab],0)),24,1,1,"Entities"))</f>
        <v>no</v>
      </c>
      <c r="BW367" s="71">
        <v>1</v>
      </c>
      <c r="BX367" s="71">
        <v>1</v>
      </c>
      <c r="BY367" s="71" t="b">
        <v>0</v>
      </c>
      <c r="BZ367" s="71"/>
      <c r="CA367" s="147" t="s">
        <v>3817</v>
      </c>
      <c r="CB367">
        <v>1</v>
      </c>
      <c r="CC367">
        <v>180</v>
      </c>
      <c r="CD367">
        <v>100</v>
      </c>
      <c r="CE367" s="74">
        <f ca="1">INDIRECT(ADDRESS(11+(MATCH(RIGHT(Table35[[#This Row],[spawner_sku]],LEN(Table35[[#This Row],[spawner_sku]])-FIND("/",Table35[[#This Row],[spawner_sku]])),Table1[Entity Prefab],0)),10,1,1,"Entities"))</f>
        <v>83</v>
      </c>
      <c r="CF367" s="74">
        <f ca="1">ROUND((Table35[[#This Row],[XP]]*Table35[[#This Row],[entity_spawned (AVG)]])*(Table35[[#This Row],[activating_chance]]/100),0)</f>
        <v>83</v>
      </c>
      <c r="CG367" s="144" t="str">
        <f ca="1">INDIRECT(ADDRESS(11+(MATCH(RIGHT(Table35[[#This Row],[spawner_sku]],LEN(Table35[[#This Row],[spawner_sku]])-FIND("/",Table35[[#This Row],[spawner_sku]])),Table28[Entity Prefab],0)),24,1,1,"Entities"))</f>
        <v>yes</v>
      </c>
      <c r="CH367">
        <v>1</v>
      </c>
      <c r="CI367">
        <v>1</v>
      </c>
      <c r="CJ367" s="71" t="b">
        <v>0</v>
      </c>
      <c r="CL367" t="s">
        <v>465</v>
      </c>
      <c r="CM367">
        <v>1</v>
      </c>
      <c r="CN367">
        <v>140</v>
      </c>
      <c r="CO367">
        <v>50</v>
      </c>
      <c r="CP367" s="74">
        <f ca="1">INDIRECT(ADDRESS(11+(MATCH(RIGHT(Table11[[#This Row],[spawner_sku]],LEN(Table11[[#This Row],[spawner_sku]])-FIND("/",Table11[[#This Row],[spawner_sku]])),Table1[Entity Prefab],0)),10,1,1,"Entities"))</f>
        <v>25</v>
      </c>
      <c r="CQ367">
        <f ca="1">ROUND((Table11[[#This Row],[XP]]*Table11[[#This Row],[entity_spawned (AVG)]])*(Table11[[#This Row],[activating_chance]]/100),0)</f>
        <v>13</v>
      </c>
      <c r="CR367" s="144" t="str">
        <f ca="1">INDIRECT(ADDRESS(11+(MATCH(RIGHT(Table11[[#This Row],[spawner_sku]],LEN(Table11[[#This Row],[spawner_sku]])-FIND("/",Table11[[#This Row],[spawner_sku]])),Table28[Entity Prefab],0)),25,1,1,"Entities"))</f>
        <v>no</v>
      </c>
      <c r="CS367" s="71">
        <v>1</v>
      </c>
      <c r="CT367" s="71">
        <v>1</v>
      </c>
      <c r="CU367" s="71" t="b">
        <v>0</v>
      </c>
      <c r="DS367" t="s">
        <v>510</v>
      </c>
      <c r="DT367">
        <v>1</v>
      </c>
      <c r="DU367">
        <v>140</v>
      </c>
      <c r="DV367">
        <v>100</v>
      </c>
      <c r="DW367" s="74">
        <f ca="1">INDIRECT(ADDRESS(11+(MATCH(RIGHT(Table14[[#This Row],[spawner_sku]],LEN(Table14[[#This Row],[spawner_sku]])-FIND("/",Table14[[#This Row],[spawner_sku]])),Table1[Entity Prefab],0)),10,1,1,"Entities"))</f>
        <v>90</v>
      </c>
      <c r="DX367" s="74">
        <f ca="1">ROUND((Table14[[#This Row],[XP]]*Table14[[#This Row],[entity_spawned (AVG)]])*(Table14[[#This Row],[activating_chance]]/100),0)</f>
        <v>90</v>
      </c>
      <c r="DY367" s="144" t="str">
        <f ca="1">INDIRECT(ADDRESS(11+(MATCH(RIGHT(Table14[[#This Row],[spawner_sku]],LEN(Table14[[#This Row],[spawner_sku]])-FIND("/",Table14[[#This Row],[spawner_sku]])),Table28[Entity Prefab],0)),25,1,1,"Entities"))</f>
        <v>no</v>
      </c>
      <c r="DZ367" s="71">
        <v>1</v>
      </c>
      <c r="EA367" s="71">
        <v>1</v>
      </c>
      <c r="EB367" s="71" t="b">
        <v>0</v>
      </c>
      <c r="EC367" s="71"/>
    </row>
    <row r="368" spans="2:133" x14ac:dyDescent="0.25">
      <c r="B368" s="72" t="s">
        <v>570</v>
      </c>
      <c r="C368">
        <v>1</v>
      </c>
      <c r="D368">
        <v>110</v>
      </c>
      <c r="E368">
        <v>100</v>
      </c>
      <c r="F368" s="74">
        <f ca="1">INDIRECT(ADDRESS(11+(MATCH(RIGHT(Table245[[#This Row],[spawner_sku]],LEN(Table245[[#This Row],[spawner_sku]])-FIND("/",Table245[[#This Row],[spawner_sku]])),Table1[Entity Prefab],0)),10,1,1,"Entities"))</f>
        <v>50</v>
      </c>
      <c r="G368" s="74">
        <f ca="1">ROUND((Table245[[#This Row],[XP]]*Table245[[#This Row],[entity_spawned (AVG)]])*(Table245[[#This Row],[activating_chance]]/100),0)</f>
        <v>50</v>
      </c>
      <c r="H368" s="71" t="str">
        <f ca="1">INDIRECT(ADDRESS(11+(MATCH(RIGHT(Table245[[#This Row],[spawner_sku]],LEN(Table245[[#This Row],[spawner_sku]])-FIND("/",Table245[[#This Row],[spawner_sku]])),Table28[Entity Prefab],0)),24,1,1,"Entities"))</f>
        <v>no</v>
      </c>
      <c r="I368" s="71">
        <v>1</v>
      </c>
      <c r="J368" s="71">
        <v>1</v>
      </c>
      <c r="K368" s="71" t="b">
        <v>0</v>
      </c>
      <c r="AI368" t="s">
        <v>242</v>
      </c>
      <c r="AJ368">
        <v>1</v>
      </c>
      <c r="AK368">
        <v>170</v>
      </c>
      <c r="AL368">
        <v>80</v>
      </c>
      <c r="AM368" s="74">
        <f ca="1">INDIRECT(ADDRESS(11+(MATCH(RIGHT(Table2[[#This Row],[spawner_sku]],LEN(Table2[[#This Row],[spawner_sku]])-FIND("/",Table2[[#This Row],[spawner_sku]])),Table1[Entity Prefab],0)),10,1,1,"Entities"))</f>
        <v>25</v>
      </c>
      <c r="AN368" s="74">
        <f ca="1">ROUND((Table2[[#This Row],[XP]]*Table2[[#This Row],[entity_spawned (AVG)]])*(Table2[[#This Row],[activating_chance]]/100),0)</f>
        <v>20</v>
      </c>
      <c r="AO368" s="71" t="str">
        <f ca="1">INDIRECT(ADDRESS(11+(MATCH(RIGHT(Table2[[#This Row],[spawner_sku]],LEN(Table2[[#This Row],[spawner_sku]])-FIND("/",Table2[[#This Row],[spawner_sku]])),Table28[Entity Prefab],0)),24,1,1,"Entities"))</f>
        <v>no</v>
      </c>
      <c r="AP368" s="71">
        <v>1</v>
      </c>
      <c r="AQ368" s="71">
        <v>1</v>
      </c>
      <c r="AR368" s="71" t="b">
        <v>0</v>
      </c>
      <c r="BP368" t="s">
        <v>239</v>
      </c>
      <c r="BQ368">
        <v>1</v>
      </c>
      <c r="BR368">
        <v>220</v>
      </c>
      <c r="BS368">
        <v>100</v>
      </c>
      <c r="BT368" s="74">
        <f ca="1">INDIRECT(ADDRESS(11+(MATCH(RIGHT(Table61011[[#This Row],[spawner_sku]],LEN(Table61011[[#This Row],[spawner_sku]])-FIND("/",Table61011[[#This Row],[spawner_sku]])),Table1[Entity Prefab],0)),10,1,1,"Entities"))</f>
        <v>75</v>
      </c>
      <c r="BU368" s="74">
        <f ca="1">ROUND((Table61011[[#This Row],[XP]]*Table61011[[#This Row],[entity_spawned (AVG)]])*(Table61011[[#This Row],[activating_chance]]/100),0)</f>
        <v>75</v>
      </c>
      <c r="BV368" s="71" t="str">
        <f ca="1">INDIRECT(ADDRESS(11+(MATCH(RIGHT(Table61011[[#This Row],[spawner_sku]],LEN(Table61011[[#This Row],[spawner_sku]])-FIND("/",Table61011[[#This Row],[spawner_sku]])),Table28[Entity Prefab],0)),24,1,1,"Entities"))</f>
        <v>no</v>
      </c>
      <c r="BW368" s="71">
        <v>1</v>
      </c>
      <c r="BX368" s="71">
        <v>1</v>
      </c>
      <c r="BY368" s="71" t="b">
        <v>0</v>
      </c>
      <c r="BZ368" s="71"/>
      <c r="CA368" s="147" t="s">
        <v>3817</v>
      </c>
      <c r="CB368">
        <v>1</v>
      </c>
      <c r="CC368">
        <v>180</v>
      </c>
      <c r="CD368">
        <v>100</v>
      </c>
      <c r="CE368" s="74">
        <f ca="1">INDIRECT(ADDRESS(11+(MATCH(RIGHT(Table35[[#This Row],[spawner_sku]],LEN(Table35[[#This Row],[spawner_sku]])-FIND("/",Table35[[#This Row],[spawner_sku]])),Table1[Entity Prefab],0)),10,1,1,"Entities"))</f>
        <v>83</v>
      </c>
      <c r="CF368" s="74">
        <f ca="1">ROUND((Table35[[#This Row],[XP]]*Table35[[#This Row],[entity_spawned (AVG)]])*(Table35[[#This Row],[activating_chance]]/100),0)</f>
        <v>83</v>
      </c>
      <c r="CG368" s="144" t="str">
        <f ca="1">INDIRECT(ADDRESS(11+(MATCH(RIGHT(Table35[[#This Row],[spawner_sku]],LEN(Table35[[#This Row],[spawner_sku]])-FIND("/",Table35[[#This Row],[spawner_sku]])),Table28[Entity Prefab],0)),24,1,1,"Entities"))</f>
        <v>yes</v>
      </c>
      <c r="CH368">
        <v>1</v>
      </c>
      <c r="CI368">
        <v>1</v>
      </c>
      <c r="CJ368" s="71" t="b">
        <v>0</v>
      </c>
      <c r="CL368" t="s">
        <v>465</v>
      </c>
      <c r="CM368">
        <v>2.5</v>
      </c>
      <c r="CN368">
        <v>110</v>
      </c>
      <c r="CO368">
        <v>50</v>
      </c>
      <c r="CP368" s="74">
        <f ca="1">INDIRECT(ADDRESS(11+(MATCH(RIGHT(Table11[[#This Row],[spawner_sku]],LEN(Table11[[#This Row],[spawner_sku]])-FIND("/",Table11[[#This Row],[spawner_sku]])),Table1[Entity Prefab],0)),10,1,1,"Entities"))</f>
        <v>25</v>
      </c>
      <c r="CQ368">
        <f ca="1">ROUND((Table11[[#This Row],[XP]]*Table11[[#This Row],[entity_spawned (AVG)]])*(Table11[[#This Row],[activating_chance]]/100),0)</f>
        <v>31</v>
      </c>
      <c r="CR368" s="144" t="str">
        <f ca="1">INDIRECT(ADDRESS(11+(MATCH(RIGHT(Table11[[#This Row],[spawner_sku]],LEN(Table11[[#This Row],[spawner_sku]])-FIND("/",Table11[[#This Row],[spawner_sku]])),Table28[Entity Prefab],0)),25,1,1,"Entities"))</f>
        <v>no</v>
      </c>
      <c r="CS368" s="71">
        <v>2</v>
      </c>
      <c r="CT368" s="71">
        <v>3</v>
      </c>
      <c r="CU368" s="71" t="b">
        <v>0</v>
      </c>
      <c r="DS368" t="s">
        <v>510</v>
      </c>
      <c r="DT368">
        <v>1</v>
      </c>
      <c r="DU368">
        <v>150</v>
      </c>
      <c r="DV368">
        <v>100</v>
      </c>
      <c r="DW368" s="74">
        <f ca="1">INDIRECT(ADDRESS(11+(MATCH(RIGHT(Table14[[#This Row],[spawner_sku]],LEN(Table14[[#This Row],[spawner_sku]])-FIND("/",Table14[[#This Row],[spawner_sku]])),Table1[Entity Prefab],0)),10,1,1,"Entities"))</f>
        <v>90</v>
      </c>
      <c r="DX368" s="74">
        <f ca="1">ROUND((Table14[[#This Row],[XP]]*Table14[[#This Row],[entity_spawned (AVG)]])*(Table14[[#This Row],[activating_chance]]/100),0)</f>
        <v>90</v>
      </c>
      <c r="DY368" s="144" t="str">
        <f ca="1">INDIRECT(ADDRESS(11+(MATCH(RIGHT(Table14[[#This Row],[spawner_sku]],LEN(Table14[[#This Row],[spawner_sku]])-FIND("/",Table14[[#This Row],[spawner_sku]])),Table28[Entity Prefab],0)),25,1,1,"Entities"))</f>
        <v>no</v>
      </c>
      <c r="DZ368" s="71">
        <v>1</v>
      </c>
      <c r="EA368" s="71">
        <v>1</v>
      </c>
      <c r="EB368" s="71" t="b">
        <v>0</v>
      </c>
      <c r="EC368" s="71"/>
    </row>
    <row r="369" spans="2:133" x14ac:dyDescent="0.25">
      <c r="B369" s="72" t="s">
        <v>570</v>
      </c>
      <c r="C369">
        <v>1</v>
      </c>
      <c r="D369">
        <v>120</v>
      </c>
      <c r="E369">
        <v>100</v>
      </c>
      <c r="F369" s="74">
        <f ca="1">INDIRECT(ADDRESS(11+(MATCH(RIGHT(Table245[[#This Row],[spawner_sku]],LEN(Table245[[#This Row],[spawner_sku]])-FIND("/",Table245[[#This Row],[spawner_sku]])),Table1[Entity Prefab],0)),10,1,1,"Entities"))</f>
        <v>50</v>
      </c>
      <c r="G369" s="74">
        <f ca="1">ROUND((Table245[[#This Row],[XP]]*Table245[[#This Row],[entity_spawned (AVG)]])*(Table245[[#This Row],[activating_chance]]/100),0)</f>
        <v>50</v>
      </c>
      <c r="H369" s="71" t="str">
        <f ca="1">INDIRECT(ADDRESS(11+(MATCH(RIGHT(Table245[[#This Row],[spawner_sku]],LEN(Table245[[#This Row],[spawner_sku]])-FIND("/",Table245[[#This Row],[spawner_sku]])),Table28[Entity Prefab],0)),24,1,1,"Entities"))</f>
        <v>no</v>
      </c>
      <c r="I369" s="71">
        <v>1</v>
      </c>
      <c r="J369" s="71">
        <v>1</v>
      </c>
      <c r="K369" s="71" t="b">
        <v>0</v>
      </c>
      <c r="AI369" t="s">
        <v>242</v>
      </c>
      <c r="AJ369">
        <v>1</v>
      </c>
      <c r="AK369">
        <v>170</v>
      </c>
      <c r="AL369">
        <v>20</v>
      </c>
      <c r="AM369" s="74">
        <f ca="1">INDIRECT(ADDRESS(11+(MATCH(RIGHT(Table2[[#This Row],[spawner_sku]],LEN(Table2[[#This Row],[spawner_sku]])-FIND("/",Table2[[#This Row],[spawner_sku]])),Table1[Entity Prefab],0)),10,1,1,"Entities"))</f>
        <v>25</v>
      </c>
      <c r="AN369" s="74">
        <f ca="1">ROUND((Table2[[#This Row],[XP]]*Table2[[#This Row],[entity_spawned (AVG)]])*(Table2[[#This Row],[activating_chance]]/100),0)</f>
        <v>5</v>
      </c>
      <c r="AO369" s="71" t="str">
        <f ca="1">INDIRECT(ADDRESS(11+(MATCH(RIGHT(Table2[[#This Row],[spawner_sku]],LEN(Table2[[#This Row],[spawner_sku]])-FIND("/",Table2[[#This Row],[spawner_sku]])),Table28[Entity Prefab],0)),24,1,1,"Entities"))</f>
        <v>no</v>
      </c>
      <c r="AP369" s="71">
        <v>1</v>
      </c>
      <c r="AQ369" s="71">
        <v>1</v>
      </c>
      <c r="AR369" s="71" t="b">
        <v>0</v>
      </c>
      <c r="BP369" t="s">
        <v>239</v>
      </c>
      <c r="BQ369">
        <v>1</v>
      </c>
      <c r="BR369">
        <v>170</v>
      </c>
      <c r="BS369">
        <v>100</v>
      </c>
      <c r="BT369" s="74">
        <f ca="1">INDIRECT(ADDRESS(11+(MATCH(RIGHT(Table61011[[#This Row],[spawner_sku]],LEN(Table61011[[#This Row],[spawner_sku]])-FIND("/",Table61011[[#This Row],[spawner_sku]])),Table1[Entity Prefab],0)),10,1,1,"Entities"))</f>
        <v>75</v>
      </c>
      <c r="BU369" s="74">
        <f ca="1">ROUND((Table61011[[#This Row],[XP]]*Table61011[[#This Row],[entity_spawned (AVG)]])*(Table61011[[#This Row],[activating_chance]]/100),0)</f>
        <v>75</v>
      </c>
      <c r="BV369" s="71" t="str">
        <f ca="1">INDIRECT(ADDRESS(11+(MATCH(RIGHT(Table61011[[#This Row],[spawner_sku]],LEN(Table61011[[#This Row],[spawner_sku]])-FIND("/",Table61011[[#This Row],[spawner_sku]])),Table28[Entity Prefab],0)),24,1,1,"Entities"))</f>
        <v>no</v>
      </c>
      <c r="BW369" s="71">
        <v>1</v>
      </c>
      <c r="BX369" s="71">
        <v>1</v>
      </c>
      <c r="BY369" s="71" t="b">
        <v>0</v>
      </c>
      <c r="BZ369" s="71"/>
      <c r="CA369" s="147" t="s">
        <v>3817</v>
      </c>
      <c r="CB369">
        <v>1</v>
      </c>
      <c r="CC369">
        <v>180</v>
      </c>
      <c r="CD369">
        <v>100</v>
      </c>
      <c r="CE369" s="74">
        <f ca="1">INDIRECT(ADDRESS(11+(MATCH(RIGHT(Table35[[#This Row],[spawner_sku]],LEN(Table35[[#This Row],[spawner_sku]])-FIND("/",Table35[[#This Row],[spawner_sku]])),Table1[Entity Prefab],0)),10,1,1,"Entities"))</f>
        <v>83</v>
      </c>
      <c r="CF369" s="74">
        <f ca="1">ROUND((Table35[[#This Row],[XP]]*Table35[[#This Row],[entity_spawned (AVG)]])*(Table35[[#This Row],[activating_chance]]/100),0)</f>
        <v>83</v>
      </c>
      <c r="CG369" s="144" t="str">
        <f ca="1">INDIRECT(ADDRESS(11+(MATCH(RIGHT(Table35[[#This Row],[spawner_sku]],LEN(Table35[[#This Row],[spawner_sku]])-FIND("/",Table35[[#This Row],[spawner_sku]])),Table28[Entity Prefab],0)),24,1,1,"Entities"))</f>
        <v>yes</v>
      </c>
      <c r="CH369">
        <v>1</v>
      </c>
      <c r="CI369">
        <v>1</v>
      </c>
      <c r="CJ369" s="71" t="b">
        <v>0</v>
      </c>
      <c r="CL369" t="s">
        <v>465</v>
      </c>
      <c r="CM369">
        <v>2</v>
      </c>
      <c r="CN369">
        <v>110</v>
      </c>
      <c r="CO369">
        <v>50</v>
      </c>
      <c r="CP369" s="74">
        <f ca="1">INDIRECT(ADDRESS(11+(MATCH(RIGHT(Table11[[#This Row],[spawner_sku]],LEN(Table11[[#This Row],[spawner_sku]])-FIND("/",Table11[[#This Row],[spawner_sku]])),Table1[Entity Prefab],0)),10,1,1,"Entities"))</f>
        <v>25</v>
      </c>
      <c r="CQ369">
        <f ca="1">ROUND((Table11[[#This Row],[XP]]*Table11[[#This Row],[entity_spawned (AVG)]])*(Table11[[#This Row],[activating_chance]]/100),0)</f>
        <v>25</v>
      </c>
      <c r="CR369" s="144" t="str">
        <f ca="1">INDIRECT(ADDRESS(11+(MATCH(RIGHT(Table11[[#This Row],[spawner_sku]],LEN(Table11[[#This Row],[spawner_sku]])-FIND("/",Table11[[#This Row],[spawner_sku]])),Table28[Entity Prefab],0)),25,1,1,"Entities"))</f>
        <v>no</v>
      </c>
      <c r="CS369" s="71">
        <v>1</v>
      </c>
      <c r="CT369" s="71">
        <v>3</v>
      </c>
      <c r="CU369" s="71" t="b">
        <v>0</v>
      </c>
      <c r="DS369" t="s">
        <v>510</v>
      </c>
      <c r="DT369">
        <v>1</v>
      </c>
      <c r="DU369">
        <v>135</v>
      </c>
      <c r="DV369">
        <v>100</v>
      </c>
      <c r="DW369" s="74">
        <f ca="1">INDIRECT(ADDRESS(11+(MATCH(RIGHT(Table14[[#This Row],[spawner_sku]],LEN(Table14[[#This Row],[spawner_sku]])-FIND("/",Table14[[#This Row],[spawner_sku]])),Table1[Entity Prefab],0)),10,1,1,"Entities"))</f>
        <v>90</v>
      </c>
      <c r="DX369" s="74">
        <f ca="1">ROUND((Table14[[#This Row],[XP]]*Table14[[#This Row],[entity_spawned (AVG)]])*(Table14[[#This Row],[activating_chance]]/100),0)</f>
        <v>90</v>
      </c>
      <c r="DY369" s="144" t="str">
        <f ca="1">INDIRECT(ADDRESS(11+(MATCH(RIGHT(Table14[[#This Row],[spawner_sku]],LEN(Table14[[#This Row],[spawner_sku]])-FIND("/",Table14[[#This Row],[spawner_sku]])),Table28[Entity Prefab],0)),25,1,1,"Entities"))</f>
        <v>no</v>
      </c>
      <c r="DZ369" s="71">
        <v>1</v>
      </c>
      <c r="EA369" s="71">
        <v>1</v>
      </c>
      <c r="EB369" s="71" t="b">
        <v>0</v>
      </c>
      <c r="EC369" s="71"/>
    </row>
    <row r="370" spans="2:133" x14ac:dyDescent="0.25">
      <c r="B370" s="72" t="s">
        <v>570</v>
      </c>
      <c r="C370">
        <v>1</v>
      </c>
      <c r="D370">
        <v>110</v>
      </c>
      <c r="E370">
        <v>100</v>
      </c>
      <c r="F370" s="74">
        <f ca="1">INDIRECT(ADDRESS(11+(MATCH(RIGHT(Table245[[#This Row],[spawner_sku]],LEN(Table245[[#This Row],[spawner_sku]])-FIND("/",Table245[[#This Row],[spawner_sku]])),Table1[Entity Prefab],0)),10,1,1,"Entities"))</f>
        <v>50</v>
      </c>
      <c r="G370" s="74">
        <f ca="1">ROUND((Table245[[#This Row],[XP]]*Table245[[#This Row],[entity_spawned (AVG)]])*(Table245[[#This Row],[activating_chance]]/100),0)</f>
        <v>50</v>
      </c>
      <c r="H370" s="71" t="str">
        <f ca="1">INDIRECT(ADDRESS(11+(MATCH(RIGHT(Table245[[#This Row],[spawner_sku]],LEN(Table245[[#This Row],[spawner_sku]])-FIND("/",Table245[[#This Row],[spawner_sku]])),Table28[Entity Prefab],0)),24,1,1,"Entities"))</f>
        <v>no</v>
      </c>
      <c r="I370" s="71">
        <v>1</v>
      </c>
      <c r="J370" s="71">
        <v>1</v>
      </c>
      <c r="K370" s="71" t="b">
        <v>0</v>
      </c>
      <c r="AI370" t="s">
        <v>242</v>
      </c>
      <c r="AJ370">
        <v>1</v>
      </c>
      <c r="AK370">
        <v>120</v>
      </c>
      <c r="AL370">
        <v>100</v>
      </c>
      <c r="AM370" s="74">
        <f ca="1">INDIRECT(ADDRESS(11+(MATCH(RIGHT(Table2[[#This Row],[spawner_sku]],LEN(Table2[[#This Row],[spawner_sku]])-FIND("/",Table2[[#This Row],[spawner_sku]])),Table1[Entity Prefab],0)),10,1,1,"Entities"))</f>
        <v>25</v>
      </c>
      <c r="AN370" s="74">
        <f ca="1">ROUND((Table2[[#This Row],[XP]]*Table2[[#This Row],[entity_spawned (AVG)]])*(Table2[[#This Row],[activating_chance]]/100),0)</f>
        <v>25</v>
      </c>
      <c r="AO370" s="71" t="str">
        <f ca="1">INDIRECT(ADDRESS(11+(MATCH(RIGHT(Table2[[#This Row],[spawner_sku]],LEN(Table2[[#This Row],[spawner_sku]])-FIND("/",Table2[[#This Row],[spawner_sku]])),Table28[Entity Prefab],0)),24,1,1,"Entities"))</f>
        <v>no</v>
      </c>
      <c r="AP370" s="71">
        <v>1</v>
      </c>
      <c r="AQ370" s="71">
        <v>1</v>
      </c>
      <c r="AR370" s="71" t="b">
        <v>0</v>
      </c>
      <c r="BP370" t="s">
        <v>239</v>
      </c>
      <c r="BQ370">
        <v>1</v>
      </c>
      <c r="BR370">
        <v>220</v>
      </c>
      <c r="BS370">
        <v>100</v>
      </c>
      <c r="BT370" s="74">
        <f ca="1">INDIRECT(ADDRESS(11+(MATCH(RIGHT(Table61011[[#This Row],[spawner_sku]],LEN(Table61011[[#This Row],[spawner_sku]])-FIND("/",Table61011[[#This Row],[spawner_sku]])),Table1[Entity Prefab],0)),10,1,1,"Entities"))</f>
        <v>75</v>
      </c>
      <c r="BU370" s="74">
        <f ca="1">ROUND((Table61011[[#This Row],[XP]]*Table61011[[#This Row],[entity_spawned (AVG)]])*(Table61011[[#This Row],[activating_chance]]/100),0)</f>
        <v>75</v>
      </c>
      <c r="BV370" s="71" t="str">
        <f ca="1">INDIRECT(ADDRESS(11+(MATCH(RIGHT(Table61011[[#This Row],[spawner_sku]],LEN(Table61011[[#This Row],[spawner_sku]])-FIND("/",Table61011[[#This Row],[spawner_sku]])),Table28[Entity Prefab],0)),24,1,1,"Entities"))</f>
        <v>no</v>
      </c>
      <c r="BW370" s="71">
        <v>1</v>
      </c>
      <c r="BX370" s="71">
        <v>1</v>
      </c>
      <c r="BY370" s="71" t="b">
        <v>0</v>
      </c>
      <c r="BZ370" s="71"/>
      <c r="CA370" s="147" t="s">
        <v>3817</v>
      </c>
      <c r="CB370">
        <v>1</v>
      </c>
      <c r="CC370">
        <v>180</v>
      </c>
      <c r="CD370">
        <v>100</v>
      </c>
      <c r="CE370" s="74">
        <f ca="1">INDIRECT(ADDRESS(11+(MATCH(RIGHT(Table35[[#This Row],[spawner_sku]],LEN(Table35[[#This Row],[spawner_sku]])-FIND("/",Table35[[#This Row],[spawner_sku]])),Table1[Entity Prefab],0)),10,1,1,"Entities"))</f>
        <v>83</v>
      </c>
      <c r="CF370" s="74">
        <f ca="1">ROUND((Table35[[#This Row],[XP]]*Table35[[#This Row],[entity_spawned (AVG)]])*(Table35[[#This Row],[activating_chance]]/100),0)</f>
        <v>83</v>
      </c>
      <c r="CG370" s="144" t="str">
        <f ca="1">INDIRECT(ADDRESS(11+(MATCH(RIGHT(Table35[[#This Row],[spawner_sku]],LEN(Table35[[#This Row],[spawner_sku]])-FIND("/",Table35[[#This Row],[spawner_sku]])),Table28[Entity Prefab],0)),24,1,1,"Entities"))</f>
        <v>yes</v>
      </c>
      <c r="CH370">
        <v>1</v>
      </c>
      <c r="CI370">
        <v>1</v>
      </c>
      <c r="CJ370" s="71" t="b">
        <v>0</v>
      </c>
      <c r="CL370" t="s">
        <v>465</v>
      </c>
      <c r="CM370">
        <v>1</v>
      </c>
      <c r="CN370">
        <v>140</v>
      </c>
      <c r="CO370">
        <v>50</v>
      </c>
      <c r="CP370" s="74">
        <f ca="1">INDIRECT(ADDRESS(11+(MATCH(RIGHT(Table11[[#This Row],[spawner_sku]],LEN(Table11[[#This Row],[spawner_sku]])-FIND("/",Table11[[#This Row],[spawner_sku]])),Table1[Entity Prefab],0)),10,1,1,"Entities"))</f>
        <v>25</v>
      </c>
      <c r="CQ370">
        <f ca="1">ROUND((Table11[[#This Row],[XP]]*Table11[[#This Row],[entity_spawned (AVG)]])*(Table11[[#This Row],[activating_chance]]/100),0)</f>
        <v>13</v>
      </c>
      <c r="CR370" s="144" t="str">
        <f ca="1">INDIRECT(ADDRESS(11+(MATCH(RIGHT(Table11[[#This Row],[spawner_sku]],LEN(Table11[[#This Row],[spawner_sku]])-FIND("/",Table11[[#This Row],[spawner_sku]])),Table28[Entity Prefab],0)),25,1,1,"Entities"))</f>
        <v>no</v>
      </c>
      <c r="CS370" s="71">
        <v>1</v>
      </c>
      <c r="CT370" s="71">
        <v>1</v>
      </c>
      <c r="CU370" s="71" t="b">
        <v>0</v>
      </c>
      <c r="DS370" t="s">
        <v>510</v>
      </c>
      <c r="DT370">
        <v>1</v>
      </c>
      <c r="DU370">
        <v>130</v>
      </c>
      <c r="DV370">
        <v>70</v>
      </c>
      <c r="DW370" s="74">
        <f ca="1">INDIRECT(ADDRESS(11+(MATCH(RIGHT(Table14[[#This Row],[spawner_sku]],LEN(Table14[[#This Row],[spawner_sku]])-FIND("/",Table14[[#This Row],[spawner_sku]])),Table1[Entity Prefab],0)),10,1,1,"Entities"))</f>
        <v>90</v>
      </c>
      <c r="DX370" s="74">
        <f ca="1">ROUND((Table14[[#This Row],[XP]]*Table14[[#This Row],[entity_spawned (AVG)]])*(Table14[[#This Row],[activating_chance]]/100),0)</f>
        <v>63</v>
      </c>
      <c r="DY370" s="144" t="str">
        <f ca="1">INDIRECT(ADDRESS(11+(MATCH(RIGHT(Table14[[#This Row],[spawner_sku]],LEN(Table14[[#This Row],[spawner_sku]])-FIND("/",Table14[[#This Row],[spawner_sku]])),Table28[Entity Prefab],0)),25,1,1,"Entities"))</f>
        <v>no</v>
      </c>
      <c r="DZ370" s="71">
        <v>1</v>
      </c>
      <c r="EA370" s="71">
        <v>1</v>
      </c>
      <c r="EB370" s="71" t="b">
        <v>0</v>
      </c>
      <c r="EC370" s="71"/>
    </row>
    <row r="371" spans="2:133" x14ac:dyDescent="0.25">
      <c r="B371" s="72" t="s">
        <v>570</v>
      </c>
      <c r="C371">
        <v>1</v>
      </c>
      <c r="D371">
        <v>110</v>
      </c>
      <c r="E371">
        <v>100</v>
      </c>
      <c r="F371" s="74">
        <f ca="1">INDIRECT(ADDRESS(11+(MATCH(RIGHT(Table245[[#This Row],[spawner_sku]],LEN(Table245[[#This Row],[spawner_sku]])-FIND("/",Table245[[#This Row],[spawner_sku]])),Table1[Entity Prefab],0)),10,1,1,"Entities"))</f>
        <v>50</v>
      </c>
      <c r="G371" s="74">
        <f ca="1">ROUND((Table245[[#This Row],[XP]]*Table245[[#This Row],[entity_spawned (AVG)]])*(Table245[[#This Row],[activating_chance]]/100),0)</f>
        <v>50</v>
      </c>
      <c r="H371" s="71" t="str">
        <f ca="1">INDIRECT(ADDRESS(11+(MATCH(RIGHT(Table245[[#This Row],[spawner_sku]],LEN(Table245[[#This Row],[spawner_sku]])-FIND("/",Table245[[#This Row],[spawner_sku]])),Table28[Entity Prefab],0)),24,1,1,"Entities"))</f>
        <v>no</v>
      </c>
      <c r="I371" s="71">
        <v>1</v>
      </c>
      <c r="J371" s="71">
        <v>1</v>
      </c>
      <c r="K371" s="71" t="b">
        <v>0</v>
      </c>
      <c r="AI371" t="s">
        <v>242</v>
      </c>
      <c r="AJ371">
        <v>2</v>
      </c>
      <c r="AK371">
        <v>130</v>
      </c>
      <c r="AL371">
        <v>95</v>
      </c>
      <c r="AM371" s="74">
        <f ca="1">INDIRECT(ADDRESS(11+(MATCH(RIGHT(Table2[[#This Row],[spawner_sku]],LEN(Table2[[#This Row],[spawner_sku]])-FIND("/",Table2[[#This Row],[spawner_sku]])),Table1[Entity Prefab],0)),10,1,1,"Entities"))</f>
        <v>25</v>
      </c>
      <c r="AN371" s="74">
        <f ca="1">ROUND((Table2[[#This Row],[XP]]*Table2[[#This Row],[entity_spawned (AVG)]])*(Table2[[#This Row],[activating_chance]]/100),0)</f>
        <v>48</v>
      </c>
      <c r="AO371" s="71" t="str">
        <f ca="1">INDIRECT(ADDRESS(11+(MATCH(RIGHT(Table2[[#This Row],[spawner_sku]],LEN(Table2[[#This Row],[spawner_sku]])-FIND("/",Table2[[#This Row],[spawner_sku]])),Table28[Entity Prefab],0)),24,1,1,"Entities"))</f>
        <v>no</v>
      </c>
      <c r="AP371" s="71">
        <v>2</v>
      </c>
      <c r="AQ371" s="71">
        <v>2</v>
      </c>
      <c r="AR371" s="71" t="b">
        <v>0</v>
      </c>
      <c r="BP371" t="s">
        <v>239</v>
      </c>
      <c r="BQ371">
        <v>1</v>
      </c>
      <c r="BR371">
        <v>200</v>
      </c>
      <c r="BS371">
        <v>100</v>
      </c>
      <c r="BT371" s="74">
        <f ca="1">INDIRECT(ADDRESS(11+(MATCH(RIGHT(Table61011[[#This Row],[spawner_sku]],LEN(Table61011[[#This Row],[spawner_sku]])-FIND("/",Table61011[[#This Row],[spawner_sku]])),Table1[Entity Prefab],0)),10,1,1,"Entities"))</f>
        <v>75</v>
      </c>
      <c r="BU371" s="74">
        <f ca="1">ROUND((Table61011[[#This Row],[XP]]*Table61011[[#This Row],[entity_spawned (AVG)]])*(Table61011[[#This Row],[activating_chance]]/100),0)</f>
        <v>75</v>
      </c>
      <c r="BV371" s="71" t="str">
        <f ca="1">INDIRECT(ADDRESS(11+(MATCH(RIGHT(Table61011[[#This Row],[spawner_sku]],LEN(Table61011[[#This Row],[spawner_sku]])-FIND("/",Table61011[[#This Row],[spawner_sku]])),Table28[Entity Prefab],0)),24,1,1,"Entities"))</f>
        <v>no</v>
      </c>
      <c r="BW371" s="71">
        <v>1</v>
      </c>
      <c r="BX371" s="71">
        <v>1</v>
      </c>
      <c r="BY371" s="71" t="b">
        <v>0</v>
      </c>
      <c r="BZ371" s="71"/>
      <c r="CA371" s="147" t="s">
        <v>3817</v>
      </c>
      <c r="CB371">
        <v>1</v>
      </c>
      <c r="CC371">
        <v>180</v>
      </c>
      <c r="CD371">
        <v>100</v>
      </c>
      <c r="CE371" s="74">
        <f ca="1">INDIRECT(ADDRESS(11+(MATCH(RIGHT(Table35[[#This Row],[spawner_sku]],LEN(Table35[[#This Row],[spawner_sku]])-FIND("/",Table35[[#This Row],[spawner_sku]])),Table1[Entity Prefab],0)),10,1,1,"Entities"))</f>
        <v>83</v>
      </c>
      <c r="CF371" s="74">
        <f ca="1">ROUND((Table35[[#This Row],[XP]]*Table35[[#This Row],[entity_spawned (AVG)]])*(Table35[[#This Row],[activating_chance]]/100),0)</f>
        <v>83</v>
      </c>
      <c r="CG371" s="144" t="str">
        <f ca="1">INDIRECT(ADDRESS(11+(MATCH(RIGHT(Table35[[#This Row],[spawner_sku]],LEN(Table35[[#This Row],[spawner_sku]])-FIND("/",Table35[[#This Row],[spawner_sku]])),Table28[Entity Prefab],0)),24,1,1,"Entities"))</f>
        <v>yes</v>
      </c>
      <c r="CH371">
        <v>1</v>
      </c>
      <c r="CI371">
        <v>1</v>
      </c>
      <c r="CJ371" s="71" t="b">
        <v>0</v>
      </c>
      <c r="CL371" t="s">
        <v>465</v>
      </c>
      <c r="CM371">
        <v>2.5</v>
      </c>
      <c r="CN371">
        <v>110</v>
      </c>
      <c r="CO371">
        <v>100</v>
      </c>
      <c r="CP371" s="74">
        <f ca="1">INDIRECT(ADDRESS(11+(MATCH(RIGHT(Table11[[#This Row],[spawner_sku]],LEN(Table11[[#This Row],[spawner_sku]])-FIND("/",Table11[[#This Row],[spawner_sku]])),Table1[Entity Prefab],0)),10,1,1,"Entities"))</f>
        <v>25</v>
      </c>
      <c r="CQ371">
        <f ca="1">ROUND((Table11[[#This Row],[XP]]*Table11[[#This Row],[entity_spawned (AVG)]])*(Table11[[#This Row],[activating_chance]]/100),0)</f>
        <v>63</v>
      </c>
      <c r="CR371" s="144" t="str">
        <f ca="1">INDIRECT(ADDRESS(11+(MATCH(RIGHT(Table11[[#This Row],[spawner_sku]],LEN(Table11[[#This Row],[spawner_sku]])-FIND("/",Table11[[#This Row],[spawner_sku]])),Table28[Entity Prefab],0)),25,1,1,"Entities"))</f>
        <v>no</v>
      </c>
      <c r="CS371" s="71">
        <v>2</v>
      </c>
      <c r="CT371" s="71">
        <v>3</v>
      </c>
      <c r="CU371" s="71" t="b">
        <v>0</v>
      </c>
      <c r="DS371" t="s">
        <v>510</v>
      </c>
      <c r="DT371">
        <v>1</v>
      </c>
      <c r="DU371">
        <v>150</v>
      </c>
      <c r="DV371">
        <v>100</v>
      </c>
      <c r="DW371" s="74">
        <f ca="1">INDIRECT(ADDRESS(11+(MATCH(RIGHT(Table14[[#This Row],[spawner_sku]],LEN(Table14[[#This Row],[spawner_sku]])-FIND("/",Table14[[#This Row],[spawner_sku]])),Table1[Entity Prefab],0)),10,1,1,"Entities"))</f>
        <v>90</v>
      </c>
      <c r="DX371" s="74">
        <f ca="1">ROUND((Table14[[#This Row],[XP]]*Table14[[#This Row],[entity_spawned (AVG)]])*(Table14[[#This Row],[activating_chance]]/100),0)</f>
        <v>90</v>
      </c>
      <c r="DY371" s="144" t="str">
        <f ca="1">INDIRECT(ADDRESS(11+(MATCH(RIGHT(Table14[[#This Row],[spawner_sku]],LEN(Table14[[#This Row],[spawner_sku]])-FIND("/",Table14[[#This Row],[spawner_sku]])),Table28[Entity Prefab],0)),25,1,1,"Entities"))</f>
        <v>no</v>
      </c>
      <c r="DZ371" s="71">
        <v>1</v>
      </c>
      <c r="EA371" s="71">
        <v>1</v>
      </c>
      <c r="EB371" s="71" t="b">
        <v>0</v>
      </c>
      <c r="EC371" s="71"/>
    </row>
    <row r="372" spans="2:133" x14ac:dyDescent="0.25">
      <c r="B372" s="72" t="s">
        <v>570</v>
      </c>
      <c r="C372">
        <v>1</v>
      </c>
      <c r="D372">
        <v>110</v>
      </c>
      <c r="E372">
        <v>100</v>
      </c>
      <c r="F372" s="74">
        <f ca="1">INDIRECT(ADDRESS(11+(MATCH(RIGHT(Table245[[#This Row],[spawner_sku]],LEN(Table245[[#This Row],[spawner_sku]])-FIND("/",Table245[[#This Row],[spawner_sku]])),Table1[Entity Prefab],0)),10,1,1,"Entities"))</f>
        <v>50</v>
      </c>
      <c r="G372" s="74">
        <f ca="1">ROUND((Table245[[#This Row],[XP]]*Table245[[#This Row],[entity_spawned (AVG)]])*(Table245[[#This Row],[activating_chance]]/100),0)</f>
        <v>50</v>
      </c>
      <c r="H372" s="71" t="str">
        <f ca="1">INDIRECT(ADDRESS(11+(MATCH(RIGHT(Table245[[#This Row],[spawner_sku]],LEN(Table245[[#This Row],[spawner_sku]])-FIND("/",Table245[[#This Row],[spawner_sku]])),Table28[Entity Prefab],0)),24,1,1,"Entities"))</f>
        <v>no</v>
      </c>
      <c r="I372" s="71">
        <v>1</v>
      </c>
      <c r="J372" s="71">
        <v>1</v>
      </c>
      <c r="K372" s="71" t="b">
        <v>0</v>
      </c>
      <c r="AI372" t="s">
        <v>242</v>
      </c>
      <c r="AJ372">
        <v>1</v>
      </c>
      <c r="AK372">
        <v>120</v>
      </c>
      <c r="AL372">
        <v>100</v>
      </c>
      <c r="AM372" s="74">
        <f ca="1">INDIRECT(ADDRESS(11+(MATCH(RIGHT(Table2[[#This Row],[spawner_sku]],LEN(Table2[[#This Row],[spawner_sku]])-FIND("/",Table2[[#This Row],[spawner_sku]])),Table1[Entity Prefab],0)),10,1,1,"Entities"))</f>
        <v>25</v>
      </c>
      <c r="AN372" s="74">
        <f ca="1">ROUND((Table2[[#This Row],[XP]]*Table2[[#This Row],[entity_spawned (AVG)]])*(Table2[[#This Row],[activating_chance]]/100),0)</f>
        <v>25</v>
      </c>
      <c r="AO372" s="71" t="str">
        <f ca="1">INDIRECT(ADDRESS(11+(MATCH(RIGHT(Table2[[#This Row],[spawner_sku]],LEN(Table2[[#This Row],[spawner_sku]])-FIND("/",Table2[[#This Row],[spawner_sku]])),Table28[Entity Prefab],0)),24,1,1,"Entities"))</f>
        <v>no</v>
      </c>
      <c r="AP372" s="71">
        <v>1</v>
      </c>
      <c r="AQ372" s="71">
        <v>1</v>
      </c>
      <c r="AR372" s="71" t="b">
        <v>0</v>
      </c>
      <c r="BP372" t="s">
        <v>239</v>
      </c>
      <c r="BQ372">
        <v>1</v>
      </c>
      <c r="BR372">
        <v>200</v>
      </c>
      <c r="BS372">
        <v>100</v>
      </c>
      <c r="BT372" s="74">
        <f ca="1">INDIRECT(ADDRESS(11+(MATCH(RIGHT(Table61011[[#This Row],[spawner_sku]],LEN(Table61011[[#This Row],[spawner_sku]])-FIND("/",Table61011[[#This Row],[spawner_sku]])),Table1[Entity Prefab],0)),10,1,1,"Entities"))</f>
        <v>75</v>
      </c>
      <c r="BU372" s="74">
        <f ca="1">ROUND((Table61011[[#This Row],[XP]]*Table61011[[#This Row],[entity_spawned (AVG)]])*(Table61011[[#This Row],[activating_chance]]/100),0)</f>
        <v>75</v>
      </c>
      <c r="BV372" s="71" t="str">
        <f ca="1">INDIRECT(ADDRESS(11+(MATCH(RIGHT(Table61011[[#This Row],[spawner_sku]],LEN(Table61011[[#This Row],[spawner_sku]])-FIND("/",Table61011[[#This Row],[spawner_sku]])),Table28[Entity Prefab],0)),24,1,1,"Entities"))</f>
        <v>no</v>
      </c>
      <c r="BW372" s="71">
        <v>1</v>
      </c>
      <c r="BX372" s="71">
        <v>1</v>
      </c>
      <c r="BY372" s="71" t="b">
        <v>0</v>
      </c>
      <c r="BZ372" s="71"/>
      <c r="CA372" s="147" t="s">
        <v>3817</v>
      </c>
      <c r="CB372">
        <v>1</v>
      </c>
      <c r="CC372">
        <v>180</v>
      </c>
      <c r="CD372">
        <v>100</v>
      </c>
      <c r="CE372" s="74">
        <f ca="1">INDIRECT(ADDRESS(11+(MATCH(RIGHT(Table35[[#This Row],[spawner_sku]],LEN(Table35[[#This Row],[spawner_sku]])-FIND("/",Table35[[#This Row],[spawner_sku]])),Table1[Entity Prefab],0)),10,1,1,"Entities"))</f>
        <v>83</v>
      </c>
      <c r="CF372" s="74">
        <f ca="1">ROUND((Table35[[#This Row],[XP]]*Table35[[#This Row],[entity_spawned (AVG)]])*(Table35[[#This Row],[activating_chance]]/100),0)</f>
        <v>83</v>
      </c>
      <c r="CG372" s="144" t="str">
        <f ca="1">INDIRECT(ADDRESS(11+(MATCH(RIGHT(Table35[[#This Row],[spawner_sku]],LEN(Table35[[#This Row],[spawner_sku]])-FIND("/",Table35[[#This Row],[spawner_sku]])),Table28[Entity Prefab],0)),24,1,1,"Entities"))</f>
        <v>yes</v>
      </c>
      <c r="CH372">
        <v>1</v>
      </c>
      <c r="CI372">
        <v>1</v>
      </c>
      <c r="CJ372" s="71" t="b">
        <v>0</v>
      </c>
      <c r="CL372" t="s">
        <v>465</v>
      </c>
      <c r="CM372">
        <v>1</v>
      </c>
      <c r="CN372">
        <v>90</v>
      </c>
      <c r="CO372">
        <v>50</v>
      </c>
      <c r="CP372" s="74">
        <f ca="1">INDIRECT(ADDRESS(11+(MATCH(RIGHT(Table11[[#This Row],[spawner_sku]],LEN(Table11[[#This Row],[spawner_sku]])-FIND("/",Table11[[#This Row],[spawner_sku]])),Table1[Entity Prefab],0)),10,1,1,"Entities"))</f>
        <v>25</v>
      </c>
      <c r="CQ372">
        <f ca="1">ROUND((Table11[[#This Row],[XP]]*Table11[[#This Row],[entity_spawned (AVG)]])*(Table11[[#This Row],[activating_chance]]/100),0)</f>
        <v>13</v>
      </c>
      <c r="CR372" s="144" t="str">
        <f ca="1">INDIRECT(ADDRESS(11+(MATCH(RIGHT(Table11[[#This Row],[spawner_sku]],LEN(Table11[[#This Row],[spawner_sku]])-FIND("/",Table11[[#This Row],[spawner_sku]])),Table28[Entity Prefab],0)),25,1,1,"Entities"))</f>
        <v>no</v>
      </c>
      <c r="CS372" s="71">
        <v>1</v>
      </c>
      <c r="CT372" s="71">
        <v>1</v>
      </c>
      <c r="CU372" s="71" t="b">
        <v>0</v>
      </c>
      <c r="DS372" t="s">
        <v>510</v>
      </c>
      <c r="DT372">
        <v>1</v>
      </c>
      <c r="DU372">
        <v>100</v>
      </c>
      <c r="DV372">
        <v>100</v>
      </c>
      <c r="DW372" s="74">
        <f ca="1">INDIRECT(ADDRESS(11+(MATCH(RIGHT(Table14[[#This Row],[spawner_sku]],LEN(Table14[[#This Row],[spawner_sku]])-FIND("/",Table14[[#This Row],[spawner_sku]])),Table1[Entity Prefab],0)),10,1,1,"Entities"))</f>
        <v>90</v>
      </c>
      <c r="DX372" s="74">
        <f ca="1">ROUND((Table14[[#This Row],[XP]]*Table14[[#This Row],[entity_spawned (AVG)]])*(Table14[[#This Row],[activating_chance]]/100),0)</f>
        <v>90</v>
      </c>
      <c r="DY372" s="144" t="str">
        <f ca="1">INDIRECT(ADDRESS(11+(MATCH(RIGHT(Table14[[#This Row],[spawner_sku]],LEN(Table14[[#This Row],[spawner_sku]])-FIND("/",Table14[[#This Row],[spawner_sku]])),Table28[Entity Prefab],0)),25,1,1,"Entities"))</f>
        <v>no</v>
      </c>
      <c r="DZ372" s="71">
        <v>1</v>
      </c>
      <c r="EA372" s="71">
        <v>1</v>
      </c>
      <c r="EB372" s="71" t="b">
        <v>0</v>
      </c>
      <c r="EC372" s="71"/>
    </row>
    <row r="373" spans="2:133" x14ac:dyDescent="0.25">
      <c r="B373" s="72" t="s">
        <v>570</v>
      </c>
      <c r="C373">
        <v>1</v>
      </c>
      <c r="D373">
        <v>120</v>
      </c>
      <c r="E373">
        <v>100</v>
      </c>
      <c r="F373" s="74">
        <f ca="1">INDIRECT(ADDRESS(11+(MATCH(RIGHT(Table245[[#This Row],[spawner_sku]],LEN(Table245[[#This Row],[spawner_sku]])-FIND("/",Table245[[#This Row],[spawner_sku]])),Table1[Entity Prefab],0)),10,1,1,"Entities"))</f>
        <v>50</v>
      </c>
      <c r="G373" s="74">
        <f ca="1">ROUND((Table245[[#This Row],[XP]]*Table245[[#This Row],[entity_spawned (AVG)]])*(Table245[[#This Row],[activating_chance]]/100),0)</f>
        <v>50</v>
      </c>
      <c r="H373" s="71" t="str">
        <f ca="1">INDIRECT(ADDRESS(11+(MATCH(RIGHT(Table245[[#This Row],[spawner_sku]],LEN(Table245[[#This Row],[spawner_sku]])-FIND("/",Table245[[#This Row],[spawner_sku]])),Table28[Entity Prefab],0)),24,1,1,"Entities"))</f>
        <v>no</v>
      </c>
      <c r="I373" s="71">
        <v>1</v>
      </c>
      <c r="J373" s="71">
        <v>1</v>
      </c>
      <c r="K373" s="71" t="b">
        <v>0</v>
      </c>
      <c r="AI373" t="s">
        <v>242</v>
      </c>
      <c r="AJ373">
        <v>1</v>
      </c>
      <c r="AK373">
        <v>170</v>
      </c>
      <c r="AL373">
        <v>60</v>
      </c>
      <c r="AM373" s="74">
        <f ca="1">INDIRECT(ADDRESS(11+(MATCH(RIGHT(Table2[[#This Row],[spawner_sku]],LEN(Table2[[#This Row],[spawner_sku]])-FIND("/",Table2[[#This Row],[spawner_sku]])),Table1[Entity Prefab],0)),10,1,1,"Entities"))</f>
        <v>25</v>
      </c>
      <c r="AN373" s="74">
        <f ca="1">ROUND((Table2[[#This Row],[XP]]*Table2[[#This Row],[entity_spawned (AVG)]])*(Table2[[#This Row],[activating_chance]]/100),0)</f>
        <v>15</v>
      </c>
      <c r="AO373" s="71" t="str">
        <f ca="1">INDIRECT(ADDRESS(11+(MATCH(RIGHT(Table2[[#This Row],[spawner_sku]],LEN(Table2[[#This Row],[spawner_sku]])-FIND("/",Table2[[#This Row],[spawner_sku]])),Table28[Entity Prefab],0)),24,1,1,"Entities"))</f>
        <v>no</v>
      </c>
      <c r="AP373" s="71">
        <v>1</v>
      </c>
      <c r="AQ373" s="71">
        <v>1</v>
      </c>
      <c r="AR373" s="71" t="b">
        <v>0</v>
      </c>
      <c r="BP373" t="s">
        <v>239</v>
      </c>
      <c r="BQ373">
        <v>1</v>
      </c>
      <c r="BR373">
        <v>220</v>
      </c>
      <c r="BS373">
        <v>100</v>
      </c>
      <c r="BT373" s="74">
        <f ca="1">INDIRECT(ADDRESS(11+(MATCH(RIGHT(Table61011[[#This Row],[spawner_sku]],LEN(Table61011[[#This Row],[spawner_sku]])-FIND("/",Table61011[[#This Row],[spawner_sku]])),Table1[Entity Prefab],0)),10,1,1,"Entities"))</f>
        <v>75</v>
      </c>
      <c r="BU373" s="74">
        <f ca="1">ROUND((Table61011[[#This Row],[XP]]*Table61011[[#This Row],[entity_spawned (AVG)]])*(Table61011[[#This Row],[activating_chance]]/100),0)</f>
        <v>75</v>
      </c>
      <c r="BV373" s="71" t="str">
        <f ca="1">INDIRECT(ADDRESS(11+(MATCH(RIGHT(Table61011[[#This Row],[spawner_sku]],LEN(Table61011[[#This Row],[spawner_sku]])-FIND("/",Table61011[[#This Row],[spawner_sku]])),Table28[Entity Prefab],0)),24,1,1,"Entities"))</f>
        <v>no</v>
      </c>
      <c r="BW373" s="71">
        <v>1</v>
      </c>
      <c r="BX373" s="71">
        <v>1</v>
      </c>
      <c r="BY373" s="71" t="b">
        <v>0</v>
      </c>
      <c r="BZ373" s="71"/>
      <c r="CA373" s="147" t="s">
        <v>3817</v>
      </c>
      <c r="CB373">
        <v>1</v>
      </c>
      <c r="CC373">
        <v>180</v>
      </c>
      <c r="CD373">
        <v>100</v>
      </c>
      <c r="CE373" s="74">
        <f ca="1">INDIRECT(ADDRESS(11+(MATCH(RIGHT(Table35[[#This Row],[spawner_sku]],LEN(Table35[[#This Row],[spawner_sku]])-FIND("/",Table35[[#This Row],[spawner_sku]])),Table1[Entity Prefab],0)),10,1,1,"Entities"))</f>
        <v>83</v>
      </c>
      <c r="CF373" s="74">
        <f ca="1">ROUND((Table35[[#This Row],[XP]]*Table35[[#This Row],[entity_spawned (AVG)]])*(Table35[[#This Row],[activating_chance]]/100),0)</f>
        <v>83</v>
      </c>
      <c r="CG373" s="144" t="str">
        <f ca="1">INDIRECT(ADDRESS(11+(MATCH(RIGHT(Table35[[#This Row],[spawner_sku]],LEN(Table35[[#This Row],[spawner_sku]])-FIND("/",Table35[[#This Row],[spawner_sku]])),Table28[Entity Prefab],0)),24,1,1,"Entities"))</f>
        <v>yes</v>
      </c>
      <c r="CH373">
        <v>1</v>
      </c>
      <c r="CI373">
        <v>1</v>
      </c>
      <c r="CJ373" s="71" t="b">
        <v>0</v>
      </c>
      <c r="CL373" t="s">
        <v>465</v>
      </c>
      <c r="CM373">
        <v>1</v>
      </c>
      <c r="CN373">
        <v>140</v>
      </c>
      <c r="CO373">
        <v>50</v>
      </c>
      <c r="CP373" s="74">
        <f ca="1">INDIRECT(ADDRESS(11+(MATCH(RIGHT(Table11[[#This Row],[spawner_sku]],LEN(Table11[[#This Row],[spawner_sku]])-FIND("/",Table11[[#This Row],[spawner_sku]])),Table1[Entity Prefab],0)),10,1,1,"Entities"))</f>
        <v>25</v>
      </c>
      <c r="CQ373">
        <f ca="1">ROUND((Table11[[#This Row],[XP]]*Table11[[#This Row],[entity_spawned (AVG)]])*(Table11[[#This Row],[activating_chance]]/100),0)</f>
        <v>13</v>
      </c>
      <c r="CR373" s="144" t="str">
        <f ca="1">INDIRECT(ADDRESS(11+(MATCH(RIGHT(Table11[[#This Row],[spawner_sku]],LEN(Table11[[#This Row],[spawner_sku]])-FIND("/",Table11[[#This Row],[spawner_sku]])),Table28[Entity Prefab],0)),25,1,1,"Entities"))</f>
        <v>no</v>
      </c>
      <c r="CS373" s="71">
        <v>1</v>
      </c>
      <c r="CT373" s="71">
        <v>1</v>
      </c>
      <c r="CU373" s="71" t="b">
        <v>0</v>
      </c>
      <c r="DS373" t="s">
        <v>510</v>
      </c>
      <c r="DT373">
        <v>1</v>
      </c>
      <c r="DU373">
        <v>100</v>
      </c>
      <c r="DV373">
        <v>100</v>
      </c>
      <c r="DW373" s="74">
        <f ca="1">INDIRECT(ADDRESS(11+(MATCH(RIGHT(Table14[[#This Row],[spawner_sku]],LEN(Table14[[#This Row],[spawner_sku]])-FIND("/",Table14[[#This Row],[spawner_sku]])),Table1[Entity Prefab],0)),10,1,1,"Entities"))</f>
        <v>90</v>
      </c>
      <c r="DX373" s="74">
        <f ca="1">ROUND((Table14[[#This Row],[XP]]*Table14[[#This Row],[entity_spawned (AVG)]])*(Table14[[#This Row],[activating_chance]]/100),0)</f>
        <v>90</v>
      </c>
      <c r="DY373" s="144" t="str">
        <f ca="1">INDIRECT(ADDRESS(11+(MATCH(RIGHT(Table14[[#This Row],[spawner_sku]],LEN(Table14[[#This Row],[spawner_sku]])-FIND("/",Table14[[#This Row],[spawner_sku]])),Table28[Entity Prefab],0)),25,1,1,"Entities"))</f>
        <v>no</v>
      </c>
      <c r="DZ373" s="71">
        <v>1</v>
      </c>
      <c r="EA373" s="71">
        <v>1</v>
      </c>
      <c r="EB373" s="71" t="b">
        <v>0</v>
      </c>
      <c r="EC373" s="71"/>
    </row>
    <row r="374" spans="2:133" x14ac:dyDescent="0.25">
      <c r="B374" s="72" t="s">
        <v>364</v>
      </c>
      <c r="C374">
        <v>1</v>
      </c>
      <c r="D374">
        <v>450</v>
      </c>
      <c r="E374">
        <v>100</v>
      </c>
      <c r="F374" s="74">
        <f ca="1">INDIRECT(ADDRESS(11+(MATCH(RIGHT(Table245[[#This Row],[spawner_sku]],LEN(Table245[[#This Row],[spawner_sku]])-FIND("/",Table245[[#This Row],[spawner_sku]])),Table1[Entity Prefab],0)),10,1,1,"Entities"))</f>
        <v>0</v>
      </c>
      <c r="G374" s="74">
        <f ca="1">ROUND((Table245[[#This Row],[XP]]*Table245[[#This Row],[entity_spawned (AVG)]])*(Table245[[#This Row],[activating_chance]]/100),0)</f>
        <v>0</v>
      </c>
      <c r="H374" s="71" t="str">
        <f ca="1">INDIRECT(ADDRESS(11+(MATCH(RIGHT(Table245[[#This Row],[spawner_sku]],LEN(Table245[[#This Row],[spawner_sku]])-FIND("/",Table245[[#This Row],[spawner_sku]])),Table28[Entity Prefab],0)),24,1,1,"Entities"))</f>
        <v>yes</v>
      </c>
      <c r="I374" s="71">
        <v>1</v>
      </c>
      <c r="J374" s="71">
        <v>1</v>
      </c>
      <c r="K374" s="71" t="b">
        <v>0</v>
      </c>
      <c r="AI374" t="s">
        <v>242</v>
      </c>
      <c r="AJ374">
        <v>1</v>
      </c>
      <c r="AK374">
        <v>180</v>
      </c>
      <c r="AL374">
        <v>100</v>
      </c>
      <c r="AM374" s="74">
        <f ca="1">INDIRECT(ADDRESS(11+(MATCH(RIGHT(Table2[[#This Row],[spawner_sku]],LEN(Table2[[#This Row],[spawner_sku]])-FIND("/",Table2[[#This Row],[spawner_sku]])),Table1[Entity Prefab],0)),10,1,1,"Entities"))</f>
        <v>25</v>
      </c>
      <c r="AN374" s="74">
        <f ca="1">ROUND((Table2[[#This Row],[XP]]*Table2[[#This Row],[entity_spawned (AVG)]])*(Table2[[#This Row],[activating_chance]]/100),0)</f>
        <v>25</v>
      </c>
      <c r="AO374" s="71" t="str">
        <f ca="1">INDIRECT(ADDRESS(11+(MATCH(RIGHT(Table2[[#This Row],[spawner_sku]],LEN(Table2[[#This Row],[spawner_sku]])-FIND("/",Table2[[#This Row],[spawner_sku]])),Table28[Entity Prefab],0)),24,1,1,"Entities"))</f>
        <v>no</v>
      </c>
      <c r="AP374" s="71">
        <v>1</v>
      </c>
      <c r="AQ374" s="71">
        <v>1</v>
      </c>
      <c r="AR374" s="71" t="b">
        <v>0</v>
      </c>
      <c r="BP374" t="s">
        <v>239</v>
      </c>
      <c r="BQ374">
        <v>1</v>
      </c>
      <c r="BR374">
        <v>220</v>
      </c>
      <c r="BS374">
        <v>80</v>
      </c>
      <c r="BT374" s="74">
        <f ca="1">INDIRECT(ADDRESS(11+(MATCH(RIGHT(Table61011[[#This Row],[spawner_sku]],LEN(Table61011[[#This Row],[spawner_sku]])-FIND("/",Table61011[[#This Row],[spawner_sku]])),Table1[Entity Prefab],0)),10,1,1,"Entities"))</f>
        <v>75</v>
      </c>
      <c r="BU374" s="74">
        <f ca="1">ROUND((Table61011[[#This Row],[XP]]*Table61011[[#This Row],[entity_spawned (AVG)]])*(Table61011[[#This Row],[activating_chance]]/100),0)</f>
        <v>60</v>
      </c>
      <c r="BV374" s="71" t="str">
        <f ca="1">INDIRECT(ADDRESS(11+(MATCH(RIGHT(Table61011[[#This Row],[spawner_sku]],LEN(Table61011[[#This Row],[spawner_sku]])-FIND("/",Table61011[[#This Row],[spawner_sku]])),Table28[Entity Prefab],0)),24,1,1,"Entities"))</f>
        <v>no</v>
      </c>
      <c r="BW374" s="71">
        <v>1</v>
      </c>
      <c r="BX374" s="71">
        <v>1</v>
      </c>
      <c r="BY374" s="71" t="b">
        <v>0</v>
      </c>
      <c r="BZ374" s="71"/>
      <c r="CA374" s="147" t="s">
        <v>3817</v>
      </c>
      <c r="CB374">
        <v>1</v>
      </c>
      <c r="CC374">
        <v>180</v>
      </c>
      <c r="CD374">
        <v>100</v>
      </c>
      <c r="CE374" s="74">
        <f ca="1">INDIRECT(ADDRESS(11+(MATCH(RIGHT(Table35[[#This Row],[spawner_sku]],LEN(Table35[[#This Row],[spawner_sku]])-FIND("/",Table35[[#This Row],[spawner_sku]])),Table1[Entity Prefab],0)),10,1,1,"Entities"))</f>
        <v>83</v>
      </c>
      <c r="CF374" s="74">
        <f ca="1">ROUND((Table35[[#This Row],[XP]]*Table35[[#This Row],[entity_spawned (AVG)]])*(Table35[[#This Row],[activating_chance]]/100),0)</f>
        <v>83</v>
      </c>
      <c r="CG374" s="144" t="str">
        <f ca="1">INDIRECT(ADDRESS(11+(MATCH(RIGHT(Table35[[#This Row],[spawner_sku]],LEN(Table35[[#This Row],[spawner_sku]])-FIND("/",Table35[[#This Row],[spawner_sku]])),Table28[Entity Prefab],0)),24,1,1,"Entities"))</f>
        <v>yes</v>
      </c>
      <c r="CH374">
        <v>1</v>
      </c>
      <c r="CI374">
        <v>1</v>
      </c>
      <c r="CJ374" s="71" t="b">
        <v>0</v>
      </c>
      <c r="CL374" t="s">
        <v>465</v>
      </c>
      <c r="CM374">
        <v>1</v>
      </c>
      <c r="CN374">
        <v>120</v>
      </c>
      <c r="CO374">
        <v>50</v>
      </c>
      <c r="CP374" s="74">
        <f ca="1">INDIRECT(ADDRESS(11+(MATCH(RIGHT(Table11[[#This Row],[spawner_sku]],LEN(Table11[[#This Row],[spawner_sku]])-FIND("/",Table11[[#This Row],[spawner_sku]])),Table1[Entity Prefab],0)),10,1,1,"Entities"))</f>
        <v>25</v>
      </c>
      <c r="CQ374">
        <f ca="1">ROUND((Table11[[#This Row],[XP]]*Table11[[#This Row],[entity_spawned (AVG)]])*(Table11[[#This Row],[activating_chance]]/100),0)</f>
        <v>13</v>
      </c>
      <c r="CR374" s="144" t="str">
        <f ca="1">INDIRECT(ADDRESS(11+(MATCH(RIGHT(Table11[[#This Row],[spawner_sku]],LEN(Table11[[#This Row],[spawner_sku]])-FIND("/",Table11[[#This Row],[spawner_sku]])),Table28[Entity Prefab],0)),25,1,1,"Entities"))</f>
        <v>no</v>
      </c>
      <c r="CS374" s="71">
        <v>1</v>
      </c>
      <c r="CT374" s="71">
        <v>1</v>
      </c>
      <c r="CU374" s="71" t="b">
        <v>0</v>
      </c>
      <c r="DS374" t="s">
        <v>510</v>
      </c>
      <c r="DT374">
        <v>1</v>
      </c>
      <c r="DU374">
        <v>150</v>
      </c>
      <c r="DV374">
        <v>100</v>
      </c>
      <c r="DW374" s="74">
        <f ca="1">INDIRECT(ADDRESS(11+(MATCH(RIGHT(Table14[[#This Row],[spawner_sku]],LEN(Table14[[#This Row],[spawner_sku]])-FIND("/",Table14[[#This Row],[spawner_sku]])),Table1[Entity Prefab],0)),10,1,1,"Entities"))</f>
        <v>90</v>
      </c>
      <c r="DX374" s="74">
        <f ca="1">ROUND((Table14[[#This Row],[XP]]*Table14[[#This Row],[entity_spawned (AVG)]])*(Table14[[#This Row],[activating_chance]]/100),0)</f>
        <v>90</v>
      </c>
      <c r="DY374" s="144" t="str">
        <f ca="1">INDIRECT(ADDRESS(11+(MATCH(RIGHT(Table14[[#This Row],[spawner_sku]],LEN(Table14[[#This Row],[spawner_sku]])-FIND("/",Table14[[#This Row],[spawner_sku]])),Table28[Entity Prefab],0)),25,1,1,"Entities"))</f>
        <v>no</v>
      </c>
      <c r="DZ374" s="71">
        <v>1</v>
      </c>
      <c r="EA374" s="71">
        <v>1</v>
      </c>
      <c r="EB374" s="71" t="b">
        <v>0</v>
      </c>
      <c r="EC374" s="71"/>
    </row>
    <row r="375" spans="2:133" x14ac:dyDescent="0.25">
      <c r="B375" s="72" t="s">
        <v>364</v>
      </c>
      <c r="C375">
        <v>1</v>
      </c>
      <c r="D375">
        <v>450</v>
      </c>
      <c r="E375">
        <v>100</v>
      </c>
      <c r="F375" s="74">
        <f ca="1">INDIRECT(ADDRESS(11+(MATCH(RIGHT(Table245[[#This Row],[spawner_sku]],LEN(Table245[[#This Row],[spawner_sku]])-FIND("/",Table245[[#This Row],[spawner_sku]])),Table1[Entity Prefab],0)),10,1,1,"Entities"))</f>
        <v>0</v>
      </c>
      <c r="G375" s="74">
        <f ca="1">ROUND((Table245[[#This Row],[XP]]*Table245[[#This Row],[entity_spawned (AVG)]])*(Table245[[#This Row],[activating_chance]]/100),0)</f>
        <v>0</v>
      </c>
      <c r="H375" s="71" t="str">
        <f ca="1">INDIRECT(ADDRESS(11+(MATCH(RIGHT(Table245[[#This Row],[spawner_sku]],LEN(Table245[[#This Row],[spawner_sku]])-FIND("/",Table245[[#This Row],[spawner_sku]])),Table28[Entity Prefab],0)),24,1,1,"Entities"))</f>
        <v>yes</v>
      </c>
      <c r="I375" s="71">
        <v>1</v>
      </c>
      <c r="J375" s="71">
        <v>1</v>
      </c>
      <c r="K375" s="71" t="b">
        <v>0</v>
      </c>
      <c r="AI375" t="s">
        <v>242</v>
      </c>
      <c r="AJ375">
        <v>1</v>
      </c>
      <c r="AK375">
        <v>120</v>
      </c>
      <c r="AL375">
        <v>100</v>
      </c>
      <c r="AM375" s="74">
        <f ca="1">INDIRECT(ADDRESS(11+(MATCH(RIGHT(Table2[[#This Row],[spawner_sku]],LEN(Table2[[#This Row],[spawner_sku]])-FIND("/",Table2[[#This Row],[spawner_sku]])),Table1[Entity Prefab],0)),10,1,1,"Entities"))</f>
        <v>25</v>
      </c>
      <c r="AN375" s="74">
        <f ca="1">ROUND((Table2[[#This Row],[XP]]*Table2[[#This Row],[entity_spawned (AVG)]])*(Table2[[#This Row],[activating_chance]]/100),0)</f>
        <v>25</v>
      </c>
      <c r="AO375" s="71" t="str">
        <f ca="1">INDIRECT(ADDRESS(11+(MATCH(RIGHT(Table2[[#This Row],[spawner_sku]],LEN(Table2[[#This Row],[spawner_sku]])-FIND("/",Table2[[#This Row],[spawner_sku]])),Table28[Entity Prefab],0)),24,1,1,"Entities"))</f>
        <v>no</v>
      </c>
      <c r="AP375" s="71">
        <v>1</v>
      </c>
      <c r="AQ375" s="71">
        <v>1</v>
      </c>
      <c r="AR375" s="71" t="b">
        <v>0</v>
      </c>
      <c r="BP375" t="s">
        <v>239</v>
      </c>
      <c r="BQ375">
        <v>1</v>
      </c>
      <c r="BR375">
        <v>170</v>
      </c>
      <c r="BS375">
        <v>100</v>
      </c>
      <c r="BT375" s="74">
        <f ca="1">INDIRECT(ADDRESS(11+(MATCH(RIGHT(Table61011[[#This Row],[spawner_sku]],LEN(Table61011[[#This Row],[spawner_sku]])-FIND("/",Table61011[[#This Row],[spawner_sku]])),Table1[Entity Prefab],0)),10,1,1,"Entities"))</f>
        <v>75</v>
      </c>
      <c r="BU375" s="74">
        <f ca="1">ROUND((Table61011[[#This Row],[XP]]*Table61011[[#This Row],[entity_spawned (AVG)]])*(Table61011[[#This Row],[activating_chance]]/100),0)</f>
        <v>75</v>
      </c>
      <c r="BV375" s="71" t="str">
        <f ca="1">INDIRECT(ADDRESS(11+(MATCH(RIGHT(Table61011[[#This Row],[spawner_sku]],LEN(Table61011[[#This Row],[spawner_sku]])-FIND("/",Table61011[[#This Row],[spawner_sku]])),Table28[Entity Prefab],0)),24,1,1,"Entities"))</f>
        <v>no</v>
      </c>
      <c r="BW375" s="71">
        <v>1</v>
      </c>
      <c r="BX375" s="71">
        <v>1</v>
      </c>
      <c r="BY375" s="71" t="b">
        <v>0</v>
      </c>
      <c r="BZ375" s="71"/>
      <c r="CA375" s="147" t="s">
        <v>3817</v>
      </c>
      <c r="CB375">
        <v>1</v>
      </c>
      <c r="CC375">
        <v>180</v>
      </c>
      <c r="CD375">
        <v>100</v>
      </c>
      <c r="CE375" s="74">
        <f ca="1">INDIRECT(ADDRESS(11+(MATCH(RIGHT(Table35[[#This Row],[spawner_sku]],LEN(Table35[[#This Row],[spawner_sku]])-FIND("/",Table35[[#This Row],[spawner_sku]])),Table1[Entity Prefab],0)),10,1,1,"Entities"))</f>
        <v>83</v>
      </c>
      <c r="CF375" s="74">
        <f ca="1">ROUND((Table35[[#This Row],[XP]]*Table35[[#This Row],[entity_spawned (AVG)]])*(Table35[[#This Row],[activating_chance]]/100),0)</f>
        <v>83</v>
      </c>
      <c r="CG375" s="144" t="str">
        <f ca="1">INDIRECT(ADDRESS(11+(MATCH(RIGHT(Table35[[#This Row],[spawner_sku]],LEN(Table35[[#This Row],[spawner_sku]])-FIND("/",Table35[[#This Row],[spawner_sku]])),Table28[Entity Prefab],0)),24,1,1,"Entities"))</f>
        <v>yes</v>
      </c>
      <c r="CH375">
        <v>1</v>
      </c>
      <c r="CI375">
        <v>1</v>
      </c>
      <c r="CJ375" s="71" t="b">
        <v>0</v>
      </c>
      <c r="CL375" t="s">
        <v>465</v>
      </c>
      <c r="CM375">
        <v>1.5</v>
      </c>
      <c r="CN375">
        <v>140</v>
      </c>
      <c r="CO375">
        <v>100</v>
      </c>
      <c r="CP375" s="74">
        <f ca="1">INDIRECT(ADDRESS(11+(MATCH(RIGHT(Table11[[#This Row],[spawner_sku]],LEN(Table11[[#This Row],[spawner_sku]])-FIND("/",Table11[[#This Row],[spawner_sku]])),Table1[Entity Prefab],0)),10,1,1,"Entities"))</f>
        <v>25</v>
      </c>
      <c r="CQ375">
        <f ca="1">ROUND((Table11[[#This Row],[XP]]*Table11[[#This Row],[entity_spawned (AVG)]])*(Table11[[#This Row],[activating_chance]]/100),0)</f>
        <v>38</v>
      </c>
      <c r="CR375" s="144" t="str">
        <f ca="1">INDIRECT(ADDRESS(11+(MATCH(RIGHT(Table11[[#This Row],[spawner_sku]],LEN(Table11[[#This Row],[spawner_sku]])-FIND("/",Table11[[#This Row],[spawner_sku]])),Table28[Entity Prefab],0)),25,1,1,"Entities"))</f>
        <v>no</v>
      </c>
      <c r="CS375" s="71">
        <v>1</v>
      </c>
      <c r="CT375" s="71">
        <v>2</v>
      </c>
      <c r="CU375" s="71" t="b">
        <v>0</v>
      </c>
      <c r="DS375" t="s">
        <v>510</v>
      </c>
      <c r="DT375">
        <v>1</v>
      </c>
      <c r="DU375">
        <v>150</v>
      </c>
      <c r="DV375">
        <v>100</v>
      </c>
      <c r="DW375" s="74">
        <f ca="1">INDIRECT(ADDRESS(11+(MATCH(RIGHT(Table14[[#This Row],[spawner_sku]],LEN(Table14[[#This Row],[spawner_sku]])-FIND("/",Table14[[#This Row],[spawner_sku]])),Table1[Entity Prefab],0)),10,1,1,"Entities"))</f>
        <v>90</v>
      </c>
      <c r="DX375" s="74">
        <f ca="1">ROUND((Table14[[#This Row],[XP]]*Table14[[#This Row],[entity_spawned (AVG)]])*(Table14[[#This Row],[activating_chance]]/100),0)</f>
        <v>90</v>
      </c>
      <c r="DY375" s="144" t="str">
        <f ca="1">INDIRECT(ADDRESS(11+(MATCH(RIGHT(Table14[[#This Row],[spawner_sku]],LEN(Table14[[#This Row],[spawner_sku]])-FIND("/",Table14[[#This Row],[spawner_sku]])),Table28[Entity Prefab],0)),25,1,1,"Entities"))</f>
        <v>no</v>
      </c>
      <c r="DZ375" s="71">
        <v>1</v>
      </c>
      <c r="EA375" s="71">
        <v>1</v>
      </c>
      <c r="EB375" s="71" t="b">
        <v>0</v>
      </c>
      <c r="EC375" s="71"/>
    </row>
    <row r="376" spans="2:133" x14ac:dyDescent="0.25">
      <c r="B376" s="72" t="s">
        <v>364</v>
      </c>
      <c r="C376">
        <v>1</v>
      </c>
      <c r="D376">
        <v>450</v>
      </c>
      <c r="E376">
        <v>100</v>
      </c>
      <c r="F376" s="74">
        <f ca="1">INDIRECT(ADDRESS(11+(MATCH(RIGHT(Table245[[#This Row],[spawner_sku]],LEN(Table245[[#This Row],[spawner_sku]])-FIND("/",Table245[[#This Row],[spawner_sku]])),Table1[Entity Prefab],0)),10,1,1,"Entities"))</f>
        <v>0</v>
      </c>
      <c r="G376" s="74">
        <f ca="1">ROUND((Table245[[#This Row],[XP]]*Table245[[#This Row],[entity_spawned (AVG)]])*(Table245[[#This Row],[activating_chance]]/100),0)</f>
        <v>0</v>
      </c>
      <c r="H376" s="71" t="str">
        <f ca="1">INDIRECT(ADDRESS(11+(MATCH(RIGHT(Table245[[#This Row],[spawner_sku]],LEN(Table245[[#This Row],[spawner_sku]])-FIND("/",Table245[[#This Row],[spawner_sku]])),Table28[Entity Prefab],0)),24,1,1,"Entities"))</f>
        <v>yes</v>
      </c>
      <c r="I376" s="71">
        <v>1</v>
      </c>
      <c r="J376" s="71">
        <v>1</v>
      </c>
      <c r="K376" s="71" t="b">
        <v>0</v>
      </c>
      <c r="AI376" t="s">
        <v>242</v>
      </c>
      <c r="AJ376">
        <v>1</v>
      </c>
      <c r="AK376">
        <v>175</v>
      </c>
      <c r="AL376">
        <v>100</v>
      </c>
      <c r="AM376" s="74">
        <f ca="1">INDIRECT(ADDRESS(11+(MATCH(RIGHT(Table2[[#This Row],[spawner_sku]],LEN(Table2[[#This Row],[spawner_sku]])-FIND("/",Table2[[#This Row],[spawner_sku]])),Table1[Entity Prefab],0)),10,1,1,"Entities"))</f>
        <v>25</v>
      </c>
      <c r="AN376" s="74">
        <f ca="1">ROUND((Table2[[#This Row],[XP]]*Table2[[#This Row],[entity_spawned (AVG)]])*(Table2[[#This Row],[activating_chance]]/100),0)</f>
        <v>25</v>
      </c>
      <c r="AO376" s="71" t="str">
        <f ca="1">INDIRECT(ADDRESS(11+(MATCH(RIGHT(Table2[[#This Row],[spawner_sku]],LEN(Table2[[#This Row],[spawner_sku]])-FIND("/",Table2[[#This Row],[spawner_sku]])),Table28[Entity Prefab],0)),24,1,1,"Entities"))</f>
        <v>no</v>
      </c>
      <c r="AP376" s="71">
        <v>1</v>
      </c>
      <c r="AQ376" s="71">
        <v>1</v>
      </c>
      <c r="AR376" s="71" t="b">
        <v>0</v>
      </c>
      <c r="BP376" t="s">
        <v>239</v>
      </c>
      <c r="BQ376">
        <v>1</v>
      </c>
      <c r="BR376">
        <v>220</v>
      </c>
      <c r="BS376">
        <v>100</v>
      </c>
      <c r="BT376" s="74">
        <f ca="1">INDIRECT(ADDRESS(11+(MATCH(RIGHT(Table61011[[#This Row],[spawner_sku]],LEN(Table61011[[#This Row],[spawner_sku]])-FIND("/",Table61011[[#This Row],[spawner_sku]])),Table1[Entity Prefab],0)),10,1,1,"Entities"))</f>
        <v>75</v>
      </c>
      <c r="BU376" s="74">
        <f ca="1">ROUND((Table61011[[#This Row],[XP]]*Table61011[[#This Row],[entity_spawned (AVG)]])*(Table61011[[#This Row],[activating_chance]]/100),0)</f>
        <v>75</v>
      </c>
      <c r="BV376" s="71" t="str">
        <f ca="1">INDIRECT(ADDRESS(11+(MATCH(RIGHT(Table61011[[#This Row],[spawner_sku]],LEN(Table61011[[#This Row],[spawner_sku]])-FIND("/",Table61011[[#This Row],[spawner_sku]])),Table28[Entity Prefab],0)),24,1,1,"Entities"))</f>
        <v>no</v>
      </c>
      <c r="BW376" s="71">
        <v>1</v>
      </c>
      <c r="BX376" s="71">
        <v>1</v>
      </c>
      <c r="BY376" s="71" t="b">
        <v>0</v>
      </c>
      <c r="BZ376" s="71"/>
      <c r="CA376" s="147" t="s">
        <v>3817</v>
      </c>
      <c r="CB376">
        <v>1</v>
      </c>
      <c r="CC376">
        <v>180</v>
      </c>
      <c r="CD376">
        <v>100</v>
      </c>
      <c r="CE376" s="74">
        <f ca="1">INDIRECT(ADDRESS(11+(MATCH(RIGHT(Table35[[#This Row],[spawner_sku]],LEN(Table35[[#This Row],[spawner_sku]])-FIND("/",Table35[[#This Row],[spawner_sku]])),Table1[Entity Prefab],0)),10,1,1,"Entities"))</f>
        <v>83</v>
      </c>
      <c r="CF376" s="74">
        <f ca="1">ROUND((Table35[[#This Row],[XP]]*Table35[[#This Row],[entity_spawned (AVG)]])*(Table35[[#This Row],[activating_chance]]/100),0)</f>
        <v>83</v>
      </c>
      <c r="CG376" s="144" t="str">
        <f ca="1">INDIRECT(ADDRESS(11+(MATCH(RIGHT(Table35[[#This Row],[spawner_sku]],LEN(Table35[[#This Row],[spawner_sku]])-FIND("/",Table35[[#This Row],[spawner_sku]])),Table28[Entity Prefab],0)),24,1,1,"Entities"))</f>
        <v>yes</v>
      </c>
      <c r="CH376">
        <v>1</v>
      </c>
      <c r="CI376">
        <v>1</v>
      </c>
      <c r="CJ376" s="71" t="b">
        <v>0</v>
      </c>
      <c r="CL376" t="s">
        <v>465</v>
      </c>
      <c r="CM376">
        <v>1</v>
      </c>
      <c r="CN376">
        <v>90</v>
      </c>
      <c r="CO376">
        <v>50</v>
      </c>
      <c r="CP376" s="74">
        <f ca="1">INDIRECT(ADDRESS(11+(MATCH(RIGHT(Table11[[#This Row],[spawner_sku]],LEN(Table11[[#This Row],[spawner_sku]])-FIND("/",Table11[[#This Row],[spawner_sku]])),Table1[Entity Prefab],0)),10,1,1,"Entities"))</f>
        <v>25</v>
      </c>
      <c r="CQ376">
        <f ca="1">ROUND((Table11[[#This Row],[XP]]*Table11[[#This Row],[entity_spawned (AVG)]])*(Table11[[#This Row],[activating_chance]]/100),0)</f>
        <v>13</v>
      </c>
      <c r="CR376" s="144" t="str">
        <f ca="1">INDIRECT(ADDRESS(11+(MATCH(RIGHT(Table11[[#This Row],[spawner_sku]],LEN(Table11[[#This Row],[spawner_sku]])-FIND("/",Table11[[#This Row],[spawner_sku]])),Table28[Entity Prefab],0)),25,1,1,"Entities"))</f>
        <v>no</v>
      </c>
      <c r="CS376" s="71">
        <v>1</v>
      </c>
      <c r="CT376" s="71">
        <v>1</v>
      </c>
      <c r="CU376" s="71" t="b">
        <v>0</v>
      </c>
      <c r="DS376" t="s">
        <v>510</v>
      </c>
      <c r="DT376">
        <v>1</v>
      </c>
      <c r="DU376">
        <v>200</v>
      </c>
      <c r="DV376">
        <v>100</v>
      </c>
      <c r="DW376" s="74">
        <f ca="1">INDIRECT(ADDRESS(11+(MATCH(RIGHT(Table14[[#This Row],[spawner_sku]],LEN(Table14[[#This Row],[spawner_sku]])-FIND("/",Table14[[#This Row],[spawner_sku]])),Table1[Entity Prefab],0)),10,1,1,"Entities"))</f>
        <v>90</v>
      </c>
      <c r="DX376" s="74">
        <f ca="1">ROUND((Table14[[#This Row],[XP]]*Table14[[#This Row],[entity_spawned (AVG)]])*(Table14[[#This Row],[activating_chance]]/100),0)</f>
        <v>90</v>
      </c>
      <c r="DY376" s="144" t="str">
        <f ca="1">INDIRECT(ADDRESS(11+(MATCH(RIGHT(Table14[[#This Row],[spawner_sku]],LEN(Table14[[#This Row],[spawner_sku]])-FIND("/",Table14[[#This Row],[spawner_sku]])),Table28[Entity Prefab],0)),25,1,1,"Entities"))</f>
        <v>no</v>
      </c>
      <c r="DZ376" s="71">
        <v>1</v>
      </c>
      <c r="EA376" s="71">
        <v>1</v>
      </c>
      <c r="EB376" s="71" t="b">
        <v>0</v>
      </c>
      <c r="EC376" s="71"/>
    </row>
    <row r="377" spans="2:133" x14ac:dyDescent="0.25">
      <c r="B377" s="72" t="s">
        <v>445</v>
      </c>
      <c r="C377">
        <v>1</v>
      </c>
      <c r="D377">
        <v>220</v>
      </c>
      <c r="E377">
        <v>100</v>
      </c>
      <c r="F377" s="74">
        <f ca="1">INDIRECT(ADDRESS(11+(MATCH(RIGHT(Table245[[#This Row],[spawner_sku]],LEN(Table245[[#This Row],[spawner_sku]])-FIND("/",Table245[[#This Row],[spawner_sku]])),Table1[Entity Prefab],0)),10,1,1,"Entities"))</f>
        <v>50</v>
      </c>
      <c r="G377" s="74">
        <f ca="1">ROUND((Table245[[#This Row],[XP]]*Table245[[#This Row],[entity_spawned (AVG)]])*(Table245[[#This Row],[activating_chance]]/100),0)</f>
        <v>50</v>
      </c>
      <c r="H377" s="71" t="str">
        <f ca="1">INDIRECT(ADDRESS(11+(MATCH(RIGHT(Table245[[#This Row],[spawner_sku]],LEN(Table245[[#This Row],[spawner_sku]])-FIND("/",Table245[[#This Row],[spawner_sku]])),Table28[Entity Prefab],0)),24,1,1,"Entities"))</f>
        <v>yes</v>
      </c>
      <c r="I377" s="71">
        <v>1</v>
      </c>
      <c r="J377" s="71">
        <v>1</v>
      </c>
      <c r="K377" s="71" t="b">
        <v>0</v>
      </c>
      <c r="AI377" t="s">
        <v>242</v>
      </c>
      <c r="AJ377">
        <v>1</v>
      </c>
      <c r="AK377">
        <v>120</v>
      </c>
      <c r="AL377">
        <v>60</v>
      </c>
      <c r="AM377" s="74">
        <f ca="1">INDIRECT(ADDRESS(11+(MATCH(RIGHT(Table2[[#This Row],[spawner_sku]],LEN(Table2[[#This Row],[spawner_sku]])-FIND("/",Table2[[#This Row],[spawner_sku]])),Table1[Entity Prefab],0)),10,1,1,"Entities"))</f>
        <v>25</v>
      </c>
      <c r="AN377" s="74">
        <f ca="1">ROUND((Table2[[#This Row],[XP]]*Table2[[#This Row],[entity_spawned (AVG)]])*(Table2[[#This Row],[activating_chance]]/100),0)</f>
        <v>15</v>
      </c>
      <c r="AO377" s="71" t="str">
        <f ca="1">INDIRECT(ADDRESS(11+(MATCH(RIGHT(Table2[[#This Row],[spawner_sku]],LEN(Table2[[#This Row],[spawner_sku]])-FIND("/",Table2[[#This Row],[spawner_sku]])),Table28[Entity Prefab],0)),24,1,1,"Entities"))</f>
        <v>no</v>
      </c>
      <c r="AP377" s="71">
        <v>1</v>
      </c>
      <c r="AQ377" s="71">
        <v>1</v>
      </c>
      <c r="AR377" s="71" t="b">
        <v>0</v>
      </c>
      <c r="BP377" t="s">
        <v>239</v>
      </c>
      <c r="BQ377">
        <v>1</v>
      </c>
      <c r="BR377">
        <v>220</v>
      </c>
      <c r="BS377">
        <v>100</v>
      </c>
      <c r="BT377" s="74">
        <f ca="1">INDIRECT(ADDRESS(11+(MATCH(RIGHT(Table61011[[#This Row],[spawner_sku]],LEN(Table61011[[#This Row],[spawner_sku]])-FIND("/",Table61011[[#This Row],[spawner_sku]])),Table1[Entity Prefab],0)),10,1,1,"Entities"))</f>
        <v>75</v>
      </c>
      <c r="BU377" s="74">
        <f ca="1">ROUND((Table61011[[#This Row],[XP]]*Table61011[[#This Row],[entity_spawned (AVG)]])*(Table61011[[#This Row],[activating_chance]]/100),0)</f>
        <v>75</v>
      </c>
      <c r="BV377" s="71" t="str">
        <f ca="1">INDIRECT(ADDRESS(11+(MATCH(RIGHT(Table61011[[#This Row],[spawner_sku]],LEN(Table61011[[#This Row],[spawner_sku]])-FIND("/",Table61011[[#This Row],[spawner_sku]])),Table28[Entity Prefab],0)),24,1,1,"Entities"))</f>
        <v>no</v>
      </c>
      <c r="BW377" s="71">
        <v>1</v>
      </c>
      <c r="BX377" s="71">
        <v>1</v>
      </c>
      <c r="BY377" s="71" t="b">
        <v>0</v>
      </c>
      <c r="BZ377" s="71"/>
      <c r="CA377" s="147" t="s">
        <v>3817</v>
      </c>
      <c r="CB377">
        <v>1</v>
      </c>
      <c r="CC377">
        <v>180</v>
      </c>
      <c r="CD377">
        <v>100</v>
      </c>
      <c r="CE377" s="74">
        <f ca="1">INDIRECT(ADDRESS(11+(MATCH(RIGHT(Table35[[#This Row],[spawner_sku]],LEN(Table35[[#This Row],[spawner_sku]])-FIND("/",Table35[[#This Row],[spawner_sku]])),Table1[Entity Prefab],0)),10,1,1,"Entities"))</f>
        <v>83</v>
      </c>
      <c r="CF377" s="74">
        <f ca="1">ROUND((Table35[[#This Row],[XP]]*Table35[[#This Row],[entity_spawned (AVG)]])*(Table35[[#This Row],[activating_chance]]/100),0)</f>
        <v>83</v>
      </c>
      <c r="CG377" s="144" t="str">
        <f ca="1">INDIRECT(ADDRESS(11+(MATCH(RIGHT(Table35[[#This Row],[spawner_sku]],LEN(Table35[[#This Row],[spawner_sku]])-FIND("/",Table35[[#This Row],[spawner_sku]])),Table28[Entity Prefab],0)),24,1,1,"Entities"))</f>
        <v>yes</v>
      </c>
      <c r="CH377">
        <v>1</v>
      </c>
      <c r="CI377">
        <v>1</v>
      </c>
      <c r="CJ377" s="71" t="b">
        <v>0</v>
      </c>
      <c r="CL377" t="s">
        <v>465</v>
      </c>
      <c r="CM377">
        <v>1</v>
      </c>
      <c r="CN377">
        <v>120</v>
      </c>
      <c r="CO377">
        <v>100</v>
      </c>
      <c r="CP377" s="74">
        <f ca="1">INDIRECT(ADDRESS(11+(MATCH(RIGHT(Table11[[#This Row],[spawner_sku]],LEN(Table11[[#This Row],[spawner_sku]])-FIND("/",Table11[[#This Row],[spawner_sku]])),Table1[Entity Prefab],0)),10,1,1,"Entities"))</f>
        <v>25</v>
      </c>
      <c r="CQ377">
        <f ca="1">ROUND((Table11[[#This Row],[XP]]*Table11[[#This Row],[entity_spawned (AVG)]])*(Table11[[#This Row],[activating_chance]]/100),0)</f>
        <v>25</v>
      </c>
      <c r="CR377" s="144" t="str">
        <f ca="1">INDIRECT(ADDRESS(11+(MATCH(RIGHT(Table11[[#This Row],[spawner_sku]],LEN(Table11[[#This Row],[spawner_sku]])-FIND("/",Table11[[#This Row],[spawner_sku]])),Table28[Entity Prefab],0)),25,1,1,"Entities"))</f>
        <v>no</v>
      </c>
      <c r="CS377" s="71">
        <v>1</v>
      </c>
      <c r="CT377" s="71">
        <v>1</v>
      </c>
      <c r="CU377" s="71" t="b">
        <v>0</v>
      </c>
      <c r="DS377" t="s">
        <v>510</v>
      </c>
      <c r="DT377">
        <v>1</v>
      </c>
      <c r="DU377">
        <v>110</v>
      </c>
      <c r="DV377">
        <v>100</v>
      </c>
      <c r="DW377" s="74">
        <f ca="1">INDIRECT(ADDRESS(11+(MATCH(RIGHT(Table14[[#This Row],[spawner_sku]],LEN(Table14[[#This Row],[spawner_sku]])-FIND("/",Table14[[#This Row],[spawner_sku]])),Table1[Entity Prefab],0)),10,1,1,"Entities"))</f>
        <v>90</v>
      </c>
      <c r="DX377" s="74">
        <f ca="1">ROUND((Table14[[#This Row],[XP]]*Table14[[#This Row],[entity_spawned (AVG)]])*(Table14[[#This Row],[activating_chance]]/100),0)</f>
        <v>90</v>
      </c>
      <c r="DY377" s="144" t="str">
        <f ca="1">INDIRECT(ADDRESS(11+(MATCH(RIGHT(Table14[[#This Row],[spawner_sku]],LEN(Table14[[#This Row],[spawner_sku]])-FIND("/",Table14[[#This Row],[spawner_sku]])),Table28[Entity Prefab],0)),25,1,1,"Entities"))</f>
        <v>no</v>
      </c>
      <c r="DZ377" s="71">
        <v>1</v>
      </c>
      <c r="EA377" s="71">
        <v>1</v>
      </c>
      <c r="EB377" s="71" t="b">
        <v>0</v>
      </c>
      <c r="EC377" s="71"/>
    </row>
    <row r="378" spans="2:133" x14ac:dyDescent="0.25">
      <c r="B378" s="72" t="s">
        <v>445</v>
      </c>
      <c r="C378">
        <v>1</v>
      </c>
      <c r="D378">
        <v>220</v>
      </c>
      <c r="E378">
        <v>100</v>
      </c>
      <c r="F378" s="74">
        <f ca="1">INDIRECT(ADDRESS(11+(MATCH(RIGHT(Table245[[#This Row],[spawner_sku]],LEN(Table245[[#This Row],[spawner_sku]])-FIND("/",Table245[[#This Row],[spawner_sku]])),Table1[Entity Prefab],0)),10,1,1,"Entities"))</f>
        <v>50</v>
      </c>
      <c r="G378" s="74">
        <f ca="1">ROUND((Table245[[#This Row],[XP]]*Table245[[#This Row],[entity_spawned (AVG)]])*(Table245[[#This Row],[activating_chance]]/100),0)</f>
        <v>50</v>
      </c>
      <c r="H378" s="71" t="str">
        <f ca="1">INDIRECT(ADDRESS(11+(MATCH(RIGHT(Table245[[#This Row],[spawner_sku]],LEN(Table245[[#This Row],[spawner_sku]])-FIND("/",Table245[[#This Row],[spawner_sku]])),Table28[Entity Prefab],0)),24,1,1,"Entities"))</f>
        <v>yes</v>
      </c>
      <c r="I378" s="71">
        <v>1</v>
      </c>
      <c r="J378" s="71">
        <v>1</v>
      </c>
      <c r="K378" s="71" t="b">
        <v>0</v>
      </c>
      <c r="AI378" t="s">
        <v>242</v>
      </c>
      <c r="AJ378">
        <v>1</v>
      </c>
      <c r="AK378">
        <v>170</v>
      </c>
      <c r="AL378">
        <v>100</v>
      </c>
      <c r="AM378" s="74">
        <f ca="1">INDIRECT(ADDRESS(11+(MATCH(RIGHT(Table2[[#This Row],[spawner_sku]],LEN(Table2[[#This Row],[spawner_sku]])-FIND("/",Table2[[#This Row],[spawner_sku]])),Table1[Entity Prefab],0)),10,1,1,"Entities"))</f>
        <v>25</v>
      </c>
      <c r="AN378" s="74">
        <f ca="1">ROUND((Table2[[#This Row],[XP]]*Table2[[#This Row],[entity_spawned (AVG)]])*(Table2[[#This Row],[activating_chance]]/100),0)</f>
        <v>25</v>
      </c>
      <c r="AO378" s="71" t="str">
        <f ca="1">INDIRECT(ADDRESS(11+(MATCH(RIGHT(Table2[[#This Row],[spawner_sku]],LEN(Table2[[#This Row],[spawner_sku]])-FIND("/",Table2[[#This Row],[spawner_sku]])),Table28[Entity Prefab],0)),24,1,1,"Entities"))</f>
        <v>no</v>
      </c>
      <c r="AP378" s="71">
        <v>1</v>
      </c>
      <c r="AQ378" s="71">
        <v>1</v>
      </c>
      <c r="AR378" s="71" t="b">
        <v>0</v>
      </c>
      <c r="BP378" t="s">
        <v>239</v>
      </c>
      <c r="BQ378">
        <v>1</v>
      </c>
      <c r="BR378">
        <v>220</v>
      </c>
      <c r="BS378">
        <v>100</v>
      </c>
      <c r="BT378" s="74">
        <f ca="1">INDIRECT(ADDRESS(11+(MATCH(RIGHT(Table61011[[#This Row],[spawner_sku]],LEN(Table61011[[#This Row],[spawner_sku]])-FIND("/",Table61011[[#This Row],[spawner_sku]])),Table1[Entity Prefab],0)),10,1,1,"Entities"))</f>
        <v>75</v>
      </c>
      <c r="BU378" s="74">
        <f ca="1">ROUND((Table61011[[#This Row],[XP]]*Table61011[[#This Row],[entity_spawned (AVG)]])*(Table61011[[#This Row],[activating_chance]]/100),0)</f>
        <v>75</v>
      </c>
      <c r="BV378" s="71" t="str">
        <f ca="1">INDIRECT(ADDRESS(11+(MATCH(RIGHT(Table61011[[#This Row],[spawner_sku]],LEN(Table61011[[#This Row],[spawner_sku]])-FIND("/",Table61011[[#This Row],[spawner_sku]])),Table28[Entity Prefab],0)),24,1,1,"Entities"))</f>
        <v>no</v>
      </c>
      <c r="BW378" s="71">
        <v>1</v>
      </c>
      <c r="BX378" s="71">
        <v>1</v>
      </c>
      <c r="BY378" s="71" t="b">
        <v>0</v>
      </c>
      <c r="BZ378" s="71"/>
      <c r="CL378" t="s">
        <v>465</v>
      </c>
      <c r="CM378">
        <v>1</v>
      </c>
      <c r="CN378">
        <v>90</v>
      </c>
      <c r="CO378">
        <v>50</v>
      </c>
      <c r="CP378" s="74">
        <f ca="1">INDIRECT(ADDRESS(11+(MATCH(RIGHT(Table11[[#This Row],[spawner_sku]],LEN(Table11[[#This Row],[spawner_sku]])-FIND("/",Table11[[#This Row],[spawner_sku]])),Table1[Entity Prefab],0)),10,1,1,"Entities"))</f>
        <v>25</v>
      </c>
      <c r="CQ378">
        <f ca="1">ROUND((Table11[[#This Row],[XP]]*Table11[[#This Row],[entity_spawned (AVG)]])*(Table11[[#This Row],[activating_chance]]/100),0)</f>
        <v>13</v>
      </c>
      <c r="CR378" s="144" t="str">
        <f ca="1">INDIRECT(ADDRESS(11+(MATCH(RIGHT(Table11[[#This Row],[spawner_sku]],LEN(Table11[[#This Row],[spawner_sku]])-FIND("/",Table11[[#This Row],[spawner_sku]])),Table28[Entity Prefab],0)),25,1,1,"Entities"))</f>
        <v>no</v>
      </c>
      <c r="CS378" s="71">
        <v>1</v>
      </c>
      <c r="CT378" s="71">
        <v>1</v>
      </c>
      <c r="CU378" s="71" t="b">
        <v>0</v>
      </c>
      <c r="DS378" t="s">
        <v>510</v>
      </c>
      <c r="DT378">
        <v>1</v>
      </c>
      <c r="DU378">
        <v>150</v>
      </c>
      <c r="DV378">
        <v>100</v>
      </c>
      <c r="DW378" s="74">
        <f ca="1">INDIRECT(ADDRESS(11+(MATCH(RIGHT(Table14[[#This Row],[spawner_sku]],LEN(Table14[[#This Row],[spawner_sku]])-FIND("/",Table14[[#This Row],[spawner_sku]])),Table1[Entity Prefab],0)),10,1,1,"Entities"))</f>
        <v>90</v>
      </c>
      <c r="DX378" s="74">
        <f ca="1">ROUND((Table14[[#This Row],[XP]]*Table14[[#This Row],[entity_spawned (AVG)]])*(Table14[[#This Row],[activating_chance]]/100),0)</f>
        <v>90</v>
      </c>
      <c r="DY378" s="144" t="str">
        <f ca="1">INDIRECT(ADDRESS(11+(MATCH(RIGHT(Table14[[#This Row],[spawner_sku]],LEN(Table14[[#This Row],[spawner_sku]])-FIND("/",Table14[[#This Row],[spawner_sku]])),Table28[Entity Prefab],0)),25,1,1,"Entities"))</f>
        <v>no</v>
      </c>
      <c r="DZ378" s="71">
        <v>1</v>
      </c>
      <c r="EA378" s="71">
        <v>1</v>
      </c>
      <c r="EB378" s="71" t="b">
        <v>0</v>
      </c>
      <c r="EC378" s="71"/>
    </row>
    <row r="379" spans="2:133" x14ac:dyDescent="0.25">
      <c r="B379" s="72" t="s">
        <v>445</v>
      </c>
      <c r="C379">
        <v>1</v>
      </c>
      <c r="D379">
        <v>220</v>
      </c>
      <c r="E379">
        <v>100</v>
      </c>
      <c r="F379" s="74">
        <f ca="1">INDIRECT(ADDRESS(11+(MATCH(RIGHT(Table245[[#This Row],[spawner_sku]],LEN(Table245[[#This Row],[spawner_sku]])-FIND("/",Table245[[#This Row],[spawner_sku]])),Table1[Entity Prefab],0)),10,1,1,"Entities"))</f>
        <v>50</v>
      </c>
      <c r="G379" s="74">
        <f ca="1">ROUND((Table245[[#This Row],[XP]]*Table245[[#This Row],[entity_spawned (AVG)]])*(Table245[[#This Row],[activating_chance]]/100),0)</f>
        <v>50</v>
      </c>
      <c r="H379" s="71" t="str">
        <f ca="1">INDIRECT(ADDRESS(11+(MATCH(RIGHT(Table245[[#This Row],[spawner_sku]],LEN(Table245[[#This Row],[spawner_sku]])-FIND("/",Table245[[#This Row],[spawner_sku]])),Table28[Entity Prefab],0)),24,1,1,"Entities"))</f>
        <v>yes</v>
      </c>
      <c r="I379" s="71">
        <v>1</v>
      </c>
      <c r="J379" s="71">
        <v>1</v>
      </c>
      <c r="K379" s="71" t="b">
        <v>0</v>
      </c>
      <c r="AI379" t="s">
        <v>242</v>
      </c>
      <c r="AJ379">
        <v>1</v>
      </c>
      <c r="AK379">
        <v>130</v>
      </c>
      <c r="AL379">
        <v>100</v>
      </c>
      <c r="AM379" s="74">
        <f ca="1">INDIRECT(ADDRESS(11+(MATCH(RIGHT(Table2[[#This Row],[spawner_sku]],LEN(Table2[[#This Row],[spawner_sku]])-FIND("/",Table2[[#This Row],[spawner_sku]])),Table1[Entity Prefab],0)),10,1,1,"Entities"))</f>
        <v>25</v>
      </c>
      <c r="AN379" s="74">
        <f ca="1">ROUND((Table2[[#This Row],[XP]]*Table2[[#This Row],[entity_spawned (AVG)]])*(Table2[[#This Row],[activating_chance]]/100),0)</f>
        <v>25</v>
      </c>
      <c r="AO379" s="71" t="str">
        <f ca="1">INDIRECT(ADDRESS(11+(MATCH(RIGHT(Table2[[#This Row],[spawner_sku]],LEN(Table2[[#This Row],[spawner_sku]])-FIND("/",Table2[[#This Row],[spawner_sku]])),Table28[Entity Prefab],0)),24,1,1,"Entities"))</f>
        <v>no</v>
      </c>
      <c r="AP379" s="71">
        <v>1</v>
      </c>
      <c r="AQ379" s="71">
        <v>1</v>
      </c>
      <c r="AR379" s="71" t="b">
        <v>0</v>
      </c>
      <c r="BP379" t="s">
        <v>239</v>
      </c>
      <c r="BQ379">
        <v>1</v>
      </c>
      <c r="BR379">
        <v>220</v>
      </c>
      <c r="BS379">
        <v>100</v>
      </c>
      <c r="BT379" s="74">
        <f ca="1">INDIRECT(ADDRESS(11+(MATCH(RIGHT(Table61011[[#This Row],[spawner_sku]],LEN(Table61011[[#This Row],[spawner_sku]])-FIND("/",Table61011[[#This Row],[spawner_sku]])),Table1[Entity Prefab],0)),10,1,1,"Entities"))</f>
        <v>75</v>
      </c>
      <c r="BU379" s="74">
        <f ca="1">ROUND((Table61011[[#This Row],[XP]]*Table61011[[#This Row],[entity_spawned (AVG)]])*(Table61011[[#This Row],[activating_chance]]/100),0)</f>
        <v>75</v>
      </c>
      <c r="BV379" s="71" t="str">
        <f ca="1">INDIRECT(ADDRESS(11+(MATCH(RIGHT(Table61011[[#This Row],[spawner_sku]],LEN(Table61011[[#This Row],[spawner_sku]])-FIND("/",Table61011[[#This Row],[spawner_sku]])),Table28[Entity Prefab],0)),24,1,1,"Entities"))</f>
        <v>no</v>
      </c>
      <c r="BW379" s="71">
        <v>1</v>
      </c>
      <c r="BX379" s="71">
        <v>1</v>
      </c>
      <c r="BY379" s="71" t="b">
        <v>0</v>
      </c>
      <c r="BZ379" s="71"/>
      <c r="CL379" t="s">
        <v>466</v>
      </c>
      <c r="CM379">
        <v>1</v>
      </c>
      <c r="CN379">
        <v>70</v>
      </c>
      <c r="CO379">
        <v>100</v>
      </c>
      <c r="CP379" s="74">
        <f ca="1">INDIRECT(ADDRESS(11+(MATCH(RIGHT(Table11[[#This Row],[spawner_sku]],LEN(Table11[[#This Row],[spawner_sku]])-FIND("/",Table11[[#This Row],[spawner_sku]])),Table1[Entity Prefab],0)),10,1,1,"Entities"))</f>
        <v>75</v>
      </c>
      <c r="CQ379">
        <f ca="1">ROUND((Table11[[#This Row],[XP]]*Table11[[#This Row],[entity_spawned (AVG)]])*(Table11[[#This Row],[activating_chance]]/100),0)</f>
        <v>75</v>
      </c>
      <c r="CR379" s="144" t="str">
        <f ca="1">INDIRECT(ADDRESS(11+(MATCH(RIGHT(Table11[[#This Row],[spawner_sku]],LEN(Table11[[#This Row],[spawner_sku]])-FIND("/",Table11[[#This Row],[spawner_sku]])),Table28[Entity Prefab],0)),25,1,1,"Entities"))</f>
        <v>no</v>
      </c>
      <c r="CS379" s="71">
        <v>1</v>
      </c>
      <c r="CT379" s="71">
        <v>1</v>
      </c>
      <c r="CU379" s="71" t="b">
        <v>0</v>
      </c>
      <c r="DS379" t="s">
        <v>510</v>
      </c>
      <c r="DT379">
        <v>1</v>
      </c>
      <c r="DU379">
        <v>140</v>
      </c>
      <c r="DV379">
        <v>100</v>
      </c>
      <c r="DW379" s="74">
        <f ca="1">INDIRECT(ADDRESS(11+(MATCH(RIGHT(Table14[[#This Row],[spawner_sku]],LEN(Table14[[#This Row],[spawner_sku]])-FIND("/",Table14[[#This Row],[spawner_sku]])),Table1[Entity Prefab],0)),10,1,1,"Entities"))</f>
        <v>90</v>
      </c>
      <c r="DX379" s="74">
        <f ca="1">ROUND((Table14[[#This Row],[XP]]*Table14[[#This Row],[entity_spawned (AVG)]])*(Table14[[#This Row],[activating_chance]]/100),0)</f>
        <v>90</v>
      </c>
      <c r="DY379" s="144" t="str">
        <f ca="1">INDIRECT(ADDRESS(11+(MATCH(RIGHT(Table14[[#This Row],[spawner_sku]],LEN(Table14[[#This Row],[spawner_sku]])-FIND("/",Table14[[#This Row],[spawner_sku]])),Table28[Entity Prefab],0)),25,1,1,"Entities"))</f>
        <v>no</v>
      </c>
      <c r="DZ379" s="71">
        <v>1</v>
      </c>
      <c r="EA379" s="71">
        <v>1</v>
      </c>
      <c r="EB379" s="71" t="b">
        <v>0</v>
      </c>
      <c r="EC379" s="71"/>
    </row>
    <row r="380" spans="2:133" x14ac:dyDescent="0.25">
      <c r="B380" s="72" t="s">
        <v>445</v>
      </c>
      <c r="C380">
        <v>1</v>
      </c>
      <c r="D380">
        <v>220</v>
      </c>
      <c r="E380">
        <v>100</v>
      </c>
      <c r="F380" s="74">
        <f ca="1">INDIRECT(ADDRESS(11+(MATCH(RIGHT(Table245[[#This Row],[spawner_sku]],LEN(Table245[[#This Row],[spawner_sku]])-FIND("/",Table245[[#This Row],[spawner_sku]])),Table1[Entity Prefab],0)),10,1,1,"Entities"))</f>
        <v>50</v>
      </c>
      <c r="G380" s="74">
        <f ca="1">ROUND((Table245[[#This Row],[XP]]*Table245[[#This Row],[entity_spawned (AVG)]])*(Table245[[#This Row],[activating_chance]]/100),0)</f>
        <v>50</v>
      </c>
      <c r="H380" s="71" t="str">
        <f ca="1">INDIRECT(ADDRESS(11+(MATCH(RIGHT(Table245[[#This Row],[spawner_sku]],LEN(Table245[[#This Row],[spawner_sku]])-FIND("/",Table245[[#This Row],[spawner_sku]])),Table28[Entity Prefab],0)),24,1,1,"Entities"))</f>
        <v>yes</v>
      </c>
      <c r="I380" s="71">
        <v>1</v>
      </c>
      <c r="J380" s="71">
        <v>1</v>
      </c>
      <c r="K380" s="71" t="b">
        <v>0</v>
      </c>
      <c r="AI380" t="s">
        <v>242</v>
      </c>
      <c r="AJ380">
        <v>1</v>
      </c>
      <c r="AK380">
        <v>170</v>
      </c>
      <c r="AL380">
        <v>90</v>
      </c>
      <c r="AM380" s="74">
        <f ca="1">INDIRECT(ADDRESS(11+(MATCH(RIGHT(Table2[[#This Row],[spawner_sku]],LEN(Table2[[#This Row],[spawner_sku]])-FIND("/",Table2[[#This Row],[spawner_sku]])),Table1[Entity Prefab],0)),10,1,1,"Entities"))</f>
        <v>25</v>
      </c>
      <c r="AN380" s="74">
        <f ca="1">ROUND((Table2[[#This Row],[XP]]*Table2[[#This Row],[entity_spawned (AVG)]])*(Table2[[#This Row],[activating_chance]]/100),0)</f>
        <v>23</v>
      </c>
      <c r="AO380" s="71" t="str">
        <f ca="1">INDIRECT(ADDRESS(11+(MATCH(RIGHT(Table2[[#This Row],[spawner_sku]],LEN(Table2[[#This Row],[spawner_sku]])-FIND("/",Table2[[#This Row],[spawner_sku]])),Table28[Entity Prefab],0)),24,1,1,"Entities"))</f>
        <v>no</v>
      </c>
      <c r="AP380" s="71">
        <v>1</v>
      </c>
      <c r="AQ380" s="71">
        <v>1</v>
      </c>
      <c r="AR380" s="71" t="b">
        <v>0</v>
      </c>
      <c r="BP380" t="s">
        <v>239</v>
      </c>
      <c r="BQ380">
        <v>1</v>
      </c>
      <c r="BR380">
        <v>190</v>
      </c>
      <c r="BS380">
        <v>100</v>
      </c>
      <c r="BT380" s="74">
        <f ca="1">INDIRECT(ADDRESS(11+(MATCH(RIGHT(Table61011[[#This Row],[spawner_sku]],LEN(Table61011[[#This Row],[spawner_sku]])-FIND("/",Table61011[[#This Row],[spawner_sku]])),Table1[Entity Prefab],0)),10,1,1,"Entities"))</f>
        <v>75</v>
      </c>
      <c r="BU380" s="74">
        <f ca="1">ROUND((Table61011[[#This Row],[XP]]*Table61011[[#This Row],[entity_spawned (AVG)]])*(Table61011[[#This Row],[activating_chance]]/100),0)</f>
        <v>75</v>
      </c>
      <c r="BV380" s="71" t="str">
        <f ca="1">INDIRECT(ADDRESS(11+(MATCH(RIGHT(Table61011[[#This Row],[spawner_sku]],LEN(Table61011[[#This Row],[spawner_sku]])-FIND("/",Table61011[[#This Row],[spawner_sku]])),Table28[Entity Prefab],0)),24,1,1,"Entities"))</f>
        <v>no</v>
      </c>
      <c r="BW380" s="71">
        <v>1</v>
      </c>
      <c r="BX380" s="71">
        <v>1</v>
      </c>
      <c r="BY380" s="71" t="b">
        <v>0</v>
      </c>
      <c r="BZ380" s="71"/>
      <c r="CL380" t="s">
        <v>466</v>
      </c>
      <c r="CM380">
        <v>1</v>
      </c>
      <c r="CN380">
        <v>70</v>
      </c>
      <c r="CO380">
        <v>100</v>
      </c>
      <c r="CP380" s="74">
        <f ca="1">INDIRECT(ADDRESS(11+(MATCH(RIGHT(Table11[[#This Row],[spawner_sku]],LEN(Table11[[#This Row],[spawner_sku]])-FIND("/",Table11[[#This Row],[spawner_sku]])),Table1[Entity Prefab],0)),10,1,1,"Entities"))</f>
        <v>75</v>
      </c>
      <c r="CQ380">
        <f ca="1">ROUND((Table11[[#This Row],[XP]]*Table11[[#This Row],[entity_spawned (AVG)]])*(Table11[[#This Row],[activating_chance]]/100),0)</f>
        <v>75</v>
      </c>
      <c r="CR380" s="144" t="str">
        <f ca="1">INDIRECT(ADDRESS(11+(MATCH(RIGHT(Table11[[#This Row],[spawner_sku]],LEN(Table11[[#This Row],[spawner_sku]])-FIND("/",Table11[[#This Row],[spawner_sku]])),Table28[Entity Prefab],0)),25,1,1,"Entities"))</f>
        <v>no</v>
      </c>
      <c r="CS380" s="71">
        <v>1</v>
      </c>
      <c r="CT380" s="71">
        <v>1</v>
      </c>
      <c r="CU380" s="71" t="b">
        <v>0</v>
      </c>
      <c r="DS380" t="s">
        <v>510</v>
      </c>
      <c r="DT380">
        <v>1</v>
      </c>
      <c r="DU380">
        <v>130</v>
      </c>
      <c r="DV380">
        <v>100</v>
      </c>
      <c r="DW380" s="74">
        <f ca="1">INDIRECT(ADDRESS(11+(MATCH(RIGHT(Table14[[#This Row],[spawner_sku]],LEN(Table14[[#This Row],[spawner_sku]])-FIND("/",Table14[[#This Row],[spawner_sku]])),Table1[Entity Prefab],0)),10,1,1,"Entities"))</f>
        <v>90</v>
      </c>
      <c r="DX380" s="74">
        <f ca="1">ROUND((Table14[[#This Row],[XP]]*Table14[[#This Row],[entity_spawned (AVG)]])*(Table14[[#This Row],[activating_chance]]/100),0)</f>
        <v>90</v>
      </c>
      <c r="DY380" s="144" t="str">
        <f ca="1">INDIRECT(ADDRESS(11+(MATCH(RIGHT(Table14[[#This Row],[spawner_sku]],LEN(Table14[[#This Row],[spawner_sku]])-FIND("/",Table14[[#This Row],[spawner_sku]])),Table28[Entity Prefab],0)),25,1,1,"Entities"))</f>
        <v>no</v>
      </c>
      <c r="DZ380" s="71">
        <v>1</v>
      </c>
      <c r="EA380" s="71">
        <v>1</v>
      </c>
      <c r="EB380" s="71" t="b">
        <v>0</v>
      </c>
      <c r="EC380" s="71"/>
    </row>
    <row r="381" spans="2:133" x14ac:dyDescent="0.25">
      <c r="B381" s="72" t="s">
        <v>445</v>
      </c>
      <c r="C381">
        <v>1</v>
      </c>
      <c r="D381">
        <v>220</v>
      </c>
      <c r="E381">
        <v>100</v>
      </c>
      <c r="F381" s="74">
        <f ca="1">INDIRECT(ADDRESS(11+(MATCH(RIGHT(Table245[[#This Row],[spawner_sku]],LEN(Table245[[#This Row],[spawner_sku]])-FIND("/",Table245[[#This Row],[spawner_sku]])),Table1[Entity Prefab],0)),10,1,1,"Entities"))</f>
        <v>50</v>
      </c>
      <c r="G381" s="74">
        <f ca="1">ROUND((Table245[[#This Row],[XP]]*Table245[[#This Row],[entity_spawned (AVG)]])*(Table245[[#This Row],[activating_chance]]/100),0)</f>
        <v>50</v>
      </c>
      <c r="H381" s="71" t="str">
        <f ca="1">INDIRECT(ADDRESS(11+(MATCH(RIGHT(Table245[[#This Row],[spawner_sku]],LEN(Table245[[#This Row],[spawner_sku]])-FIND("/",Table245[[#This Row],[spawner_sku]])),Table28[Entity Prefab],0)),24,1,1,"Entities"))</f>
        <v>yes</v>
      </c>
      <c r="I381" s="71">
        <v>1</v>
      </c>
      <c r="J381" s="71">
        <v>1</v>
      </c>
      <c r="K381" s="71" t="b">
        <v>0</v>
      </c>
      <c r="AI381" t="s">
        <v>242</v>
      </c>
      <c r="AJ381">
        <v>1</v>
      </c>
      <c r="AK381">
        <v>170</v>
      </c>
      <c r="AL381">
        <v>100</v>
      </c>
      <c r="AM381" s="74">
        <f ca="1">INDIRECT(ADDRESS(11+(MATCH(RIGHT(Table2[[#This Row],[spawner_sku]],LEN(Table2[[#This Row],[spawner_sku]])-FIND("/",Table2[[#This Row],[spawner_sku]])),Table1[Entity Prefab],0)),10,1,1,"Entities"))</f>
        <v>25</v>
      </c>
      <c r="AN381" s="74">
        <f ca="1">ROUND((Table2[[#This Row],[XP]]*Table2[[#This Row],[entity_spawned (AVG)]])*(Table2[[#This Row],[activating_chance]]/100),0)</f>
        <v>25</v>
      </c>
      <c r="AO381" s="71" t="str">
        <f ca="1">INDIRECT(ADDRESS(11+(MATCH(RIGHT(Table2[[#This Row],[spawner_sku]],LEN(Table2[[#This Row],[spawner_sku]])-FIND("/",Table2[[#This Row],[spawner_sku]])),Table28[Entity Prefab],0)),24,1,1,"Entities"))</f>
        <v>no</v>
      </c>
      <c r="AP381" s="71">
        <v>1</v>
      </c>
      <c r="AQ381" s="71">
        <v>1</v>
      </c>
      <c r="AR381" s="71" t="b">
        <v>0</v>
      </c>
      <c r="BP381" t="s">
        <v>241</v>
      </c>
      <c r="BQ381">
        <v>1</v>
      </c>
      <c r="BR381">
        <v>200</v>
      </c>
      <c r="BS381">
        <v>100</v>
      </c>
      <c r="BT381" s="74">
        <f ca="1">INDIRECT(ADDRESS(11+(MATCH(RIGHT(Table61011[[#This Row],[spawner_sku]],LEN(Table61011[[#This Row],[spawner_sku]])-FIND("/",Table61011[[#This Row],[spawner_sku]])),Table1[Entity Prefab],0)),10,1,1,"Entities"))</f>
        <v>70</v>
      </c>
      <c r="BU381" s="74">
        <f ca="1">ROUND((Table61011[[#This Row],[XP]]*Table61011[[#This Row],[entity_spawned (AVG)]])*(Table61011[[#This Row],[activating_chance]]/100),0)</f>
        <v>70</v>
      </c>
      <c r="BV381" s="71" t="str">
        <f ca="1">INDIRECT(ADDRESS(11+(MATCH(RIGHT(Table61011[[#This Row],[spawner_sku]],LEN(Table61011[[#This Row],[spawner_sku]])-FIND("/",Table61011[[#This Row],[spawner_sku]])),Table28[Entity Prefab],0)),24,1,1,"Entities"))</f>
        <v>yes</v>
      </c>
      <c r="BW381" s="71">
        <v>1</v>
      </c>
      <c r="BX381" s="71">
        <v>1</v>
      </c>
      <c r="BY381" s="71" t="b">
        <v>0</v>
      </c>
      <c r="BZ381" s="71"/>
      <c r="CL381" t="s">
        <v>466</v>
      </c>
      <c r="CM381">
        <v>1</v>
      </c>
      <c r="CN381">
        <v>70</v>
      </c>
      <c r="CO381">
        <v>100</v>
      </c>
      <c r="CP381" s="74">
        <f ca="1">INDIRECT(ADDRESS(11+(MATCH(RIGHT(Table11[[#This Row],[spawner_sku]],LEN(Table11[[#This Row],[spawner_sku]])-FIND("/",Table11[[#This Row],[spawner_sku]])),Table1[Entity Prefab],0)),10,1,1,"Entities"))</f>
        <v>75</v>
      </c>
      <c r="CQ381">
        <f ca="1">ROUND((Table11[[#This Row],[XP]]*Table11[[#This Row],[entity_spawned (AVG)]])*(Table11[[#This Row],[activating_chance]]/100),0)</f>
        <v>75</v>
      </c>
      <c r="CR381" s="144" t="str">
        <f ca="1">INDIRECT(ADDRESS(11+(MATCH(RIGHT(Table11[[#This Row],[spawner_sku]],LEN(Table11[[#This Row],[spawner_sku]])-FIND("/",Table11[[#This Row],[spawner_sku]])),Table28[Entity Prefab],0)),25,1,1,"Entities"))</f>
        <v>no</v>
      </c>
      <c r="CS381" s="71">
        <v>1</v>
      </c>
      <c r="CT381" s="71">
        <v>1</v>
      </c>
      <c r="CU381" s="71" t="b">
        <v>0</v>
      </c>
      <c r="DS381" t="s">
        <v>510</v>
      </c>
      <c r="DT381">
        <v>1</v>
      </c>
      <c r="DU381">
        <v>150</v>
      </c>
      <c r="DV381">
        <v>100</v>
      </c>
      <c r="DW381" s="74">
        <f ca="1">INDIRECT(ADDRESS(11+(MATCH(RIGHT(Table14[[#This Row],[spawner_sku]],LEN(Table14[[#This Row],[spawner_sku]])-FIND("/",Table14[[#This Row],[spawner_sku]])),Table1[Entity Prefab],0)),10,1,1,"Entities"))</f>
        <v>90</v>
      </c>
      <c r="DX381" s="74">
        <f ca="1">ROUND((Table14[[#This Row],[XP]]*Table14[[#This Row],[entity_spawned (AVG)]])*(Table14[[#This Row],[activating_chance]]/100),0)</f>
        <v>90</v>
      </c>
      <c r="DY381" s="144" t="str">
        <f ca="1">INDIRECT(ADDRESS(11+(MATCH(RIGHT(Table14[[#This Row],[spawner_sku]],LEN(Table14[[#This Row],[spawner_sku]])-FIND("/",Table14[[#This Row],[spawner_sku]])),Table28[Entity Prefab],0)),25,1,1,"Entities"))</f>
        <v>no</v>
      </c>
      <c r="DZ381" s="71">
        <v>1</v>
      </c>
      <c r="EA381" s="71">
        <v>1</v>
      </c>
      <c r="EB381" s="71" t="b">
        <v>0</v>
      </c>
      <c r="EC381" s="71"/>
    </row>
    <row r="382" spans="2:133" x14ac:dyDescent="0.25">
      <c r="B382" s="72" t="s">
        <v>445</v>
      </c>
      <c r="C382">
        <v>1</v>
      </c>
      <c r="D382">
        <v>220</v>
      </c>
      <c r="E382">
        <v>100</v>
      </c>
      <c r="F382" s="74">
        <f ca="1">INDIRECT(ADDRESS(11+(MATCH(RIGHT(Table245[[#This Row],[spawner_sku]],LEN(Table245[[#This Row],[spawner_sku]])-FIND("/",Table245[[#This Row],[spawner_sku]])),Table1[Entity Prefab],0)),10,1,1,"Entities"))</f>
        <v>50</v>
      </c>
      <c r="G382" s="74">
        <f ca="1">ROUND((Table245[[#This Row],[XP]]*Table245[[#This Row],[entity_spawned (AVG)]])*(Table245[[#This Row],[activating_chance]]/100),0)</f>
        <v>50</v>
      </c>
      <c r="H382" s="71" t="str">
        <f ca="1">INDIRECT(ADDRESS(11+(MATCH(RIGHT(Table245[[#This Row],[spawner_sku]],LEN(Table245[[#This Row],[spawner_sku]])-FIND("/",Table245[[#This Row],[spawner_sku]])),Table28[Entity Prefab],0)),24,1,1,"Entities"))</f>
        <v>yes</v>
      </c>
      <c r="I382" s="71">
        <v>1</v>
      </c>
      <c r="J382" s="71">
        <v>1</v>
      </c>
      <c r="K382" s="71" t="b">
        <v>0</v>
      </c>
      <c r="AI382" t="s">
        <v>242</v>
      </c>
      <c r="AJ382">
        <v>1</v>
      </c>
      <c r="AK382">
        <v>120</v>
      </c>
      <c r="AL382">
        <v>100</v>
      </c>
      <c r="AM382" s="74">
        <f ca="1">INDIRECT(ADDRESS(11+(MATCH(RIGHT(Table2[[#This Row],[spawner_sku]],LEN(Table2[[#This Row],[spawner_sku]])-FIND("/",Table2[[#This Row],[spawner_sku]])),Table1[Entity Prefab],0)),10,1,1,"Entities"))</f>
        <v>25</v>
      </c>
      <c r="AN382" s="74">
        <f ca="1">ROUND((Table2[[#This Row],[XP]]*Table2[[#This Row],[entity_spawned (AVG)]])*(Table2[[#This Row],[activating_chance]]/100),0)</f>
        <v>25</v>
      </c>
      <c r="AO382" s="71" t="str">
        <f ca="1">INDIRECT(ADDRESS(11+(MATCH(RIGHT(Table2[[#This Row],[spawner_sku]],LEN(Table2[[#This Row],[spawner_sku]])-FIND("/",Table2[[#This Row],[spawner_sku]])),Table28[Entity Prefab],0)),24,1,1,"Entities"))</f>
        <v>no</v>
      </c>
      <c r="AP382" s="71">
        <v>1</v>
      </c>
      <c r="AQ382" s="71">
        <v>1</v>
      </c>
      <c r="AR382" s="71" t="b">
        <v>0</v>
      </c>
      <c r="BP382" t="s">
        <v>241</v>
      </c>
      <c r="BQ382">
        <v>1</v>
      </c>
      <c r="BR382">
        <v>170</v>
      </c>
      <c r="BS382">
        <v>100</v>
      </c>
      <c r="BT382" s="74">
        <f ca="1">INDIRECT(ADDRESS(11+(MATCH(RIGHT(Table61011[[#This Row],[spawner_sku]],LEN(Table61011[[#This Row],[spawner_sku]])-FIND("/",Table61011[[#This Row],[spawner_sku]])),Table1[Entity Prefab],0)),10,1,1,"Entities"))</f>
        <v>70</v>
      </c>
      <c r="BU382" s="74">
        <f ca="1">ROUND((Table61011[[#This Row],[XP]]*Table61011[[#This Row],[entity_spawned (AVG)]])*(Table61011[[#This Row],[activating_chance]]/100),0)</f>
        <v>70</v>
      </c>
      <c r="BV382" s="71" t="str">
        <f ca="1">INDIRECT(ADDRESS(11+(MATCH(RIGHT(Table61011[[#This Row],[spawner_sku]],LEN(Table61011[[#This Row],[spawner_sku]])-FIND("/",Table61011[[#This Row],[spawner_sku]])),Table28[Entity Prefab],0)),24,1,1,"Entities"))</f>
        <v>yes</v>
      </c>
      <c r="BW382" s="71">
        <v>1</v>
      </c>
      <c r="BX382" s="71">
        <v>1</v>
      </c>
      <c r="BY382" s="71" t="b">
        <v>0</v>
      </c>
      <c r="BZ382" s="71"/>
      <c r="CL382" t="s">
        <v>466</v>
      </c>
      <c r="CM382">
        <v>1</v>
      </c>
      <c r="CN382">
        <v>70</v>
      </c>
      <c r="CO382">
        <v>100</v>
      </c>
      <c r="CP382" s="74">
        <f ca="1">INDIRECT(ADDRESS(11+(MATCH(RIGHT(Table11[[#This Row],[spawner_sku]],LEN(Table11[[#This Row],[spawner_sku]])-FIND("/",Table11[[#This Row],[spawner_sku]])),Table1[Entity Prefab],0)),10,1,1,"Entities"))</f>
        <v>75</v>
      </c>
      <c r="CQ382">
        <f ca="1">ROUND((Table11[[#This Row],[XP]]*Table11[[#This Row],[entity_spawned (AVG)]])*(Table11[[#This Row],[activating_chance]]/100),0)</f>
        <v>75</v>
      </c>
      <c r="CR382" s="144" t="str">
        <f ca="1">INDIRECT(ADDRESS(11+(MATCH(RIGHT(Table11[[#This Row],[spawner_sku]],LEN(Table11[[#This Row],[spawner_sku]])-FIND("/",Table11[[#This Row],[spawner_sku]])),Table28[Entity Prefab],0)),25,1,1,"Entities"))</f>
        <v>no</v>
      </c>
      <c r="CS382" s="71">
        <v>1</v>
      </c>
      <c r="CT382" s="71">
        <v>1</v>
      </c>
      <c r="CU382" s="71" t="b">
        <v>0</v>
      </c>
      <c r="DS382" t="s">
        <v>510</v>
      </c>
      <c r="DT382">
        <v>1</v>
      </c>
      <c r="DU382">
        <v>145</v>
      </c>
      <c r="DV382">
        <v>100</v>
      </c>
      <c r="DW382" s="74">
        <f ca="1">INDIRECT(ADDRESS(11+(MATCH(RIGHT(Table14[[#This Row],[spawner_sku]],LEN(Table14[[#This Row],[spawner_sku]])-FIND("/",Table14[[#This Row],[spawner_sku]])),Table1[Entity Prefab],0)),10,1,1,"Entities"))</f>
        <v>90</v>
      </c>
      <c r="DX382" s="74">
        <f ca="1">ROUND((Table14[[#This Row],[XP]]*Table14[[#This Row],[entity_spawned (AVG)]])*(Table14[[#This Row],[activating_chance]]/100),0)</f>
        <v>90</v>
      </c>
      <c r="DY382" s="144" t="str">
        <f ca="1">INDIRECT(ADDRESS(11+(MATCH(RIGHT(Table14[[#This Row],[spawner_sku]],LEN(Table14[[#This Row],[spawner_sku]])-FIND("/",Table14[[#This Row],[spawner_sku]])),Table28[Entity Prefab],0)),25,1,1,"Entities"))</f>
        <v>no</v>
      </c>
      <c r="DZ382" s="71">
        <v>1</v>
      </c>
      <c r="EA382" s="71">
        <v>1</v>
      </c>
      <c r="EB382" s="71" t="b">
        <v>0</v>
      </c>
      <c r="EC382" s="71"/>
    </row>
    <row r="383" spans="2:133" x14ac:dyDescent="0.25">
      <c r="B383" s="72" t="s">
        <v>445</v>
      </c>
      <c r="C383">
        <v>1</v>
      </c>
      <c r="D383">
        <v>220</v>
      </c>
      <c r="E383">
        <v>100</v>
      </c>
      <c r="F383" s="74">
        <f ca="1">INDIRECT(ADDRESS(11+(MATCH(RIGHT(Table245[[#This Row],[spawner_sku]],LEN(Table245[[#This Row],[spawner_sku]])-FIND("/",Table245[[#This Row],[spawner_sku]])),Table1[Entity Prefab],0)),10,1,1,"Entities"))</f>
        <v>50</v>
      </c>
      <c r="G383" s="74">
        <f ca="1">ROUND((Table245[[#This Row],[XP]]*Table245[[#This Row],[entity_spawned (AVG)]])*(Table245[[#This Row],[activating_chance]]/100),0)</f>
        <v>50</v>
      </c>
      <c r="H383" s="71" t="str">
        <f ca="1">INDIRECT(ADDRESS(11+(MATCH(RIGHT(Table245[[#This Row],[spawner_sku]],LEN(Table245[[#This Row],[spawner_sku]])-FIND("/",Table245[[#This Row],[spawner_sku]])),Table28[Entity Prefab],0)),24,1,1,"Entities"))</f>
        <v>yes</v>
      </c>
      <c r="I383" s="71">
        <v>1</v>
      </c>
      <c r="J383" s="71">
        <v>1</v>
      </c>
      <c r="K383" s="71" t="b">
        <v>0</v>
      </c>
      <c r="AI383" t="s">
        <v>242</v>
      </c>
      <c r="AJ383">
        <v>2</v>
      </c>
      <c r="AK383">
        <v>180</v>
      </c>
      <c r="AL383">
        <v>100</v>
      </c>
      <c r="AM383" s="74">
        <f ca="1">INDIRECT(ADDRESS(11+(MATCH(RIGHT(Table2[[#This Row],[spawner_sku]],LEN(Table2[[#This Row],[spawner_sku]])-FIND("/",Table2[[#This Row],[spawner_sku]])),Table1[Entity Prefab],0)),10,1,1,"Entities"))</f>
        <v>25</v>
      </c>
      <c r="AN383" s="74">
        <f ca="1">ROUND((Table2[[#This Row],[XP]]*Table2[[#This Row],[entity_spawned (AVG)]])*(Table2[[#This Row],[activating_chance]]/100),0)</f>
        <v>50</v>
      </c>
      <c r="AO383" s="71" t="str">
        <f ca="1">INDIRECT(ADDRESS(11+(MATCH(RIGHT(Table2[[#This Row],[spawner_sku]],LEN(Table2[[#This Row],[spawner_sku]])-FIND("/",Table2[[#This Row],[spawner_sku]])),Table28[Entity Prefab],0)),24,1,1,"Entities"))</f>
        <v>no</v>
      </c>
      <c r="AP383" s="71">
        <v>2</v>
      </c>
      <c r="AQ383" s="71">
        <v>2</v>
      </c>
      <c r="AR383" s="71" t="b">
        <v>0</v>
      </c>
      <c r="BP383" t="s">
        <v>241</v>
      </c>
      <c r="BQ383">
        <v>1</v>
      </c>
      <c r="BR383">
        <v>200</v>
      </c>
      <c r="BS383">
        <v>80</v>
      </c>
      <c r="BT383" s="74">
        <f ca="1">INDIRECT(ADDRESS(11+(MATCH(RIGHT(Table61011[[#This Row],[spawner_sku]],LEN(Table61011[[#This Row],[spawner_sku]])-FIND("/",Table61011[[#This Row],[spawner_sku]])),Table1[Entity Prefab],0)),10,1,1,"Entities"))</f>
        <v>70</v>
      </c>
      <c r="BU383" s="74">
        <f ca="1">ROUND((Table61011[[#This Row],[XP]]*Table61011[[#This Row],[entity_spawned (AVG)]])*(Table61011[[#This Row],[activating_chance]]/100),0)</f>
        <v>56</v>
      </c>
      <c r="BV383" s="71" t="str">
        <f ca="1">INDIRECT(ADDRESS(11+(MATCH(RIGHT(Table61011[[#This Row],[spawner_sku]],LEN(Table61011[[#This Row],[spawner_sku]])-FIND("/",Table61011[[#This Row],[spawner_sku]])),Table28[Entity Prefab],0)),24,1,1,"Entities"))</f>
        <v>yes</v>
      </c>
      <c r="BW383" s="71">
        <v>1</v>
      </c>
      <c r="BX383" s="71">
        <v>1</v>
      </c>
      <c r="BY383" s="71" t="b">
        <v>0</v>
      </c>
      <c r="BZ383" s="71"/>
      <c r="CL383" t="s">
        <v>466</v>
      </c>
      <c r="CM383">
        <v>1</v>
      </c>
      <c r="CN383">
        <v>70</v>
      </c>
      <c r="CO383">
        <v>100</v>
      </c>
      <c r="CP383" s="74">
        <f ca="1">INDIRECT(ADDRESS(11+(MATCH(RIGHT(Table11[[#This Row],[spawner_sku]],LEN(Table11[[#This Row],[spawner_sku]])-FIND("/",Table11[[#This Row],[spawner_sku]])),Table1[Entity Prefab],0)),10,1,1,"Entities"))</f>
        <v>75</v>
      </c>
      <c r="CQ383">
        <f ca="1">ROUND((Table11[[#This Row],[XP]]*Table11[[#This Row],[entity_spawned (AVG)]])*(Table11[[#This Row],[activating_chance]]/100),0)</f>
        <v>75</v>
      </c>
      <c r="CR383" s="144" t="str">
        <f ca="1">INDIRECT(ADDRESS(11+(MATCH(RIGHT(Table11[[#This Row],[spawner_sku]],LEN(Table11[[#This Row],[spawner_sku]])-FIND("/",Table11[[#This Row],[spawner_sku]])),Table28[Entity Prefab],0)),25,1,1,"Entities"))</f>
        <v>no</v>
      </c>
      <c r="CS383" s="71">
        <v>1</v>
      </c>
      <c r="CT383" s="71">
        <v>1</v>
      </c>
      <c r="CU383" s="71" t="b">
        <v>0</v>
      </c>
      <c r="DS383" t="s">
        <v>510</v>
      </c>
      <c r="DT383">
        <v>1</v>
      </c>
      <c r="DU383">
        <v>150</v>
      </c>
      <c r="DV383">
        <v>100</v>
      </c>
      <c r="DW383" s="74">
        <f ca="1">INDIRECT(ADDRESS(11+(MATCH(RIGHT(Table14[[#This Row],[spawner_sku]],LEN(Table14[[#This Row],[spawner_sku]])-FIND("/",Table14[[#This Row],[spawner_sku]])),Table1[Entity Prefab],0)),10,1,1,"Entities"))</f>
        <v>90</v>
      </c>
      <c r="DX383" s="74">
        <f ca="1">ROUND((Table14[[#This Row],[XP]]*Table14[[#This Row],[entity_spawned (AVG)]])*(Table14[[#This Row],[activating_chance]]/100),0)</f>
        <v>90</v>
      </c>
      <c r="DY383" s="144" t="str">
        <f ca="1">INDIRECT(ADDRESS(11+(MATCH(RIGHT(Table14[[#This Row],[spawner_sku]],LEN(Table14[[#This Row],[spawner_sku]])-FIND("/",Table14[[#This Row],[spawner_sku]])),Table28[Entity Prefab],0)),25,1,1,"Entities"))</f>
        <v>no</v>
      </c>
      <c r="DZ383" s="71">
        <v>1</v>
      </c>
      <c r="EA383" s="71">
        <v>1</v>
      </c>
      <c r="EB383" s="71" t="b">
        <v>0</v>
      </c>
      <c r="EC383" s="71"/>
    </row>
    <row r="384" spans="2:133" x14ac:dyDescent="0.25">
      <c r="B384" s="72" t="s">
        <v>445</v>
      </c>
      <c r="C384">
        <v>1</v>
      </c>
      <c r="D384">
        <v>220</v>
      </c>
      <c r="E384">
        <v>100</v>
      </c>
      <c r="F384" s="74">
        <f ca="1">INDIRECT(ADDRESS(11+(MATCH(RIGHT(Table245[[#This Row],[spawner_sku]],LEN(Table245[[#This Row],[spawner_sku]])-FIND("/",Table245[[#This Row],[spawner_sku]])),Table1[Entity Prefab],0)),10,1,1,"Entities"))</f>
        <v>50</v>
      </c>
      <c r="G384" s="74">
        <f ca="1">ROUND((Table245[[#This Row],[XP]]*Table245[[#This Row],[entity_spawned (AVG)]])*(Table245[[#This Row],[activating_chance]]/100),0)</f>
        <v>50</v>
      </c>
      <c r="H384" s="71" t="str">
        <f ca="1">INDIRECT(ADDRESS(11+(MATCH(RIGHT(Table245[[#This Row],[spawner_sku]],LEN(Table245[[#This Row],[spawner_sku]])-FIND("/",Table245[[#This Row],[spawner_sku]])),Table28[Entity Prefab],0)),24,1,1,"Entities"))</f>
        <v>yes</v>
      </c>
      <c r="I384" s="71">
        <v>1</v>
      </c>
      <c r="J384" s="71">
        <v>1</v>
      </c>
      <c r="K384" s="71" t="b">
        <v>0</v>
      </c>
      <c r="AI384" t="s">
        <v>242</v>
      </c>
      <c r="AJ384">
        <v>1</v>
      </c>
      <c r="AK384">
        <v>170</v>
      </c>
      <c r="AL384">
        <v>40</v>
      </c>
      <c r="AM384" s="74">
        <f ca="1">INDIRECT(ADDRESS(11+(MATCH(RIGHT(Table2[[#This Row],[spawner_sku]],LEN(Table2[[#This Row],[spawner_sku]])-FIND("/",Table2[[#This Row],[spawner_sku]])),Table1[Entity Prefab],0)),10,1,1,"Entities"))</f>
        <v>25</v>
      </c>
      <c r="AN384" s="74">
        <f ca="1">ROUND((Table2[[#This Row],[XP]]*Table2[[#This Row],[entity_spawned (AVG)]])*(Table2[[#This Row],[activating_chance]]/100),0)</f>
        <v>10</v>
      </c>
      <c r="AO384" s="71" t="str">
        <f ca="1">INDIRECT(ADDRESS(11+(MATCH(RIGHT(Table2[[#This Row],[spawner_sku]],LEN(Table2[[#This Row],[spawner_sku]])-FIND("/",Table2[[#This Row],[spawner_sku]])),Table28[Entity Prefab],0)),24,1,1,"Entities"))</f>
        <v>no</v>
      </c>
      <c r="AP384" s="71">
        <v>1</v>
      </c>
      <c r="AQ384" s="71">
        <v>1</v>
      </c>
      <c r="AR384" s="71" t="b">
        <v>0</v>
      </c>
      <c r="BP384" t="s">
        <v>241</v>
      </c>
      <c r="BQ384">
        <v>1</v>
      </c>
      <c r="BR384">
        <v>170</v>
      </c>
      <c r="BS384">
        <v>100</v>
      </c>
      <c r="BT384" s="74">
        <f ca="1">INDIRECT(ADDRESS(11+(MATCH(RIGHT(Table61011[[#This Row],[spawner_sku]],LEN(Table61011[[#This Row],[spawner_sku]])-FIND("/",Table61011[[#This Row],[spawner_sku]])),Table1[Entity Prefab],0)),10,1,1,"Entities"))</f>
        <v>70</v>
      </c>
      <c r="BU384" s="74">
        <f ca="1">ROUND((Table61011[[#This Row],[XP]]*Table61011[[#This Row],[entity_spawned (AVG)]])*(Table61011[[#This Row],[activating_chance]]/100),0)</f>
        <v>70</v>
      </c>
      <c r="BV384" s="71" t="str">
        <f ca="1">INDIRECT(ADDRESS(11+(MATCH(RIGHT(Table61011[[#This Row],[spawner_sku]],LEN(Table61011[[#This Row],[spawner_sku]])-FIND("/",Table61011[[#This Row],[spawner_sku]])),Table28[Entity Prefab],0)),24,1,1,"Entities"))</f>
        <v>yes</v>
      </c>
      <c r="BW384" s="71">
        <v>1</v>
      </c>
      <c r="BX384" s="71">
        <v>1</v>
      </c>
      <c r="BY384" s="71" t="b">
        <v>0</v>
      </c>
      <c r="BZ384" s="71"/>
      <c r="CL384" t="s">
        <v>466</v>
      </c>
      <c r="CM384">
        <v>1</v>
      </c>
      <c r="CN384">
        <v>70</v>
      </c>
      <c r="CO384">
        <v>100</v>
      </c>
      <c r="CP384" s="74">
        <f ca="1">INDIRECT(ADDRESS(11+(MATCH(RIGHT(Table11[[#This Row],[spawner_sku]],LEN(Table11[[#This Row],[spawner_sku]])-FIND("/",Table11[[#This Row],[spawner_sku]])),Table1[Entity Prefab],0)),10,1,1,"Entities"))</f>
        <v>75</v>
      </c>
      <c r="CQ384">
        <f ca="1">ROUND((Table11[[#This Row],[XP]]*Table11[[#This Row],[entity_spawned (AVG)]])*(Table11[[#This Row],[activating_chance]]/100),0)</f>
        <v>75</v>
      </c>
      <c r="CR384" s="144" t="str">
        <f ca="1">INDIRECT(ADDRESS(11+(MATCH(RIGHT(Table11[[#This Row],[spawner_sku]],LEN(Table11[[#This Row],[spawner_sku]])-FIND("/",Table11[[#This Row],[spawner_sku]])),Table28[Entity Prefab],0)),25,1,1,"Entities"))</f>
        <v>no</v>
      </c>
      <c r="CS384" s="71">
        <v>1</v>
      </c>
      <c r="CT384" s="71">
        <v>1</v>
      </c>
      <c r="CU384" s="71" t="b">
        <v>0</v>
      </c>
      <c r="DS384" t="s">
        <v>510</v>
      </c>
      <c r="DT384">
        <v>1</v>
      </c>
      <c r="DU384">
        <v>100</v>
      </c>
      <c r="DV384">
        <v>100</v>
      </c>
      <c r="DW384" s="74">
        <f ca="1">INDIRECT(ADDRESS(11+(MATCH(RIGHT(Table14[[#This Row],[spawner_sku]],LEN(Table14[[#This Row],[spawner_sku]])-FIND("/",Table14[[#This Row],[spawner_sku]])),Table1[Entity Prefab],0)),10,1,1,"Entities"))</f>
        <v>90</v>
      </c>
      <c r="DX384" s="74">
        <f ca="1">ROUND((Table14[[#This Row],[XP]]*Table14[[#This Row],[entity_spawned (AVG)]])*(Table14[[#This Row],[activating_chance]]/100),0)</f>
        <v>90</v>
      </c>
      <c r="DY384" s="144" t="str">
        <f ca="1">INDIRECT(ADDRESS(11+(MATCH(RIGHT(Table14[[#This Row],[spawner_sku]],LEN(Table14[[#This Row],[spawner_sku]])-FIND("/",Table14[[#This Row],[spawner_sku]])),Table28[Entity Prefab],0)),25,1,1,"Entities"))</f>
        <v>no</v>
      </c>
      <c r="DZ384" s="71">
        <v>1</v>
      </c>
      <c r="EA384" s="71">
        <v>1</v>
      </c>
      <c r="EB384" s="71" t="b">
        <v>0</v>
      </c>
      <c r="EC384" s="71"/>
    </row>
    <row r="385" spans="2:133" x14ac:dyDescent="0.25">
      <c r="B385" s="72" t="s">
        <v>445</v>
      </c>
      <c r="C385">
        <v>1</v>
      </c>
      <c r="D385">
        <v>220</v>
      </c>
      <c r="E385">
        <v>100</v>
      </c>
      <c r="F385" s="74">
        <f ca="1">INDIRECT(ADDRESS(11+(MATCH(RIGHT(Table245[[#This Row],[spawner_sku]],LEN(Table245[[#This Row],[spawner_sku]])-FIND("/",Table245[[#This Row],[spawner_sku]])),Table1[Entity Prefab],0)),10,1,1,"Entities"))</f>
        <v>50</v>
      </c>
      <c r="G385" s="74">
        <f ca="1">ROUND((Table245[[#This Row],[XP]]*Table245[[#This Row],[entity_spawned (AVG)]])*(Table245[[#This Row],[activating_chance]]/100),0)</f>
        <v>50</v>
      </c>
      <c r="H385" s="71" t="str">
        <f ca="1">INDIRECT(ADDRESS(11+(MATCH(RIGHT(Table245[[#This Row],[spawner_sku]],LEN(Table245[[#This Row],[spawner_sku]])-FIND("/",Table245[[#This Row],[spawner_sku]])),Table28[Entity Prefab],0)),24,1,1,"Entities"))</f>
        <v>yes</v>
      </c>
      <c r="I385" s="71">
        <v>1</v>
      </c>
      <c r="J385" s="71">
        <v>1</v>
      </c>
      <c r="K385" s="71" t="b">
        <v>0</v>
      </c>
      <c r="AI385" t="s">
        <v>242</v>
      </c>
      <c r="AJ385">
        <v>1</v>
      </c>
      <c r="AK385">
        <v>130</v>
      </c>
      <c r="AL385">
        <v>100</v>
      </c>
      <c r="AM385" s="74">
        <f ca="1">INDIRECT(ADDRESS(11+(MATCH(RIGHT(Table2[[#This Row],[spawner_sku]],LEN(Table2[[#This Row],[spawner_sku]])-FIND("/",Table2[[#This Row],[spawner_sku]])),Table1[Entity Prefab],0)),10,1,1,"Entities"))</f>
        <v>25</v>
      </c>
      <c r="AN385" s="74">
        <f ca="1">ROUND((Table2[[#This Row],[XP]]*Table2[[#This Row],[entity_spawned (AVG)]])*(Table2[[#This Row],[activating_chance]]/100),0)</f>
        <v>25</v>
      </c>
      <c r="AO385" s="71" t="str">
        <f ca="1">INDIRECT(ADDRESS(11+(MATCH(RIGHT(Table2[[#This Row],[spawner_sku]],LEN(Table2[[#This Row],[spawner_sku]])-FIND("/",Table2[[#This Row],[spawner_sku]])),Table28[Entity Prefab],0)),24,1,1,"Entities"))</f>
        <v>no</v>
      </c>
      <c r="AP385" s="71">
        <v>1</v>
      </c>
      <c r="AQ385" s="71">
        <v>1</v>
      </c>
      <c r="AR385" s="71" t="b">
        <v>0</v>
      </c>
      <c r="BP385" t="s">
        <v>241</v>
      </c>
      <c r="BQ385">
        <v>1</v>
      </c>
      <c r="BR385">
        <v>170</v>
      </c>
      <c r="BS385">
        <v>100</v>
      </c>
      <c r="BT385" s="74">
        <f ca="1">INDIRECT(ADDRESS(11+(MATCH(RIGHT(Table61011[[#This Row],[spawner_sku]],LEN(Table61011[[#This Row],[spawner_sku]])-FIND("/",Table61011[[#This Row],[spawner_sku]])),Table1[Entity Prefab],0)),10,1,1,"Entities"))</f>
        <v>70</v>
      </c>
      <c r="BU385" s="74">
        <f ca="1">ROUND((Table61011[[#This Row],[XP]]*Table61011[[#This Row],[entity_spawned (AVG)]])*(Table61011[[#This Row],[activating_chance]]/100),0)</f>
        <v>70</v>
      </c>
      <c r="BV385" s="71" t="str">
        <f ca="1">INDIRECT(ADDRESS(11+(MATCH(RIGHT(Table61011[[#This Row],[spawner_sku]],LEN(Table61011[[#This Row],[spawner_sku]])-FIND("/",Table61011[[#This Row],[spawner_sku]])),Table28[Entity Prefab],0)),24,1,1,"Entities"))</f>
        <v>yes</v>
      </c>
      <c r="BW385" s="71">
        <v>1</v>
      </c>
      <c r="BX385" s="71">
        <v>1</v>
      </c>
      <c r="BY385" s="71" t="b">
        <v>0</v>
      </c>
      <c r="BZ385" s="71"/>
      <c r="CL385" t="s">
        <v>466</v>
      </c>
      <c r="CM385">
        <v>1</v>
      </c>
      <c r="CN385">
        <v>70</v>
      </c>
      <c r="CO385">
        <v>100</v>
      </c>
      <c r="CP385" s="74">
        <f ca="1">INDIRECT(ADDRESS(11+(MATCH(RIGHT(Table11[[#This Row],[spawner_sku]],LEN(Table11[[#This Row],[spawner_sku]])-FIND("/",Table11[[#This Row],[spawner_sku]])),Table1[Entity Prefab],0)),10,1,1,"Entities"))</f>
        <v>75</v>
      </c>
      <c r="CQ385">
        <f ca="1">ROUND((Table11[[#This Row],[XP]]*Table11[[#This Row],[entity_spawned (AVG)]])*(Table11[[#This Row],[activating_chance]]/100),0)</f>
        <v>75</v>
      </c>
      <c r="CR385" s="144" t="str">
        <f ca="1">INDIRECT(ADDRESS(11+(MATCH(RIGHT(Table11[[#This Row],[spawner_sku]],LEN(Table11[[#This Row],[spawner_sku]])-FIND("/",Table11[[#This Row],[spawner_sku]])),Table28[Entity Prefab],0)),25,1,1,"Entities"))</f>
        <v>no</v>
      </c>
      <c r="CS385" s="71">
        <v>1</v>
      </c>
      <c r="CT385" s="71">
        <v>1</v>
      </c>
      <c r="CU385" s="71" t="b">
        <v>0</v>
      </c>
      <c r="DS385" t="s">
        <v>510</v>
      </c>
      <c r="DT385">
        <v>2</v>
      </c>
      <c r="DU385">
        <v>150</v>
      </c>
      <c r="DV385">
        <v>100</v>
      </c>
      <c r="DW385" s="74">
        <f ca="1">INDIRECT(ADDRESS(11+(MATCH(RIGHT(Table14[[#This Row],[spawner_sku]],LEN(Table14[[#This Row],[spawner_sku]])-FIND("/",Table14[[#This Row],[spawner_sku]])),Table1[Entity Prefab],0)),10,1,1,"Entities"))</f>
        <v>90</v>
      </c>
      <c r="DX385" s="74">
        <f ca="1">ROUND((Table14[[#This Row],[XP]]*Table14[[#This Row],[entity_spawned (AVG)]])*(Table14[[#This Row],[activating_chance]]/100),0)</f>
        <v>180</v>
      </c>
      <c r="DY385" s="144" t="str">
        <f ca="1">INDIRECT(ADDRESS(11+(MATCH(RIGHT(Table14[[#This Row],[spawner_sku]],LEN(Table14[[#This Row],[spawner_sku]])-FIND("/",Table14[[#This Row],[spawner_sku]])),Table28[Entity Prefab],0)),25,1,1,"Entities"))</f>
        <v>no</v>
      </c>
      <c r="DZ385" s="71">
        <v>2</v>
      </c>
      <c r="EA385" s="71">
        <v>2</v>
      </c>
      <c r="EB385" s="71" t="b">
        <v>0</v>
      </c>
      <c r="EC385" s="71"/>
    </row>
    <row r="386" spans="2:133" x14ac:dyDescent="0.25">
      <c r="B386" s="72" t="s">
        <v>445</v>
      </c>
      <c r="C386">
        <v>1</v>
      </c>
      <c r="D386">
        <v>220</v>
      </c>
      <c r="E386">
        <v>100</v>
      </c>
      <c r="F386" s="74">
        <f ca="1">INDIRECT(ADDRESS(11+(MATCH(RIGHT(Table245[[#This Row],[spawner_sku]],LEN(Table245[[#This Row],[spawner_sku]])-FIND("/",Table245[[#This Row],[spawner_sku]])),Table1[Entity Prefab],0)),10,1,1,"Entities"))</f>
        <v>50</v>
      </c>
      <c r="G386" s="74">
        <f ca="1">ROUND((Table245[[#This Row],[XP]]*Table245[[#This Row],[entity_spawned (AVG)]])*(Table245[[#This Row],[activating_chance]]/100),0)</f>
        <v>50</v>
      </c>
      <c r="H386" s="71" t="str">
        <f ca="1">INDIRECT(ADDRESS(11+(MATCH(RIGHT(Table245[[#This Row],[spawner_sku]],LEN(Table245[[#This Row],[spawner_sku]])-FIND("/",Table245[[#This Row],[spawner_sku]])),Table28[Entity Prefab],0)),24,1,1,"Entities"))</f>
        <v>yes</v>
      </c>
      <c r="I386" s="71">
        <v>1</v>
      </c>
      <c r="J386" s="71">
        <v>1</v>
      </c>
      <c r="K386" s="71" t="b">
        <v>0</v>
      </c>
      <c r="AI386" t="s">
        <v>242</v>
      </c>
      <c r="AJ386">
        <v>1</v>
      </c>
      <c r="AK386">
        <v>130</v>
      </c>
      <c r="AL386">
        <v>100</v>
      </c>
      <c r="AM386" s="74">
        <f ca="1">INDIRECT(ADDRESS(11+(MATCH(RIGHT(Table2[[#This Row],[spawner_sku]],LEN(Table2[[#This Row],[spawner_sku]])-FIND("/",Table2[[#This Row],[spawner_sku]])),Table1[Entity Prefab],0)),10,1,1,"Entities"))</f>
        <v>25</v>
      </c>
      <c r="AN386" s="74">
        <f ca="1">ROUND((Table2[[#This Row],[XP]]*Table2[[#This Row],[entity_spawned (AVG)]])*(Table2[[#This Row],[activating_chance]]/100),0)</f>
        <v>25</v>
      </c>
      <c r="AO386" s="71" t="str">
        <f ca="1">INDIRECT(ADDRESS(11+(MATCH(RIGHT(Table2[[#This Row],[spawner_sku]],LEN(Table2[[#This Row],[spawner_sku]])-FIND("/",Table2[[#This Row],[spawner_sku]])),Table28[Entity Prefab],0)),24,1,1,"Entities"))</f>
        <v>no</v>
      </c>
      <c r="AP386" s="71">
        <v>1</v>
      </c>
      <c r="AQ386" s="71">
        <v>1</v>
      </c>
      <c r="AR386" s="71" t="b">
        <v>0</v>
      </c>
      <c r="BP386" t="s">
        <v>241</v>
      </c>
      <c r="BQ386">
        <v>1</v>
      </c>
      <c r="BR386">
        <v>170</v>
      </c>
      <c r="BS386">
        <v>100</v>
      </c>
      <c r="BT386" s="74">
        <f ca="1">INDIRECT(ADDRESS(11+(MATCH(RIGHT(Table61011[[#This Row],[spawner_sku]],LEN(Table61011[[#This Row],[spawner_sku]])-FIND("/",Table61011[[#This Row],[spawner_sku]])),Table1[Entity Prefab],0)),10,1,1,"Entities"))</f>
        <v>70</v>
      </c>
      <c r="BU386" s="74">
        <f ca="1">ROUND((Table61011[[#This Row],[XP]]*Table61011[[#This Row],[entity_spawned (AVG)]])*(Table61011[[#This Row],[activating_chance]]/100),0)</f>
        <v>70</v>
      </c>
      <c r="BV386" s="71" t="str">
        <f ca="1">INDIRECT(ADDRESS(11+(MATCH(RIGHT(Table61011[[#This Row],[spawner_sku]],LEN(Table61011[[#This Row],[spawner_sku]])-FIND("/",Table61011[[#This Row],[spawner_sku]])),Table28[Entity Prefab],0)),24,1,1,"Entities"))</f>
        <v>yes</v>
      </c>
      <c r="BW386" s="71">
        <v>1</v>
      </c>
      <c r="BX386" s="71">
        <v>1</v>
      </c>
      <c r="BY386" s="71" t="b">
        <v>0</v>
      </c>
      <c r="BZ386" s="71"/>
      <c r="CL386" t="s">
        <v>466</v>
      </c>
      <c r="CM386">
        <v>1</v>
      </c>
      <c r="CN386">
        <v>70</v>
      </c>
      <c r="CO386">
        <v>100</v>
      </c>
      <c r="CP386" s="74">
        <f ca="1">INDIRECT(ADDRESS(11+(MATCH(RIGHT(Table11[[#This Row],[spawner_sku]],LEN(Table11[[#This Row],[spawner_sku]])-FIND("/",Table11[[#This Row],[spawner_sku]])),Table1[Entity Prefab],0)),10,1,1,"Entities"))</f>
        <v>75</v>
      </c>
      <c r="CQ386">
        <f ca="1">ROUND((Table11[[#This Row],[XP]]*Table11[[#This Row],[entity_spawned (AVG)]])*(Table11[[#This Row],[activating_chance]]/100),0)</f>
        <v>75</v>
      </c>
      <c r="CR386" s="144" t="str">
        <f ca="1">INDIRECT(ADDRESS(11+(MATCH(RIGHT(Table11[[#This Row],[spawner_sku]],LEN(Table11[[#This Row],[spawner_sku]])-FIND("/",Table11[[#This Row],[spawner_sku]])),Table28[Entity Prefab],0)),25,1,1,"Entities"))</f>
        <v>no</v>
      </c>
      <c r="CS386" s="71">
        <v>1</v>
      </c>
      <c r="CT386" s="71">
        <v>1</v>
      </c>
      <c r="CU386" s="71" t="b">
        <v>0</v>
      </c>
      <c r="DS386" t="s">
        <v>510</v>
      </c>
      <c r="DT386">
        <v>1</v>
      </c>
      <c r="DU386">
        <v>110</v>
      </c>
      <c r="DV386">
        <v>100</v>
      </c>
      <c r="DW386" s="74">
        <f ca="1">INDIRECT(ADDRESS(11+(MATCH(RIGHT(Table14[[#This Row],[spawner_sku]],LEN(Table14[[#This Row],[spawner_sku]])-FIND("/",Table14[[#This Row],[spawner_sku]])),Table1[Entity Prefab],0)),10,1,1,"Entities"))</f>
        <v>90</v>
      </c>
      <c r="DX386" s="74">
        <f ca="1">ROUND((Table14[[#This Row],[XP]]*Table14[[#This Row],[entity_spawned (AVG)]])*(Table14[[#This Row],[activating_chance]]/100),0)</f>
        <v>90</v>
      </c>
      <c r="DY386" s="144" t="str">
        <f ca="1">INDIRECT(ADDRESS(11+(MATCH(RIGHT(Table14[[#This Row],[spawner_sku]],LEN(Table14[[#This Row],[spawner_sku]])-FIND("/",Table14[[#This Row],[spawner_sku]])),Table28[Entity Prefab],0)),25,1,1,"Entities"))</f>
        <v>no</v>
      </c>
      <c r="DZ386" s="71">
        <v>1</v>
      </c>
      <c r="EA386" s="71">
        <v>1</v>
      </c>
      <c r="EB386" s="71" t="b">
        <v>0</v>
      </c>
      <c r="EC386" s="71"/>
    </row>
    <row r="387" spans="2:133" x14ac:dyDescent="0.25">
      <c r="B387" s="72" t="s">
        <v>446</v>
      </c>
      <c r="C387">
        <v>1</v>
      </c>
      <c r="D387">
        <v>240</v>
      </c>
      <c r="E387">
        <v>100</v>
      </c>
      <c r="F387" s="74">
        <f ca="1">INDIRECT(ADDRESS(11+(MATCH(RIGHT(Table245[[#This Row],[spawner_sku]],LEN(Table245[[#This Row],[spawner_sku]])-FIND("/",Table245[[#This Row],[spawner_sku]])),Table1[Entity Prefab],0)),10,1,1,"Entities"))</f>
        <v>83</v>
      </c>
      <c r="G387" s="74">
        <f ca="1">ROUND((Table245[[#This Row],[XP]]*Table245[[#This Row],[entity_spawned (AVG)]])*(Table245[[#This Row],[activating_chance]]/100),0)</f>
        <v>83</v>
      </c>
      <c r="H387" s="71" t="str">
        <f ca="1">INDIRECT(ADDRESS(11+(MATCH(RIGHT(Table245[[#This Row],[spawner_sku]],LEN(Table245[[#This Row],[spawner_sku]])-FIND("/",Table245[[#This Row],[spawner_sku]])),Table28[Entity Prefab],0)),24,1,1,"Entities"))</f>
        <v>yes</v>
      </c>
      <c r="I387" s="71">
        <v>1</v>
      </c>
      <c r="J387" s="71">
        <v>1</v>
      </c>
      <c r="K387" s="71" t="b">
        <v>0</v>
      </c>
      <c r="AI387" t="s">
        <v>242</v>
      </c>
      <c r="AJ387">
        <v>1</v>
      </c>
      <c r="AK387">
        <v>105</v>
      </c>
      <c r="AL387">
        <v>100</v>
      </c>
      <c r="AM387" s="74">
        <f ca="1">INDIRECT(ADDRESS(11+(MATCH(RIGHT(Table2[[#This Row],[spawner_sku]],LEN(Table2[[#This Row],[spawner_sku]])-FIND("/",Table2[[#This Row],[spawner_sku]])),Table1[Entity Prefab],0)),10,1,1,"Entities"))</f>
        <v>25</v>
      </c>
      <c r="AN387" s="74">
        <f ca="1">ROUND((Table2[[#This Row],[XP]]*Table2[[#This Row],[entity_spawned (AVG)]])*(Table2[[#This Row],[activating_chance]]/100),0)</f>
        <v>25</v>
      </c>
      <c r="AO387" s="71" t="str">
        <f ca="1">INDIRECT(ADDRESS(11+(MATCH(RIGHT(Table2[[#This Row],[spawner_sku]],LEN(Table2[[#This Row],[spawner_sku]])-FIND("/",Table2[[#This Row],[spawner_sku]])),Table28[Entity Prefab],0)),24,1,1,"Entities"))</f>
        <v>no</v>
      </c>
      <c r="AP387" s="71">
        <v>1</v>
      </c>
      <c r="AQ387" s="71">
        <v>1</v>
      </c>
      <c r="AR387" s="71" t="b">
        <v>0</v>
      </c>
      <c r="BP387" t="s">
        <v>241</v>
      </c>
      <c r="BQ387">
        <v>1</v>
      </c>
      <c r="BR387">
        <v>170</v>
      </c>
      <c r="BS387">
        <v>100</v>
      </c>
      <c r="BT387" s="74">
        <f ca="1">INDIRECT(ADDRESS(11+(MATCH(RIGHT(Table61011[[#This Row],[spawner_sku]],LEN(Table61011[[#This Row],[spawner_sku]])-FIND("/",Table61011[[#This Row],[spawner_sku]])),Table1[Entity Prefab],0)),10,1,1,"Entities"))</f>
        <v>70</v>
      </c>
      <c r="BU387" s="74">
        <f ca="1">ROUND((Table61011[[#This Row],[XP]]*Table61011[[#This Row],[entity_spawned (AVG)]])*(Table61011[[#This Row],[activating_chance]]/100),0)</f>
        <v>70</v>
      </c>
      <c r="BV387" s="71" t="str">
        <f ca="1">INDIRECT(ADDRESS(11+(MATCH(RIGHT(Table61011[[#This Row],[spawner_sku]],LEN(Table61011[[#This Row],[spawner_sku]])-FIND("/",Table61011[[#This Row],[spawner_sku]])),Table28[Entity Prefab],0)),24,1,1,"Entities"))</f>
        <v>yes</v>
      </c>
      <c r="BW387" s="71">
        <v>1</v>
      </c>
      <c r="BX387" s="71">
        <v>1</v>
      </c>
      <c r="BY387" s="71" t="b">
        <v>0</v>
      </c>
      <c r="BZ387" s="71"/>
      <c r="CL387" t="s">
        <v>466</v>
      </c>
      <c r="CM387">
        <v>1</v>
      </c>
      <c r="CN387">
        <v>70</v>
      </c>
      <c r="CO387">
        <v>100</v>
      </c>
      <c r="CP387" s="74">
        <f ca="1">INDIRECT(ADDRESS(11+(MATCH(RIGHT(Table11[[#This Row],[spawner_sku]],LEN(Table11[[#This Row],[spawner_sku]])-FIND("/",Table11[[#This Row],[spawner_sku]])),Table1[Entity Prefab],0)),10,1,1,"Entities"))</f>
        <v>75</v>
      </c>
      <c r="CQ387">
        <f ca="1">ROUND((Table11[[#This Row],[XP]]*Table11[[#This Row],[entity_spawned (AVG)]])*(Table11[[#This Row],[activating_chance]]/100),0)</f>
        <v>75</v>
      </c>
      <c r="CR387" s="144" t="str">
        <f ca="1">INDIRECT(ADDRESS(11+(MATCH(RIGHT(Table11[[#This Row],[spawner_sku]],LEN(Table11[[#This Row],[spawner_sku]])-FIND("/",Table11[[#This Row],[spawner_sku]])),Table28[Entity Prefab],0)),25,1,1,"Entities"))</f>
        <v>no</v>
      </c>
      <c r="CS387" s="71">
        <v>1</v>
      </c>
      <c r="CT387" s="71">
        <v>1</v>
      </c>
      <c r="CU387" s="71" t="b">
        <v>0</v>
      </c>
      <c r="DS387" t="s">
        <v>510</v>
      </c>
      <c r="DT387">
        <v>1</v>
      </c>
      <c r="DU387">
        <v>100</v>
      </c>
      <c r="DV387">
        <v>30</v>
      </c>
      <c r="DW387" s="74">
        <f ca="1">INDIRECT(ADDRESS(11+(MATCH(RIGHT(Table14[[#This Row],[spawner_sku]],LEN(Table14[[#This Row],[spawner_sku]])-FIND("/",Table14[[#This Row],[spawner_sku]])),Table1[Entity Prefab],0)),10,1,1,"Entities"))</f>
        <v>90</v>
      </c>
      <c r="DX387" s="74">
        <f ca="1">ROUND((Table14[[#This Row],[XP]]*Table14[[#This Row],[entity_spawned (AVG)]])*(Table14[[#This Row],[activating_chance]]/100),0)</f>
        <v>27</v>
      </c>
      <c r="DY387" s="144" t="str">
        <f ca="1">INDIRECT(ADDRESS(11+(MATCH(RIGHT(Table14[[#This Row],[spawner_sku]],LEN(Table14[[#This Row],[spawner_sku]])-FIND("/",Table14[[#This Row],[spawner_sku]])),Table28[Entity Prefab],0)),25,1,1,"Entities"))</f>
        <v>no</v>
      </c>
      <c r="DZ387" s="71">
        <v>1</v>
      </c>
      <c r="EA387" s="71">
        <v>1</v>
      </c>
      <c r="EB387" s="71" t="b">
        <v>0</v>
      </c>
      <c r="EC387" s="71"/>
    </row>
    <row r="388" spans="2:133" x14ac:dyDescent="0.25">
      <c r="B388" s="72" t="s">
        <v>446</v>
      </c>
      <c r="C388">
        <v>1</v>
      </c>
      <c r="D388">
        <v>240</v>
      </c>
      <c r="E388">
        <v>100</v>
      </c>
      <c r="F388" s="74">
        <f ca="1">INDIRECT(ADDRESS(11+(MATCH(RIGHT(Table245[[#This Row],[spawner_sku]],LEN(Table245[[#This Row],[spawner_sku]])-FIND("/",Table245[[#This Row],[spawner_sku]])),Table1[Entity Prefab],0)),10,1,1,"Entities"))</f>
        <v>83</v>
      </c>
      <c r="G388" s="74">
        <f ca="1">ROUND((Table245[[#This Row],[XP]]*Table245[[#This Row],[entity_spawned (AVG)]])*(Table245[[#This Row],[activating_chance]]/100),0)</f>
        <v>83</v>
      </c>
      <c r="H388" s="71" t="str">
        <f ca="1">INDIRECT(ADDRESS(11+(MATCH(RIGHT(Table245[[#This Row],[spawner_sku]],LEN(Table245[[#This Row],[spawner_sku]])-FIND("/",Table245[[#This Row],[spawner_sku]])),Table28[Entity Prefab],0)),24,1,1,"Entities"))</f>
        <v>yes</v>
      </c>
      <c r="I388" s="71">
        <v>1</v>
      </c>
      <c r="J388" s="71">
        <v>1</v>
      </c>
      <c r="K388" s="71" t="b">
        <v>0</v>
      </c>
      <c r="AI388" t="s">
        <v>242</v>
      </c>
      <c r="AJ388">
        <v>1</v>
      </c>
      <c r="AK388">
        <v>130</v>
      </c>
      <c r="AL388">
        <v>100</v>
      </c>
      <c r="AM388" s="74">
        <f ca="1">INDIRECT(ADDRESS(11+(MATCH(RIGHT(Table2[[#This Row],[spawner_sku]],LEN(Table2[[#This Row],[spawner_sku]])-FIND("/",Table2[[#This Row],[spawner_sku]])),Table1[Entity Prefab],0)),10,1,1,"Entities"))</f>
        <v>25</v>
      </c>
      <c r="AN388" s="74">
        <f ca="1">ROUND((Table2[[#This Row],[XP]]*Table2[[#This Row],[entity_spawned (AVG)]])*(Table2[[#This Row],[activating_chance]]/100),0)</f>
        <v>25</v>
      </c>
      <c r="AO388" s="71" t="str">
        <f ca="1">INDIRECT(ADDRESS(11+(MATCH(RIGHT(Table2[[#This Row],[spawner_sku]],LEN(Table2[[#This Row],[spawner_sku]])-FIND("/",Table2[[#This Row],[spawner_sku]])),Table28[Entity Prefab],0)),24,1,1,"Entities"))</f>
        <v>no</v>
      </c>
      <c r="AP388" s="71">
        <v>1</v>
      </c>
      <c r="AQ388" s="71">
        <v>1</v>
      </c>
      <c r="AR388" s="71" t="b">
        <v>0</v>
      </c>
      <c r="BP388" t="s">
        <v>241</v>
      </c>
      <c r="BQ388">
        <v>1</v>
      </c>
      <c r="BR388">
        <v>200</v>
      </c>
      <c r="BS388">
        <v>100</v>
      </c>
      <c r="BT388" s="74">
        <f ca="1">INDIRECT(ADDRESS(11+(MATCH(RIGHT(Table61011[[#This Row],[spawner_sku]],LEN(Table61011[[#This Row],[spawner_sku]])-FIND("/",Table61011[[#This Row],[spawner_sku]])),Table1[Entity Prefab],0)),10,1,1,"Entities"))</f>
        <v>70</v>
      </c>
      <c r="BU388" s="74">
        <f ca="1">ROUND((Table61011[[#This Row],[XP]]*Table61011[[#This Row],[entity_spawned (AVG)]])*(Table61011[[#This Row],[activating_chance]]/100),0)</f>
        <v>70</v>
      </c>
      <c r="BV388" s="71" t="str">
        <f ca="1">INDIRECT(ADDRESS(11+(MATCH(RIGHT(Table61011[[#This Row],[spawner_sku]],LEN(Table61011[[#This Row],[spawner_sku]])-FIND("/",Table61011[[#This Row],[spawner_sku]])),Table28[Entity Prefab],0)),24,1,1,"Entities"))</f>
        <v>yes</v>
      </c>
      <c r="BW388" s="71">
        <v>1</v>
      </c>
      <c r="BX388" s="71">
        <v>1</v>
      </c>
      <c r="BY388" s="71" t="b">
        <v>0</v>
      </c>
      <c r="BZ388" s="71"/>
      <c r="CL388" t="s">
        <v>466</v>
      </c>
      <c r="CM388">
        <v>1</v>
      </c>
      <c r="CN388">
        <v>70</v>
      </c>
      <c r="CO388">
        <v>100</v>
      </c>
      <c r="CP388" s="74">
        <f ca="1">INDIRECT(ADDRESS(11+(MATCH(RIGHT(Table11[[#This Row],[spawner_sku]],LEN(Table11[[#This Row],[spawner_sku]])-FIND("/",Table11[[#This Row],[spawner_sku]])),Table1[Entity Prefab],0)),10,1,1,"Entities"))</f>
        <v>75</v>
      </c>
      <c r="CQ388">
        <f ca="1">ROUND((Table11[[#This Row],[XP]]*Table11[[#This Row],[entity_spawned (AVG)]])*(Table11[[#This Row],[activating_chance]]/100),0)</f>
        <v>75</v>
      </c>
      <c r="CR388" s="144" t="str">
        <f ca="1">INDIRECT(ADDRESS(11+(MATCH(RIGHT(Table11[[#This Row],[spawner_sku]],LEN(Table11[[#This Row],[spawner_sku]])-FIND("/",Table11[[#This Row],[spawner_sku]])),Table28[Entity Prefab],0)),25,1,1,"Entities"))</f>
        <v>no</v>
      </c>
      <c r="CS388" s="71">
        <v>1</v>
      </c>
      <c r="CT388" s="71">
        <v>1</v>
      </c>
      <c r="CU388" s="71" t="b">
        <v>0</v>
      </c>
      <c r="DS388" t="s">
        <v>510</v>
      </c>
      <c r="DT388">
        <v>1</v>
      </c>
      <c r="DU388">
        <v>140</v>
      </c>
      <c r="DV388">
        <v>60</v>
      </c>
      <c r="DW388" s="74">
        <f ca="1">INDIRECT(ADDRESS(11+(MATCH(RIGHT(Table14[[#This Row],[spawner_sku]],LEN(Table14[[#This Row],[spawner_sku]])-FIND("/",Table14[[#This Row],[spawner_sku]])),Table1[Entity Prefab],0)),10,1,1,"Entities"))</f>
        <v>90</v>
      </c>
      <c r="DX388" s="74">
        <f ca="1">ROUND((Table14[[#This Row],[XP]]*Table14[[#This Row],[entity_spawned (AVG)]])*(Table14[[#This Row],[activating_chance]]/100),0)</f>
        <v>54</v>
      </c>
      <c r="DY388" s="144" t="str">
        <f ca="1">INDIRECT(ADDRESS(11+(MATCH(RIGHT(Table14[[#This Row],[spawner_sku]],LEN(Table14[[#This Row],[spawner_sku]])-FIND("/",Table14[[#This Row],[spawner_sku]])),Table28[Entity Prefab],0)),25,1,1,"Entities"))</f>
        <v>no</v>
      </c>
      <c r="DZ388" s="71">
        <v>1</v>
      </c>
      <c r="EA388" s="71">
        <v>1</v>
      </c>
      <c r="EB388" s="71" t="b">
        <v>0</v>
      </c>
      <c r="EC388" s="71"/>
    </row>
    <row r="389" spans="2:133" x14ac:dyDescent="0.25">
      <c r="B389" s="72" t="s">
        <v>446</v>
      </c>
      <c r="C389">
        <v>1</v>
      </c>
      <c r="D389">
        <v>240</v>
      </c>
      <c r="E389">
        <v>100</v>
      </c>
      <c r="F389" s="74">
        <f ca="1">INDIRECT(ADDRESS(11+(MATCH(RIGHT(Table245[[#This Row],[spawner_sku]],LEN(Table245[[#This Row],[spawner_sku]])-FIND("/",Table245[[#This Row],[spawner_sku]])),Table1[Entity Prefab],0)),10,1,1,"Entities"))</f>
        <v>83</v>
      </c>
      <c r="G389" s="74">
        <f ca="1">ROUND((Table245[[#This Row],[XP]]*Table245[[#This Row],[entity_spawned (AVG)]])*(Table245[[#This Row],[activating_chance]]/100),0)</f>
        <v>83</v>
      </c>
      <c r="H389" s="71" t="str">
        <f ca="1">INDIRECT(ADDRESS(11+(MATCH(RIGHT(Table245[[#This Row],[spawner_sku]],LEN(Table245[[#This Row],[spawner_sku]])-FIND("/",Table245[[#This Row],[spawner_sku]])),Table28[Entity Prefab],0)),24,1,1,"Entities"))</f>
        <v>yes</v>
      </c>
      <c r="I389" s="71">
        <v>1</v>
      </c>
      <c r="J389" s="71">
        <v>1</v>
      </c>
      <c r="K389" s="71" t="b">
        <v>0</v>
      </c>
      <c r="AI389" t="s">
        <v>242</v>
      </c>
      <c r="AJ389">
        <v>1</v>
      </c>
      <c r="AK389">
        <v>170</v>
      </c>
      <c r="AL389">
        <v>60</v>
      </c>
      <c r="AM389" s="74">
        <f ca="1">INDIRECT(ADDRESS(11+(MATCH(RIGHT(Table2[[#This Row],[spawner_sku]],LEN(Table2[[#This Row],[spawner_sku]])-FIND("/",Table2[[#This Row],[spawner_sku]])),Table1[Entity Prefab],0)),10,1,1,"Entities"))</f>
        <v>25</v>
      </c>
      <c r="AN389" s="74">
        <f ca="1">ROUND((Table2[[#This Row],[XP]]*Table2[[#This Row],[entity_spawned (AVG)]])*(Table2[[#This Row],[activating_chance]]/100),0)</f>
        <v>15</v>
      </c>
      <c r="AO389" s="71" t="str">
        <f ca="1">INDIRECT(ADDRESS(11+(MATCH(RIGHT(Table2[[#This Row],[spawner_sku]],LEN(Table2[[#This Row],[spawner_sku]])-FIND("/",Table2[[#This Row],[spawner_sku]])),Table28[Entity Prefab],0)),24,1,1,"Entities"))</f>
        <v>no</v>
      </c>
      <c r="AP389" s="71">
        <v>1</v>
      </c>
      <c r="AQ389" s="71">
        <v>1</v>
      </c>
      <c r="AR389" s="71" t="b">
        <v>0</v>
      </c>
      <c r="BP389" t="s">
        <v>241</v>
      </c>
      <c r="BQ389">
        <v>1</v>
      </c>
      <c r="BR389">
        <v>170</v>
      </c>
      <c r="BS389">
        <v>100</v>
      </c>
      <c r="BT389" s="74">
        <f ca="1">INDIRECT(ADDRESS(11+(MATCH(RIGHT(Table61011[[#This Row],[spawner_sku]],LEN(Table61011[[#This Row],[spawner_sku]])-FIND("/",Table61011[[#This Row],[spawner_sku]])),Table1[Entity Prefab],0)),10,1,1,"Entities"))</f>
        <v>70</v>
      </c>
      <c r="BU389" s="74">
        <f ca="1">ROUND((Table61011[[#This Row],[XP]]*Table61011[[#This Row],[entity_spawned (AVG)]])*(Table61011[[#This Row],[activating_chance]]/100),0)</f>
        <v>70</v>
      </c>
      <c r="BV389" s="71" t="str">
        <f ca="1">INDIRECT(ADDRESS(11+(MATCH(RIGHT(Table61011[[#This Row],[spawner_sku]],LEN(Table61011[[#This Row],[spawner_sku]])-FIND("/",Table61011[[#This Row],[spawner_sku]])),Table28[Entity Prefab],0)),24,1,1,"Entities"))</f>
        <v>yes</v>
      </c>
      <c r="BW389" s="71">
        <v>1</v>
      </c>
      <c r="BX389" s="71">
        <v>1</v>
      </c>
      <c r="BY389" s="71" t="b">
        <v>0</v>
      </c>
      <c r="BZ389" s="71"/>
      <c r="CL389" t="s">
        <v>466</v>
      </c>
      <c r="CM389">
        <v>1</v>
      </c>
      <c r="CN389">
        <v>70</v>
      </c>
      <c r="CO389">
        <v>100</v>
      </c>
      <c r="CP389" s="74">
        <f ca="1">INDIRECT(ADDRESS(11+(MATCH(RIGHT(Table11[[#This Row],[spawner_sku]],LEN(Table11[[#This Row],[spawner_sku]])-FIND("/",Table11[[#This Row],[spawner_sku]])),Table1[Entity Prefab],0)),10,1,1,"Entities"))</f>
        <v>75</v>
      </c>
      <c r="CQ389">
        <f ca="1">ROUND((Table11[[#This Row],[XP]]*Table11[[#This Row],[entity_spawned (AVG)]])*(Table11[[#This Row],[activating_chance]]/100),0)</f>
        <v>75</v>
      </c>
      <c r="CR389" s="144" t="str">
        <f ca="1">INDIRECT(ADDRESS(11+(MATCH(RIGHT(Table11[[#This Row],[spawner_sku]],LEN(Table11[[#This Row],[spawner_sku]])-FIND("/",Table11[[#This Row],[spawner_sku]])),Table28[Entity Prefab],0)),25,1,1,"Entities"))</f>
        <v>no</v>
      </c>
      <c r="CS389" s="71">
        <v>1</v>
      </c>
      <c r="CT389" s="71">
        <v>1</v>
      </c>
      <c r="CU389" s="71" t="b">
        <v>0</v>
      </c>
      <c r="DS389" t="s">
        <v>510</v>
      </c>
      <c r="DT389">
        <v>1</v>
      </c>
      <c r="DU389">
        <v>140</v>
      </c>
      <c r="DV389">
        <v>100</v>
      </c>
      <c r="DW389" s="74">
        <f ca="1">INDIRECT(ADDRESS(11+(MATCH(RIGHT(Table14[[#This Row],[spawner_sku]],LEN(Table14[[#This Row],[spawner_sku]])-FIND("/",Table14[[#This Row],[spawner_sku]])),Table1[Entity Prefab],0)),10,1,1,"Entities"))</f>
        <v>90</v>
      </c>
      <c r="DX389" s="74">
        <f ca="1">ROUND((Table14[[#This Row],[XP]]*Table14[[#This Row],[entity_spawned (AVG)]])*(Table14[[#This Row],[activating_chance]]/100),0)</f>
        <v>90</v>
      </c>
      <c r="DY389" s="144" t="str">
        <f ca="1">INDIRECT(ADDRESS(11+(MATCH(RIGHT(Table14[[#This Row],[spawner_sku]],LEN(Table14[[#This Row],[spawner_sku]])-FIND("/",Table14[[#This Row],[spawner_sku]])),Table28[Entity Prefab],0)),25,1,1,"Entities"))</f>
        <v>no</v>
      </c>
      <c r="DZ389" s="71">
        <v>1</v>
      </c>
      <c r="EA389" s="71">
        <v>1</v>
      </c>
      <c r="EB389" s="71" t="b">
        <v>0</v>
      </c>
      <c r="EC389" s="71"/>
    </row>
    <row r="390" spans="2:133" x14ac:dyDescent="0.25">
      <c r="B390" s="72" t="s">
        <v>446</v>
      </c>
      <c r="C390">
        <v>1</v>
      </c>
      <c r="D390">
        <v>240</v>
      </c>
      <c r="E390">
        <v>100</v>
      </c>
      <c r="F390" s="74">
        <f ca="1">INDIRECT(ADDRESS(11+(MATCH(RIGHT(Table245[[#This Row],[spawner_sku]],LEN(Table245[[#This Row],[spawner_sku]])-FIND("/",Table245[[#This Row],[spawner_sku]])),Table1[Entity Prefab],0)),10,1,1,"Entities"))</f>
        <v>83</v>
      </c>
      <c r="G390" s="74">
        <f ca="1">ROUND((Table245[[#This Row],[XP]]*Table245[[#This Row],[entity_spawned (AVG)]])*(Table245[[#This Row],[activating_chance]]/100),0)</f>
        <v>83</v>
      </c>
      <c r="H390" s="71" t="str">
        <f ca="1">INDIRECT(ADDRESS(11+(MATCH(RIGHT(Table245[[#This Row],[spawner_sku]],LEN(Table245[[#This Row],[spawner_sku]])-FIND("/",Table245[[#This Row],[spawner_sku]])),Table28[Entity Prefab],0)),24,1,1,"Entities"))</f>
        <v>yes</v>
      </c>
      <c r="I390" s="71">
        <v>1</v>
      </c>
      <c r="J390" s="71">
        <v>1</v>
      </c>
      <c r="K390" s="71" t="b">
        <v>0</v>
      </c>
      <c r="AI390" t="s">
        <v>242</v>
      </c>
      <c r="AJ390">
        <v>1</v>
      </c>
      <c r="AK390">
        <v>110</v>
      </c>
      <c r="AL390">
        <v>100</v>
      </c>
      <c r="AM390" s="74">
        <f ca="1">INDIRECT(ADDRESS(11+(MATCH(RIGHT(Table2[[#This Row],[spawner_sku]],LEN(Table2[[#This Row],[spawner_sku]])-FIND("/",Table2[[#This Row],[spawner_sku]])),Table1[Entity Prefab],0)),10,1,1,"Entities"))</f>
        <v>25</v>
      </c>
      <c r="AN390" s="74">
        <f ca="1">ROUND((Table2[[#This Row],[XP]]*Table2[[#This Row],[entity_spawned (AVG)]])*(Table2[[#This Row],[activating_chance]]/100),0)</f>
        <v>25</v>
      </c>
      <c r="AO390" s="71" t="str">
        <f ca="1">INDIRECT(ADDRESS(11+(MATCH(RIGHT(Table2[[#This Row],[spawner_sku]],LEN(Table2[[#This Row],[spawner_sku]])-FIND("/",Table2[[#This Row],[spawner_sku]])),Table28[Entity Prefab],0)),24,1,1,"Entities"))</f>
        <v>no</v>
      </c>
      <c r="AP390" s="71">
        <v>1</v>
      </c>
      <c r="AQ390" s="71">
        <v>1</v>
      </c>
      <c r="AR390" s="71" t="b">
        <v>0</v>
      </c>
      <c r="BP390" t="s">
        <v>241</v>
      </c>
      <c r="BQ390">
        <v>1</v>
      </c>
      <c r="BR390">
        <v>170</v>
      </c>
      <c r="BS390">
        <v>80</v>
      </c>
      <c r="BT390" s="74">
        <f ca="1">INDIRECT(ADDRESS(11+(MATCH(RIGHT(Table61011[[#This Row],[spawner_sku]],LEN(Table61011[[#This Row],[spawner_sku]])-FIND("/",Table61011[[#This Row],[spawner_sku]])),Table1[Entity Prefab],0)),10,1,1,"Entities"))</f>
        <v>70</v>
      </c>
      <c r="BU390" s="74">
        <f ca="1">ROUND((Table61011[[#This Row],[XP]]*Table61011[[#This Row],[entity_spawned (AVG)]])*(Table61011[[#This Row],[activating_chance]]/100),0)</f>
        <v>56</v>
      </c>
      <c r="BV390" s="71" t="str">
        <f ca="1">INDIRECT(ADDRESS(11+(MATCH(RIGHT(Table61011[[#This Row],[spawner_sku]],LEN(Table61011[[#This Row],[spawner_sku]])-FIND("/",Table61011[[#This Row],[spawner_sku]])),Table28[Entity Prefab],0)),24,1,1,"Entities"))</f>
        <v>yes</v>
      </c>
      <c r="BW390" s="71">
        <v>1</v>
      </c>
      <c r="BX390" s="71">
        <v>1</v>
      </c>
      <c r="BY390" s="71" t="b">
        <v>0</v>
      </c>
      <c r="BZ390" s="71"/>
      <c r="CL390" t="s">
        <v>466</v>
      </c>
      <c r="CM390">
        <v>1</v>
      </c>
      <c r="CN390">
        <v>70</v>
      </c>
      <c r="CO390">
        <v>100</v>
      </c>
      <c r="CP390" s="74">
        <f ca="1">INDIRECT(ADDRESS(11+(MATCH(RIGHT(Table11[[#This Row],[spawner_sku]],LEN(Table11[[#This Row],[spawner_sku]])-FIND("/",Table11[[#This Row],[spawner_sku]])),Table1[Entity Prefab],0)),10,1,1,"Entities"))</f>
        <v>75</v>
      </c>
      <c r="CQ390">
        <f ca="1">ROUND((Table11[[#This Row],[XP]]*Table11[[#This Row],[entity_spawned (AVG)]])*(Table11[[#This Row],[activating_chance]]/100),0)</f>
        <v>75</v>
      </c>
      <c r="CR390" s="144" t="str">
        <f ca="1">INDIRECT(ADDRESS(11+(MATCH(RIGHT(Table11[[#This Row],[spawner_sku]],LEN(Table11[[#This Row],[spawner_sku]])-FIND("/",Table11[[#This Row],[spawner_sku]])),Table28[Entity Prefab],0)),25,1,1,"Entities"))</f>
        <v>no</v>
      </c>
      <c r="CS390" s="71">
        <v>1</v>
      </c>
      <c r="CT390" s="71">
        <v>1</v>
      </c>
      <c r="CU390" s="71" t="b">
        <v>0</v>
      </c>
      <c r="DS390" t="s">
        <v>510</v>
      </c>
      <c r="DT390">
        <v>1</v>
      </c>
      <c r="DU390">
        <v>140</v>
      </c>
      <c r="DV390">
        <v>80</v>
      </c>
      <c r="DW390" s="74">
        <f ca="1">INDIRECT(ADDRESS(11+(MATCH(RIGHT(Table14[[#This Row],[spawner_sku]],LEN(Table14[[#This Row],[spawner_sku]])-FIND("/",Table14[[#This Row],[spawner_sku]])),Table1[Entity Prefab],0)),10,1,1,"Entities"))</f>
        <v>90</v>
      </c>
      <c r="DX390" s="74">
        <f ca="1">ROUND((Table14[[#This Row],[XP]]*Table14[[#This Row],[entity_spawned (AVG)]])*(Table14[[#This Row],[activating_chance]]/100),0)</f>
        <v>72</v>
      </c>
      <c r="DY390" s="144" t="str">
        <f ca="1">INDIRECT(ADDRESS(11+(MATCH(RIGHT(Table14[[#This Row],[spawner_sku]],LEN(Table14[[#This Row],[spawner_sku]])-FIND("/",Table14[[#This Row],[spawner_sku]])),Table28[Entity Prefab],0)),25,1,1,"Entities"))</f>
        <v>no</v>
      </c>
      <c r="DZ390" s="71">
        <v>1</v>
      </c>
      <c r="EA390" s="71">
        <v>1</v>
      </c>
      <c r="EB390" s="71" t="b">
        <v>0</v>
      </c>
      <c r="EC390" s="71"/>
    </row>
    <row r="391" spans="2:133" x14ac:dyDescent="0.25">
      <c r="B391" s="72" t="s">
        <v>447</v>
      </c>
      <c r="C391">
        <v>1</v>
      </c>
      <c r="D391">
        <v>260</v>
      </c>
      <c r="E391">
        <v>100</v>
      </c>
      <c r="F391" s="74">
        <f ca="1">INDIRECT(ADDRESS(11+(MATCH(RIGHT(Table245[[#This Row],[spawner_sku]],LEN(Table245[[#This Row],[spawner_sku]])-FIND("/",Table245[[#This Row],[spawner_sku]])),Table1[Entity Prefab],0)),10,1,1,"Entities"))</f>
        <v>105</v>
      </c>
      <c r="G391" s="74">
        <f ca="1">ROUND((Table245[[#This Row],[XP]]*Table245[[#This Row],[entity_spawned (AVG)]])*(Table245[[#This Row],[activating_chance]]/100),0)</f>
        <v>105</v>
      </c>
      <c r="H391" s="71" t="str">
        <f ca="1">INDIRECT(ADDRESS(11+(MATCH(RIGHT(Table245[[#This Row],[spawner_sku]],LEN(Table245[[#This Row],[spawner_sku]])-FIND("/",Table245[[#This Row],[spawner_sku]])),Table28[Entity Prefab],0)),24,1,1,"Entities"))</f>
        <v>yes</v>
      </c>
      <c r="I391" s="71">
        <v>1</v>
      </c>
      <c r="J391" s="71">
        <v>1</v>
      </c>
      <c r="K391" s="71" t="b">
        <v>0</v>
      </c>
      <c r="AI391" t="s">
        <v>242</v>
      </c>
      <c r="AJ391">
        <v>1</v>
      </c>
      <c r="AK391">
        <v>170</v>
      </c>
      <c r="AL391">
        <v>90</v>
      </c>
      <c r="AM391" s="74">
        <f ca="1">INDIRECT(ADDRESS(11+(MATCH(RIGHT(Table2[[#This Row],[spawner_sku]],LEN(Table2[[#This Row],[spawner_sku]])-FIND("/",Table2[[#This Row],[spawner_sku]])),Table1[Entity Prefab],0)),10,1,1,"Entities"))</f>
        <v>25</v>
      </c>
      <c r="AN391" s="74">
        <f ca="1">ROUND((Table2[[#This Row],[XP]]*Table2[[#This Row],[entity_spawned (AVG)]])*(Table2[[#This Row],[activating_chance]]/100),0)</f>
        <v>23</v>
      </c>
      <c r="AO391" s="71" t="str">
        <f ca="1">INDIRECT(ADDRESS(11+(MATCH(RIGHT(Table2[[#This Row],[spawner_sku]],LEN(Table2[[#This Row],[spawner_sku]])-FIND("/",Table2[[#This Row],[spawner_sku]])),Table28[Entity Prefab],0)),24,1,1,"Entities"))</f>
        <v>no</v>
      </c>
      <c r="AP391" s="71">
        <v>1</v>
      </c>
      <c r="AQ391" s="71">
        <v>1</v>
      </c>
      <c r="AR391" s="71" t="b">
        <v>0</v>
      </c>
      <c r="BP391" t="s">
        <v>242</v>
      </c>
      <c r="BQ391">
        <v>1</v>
      </c>
      <c r="BR391">
        <v>150</v>
      </c>
      <c r="BS391">
        <v>100</v>
      </c>
      <c r="BT391" s="74">
        <f ca="1">INDIRECT(ADDRESS(11+(MATCH(RIGHT(Table61011[[#This Row],[spawner_sku]],LEN(Table61011[[#This Row],[spawner_sku]])-FIND("/",Table61011[[#This Row],[spawner_sku]])),Table1[Entity Prefab],0)),10,1,1,"Entities"))</f>
        <v>25</v>
      </c>
      <c r="BU391" s="74">
        <f ca="1">ROUND((Table61011[[#This Row],[XP]]*Table61011[[#This Row],[entity_spawned (AVG)]])*(Table61011[[#This Row],[activating_chance]]/100),0)</f>
        <v>25</v>
      </c>
      <c r="BV391" s="71" t="str">
        <f ca="1">INDIRECT(ADDRESS(11+(MATCH(RIGHT(Table61011[[#This Row],[spawner_sku]],LEN(Table61011[[#This Row],[spawner_sku]])-FIND("/",Table61011[[#This Row],[spawner_sku]])),Table28[Entity Prefab],0)),24,1,1,"Entities"))</f>
        <v>no</v>
      </c>
      <c r="BW391" s="71">
        <v>1</v>
      </c>
      <c r="BX391" s="71">
        <v>1</v>
      </c>
      <c r="BY391" s="71" t="b">
        <v>0</v>
      </c>
      <c r="BZ391" s="71"/>
      <c r="CL391" t="s">
        <v>382</v>
      </c>
      <c r="CM391">
        <v>1</v>
      </c>
      <c r="CN391">
        <v>300</v>
      </c>
      <c r="CO391">
        <v>100</v>
      </c>
      <c r="CP391" s="74">
        <f ca="1">INDIRECT(ADDRESS(11+(MATCH(RIGHT(Table11[[#This Row],[spawner_sku]],LEN(Table11[[#This Row],[spawner_sku]])-FIND("/",Table11[[#This Row],[spawner_sku]])),Table1[Entity Prefab],0)),10,1,1,"Entities"))</f>
        <v>77</v>
      </c>
      <c r="CQ391">
        <f ca="1">ROUND((Table11[[#This Row],[XP]]*Table11[[#This Row],[entity_spawned (AVG)]])*(Table11[[#This Row],[activating_chance]]/100),0)</f>
        <v>77</v>
      </c>
      <c r="CR391" s="144" t="str">
        <f ca="1">INDIRECT(ADDRESS(11+(MATCH(RIGHT(Table11[[#This Row],[spawner_sku]],LEN(Table11[[#This Row],[spawner_sku]])-FIND("/",Table11[[#This Row],[spawner_sku]])),Table28[Entity Prefab],0)),25,1,1,"Entities"))</f>
        <v>yes</v>
      </c>
      <c r="CS391" s="71">
        <v>1</v>
      </c>
      <c r="CT391" s="71">
        <v>1</v>
      </c>
      <c r="CU391" s="71" t="b">
        <v>0</v>
      </c>
      <c r="DS391" t="s">
        <v>510</v>
      </c>
      <c r="DT391">
        <v>1</v>
      </c>
      <c r="DU391">
        <v>135</v>
      </c>
      <c r="DV391">
        <v>100</v>
      </c>
      <c r="DW391" s="74">
        <f ca="1">INDIRECT(ADDRESS(11+(MATCH(RIGHT(Table14[[#This Row],[spawner_sku]],LEN(Table14[[#This Row],[spawner_sku]])-FIND("/",Table14[[#This Row],[spawner_sku]])),Table1[Entity Prefab],0)),10,1,1,"Entities"))</f>
        <v>90</v>
      </c>
      <c r="DX391" s="74">
        <f ca="1">ROUND((Table14[[#This Row],[XP]]*Table14[[#This Row],[entity_spawned (AVG)]])*(Table14[[#This Row],[activating_chance]]/100),0)</f>
        <v>90</v>
      </c>
      <c r="DY391" s="144" t="str">
        <f ca="1">INDIRECT(ADDRESS(11+(MATCH(RIGHT(Table14[[#This Row],[spawner_sku]],LEN(Table14[[#This Row],[spawner_sku]])-FIND("/",Table14[[#This Row],[spawner_sku]])),Table28[Entity Prefab],0)),25,1,1,"Entities"))</f>
        <v>no</v>
      </c>
      <c r="DZ391" s="71">
        <v>1</v>
      </c>
      <c r="EA391" s="71">
        <v>1</v>
      </c>
      <c r="EB391" s="71" t="b">
        <v>0</v>
      </c>
      <c r="EC391" s="71"/>
    </row>
    <row r="392" spans="2:133" x14ac:dyDescent="0.25">
      <c r="B392" s="72" t="s">
        <v>447</v>
      </c>
      <c r="C392">
        <v>1</v>
      </c>
      <c r="D392">
        <v>260</v>
      </c>
      <c r="E392">
        <v>100</v>
      </c>
      <c r="F392" s="74">
        <f ca="1">INDIRECT(ADDRESS(11+(MATCH(RIGHT(Table245[[#This Row],[spawner_sku]],LEN(Table245[[#This Row],[spawner_sku]])-FIND("/",Table245[[#This Row],[spawner_sku]])),Table1[Entity Prefab],0)),10,1,1,"Entities"))</f>
        <v>105</v>
      </c>
      <c r="G392" s="74">
        <f ca="1">ROUND((Table245[[#This Row],[XP]]*Table245[[#This Row],[entity_spawned (AVG)]])*(Table245[[#This Row],[activating_chance]]/100),0)</f>
        <v>105</v>
      </c>
      <c r="H392" s="71" t="str">
        <f ca="1">INDIRECT(ADDRESS(11+(MATCH(RIGHT(Table245[[#This Row],[spawner_sku]],LEN(Table245[[#This Row],[spawner_sku]])-FIND("/",Table245[[#This Row],[spawner_sku]])),Table28[Entity Prefab],0)),24,1,1,"Entities"))</f>
        <v>yes</v>
      </c>
      <c r="I392" s="71">
        <v>1</v>
      </c>
      <c r="J392" s="71">
        <v>1</v>
      </c>
      <c r="K392" s="71" t="b">
        <v>0</v>
      </c>
      <c r="AI392" t="s">
        <v>242</v>
      </c>
      <c r="AJ392">
        <v>1</v>
      </c>
      <c r="AK392">
        <v>110</v>
      </c>
      <c r="AL392">
        <v>100</v>
      </c>
      <c r="AM392" s="74">
        <f ca="1">INDIRECT(ADDRESS(11+(MATCH(RIGHT(Table2[[#This Row],[spawner_sku]],LEN(Table2[[#This Row],[spawner_sku]])-FIND("/",Table2[[#This Row],[spawner_sku]])),Table1[Entity Prefab],0)),10,1,1,"Entities"))</f>
        <v>25</v>
      </c>
      <c r="AN392" s="74">
        <f ca="1">ROUND((Table2[[#This Row],[XP]]*Table2[[#This Row],[entity_spawned (AVG)]])*(Table2[[#This Row],[activating_chance]]/100),0)</f>
        <v>25</v>
      </c>
      <c r="AO392" s="71" t="str">
        <f ca="1">INDIRECT(ADDRESS(11+(MATCH(RIGHT(Table2[[#This Row],[spawner_sku]],LEN(Table2[[#This Row],[spawner_sku]])-FIND("/",Table2[[#This Row],[spawner_sku]])),Table28[Entity Prefab],0)),24,1,1,"Entities"))</f>
        <v>no</v>
      </c>
      <c r="AP392" s="71">
        <v>1</v>
      </c>
      <c r="AQ392" s="71">
        <v>1</v>
      </c>
      <c r="AR392" s="71" t="b">
        <v>0</v>
      </c>
      <c r="BP392" t="s">
        <v>242</v>
      </c>
      <c r="BQ392">
        <v>1</v>
      </c>
      <c r="BR392">
        <v>200</v>
      </c>
      <c r="BS392">
        <v>100</v>
      </c>
      <c r="BT392" s="74">
        <f ca="1">INDIRECT(ADDRESS(11+(MATCH(RIGHT(Table61011[[#This Row],[spawner_sku]],LEN(Table61011[[#This Row],[spawner_sku]])-FIND("/",Table61011[[#This Row],[spawner_sku]])),Table1[Entity Prefab],0)),10,1,1,"Entities"))</f>
        <v>25</v>
      </c>
      <c r="BU392" s="74">
        <f ca="1">ROUND((Table61011[[#This Row],[XP]]*Table61011[[#This Row],[entity_spawned (AVG)]])*(Table61011[[#This Row],[activating_chance]]/100),0)</f>
        <v>25</v>
      </c>
      <c r="BV392" s="71" t="str">
        <f ca="1">INDIRECT(ADDRESS(11+(MATCH(RIGHT(Table61011[[#This Row],[spawner_sku]],LEN(Table61011[[#This Row],[spawner_sku]])-FIND("/",Table61011[[#This Row],[spawner_sku]])),Table28[Entity Prefab],0)),24,1,1,"Entities"))</f>
        <v>no</v>
      </c>
      <c r="BW392" s="71">
        <v>1</v>
      </c>
      <c r="BX392" s="71">
        <v>1</v>
      </c>
      <c r="BY392" s="71" t="b">
        <v>0</v>
      </c>
      <c r="BZ392" s="71"/>
      <c r="CL392" t="s">
        <v>382</v>
      </c>
      <c r="CM392">
        <v>1</v>
      </c>
      <c r="CN392">
        <v>300</v>
      </c>
      <c r="CO392">
        <v>100</v>
      </c>
      <c r="CP392" s="74">
        <f ca="1">INDIRECT(ADDRESS(11+(MATCH(RIGHT(Table11[[#This Row],[spawner_sku]],LEN(Table11[[#This Row],[spawner_sku]])-FIND("/",Table11[[#This Row],[spawner_sku]])),Table1[Entity Prefab],0)),10,1,1,"Entities"))</f>
        <v>77</v>
      </c>
      <c r="CQ392">
        <f ca="1">ROUND((Table11[[#This Row],[XP]]*Table11[[#This Row],[entity_spawned (AVG)]])*(Table11[[#This Row],[activating_chance]]/100),0)</f>
        <v>77</v>
      </c>
      <c r="CR392" s="144" t="str">
        <f ca="1">INDIRECT(ADDRESS(11+(MATCH(RIGHT(Table11[[#This Row],[spawner_sku]],LEN(Table11[[#This Row],[spawner_sku]])-FIND("/",Table11[[#This Row],[spawner_sku]])),Table28[Entity Prefab],0)),25,1,1,"Entities"))</f>
        <v>yes</v>
      </c>
      <c r="CS392" s="71">
        <v>1</v>
      </c>
      <c r="CT392" s="71">
        <v>1</v>
      </c>
      <c r="CU392" s="71" t="b">
        <v>0</v>
      </c>
      <c r="DS392" t="s">
        <v>510</v>
      </c>
      <c r="DT392">
        <v>1</v>
      </c>
      <c r="DU392">
        <v>120</v>
      </c>
      <c r="DV392">
        <v>100</v>
      </c>
      <c r="DW392" s="74">
        <f ca="1">INDIRECT(ADDRESS(11+(MATCH(RIGHT(Table14[[#This Row],[spawner_sku]],LEN(Table14[[#This Row],[spawner_sku]])-FIND("/",Table14[[#This Row],[spawner_sku]])),Table1[Entity Prefab],0)),10,1,1,"Entities"))</f>
        <v>90</v>
      </c>
      <c r="DX392" s="74">
        <f ca="1">ROUND((Table14[[#This Row],[XP]]*Table14[[#This Row],[entity_spawned (AVG)]])*(Table14[[#This Row],[activating_chance]]/100),0)</f>
        <v>90</v>
      </c>
      <c r="DY392" s="144" t="str">
        <f ca="1">INDIRECT(ADDRESS(11+(MATCH(RIGHT(Table14[[#This Row],[spawner_sku]],LEN(Table14[[#This Row],[spawner_sku]])-FIND("/",Table14[[#This Row],[spawner_sku]])),Table28[Entity Prefab],0)),25,1,1,"Entities"))</f>
        <v>no</v>
      </c>
      <c r="DZ392" s="71">
        <v>1</v>
      </c>
      <c r="EA392" s="71">
        <v>1</v>
      </c>
      <c r="EB392" s="71" t="b">
        <v>0</v>
      </c>
      <c r="EC392" s="71"/>
    </row>
    <row r="393" spans="2:133" x14ac:dyDescent="0.25">
      <c r="B393" s="72" t="s">
        <v>447</v>
      </c>
      <c r="C393">
        <v>1</v>
      </c>
      <c r="D393">
        <v>260</v>
      </c>
      <c r="E393">
        <v>100</v>
      </c>
      <c r="F393" s="74">
        <f ca="1">INDIRECT(ADDRESS(11+(MATCH(RIGHT(Table245[[#This Row],[spawner_sku]],LEN(Table245[[#This Row],[spawner_sku]])-FIND("/",Table245[[#This Row],[spawner_sku]])),Table1[Entity Prefab],0)),10,1,1,"Entities"))</f>
        <v>105</v>
      </c>
      <c r="G393" s="74">
        <f ca="1">ROUND((Table245[[#This Row],[XP]]*Table245[[#This Row],[entity_spawned (AVG)]])*(Table245[[#This Row],[activating_chance]]/100),0)</f>
        <v>105</v>
      </c>
      <c r="H393" s="71" t="str">
        <f ca="1">INDIRECT(ADDRESS(11+(MATCH(RIGHT(Table245[[#This Row],[spawner_sku]],LEN(Table245[[#This Row],[spawner_sku]])-FIND("/",Table245[[#This Row],[spawner_sku]])),Table28[Entity Prefab],0)),24,1,1,"Entities"))</f>
        <v>yes</v>
      </c>
      <c r="I393" s="71">
        <v>1</v>
      </c>
      <c r="J393" s="71">
        <v>1</v>
      </c>
      <c r="K393" s="71" t="b">
        <v>0</v>
      </c>
      <c r="AI393" t="s">
        <v>242</v>
      </c>
      <c r="AJ393">
        <v>2</v>
      </c>
      <c r="AK393">
        <v>130</v>
      </c>
      <c r="AL393">
        <v>100</v>
      </c>
      <c r="AM393" s="74">
        <f ca="1">INDIRECT(ADDRESS(11+(MATCH(RIGHT(Table2[[#This Row],[spawner_sku]],LEN(Table2[[#This Row],[spawner_sku]])-FIND("/",Table2[[#This Row],[spawner_sku]])),Table1[Entity Prefab],0)),10,1,1,"Entities"))</f>
        <v>25</v>
      </c>
      <c r="AN393" s="74">
        <f ca="1">ROUND((Table2[[#This Row],[XP]]*Table2[[#This Row],[entity_spawned (AVG)]])*(Table2[[#This Row],[activating_chance]]/100),0)</f>
        <v>50</v>
      </c>
      <c r="AO393" s="71" t="str">
        <f ca="1">INDIRECT(ADDRESS(11+(MATCH(RIGHT(Table2[[#This Row],[spawner_sku]],LEN(Table2[[#This Row],[spawner_sku]])-FIND("/",Table2[[#This Row],[spawner_sku]])),Table28[Entity Prefab],0)),24,1,1,"Entities"))</f>
        <v>no</v>
      </c>
      <c r="AP393" s="71">
        <v>2</v>
      </c>
      <c r="AQ393" s="71">
        <v>2</v>
      </c>
      <c r="AR393" s="71" t="b">
        <v>0</v>
      </c>
      <c r="BP393" t="s">
        <v>242</v>
      </c>
      <c r="BQ393">
        <v>1</v>
      </c>
      <c r="BR393">
        <v>200</v>
      </c>
      <c r="BS393">
        <v>100</v>
      </c>
      <c r="BT393" s="74">
        <f ca="1">INDIRECT(ADDRESS(11+(MATCH(RIGHT(Table61011[[#This Row],[spawner_sku]],LEN(Table61011[[#This Row],[spawner_sku]])-FIND("/",Table61011[[#This Row],[spawner_sku]])),Table1[Entity Prefab],0)),10,1,1,"Entities"))</f>
        <v>25</v>
      </c>
      <c r="BU393" s="74">
        <f ca="1">ROUND((Table61011[[#This Row],[XP]]*Table61011[[#This Row],[entity_spawned (AVG)]])*(Table61011[[#This Row],[activating_chance]]/100),0)</f>
        <v>25</v>
      </c>
      <c r="BV393" s="71" t="str">
        <f ca="1">INDIRECT(ADDRESS(11+(MATCH(RIGHT(Table61011[[#This Row],[spawner_sku]],LEN(Table61011[[#This Row],[spawner_sku]])-FIND("/",Table61011[[#This Row],[spawner_sku]])),Table28[Entity Prefab],0)),24,1,1,"Entities"))</f>
        <v>no</v>
      </c>
      <c r="BW393" s="71">
        <v>1</v>
      </c>
      <c r="BX393" s="71">
        <v>1</v>
      </c>
      <c r="BY393" s="71" t="b">
        <v>0</v>
      </c>
      <c r="BZ393" s="71"/>
      <c r="CL393" t="s">
        <v>382</v>
      </c>
      <c r="CM393">
        <v>1</v>
      </c>
      <c r="CN393">
        <v>300</v>
      </c>
      <c r="CO393">
        <v>100</v>
      </c>
      <c r="CP393" s="74">
        <f ca="1">INDIRECT(ADDRESS(11+(MATCH(RIGHT(Table11[[#This Row],[spawner_sku]],LEN(Table11[[#This Row],[spawner_sku]])-FIND("/",Table11[[#This Row],[spawner_sku]])),Table1[Entity Prefab],0)),10,1,1,"Entities"))</f>
        <v>77</v>
      </c>
      <c r="CQ393">
        <f ca="1">ROUND((Table11[[#This Row],[XP]]*Table11[[#This Row],[entity_spawned (AVG)]])*(Table11[[#This Row],[activating_chance]]/100),0)</f>
        <v>77</v>
      </c>
      <c r="CR393" s="144" t="str">
        <f ca="1">INDIRECT(ADDRESS(11+(MATCH(RIGHT(Table11[[#This Row],[spawner_sku]],LEN(Table11[[#This Row],[spawner_sku]])-FIND("/",Table11[[#This Row],[spawner_sku]])),Table28[Entity Prefab],0)),25,1,1,"Entities"))</f>
        <v>yes</v>
      </c>
      <c r="CS393" s="71">
        <v>1</v>
      </c>
      <c r="CT393" s="71">
        <v>1</v>
      </c>
      <c r="CU393" s="71" t="b">
        <v>0</v>
      </c>
      <c r="DS393" t="s">
        <v>510</v>
      </c>
      <c r="DT393">
        <v>1</v>
      </c>
      <c r="DU393">
        <v>140</v>
      </c>
      <c r="DV393">
        <v>100</v>
      </c>
      <c r="DW393" s="74">
        <f ca="1">INDIRECT(ADDRESS(11+(MATCH(RIGHT(Table14[[#This Row],[spawner_sku]],LEN(Table14[[#This Row],[spawner_sku]])-FIND("/",Table14[[#This Row],[spawner_sku]])),Table1[Entity Prefab],0)),10,1,1,"Entities"))</f>
        <v>90</v>
      </c>
      <c r="DX393" s="74">
        <f ca="1">ROUND((Table14[[#This Row],[XP]]*Table14[[#This Row],[entity_spawned (AVG)]])*(Table14[[#This Row],[activating_chance]]/100),0)</f>
        <v>90</v>
      </c>
      <c r="DY393" s="144" t="str">
        <f ca="1">INDIRECT(ADDRESS(11+(MATCH(RIGHT(Table14[[#This Row],[spawner_sku]],LEN(Table14[[#This Row],[spawner_sku]])-FIND("/",Table14[[#This Row],[spawner_sku]])),Table28[Entity Prefab],0)),25,1,1,"Entities"))</f>
        <v>no</v>
      </c>
      <c r="DZ393" s="71">
        <v>1</v>
      </c>
      <c r="EA393" s="71">
        <v>1</v>
      </c>
      <c r="EB393" s="71" t="b">
        <v>0</v>
      </c>
      <c r="EC393" s="71"/>
    </row>
    <row r="394" spans="2:133" x14ac:dyDescent="0.25">
      <c r="B394" s="72" t="s">
        <v>447</v>
      </c>
      <c r="C394">
        <v>1</v>
      </c>
      <c r="D394">
        <v>260</v>
      </c>
      <c r="E394">
        <v>100</v>
      </c>
      <c r="F394" s="74">
        <f ca="1">INDIRECT(ADDRESS(11+(MATCH(RIGHT(Table245[[#This Row],[spawner_sku]],LEN(Table245[[#This Row],[spawner_sku]])-FIND("/",Table245[[#This Row],[spawner_sku]])),Table1[Entity Prefab],0)),10,1,1,"Entities"))</f>
        <v>105</v>
      </c>
      <c r="G394" s="74">
        <f ca="1">ROUND((Table245[[#This Row],[XP]]*Table245[[#This Row],[entity_spawned (AVG)]])*(Table245[[#This Row],[activating_chance]]/100),0)</f>
        <v>105</v>
      </c>
      <c r="H394" s="71" t="str">
        <f ca="1">INDIRECT(ADDRESS(11+(MATCH(RIGHT(Table245[[#This Row],[spawner_sku]],LEN(Table245[[#This Row],[spawner_sku]])-FIND("/",Table245[[#This Row],[spawner_sku]])),Table28[Entity Prefab],0)),24,1,1,"Entities"))</f>
        <v>yes</v>
      </c>
      <c r="I394" s="71">
        <v>1</v>
      </c>
      <c r="J394" s="71">
        <v>1</v>
      </c>
      <c r="K394" s="71" t="b">
        <v>0</v>
      </c>
      <c r="AI394" t="s">
        <v>242</v>
      </c>
      <c r="AJ394">
        <v>1</v>
      </c>
      <c r="AK394">
        <v>120</v>
      </c>
      <c r="AL394">
        <v>90</v>
      </c>
      <c r="AM394" s="74">
        <f ca="1">INDIRECT(ADDRESS(11+(MATCH(RIGHT(Table2[[#This Row],[spawner_sku]],LEN(Table2[[#This Row],[spawner_sku]])-FIND("/",Table2[[#This Row],[spawner_sku]])),Table1[Entity Prefab],0)),10,1,1,"Entities"))</f>
        <v>25</v>
      </c>
      <c r="AN394" s="74">
        <f ca="1">ROUND((Table2[[#This Row],[XP]]*Table2[[#This Row],[entity_spawned (AVG)]])*(Table2[[#This Row],[activating_chance]]/100),0)</f>
        <v>23</v>
      </c>
      <c r="AO394" s="71" t="str">
        <f ca="1">INDIRECT(ADDRESS(11+(MATCH(RIGHT(Table2[[#This Row],[spawner_sku]],LEN(Table2[[#This Row],[spawner_sku]])-FIND("/",Table2[[#This Row],[spawner_sku]])),Table28[Entity Prefab],0)),24,1,1,"Entities"))</f>
        <v>no</v>
      </c>
      <c r="AP394" s="71">
        <v>1</v>
      </c>
      <c r="AQ394" s="71">
        <v>1</v>
      </c>
      <c r="AR394" s="71" t="b">
        <v>0</v>
      </c>
      <c r="BP394" t="s">
        <v>242</v>
      </c>
      <c r="BQ394">
        <v>1</v>
      </c>
      <c r="BR394">
        <v>180</v>
      </c>
      <c r="BS394">
        <v>30</v>
      </c>
      <c r="BT394" s="74">
        <f ca="1">INDIRECT(ADDRESS(11+(MATCH(RIGHT(Table61011[[#This Row],[spawner_sku]],LEN(Table61011[[#This Row],[spawner_sku]])-FIND("/",Table61011[[#This Row],[spawner_sku]])),Table1[Entity Prefab],0)),10,1,1,"Entities"))</f>
        <v>25</v>
      </c>
      <c r="BU394" s="74">
        <f ca="1">ROUND((Table61011[[#This Row],[XP]]*Table61011[[#This Row],[entity_spawned (AVG)]])*(Table61011[[#This Row],[activating_chance]]/100),0)</f>
        <v>8</v>
      </c>
      <c r="BV394" s="71" t="str">
        <f ca="1">INDIRECT(ADDRESS(11+(MATCH(RIGHT(Table61011[[#This Row],[spawner_sku]],LEN(Table61011[[#This Row],[spawner_sku]])-FIND("/",Table61011[[#This Row],[spawner_sku]])),Table28[Entity Prefab],0)),24,1,1,"Entities"))</f>
        <v>no</v>
      </c>
      <c r="BW394" s="71">
        <v>1</v>
      </c>
      <c r="BX394" s="71">
        <v>1</v>
      </c>
      <c r="BY394" s="71" t="b">
        <v>0</v>
      </c>
      <c r="BZ394" s="71"/>
      <c r="CL394" t="s">
        <v>382</v>
      </c>
      <c r="CM394">
        <v>1</v>
      </c>
      <c r="CN394">
        <v>300</v>
      </c>
      <c r="CO394">
        <v>100</v>
      </c>
      <c r="CP394" s="74">
        <f ca="1">INDIRECT(ADDRESS(11+(MATCH(RIGHT(Table11[[#This Row],[spawner_sku]],LEN(Table11[[#This Row],[spawner_sku]])-FIND("/",Table11[[#This Row],[spawner_sku]])),Table1[Entity Prefab],0)),10,1,1,"Entities"))</f>
        <v>77</v>
      </c>
      <c r="CQ394">
        <f ca="1">ROUND((Table11[[#This Row],[XP]]*Table11[[#This Row],[entity_spawned (AVG)]])*(Table11[[#This Row],[activating_chance]]/100),0)</f>
        <v>77</v>
      </c>
      <c r="CR394" s="144" t="str">
        <f ca="1">INDIRECT(ADDRESS(11+(MATCH(RIGHT(Table11[[#This Row],[spawner_sku]],LEN(Table11[[#This Row],[spawner_sku]])-FIND("/",Table11[[#This Row],[spawner_sku]])),Table28[Entity Prefab],0)),25,1,1,"Entities"))</f>
        <v>yes</v>
      </c>
      <c r="CS394" s="71">
        <v>1</v>
      </c>
      <c r="CT394" s="71">
        <v>1</v>
      </c>
      <c r="CU394" s="71" t="b">
        <v>0</v>
      </c>
      <c r="DS394" t="s">
        <v>510</v>
      </c>
      <c r="DT394">
        <v>1.5</v>
      </c>
      <c r="DU394">
        <v>100</v>
      </c>
      <c r="DV394">
        <v>80</v>
      </c>
      <c r="DW394" s="74">
        <f ca="1">INDIRECT(ADDRESS(11+(MATCH(RIGHT(Table14[[#This Row],[spawner_sku]],LEN(Table14[[#This Row],[spawner_sku]])-FIND("/",Table14[[#This Row],[spawner_sku]])),Table1[Entity Prefab],0)),10,1,1,"Entities"))</f>
        <v>90</v>
      </c>
      <c r="DX394" s="74">
        <f ca="1">ROUND((Table14[[#This Row],[XP]]*Table14[[#This Row],[entity_spawned (AVG)]])*(Table14[[#This Row],[activating_chance]]/100),0)</f>
        <v>108</v>
      </c>
      <c r="DY394" s="144" t="str">
        <f ca="1">INDIRECT(ADDRESS(11+(MATCH(RIGHT(Table14[[#This Row],[spawner_sku]],LEN(Table14[[#This Row],[spawner_sku]])-FIND("/",Table14[[#This Row],[spawner_sku]])),Table28[Entity Prefab],0)),25,1,1,"Entities"))</f>
        <v>no</v>
      </c>
      <c r="DZ394" s="71">
        <v>1</v>
      </c>
      <c r="EA394" s="71">
        <v>2</v>
      </c>
      <c r="EB394" s="71" t="b">
        <v>0</v>
      </c>
      <c r="EC394" s="71"/>
    </row>
    <row r="395" spans="2:133" x14ac:dyDescent="0.25">
      <c r="B395" s="72" t="s">
        <v>447</v>
      </c>
      <c r="C395">
        <v>1</v>
      </c>
      <c r="D395">
        <v>260</v>
      </c>
      <c r="E395">
        <v>100</v>
      </c>
      <c r="F395" s="74">
        <f ca="1">INDIRECT(ADDRESS(11+(MATCH(RIGHT(Table245[[#This Row],[spawner_sku]],LEN(Table245[[#This Row],[spawner_sku]])-FIND("/",Table245[[#This Row],[spawner_sku]])),Table1[Entity Prefab],0)),10,1,1,"Entities"))</f>
        <v>105</v>
      </c>
      <c r="G395" s="74">
        <f ca="1">ROUND((Table245[[#This Row],[XP]]*Table245[[#This Row],[entity_spawned (AVG)]])*(Table245[[#This Row],[activating_chance]]/100),0)</f>
        <v>105</v>
      </c>
      <c r="H395" s="71" t="str">
        <f ca="1">INDIRECT(ADDRESS(11+(MATCH(RIGHT(Table245[[#This Row],[spawner_sku]],LEN(Table245[[#This Row],[spawner_sku]])-FIND("/",Table245[[#This Row],[spawner_sku]])),Table28[Entity Prefab],0)),24,1,1,"Entities"))</f>
        <v>yes</v>
      </c>
      <c r="I395" s="71">
        <v>1</v>
      </c>
      <c r="J395" s="71">
        <v>1</v>
      </c>
      <c r="K395" s="71" t="b">
        <v>0</v>
      </c>
      <c r="AI395" t="s">
        <v>242</v>
      </c>
      <c r="AJ395">
        <v>1</v>
      </c>
      <c r="AK395">
        <v>180</v>
      </c>
      <c r="AL395">
        <v>30</v>
      </c>
      <c r="AM395" s="74">
        <f ca="1">INDIRECT(ADDRESS(11+(MATCH(RIGHT(Table2[[#This Row],[spawner_sku]],LEN(Table2[[#This Row],[spawner_sku]])-FIND("/",Table2[[#This Row],[spawner_sku]])),Table1[Entity Prefab],0)),10,1,1,"Entities"))</f>
        <v>25</v>
      </c>
      <c r="AN395" s="74">
        <f ca="1">ROUND((Table2[[#This Row],[XP]]*Table2[[#This Row],[entity_spawned (AVG)]])*(Table2[[#This Row],[activating_chance]]/100),0)</f>
        <v>8</v>
      </c>
      <c r="AO395" s="71" t="str">
        <f ca="1">INDIRECT(ADDRESS(11+(MATCH(RIGHT(Table2[[#This Row],[spawner_sku]],LEN(Table2[[#This Row],[spawner_sku]])-FIND("/",Table2[[#This Row],[spawner_sku]])),Table28[Entity Prefab],0)),24,1,1,"Entities"))</f>
        <v>no</v>
      </c>
      <c r="AP395" s="71">
        <v>1</v>
      </c>
      <c r="AQ395" s="71">
        <v>1</v>
      </c>
      <c r="AR395" s="71" t="b">
        <v>0</v>
      </c>
      <c r="BP395" t="s">
        <v>242</v>
      </c>
      <c r="BQ395">
        <v>1</v>
      </c>
      <c r="BR395">
        <v>150</v>
      </c>
      <c r="BS395">
        <v>100</v>
      </c>
      <c r="BT395" s="74">
        <f ca="1">INDIRECT(ADDRESS(11+(MATCH(RIGHT(Table61011[[#This Row],[spawner_sku]],LEN(Table61011[[#This Row],[spawner_sku]])-FIND("/",Table61011[[#This Row],[spawner_sku]])),Table1[Entity Prefab],0)),10,1,1,"Entities"))</f>
        <v>25</v>
      </c>
      <c r="BU395" s="74">
        <f ca="1">ROUND((Table61011[[#This Row],[XP]]*Table61011[[#This Row],[entity_spawned (AVG)]])*(Table61011[[#This Row],[activating_chance]]/100),0)</f>
        <v>25</v>
      </c>
      <c r="BV395" s="71" t="str">
        <f ca="1">INDIRECT(ADDRESS(11+(MATCH(RIGHT(Table61011[[#This Row],[spawner_sku]],LEN(Table61011[[#This Row],[spawner_sku]])-FIND("/",Table61011[[#This Row],[spawner_sku]])),Table28[Entity Prefab],0)),24,1,1,"Entities"))</f>
        <v>no</v>
      </c>
      <c r="BW395" s="71">
        <v>1</v>
      </c>
      <c r="BX395" s="71">
        <v>1</v>
      </c>
      <c r="BY395" s="71" t="b">
        <v>0</v>
      </c>
      <c r="BZ395" s="71"/>
      <c r="CL395" t="s">
        <v>429</v>
      </c>
      <c r="CM395">
        <v>1</v>
      </c>
      <c r="CN395">
        <v>300</v>
      </c>
      <c r="CO395">
        <v>60</v>
      </c>
      <c r="CP395" s="74">
        <f ca="1">INDIRECT(ADDRESS(11+(MATCH(RIGHT(Table11[[#This Row],[spawner_sku]],LEN(Table11[[#This Row],[spawner_sku]])-FIND("/",Table11[[#This Row],[spawner_sku]])),Table1[Entity Prefab],0)),10,1,1,"Entities"))</f>
        <v>77</v>
      </c>
      <c r="CQ395">
        <f ca="1">ROUND((Table11[[#This Row],[XP]]*Table11[[#This Row],[entity_spawned (AVG)]])*(Table11[[#This Row],[activating_chance]]/100),0)</f>
        <v>46</v>
      </c>
      <c r="CR395" s="144" t="str">
        <f ca="1">INDIRECT(ADDRESS(11+(MATCH(RIGHT(Table11[[#This Row],[spawner_sku]],LEN(Table11[[#This Row],[spawner_sku]])-FIND("/",Table11[[#This Row],[spawner_sku]])),Table28[Entity Prefab],0)),25,1,1,"Entities"))</f>
        <v>yes</v>
      </c>
      <c r="CS395" s="71">
        <v>1</v>
      </c>
      <c r="CT395" s="71">
        <v>1</v>
      </c>
      <c r="CU395" s="71" t="b">
        <v>0</v>
      </c>
      <c r="DS395" t="s">
        <v>510</v>
      </c>
      <c r="DT395">
        <v>1</v>
      </c>
      <c r="DU395">
        <v>140</v>
      </c>
      <c r="DV395">
        <v>100</v>
      </c>
      <c r="DW395" s="74">
        <f ca="1">INDIRECT(ADDRESS(11+(MATCH(RIGHT(Table14[[#This Row],[spawner_sku]],LEN(Table14[[#This Row],[spawner_sku]])-FIND("/",Table14[[#This Row],[spawner_sku]])),Table1[Entity Prefab],0)),10,1,1,"Entities"))</f>
        <v>90</v>
      </c>
      <c r="DX395" s="74">
        <f ca="1">ROUND((Table14[[#This Row],[XP]]*Table14[[#This Row],[entity_spawned (AVG)]])*(Table14[[#This Row],[activating_chance]]/100),0)</f>
        <v>90</v>
      </c>
      <c r="DY395" s="144" t="str">
        <f ca="1">INDIRECT(ADDRESS(11+(MATCH(RIGHT(Table14[[#This Row],[spawner_sku]],LEN(Table14[[#This Row],[spawner_sku]])-FIND("/",Table14[[#This Row],[spawner_sku]])),Table28[Entity Prefab],0)),25,1,1,"Entities"))</f>
        <v>no</v>
      </c>
      <c r="DZ395" s="71">
        <v>1</v>
      </c>
      <c r="EA395" s="71">
        <v>1</v>
      </c>
      <c r="EB395" s="71" t="b">
        <v>0</v>
      </c>
      <c r="EC395" s="71"/>
    </row>
    <row r="396" spans="2:133" x14ac:dyDescent="0.25">
      <c r="B396" s="72" t="s">
        <v>447</v>
      </c>
      <c r="C396">
        <v>1</v>
      </c>
      <c r="D396">
        <v>260</v>
      </c>
      <c r="E396">
        <v>100</v>
      </c>
      <c r="F396" s="74">
        <f ca="1">INDIRECT(ADDRESS(11+(MATCH(RIGHT(Table245[[#This Row],[spawner_sku]],LEN(Table245[[#This Row],[spawner_sku]])-FIND("/",Table245[[#This Row],[spawner_sku]])),Table1[Entity Prefab],0)),10,1,1,"Entities"))</f>
        <v>105</v>
      </c>
      <c r="G396" s="74">
        <f ca="1">ROUND((Table245[[#This Row],[XP]]*Table245[[#This Row],[entity_spawned (AVG)]])*(Table245[[#This Row],[activating_chance]]/100),0)</f>
        <v>105</v>
      </c>
      <c r="H396" s="71" t="str">
        <f ca="1">INDIRECT(ADDRESS(11+(MATCH(RIGHT(Table245[[#This Row],[spawner_sku]],LEN(Table245[[#This Row],[spawner_sku]])-FIND("/",Table245[[#This Row],[spawner_sku]])),Table28[Entity Prefab],0)),24,1,1,"Entities"))</f>
        <v>yes</v>
      </c>
      <c r="I396" s="71">
        <v>1</v>
      </c>
      <c r="J396" s="71">
        <v>1</v>
      </c>
      <c r="K396" s="71" t="b">
        <v>0</v>
      </c>
      <c r="AI396" t="s">
        <v>242</v>
      </c>
      <c r="AJ396">
        <v>1</v>
      </c>
      <c r="AK396">
        <v>170</v>
      </c>
      <c r="AL396">
        <v>90</v>
      </c>
      <c r="AM396" s="74">
        <f ca="1">INDIRECT(ADDRESS(11+(MATCH(RIGHT(Table2[[#This Row],[spawner_sku]],LEN(Table2[[#This Row],[spawner_sku]])-FIND("/",Table2[[#This Row],[spawner_sku]])),Table1[Entity Prefab],0)),10,1,1,"Entities"))</f>
        <v>25</v>
      </c>
      <c r="AN396" s="74">
        <f ca="1">ROUND((Table2[[#This Row],[XP]]*Table2[[#This Row],[entity_spawned (AVG)]])*(Table2[[#This Row],[activating_chance]]/100),0)</f>
        <v>23</v>
      </c>
      <c r="AO396" s="71" t="str">
        <f ca="1">INDIRECT(ADDRESS(11+(MATCH(RIGHT(Table2[[#This Row],[spawner_sku]],LEN(Table2[[#This Row],[spawner_sku]])-FIND("/",Table2[[#This Row],[spawner_sku]])),Table28[Entity Prefab],0)),24,1,1,"Entities"))</f>
        <v>no</v>
      </c>
      <c r="AP396" s="71">
        <v>1</v>
      </c>
      <c r="AQ396" s="71">
        <v>1</v>
      </c>
      <c r="AR396" s="71" t="b">
        <v>0</v>
      </c>
      <c r="BP396" t="s">
        <v>242</v>
      </c>
      <c r="BQ396">
        <v>2</v>
      </c>
      <c r="BR396">
        <v>200</v>
      </c>
      <c r="BS396">
        <v>60</v>
      </c>
      <c r="BT396" s="74">
        <f ca="1">INDIRECT(ADDRESS(11+(MATCH(RIGHT(Table61011[[#This Row],[spawner_sku]],LEN(Table61011[[#This Row],[spawner_sku]])-FIND("/",Table61011[[#This Row],[spawner_sku]])),Table1[Entity Prefab],0)),10,1,1,"Entities"))</f>
        <v>25</v>
      </c>
      <c r="BU396" s="74">
        <f ca="1">ROUND((Table61011[[#This Row],[XP]]*Table61011[[#This Row],[entity_spawned (AVG)]])*(Table61011[[#This Row],[activating_chance]]/100),0)</f>
        <v>30</v>
      </c>
      <c r="BV396" s="71" t="str">
        <f ca="1">INDIRECT(ADDRESS(11+(MATCH(RIGHT(Table61011[[#This Row],[spawner_sku]],LEN(Table61011[[#This Row],[spawner_sku]])-FIND("/",Table61011[[#This Row],[spawner_sku]])),Table28[Entity Prefab],0)),24,1,1,"Entities"))</f>
        <v>no</v>
      </c>
      <c r="BW396" s="71">
        <v>2</v>
      </c>
      <c r="BX396" s="71">
        <v>2</v>
      </c>
      <c r="BY396" s="71" t="b">
        <v>0</v>
      </c>
      <c r="BZ396" s="71"/>
      <c r="CL396" t="s">
        <v>429</v>
      </c>
      <c r="CM396">
        <v>1</v>
      </c>
      <c r="CN396">
        <v>300</v>
      </c>
      <c r="CO396">
        <v>100</v>
      </c>
      <c r="CP396" s="74">
        <f ca="1">INDIRECT(ADDRESS(11+(MATCH(RIGHT(Table11[[#This Row],[spawner_sku]],LEN(Table11[[#This Row],[spawner_sku]])-FIND("/",Table11[[#This Row],[spawner_sku]])),Table1[Entity Prefab],0)),10,1,1,"Entities"))</f>
        <v>77</v>
      </c>
      <c r="CQ396">
        <f ca="1">ROUND((Table11[[#This Row],[XP]]*Table11[[#This Row],[entity_spawned (AVG)]])*(Table11[[#This Row],[activating_chance]]/100),0)</f>
        <v>77</v>
      </c>
      <c r="CR396" s="144" t="str">
        <f ca="1">INDIRECT(ADDRESS(11+(MATCH(RIGHT(Table11[[#This Row],[spawner_sku]],LEN(Table11[[#This Row],[spawner_sku]])-FIND("/",Table11[[#This Row],[spawner_sku]])),Table28[Entity Prefab],0)),25,1,1,"Entities"))</f>
        <v>yes</v>
      </c>
      <c r="CS396" s="71">
        <v>1</v>
      </c>
      <c r="CT396" s="71">
        <v>1</v>
      </c>
      <c r="CU396" s="71" t="b">
        <v>0</v>
      </c>
      <c r="DS396" t="s">
        <v>510</v>
      </c>
      <c r="DT396">
        <v>1</v>
      </c>
      <c r="DU396">
        <v>140</v>
      </c>
      <c r="DV396">
        <v>100</v>
      </c>
      <c r="DW396" s="74">
        <f ca="1">INDIRECT(ADDRESS(11+(MATCH(RIGHT(Table14[[#This Row],[spawner_sku]],LEN(Table14[[#This Row],[spawner_sku]])-FIND("/",Table14[[#This Row],[spawner_sku]])),Table1[Entity Prefab],0)),10,1,1,"Entities"))</f>
        <v>90</v>
      </c>
      <c r="DX396" s="74">
        <f ca="1">ROUND((Table14[[#This Row],[XP]]*Table14[[#This Row],[entity_spawned (AVG)]])*(Table14[[#This Row],[activating_chance]]/100),0)</f>
        <v>90</v>
      </c>
      <c r="DY396" s="144" t="str">
        <f ca="1">INDIRECT(ADDRESS(11+(MATCH(RIGHT(Table14[[#This Row],[spawner_sku]],LEN(Table14[[#This Row],[spawner_sku]])-FIND("/",Table14[[#This Row],[spawner_sku]])),Table28[Entity Prefab],0)),25,1,1,"Entities"))</f>
        <v>no</v>
      </c>
      <c r="DZ396" s="71">
        <v>1</v>
      </c>
      <c r="EA396" s="71">
        <v>1</v>
      </c>
      <c r="EB396" s="71" t="b">
        <v>0</v>
      </c>
      <c r="EC396" s="71"/>
    </row>
    <row r="397" spans="2:133" x14ac:dyDescent="0.25">
      <c r="B397" s="72" t="s">
        <v>448</v>
      </c>
      <c r="C397">
        <v>1</v>
      </c>
      <c r="D397">
        <v>280</v>
      </c>
      <c r="E397">
        <v>100</v>
      </c>
      <c r="F397" s="74">
        <f ca="1">INDIRECT(ADDRESS(11+(MATCH(RIGHT(Table245[[#This Row],[spawner_sku]],LEN(Table245[[#This Row],[spawner_sku]])-FIND("/",Table245[[#This Row],[spawner_sku]])),Table1[Entity Prefab],0)),10,1,1,"Entities"))</f>
        <v>143</v>
      </c>
      <c r="G397" s="74">
        <f ca="1">ROUND((Table245[[#This Row],[XP]]*Table245[[#This Row],[entity_spawned (AVG)]])*(Table245[[#This Row],[activating_chance]]/100),0)</f>
        <v>143</v>
      </c>
      <c r="H397" s="71" t="str">
        <f ca="1">INDIRECT(ADDRESS(11+(MATCH(RIGHT(Table245[[#This Row],[spawner_sku]],LEN(Table245[[#This Row],[spawner_sku]])-FIND("/",Table245[[#This Row],[spawner_sku]])),Table28[Entity Prefab],0)),24,1,1,"Entities"))</f>
        <v>yes</v>
      </c>
      <c r="I397" s="71">
        <v>1</v>
      </c>
      <c r="J397" s="71">
        <v>1</v>
      </c>
      <c r="K397" s="71" t="b">
        <v>0</v>
      </c>
      <c r="AI397" t="s">
        <v>242</v>
      </c>
      <c r="AJ397">
        <v>1</v>
      </c>
      <c r="AK397">
        <v>170</v>
      </c>
      <c r="AL397">
        <v>80</v>
      </c>
      <c r="AM397" s="74">
        <f ca="1">INDIRECT(ADDRESS(11+(MATCH(RIGHT(Table2[[#This Row],[spawner_sku]],LEN(Table2[[#This Row],[spawner_sku]])-FIND("/",Table2[[#This Row],[spawner_sku]])),Table1[Entity Prefab],0)),10,1,1,"Entities"))</f>
        <v>25</v>
      </c>
      <c r="AN397" s="74">
        <f ca="1">ROUND((Table2[[#This Row],[XP]]*Table2[[#This Row],[entity_spawned (AVG)]])*(Table2[[#This Row],[activating_chance]]/100),0)</f>
        <v>20</v>
      </c>
      <c r="AO397" s="71" t="str">
        <f ca="1">INDIRECT(ADDRESS(11+(MATCH(RIGHT(Table2[[#This Row],[spawner_sku]],LEN(Table2[[#This Row],[spawner_sku]])-FIND("/",Table2[[#This Row],[spawner_sku]])),Table28[Entity Prefab],0)),24,1,1,"Entities"))</f>
        <v>no</v>
      </c>
      <c r="AP397" s="71">
        <v>1</v>
      </c>
      <c r="AQ397" s="71">
        <v>1</v>
      </c>
      <c r="AR397" s="71" t="b">
        <v>0</v>
      </c>
      <c r="BP397" t="s">
        <v>242</v>
      </c>
      <c r="BQ397">
        <v>1</v>
      </c>
      <c r="BR397">
        <v>200</v>
      </c>
      <c r="BS397">
        <v>30</v>
      </c>
      <c r="BT397" s="74">
        <f ca="1">INDIRECT(ADDRESS(11+(MATCH(RIGHT(Table61011[[#This Row],[spawner_sku]],LEN(Table61011[[#This Row],[spawner_sku]])-FIND("/",Table61011[[#This Row],[spawner_sku]])),Table1[Entity Prefab],0)),10,1,1,"Entities"))</f>
        <v>25</v>
      </c>
      <c r="BU397" s="74">
        <f ca="1">ROUND((Table61011[[#This Row],[XP]]*Table61011[[#This Row],[entity_spawned (AVG)]])*(Table61011[[#This Row],[activating_chance]]/100),0)</f>
        <v>8</v>
      </c>
      <c r="BV397" s="71" t="str">
        <f ca="1">INDIRECT(ADDRESS(11+(MATCH(RIGHT(Table61011[[#This Row],[spawner_sku]],LEN(Table61011[[#This Row],[spawner_sku]])-FIND("/",Table61011[[#This Row],[spawner_sku]])),Table28[Entity Prefab],0)),24,1,1,"Entities"))</f>
        <v>no</v>
      </c>
      <c r="BW397" s="71">
        <v>1</v>
      </c>
      <c r="BX397" s="71">
        <v>1</v>
      </c>
      <c r="BY397" s="71" t="b">
        <v>0</v>
      </c>
      <c r="BZ397" s="71"/>
      <c r="CL397" t="s">
        <v>429</v>
      </c>
      <c r="CM397">
        <v>1</v>
      </c>
      <c r="CN397">
        <v>300</v>
      </c>
      <c r="CO397">
        <v>100</v>
      </c>
      <c r="CP397" s="74">
        <f ca="1">INDIRECT(ADDRESS(11+(MATCH(RIGHT(Table11[[#This Row],[spawner_sku]],LEN(Table11[[#This Row],[spawner_sku]])-FIND("/",Table11[[#This Row],[spawner_sku]])),Table1[Entity Prefab],0)),10,1,1,"Entities"))</f>
        <v>77</v>
      </c>
      <c r="CQ397">
        <f ca="1">ROUND((Table11[[#This Row],[XP]]*Table11[[#This Row],[entity_spawned (AVG)]])*(Table11[[#This Row],[activating_chance]]/100),0)</f>
        <v>77</v>
      </c>
      <c r="CR397" s="144" t="str">
        <f ca="1">INDIRECT(ADDRESS(11+(MATCH(RIGHT(Table11[[#This Row],[spawner_sku]],LEN(Table11[[#This Row],[spawner_sku]])-FIND("/",Table11[[#This Row],[spawner_sku]])),Table28[Entity Prefab],0)),25,1,1,"Entities"))</f>
        <v>yes</v>
      </c>
      <c r="CS397" s="71">
        <v>1</v>
      </c>
      <c r="CT397" s="71">
        <v>1</v>
      </c>
      <c r="CU397" s="71" t="b">
        <v>0</v>
      </c>
      <c r="DS397" t="s">
        <v>510</v>
      </c>
      <c r="DT397">
        <v>1</v>
      </c>
      <c r="DU397">
        <v>140</v>
      </c>
      <c r="DV397">
        <v>100</v>
      </c>
      <c r="DW397" s="74">
        <f ca="1">INDIRECT(ADDRESS(11+(MATCH(RIGHT(Table14[[#This Row],[spawner_sku]],LEN(Table14[[#This Row],[spawner_sku]])-FIND("/",Table14[[#This Row],[spawner_sku]])),Table1[Entity Prefab],0)),10,1,1,"Entities"))</f>
        <v>90</v>
      </c>
      <c r="DX397" s="74">
        <f ca="1">ROUND((Table14[[#This Row],[XP]]*Table14[[#This Row],[entity_spawned (AVG)]])*(Table14[[#This Row],[activating_chance]]/100),0)</f>
        <v>90</v>
      </c>
      <c r="DY397" s="144" t="str">
        <f ca="1">INDIRECT(ADDRESS(11+(MATCH(RIGHT(Table14[[#This Row],[spawner_sku]],LEN(Table14[[#This Row],[spawner_sku]])-FIND("/",Table14[[#This Row],[spawner_sku]])),Table28[Entity Prefab],0)),25,1,1,"Entities"))</f>
        <v>no</v>
      </c>
      <c r="DZ397" s="71">
        <v>1</v>
      </c>
      <c r="EA397" s="71">
        <v>1</v>
      </c>
      <c r="EB397" s="71" t="b">
        <v>0</v>
      </c>
      <c r="EC397" s="71"/>
    </row>
    <row r="398" spans="2:133" x14ac:dyDescent="0.25">
      <c r="B398" s="72" t="s">
        <v>448</v>
      </c>
      <c r="C398">
        <v>1</v>
      </c>
      <c r="D398">
        <v>280</v>
      </c>
      <c r="E398">
        <v>100</v>
      </c>
      <c r="F398" s="74">
        <f ca="1">INDIRECT(ADDRESS(11+(MATCH(RIGHT(Table245[[#This Row],[spawner_sku]],LEN(Table245[[#This Row],[spawner_sku]])-FIND("/",Table245[[#This Row],[spawner_sku]])),Table1[Entity Prefab],0)),10,1,1,"Entities"))</f>
        <v>143</v>
      </c>
      <c r="G398" s="74">
        <f ca="1">ROUND((Table245[[#This Row],[XP]]*Table245[[#This Row],[entity_spawned (AVG)]])*(Table245[[#This Row],[activating_chance]]/100),0)</f>
        <v>143</v>
      </c>
      <c r="H398" s="71" t="str">
        <f ca="1">INDIRECT(ADDRESS(11+(MATCH(RIGHT(Table245[[#This Row],[spawner_sku]],LEN(Table245[[#This Row],[spawner_sku]])-FIND("/",Table245[[#This Row],[spawner_sku]])),Table28[Entity Prefab],0)),24,1,1,"Entities"))</f>
        <v>yes</v>
      </c>
      <c r="I398" s="71">
        <v>1</v>
      </c>
      <c r="J398" s="71">
        <v>1</v>
      </c>
      <c r="K398" s="71" t="b">
        <v>0</v>
      </c>
      <c r="AI398" t="s">
        <v>242</v>
      </c>
      <c r="AJ398">
        <v>1</v>
      </c>
      <c r="AK398">
        <v>170</v>
      </c>
      <c r="AL398">
        <v>90</v>
      </c>
      <c r="AM398" s="74">
        <f ca="1">INDIRECT(ADDRESS(11+(MATCH(RIGHT(Table2[[#This Row],[spawner_sku]],LEN(Table2[[#This Row],[spawner_sku]])-FIND("/",Table2[[#This Row],[spawner_sku]])),Table1[Entity Prefab],0)),10,1,1,"Entities"))</f>
        <v>25</v>
      </c>
      <c r="AN398" s="74">
        <f ca="1">ROUND((Table2[[#This Row],[XP]]*Table2[[#This Row],[entity_spawned (AVG)]])*(Table2[[#This Row],[activating_chance]]/100),0)</f>
        <v>23</v>
      </c>
      <c r="AO398" s="71" t="str">
        <f ca="1">INDIRECT(ADDRESS(11+(MATCH(RIGHT(Table2[[#This Row],[spawner_sku]],LEN(Table2[[#This Row],[spawner_sku]])-FIND("/",Table2[[#This Row],[spawner_sku]])),Table28[Entity Prefab],0)),24,1,1,"Entities"))</f>
        <v>no</v>
      </c>
      <c r="AP398" s="71">
        <v>1</v>
      </c>
      <c r="AQ398" s="71">
        <v>1</v>
      </c>
      <c r="AR398" s="71" t="b">
        <v>0</v>
      </c>
      <c r="BP398" t="s">
        <v>242</v>
      </c>
      <c r="BQ398">
        <v>1</v>
      </c>
      <c r="BR398">
        <v>180</v>
      </c>
      <c r="BS398">
        <v>100</v>
      </c>
      <c r="BT398" s="74">
        <f ca="1">INDIRECT(ADDRESS(11+(MATCH(RIGHT(Table61011[[#This Row],[spawner_sku]],LEN(Table61011[[#This Row],[spawner_sku]])-FIND("/",Table61011[[#This Row],[spawner_sku]])),Table1[Entity Prefab],0)),10,1,1,"Entities"))</f>
        <v>25</v>
      </c>
      <c r="BU398" s="74">
        <f ca="1">ROUND((Table61011[[#This Row],[XP]]*Table61011[[#This Row],[entity_spawned (AVG)]])*(Table61011[[#This Row],[activating_chance]]/100),0)</f>
        <v>25</v>
      </c>
      <c r="BV398" s="71" t="str">
        <f ca="1">INDIRECT(ADDRESS(11+(MATCH(RIGHT(Table61011[[#This Row],[spawner_sku]],LEN(Table61011[[#This Row],[spawner_sku]])-FIND("/",Table61011[[#This Row],[spawner_sku]])),Table28[Entity Prefab],0)),24,1,1,"Entities"))</f>
        <v>no</v>
      </c>
      <c r="BW398" s="71">
        <v>1</v>
      </c>
      <c r="BX398" s="71">
        <v>1</v>
      </c>
      <c r="BY398" s="71" t="b">
        <v>0</v>
      </c>
      <c r="BZ398" s="71"/>
      <c r="CL398" t="s">
        <v>429</v>
      </c>
      <c r="CM398">
        <v>1</v>
      </c>
      <c r="CN398">
        <v>300</v>
      </c>
      <c r="CO398">
        <v>100</v>
      </c>
      <c r="CP398" s="74">
        <f ca="1">INDIRECT(ADDRESS(11+(MATCH(RIGHT(Table11[[#This Row],[spawner_sku]],LEN(Table11[[#This Row],[spawner_sku]])-FIND("/",Table11[[#This Row],[spawner_sku]])),Table1[Entity Prefab],0)),10,1,1,"Entities"))</f>
        <v>77</v>
      </c>
      <c r="CQ398">
        <f ca="1">ROUND((Table11[[#This Row],[XP]]*Table11[[#This Row],[entity_spawned (AVG)]])*(Table11[[#This Row],[activating_chance]]/100),0)</f>
        <v>77</v>
      </c>
      <c r="CR398" s="144" t="str">
        <f ca="1">INDIRECT(ADDRESS(11+(MATCH(RIGHT(Table11[[#This Row],[spawner_sku]],LEN(Table11[[#This Row],[spawner_sku]])-FIND("/",Table11[[#This Row],[spawner_sku]])),Table28[Entity Prefab],0)),25,1,1,"Entities"))</f>
        <v>yes</v>
      </c>
      <c r="CS398" s="71">
        <v>1</v>
      </c>
      <c r="CT398" s="71">
        <v>1</v>
      </c>
      <c r="CU398" s="71" t="b">
        <v>0</v>
      </c>
      <c r="DS398" t="s">
        <v>510</v>
      </c>
      <c r="DT398">
        <v>1</v>
      </c>
      <c r="DU398">
        <v>150</v>
      </c>
      <c r="DV398">
        <v>100</v>
      </c>
      <c r="DW398" s="74">
        <f ca="1">INDIRECT(ADDRESS(11+(MATCH(RIGHT(Table14[[#This Row],[spawner_sku]],LEN(Table14[[#This Row],[spawner_sku]])-FIND("/",Table14[[#This Row],[spawner_sku]])),Table1[Entity Prefab],0)),10,1,1,"Entities"))</f>
        <v>90</v>
      </c>
      <c r="DX398" s="74">
        <f ca="1">ROUND((Table14[[#This Row],[XP]]*Table14[[#This Row],[entity_spawned (AVG)]])*(Table14[[#This Row],[activating_chance]]/100),0)</f>
        <v>90</v>
      </c>
      <c r="DY398" s="144" t="str">
        <f ca="1">INDIRECT(ADDRESS(11+(MATCH(RIGHT(Table14[[#This Row],[spawner_sku]],LEN(Table14[[#This Row],[spawner_sku]])-FIND("/",Table14[[#This Row],[spawner_sku]])),Table28[Entity Prefab],0)),25,1,1,"Entities"))</f>
        <v>no</v>
      </c>
      <c r="DZ398" s="71">
        <v>1</v>
      </c>
      <c r="EA398" s="71">
        <v>1</v>
      </c>
      <c r="EB398" s="71" t="b">
        <v>0</v>
      </c>
      <c r="EC398" s="71"/>
    </row>
    <row r="399" spans="2:133" x14ac:dyDescent="0.25">
      <c r="B399" s="72" t="s">
        <v>449</v>
      </c>
      <c r="C399">
        <v>1</v>
      </c>
      <c r="D399">
        <v>300</v>
      </c>
      <c r="E399">
        <v>100</v>
      </c>
      <c r="F399" s="74">
        <f ca="1">INDIRECT(ADDRESS(11+(MATCH(RIGHT(Table245[[#This Row],[spawner_sku]],LEN(Table245[[#This Row],[spawner_sku]])-FIND("/",Table245[[#This Row],[spawner_sku]])),Table1[Entity Prefab],0)),10,1,1,"Entities"))</f>
        <v>130</v>
      </c>
      <c r="G399" s="74">
        <f ca="1">ROUND((Table245[[#This Row],[XP]]*Table245[[#This Row],[entity_spawned (AVG)]])*(Table245[[#This Row],[activating_chance]]/100),0)</f>
        <v>130</v>
      </c>
      <c r="H399" s="71" t="str">
        <f ca="1">INDIRECT(ADDRESS(11+(MATCH(RIGHT(Table245[[#This Row],[spawner_sku]],LEN(Table245[[#This Row],[spawner_sku]])-FIND("/",Table245[[#This Row],[spawner_sku]])),Table28[Entity Prefab],0)),24,1,1,"Entities"))</f>
        <v>yes</v>
      </c>
      <c r="I399" s="71">
        <v>1</v>
      </c>
      <c r="J399" s="71">
        <v>1</v>
      </c>
      <c r="K399" s="71" t="b">
        <v>0</v>
      </c>
      <c r="AI399" t="s">
        <v>242</v>
      </c>
      <c r="AJ399">
        <v>1</v>
      </c>
      <c r="AK399">
        <v>170</v>
      </c>
      <c r="AL399">
        <v>100</v>
      </c>
      <c r="AM399" s="74">
        <f ca="1">INDIRECT(ADDRESS(11+(MATCH(RIGHT(Table2[[#This Row],[spawner_sku]],LEN(Table2[[#This Row],[spawner_sku]])-FIND("/",Table2[[#This Row],[spawner_sku]])),Table1[Entity Prefab],0)),10,1,1,"Entities"))</f>
        <v>25</v>
      </c>
      <c r="AN399" s="74">
        <f ca="1">ROUND((Table2[[#This Row],[XP]]*Table2[[#This Row],[entity_spawned (AVG)]])*(Table2[[#This Row],[activating_chance]]/100),0)</f>
        <v>25</v>
      </c>
      <c r="AO399" s="71" t="str">
        <f ca="1">INDIRECT(ADDRESS(11+(MATCH(RIGHT(Table2[[#This Row],[spawner_sku]],LEN(Table2[[#This Row],[spawner_sku]])-FIND("/",Table2[[#This Row],[spawner_sku]])),Table28[Entity Prefab],0)),24,1,1,"Entities"))</f>
        <v>no</v>
      </c>
      <c r="AP399" s="71">
        <v>1</v>
      </c>
      <c r="AQ399" s="71">
        <v>1</v>
      </c>
      <c r="AR399" s="71" t="b">
        <v>0</v>
      </c>
      <c r="BP399" t="s">
        <v>242</v>
      </c>
      <c r="BQ399">
        <v>1</v>
      </c>
      <c r="BR399">
        <v>200</v>
      </c>
      <c r="BS399">
        <v>100</v>
      </c>
      <c r="BT399" s="74">
        <f ca="1">INDIRECT(ADDRESS(11+(MATCH(RIGHT(Table61011[[#This Row],[spawner_sku]],LEN(Table61011[[#This Row],[spawner_sku]])-FIND("/",Table61011[[#This Row],[spawner_sku]])),Table1[Entity Prefab],0)),10,1,1,"Entities"))</f>
        <v>25</v>
      </c>
      <c r="BU399" s="74">
        <f ca="1">ROUND((Table61011[[#This Row],[XP]]*Table61011[[#This Row],[entity_spawned (AVG)]])*(Table61011[[#This Row],[activating_chance]]/100),0)</f>
        <v>25</v>
      </c>
      <c r="BV399" s="71" t="str">
        <f ca="1">INDIRECT(ADDRESS(11+(MATCH(RIGHT(Table61011[[#This Row],[spawner_sku]],LEN(Table61011[[#This Row],[spawner_sku]])-FIND("/",Table61011[[#This Row],[spawner_sku]])),Table28[Entity Prefab],0)),24,1,1,"Entities"))</f>
        <v>no</v>
      </c>
      <c r="BW399" s="71">
        <v>1</v>
      </c>
      <c r="BX399" s="71">
        <v>1</v>
      </c>
      <c r="BY399" s="71" t="b">
        <v>0</v>
      </c>
      <c r="BZ399" s="71"/>
      <c r="CL399" t="s">
        <v>429</v>
      </c>
      <c r="CM399">
        <v>1</v>
      </c>
      <c r="CN399">
        <v>300</v>
      </c>
      <c r="CO399">
        <v>100</v>
      </c>
      <c r="CP399" s="74">
        <f ca="1">INDIRECT(ADDRESS(11+(MATCH(RIGHT(Table11[[#This Row],[spawner_sku]],LEN(Table11[[#This Row],[spawner_sku]])-FIND("/",Table11[[#This Row],[spawner_sku]])),Table1[Entity Prefab],0)),10,1,1,"Entities"))</f>
        <v>77</v>
      </c>
      <c r="CQ399">
        <f ca="1">ROUND((Table11[[#This Row],[XP]]*Table11[[#This Row],[entity_spawned (AVG)]])*(Table11[[#This Row],[activating_chance]]/100),0)</f>
        <v>77</v>
      </c>
      <c r="CR399" s="144" t="str">
        <f ca="1">INDIRECT(ADDRESS(11+(MATCH(RIGHT(Table11[[#This Row],[spawner_sku]],LEN(Table11[[#This Row],[spawner_sku]])-FIND("/",Table11[[#This Row],[spawner_sku]])),Table28[Entity Prefab],0)),25,1,1,"Entities"))</f>
        <v>yes</v>
      </c>
      <c r="CS399" s="71">
        <v>1</v>
      </c>
      <c r="CT399" s="71">
        <v>1</v>
      </c>
      <c r="CU399" s="71" t="b">
        <v>0</v>
      </c>
      <c r="DS399" t="s">
        <v>510</v>
      </c>
      <c r="DT399">
        <v>2</v>
      </c>
      <c r="DU399">
        <v>140</v>
      </c>
      <c r="DV399">
        <v>100</v>
      </c>
      <c r="DW399" s="74">
        <f ca="1">INDIRECT(ADDRESS(11+(MATCH(RIGHT(Table14[[#This Row],[spawner_sku]],LEN(Table14[[#This Row],[spawner_sku]])-FIND("/",Table14[[#This Row],[spawner_sku]])),Table1[Entity Prefab],0)),10,1,1,"Entities"))</f>
        <v>90</v>
      </c>
      <c r="DX399" s="74">
        <f ca="1">ROUND((Table14[[#This Row],[XP]]*Table14[[#This Row],[entity_spawned (AVG)]])*(Table14[[#This Row],[activating_chance]]/100),0)</f>
        <v>180</v>
      </c>
      <c r="DY399" s="144" t="str">
        <f ca="1">INDIRECT(ADDRESS(11+(MATCH(RIGHT(Table14[[#This Row],[spawner_sku]],LEN(Table14[[#This Row],[spawner_sku]])-FIND("/",Table14[[#This Row],[spawner_sku]])),Table28[Entity Prefab],0)),25,1,1,"Entities"))</f>
        <v>no</v>
      </c>
      <c r="DZ399" s="71">
        <v>1</v>
      </c>
      <c r="EA399" s="71">
        <v>3</v>
      </c>
      <c r="EB399" s="71" t="b">
        <v>0</v>
      </c>
      <c r="EC399" s="71"/>
    </row>
    <row r="400" spans="2:133" x14ac:dyDescent="0.25">
      <c r="B400" s="72" t="s">
        <v>449</v>
      </c>
      <c r="C400">
        <v>1</v>
      </c>
      <c r="D400">
        <v>300</v>
      </c>
      <c r="E400">
        <v>100</v>
      </c>
      <c r="F400" s="74">
        <f ca="1">INDIRECT(ADDRESS(11+(MATCH(RIGHT(Table245[[#This Row],[spawner_sku]],LEN(Table245[[#This Row],[spawner_sku]])-FIND("/",Table245[[#This Row],[spawner_sku]])),Table1[Entity Prefab],0)),10,1,1,"Entities"))</f>
        <v>130</v>
      </c>
      <c r="G400" s="74">
        <f ca="1">ROUND((Table245[[#This Row],[XP]]*Table245[[#This Row],[entity_spawned (AVG)]])*(Table245[[#This Row],[activating_chance]]/100),0)</f>
        <v>130</v>
      </c>
      <c r="H400" s="71" t="str">
        <f ca="1">INDIRECT(ADDRESS(11+(MATCH(RIGHT(Table245[[#This Row],[spawner_sku]],LEN(Table245[[#This Row],[spawner_sku]])-FIND("/",Table245[[#This Row],[spawner_sku]])),Table28[Entity Prefab],0)),24,1,1,"Entities"))</f>
        <v>yes</v>
      </c>
      <c r="I400" s="71">
        <v>1</v>
      </c>
      <c r="J400" s="71">
        <v>1</v>
      </c>
      <c r="K400" s="71" t="b">
        <v>0</v>
      </c>
      <c r="AI400" t="s">
        <v>242</v>
      </c>
      <c r="AJ400">
        <v>1</v>
      </c>
      <c r="AK400">
        <v>160</v>
      </c>
      <c r="AL400">
        <v>100</v>
      </c>
      <c r="AM400" s="74">
        <f ca="1">INDIRECT(ADDRESS(11+(MATCH(RIGHT(Table2[[#This Row],[spawner_sku]],LEN(Table2[[#This Row],[spawner_sku]])-FIND("/",Table2[[#This Row],[spawner_sku]])),Table1[Entity Prefab],0)),10,1,1,"Entities"))</f>
        <v>25</v>
      </c>
      <c r="AN400" s="74">
        <f ca="1">ROUND((Table2[[#This Row],[XP]]*Table2[[#This Row],[entity_spawned (AVG)]])*(Table2[[#This Row],[activating_chance]]/100),0)</f>
        <v>25</v>
      </c>
      <c r="AO400" s="71" t="str">
        <f ca="1">INDIRECT(ADDRESS(11+(MATCH(RIGHT(Table2[[#This Row],[spawner_sku]],LEN(Table2[[#This Row],[spawner_sku]])-FIND("/",Table2[[#This Row],[spawner_sku]])),Table28[Entity Prefab],0)),24,1,1,"Entities"))</f>
        <v>no</v>
      </c>
      <c r="AP400" s="71">
        <v>1</v>
      </c>
      <c r="AQ400" s="71">
        <v>1</v>
      </c>
      <c r="AR400" s="71" t="b">
        <v>0</v>
      </c>
      <c r="BP400" t="s">
        <v>242</v>
      </c>
      <c r="BQ400">
        <v>1</v>
      </c>
      <c r="BR400">
        <v>200</v>
      </c>
      <c r="BS400">
        <v>100</v>
      </c>
      <c r="BT400" s="74">
        <f ca="1">INDIRECT(ADDRESS(11+(MATCH(RIGHT(Table61011[[#This Row],[spawner_sku]],LEN(Table61011[[#This Row],[spawner_sku]])-FIND("/",Table61011[[#This Row],[spawner_sku]])),Table1[Entity Prefab],0)),10,1,1,"Entities"))</f>
        <v>25</v>
      </c>
      <c r="BU400" s="74">
        <f ca="1">ROUND((Table61011[[#This Row],[XP]]*Table61011[[#This Row],[entity_spawned (AVG)]])*(Table61011[[#This Row],[activating_chance]]/100),0)</f>
        <v>25</v>
      </c>
      <c r="BV400" s="71" t="str">
        <f ca="1">INDIRECT(ADDRESS(11+(MATCH(RIGHT(Table61011[[#This Row],[spawner_sku]],LEN(Table61011[[#This Row],[spawner_sku]])-FIND("/",Table61011[[#This Row],[spawner_sku]])),Table28[Entity Prefab],0)),24,1,1,"Entities"))</f>
        <v>no</v>
      </c>
      <c r="BW400" s="71">
        <v>1</v>
      </c>
      <c r="BX400" s="71">
        <v>1</v>
      </c>
      <c r="BY400" s="71" t="b">
        <v>0</v>
      </c>
      <c r="BZ400" s="71"/>
      <c r="CL400" t="s">
        <v>429</v>
      </c>
      <c r="CM400">
        <v>1</v>
      </c>
      <c r="CN400">
        <v>300</v>
      </c>
      <c r="CO400">
        <v>100</v>
      </c>
      <c r="CP400" s="74">
        <f ca="1">INDIRECT(ADDRESS(11+(MATCH(RIGHT(Table11[[#This Row],[spawner_sku]],LEN(Table11[[#This Row],[spawner_sku]])-FIND("/",Table11[[#This Row],[spawner_sku]])),Table1[Entity Prefab],0)),10,1,1,"Entities"))</f>
        <v>77</v>
      </c>
      <c r="CQ400">
        <f ca="1">ROUND((Table11[[#This Row],[XP]]*Table11[[#This Row],[entity_spawned (AVG)]])*(Table11[[#This Row],[activating_chance]]/100),0)</f>
        <v>77</v>
      </c>
      <c r="CR400" s="144" t="str">
        <f ca="1">INDIRECT(ADDRESS(11+(MATCH(RIGHT(Table11[[#This Row],[spawner_sku]],LEN(Table11[[#This Row],[spawner_sku]])-FIND("/",Table11[[#This Row],[spawner_sku]])),Table28[Entity Prefab],0)),25,1,1,"Entities"))</f>
        <v>yes</v>
      </c>
      <c r="CS400" s="71">
        <v>1</v>
      </c>
      <c r="CT400" s="71">
        <v>1</v>
      </c>
      <c r="CU400" s="71" t="b">
        <v>0</v>
      </c>
      <c r="DS400" t="s">
        <v>510</v>
      </c>
      <c r="DT400">
        <v>1</v>
      </c>
      <c r="DU400">
        <v>150</v>
      </c>
      <c r="DV400">
        <v>100</v>
      </c>
      <c r="DW400" s="74">
        <f ca="1">INDIRECT(ADDRESS(11+(MATCH(RIGHT(Table14[[#This Row],[spawner_sku]],LEN(Table14[[#This Row],[spawner_sku]])-FIND("/",Table14[[#This Row],[spawner_sku]])),Table1[Entity Prefab],0)),10,1,1,"Entities"))</f>
        <v>90</v>
      </c>
      <c r="DX400" s="74">
        <f ca="1">ROUND((Table14[[#This Row],[XP]]*Table14[[#This Row],[entity_spawned (AVG)]])*(Table14[[#This Row],[activating_chance]]/100),0)</f>
        <v>90</v>
      </c>
      <c r="DY400" s="144" t="str">
        <f ca="1">INDIRECT(ADDRESS(11+(MATCH(RIGHT(Table14[[#This Row],[spawner_sku]],LEN(Table14[[#This Row],[spawner_sku]])-FIND("/",Table14[[#This Row],[spawner_sku]])),Table28[Entity Prefab],0)),25,1,1,"Entities"))</f>
        <v>no</v>
      </c>
      <c r="DZ400" s="71">
        <v>1</v>
      </c>
      <c r="EA400" s="71">
        <v>1</v>
      </c>
      <c r="EB400" s="71" t="b">
        <v>0</v>
      </c>
      <c r="EC400" s="71"/>
    </row>
    <row r="401" spans="2:133" x14ac:dyDescent="0.25">
      <c r="B401" s="72" t="s">
        <v>449</v>
      </c>
      <c r="C401">
        <v>1</v>
      </c>
      <c r="D401">
        <v>300</v>
      </c>
      <c r="E401">
        <v>100</v>
      </c>
      <c r="F401" s="74">
        <f ca="1">INDIRECT(ADDRESS(11+(MATCH(RIGHT(Table245[[#This Row],[spawner_sku]],LEN(Table245[[#This Row],[spawner_sku]])-FIND("/",Table245[[#This Row],[spawner_sku]])),Table1[Entity Prefab],0)),10,1,1,"Entities"))</f>
        <v>130</v>
      </c>
      <c r="G401" s="74">
        <f ca="1">ROUND((Table245[[#This Row],[XP]]*Table245[[#This Row],[entity_spawned (AVG)]])*(Table245[[#This Row],[activating_chance]]/100),0)</f>
        <v>130</v>
      </c>
      <c r="H401" s="71" t="str">
        <f ca="1">INDIRECT(ADDRESS(11+(MATCH(RIGHT(Table245[[#This Row],[spawner_sku]],LEN(Table245[[#This Row],[spawner_sku]])-FIND("/",Table245[[#This Row],[spawner_sku]])),Table28[Entity Prefab],0)),24,1,1,"Entities"))</f>
        <v>yes</v>
      </c>
      <c r="I401" s="71">
        <v>1</v>
      </c>
      <c r="J401" s="71">
        <v>1</v>
      </c>
      <c r="K401" s="71" t="b">
        <v>0</v>
      </c>
      <c r="AI401" t="s">
        <v>242</v>
      </c>
      <c r="AJ401">
        <v>3</v>
      </c>
      <c r="AK401">
        <v>170</v>
      </c>
      <c r="AL401">
        <v>60</v>
      </c>
      <c r="AM401" s="74">
        <f ca="1">INDIRECT(ADDRESS(11+(MATCH(RIGHT(Table2[[#This Row],[spawner_sku]],LEN(Table2[[#This Row],[spawner_sku]])-FIND("/",Table2[[#This Row],[spawner_sku]])),Table1[Entity Prefab],0)),10,1,1,"Entities"))</f>
        <v>25</v>
      </c>
      <c r="AN401" s="74">
        <f ca="1">ROUND((Table2[[#This Row],[XP]]*Table2[[#This Row],[entity_spawned (AVG)]])*(Table2[[#This Row],[activating_chance]]/100),0)</f>
        <v>45</v>
      </c>
      <c r="AO401" s="71" t="str">
        <f ca="1">INDIRECT(ADDRESS(11+(MATCH(RIGHT(Table2[[#This Row],[spawner_sku]],LEN(Table2[[#This Row],[spawner_sku]])-FIND("/",Table2[[#This Row],[spawner_sku]])),Table28[Entity Prefab],0)),24,1,1,"Entities"))</f>
        <v>no</v>
      </c>
      <c r="AP401" s="71">
        <v>2</v>
      </c>
      <c r="AQ401" s="71">
        <v>4</v>
      </c>
      <c r="AR401" s="71" t="b">
        <v>0</v>
      </c>
      <c r="BP401" t="s">
        <v>242</v>
      </c>
      <c r="BQ401">
        <v>2</v>
      </c>
      <c r="BR401">
        <v>175</v>
      </c>
      <c r="BS401">
        <v>100</v>
      </c>
      <c r="BT401" s="74">
        <f ca="1">INDIRECT(ADDRESS(11+(MATCH(RIGHT(Table61011[[#This Row],[spawner_sku]],LEN(Table61011[[#This Row],[spawner_sku]])-FIND("/",Table61011[[#This Row],[spawner_sku]])),Table1[Entity Prefab],0)),10,1,1,"Entities"))</f>
        <v>25</v>
      </c>
      <c r="BU401" s="74">
        <f ca="1">ROUND((Table61011[[#This Row],[XP]]*Table61011[[#This Row],[entity_spawned (AVG)]])*(Table61011[[#This Row],[activating_chance]]/100),0)</f>
        <v>50</v>
      </c>
      <c r="BV401" s="71" t="str">
        <f ca="1">INDIRECT(ADDRESS(11+(MATCH(RIGHT(Table61011[[#This Row],[spawner_sku]],LEN(Table61011[[#This Row],[spawner_sku]])-FIND("/",Table61011[[#This Row],[spawner_sku]])),Table28[Entity Prefab],0)),24,1,1,"Entities"))</f>
        <v>no</v>
      </c>
      <c r="BW401" s="71">
        <v>2</v>
      </c>
      <c r="BX401" s="71">
        <v>2</v>
      </c>
      <c r="BY401" s="71" t="b">
        <v>0</v>
      </c>
      <c r="BZ401" s="71"/>
      <c r="CL401" t="s">
        <v>429</v>
      </c>
      <c r="CM401">
        <v>1</v>
      </c>
      <c r="CN401">
        <v>300</v>
      </c>
      <c r="CO401">
        <v>100</v>
      </c>
      <c r="CP401" s="74">
        <f ca="1">INDIRECT(ADDRESS(11+(MATCH(RIGHT(Table11[[#This Row],[spawner_sku]],LEN(Table11[[#This Row],[spawner_sku]])-FIND("/",Table11[[#This Row],[spawner_sku]])),Table1[Entity Prefab],0)),10,1,1,"Entities"))</f>
        <v>77</v>
      </c>
      <c r="CQ401">
        <f ca="1">ROUND((Table11[[#This Row],[XP]]*Table11[[#This Row],[entity_spawned (AVG)]])*(Table11[[#This Row],[activating_chance]]/100),0)</f>
        <v>77</v>
      </c>
      <c r="CR401" s="144" t="str">
        <f ca="1">INDIRECT(ADDRESS(11+(MATCH(RIGHT(Table11[[#This Row],[spawner_sku]],LEN(Table11[[#This Row],[spawner_sku]])-FIND("/",Table11[[#This Row],[spawner_sku]])),Table28[Entity Prefab],0)),25,1,1,"Entities"))</f>
        <v>yes</v>
      </c>
      <c r="CS401" s="71">
        <v>1</v>
      </c>
      <c r="CT401" s="71">
        <v>1</v>
      </c>
      <c r="CU401" s="71" t="b">
        <v>0</v>
      </c>
      <c r="DS401" t="s">
        <v>510</v>
      </c>
      <c r="DT401">
        <v>1</v>
      </c>
      <c r="DU401">
        <v>180</v>
      </c>
      <c r="DV401">
        <v>100</v>
      </c>
      <c r="DW401" s="74">
        <f ca="1">INDIRECT(ADDRESS(11+(MATCH(RIGHT(Table14[[#This Row],[spawner_sku]],LEN(Table14[[#This Row],[spawner_sku]])-FIND("/",Table14[[#This Row],[spawner_sku]])),Table1[Entity Prefab],0)),10,1,1,"Entities"))</f>
        <v>90</v>
      </c>
      <c r="DX401" s="74">
        <f ca="1">ROUND((Table14[[#This Row],[XP]]*Table14[[#This Row],[entity_spawned (AVG)]])*(Table14[[#This Row],[activating_chance]]/100),0)</f>
        <v>90</v>
      </c>
      <c r="DY401" s="144" t="str">
        <f ca="1">INDIRECT(ADDRESS(11+(MATCH(RIGHT(Table14[[#This Row],[spawner_sku]],LEN(Table14[[#This Row],[spawner_sku]])-FIND("/",Table14[[#This Row],[spawner_sku]])),Table28[Entity Prefab],0)),25,1,1,"Entities"))</f>
        <v>no</v>
      </c>
      <c r="DZ401" s="71">
        <v>1</v>
      </c>
      <c r="EA401" s="71">
        <v>1</v>
      </c>
      <c r="EB401" s="71" t="b">
        <v>0</v>
      </c>
      <c r="EC401" s="71"/>
    </row>
    <row r="402" spans="2:133" x14ac:dyDescent="0.25">
      <c r="B402" s="72" t="s">
        <v>8112</v>
      </c>
      <c r="C402">
        <v>1</v>
      </c>
      <c r="D402">
        <v>300</v>
      </c>
      <c r="E402">
        <v>100</v>
      </c>
      <c r="F402" s="74">
        <f ca="1">INDIRECT(ADDRESS(11+(MATCH(RIGHT(Table245[[#This Row],[spawner_sku]],LEN(Table245[[#This Row],[spawner_sku]])-FIND("/",Table245[[#This Row],[spawner_sku]])),Table1[Entity Prefab],0)),10,1,1,"Entities"))</f>
        <v>150</v>
      </c>
      <c r="G402" s="74">
        <f ca="1">ROUND((Table245[[#This Row],[XP]]*Table245[[#This Row],[entity_spawned (AVG)]])*(Table245[[#This Row],[activating_chance]]/100),0)</f>
        <v>150</v>
      </c>
      <c r="H402" s="71" t="str">
        <f ca="1">INDIRECT(ADDRESS(11+(MATCH(RIGHT(Table245[[#This Row],[spawner_sku]],LEN(Table245[[#This Row],[spawner_sku]])-FIND("/",Table245[[#This Row],[spawner_sku]])),Table28[Entity Prefab],0)),24,1,1,"Entities"))</f>
        <v>yes</v>
      </c>
      <c r="I402" s="71">
        <v>1</v>
      </c>
      <c r="J402" s="71">
        <v>1</v>
      </c>
      <c r="K402" s="71" t="b">
        <v>0</v>
      </c>
      <c r="AI402" t="s">
        <v>242</v>
      </c>
      <c r="AJ402">
        <v>1</v>
      </c>
      <c r="AK402">
        <v>100</v>
      </c>
      <c r="AL402">
        <v>100</v>
      </c>
      <c r="AM402" s="74">
        <f ca="1">INDIRECT(ADDRESS(11+(MATCH(RIGHT(Table2[[#This Row],[spawner_sku]],LEN(Table2[[#This Row],[spawner_sku]])-FIND("/",Table2[[#This Row],[spawner_sku]])),Table1[Entity Prefab],0)),10,1,1,"Entities"))</f>
        <v>25</v>
      </c>
      <c r="AN402" s="74">
        <f ca="1">ROUND((Table2[[#This Row],[XP]]*Table2[[#This Row],[entity_spawned (AVG)]])*(Table2[[#This Row],[activating_chance]]/100),0)</f>
        <v>25</v>
      </c>
      <c r="AO402" s="71" t="str">
        <f ca="1">INDIRECT(ADDRESS(11+(MATCH(RIGHT(Table2[[#This Row],[spawner_sku]],LEN(Table2[[#This Row],[spawner_sku]])-FIND("/",Table2[[#This Row],[spawner_sku]])),Table28[Entity Prefab],0)),24,1,1,"Entities"))</f>
        <v>no</v>
      </c>
      <c r="AP402" s="71">
        <v>1</v>
      </c>
      <c r="AQ402" s="71">
        <v>1</v>
      </c>
      <c r="AR402" s="71" t="b">
        <v>0</v>
      </c>
      <c r="BP402" t="s">
        <v>242</v>
      </c>
      <c r="BQ402">
        <v>1</v>
      </c>
      <c r="BR402">
        <v>100</v>
      </c>
      <c r="BS402">
        <v>100</v>
      </c>
      <c r="BT402" s="74">
        <f ca="1">INDIRECT(ADDRESS(11+(MATCH(RIGHT(Table61011[[#This Row],[spawner_sku]],LEN(Table61011[[#This Row],[spawner_sku]])-FIND("/",Table61011[[#This Row],[spawner_sku]])),Table1[Entity Prefab],0)),10,1,1,"Entities"))</f>
        <v>25</v>
      </c>
      <c r="BU402" s="74">
        <f ca="1">ROUND((Table61011[[#This Row],[XP]]*Table61011[[#This Row],[entity_spawned (AVG)]])*(Table61011[[#This Row],[activating_chance]]/100),0)</f>
        <v>25</v>
      </c>
      <c r="BV402" s="71" t="str">
        <f ca="1">INDIRECT(ADDRESS(11+(MATCH(RIGHT(Table61011[[#This Row],[spawner_sku]],LEN(Table61011[[#This Row],[spawner_sku]])-FIND("/",Table61011[[#This Row],[spawner_sku]])),Table28[Entity Prefab],0)),24,1,1,"Entities"))</f>
        <v>no</v>
      </c>
      <c r="BW402" s="71">
        <v>1</v>
      </c>
      <c r="BX402" s="71">
        <v>1</v>
      </c>
      <c r="BY402" s="71" t="b">
        <v>0</v>
      </c>
      <c r="BZ402" s="71"/>
      <c r="CL402" t="s">
        <v>429</v>
      </c>
      <c r="CM402">
        <v>1</v>
      </c>
      <c r="CN402">
        <v>300</v>
      </c>
      <c r="CO402">
        <v>100</v>
      </c>
      <c r="CP402" s="74">
        <f ca="1">INDIRECT(ADDRESS(11+(MATCH(RIGHT(Table11[[#This Row],[spawner_sku]],LEN(Table11[[#This Row],[spawner_sku]])-FIND("/",Table11[[#This Row],[spawner_sku]])),Table1[Entity Prefab],0)),10,1,1,"Entities"))</f>
        <v>77</v>
      </c>
      <c r="CQ402">
        <f ca="1">ROUND((Table11[[#This Row],[XP]]*Table11[[#This Row],[entity_spawned (AVG)]])*(Table11[[#This Row],[activating_chance]]/100),0)</f>
        <v>77</v>
      </c>
      <c r="CR402" s="144" t="str">
        <f ca="1">INDIRECT(ADDRESS(11+(MATCH(RIGHT(Table11[[#This Row],[spawner_sku]],LEN(Table11[[#This Row],[spawner_sku]])-FIND("/",Table11[[#This Row],[spawner_sku]])),Table28[Entity Prefab],0)),25,1,1,"Entities"))</f>
        <v>yes</v>
      </c>
      <c r="CS402" s="71">
        <v>1</v>
      </c>
      <c r="CT402" s="71">
        <v>1</v>
      </c>
      <c r="CU402" s="71" t="b">
        <v>0</v>
      </c>
      <c r="DS402" t="s">
        <v>510</v>
      </c>
      <c r="DT402">
        <v>1</v>
      </c>
      <c r="DU402">
        <v>120</v>
      </c>
      <c r="DV402">
        <v>100</v>
      </c>
      <c r="DW402" s="74">
        <f ca="1">INDIRECT(ADDRESS(11+(MATCH(RIGHT(Table14[[#This Row],[spawner_sku]],LEN(Table14[[#This Row],[spawner_sku]])-FIND("/",Table14[[#This Row],[spawner_sku]])),Table1[Entity Prefab],0)),10,1,1,"Entities"))</f>
        <v>90</v>
      </c>
      <c r="DX402" s="74">
        <f ca="1">ROUND((Table14[[#This Row],[XP]]*Table14[[#This Row],[entity_spawned (AVG)]])*(Table14[[#This Row],[activating_chance]]/100),0)</f>
        <v>90</v>
      </c>
      <c r="DY402" s="144" t="str">
        <f ca="1">INDIRECT(ADDRESS(11+(MATCH(RIGHT(Table14[[#This Row],[spawner_sku]],LEN(Table14[[#This Row],[spawner_sku]])-FIND("/",Table14[[#This Row],[spawner_sku]])),Table28[Entity Prefab],0)),25,1,1,"Entities"))</f>
        <v>no</v>
      </c>
      <c r="DZ402" s="71">
        <v>1</v>
      </c>
      <c r="EA402" s="71">
        <v>1</v>
      </c>
      <c r="EB402" s="71" t="b">
        <v>0</v>
      </c>
      <c r="EC402" s="71"/>
    </row>
    <row r="403" spans="2:133" x14ac:dyDescent="0.25">
      <c r="B403" s="72" t="s">
        <v>8112</v>
      </c>
      <c r="C403">
        <v>1</v>
      </c>
      <c r="D403">
        <v>300</v>
      </c>
      <c r="E403">
        <v>100</v>
      </c>
      <c r="F403" s="74">
        <f ca="1">INDIRECT(ADDRESS(11+(MATCH(RIGHT(Table245[[#This Row],[spawner_sku]],LEN(Table245[[#This Row],[spawner_sku]])-FIND("/",Table245[[#This Row],[spawner_sku]])),Table1[Entity Prefab],0)),10,1,1,"Entities"))</f>
        <v>150</v>
      </c>
      <c r="G403" s="74">
        <f ca="1">ROUND((Table245[[#This Row],[XP]]*Table245[[#This Row],[entity_spawned (AVG)]])*(Table245[[#This Row],[activating_chance]]/100),0)</f>
        <v>150</v>
      </c>
      <c r="H403" s="71" t="str">
        <f ca="1">INDIRECT(ADDRESS(11+(MATCH(RIGHT(Table245[[#This Row],[spawner_sku]],LEN(Table245[[#This Row],[spawner_sku]])-FIND("/",Table245[[#This Row],[spawner_sku]])),Table28[Entity Prefab],0)),24,1,1,"Entities"))</f>
        <v>yes</v>
      </c>
      <c r="I403" s="71">
        <v>1</v>
      </c>
      <c r="J403" s="71">
        <v>1</v>
      </c>
      <c r="K403" s="71" t="b">
        <v>0</v>
      </c>
      <c r="AI403" t="s">
        <v>242</v>
      </c>
      <c r="AJ403">
        <v>1</v>
      </c>
      <c r="AK403">
        <v>180</v>
      </c>
      <c r="AL403">
        <v>100</v>
      </c>
      <c r="AM403" s="74">
        <f ca="1">INDIRECT(ADDRESS(11+(MATCH(RIGHT(Table2[[#This Row],[spawner_sku]],LEN(Table2[[#This Row],[spawner_sku]])-FIND("/",Table2[[#This Row],[spawner_sku]])),Table1[Entity Prefab],0)),10,1,1,"Entities"))</f>
        <v>25</v>
      </c>
      <c r="AN403" s="74">
        <f ca="1">ROUND((Table2[[#This Row],[XP]]*Table2[[#This Row],[entity_spawned (AVG)]])*(Table2[[#This Row],[activating_chance]]/100),0)</f>
        <v>25</v>
      </c>
      <c r="AO403" s="71" t="str">
        <f ca="1">INDIRECT(ADDRESS(11+(MATCH(RIGHT(Table2[[#This Row],[spawner_sku]],LEN(Table2[[#This Row],[spawner_sku]])-FIND("/",Table2[[#This Row],[spawner_sku]])),Table28[Entity Prefab],0)),24,1,1,"Entities"))</f>
        <v>no</v>
      </c>
      <c r="AP403" s="71">
        <v>1</v>
      </c>
      <c r="AQ403" s="71">
        <v>1</v>
      </c>
      <c r="AR403" s="71" t="b">
        <v>0</v>
      </c>
      <c r="BP403" t="s">
        <v>242</v>
      </c>
      <c r="BQ403">
        <v>1</v>
      </c>
      <c r="BR403">
        <v>150</v>
      </c>
      <c r="BS403">
        <v>100</v>
      </c>
      <c r="BT403" s="74">
        <f ca="1">INDIRECT(ADDRESS(11+(MATCH(RIGHT(Table61011[[#This Row],[spawner_sku]],LEN(Table61011[[#This Row],[spawner_sku]])-FIND("/",Table61011[[#This Row],[spawner_sku]])),Table1[Entity Prefab],0)),10,1,1,"Entities"))</f>
        <v>25</v>
      </c>
      <c r="BU403" s="74">
        <f ca="1">ROUND((Table61011[[#This Row],[XP]]*Table61011[[#This Row],[entity_spawned (AVG)]])*(Table61011[[#This Row],[activating_chance]]/100),0)</f>
        <v>25</v>
      </c>
      <c r="BV403" s="71" t="str">
        <f ca="1">INDIRECT(ADDRESS(11+(MATCH(RIGHT(Table61011[[#This Row],[spawner_sku]],LEN(Table61011[[#This Row],[spawner_sku]])-FIND("/",Table61011[[#This Row],[spawner_sku]])),Table28[Entity Prefab],0)),24,1,1,"Entities"))</f>
        <v>no</v>
      </c>
      <c r="BW403" s="71">
        <v>1</v>
      </c>
      <c r="BX403" s="71">
        <v>1</v>
      </c>
      <c r="BY403" s="71" t="b">
        <v>0</v>
      </c>
      <c r="BZ403" s="71"/>
      <c r="CL403" t="s">
        <v>429</v>
      </c>
      <c r="CM403">
        <v>1</v>
      </c>
      <c r="CN403">
        <v>300</v>
      </c>
      <c r="CO403">
        <v>100</v>
      </c>
      <c r="CP403" s="74">
        <f ca="1">INDIRECT(ADDRESS(11+(MATCH(RIGHT(Table11[[#This Row],[spawner_sku]],LEN(Table11[[#This Row],[spawner_sku]])-FIND("/",Table11[[#This Row],[spawner_sku]])),Table1[Entity Prefab],0)),10,1,1,"Entities"))</f>
        <v>77</v>
      </c>
      <c r="CQ403">
        <f ca="1">ROUND((Table11[[#This Row],[XP]]*Table11[[#This Row],[entity_spawned (AVG)]])*(Table11[[#This Row],[activating_chance]]/100),0)</f>
        <v>77</v>
      </c>
      <c r="CR403" s="144" t="str">
        <f ca="1">INDIRECT(ADDRESS(11+(MATCH(RIGHT(Table11[[#This Row],[spawner_sku]],LEN(Table11[[#This Row],[spawner_sku]])-FIND("/",Table11[[#This Row],[spawner_sku]])),Table28[Entity Prefab],0)),25,1,1,"Entities"))</f>
        <v>yes</v>
      </c>
      <c r="CS403" s="71">
        <v>1</v>
      </c>
      <c r="CT403" s="71">
        <v>1</v>
      </c>
      <c r="CU403" s="71" t="b">
        <v>0</v>
      </c>
      <c r="DS403" t="s">
        <v>510</v>
      </c>
      <c r="DT403">
        <v>1</v>
      </c>
      <c r="DU403">
        <v>150</v>
      </c>
      <c r="DV403">
        <v>100</v>
      </c>
      <c r="DW403" s="74">
        <f ca="1">INDIRECT(ADDRESS(11+(MATCH(RIGHT(Table14[[#This Row],[spawner_sku]],LEN(Table14[[#This Row],[spawner_sku]])-FIND("/",Table14[[#This Row],[spawner_sku]])),Table1[Entity Prefab],0)),10,1,1,"Entities"))</f>
        <v>90</v>
      </c>
      <c r="DX403" s="74">
        <f ca="1">ROUND((Table14[[#This Row],[XP]]*Table14[[#This Row],[entity_spawned (AVG)]])*(Table14[[#This Row],[activating_chance]]/100),0)</f>
        <v>90</v>
      </c>
      <c r="DY403" s="144" t="str">
        <f ca="1">INDIRECT(ADDRESS(11+(MATCH(RIGHT(Table14[[#This Row],[spawner_sku]],LEN(Table14[[#This Row],[spawner_sku]])-FIND("/",Table14[[#This Row],[spawner_sku]])),Table28[Entity Prefab],0)),25,1,1,"Entities"))</f>
        <v>no</v>
      </c>
      <c r="DZ403" s="71">
        <v>1</v>
      </c>
      <c r="EA403" s="71">
        <v>1</v>
      </c>
      <c r="EB403" s="71" t="b">
        <v>0</v>
      </c>
      <c r="EC403" s="71"/>
    </row>
    <row r="404" spans="2:133" x14ac:dyDescent="0.25">
      <c r="B404" s="72" t="s">
        <v>8112</v>
      </c>
      <c r="C404">
        <v>1</v>
      </c>
      <c r="D404">
        <v>300</v>
      </c>
      <c r="E404">
        <v>100</v>
      </c>
      <c r="F404" s="74">
        <f ca="1">INDIRECT(ADDRESS(11+(MATCH(RIGHT(Table245[[#This Row],[spawner_sku]],LEN(Table245[[#This Row],[spawner_sku]])-FIND("/",Table245[[#This Row],[spawner_sku]])),Table1[Entity Prefab],0)),10,1,1,"Entities"))</f>
        <v>150</v>
      </c>
      <c r="G404" s="74">
        <f ca="1">ROUND((Table245[[#This Row],[XP]]*Table245[[#This Row],[entity_spawned (AVG)]])*(Table245[[#This Row],[activating_chance]]/100),0)</f>
        <v>150</v>
      </c>
      <c r="H404" s="71" t="str">
        <f ca="1">INDIRECT(ADDRESS(11+(MATCH(RIGHT(Table245[[#This Row],[spawner_sku]],LEN(Table245[[#This Row],[spawner_sku]])-FIND("/",Table245[[#This Row],[spawner_sku]])),Table28[Entity Prefab],0)),24,1,1,"Entities"))</f>
        <v>yes</v>
      </c>
      <c r="I404" s="71">
        <v>1</v>
      </c>
      <c r="J404" s="71">
        <v>1</v>
      </c>
      <c r="K404" s="71" t="b">
        <v>0</v>
      </c>
      <c r="AI404" t="s">
        <v>242</v>
      </c>
      <c r="AJ404">
        <v>1</v>
      </c>
      <c r="AK404">
        <v>170</v>
      </c>
      <c r="AL404">
        <v>90</v>
      </c>
      <c r="AM404" s="74">
        <f ca="1">INDIRECT(ADDRESS(11+(MATCH(RIGHT(Table2[[#This Row],[spawner_sku]],LEN(Table2[[#This Row],[spawner_sku]])-FIND("/",Table2[[#This Row],[spawner_sku]])),Table1[Entity Prefab],0)),10,1,1,"Entities"))</f>
        <v>25</v>
      </c>
      <c r="AN404" s="74">
        <f ca="1">ROUND((Table2[[#This Row],[XP]]*Table2[[#This Row],[entity_spawned (AVG)]])*(Table2[[#This Row],[activating_chance]]/100),0)</f>
        <v>23</v>
      </c>
      <c r="AO404" s="71" t="str">
        <f ca="1">INDIRECT(ADDRESS(11+(MATCH(RIGHT(Table2[[#This Row],[spawner_sku]],LEN(Table2[[#This Row],[spawner_sku]])-FIND("/",Table2[[#This Row],[spawner_sku]])),Table28[Entity Prefab],0)),24,1,1,"Entities"))</f>
        <v>no</v>
      </c>
      <c r="AP404" s="71">
        <v>1</v>
      </c>
      <c r="AQ404" s="71">
        <v>1</v>
      </c>
      <c r="AR404" s="71" t="b">
        <v>0</v>
      </c>
      <c r="BP404" t="s">
        <v>242</v>
      </c>
      <c r="BQ404">
        <v>1</v>
      </c>
      <c r="BR404">
        <v>100</v>
      </c>
      <c r="BS404">
        <v>80</v>
      </c>
      <c r="BT404" s="74">
        <f ca="1">INDIRECT(ADDRESS(11+(MATCH(RIGHT(Table61011[[#This Row],[spawner_sku]],LEN(Table61011[[#This Row],[spawner_sku]])-FIND("/",Table61011[[#This Row],[spawner_sku]])),Table1[Entity Prefab],0)),10,1,1,"Entities"))</f>
        <v>25</v>
      </c>
      <c r="BU404" s="74">
        <f ca="1">ROUND((Table61011[[#This Row],[XP]]*Table61011[[#This Row],[entity_spawned (AVG)]])*(Table61011[[#This Row],[activating_chance]]/100),0)</f>
        <v>20</v>
      </c>
      <c r="BV404" s="71" t="str">
        <f ca="1">INDIRECT(ADDRESS(11+(MATCH(RIGHT(Table61011[[#This Row],[spawner_sku]],LEN(Table61011[[#This Row],[spawner_sku]])-FIND("/",Table61011[[#This Row],[spawner_sku]])),Table28[Entity Prefab],0)),24,1,1,"Entities"))</f>
        <v>no</v>
      </c>
      <c r="BW404" s="71">
        <v>1</v>
      </c>
      <c r="BX404" s="71">
        <v>1</v>
      </c>
      <c r="BY404" s="71" t="b">
        <v>0</v>
      </c>
      <c r="BZ404" s="71"/>
      <c r="CL404" t="s">
        <v>429</v>
      </c>
      <c r="CM404">
        <v>1</v>
      </c>
      <c r="CN404">
        <v>270</v>
      </c>
      <c r="CO404">
        <v>100</v>
      </c>
      <c r="CP404" s="74">
        <f ca="1">INDIRECT(ADDRESS(11+(MATCH(RIGHT(Table11[[#This Row],[spawner_sku]],LEN(Table11[[#This Row],[spawner_sku]])-FIND("/",Table11[[#This Row],[spawner_sku]])),Table1[Entity Prefab],0)),10,1,1,"Entities"))</f>
        <v>77</v>
      </c>
      <c r="CQ404">
        <f ca="1">ROUND((Table11[[#This Row],[XP]]*Table11[[#This Row],[entity_spawned (AVG)]])*(Table11[[#This Row],[activating_chance]]/100),0)</f>
        <v>77</v>
      </c>
      <c r="CR404" s="144" t="str">
        <f ca="1">INDIRECT(ADDRESS(11+(MATCH(RIGHT(Table11[[#This Row],[spawner_sku]],LEN(Table11[[#This Row],[spawner_sku]])-FIND("/",Table11[[#This Row],[spawner_sku]])),Table28[Entity Prefab],0)),25,1,1,"Entities"))</f>
        <v>yes</v>
      </c>
      <c r="CS404" s="71">
        <v>1</v>
      </c>
      <c r="CT404" s="71">
        <v>1</v>
      </c>
      <c r="CU404" s="71" t="b">
        <v>0</v>
      </c>
      <c r="DS404" t="s">
        <v>510</v>
      </c>
      <c r="DT404">
        <v>1.5</v>
      </c>
      <c r="DU404">
        <v>140</v>
      </c>
      <c r="DV404">
        <v>80</v>
      </c>
      <c r="DW404" s="74">
        <f ca="1">INDIRECT(ADDRESS(11+(MATCH(RIGHT(Table14[[#This Row],[spawner_sku]],LEN(Table14[[#This Row],[spawner_sku]])-FIND("/",Table14[[#This Row],[spawner_sku]])),Table1[Entity Prefab],0)),10,1,1,"Entities"))</f>
        <v>90</v>
      </c>
      <c r="DX404" s="74">
        <f ca="1">ROUND((Table14[[#This Row],[XP]]*Table14[[#This Row],[entity_spawned (AVG)]])*(Table14[[#This Row],[activating_chance]]/100),0)</f>
        <v>108</v>
      </c>
      <c r="DY404" s="144" t="str">
        <f ca="1">INDIRECT(ADDRESS(11+(MATCH(RIGHT(Table14[[#This Row],[spawner_sku]],LEN(Table14[[#This Row],[spawner_sku]])-FIND("/",Table14[[#This Row],[spawner_sku]])),Table28[Entity Prefab],0)),25,1,1,"Entities"))</f>
        <v>no</v>
      </c>
      <c r="DZ404" s="71">
        <v>1</v>
      </c>
      <c r="EA404" s="71">
        <v>2</v>
      </c>
      <c r="EB404" s="71" t="b">
        <v>0</v>
      </c>
      <c r="EC404" s="71"/>
    </row>
    <row r="405" spans="2:133" x14ac:dyDescent="0.25">
      <c r="B405" s="72" t="s">
        <v>423</v>
      </c>
      <c r="C405">
        <v>4</v>
      </c>
      <c r="D405">
        <v>170</v>
      </c>
      <c r="E405">
        <v>100</v>
      </c>
      <c r="F405" s="74">
        <f ca="1">INDIRECT(ADDRESS(11+(MATCH(RIGHT(Table245[[#This Row],[spawner_sku]],LEN(Table245[[#This Row],[spawner_sku]])-FIND("/",Table245[[#This Row],[spawner_sku]])),Table1[Entity Prefab],0)),10,1,1,"Entities"))</f>
        <v>0</v>
      </c>
      <c r="G405" s="74">
        <f ca="1">ROUND((Table245[[#This Row],[XP]]*Table245[[#This Row],[entity_spawned (AVG)]])*(Table245[[#This Row],[activating_chance]]/100),0)</f>
        <v>0</v>
      </c>
      <c r="H405" s="71" t="str">
        <f ca="1">INDIRECT(ADDRESS(11+(MATCH(RIGHT(Table245[[#This Row],[spawner_sku]],LEN(Table245[[#This Row],[spawner_sku]])-FIND("/",Table245[[#This Row],[spawner_sku]])),Table28[Entity Prefab],0)),24,1,1,"Entities"))</f>
        <v>yes</v>
      </c>
      <c r="I405" s="71">
        <v>4</v>
      </c>
      <c r="J405" s="71">
        <v>4</v>
      </c>
      <c r="K405" s="71" t="b">
        <v>0</v>
      </c>
      <c r="AI405" t="s">
        <v>242</v>
      </c>
      <c r="AJ405">
        <v>1</v>
      </c>
      <c r="AK405">
        <v>140</v>
      </c>
      <c r="AL405">
        <v>90</v>
      </c>
      <c r="AM405" s="74">
        <f ca="1">INDIRECT(ADDRESS(11+(MATCH(RIGHT(Table2[[#This Row],[spawner_sku]],LEN(Table2[[#This Row],[spawner_sku]])-FIND("/",Table2[[#This Row],[spawner_sku]])),Table1[Entity Prefab],0)),10,1,1,"Entities"))</f>
        <v>25</v>
      </c>
      <c r="AN405" s="74">
        <f ca="1">ROUND((Table2[[#This Row],[XP]]*Table2[[#This Row],[entity_spawned (AVG)]])*(Table2[[#This Row],[activating_chance]]/100),0)</f>
        <v>23</v>
      </c>
      <c r="AO405" s="71" t="str">
        <f ca="1">INDIRECT(ADDRESS(11+(MATCH(RIGHT(Table2[[#This Row],[spawner_sku]],LEN(Table2[[#This Row],[spawner_sku]])-FIND("/",Table2[[#This Row],[spawner_sku]])),Table28[Entity Prefab],0)),24,1,1,"Entities"))</f>
        <v>no</v>
      </c>
      <c r="AP405" s="71">
        <v>1</v>
      </c>
      <c r="AQ405" s="71">
        <v>1</v>
      </c>
      <c r="AR405" s="71" t="b">
        <v>0</v>
      </c>
      <c r="BP405" t="s">
        <v>242</v>
      </c>
      <c r="BQ405">
        <v>3</v>
      </c>
      <c r="BR405">
        <v>180</v>
      </c>
      <c r="BS405">
        <v>100</v>
      </c>
      <c r="BT405" s="74">
        <f ca="1">INDIRECT(ADDRESS(11+(MATCH(RIGHT(Table61011[[#This Row],[spawner_sku]],LEN(Table61011[[#This Row],[spawner_sku]])-FIND("/",Table61011[[#This Row],[spawner_sku]])),Table1[Entity Prefab],0)),10,1,1,"Entities"))</f>
        <v>25</v>
      </c>
      <c r="BU405" s="74">
        <f ca="1">ROUND((Table61011[[#This Row],[XP]]*Table61011[[#This Row],[entity_spawned (AVG)]])*(Table61011[[#This Row],[activating_chance]]/100),0)</f>
        <v>75</v>
      </c>
      <c r="BV405" s="71" t="str">
        <f ca="1">INDIRECT(ADDRESS(11+(MATCH(RIGHT(Table61011[[#This Row],[spawner_sku]],LEN(Table61011[[#This Row],[spawner_sku]])-FIND("/",Table61011[[#This Row],[spawner_sku]])),Table28[Entity Prefab],0)),24,1,1,"Entities"))</f>
        <v>no</v>
      </c>
      <c r="BW405" s="71">
        <v>2</v>
      </c>
      <c r="BX405" s="71">
        <v>4</v>
      </c>
      <c r="BY405" s="71" t="b">
        <v>0</v>
      </c>
      <c r="BZ405" s="71"/>
      <c r="CL405" t="s">
        <v>429</v>
      </c>
      <c r="CM405">
        <v>1</v>
      </c>
      <c r="CN405">
        <v>300</v>
      </c>
      <c r="CO405">
        <v>60</v>
      </c>
      <c r="CP405" s="74">
        <f ca="1">INDIRECT(ADDRESS(11+(MATCH(RIGHT(Table11[[#This Row],[spawner_sku]],LEN(Table11[[#This Row],[spawner_sku]])-FIND("/",Table11[[#This Row],[spawner_sku]])),Table1[Entity Prefab],0)),10,1,1,"Entities"))</f>
        <v>77</v>
      </c>
      <c r="CQ405">
        <f ca="1">ROUND((Table11[[#This Row],[XP]]*Table11[[#This Row],[entity_spawned (AVG)]])*(Table11[[#This Row],[activating_chance]]/100),0)</f>
        <v>46</v>
      </c>
      <c r="CR405" s="144" t="str">
        <f ca="1">INDIRECT(ADDRESS(11+(MATCH(RIGHT(Table11[[#This Row],[spawner_sku]],LEN(Table11[[#This Row],[spawner_sku]])-FIND("/",Table11[[#This Row],[spawner_sku]])),Table28[Entity Prefab],0)),25,1,1,"Entities"))</f>
        <v>yes</v>
      </c>
      <c r="CS405" s="71">
        <v>1</v>
      </c>
      <c r="CT405" s="71">
        <v>1</v>
      </c>
      <c r="CU405" s="71" t="b">
        <v>0</v>
      </c>
      <c r="DS405" t="s">
        <v>510</v>
      </c>
      <c r="DT405">
        <v>1</v>
      </c>
      <c r="DU405">
        <v>130</v>
      </c>
      <c r="DV405">
        <v>70</v>
      </c>
      <c r="DW405" s="74">
        <f ca="1">INDIRECT(ADDRESS(11+(MATCH(RIGHT(Table14[[#This Row],[spawner_sku]],LEN(Table14[[#This Row],[spawner_sku]])-FIND("/",Table14[[#This Row],[spawner_sku]])),Table1[Entity Prefab],0)),10,1,1,"Entities"))</f>
        <v>90</v>
      </c>
      <c r="DX405" s="74">
        <f ca="1">ROUND((Table14[[#This Row],[XP]]*Table14[[#This Row],[entity_spawned (AVG)]])*(Table14[[#This Row],[activating_chance]]/100),0)</f>
        <v>63</v>
      </c>
      <c r="DY405" s="144" t="str">
        <f ca="1">INDIRECT(ADDRESS(11+(MATCH(RIGHT(Table14[[#This Row],[spawner_sku]],LEN(Table14[[#This Row],[spawner_sku]])-FIND("/",Table14[[#This Row],[spawner_sku]])),Table28[Entity Prefab],0)),25,1,1,"Entities"))</f>
        <v>no</v>
      </c>
      <c r="DZ405" s="71">
        <v>1</v>
      </c>
      <c r="EA405" s="71">
        <v>1</v>
      </c>
      <c r="EB405" s="71" t="b">
        <v>0</v>
      </c>
      <c r="EC405" s="71"/>
    </row>
    <row r="406" spans="2:133" x14ac:dyDescent="0.25">
      <c r="B406" s="72" t="s">
        <v>423</v>
      </c>
      <c r="C406">
        <v>4</v>
      </c>
      <c r="D406">
        <v>190</v>
      </c>
      <c r="E406">
        <v>100</v>
      </c>
      <c r="F406" s="74">
        <f ca="1">INDIRECT(ADDRESS(11+(MATCH(RIGHT(Table245[[#This Row],[spawner_sku]],LEN(Table245[[#This Row],[spawner_sku]])-FIND("/",Table245[[#This Row],[spawner_sku]])),Table1[Entity Prefab],0)),10,1,1,"Entities"))</f>
        <v>0</v>
      </c>
      <c r="G406" s="74">
        <f ca="1">ROUND((Table245[[#This Row],[XP]]*Table245[[#This Row],[entity_spawned (AVG)]])*(Table245[[#This Row],[activating_chance]]/100),0)</f>
        <v>0</v>
      </c>
      <c r="H406" s="71" t="str">
        <f ca="1">INDIRECT(ADDRESS(11+(MATCH(RIGHT(Table245[[#This Row],[spawner_sku]],LEN(Table245[[#This Row],[spawner_sku]])-FIND("/",Table245[[#This Row],[spawner_sku]])),Table28[Entity Prefab],0)),24,1,1,"Entities"))</f>
        <v>yes</v>
      </c>
      <c r="I406" s="71">
        <v>4</v>
      </c>
      <c r="J406" s="71">
        <v>4</v>
      </c>
      <c r="K406" s="71" t="b">
        <v>0</v>
      </c>
      <c r="AI406" t="s">
        <v>242</v>
      </c>
      <c r="AJ406">
        <v>1</v>
      </c>
      <c r="AK406">
        <v>180</v>
      </c>
      <c r="AL406">
        <v>100</v>
      </c>
      <c r="AM406" s="74">
        <f ca="1">INDIRECT(ADDRESS(11+(MATCH(RIGHT(Table2[[#This Row],[spawner_sku]],LEN(Table2[[#This Row],[spawner_sku]])-FIND("/",Table2[[#This Row],[spawner_sku]])),Table1[Entity Prefab],0)),10,1,1,"Entities"))</f>
        <v>25</v>
      </c>
      <c r="AN406" s="74">
        <f ca="1">ROUND((Table2[[#This Row],[XP]]*Table2[[#This Row],[entity_spawned (AVG)]])*(Table2[[#This Row],[activating_chance]]/100),0)</f>
        <v>25</v>
      </c>
      <c r="AO406" s="71" t="str">
        <f ca="1">INDIRECT(ADDRESS(11+(MATCH(RIGHT(Table2[[#This Row],[spawner_sku]],LEN(Table2[[#This Row],[spawner_sku]])-FIND("/",Table2[[#This Row],[spawner_sku]])),Table28[Entity Prefab],0)),24,1,1,"Entities"))</f>
        <v>no</v>
      </c>
      <c r="AP406" s="71">
        <v>1</v>
      </c>
      <c r="AQ406" s="71">
        <v>1</v>
      </c>
      <c r="AR406" s="71" t="b">
        <v>0</v>
      </c>
      <c r="BP406" t="s">
        <v>242</v>
      </c>
      <c r="BQ406">
        <v>1</v>
      </c>
      <c r="BR406">
        <v>150</v>
      </c>
      <c r="BS406">
        <v>100</v>
      </c>
      <c r="BT406" s="74">
        <f ca="1">INDIRECT(ADDRESS(11+(MATCH(RIGHT(Table61011[[#This Row],[spawner_sku]],LEN(Table61011[[#This Row],[spawner_sku]])-FIND("/",Table61011[[#This Row],[spawner_sku]])),Table1[Entity Prefab],0)),10,1,1,"Entities"))</f>
        <v>25</v>
      </c>
      <c r="BU406" s="74">
        <f ca="1">ROUND((Table61011[[#This Row],[XP]]*Table61011[[#This Row],[entity_spawned (AVG)]])*(Table61011[[#This Row],[activating_chance]]/100),0)</f>
        <v>25</v>
      </c>
      <c r="BV406" s="71" t="str">
        <f ca="1">INDIRECT(ADDRESS(11+(MATCH(RIGHT(Table61011[[#This Row],[spawner_sku]],LEN(Table61011[[#This Row],[spawner_sku]])-FIND("/",Table61011[[#This Row],[spawner_sku]])),Table28[Entity Prefab],0)),24,1,1,"Entities"))</f>
        <v>no</v>
      </c>
      <c r="BW406" s="71">
        <v>1</v>
      </c>
      <c r="BX406" s="71">
        <v>1</v>
      </c>
      <c r="BY406" s="71" t="b">
        <v>0</v>
      </c>
      <c r="BZ406" s="71"/>
      <c r="CL406" t="s">
        <v>429</v>
      </c>
      <c r="CM406">
        <v>1</v>
      </c>
      <c r="CN406">
        <v>270</v>
      </c>
      <c r="CO406">
        <v>100</v>
      </c>
      <c r="CP406" s="74">
        <f ca="1">INDIRECT(ADDRESS(11+(MATCH(RIGHT(Table11[[#This Row],[spawner_sku]],LEN(Table11[[#This Row],[spawner_sku]])-FIND("/",Table11[[#This Row],[spawner_sku]])),Table1[Entity Prefab],0)),10,1,1,"Entities"))</f>
        <v>77</v>
      </c>
      <c r="CQ406">
        <f ca="1">ROUND((Table11[[#This Row],[XP]]*Table11[[#This Row],[entity_spawned (AVG)]])*(Table11[[#This Row],[activating_chance]]/100),0)</f>
        <v>77</v>
      </c>
      <c r="CR406" s="144" t="str">
        <f ca="1">INDIRECT(ADDRESS(11+(MATCH(RIGHT(Table11[[#This Row],[spawner_sku]],LEN(Table11[[#This Row],[spawner_sku]])-FIND("/",Table11[[#This Row],[spawner_sku]])),Table28[Entity Prefab],0)),25,1,1,"Entities"))</f>
        <v>yes</v>
      </c>
      <c r="CS406" s="71">
        <v>1</v>
      </c>
      <c r="CT406" s="71">
        <v>1</v>
      </c>
      <c r="CU406" s="71" t="b">
        <v>0</v>
      </c>
      <c r="DS406" t="s">
        <v>510</v>
      </c>
      <c r="DT406">
        <v>2</v>
      </c>
      <c r="DU406">
        <v>110</v>
      </c>
      <c r="DV406">
        <v>100</v>
      </c>
      <c r="DW406" s="74">
        <f ca="1">INDIRECT(ADDRESS(11+(MATCH(RIGHT(Table14[[#This Row],[spawner_sku]],LEN(Table14[[#This Row],[spawner_sku]])-FIND("/",Table14[[#This Row],[spawner_sku]])),Table1[Entity Prefab],0)),10,1,1,"Entities"))</f>
        <v>90</v>
      </c>
      <c r="DX406" s="74">
        <f ca="1">ROUND((Table14[[#This Row],[XP]]*Table14[[#This Row],[entity_spawned (AVG)]])*(Table14[[#This Row],[activating_chance]]/100),0)</f>
        <v>180</v>
      </c>
      <c r="DY406" s="144" t="str">
        <f ca="1">INDIRECT(ADDRESS(11+(MATCH(RIGHT(Table14[[#This Row],[spawner_sku]],LEN(Table14[[#This Row],[spawner_sku]])-FIND("/",Table14[[#This Row],[spawner_sku]])),Table28[Entity Prefab],0)),25,1,1,"Entities"))</f>
        <v>no</v>
      </c>
      <c r="DZ406" s="71">
        <v>2</v>
      </c>
      <c r="EA406" s="71">
        <v>2</v>
      </c>
      <c r="EB406" s="71" t="b">
        <v>0</v>
      </c>
      <c r="EC406" s="71"/>
    </row>
    <row r="407" spans="2:133" x14ac:dyDescent="0.25">
      <c r="B407" s="72" t="s">
        <v>423</v>
      </c>
      <c r="C407">
        <v>4</v>
      </c>
      <c r="D407">
        <v>200</v>
      </c>
      <c r="E407">
        <v>100</v>
      </c>
      <c r="F407" s="74">
        <f ca="1">INDIRECT(ADDRESS(11+(MATCH(RIGHT(Table245[[#This Row],[spawner_sku]],LEN(Table245[[#This Row],[spawner_sku]])-FIND("/",Table245[[#This Row],[spawner_sku]])),Table1[Entity Prefab],0)),10,1,1,"Entities"))</f>
        <v>0</v>
      </c>
      <c r="G407" s="74">
        <f ca="1">ROUND((Table245[[#This Row],[XP]]*Table245[[#This Row],[entity_spawned (AVG)]])*(Table245[[#This Row],[activating_chance]]/100),0)</f>
        <v>0</v>
      </c>
      <c r="H407" s="71" t="str">
        <f ca="1">INDIRECT(ADDRESS(11+(MATCH(RIGHT(Table245[[#This Row],[spawner_sku]],LEN(Table245[[#This Row],[spawner_sku]])-FIND("/",Table245[[#This Row],[spawner_sku]])),Table28[Entity Prefab],0)),24,1,1,"Entities"))</f>
        <v>yes</v>
      </c>
      <c r="I407" s="71">
        <v>4</v>
      </c>
      <c r="J407" s="71">
        <v>4</v>
      </c>
      <c r="K407" s="71" t="b">
        <v>0</v>
      </c>
      <c r="AI407" t="s">
        <v>242</v>
      </c>
      <c r="AJ407">
        <v>1</v>
      </c>
      <c r="AK407">
        <v>180</v>
      </c>
      <c r="AL407">
        <v>100</v>
      </c>
      <c r="AM407" s="74">
        <f ca="1">INDIRECT(ADDRESS(11+(MATCH(RIGHT(Table2[[#This Row],[spawner_sku]],LEN(Table2[[#This Row],[spawner_sku]])-FIND("/",Table2[[#This Row],[spawner_sku]])),Table1[Entity Prefab],0)),10,1,1,"Entities"))</f>
        <v>25</v>
      </c>
      <c r="AN407" s="74">
        <f ca="1">ROUND((Table2[[#This Row],[XP]]*Table2[[#This Row],[entity_spawned (AVG)]])*(Table2[[#This Row],[activating_chance]]/100),0)</f>
        <v>25</v>
      </c>
      <c r="AO407" s="71" t="str">
        <f ca="1">INDIRECT(ADDRESS(11+(MATCH(RIGHT(Table2[[#This Row],[spawner_sku]],LEN(Table2[[#This Row],[spawner_sku]])-FIND("/",Table2[[#This Row],[spawner_sku]])),Table28[Entity Prefab],0)),24,1,1,"Entities"))</f>
        <v>no</v>
      </c>
      <c r="AP407" s="71">
        <v>1</v>
      </c>
      <c r="AQ407" s="71">
        <v>1</v>
      </c>
      <c r="AR407" s="71" t="b">
        <v>0</v>
      </c>
      <c r="BP407" t="s">
        <v>242</v>
      </c>
      <c r="BQ407">
        <v>2.5</v>
      </c>
      <c r="BR407">
        <v>180</v>
      </c>
      <c r="BS407">
        <v>100</v>
      </c>
      <c r="BT407" s="74">
        <f ca="1">INDIRECT(ADDRESS(11+(MATCH(RIGHT(Table61011[[#This Row],[spawner_sku]],LEN(Table61011[[#This Row],[spawner_sku]])-FIND("/",Table61011[[#This Row],[spawner_sku]])),Table1[Entity Prefab],0)),10,1,1,"Entities"))</f>
        <v>25</v>
      </c>
      <c r="BU407" s="74">
        <f ca="1">ROUND((Table61011[[#This Row],[XP]]*Table61011[[#This Row],[entity_spawned (AVG)]])*(Table61011[[#This Row],[activating_chance]]/100),0)</f>
        <v>63</v>
      </c>
      <c r="BV407" s="71" t="str">
        <f ca="1">INDIRECT(ADDRESS(11+(MATCH(RIGHT(Table61011[[#This Row],[spawner_sku]],LEN(Table61011[[#This Row],[spawner_sku]])-FIND("/",Table61011[[#This Row],[spawner_sku]])),Table28[Entity Prefab],0)),24,1,1,"Entities"))</f>
        <v>no</v>
      </c>
      <c r="BW407" s="71">
        <v>2</v>
      </c>
      <c r="BX407" s="71">
        <v>3</v>
      </c>
      <c r="BY407" s="71" t="b">
        <v>0</v>
      </c>
      <c r="BZ407" s="71"/>
      <c r="CL407" t="s">
        <v>429</v>
      </c>
      <c r="CM407">
        <v>1</v>
      </c>
      <c r="CN407">
        <v>300</v>
      </c>
      <c r="CO407">
        <v>100</v>
      </c>
      <c r="CP407" s="74">
        <f ca="1">INDIRECT(ADDRESS(11+(MATCH(RIGHT(Table11[[#This Row],[spawner_sku]],LEN(Table11[[#This Row],[spawner_sku]])-FIND("/",Table11[[#This Row],[spawner_sku]])),Table1[Entity Prefab],0)),10,1,1,"Entities"))</f>
        <v>77</v>
      </c>
      <c r="CQ407">
        <f ca="1">ROUND((Table11[[#This Row],[XP]]*Table11[[#This Row],[entity_spawned (AVG)]])*(Table11[[#This Row],[activating_chance]]/100),0)</f>
        <v>77</v>
      </c>
      <c r="CR407" s="144" t="str">
        <f ca="1">INDIRECT(ADDRESS(11+(MATCH(RIGHT(Table11[[#This Row],[spawner_sku]],LEN(Table11[[#This Row],[spawner_sku]])-FIND("/",Table11[[#This Row],[spawner_sku]])),Table28[Entity Prefab],0)),25,1,1,"Entities"))</f>
        <v>yes</v>
      </c>
      <c r="CS407" s="71">
        <v>1</v>
      </c>
      <c r="CT407" s="71">
        <v>1</v>
      </c>
      <c r="CU407" s="71" t="b">
        <v>0</v>
      </c>
      <c r="DS407" t="s">
        <v>510</v>
      </c>
      <c r="DT407">
        <v>2</v>
      </c>
      <c r="DU407">
        <v>120</v>
      </c>
      <c r="DV407">
        <v>100</v>
      </c>
      <c r="DW407" s="74">
        <f ca="1">INDIRECT(ADDRESS(11+(MATCH(RIGHT(Table14[[#This Row],[spawner_sku]],LEN(Table14[[#This Row],[spawner_sku]])-FIND("/",Table14[[#This Row],[spawner_sku]])),Table1[Entity Prefab],0)),10,1,1,"Entities"))</f>
        <v>90</v>
      </c>
      <c r="DX407" s="74">
        <f ca="1">ROUND((Table14[[#This Row],[XP]]*Table14[[#This Row],[entity_spawned (AVG)]])*(Table14[[#This Row],[activating_chance]]/100),0)</f>
        <v>180</v>
      </c>
      <c r="DY407" s="144" t="str">
        <f ca="1">INDIRECT(ADDRESS(11+(MATCH(RIGHT(Table14[[#This Row],[spawner_sku]],LEN(Table14[[#This Row],[spawner_sku]])-FIND("/",Table14[[#This Row],[spawner_sku]])),Table28[Entity Prefab],0)),25,1,1,"Entities"))</f>
        <v>no</v>
      </c>
      <c r="DZ407" s="71">
        <v>2</v>
      </c>
      <c r="EA407" s="71">
        <v>2</v>
      </c>
      <c r="EB407" s="71" t="b">
        <v>0</v>
      </c>
      <c r="EC407" s="71"/>
    </row>
    <row r="408" spans="2:133" x14ac:dyDescent="0.25">
      <c r="B408" s="72" t="s">
        <v>423</v>
      </c>
      <c r="C408">
        <v>3</v>
      </c>
      <c r="D408">
        <v>180</v>
      </c>
      <c r="E408">
        <v>100</v>
      </c>
      <c r="F408" s="74">
        <f ca="1">INDIRECT(ADDRESS(11+(MATCH(RIGHT(Table245[[#This Row],[spawner_sku]],LEN(Table245[[#This Row],[spawner_sku]])-FIND("/",Table245[[#This Row],[spawner_sku]])),Table1[Entity Prefab],0)),10,1,1,"Entities"))</f>
        <v>0</v>
      </c>
      <c r="G408" s="74">
        <f ca="1">ROUND((Table245[[#This Row],[XP]]*Table245[[#This Row],[entity_spawned (AVG)]])*(Table245[[#This Row],[activating_chance]]/100),0)</f>
        <v>0</v>
      </c>
      <c r="H408" s="71" t="str">
        <f ca="1">INDIRECT(ADDRESS(11+(MATCH(RIGHT(Table245[[#This Row],[spawner_sku]],LEN(Table245[[#This Row],[spawner_sku]])-FIND("/",Table245[[#This Row],[spawner_sku]])),Table28[Entity Prefab],0)),24,1,1,"Entities"))</f>
        <v>yes</v>
      </c>
      <c r="I408" s="71">
        <v>3</v>
      </c>
      <c r="J408" s="71">
        <v>3</v>
      </c>
      <c r="K408" s="71" t="b">
        <v>0</v>
      </c>
      <c r="AI408" t="s">
        <v>486</v>
      </c>
      <c r="AJ408">
        <v>1</v>
      </c>
      <c r="AK408">
        <v>300</v>
      </c>
      <c r="AL408">
        <v>100</v>
      </c>
      <c r="AM408" s="74">
        <f ca="1">INDIRECT(ADDRESS(11+(MATCH(RIGHT(Table2[[#This Row],[spawner_sku]],LEN(Table2[[#This Row],[spawner_sku]])-FIND("/",Table2[[#This Row],[spawner_sku]])),Table1[Entity Prefab],0)),10,1,1,"Entities"))</f>
        <v>83</v>
      </c>
      <c r="AN408" s="74">
        <f ca="1">ROUND((Table2[[#This Row],[XP]]*Table2[[#This Row],[entity_spawned (AVG)]])*(Table2[[#This Row],[activating_chance]]/100),0)</f>
        <v>83</v>
      </c>
      <c r="AO408" s="71" t="str">
        <f ca="1">INDIRECT(ADDRESS(11+(MATCH(RIGHT(Table2[[#This Row],[spawner_sku]],LEN(Table2[[#This Row],[spawner_sku]])-FIND("/",Table2[[#This Row],[spawner_sku]])),Table28[Entity Prefab],0)),24,1,1,"Entities"))</f>
        <v>yes</v>
      </c>
      <c r="AP408" s="71">
        <v>1</v>
      </c>
      <c r="AQ408" s="71">
        <v>1</v>
      </c>
      <c r="AR408" s="71" t="b">
        <v>0</v>
      </c>
      <c r="BP408" t="s">
        <v>242</v>
      </c>
      <c r="BQ408">
        <v>1</v>
      </c>
      <c r="BR408">
        <v>180</v>
      </c>
      <c r="BS408">
        <v>30</v>
      </c>
      <c r="BT408" s="74">
        <f ca="1">INDIRECT(ADDRESS(11+(MATCH(RIGHT(Table61011[[#This Row],[spawner_sku]],LEN(Table61011[[#This Row],[spawner_sku]])-FIND("/",Table61011[[#This Row],[spawner_sku]])),Table1[Entity Prefab],0)),10,1,1,"Entities"))</f>
        <v>25</v>
      </c>
      <c r="BU408" s="74">
        <f ca="1">ROUND((Table61011[[#This Row],[XP]]*Table61011[[#This Row],[entity_spawned (AVG)]])*(Table61011[[#This Row],[activating_chance]]/100),0)</f>
        <v>8</v>
      </c>
      <c r="BV408" s="71" t="str">
        <f ca="1">INDIRECT(ADDRESS(11+(MATCH(RIGHT(Table61011[[#This Row],[spawner_sku]],LEN(Table61011[[#This Row],[spawner_sku]])-FIND("/",Table61011[[#This Row],[spawner_sku]])),Table28[Entity Prefab],0)),24,1,1,"Entities"))</f>
        <v>no</v>
      </c>
      <c r="BW408" s="71">
        <v>1</v>
      </c>
      <c r="BX408" s="71">
        <v>1</v>
      </c>
      <c r="BY408" s="71" t="b">
        <v>0</v>
      </c>
      <c r="BZ408" s="71"/>
      <c r="CL408" t="s">
        <v>429</v>
      </c>
      <c r="CM408">
        <v>1</v>
      </c>
      <c r="CN408">
        <v>300</v>
      </c>
      <c r="CO408">
        <v>50</v>
      </c>
      <c r="CP408" s="74">
        <f ca="1">INDIRECT(ADDRESS(11+(MATCH(RIGHT(Table11[[#This Row],[spawner_sku]],LEN(Table11[[#This Row],[spawner_sku]])-FIND("/",Table11[[#This Row],[spawner_sku]])),Table1[Entity Prefab],0)),10,1,1,"Entities"))</f>
        <v>77</v>
      </c>
      <c r="CQ408">
        <f ca="1">ROUND((Table11[[#This Row],[XP]]*Table11[[#This Row],[entity_spawned (AVG)]])*(Table11[[#This Row],[activating_chance]]/100),0)</f>
        <v>39</v>
      </c>
      <c r="CR408" s="144" t="str">
        <f ca="1">INDIRECT(ADDRESS(11+(MATCH(RIGHT(Table11[[#This Row],[spawner_sku]],LEN(Table11[[#This Row],[spawner_sku]])-FIND("/",Table11[[#This Row],[spawner_sku]])),Table28[Entity Prefab],0)),25,1,1,"Entities"))</f>
        <v>yes</v>
      </c>
      <c r="CS408" s="71">
        <v>1</v>
      </c>
      <c r="CT408" s="71">
        <v>1</v>
      </c>
      <c r="CU408" s="71" t="b">
        <v>0</v>
      </c>
      <c r="DS408" t="s">
        <v>510</v>
      </c>
      <c r="DT408">
        <v>1</v>
      </c>
      <c r="DU408">
        <v>140</v>
      </c>
      <c r="DV408">
        <v>100</v>
      </c>
      <c r="DW408" s="74">
        <f ca="1">INDIRECT(ADDRESS(11+(MATCH(RIGHT(Table14[[#This Row],[spawner_sku]],LEN(Table14[[#This Row],[spawner_sku]])-FIND("/",Table14[[#This Row],[spawner_sku]])),Table1[Entity Prefab],0)),10,1,1,"Entities"))</f>
        <v>90</v>
      </c>
      <c r="DX408" s="74">
        <f ca="1">ROUND((Table14[[#This Row],[XP]]*Table14[[#This Row],[entity_spawned (AVG)]])*(Table14[[#This Row],[activating_chance]]/100),0)</f>
        <v>90</v>
      </c>
      <c r="DY408" s="144" t="str">
        <f ca="1">INDIRECT(ADDRESS(11+(MATCH(RIGHT(Table14[[#This Row],[spawner_sku]],LEN(Table14[[#This Row],[spawner_sku]])-FIND("/",Table14[[#This Row],[spawner_sku]])),Table28[Entity Prefab],0)),25,1,1,"Entities"))</f>
        <v>no</v>
      </c>
      <c r="DZ408" s="71">
        <v>1</v>
      </c>
      <c r="EA408" s="71">
        <v>1</v>
      </c>
      <c r="EB408" s="71" t="b">
        <v>0</v>
      </c>
      <c r="EC408" s="71"/>
    </row>
    <row r="409" spans="2:133" x14ac:dyDescent="0.25">
      <c r="B409" s="72" t="s">
        <v>423</v>
      </c>
      <c r="C409">
        <v>4</v>
      </c>
      <c r="D409">
        <v>170</v>
      </c>
      <c r="E409">
        <v>100</v>
      </c>
      <c r="F409" s="74">
        <f ca="1">INDIRECT(ADDRESS(11+(MATCH(RIGHT(Table245[[#This Row],[spawner_sku]],LEN(Table245[[#This Row],[spawner_sku]])-FIND("/",Table245[[#This Row],[spawner_sku]])),Table1[Entity Prefab],0)),10,1,1,"Entities"))</f>
        <v>0</v>
      </c>
      <c r="G409" s="74">
        <f ca="1">ROUND((Table245[[#This Row],[XP]]*Table245[[#This Row],[entity_spawned (AVG)]])*(Table245[[#This Row],[activating_chance]]/100),0)</f>
        <v>0</v>
      </c>
      <c r="H409" s="71" t="str">
        <f ca="1">INDIRECT(ADDRESS(11+(MATCH(RIGHT(Table245[[#This Row],[spawner_sku]],LEN(Table245[[#This Row],[spawner_sku]])-FIND("/",Table245[[#This Row],[spawner_sku]])),Table28[Entity Prefab],0)),24,1,1,"Entities"))</f>
        <v>yes</v>
      </c>
      <c r="I409" s="71">
        <v>4</v>
      </c>
      <c r="J409" s="71">
        <v>4</v>
      </c>
      <c r="K409" s="71" t="b">
        <v>0</v>
      </c>
      <c r="BP409" t="s">
        <v>242</v>
      </c>
      <c r="BQ409">
        <v>1</v>
      </c>
      <c r="BR409">
        <v>200</v>
      </c>
      <c r="BS409">
        <v>100</v>
      </c>
      <c r="BT409" s="74">
        <f ca="1">INDIRECT(ADDRESS(11+(MATCH(RIGHT(Table61011[[#This Row],[spawner_sku]],LEN(Table61011[[#This Row],[spawner_sku]])-FIND("/",Table61011[[#This Row],[spawner_sku]])),Table1[Entity Prefab],0)),10,1,1,"Entities"))</f>
        <v>25</v>
      </c>
      <c r="BU409" s="74">
        <f ca="1">ROUND((Table61011[[#This Row],[XP]]*Table61011[[#This Row],[entity_spawned (AVG)]])*(Table61011[[#This Row],[activating_chance]]/100),0)</f>
        <v>25</v>
      </c>
      <c r="BV409" s="71" t="str">
        <f ca="1">INDIRECT(ADDRESS(11+(MATCH(RIGHT(Table61011[[#This Row],[spawner_sku]],LEN(Table61011[[#This Row],[spawner_sku]])-FIND("/",Table61011[[#This Row],[spawner_sku]])),Table28[Entity Prefab],0)),24,1,1,"Entities"))</f>
        <v>no</v>
      </c>
      <c r="BW409" s="71">
        <v>1</v>
      </c>
      <c r="BX409" s="71">
        <v>1</v>
      </c>
      <c r="BY409" s="71" t="b">
        <v>0</v>
      </c>
      <c r="BZ409" s="71"/>
      <c r="CL409" t="s">
        <v>429</v>
      </c>
      <c r="CM409">
        <v>1</v>
      </c>
      <c r="CN409">
        <v>300</v>
      </c>
      <c r="CO409">
        <v>100</v>
      </c>
      <c r="CP409" s="74">
        <f ca="1">INDIRECT(ADDRESS(11+(MATCH(RIGHT(Table11[[#This Row],[spawner_sku]],LEN(Table11[[#This Row],[spawner_sku]])-FIND("/",Table11[[#This Row],[spawner_sku]])),Table1[Entity Prefab],0)),10,1,1,"Entities"))</f>
        <v>77</v>
      </c>
      <c r="CQ409">
        <f ca="1">ROUND((Table11[[#This Row],[XP]]*Table11[[#This Row],[entity_spawned (AVG)]])*(Table11[[#This Row],[activating_chance]]/100),0)</f>
        <v>77</v>
      </c>
      <c r="CR409" s="144" t="str">
        <f ca="1">INDIRECT(ADDRESS(11+(MATCH(RIGHT(Table11[[#This Row],[spawner_sku]],LEN(Table11[[#This Row],[spawner_sku]])-FIND("/",Table11[[#This Row],[spawner_sku]])),Table28[Entity Prefab],0)),25,1,1,"Entities"))</f>
        <v>yes</v>
      </c>
      <c r="CS409" s="71">
        <v>1</v>
      </c>
      <c r="CT409" s="71">
        <v>1</v>
      </c>
      <c r="CU409" s="71" t="b">
        <v>0</v>
      </c>
      <c r="DS409" t="s">
        <v>510</v>
      </c>
      <c r="DT409">
        <v>1</v>
      </c>
      <c r="DU409">
        <v>145</v>
      </c>
      <c r="DV409">
        <v>100</v>
      </c>
      <c r="DW409" s="74">
        <f ca="1">INDIRECT(ADDRESS(11+(MATCH(RIGHT(Table14[[#This Row],[spawner_sku]],LEN(Table14[[#This Row],[spawner_sku]])-FIND("/",Table14[[#This Row],[spawner_sku]])),Table1[Entity Prefab],0)),10,1,1,"Entities"))</f>
        <v>90</v>
      </c>
      <c r="DX409" s="74">
        <f ca="1">ROUND((Table14[[#This Row],[XP]]*Table14[[#This Row],[entity_spawned (AVG)]])*(Table14[[#This Row],[activating_chance]]/100),0)</f>
        <v>90</v>
      </c>
      <c r="DY409" s="144" t="str">
        <f ca="1">INDIRECT(ADDRESS(11+(MATCH(RIGHT(Table14[[#This Row],[spawner_sku]],LEN(Table14[[#This Row],[spawner_sku]])-FIND("/",Table14[[#This Row],[spawner_sku]])),Table28[Entity Prefab],0)),25,1,1,"Entities"))</f>
        <v>no</v>
      </c>
      <c r="DZ409" s="71">
        <v>1</v>
      </c>
      <c r="EA409" s="71">
        <v>1</v>
      </c>
      <c r="EB409" s="71" t="b">
        <v>0</v>
      </c>
      <c r="EC409" s="71"/>
    </row>
    <row r="410" spans="2:133" x14ac:dyDescent="0.25">
      <c r="B410" s="72" t="s">
        <v>423</v>
      </c>
      <c r="C410">
        <v>4</v>
      </c>
      <c r="D410">
        <v>190</v>
      </c>
      <c r="E410">
        <v>100</v>
      </c>
      <c r="F410" s="74">
        <f ca="1">INDIRECT(ADDRESS(11+(MATCH(RIGHT(Table245[[#This Row],[spawner_sku]],LEN(Table245[[#This Row],[spawner_sku]])-FIND("/",Table245[[#This Row],[spawner_sku]])),Table1[Entity Prefab],0)),10,1,1,"Entities"))</f>
        <v>0</v>
      </c>
      <c r="G410" s="74">
        <f ca="1">ROUND((Table245[[#This Row],[XP]]*Table245[[#This Row],[entity_spawned (AVG)]])*(Table245[[#This Row],[activating_chance]]/100),0)</f>
        <v>0</v>
      </c>
      <c r="H410" s="71" t="str">
        <f ca="1">INDIRECT(ADDRESS(11+(MATCH(RIGHT(Table245[[#This Row],[spawner_sku]],LEN(Table245[[#This Row],[spawner_sku]])-FIND("/",Table245[[#This Row],[spawner_sku]])),Table28[Entity Prefab],0)),24,1,1,"Entities"))</f>
        <v>yes</v>
      </c>
      <c r="I410" s="71">
        <v>4</v>
      </c>
      <c r="J410" s="71">
        <v>4</v>
      </c>
      <c r="K410" s="71" t="b">
        <v>0</v>
      </c>
      <c r="BP410" t="s">
        <v>242</v>
      </c>
      <c r="BQ410">
        <v>3</v>
      </c>
      <c r="BR410">
        <v>200</v>
      </c>
      <c r="BS410">
        <v>100</v>
      </c>
      <c r="BT410" s="74">
        <f ca="1">INDIRECT(ADDRESS(11+(MATCH(RIGHT(Table61011[[#This Row],[spawner_sku]],LEN(Table61011[[#This Row],[spawner_sku]])-FIND("/",Table61011[[#This Row],[spawner_sku]])),Table1[Entity Prefab],0)),10,1,1,"Entities"))</f>
        <v>25</v>
      </c>
      <c r="BU410" s="74">
        <f ca="1">ROUND((Table61011[[#This Row],[XP]]*Table61011[[#This Row],[entity_spawned (AVG)]])*(Table61011[[#This Row],[activating_chance]]/100),0)</f>
        <v>75</v>
      </c>
      <c r="BV410" s="71" t="str">
        <f ca="1">INDIRECT(ADDRESS(11+(MATCH(RIGHT(Table61011[[#This Row],[spawner_sku]],LEN(Table61011[[#This Row],[spawner_sku]])-FIND("/",Table61011[[#This Row],[spawner_sku]])),Table28[Entity Prefab],0)),24,1,1,"Entities"))</f>
        <v>no</v>
      </c>
      <c r="BW410" s="71">
        <v>3</v>
      </c>
      <c r="BX410" s="71">
        <v>3</v>
      </c>
      <c r="BY410" s="71" t="b">
        <v>0</v>
      </c>
      <c r="BZ410" s="71"/>
      <c r="CL410" t="s">
        <v>429</v>
      </c>
      <c r="CM410">
        <v>1</v>
      </c>
      <c r="CN410">
        <v>300</v>
      </c>
      <c r="CO410">
        <v>100</v>
      </c>
      <c r="CP410" s="74">
        <f ca="1">INDIRECT(ADDRESS(11+(MATCH(RIGHT(Table11[[#This Row],[spawner_sku]],LEN(Table11[[#This Row],[spawner_sku]])-FIND("/",Table11[[#This Row],[spawner_sku]])),Table1[Entity Prefab],0)),10,1,1,"Entities"))</f>
        <v>77</v>
      </c>
      <c r="CQ410">
        <f ca="1">ROUND((Table11[[#This Row],[XP]]*Table11[[#This Row],[entity_spawned (AVG)]])*(Table11[[#This Row],[activating_chance]]/100),0)</f>
        <v>77</v>
      </c>
      <c r="CR410" s="144" t="str">
        <f ca="1">INDIRECT(ADDRESS(11+(MATCH(RIGHT(Table11[[#This Row],[spawner_sku]],LEN(Table11[[#This Row],[spawner_sku]])-FIND("/",Table11[[#This Row],[spawner_sku]])),Table28[Entity Prefab],0)),25,1,1,"Entities"))</f>
        <v>yes</v>
      </c>
      <c r="CS410" s="71">
        <v>1</v>
      </c>
      <c r="CT410" s="71">
        <v>1</v>
      </c>
      <c r="CU410" s="71" t="b">
        <v>0</v>
      </c>
      <c r="DS410" t="s">
        <v>510</v>
      </c>
      <c r="DT410">
        <v>1</v>
      </c>
      <c r="DU410">
        <v>100</v>
      </c>
      <c r="DV410">
        <v>100</v>
      </c>
      <c r="DW410" s="74">
        <f ca="1">INDIRECT(ADDRESS(11+(MATCH(RIGHT(Table14[[#This Row],[spawner_sku]],LEN(Table14[[#This Row],[spawner_sku]])-FIND("/",Table14[[#This Row],[spawner_sku]])),Table1[Entity Prefab],0)),10,1,1,"Entities"))</f>
        <v>90</v>
      </c>
      <c r="DX410" s="74">
        <f ca="1">ROUND((Table14[[#This Row],[XP]]*Table14[[#This Row],[entity_spawned (AVG)]])*(Table14[[#This Row],[activating_chance]]/100),0)</f>
        <v>90</v>
      </c>
      <c r="DY410" s="144" t="str">
        <f ca="1">INDIRECT(ADDRESS(11+(MATCH(RIGHT(Table14[[#This Row],[spawner_sku]],LEN(Table14[[#This Row],[spawner_sku]])-FIND("/",Table14[[#This Row],[spawner_sku]])),Table28[Entity Prefab],0)),25,1,1,"Entities"))</f>
        <v>no</v>
      </c>
      <c r="DZ410" s="71">
        <v>1</v>
      </c>
      <c r="EA410" s="71">
        <v>1</v>
      </c>
      <c r="EB410" s="71" t="b">
        <v>0</v>
      </c>
      <c r="EC410" s="71"/>
    </row>
    <row r="411" spans="2:133" x14ac:dyDescent="0.25">
      <c r="B411" s="72" t="s">
        <v>423</v>
      </c>
      <c r="C411">
        <v>4</v>
      </c>
      <c r="D411">
        <v>200</v>
      </c>
      <c r="E411">
        <v>80</v>
      </c>
      <c r="F411" s="74">
        <f ca="1">INDIRECT(ADDRESS(11+(MATCH(RIGHT(Table245[[#This Row],[spawner_sku]],LEN(Table245[[#This Row],[spawner_sku]])-FIND("/",Table245[[#This Row],[spawner_sku]])),Table1[Entity Prefab],0)),10,1,1,"Entities"))</f>
        <v>0</v>
      </c>
      <c r="G411" s="74">
        <f ca="1">ROUND((Table245[[#This Row],[XP]]*Table245[[#This Row],[entity_spawned (AVG)]])*(Table245[[#This Row],[activating_chance]]/100),0)</f>
        <v>0</v>
      </c>
      <c r="H411" s="71" t="str">
        <f ca="1">INDIRECT(ADDRESS(11+(MATCH(RIGHT(Table245[[#This Row],[spawner_sku]],LEN(Table245[[#This Row],[spawner_sku]])-FIND("/",Table245[[#This Row],[spawner_sku]])),Table28[Entity Prefab],0)),24,1,1,"Entities"))</f>
        <v>yes</v>
      </c>
      <c r="I411" s="71">
        <v>4</v>
      </c>
      <c r="J411" s="71">
        <v>4</v>
      </c>
      <c r="K411" s="71" t="b">
        <v>0</v>
      </c>
      <c r="BP411" t="s">
        <v>242</v>
      </c>
      <c r="BQ411">
        <v>1</v>
      </c>
      <c r="BR411">
        <v>200</v>
      </c>
      <c r="BS411">
        <v>100</v>
      </c>
      <c r="BT411" s="74">
        <f ca="1">INDIRECT(ADDRESS(11+(MATCH(RIGHT(Table61011[[#This Row],[spawner_sku]],LEN(Table61011[[#This Row],[spawner_sku]])-FIND("/",Table61011[[#This Row],[spawner_sku]])),Table1[Entity Prefab],0)),10,1,1,"Entities"))</f>
        <v>25</v>
      </c>
      <c r="BU411" s="74">
        <f ca="1">ROUND((Table61011[[#This Row],[XP]]*Table61011[[#This Row],[entity_spawned (AVG)]])*(Table61011[[#This Row],[activating_chance]]/100),0)</f>
        <v>25</v>
      </c>
      <c r="BV411" s="71" t="str">
        <f ca="1">INDIRECT(ADDRESS(11+(MATCH(RIGHT(Table61011[[#This Row],[spawner_sku]],LEN(Table61011[[#This Row],[spawner_sku]])-FIND("/",Table61011[[#This Row],[spawner_sku]])),Table28[Entity Prefab],0)),24,1,1,"Entities"))</f>
        <v>no</v>
      </c>
      <c r="BW411" s="71">
        <v>1</v>
      </c>
      <c r="BX411" s="71">
        <v>1</v>
      </c>
      <c r="BY411" s="71" t="b">
        <v>0</v>
      </c>
      <c r="BZ411" s="71"/>
      <c r="CL411" t="s">
        <v>429</v>
      </c>
      <c r="CM411">
        <v>1</v>
      </c>
      <c r="CN411">
        <v>300</v>
      </c>
      <c r="CO411">
        <v>100</v>
      </c>
      <c r="CP411" s="74">
        <f ca="1">INDIRECT(ADDRESS(11+(MATCH(RIGHT(Table11[[#This Row],[spawner_sku]],LEN(Table11[[#This Row],[spawner_sku]])-FIND("/",Table11[[#This Row],[spawner_sku]])),Table1[Entity Prefab],0)),10,1,1,"Entities"))</f>
        <v>77</v>
      </c>
      <c r="CQ411">
        <f ca="1">ROUND((Table11[[#This Row],[XP]]*Table11[[#This Row],[entity_spawned (AVG)]])*(Table11[[#This Row],[activating_chance]]/100),0)</f>
        <v>77</v>
      </c>
      <c r="CR411" s="144" t="str">
        <f ca="1">INDIRECT(ADDRESS(11+(MATCH(RIGHT(Table11[[#This Row],[spawner_sku]],LEN(Table11[[#This Row],[spawner_sku]])-FIND("/",Table11[[#This Row],[spawner_sku]])),Table28[Entity Prefab],0)),25,1,1,"Entities"))</f>
        <v>yes</v>
      </c>
      <c r="CS411" s="71">
        <v>1</v>
      </c>
      <c r="CT411" s="71">
        <v>1</v>
      </c>
      <c r="CU411" s="71" t="b">
        <v>0</v>
      </c>
      <c r="DS411" t="s">
        <v>510</v>
      </c>
      <c r="DT411">
        <v>1</v>
      </c>
      <c r="DU411">
        <v>150</v>
      </c>
      <c r="DV411">
        <v>100</v>
      </c>
      <c r="DW411" s="74">
        <f ca="1">INDIRECT(ADDRESS(11+(MATCH(RIGHT(Table14[[#This Row],[spawner_sku]],LEN(Table14[[#This Row],[spawner_sku]])-FIND("/",Table14[[#This Row],[spawner_sku]])),Table1[Entity Prefab],0)),10,1,1,"Entities"))</f>
        <v>90</v>
      </c>
      <c r="DX411" s="74">
        <f ca="1">ROUND((Table14[[#This Row],[XP]]*Table14[[#This Row],[entity_spawned (AVG)]])*(Table14[[#This Row],[activating_chance]]/100),0)</f>
        <v>90</v>
      </c>
      <c r="DY411" s="144" t="str">
        <f ca="1">INDIRECT(ADDRESS(11+(MATCH(RIGHT(Table14[[#This Row],[spawner_sku]],LEN(Table14[[#This Row],[spawner_sku]])-FIND("/",Table14[[#This Row],[spawner_sku]])),Table28[Entity Prefab],0)),25,1,1,"Entities"))</f>
        <v>no</v>
      </c>
      <c r="DZ411" s="71">
        <v>1</v>
      </c>
      <c r="EA411" s="71">
        <v>1</v>
      </c>
      <c r="EB411" s="71" t="b">
        <v>0</v>
      </c>
      <c r="EC411" s="71"/>
    </row>
    <row r="412" spans="2:133" x14ac:dyDescent="0.25">
      <c r="B412" s="72" t="s">
        <v>423</v>
      </c>
      <c r="C412">
        <v>1.5</v>
      </c>
      <c r="D412">
        <v>190</v>
      </c>
      <c r="E412">
        <v>100</v>
      </c>
      <c r="F412" s="74">
        <f ca="1">INDIRECT(ADDRESS(11+(MATCH(RIGHT(Table245[[#This Row],[spawner_sku]],LEN(Table245[[#This Row],[spawner_sku]])-FIND("/",Table245[[#This Row],[spawner_sku]])),Table1[Entity Prefab],0)),10,1,1,"Entities"))</f>
        <v>0</v>
      </c>
      <c r="G412" s="74">
        <f ca="1">ROUND((Table245[[#This Row],[XP]]*Table245[[#This Row],[entity_spawned (AVG)]])*(Table245[[#This Row],[activating_chance]]/100),0)</f>
        <v>0</v>
      </c>
      <c r="H412" s="71" t="str">
        <f ca="1">INDIRECT(ADDRESS(11+(MATCH(RIGHT(Table245[[#This Row],[spawner_sku]],LEN(Table245[[#This Row],[spawner_sku]])-FIND("/",Table245[[#This Row],[spawner_sku]])),Table28[Entity Prefab],0)),24,1,1,"Entities"))</f>
        <v>yes</v>
      </c>
      <c r="I412" s="71">
        <v>1</v>
      </c>
      <c r="J412" s="71">
        <v>2</v>
      </c>
      <c r="K412" s="71" t="b">
        <v>0</v>
      </c>
      <c r="BP412" t="s">
        <v>242</v>
      </c>
      <c r="BQ412">
        <v>1</v>
      </c>
      <c r="BR412">
        <v>150</v>
      </c>
      <c r="BS412">
        <v>100</v>
      </c>
      <c r="BT412" s="74">
        <f ca="1">INDIRECT(ADDRESS(11+(MATCH(RIGHT(Table61011[[#This Row],[spawner_sku]],LEN(Table61011[[#This Row],[spawner_sku]])-FIND("/",Table61011[[#This Row],[spawner_sku]])),Table1[Entity Prefab],0)),10,1,1,"Entities"))</f>
        <v>25</v>
      </c>
      <c r="BU412" s="74">
        <f ca="1">ROUND((Table61011[[#This Row],[XP]]*Table61011[[#This Row],[entity_spawned (AVG)]])*(Table61011[[#This Row],[activating_chance]]/100),0)</f>
        <v>25</v>
      </c>
      <c r="BV412" s="71" t="str">
        <f ca="1">INDIRECT(ADDRESS(11+(MATCH(RIGHT(Table61011[[#This Row],[spawner_sku]],LEN(Table61011[[#This Row],[spawner_sku]])-FIND("/",Table61011[[#This Row],[spawner_sku]])),Table28[Entity Prefab],0)),24,1,1,"Entities"))</f>
        <v>no</v>
      </c>
      <c r="BW412" s="71">
        <v>1</v>
      </c>
      <c r="BX412" s="71">
        <v>1</v>
      </c>
      <c r="BY412" s="71" t="b">
        <v>0</v>
      </c>
      <c r="BZ412" s="71"/>
      <c r="CL412" t="s">
        <v>429</v>
      </c>
      <c r="CM412">
        <v>1</v>
      </c>
      <c r="CN412">
        <v>300</v>
      </c>
      <c r="CO412">
        <v>100</v>
      </c>
      <c r="CP412" s="74">
        <f ca="1">INDIRECT(ADDRESS(11+(MATCH(RIGHT(Table11[[#This Row],[spawner_sku]],LEN(Table11[[#This Row],[spawner_sku]])-FIND("/",Table11[[#This Row],[spawner_sku]])),Table1[Entity Prefab],0)),10,1,1,"Entities"))</f>
        <v>77</v>
      </c>
      <c r="CQ412">
        <f ca="1">ROUND((Table11[[#This Row],[XP]]*Table11[[#This Row],[entity_spawned (AVG)]])*(Table11[[#This Row],[activating_chance]]/100),0)</f>
        <v>77</v>
      </c>
      <c r="CR412" s="144" t="str">
        <f ca="1">INDIRECT(ADDRESS(11+(MATCH(RIGHT(Table11[[#This Row],[spawner_sku]],LEN(Table11[[#This Row],[spawner_sku]])-FIND("/",Table11[[#This Row],[spawner_sku]])),Table28[Entity Prefab],0)),25,1,1,"Entities"))</f>
        <v>yes</v>
      </c>
      <c r="CS412" s="71">
        <v>1</v>
      </c>
      <c r="CT412" s="71">
        <v>1</v>
      </c>
      <c r="CU412" s="71" t="b">
        <v>0</v>
      </c>
      <c r="DS412" t="s">
        <v>510</v>
      </c>
      <c r="DT412">
        <v>1</v>
      </c>
      <c r="DU412">
        <v>180</v>
      </c>
      <c r="DV412">
        <v>100</v>
      </c>
      <c r="DW412" s="74">
        <f ca="1">INDIRECT(ADDRESS(11+(MATCH(RIGHT(Table14[[#This Row],[spawner_sku]],LEN(Table14[[#This Row],[spawner_sku]])-FIND("/",Table14[[#This Row],[spawner_sku]])),Table1[Entity Prefab],0)),10,1,1,"Entities"))</f>
        <v>90</v>
      </c>
      <c r="DX412" s="74">
        <f ca="1">ROUND((Table14[[#This Row],[XP]]*Table14[[#This Row],[entity_spawned (AVG)]])*(Table14[[#This Row],[activating_chance]]/100),0)</f>
        <v>90</v>
      </c>
      <c r="DY412" s="144" t="str">
        <f ca="1">INDIRECT(ADDRESS(11+(MATCH(RIGHT(Table14[[#This Row],[spawner_sku]],LEN(Table14[[#This Row],[spawner_sku]])-FIND("/",Table14[[#This Row],[spawner_sku]])),Table28[Entity Prefab],0)),25,1,1,"Entities"))</f>
        <v>no</v>
      </c>
      <c r="DZ412" s="71">
        <v>1</v>
      </c>
      <c r="EA412" s="71">
        <v>1</v>
      </c>
      <c r="EB412" s="71" t="b">
        <v>0</v>
      </c>
      <c r="EC412" s="71"/>
    </row>
    <row r="413" spans="2:133" x14ac:dyDescent="0.25">
      <c r="B413" s="72" t="s">
        <v>423</v>
      </c>
      <c r="C413">
        <v>2.5</v>
      </c>
      <c r="D413">
        <v>180</v>
      </c>
      <c r="E413">
        <v>100</v>
      </c>
      <c r="F413" s="74">
        <f ca="1">INDIRECT(ADDRESS(11+(MATCH(RIGHT(Table245[[#This Row],[spawner_sku]],LEN(Table245[[#This Row],[spawner_sku]])-FIND("/",Table245[[#This Row],[spawner_sku]])),Table1[Entity Prefab],0)),10,1,1,"Entities"))</f>
        <v>0</v>
      </c>
      <c r="G413" s="74">
        <f ca="1">ROUND((Table245[[#This Row],[XP]]*Table245[[#This Row],[entity_spawned (AVG)]])*(Table245[[#This Row],[activating_chance]]/100),0)</f>
        <v>0</v>
      </c>
      <c r="H413" s="71" t="str">
        <f ca="1">INDIRECT(ADDRESS(11+(MATCH(RIGHT(Table245[[#This Row],[spawner_sku]],LEN(Table245[[#This Row],[spawner_sku]])-FIND("/",Table245[[#This Row],[spawner_sku]])),Table28[Entity Prefab],0)),24,1,1,"Entities"))</f>
        <v>yes</v>
      </c>
      <c r="I413" s="71">
        <v>2</v>
      </c>
      <c r="J413" s="71">
        <v>3</v>
      </c>
      <c r="K413" s="71" t="b">
        <v>0</v>
      </c>
      <c r="BP413" t="s">
        <v>242</v>
      </c>
      <c r="BQ413">
        <v>1</v>
      </c>
      <c r="BR413">
        <v>100</v>
      </c>
      <c r="BS413">
        <v>100</v>
      </c>
      <c r="BT413" s="74">
        <f ca="1">INDIRECT(ADDRESS(11+(MATCH(RIGHT(Table61011[[#This Row],[spawner_sku]],LEN(Table61011[[#This Row],[spawner_sku]])-FIND("/",Table61011[[#This Row],[spawner_sku]])),Table1[Entity Prefab],0)),10,1,1,"Entities"))</f>
        <v>25</v>
      </c>
      <c r="BU413" s="74">
        <f ca="1">ROUND((Table61011[[#This Row],[XP]]*Table61011[[#This Row],[entity_spawned (AVG)]])*(Table61011[[#This Row],[activating_chance]]/100),0)</f>
        <v>25</v>
      </c>
      <c r="BV413" s="71" t="str">
        <f ca="1">INDIRECT(ADDRESS(11+(MATCH(RIGHT(Table61011[[#This Row],[spawner_sku]],LEN(Table61011[[#This Row],[spawner_sku]])-FIND("/",Table61011[[#This Row],[spawner_sku]])),Table28[Entity Prefab],0)),24,1,1,"Entities"))</f>
        <v>no</v>
      </c>
      <c r="BW413" s="71">
        <v>1</v>
      </c>
      <c r="BX413" s="71">
        <v>1</v>
      </c>
      <c r="BY413" s="71" t="b">
        <v>0</v>
      </c>
      <c r="BZ413" s="71"/>
      <c r="CL413" t="s">
        <v>429</v>
      </c>
      <c r="CM413">
        <v>1</v>
      </c>
      <c r="CN413">
        <v>270</v>
      </c>
      <c r="CO413">
        <v>100</v>
      </c>
      <c r="CP413" s="74">
        <f ca="1">INDIRECT(ADDRESS(11+(MATCH(RIGHT(Table11[[#This Row],[spawner_sku]],LEN(Table11[[#This Row],[spawner_sku]])-FIND("/",Table11[[#This Row],[spawner_sku]])),Table1[Entity Prefab],0)),10,1,1,"Entities"))</f>
        <v>77</v>
      </c>
      <c r="CQ413">
        <f ca="1">ROUND((Table11[[#This Row],[XP]]*Table11[[#This Row],[entity_spawned (AVG)]])*(Table11[[#This Row],[activating_chance]]/100),0)</f>
        <v>77</v>
      </c>
      <c r="CR413" s="144" t="str">
        <f ca="1">INDIRECT(ADDRESS(11+(MATCH(RIGHT(Table11[[#This Row],[spawner_sku]],LEN(Table11[[#This Row],[spawner_sku]])-FIND("/",Table11[[#This Row],[spawner_sku]])),Table28[Entity Prefab],0)),25,1,1,"Entities"))</f>
        <v>yes</v>
      </c>
      <c r="CS413" s="71">
        <v>1</v>
      </c>
      <c r="CT413" s="71">
        <v>1</v>
      </c>
      <c r="CU413" s="71" t="b">
        <v>0</v>
      </c>
      <c r="DS413" t="s">
        <v>510</v>
      </c>
      <c r="DT413">
        <v>1</v>
      </c>
      <c r="DU413">
        <v>135</v>
      </c>
      <c r="DV413">
        <v>100</v>
      </c>
      <c r="DW413" s="74">
        <f ca="1">INDIRECT(ADDRESS(11+(MATCH(RIGHT(Table14[[#This Row],[spawner_sku]],LEN(Table14[[#This Row],[spawner_sku]])-FIND("/",Table14[[#This Row],[spawner_sku]])),Table1[Entity Prefab],0)),10,1,1,"Entities"))</f>
        <v>90</v>
      </c>
      <c r="DX413" s="74">
        <f ca="1">ROUND((Table14[[#This Row],[XP]]*Table14[[#This Row],[entity_spawned (AVG)]])*(Table14[[#This Row],[activating_chance]]/100),0)</f>
        <v>90</v>
      </c>
      <c r="DY413" s="144" t="str">
        <f ca="1">INDIRECT(ADDRESS(11+(MATCH(RIGHT(Table14[[#This Row],[spawner_sku]],LEN(Table14[[#This Row],[spawner_sku]])-FIND("/",Table14[[#This Row],[spawner_sku]])),Table28[Entity Prefab],0)),25,1,1,"Entities"))</f>
        <v>no</v>
      </c>
      <c r="DZ413" s="71">
        <v>1</v>
      </c>
      <c r="EA413" s="71">
        <v>1</v>
      </c>
      <c r="EB413" s="71" t="b">
        <v>0</v>
      </c>
      <c r="EC413" s="71"/>
    </row>
    <row r="414" spans="2:133" x14ac:dyDescent="0.25">
      <c r="B414" s="72" t="s">
        <v>423</v>
      </c>
      <c r="C414">
        <v>4</v>
      </c>
      <c r="D414">
        <v>190</v>
      </c>
      <c r="E414">
        <v>100</v>
      </c>
      <c r="F414" s="74">
        <f ca="1">INDIRECT(ADDRESS(11+(MATCH(RIGHT(Table245[[#This Row],[spawner_sku]],LEN(Table245[[#This Row],[spawner_sku]])-FIND("/",Table245[[#This Row],[spawner_sku]])),Table1[Entity Prefab],0)),10,1,1,"Entities"))</f>
        <v>0</v>
      </c>
      <c r="G414" s="74">
        <f ca="1">ROUND((Table245[[#This Row],[XP]]*Table245[[#This Row],[entity_spawned (AVG)]])*(Table245[[#This Row],[activating_chance]]/100),0)</f>
        <v>0</v>
      </c>
      <c r="H414" s="71" t="str">
        <f ca="1">INDIRECT(ADDRESS(11+(MATCH(RIGHT(Table245[[#This Row],[spawner_sku]],LEN(Table245[[#This Row],[spawner_sku]])-FIND("/",Table245[[#This Row],[spawner_sku]])),Table28[Entity Prefab],0)),24,1,1,"Entities"))</f>
        <v>yes</v>
      </c>
      <c r="I414" s="71">
        <v>4</v>
      </c>
      <c r="J414" s="71">
        <v>4</v>
      </c>
      <c r="K414" s="71" t="b">
        <v>0</v>
      </c>
      <c r="BP414" t="s">
        <v>244</v>
      </c>
      <c r="BQ414">
        <v>1</v>
      </c>
      <c r="BR414">
        <v>220</v>
      </c>
      <c r="BS414">
        <v>100</v>
      </c>
      <c r="BT414" s="74">
        <f ca="1">INDIRECT(ADDRESS(11+(MATCH(RIGHT(Table61011[[#This Row],[spawner_sku]],LEN(Table61011[[#This Row],[spawner_sku]])-FIND("/",Table61011[[#This Row],[spawner_sku]])),Table1[Entity Prefab],0)),10,1,1,"Entities"))</f>
        <v>50</v>
      </c>
      <c r="BU414" s="74">
        <f ca="1">ROUND((Table61011[[#This Row],[XP]]*Table61011[[#This Row],[entity_spawned (AVG)]])*(Table61011[[#This Row],[activating_chance]]/100),0)</f>
        <v>50</v>
      </c>
      <c r="BV414" s="71" t="str">
        <f ca="1">INDIRECT(ADDRESS(11+(MATCH(RIGHT(Table61011[[#This Row],[spawner_sku]],LEN(Table61011[[#This Row],[spawner_sku]])-FIND("/",Table61011[[#This Row],[spawner_sku]])),Table28[Entity Prefab],0)),24,1,1,"Entities"))</f>
        <v>no</v>
      </c>
      <c r="BW414" s="71">
        <v>1</v>
      </c>
      <c r="BX414" s="71">
        <v>1</v>
      </c>
      <c r="BY414" s="71" t="b">
        <v>0</v>
      </c>
      <c r="BZ414" s="71"/>
      <c r="CL414" t="s">
        <v>429</v>
      </c>
      <c r="CM414">
        <v>1</v>
      </c>
      <c r="CN414">
        <v>300</v>
      </c>
      <c r="CO414">
        <v>100</v>
      </c>
      <c r="CP414" s="74">
        <f ca="1">INDIRECT(ADDRESS(11+(MATCH(RIGHT(Table11[[#This Row],[spawner_sku]],LEN(Table11[[#This Row],[spawner_sku]])-FIND("/",Table11[[#This Row],[spawner_sku]])),Table1[Entity Prefab],0)),10,1,1,"Entities"))</f>
        <v>77</v>
      </c>
      <c r="CQ414">
        <f ca="1">ROUND((Table11[[#This Row],[XP]]*Table11[[#This Row],[entity_spawned (AVG)]])*(Table11[[#This Row],[activating_chance]]/100),0)</f>
        <v>77</v>
      </c>
      <c r="CR414" s="144" t="str">
        <f ca="1">INDIRECT(ADDRESS(11+(MATCH(RIGHT(Table11[[#This Row],[spawner_sku]],LEN(Table11[[#This Row],[spawner_sku]])-FIND("/",Table11[[#This Row],[spawner_sku]])),Table28[Entity Prefab],0)),25,1,1,"Entities"))</f>
        <v>yes</v>
      </c>
      <c r="CS414" s="71">
        <v>1</v>
      </c>
      <c r="CT414" s="71">
        <v>1</v>
      </c>
      <c r="CU414" s="71" t="b">
        <v>0</v>
      </c>
      <c r="DS414" t="s">
        <v>510</v>
      </c>
      <c r="DT414">
        <v>1.5</v>
      </c>
      <c r="DU414">
        <v>150</v>
      </c>
      <c r="DV414">
        <v>100</v>
      </c>
      <c r="DW414" s="74">
        <f ca="1">INDIRECT(ADDRESS(11+(MATCH(RIGHT(Table14[[#This Row],[spawner_sku]],LEN(Table14[[#This Row],[spawner_sku]])-FIND("/",Table14[[#This Row],[spawner_sku]])),Table1[Entity Prefab],0)),10,1,1,"Entities"))</f>
        <v>90</v>
      </c>
      <c r="DX414" s="74">
        <f ca="1">ROUND((Table14[[#This Row],[XP]]*Table14[[#This Row],[entity_spawned (AVG)]])*(Table14[[#This Row],[activating_chance]]/100),0)</f>
        <v>135</v>
      </c>
      <c r="DY414" s="144" t="str">
        <f ca="1">INDIRECT(ADDRESS(11+(MATCH(RIGHT(Table14[[#This Row],[spawner_sku]],LEN(Table14[[#This Row],[spawner_sku]])-FIND("/",Table14[[#This Row],[spawner_sku]])),Table28[Entity Prefab],0)),25,1,1,"Entities"))</f>
        <v>no</v>
      </c>
      <c r="DZ414" s="71">
        <v>1</v>
      </c>
      <c r="EA414" s="71">
        <v>2</v>
      </c>
      <c r="EB414" s="71" t="b">
        <v>0</v>
      </c>
      <c r="EC414" s="71"/>
    </row>
    <row r="415" spans="2:133" x14ac:dyDescent="0.25">
      <c r="B415" s="72" t="s">
        <v>423</v>
      </c>
      <c r="C415">
        <v>1.5</v>
      </c>
      <c r="D415">
        <v>190</v>
      </c>
      <c r="E415">
        <v>80</v>
      </c>
      <c r="F415" s="74">
        <f ca="1">INDIRECT(ADDRESS(11+(MATCH(RIGHT(Table245[[#This Row],[spawner_sku]],LEN(Table245[[#This Row],[spawner_sku]])-FIND("/",Table245[[#This Row],[spawner_sku]])),Table1[Entity Prefab],0)),10,1,1,"Entities"))</f>
        <v>0</v>
      </c>
      <c r="G415" s="74">
        <f ca="1">ROUND((Table245[[#This Row],[XP]]*Table245[[#This Row],[entity_spawned (AVG)]])*(Table245[[#This Row],[activating_chance]]/100),0)</f>
        <v>0</v>
      </c>
      <c r="H415" s="71" t="str">
        <f ca="1">INDIRECT(ADDRESS(11+(MATCH(RIGHT(Table245[[#This Row],[spawner_sku]],LEN(Table245[[#This Row],[spawner_sku]])-FIND("/",Table245[[#This Row],[spawner_sku]])),Table28[Entity Prefab],0)),24,1,1,"Entities"))</f>
        <v>yes</v>
      </c>
      <c r="I415" s="71">
        <v>1</v>
      </c>
      <c r="J415" s="71">
        <v>2</v>
      </c>
      <c r="K415" s="71" t="b">
        <v>0</v>
      </c>
      <c r="BP415" t="s">
        <v>244</v>
      </c>
      <c r="BQ415">
        <v>1</v>
      </c>
      <c r="BR415">
        <v>240</v>
      </c>
      <c r="BS415">
        <v>100</v>
      </c>
      <c r="BT415" s="74">
        <f ca="1">INDIRECT(ADDRESS(11+(MATCH(RIGHT(Table61011[[#This Row],[spawner_sku]],LEN(Table61011[[#This Row],[spawner_sku]])-FIND("/",Table61011[[#This Row],[spawner_sku]])),Table1[Entity Prefab],0)),10,1,1,"Entities"))</f>
        <v>50</v>
      </c>
      <c r="BU415" s="74">
        <f ca="1">ROUND((Table61011[[#This Row],[XP]]*Table61011[[#This Row],[entity_spawned (AVG)]])*(Table61011[[#This Row],[activating_chance]]/100),0)</f>
        <v>50</v>
      </c>
      <c r="BV415" s="71" t="str">
        <f ca="1">INDIRECT(ADDRESS(11+(MATCH(RIGHT(Table61011[[#This Row],[spawner_sku]],LEN(Table61011[[#This Row],[spawner_sku]])-FIND("/",Table61011[[#This Row],[spawner_sku]])),Table28[Entity Prefab],0)),24,1,1,"Entities"))</f>
        <v>no</v>
      </c>
      <c r="BW415" s="71">
        <v>1</v>
      </c>
      <c r="BX415" s="71">
        <v>1</v>
      </c>
      <c r="BY415" s="71" t="b">
        <v>0</v>
      </c>
      <c r="BZ415" s="71"/>
      <c r="CL415" t="s">
        <v>429</v>
      </c>
      <c r="CM415">
        <v>1</v>
      </c>
      <c r="CN415">
        <v>300</v>
      </c>
      <c r="CO415">
        <v>100</v>
      </c>
      <c r="CP415" s="74">
        <f ca="1">INDIRECT(ADDRESS(11+(MATCH(RIGHT(Table11[[#This Row],[spawner_sku]],LEN(Table11[[#This Row],[spawner_sku]])-FIND("/",Table11[[#This Row],[spawner_sku]])),Table1[Entity Prefab],0)),10,1,1,"Entities"))</f>
        <v>77</v>
      </c>
      <c r="CQ415">
        <f ca="1">ROUND((Table11[[#This Row],[XP]]*Table11[[#This Row],[entity_spawned (AVG)]])*(Table11[[#This Row],[activating_chance]]/100),0)</f>
        <v>77</v>
      </c>
      <c r="CR415" s="144" t="str">
        <f ca="1">INDIRECT(ADDRESS(11+(MATCH(RIGHT(Table11[[#This Row],[spawner_sku]],LEN(Table11[[#This Row],[spawner_sku]])-FIND("/",Table11[[#This Row],[spawner_sku]])),Table28[Entity Prefab],0)),25,1,1,"Entities"))</f>
        <v>yes</v>
      </c>
      <c r="CS415" s="71">
        <v>1</v>
      </c>
      <c r="CT415" s="71">
        <v>1</v>
      </c>
      <c r="CU415" s="71" t="b">
        <v>0</v>
      </c>
      <c r="DS415" t="s">
        <v>510</v>
      </c>
      <c r="DT415">
        <v>1.5</v>
      </c>
      <c r="DU415">
        <v>130</v>
      </c>
      <c r="DV415">
        <v>100</v>
      </c>
      <c r="DW415" s="74">
        <f ca="1">INDIRECT(ADDRESS(11+(MATCH(RIGHT(Table14[[#This Row],[spawner_sku]],LEN(Table14[[#This Row],[spawner_sku]])-FIND("/",Table14[[#This Row],[spawner_sku]])),Table1[Entity Prefab],0)),10,1,1,"Entities"))</f>
        <v>90</v>
      </c>
      <c r="DX415" s="74">
        <f ca="1">ROUND((Table14[[#This Row],[XP]]*Table14[[#This Row],[entity_spawned (AVG)]])*(Table14[[#This Row],[activating_chance]]/100),0)</f>
        <v>135</v>
      </c>
      <c r="DY415" s="144" t="str">
        <f ca="1">INDIRECT(ADDRESS(11+(MATCH(RIGHT(Table14[[#This Row],[spawner_sku]],LEN(Table14[[#This Row],[spawner_sku]])-FIND("/",Table14[[#This Row],[spawner_sku]])),Table28[Entity Prefab],0)),25,1,1,"Entities"))</f>
        <v>no</v>
      </c>
      <c r="DZ415" s="71">
        <v>1</v>
      </c>
      <c r="EA415" s="71">
        <v>2</v>
      </c>
      <c r="EB415" s="71" t="b">
        <v>0</v>
      </c>
      <c r="EC415" s="71"/>
    </row>
    <row r="416" spans="2:133" x14ac:dyDescent="0.25">
      <c r="B416" s="72" t="s">
        <v>423</v>
      </c>
      <c r="C416">
        <v>4</v>
      </c>
      <c r="D416">
        <v>170</v>
      </c>
      <c r="E416">
        <v>100</v>
      </c>
      <c r="F416" s="74">
        <f ca="1">INDIRECT(ADDRESS(11+(MATCH(RIGHT(Table245[[#This Row],[spawner_sku]],LEN(Table245[[#This Row],[spawner_sku]])-FIND("/",Table245[[#This Row],[spawner_sku]])),Table1[Entity Prefab],0)),10,1,1,"Entities"))</f>
        <v>0</v>
      </c>
      <c r="G416" s="74">
        <f ca="1">ROUND((Table245[[#This Row],[XP]]*Table245[[#This Row],[entity_spawned (AVG)]])*(Table245[[#This Row],[activating_chance]]/100),0)</f>
        <v>0</v>
      </c>
      <c r="H416" s="71" t="str">
        <f ca="1">INDIRECT(ADDRESS(11+(MATCH(RIGHT(Table245[[#This Row],[spawner_sku]],LEN(Table245[[#This Row],[spawner_sku]])-FIND("/",Table245[[#This Row],[spawner_sku]])),Table28[Entity Prefab],0)),24,1,1,"Entities"))</f>
        <v>yes</v>
      </c>
      <c r="I416" s="71">
        <v>4</v>
      </c>
      <c r="J416" s="71">
        <v>4</v>
      </c>
      <c r="K416" s="71" t="b">
        <v>0</v>
      </c>
      <c r="BP416" t="s">
        <v>244</v>
      </c>
      <c r="BQ416">
        <v>1</v>
      </c>
      <c r="BR416">
        <v>200</v>
      </c>
      <c r="BS416">
        <v>100</v>
      </c>
      <c r="BT416" s="74">
        <f ca="1">INDIRECT(ADDRESS(11+(MATCH(RIGHT(Table61011[[#This Row],[spawner_sku]],LEN(Table61011[[#This Row],[spawner_sku]])-FIND("/",Table61011[[#This Row],[spawner_sku]])),Table1[Entity Prefab],0)),10,1,1,"Entities"))</f>
        <v>50</v>
      </c>
      <c r="BU416" s="74">
        <f ca="1">ROUND((Table61011[[#This Row],[XP]]*Table61011[[#This Row],[entity_spawned (AVG)]])*(Table61011[[#This Row],[activating_chance]]/100),0)</f>
        <v>50</v>
      </c>
      <c r="BV416" s="71" t="str">
        <f ca="1">INDIRECT(ADDRESS(11+(MATCH(RIGHT(Table61011[[#This Row],[spawner_sku]],LEN(Table61011[[#This Row],[spawner_sku]])-FIND("/",Table61011[[#This Row],[spawner_sku]])),Table28[Entity Prefab],0)),24,1,1,"Entities"))</f>
        <v>no</v>
      </c>
      <c r="BW416" s="71">
        <v>1</v>
      </c>
      <c r="BX416" s="71">
        <v>1</v>
      </c>
      <c r="BY416" s="71" t="b">
        <v>0</v>
      </c>
      <c r="BZ416" s="71"/>
      <c r="CL416" t="s">
        <v>429</v>
      </c>
      <c r="CM416">
        <v>1</v>
      </c>
      <c r="CN416">
        <v>300</v>
      </c>
      <c r="CO416">
        <v>100</v>
      </c>
      <c r="CP416" s="74">
        <f ca="1">INDIRECT(ADDRESS(11+(MATCH(RIGHT(Table11[[#This Row],[spawner_sku]],LEN(Table11[[#This Row],[spawner_sku]])-FIND("/",Table11[[#This Row],[spawner_sku]])),Table1[Entity Prefab],0)),10,1,1,"Entities"))</f>
        <v>77</v>
      </c>
      <c r="CQ416">
        <f ca="1">ROUND((Table11[[#This Row],[XP]]*Table11[[#This Row],[entity_spawned (AVG)]])*(Table11[[#This Row],[activating_chance]]/100),0)</f>
        <v>77</v>
      </c>
      <c r="CR416" s="144" t="str">
        <f ca="1">INDIRECT(ADDRESS(11+(MATCH(RIGHT(Table11[[#This Row],[spawner_sku]],LEN(Table11[[#This Row],[spawner_sku]])-FIND("/",Table11[[#This Row],[spawner_sku]])),Table28[Entity Prefab],0)),25,1,1,"Entities"))</f>
        <v>yes</v>
      </c>
      <c r="CS416" s="71">
        <v>1</v>
      </c>
      <c r="CT416" s="71">
        <v>1</v>
      </c>
      <c r="CU416" s="71" t="b">
        <v>0</v>
      </c>
      <c r="DS416" t="s">
        <v>510</v>
      </c>
      <c r="DT416">
        <v>1</v>
      </c>
      <c r="DU416">
        <v>150</v>
      </c>
      <c r="DV416">
        <v>100</v>
      </c>
      <c r="DW416" s="74">
        <f ca="1">INDIRECT(ADDRESS(11+(MATCH(RIGHT(Table14[[#This Row],[spawner_sku]],LEN(Table14[[#This Row],[spawner_sku]])-FIND("/",Table14[[#This Row],[spawner_sku]])),Table1[Entity Prefab],0)),10,1,1,"Entities"))</f>
        <v>90</v>
      </c>
      <c r="DX416" s="74">
        <f ca="1">ROUND((Table14[[#This Row],[XP]]*Table14[[#This Row],[entity_spawned (AVG)]])*(Table14[[#This Row],[activating_chance]]/100),0)</f>
        <v>90</v>
      </c>
      <c r="DY416" s="144" t="str">
        <f ca="1">INDIRECT(ADDRESS(11+(MATCH(RIGHT(Table14[[#This Row],[spawner_sku]],LEN(Table14[[#This Row],[spawner_sku]])-FIND("/",Table14[[#This Row],[spawner_sku]])),Table28[Entity Prefab],0)),25,1,1,"Entities"))</f>
        <v>no</v>
      </c>
      <c r="DZ416" s="71">
        <v>1</v>
      </c>
      <c r="EA416" s="71">
        <v>1</v>
      </c>
      <c r="EB416" s="71" t="b">
        <v>0</v>
      </c>
      <c r="EC416" s="71"/>
    </row>
    <row r="417" spans="2:133" x14ac:dyDescent="0.25">
      <c r="B417" s="72" t="s">
        <v>423</v>
      </c>
      <c r="C417">
        <v>1.5</v>
      </c>
      <c r="D417">
        <v>180</v>
      </c>
      <c r="E417">
        <v>80</v>
      </c>
      <c r="F417" s="74">
        <f ca="1">INDIRECT(ADDRESS(11+(MATCH(RIGHT(Table245[[#This Row],[spawner_sku]],LEN(Table245[[#This Row],[spawner_sku]])-FIND("/",Table245[[#This Row],[spawner_sku]])),Table1[Entity Prefab],0)),10,1,1,"Entities"))</f>
        <v>0</v>
      </c>
      <c r="G417" s="74">
        <f ca="1">ROUND((Table245[[#This Row],[XP]]*Table245[[#This Row],[entity_spawned (AVG)]])*(Table245[[#This Row],[activating_chance]]/100),0)</f>
        <v>0</v>
      </c>
      <c r="H417" s="71" t="str">
        <f ca="1">INDIRECT(ADDRESS(11+(MATCH(RIGHT(Table245[[#This Row],[spawner_sku]],LEN(Table245[[#This Row],[spawner_sku]])-FIND("/",Table245[[#This Row],[spawner_sku]])),Table28[Entity Prefab],0)),24,1,1,"Entities"))</f>
        <v>yes</v>
      </c>
      <c r="I417" s="71">
        <v>1</v>
      </c>
      <c r="J417" s="71">
        <v>2</v>
      </c>
      <c r="K417" s="71" t="b">
        <v>0</v>
      </c>
      <c r="BP417" t="s">
        <v>244</v>
      </c>
      <c r="BQ417">
        <v>1</v>
      </c>
      <c r="BR417">
        <v>200</v>
      </c>
      <c r="BS417">
        <v>100</v>
      </c>
      <c r="BT417" s="74">
        <f ca="1">INDIRECT(ADDRESS(11+(MATCH(RIGHT(Table61011[[#This Row],[spawner_sku]],LEN(Table61011[[#This Row],[spawner_sku]])-FIND("/",Table61011[[#This Row],[spawner_sku]])),Table1[Entity Prefab],0)),10,1,1,"Entities"))</f>
        <v>50</v>
      </c>
      <c r="BU417" s="74">
        <f ca="1">ROUND((Table61011[[#This Row],[XP]]*Table61011[[#This Row],[entity_spawned (AVG)]])*(Table61011[[#This Row],[activating_chance]]/100),0)</f>
        <v>50</v>
      </c>
      <c r="BV417" s="71" t="str">
        <f ca="1">INDIRECT(ADDRESS(11+(MATCH(RIGHT(Table61011[[#This Row],[spawner_sku]],LEN(Table61011[[#This Row],[spawner_sku]])-FIND("/",Table61011[[#This Row],[spawner_sku]])),Table28[Entity Prefab],0)),24,1,1,"Entities"))</f>
        <v>no</v>
      </c>
      <c r="BW417" s="71">
        <v>1</v>
      </c>
      <c r="BX417" s="71">
        <v>1</v>
      </c>
      <c r="BY417" s="71" t="b">
        <v>0</v>
      </c>
      <c r="BZ417" s="71"/>
      <c r="CL417" t="s">
        <v>429</v>
      </c>
      <c r="CM417">
        <v>1</v>
      </c>
      <c r="CN417">
        <v>300</v>
      </c>
      <c r="CO417">
        <v>100</v>
      </c>
      <c r="CP417" s="74">
        <f ca="1">INDIRECT(ADDRESS(11+(MATCH(RIGHT(Table11[[#This Row],[spawner_sku]],LEN(Table11[[#This Row],[spawner_sku]])-FIND("/",Table11[[#This Row],[spawner_sku]])),Table1[Entity Prefab],0)),10,1,1,"Entities"))</f>
        <v>77</v>
      </c>
      <c r="CQ417">
        <f ca="1">ROUND((Table11[[#This Row],[XP]]*Table11[[#This Row],[entity_spawned (AVG)]])*(Table11[[#This Row],[activating_chance]]/100),0)</f>
        <v>77</v>
      </c>
      <c r="CR417" s="144" t="str">
        <f ca="1">INDIRECT(ADDRESS(11+(MATCH(RIGHT(Table11[[#This Row],[spawner_sku]],LEN(Table11[[#This Row],[spawner_sku]])-FIND("/",Table11[[#This Row],[spawner_sku]])),Table28[Entity Prefab],0)),25,1,1,"Entities"))</f>
        <v>yes</v>
      </c>
      <c r="CS417" s="71">
        <v>1</v>
      </c>
      <c r="CT417" s="71">
        <v>1</v>
      </c>
      <c r="CU417" s="71" t="b">
        <v>0</v>
      </c>
      <c r="DS417" t="s">
        <v>510</v>
      </c>
      <c r="DT417">
        <v>1</v>
      </c>
      <c r="DU417">
        <v>135</v>
      </c>
      <c r="DV417">
        <v>100</v>
      </c>
      <c r="DW417" s="74">
        <f ca="1">INDIRECT(ADDRESS(11+(MATCH(RIGHT(Table14[[#This Row],[spawner_sku]],LEN(Table14[[#This Row],[spawner_sku]])-FIND("/",Table14[[#This Row],[spawner_sku]])),Table1[Entity Prefab],0)),10,1,1,"Entities"))</f>
        <v>90</v>
      </c>
      <c r="DX417" s="74">
        <f ca="1">ROUND((Table14[[#This Row],[XP]]*Table14[[#This Row],[entity_spawned (AVG)]])*(Table14[[#This Row],[activating_chance]]/100),0)</f>
        <v>90</v>
      </c>
      <c r="DY417" s="144" t="str">
        <f ca="1">INDIRECT(ADDRESS(11+(MATCH(RIGHT(Table14[[#This Row],[spawner_sku]],LEN(Table14[[#This Row],[spawner_sku]])-FIND("/",Table14[[#This Row],[spawner_sku]])),Table28[Entity Prefab],0)),25,1,1,"Entities"))</f>
        <v>no</v>
      </c>
      <c r="DZ417" s="71">
        <v>1</v>
      </c>
      <c r="EA417" s="71">
        <v>1</v>
      </c>
      <c r="EB417" s="71" t="b">
        <v>0</v>
      </c>
      <c r="EC417" s="71"/>
    </row>
    <row r="418" spans="2:133" x14ac:dyDescent="0.25">
      <c r="B418" s="72" t="s">
        <v>423</v>
      </c>
      <c r="C418">
        <v>4</v>
      </c>
      <c r="D418">
        <v>160</v>
      </c>
      <c r="E418">
        <v>100</v>
      </c>
      <c r="F418" s="74">
        <f ca="1">INDIRECT(ADDRESS(11+(MATCH(RIGHT(Table245[[#This Row],[spawner_sku]],LEN(Table245[[#This Row],[spawner_sku]])-FIND("/",Table245[[#This Row],[spawner_sku]])),Table1[Entity Prefab],0)),10,1,1,"Entities"))</f>
        <v>0</v>
      </c>
      <c r="G418" s="74">
        <f ca="1">ROUND((Table245[[#This Row],[XP]]*Table245[[#This Row],[entity_spawned (AVG)]])*(Table245[[#This Row],[activating_chance]]/100),0)</f>
        <v>0</v>
      </c>
      <c r="H418" s="71" t="str">
        <f ca="1">INDIRECT(ADDRESS(11+(MATCH(RIGHT(Table245[[#This Row],[spawner_sku]],LEN(Table245[[#This Row],[spawner_sku]])-FIND("/",Table245[[#This Row],[spawner_sku]])),Table28[Entity Prefab],0)),24,1,1,"Entities"))</f>
        <v>yes</v>
      </c>
      <c r="I418" s="71">
        <v>4</v>
      </c>
      <c r="J418" s="71">
        <v>4</v>
      </c>
      <c r="K418" s="71" t="b">
        <v>0</v>
      </c>
      <c r="BP418" t="s">
        <v>244</v>
      </c>
      <c r="BQ418">
        <v>1</v>
      </c>
      <c r="BR418">
        <v>240</v>
      </c>
      <c r="BS418">
        <v>100</v>
      </c>
      <c r="BT418" s="74">
        <f ca="1">INDIRECT(ADDRESS(11+(MATCH(RIGHT(Table61011[[#This Row],[spawner_sku]],LEN(Table61011[[#This Row],[spawner_sku]])-FIND("/",Table61011[[#This Row],[spawner_sku]])),Table1[Entity Prefab],0)),10,1,1,"Entities"))</f>
        <v>50</v>
      </c>
      <c r="BU418" s="74">
        <f ca="1">ROUND((Table61011[[#This Row],[XP]]*Table61011[[#This Row],[entity_spawned (AVG)]])*(Table61011[[#This Row],[activating_chance]]/100),0)</f>
        <v>50</v>
      </c>
      <c r="BV418" s="71" t="str">
        <f ca="1">INDIRECT(ADDRESS(11+(MATCH(RIGHT(Table61011[[#This Row],[spawner_sku]],LEN(Table61011[[#This Row],[spawner_sku]])-FIND("/",Table61011[[#This Row],[spawner_sku]])),Table28[Entity Prefab],0)),24,1,1,"Entities"))</f>
        <v>no</v>
      </c>
      <c r="BW418" s="71">
        <v>1</v>
      </c>
      <c r="BX418" s="71">
        <v>1</v>
      </c>
      <c r="BY418" s="71" t="b">
        <v>0</v>
      </c>
      <c r="BZ418" s="71"/>
      <c r="CL418" t="s">
        <v>429</v>
      </c>
      <c r="CM418">
        <v>1</v>
      </c>
      <c r="CN418">
        <v>300</v>
      </c>
      <c r="CO418">
        <v>100</v>
      </c>
      <c r="CP418" s="74">
        <f ca="1">INDIRECT(ADDRESS(11+(MATCH(RIGHT(Table11[[#This Row],[spawner_sku]],LEN(Table11[[#This Row],[spawner_sku]])-FIND("/",Table11[[#This Row],[spawner_sku]])),Table1[Entity Prefab],0)),10,1,1,"Entities"))</f>
        <v>77</v>
      </c>
      <c r="CQ418">
        <f ca="1">ROUND((Table11[[#This Row],[XP]]*Table11[[#This Row],[entity_spawned (AVG)]])*(Table11[[#This Row],[activating_chance]]/100),0)</f>
        <v>77</v>
      </c>
      <c r="CR418" s="144" t="str">
        <f ca="1">INDIRECT(ADDRESS(11+(MATCH(RIGHT(Table11[[#This Row],[spawner_sku]],LEN(Table11[[#This Row],[spawner_sku]])-FIND("/",Table11[[#This Row],[spawner_sku]])),Table28[Entity Prefab],0)),25,1,1,"Entities"))</f>
        <v>yes</v>
      </c>
      <c r="CS418" s="71">
        <v>1</v>
      </c>
      <c r="CT418" s="71">
        <v>1</v>
      </c>
      <c r="CU418" s="71" t="b">
        <v>0</v>
      </c>
      <c r="DS418" t="s">
        <v>510</v>
      </c>
      <c r="DT418">
        <v>1</v>
      </c>
      <c r="DU418">
        <v>150</v>
      </c>
      <c r="DV418">
        <v>100</v>
      </c>
      <c r="DW418" s="74">
        <f ca="1">INDIRECT(ADDRESS(11+(MATCH(RIGHT(Table14[[#This Row],[spawner_sku]],LEN(Table14[[#This Row],[spawner_sku]])-FIND("/",Table14[[#This Row],[spawner_sku]])),Table1[Entity Prefab],0)),10,1,1,"Entities"))</f>
        <v>90</v>
      </c>
      <c r="DX418" s="74">
        <f ca="1">ROUND((Table14[[#This Row],[XP]]*Table14[[#This Row],[entity_spawned (AVG)]])*(Table14[[#This Row],[activating_chance]]/100),0)</f>
        <v>90</v>
      </c>
      <c r="DY418" s="144" t="str">
        <f ca="1">INDIRECT(ADDRESS(11+(MATCH(RIGHT(Table14[[#This Row],[spawner_sku]],LEN(Table14[[#This Row],[spawner_sku]])-FIND("/",Table14[[#This Row],[spawner_sku]])),Table28[Entity Prefab],0)),25,1,1,"Entities"))</f>
        <v>no</v>
      </c>
      <c r="DZ418" s="71">
        <v>1</v>
      </c>
      <c r="EA418" s="71">
        <v>1</v>
      </c>
      <c r="EB418" s="71" t="b">
        <v>0</v>
      </c>
      <c r="EC418" s="71"/>
    </row>
    <row r="419" spans="2:133" x14ac:dyDescent="0.25">
      <c r="B419" s="72" t="s">
        <v>423</v>
      </c>
      <c r="C419">
        <v>1.5</v>
      </c>
      <c r="D419">
        <v>190</v>
      </c>
      <c r="E419">
        <v>100</v>
      </c>
      <c r="F419" s="74">
        <f ca="1">INDIRECT(ADDRESS(11+(MATCH(RIGHT(Table245[[#This Row],[spawner_sku]],LEN(Table245[[#This Row],[spawner_sku]])-FIND("/",Table245[[#This Row],[spawner_sku]])),Table1[Entity Prefab],0)),10,1,1,"Entities"))</f>
        <v>0</v>
      </c>
      <c r="G419" s="74">
        <f ca="1">ROUND((Table245[[#This Row],[XP]]*Table245[[#This Row],[entity_spawned (AVG)]])*(Table245[[#This Row],[activating_chance]]/100),0)</f>
        <v>0</v>
      </c>
      <c r="H419" s="71" t="str">
        <f ca="1">INDIRECT(ADDRESS(11+(MATCH(RIGHT(Table245[[#This Row],[spawner_sku]],LEN(Table245[[#This Row],[spawner_sku]])-FIND("/",Table245[[#This Row],[spawner_sku]])),Table28[Entity Prefab],0)),24,1,1,"Entities"))</f>
        <v>yes</v>
      </c>
      <c r="I419" s="71">
        <v>1</v>
      </c>
      <c r="J419" s="71">
        <v>2</v>
      </c>
      <c r="K419" s="71" t="b">
        <v>0</v>
      </c>
      <c r="BP419" t="s">
        <v>244</v>
      </c>
      <c r="BQ419">
        <v>1</v>
      </c>
      <c r="BR419">
        <v>200</v>
      </c>
      <c r="BS419">
        <v>100</v>
      </c>
      <c r="BT419" s="74">
        <f ca="1">INDIRECT(ADDRESS(11+(MATCH(RIGHT(Table61011[[#This Row],[spawner_sku]],LEN(Table61011[[#This Row],[spawner_sku]])-FIND("/",Table61011[[#This Row],[spawner_sku]])),Table1[Entity Prefab],0)),10,1,1,"Entities"))</f>
        <v>50</v>
      </c>
      <c r="BU419" s="74">
        <f ca="1">ROUND((Table61011[[#This Row],[XP]]*Table61011[[#This Row],[entity_spawned (AVG)]])*(Table61011[[#This Row],[activating_chance]]/100),0)</f>
        <v>50</v>
      </c>
      <c r="BV419" s="71" t="str">
        <f ca="1">INDIRECT(ADDRESS(11+(MATCH(RIGHT(Table61011[[#This Row],[spawner_sku]],LEN(Table61011[[#This Row],[spawner_sku]])-FIND("/",Table61011[[#This Row],[spawner_sku]])),Table28[Entity Prefab],0)),24,1,1,"Entities"))</f>
        <v>no</v>
      </c>
      <c r="BW419" s="71">
        <v>1</v>
      </c>
      <c r="BX419" s="71">
        <v>1</v>
      </c>
      <c r="BY419" s="71" t="b">
        <v>0</v>
      </c>
      <c r="BZ419" s="71"/>
      <c r="CL419" t="s">
        <v>429</v>
      </c>
      <c r="CM419">
        <v>1</v>
      </c>
      <c r="CN419">
        <v>300</v>
      </c>
      <c r="CO419">
        <v>100</v>
      </c>
      <c r="CP419" s="74">
        <f ca="1">INDIRECT(ADDRESS(11+(MATCH(RIGHT(Table11[[#This Row],[spawner_sku]],LEN(Table11[[#This Row],[spawner_sku]])-FIND("/",Table11[[#This Row],[spawner_sku]])),Table1[Entity Prefab],0)),10,1,1,"Entities"))</f>
        <v>77</v>
      </c>
      <c r="CQ419">
        <f ca="1">ROUND((Table11[[#This Row],[XP]]*Table11[[#This Row],[entity_spawned (AVG)]])*(Table11[[#This Row],[activating_chance]]/100),0)</f>
        <v>77</v>
      </c>
      <c r="CR419" s="144" t="str">
        <f ca="1">INDIRECT(ADDRESS(11+(MATCH(RIGHT(Table11[[#This Row],[spawner_sku]],LEN(Table11[[#This Row],[spawner_sku]])-FIND("/",Table11[[#This Row],[spawner_sku]])),Table28[Entity Prefab],0)),25,1,1,"Entities"))</f>
        <v>yes</v>
      </c>
      <c r="CS419" s="71">
        <v>1</v>
      </c>
      <c r="CT419" s="71">
        <v>1</v>
      </c>
      <c r="CU419" s="71" t="b">
        <v>0</v>
      </c>
      <c r="DS419" t="s">
        <v>510</v>
      </c>
      <c r="DT419">
        <v>1</v>
      </c>
      <c r="DU419">
        <v>100</v>
      </c>
      <c r="DV419">
        <v>100</v>
      </c>
      <c r="DW419" s="74">
        <f ca="1">INDIRECT(ADDRESS(11+(MATCH(RIGHT(Table14[[#This Row],[spawner_sku]],LEN(Table14[[#This Row],[spawner_sku]])-FIND("/",Table14[[#This Row],[spawner_sku]])),Table1[Entity Prefab],0)),10,1,1,"Entities"))</f>
        <v>90</v>
      </c>
      <c r="DX419" s="74">
        <f ca="1">ROUND((Table14[[#This Row],[XP]]*Table14[[#This Row],[entity_spawned (AVG)]])*(Table14[[#This Row],[activating_chance]]/100),0)</f>
        <v>90</v>
      </c>
      <c r="DY419" s="144" t="str">
        <f ca="1">INDIRECT(ADDRESS(11+(MATCH(RIGHT(Table14[[#This Row],[spawner_sku]],LEN(Table14[[#This Row],[spawner_sku]])-FIND("/",Table14[[#This Row],[spawner_sku]])),Table28[Entity Prefab],0)),25,1,1,"Entities"))</f>
        <v>no</v>
      </c>
      <c r="DZ419" s="71">
        <v>1</v>
      </c>
      <c r="EA419" s="71">
        <v>1</v>
      </c>
      <c r="EB419" s="71" t="b">
        <v>0</v>
      </c>
      <c r="EC419" s="71"/>
    </row>
    <row r="420" spans="2:133" x14ac:dyDescent="0.25">
      <c r="B420" s="72" t="s">
        <v>233</v>
      </c>
      <c r="C420">
        <v>1</v>
      </c>
      <c r="D420">
        <v>500</v>
      </c>
      <c r="E420">
        <v>75</v>
      </c>
      <c r="F420" s="74">
        <f ca="1">INDIRECT(ADDRESS(11+(MATCH(RIGHT(Table245[[#This Row],[spawner_sku]],LEN(Table245[[#This Row],[spawner_sku]])-FIND("/",Table245[[#This Row],[spawner_sku]])),Table1[Entity Prefab],0)),10,1,1,"Entities"))</f>
        <v>25</v>
      </c>
      <c r="G420" s="74">
        <f ca="1">ROUND((Table245[[#This Row],[XP]]*Table245[[#This Row],[entity_spawned (AVG)]])*(Table245[[#This Row],[activating_chance]]/100),0)</f>
        <v>19</v>
      </c>
      <c r="H420" s="71" t="str">
        <f ca="1">INDIRECT(ADDRESS(11+(MATCH(RIGHT(Table245[[#This Row],[spawner_sku]],LEN(Table245[[#This Row],[spawner_sku]])-FIND("/",Table245[[#This Row],[spawner_sku]])),Table28[Entity Prefab],0)),24,1,1,"Entities"))</f>
        <v>no</v>
      </c>
      <c r="I420" s="71">
        <v>1</v>
      </c>
      <c r="J420" s="71">
        <v>1</v>
      </c>
      <c r="K420" s="71" t="b">
        <v>0</v>
      </c>
      <c r="BP420" t="s">
        <v>244</v>
      </c>
      <c r="BQ420">
        <v>1</v>
      </c>
      <c r="BR420">
        <v>240</v>
      </c>
      <c r="BS420">
        <v>100</v>
      </c>
      <c r="BT420" s="74">
        <f ca="1">INDIRECT(ADDRESS(11+(MATCH(RIGHT(Table61011[[#This Row],[spawner_sku]],LEN(Table61011[[#This Row],[spawner_sku]])-FIND("/",Table61011[[#This Row],[spawner_sku]])),Table1[Entity Prefab],0)),10,1,1,"Entities"))</f>
        <v>50</v>
      </c>
      <c r="BU420" s="74">
        <f ca="1">ROUND((Table61011[[#This Row],[XP]]*Table61011[[#This Row],[entity_spawned (AVG)]])*(Table61011[[#This Row],[activating_chance]]/100),0)</f>
        <v>50</v>
      </c>
      <c r="BV420" s="71" t="str">
        <f ca="1">INDIRECT(ADDRESS(11+(MATCH(RIGHT(Table61011[[#This Row],[spawner_sku]],LEN(Table61011[[#This Row],[spawner_sku]])-FIND("/",Table61011[[#This Row],[spawner_sku]])),Table28[Entity Prefab],0)),24,1,1,"Entities"))</f>
        <v>no</v>
      </c>
      <c r="BW420" s="71">
        <v>1</v>
      </c>
      <c r="BX420" s="71">
        <v>1</v>
      </c>
      <c r="BY420" s="71" t="b">
        <v>0</v>
      </c>
      <c r="BZ420" s="71"/>
      <c r="CL420" t="s">
        <v>429</v>
      </c>
      <c r="CM420">
        <v>1</v>
      </c>
      <c r="CN420">
        <v>300</v>
      </c>
      <c r="CO420">
        <v>60</v>
      </c>
      <c r="CP420" s="74">
        <f ca="1">INDIRECT(ADDRESS(11+(MATCH(RIGHT(Table11[[#This Row],[spawner_sku]],LEN(Table11[[#This Row],[spawner_sku]])-FIND("/",Table11[[#This Row],[spawner_sku]])),Table1[Entity Prefab],0)),10,1,1,"Entities"))</f>
        <v>77</v>
      </c>
      <c r="CQ420">
        <f ca="1">ROUND((Table11[[#This Row],[XP]]*Table11[[#This Row],[entity_spawned (AVG)]])*(Table11[[#This Row],[activating_chance]]/100),0)</f>
        <v>46</v>
      </c>
      <c r="CR420" s="144" t="str">
        <f ca="1">INDIRECT(ADDRESS(11+(MATCH(RIGHT(Table11[[#This Row],[spawner_sku]],LEN(Table11[[#This Row],[spawner_sku]])-FIND("/",Table11[[#This Row],[spawner_sku]])),Table28[Entity Prefab],0)),25,1,1,"Entities"))</f>
        <v>yes</v>
      </c>
      <c r="CS420" s="71">
        <v>1</v>
      </c>
      <c r="CT420" s="71">
        <v>1</v>
      </c>
      <c r="CU420" s="71" t="b">
        <v>0</v>
      </c>
      <c r="DS420" t="s">
        <v>510</v>
      </c>
      <c r="DT420">
        <v>1</v>
      </c>
      <c r="DU420">
        <v>135</v>
      </c>
      <c r="DV420">
        <v>100</v>
      </c>
      <c r="DW420" s="74">
        <f ca="1">INDIRECT(ADDRESS(11+(MATCH(RIGHT(Table14[[#This Row],[spawner_sku]],LEN(Table14[[#This Row],[spawner_sku]])-FIND("/",Table14[[#This Row],[spawner_sku]])),Table1[Entity Prefab],0)),10,1,1,"Entities"))</f>
        <v>90</v>
      </c>
      <c r="DX420" s="74">
        <f ca="1">ROUND((Table14[[#This Row],[XP]]*Table14[[#This Row],[entity_spawned (AVG)]])*(Table14[[#This Row],[activating_chance]]/100),0)</f>
        <v>90</v>
      </c>
      <c r="DY420" s="144" t="str">
        <f ca="1">INDIRECT(ADDRESS(11+(MATCH(RIGHT(Table14[[#This Row],[spawner_sku]],LEN(Table14[[#This Row],[spawner_sku]])-FIND("/",Table14[[#This Row],[spawner_sku]])),Table28[Entity Prefab],0)),25,1,1,"Entities"))</f>
        <v>no</v>
      </c>
      <c r="DZ420" s="71">
        <v>1</v>
      </c>
      <c r="EA420" s="71">
        <v>1</v>
      </c>
      <c r="EB420" s="71" t="b">
        <v>0</v>
      </c>
      <c r="EC420" s="71"/>
    </row>
    <row r="421" spans="2:133" x14ac:dyDescent="0.25">
      <c r="B421" s="72" t="s">
        <v>233</v>
      </c>
      <c r="C421">
        <v>1</v>
      </c>
      <c r="D421">
        <v>500</v>
      </c>
      <c r="E421">
        <v>75</v>
      </c>
      <c r="F421" s="74">
        <f ca="1">INDIRECT(ADDRESS(11+(MATCH(RIGHT(Table245[[#This Row],[spawner_sku]],LEN(Table245[[#This Row],[spawner_sku]])-FIND("/",Table245[[#This Row],[spawner_sku]])),Table1[Entity Prefab],0)),10,1,1,"Entities"))</f>
        <v>25</v>
      </c>
      <c r="G421" s="74">
        <f ca="1">ROUND((Table245[[#This Row],[XP]]*Table245[[#This Row],[entity_spawned (AVG)]])*(Table245[[#This Row],[activating_chance]]/100),0)</f>
        <v>19</v>
      </c>
      <c r="H421" s="71" t="str">
        <f ca="1">INDIRECT(ADDRESS(11+(MATCH(RIGHT(Table245[[#This Row],[spawner_sku]],LEN(Table245[[#This Row],[spawner_sku]])-FIND("/",Table245[[#This Row],[spawner_sku]])),Table28[Entity Prefab],0)),24,1,1,"Entities"))</f>
        <v>no</v>
      </c>
      <c r="I421" s="71">
        <v>1</v>
      </c>
      <c r="J421" s="71">
        <v>1</v>
      </c>
      <c r="K421" s="71" t="b">
        <v>0</v>
      </c>
      <c r="BP421" t="s">
        <v>244</v>
      </c>
      <c r="BQ421">
        <v>1</v>
      </c>
      <c r="BR421">
        <v>240</v>
      </c>
      <c r="BS421">
        <v>100</v>
      </c>
      <c r="BT421" s="74">
        <f ca="1">INDIRECT(ADDRESS(11+(MATCH(RIGHT(Table61011[[#This Row],[spawner_sku]],LEN(Table61011[[#This Row],[spawner_sku]])-FIND("/",Table61011[[#This Row],[spawner_sku]])),Table1[Entity Prefab],0)),10,1,1,"Entities"))</f>
        <v>50</v>
      </c>
      <c r="BU421" s="74">
        <f ca="1">ROUND((Table61011[[#This Row],[XP]]*Table61011[[#This Row],[entity_spawned (AVG)]])*(Table61011[[#This Row],[activating_chance]]/100),0)</f>
        <v>50</v>
      </c>
      <c r="BV421" s="71" t="str">
        <f ca="1">INDIRECT(ADDRESS(11+(MATCH(RIGHT(Table61011[[#This Row],[spawner_sku]],LEN(Table61011[[#This Row],[spawner_sku]])-FIND("/",Table61011[[#This Row],[spawner_sku]])),Table28[Entity Prefab],0)),24,1,1,"Entities"))</f>
        <v>no</v>
      </c>
      <c r="BW421" s="71">
        <v>1</v>
      </c>
      <c r="BX421" s="71">
        <v>1</v>
      </c>
      <c r="BY421" s="71" t="b">
        <v>0</v>
      </c>
      <c r="BZ421" s="71"/>
      <c r="CL421" t="s">
        <v>429</v>
      </c>
      <c r="CM421">
        <v>1</v>
      </c>
      <c r="CN421">
        <v>300</v>
      </c>
      <c r="CO421">
        <v>100</v>
      </c>
      <c r="CP421" s="74">
        <f ca="1">INDIRECT(ADDRESS(11+(MATCH(RIGHT(Table11[[#This Row],[spawner_sku]],LEN(Table11[[#This Row],[spawner_sku]])-FIND("/",Table11[[#This Row],[spawner_sku]])),Table1[Entity Prefab],0)),10,1,1,"Entities"))</f>
        <v>77</v>
      </c>
      <c r="CQ421">
        <f ca="1">ROUND((Table11[[#This Row],[XP]]*Table11[[#This Row],[entity_spawned (AVG)]])*(Table11[[#This Row],[activating_chance]]/100),0)</f>
        <v>77</v>
      </c>
      <c r="CR421" s="144" t="str">
        <f ca="1">INDIRECT(ADDRESS(11+(MATCH(RIGHT(Table11[[#This Row],[spawner_sku]],LEN(Table11[[#This Row],[spawner_sku]])-FIND("/",Table11[[#This Row],[spawner_sku]])),Table28[Entity Prefab],0)),25,1,1,"Entities"))</f>
        <v>yes</v>
      </c>
      <c r="CS421" s="71">
        <v>1</v>
      </c>
      <c r="CT421" s="71">
        <v>1</v>
      </c>
      <c r="CU421" s="71" t="b">
        <v>0</v>
      </c>
      <c r="DS421" t="s">
        <v>510</v>
      </c>
      <c r="DT421">
        <v>1.5</v>
      </c>
      <c r="DU421">
        <v>200</v>
      </c>
      <c r="DV421">
        <v>100</v>
      </c>
      <c r="DW421" s="74">
        <f ca="1">INDIRECT(ADDRESS(11+(MATCH(RIGHT(Table14[[#This Row],[spawner_sku]],LEN(Table14[[#This Row],[spawner_sku]])-FIND("/",Table14[[#This Row],[spawner_sku]])),Table1[Entity Prefab],0)),10,1,1,"Entities"))</f>
        <v>90</v>
      </c>
      <c r="DX421" s="74">
        <f ca="1">ROUND((Table14[[#This Row],[XP]]*Table14[[#This Row],[entity_spawned (AVG)]])*(Table14[[#This Row],[activating_chance]]/100),0)</f>
        <v>135</v>
      </c>
      <c r="DY421" s="144" t="str">
        <f ca="1">INDIRECT(ADDRESS(11+(MATCH(RIGHT(Table14[[#This Row],[spawner_sku]],LEN(Table14[[#This Row],[spawner_sku]])-FIND("/",Table14[[#This Row],[spawner_sku]])),Table28[Entity Prefab],0)),25,1,1,"Entities"))</f>
        <v>no</v>
      </c>
      <c r="DZ421" s="71">
        <v>1</v>
      </c>
      <c r="EA421" s="71">
        <v>2</v>
      </c>
      <c r="EB421" s="71" t="b">
        <v>0</v>
      </c>
      <c r="EC421" s="71"/>
    </row>
    <row r="422" spans="2:133" x14ac:dyDescent="0.25">
      <c r="B422" s="72" t="s">
        <v>5003</v>
      </c>
      <c r="C422">
        <v>1</v>
      </c>
      <c r="D422">
        <v>5000</v>
      </c>
      <c r="E422">
        <v>30</v>
      </c>
      <c r="F422" s="74">
        <f ca="1">INDIRECT(ADDRESS(11+(MATCH(RIGHT(Table245[[#This Row],[spawner_sku]],LEN(Table245[[#This Row],[spawner_sku]])-FIND("/",Table245[[#This Row],[spawner_sku]])),Table1[Entity Prefab],0)),10,1,1,"Entities"))</f>
        <v>25</v>
      </c>
      <c r="G422" s="74">
        <f ca="1">ROUND((Table245[[#This Row],[XP]]*Table245[[#This Row],[entity_spawned (AVG)]])*(Table245[[#This Row],[activating_chance]]/100),0)</f>
        <v>8</v>
      </c>
      <c r="H422" s="71" t="str">
        <f ca="1">INDIRECT(ADDRESS(11+(MATCH(RIGHT(Table245[[#This Row],[spawner_sku]],LEN(Table245[[#This Row],[spawner_sku]])-FIND("/",Table245[[#This Row],[spawner_sku]])),Table28[Entity Prefab],0)),24,1,1,"Entities"))</f>
        <v>no</v>
      </c>
      <c r="I422" s="71">
        <v>1</v>
      </c>
      <c r="J422" s="71">
        <v>1</v>
      </c>
      <c r="K422" s="71" t="b">
        <v>0</v>
      </c>
      <c r="BP422" t="s">
        <v>244</v>
      </c>
      <c r="BQ422">
        <v>1</v>
      </c>
      <c r="BR422">
        <v>240</v>
      </c>
      <c r="BS422">
        <v>100</v>
      </c>
      <c r="BT422" s="74">
        <f ca="1">INDIRECT(ADDRESS(11+(MATCH(RIGHT(Table61011[[#This Row],[spawner_sku]],LEN(Table61011[[#This Row],[spawner_sku]])-FIND("/",Table61011[[#This Row],[spawner_sku]])),Table1[Entity Prefab],0)),10,1,1,"Entities"))</f>
        <v>50</v>
      </c>
      <c r="BU422" s="74">
        <f ca="1">ROUND((Table61011[[#This Row],[XP]]*Table61011[[#This Row],[entity_spawned (AVG)]])*(Table61011[[#This Row],[activating_chance]]/100),0)</f>
        <v>50</v>
      </c>
      <c r="BV422" s="71" t="str">
        <f ca="1">INDIRECT(ADDRESS(11+(MATCH(RIGHT(Table61011[[#This Row],[spawner_sku]],LEN(Table61011[[#This Row],[spawner_sku]])-FIND("/",Table61011[[#This Row],[spawner_sku]])),Table28[Entity Prefab],0)),24,1,1,"Entities"))</f>
        <v>no</v>
      </c>
      <c r="BW422" s="71">
        <v>1</v>
      </c>
      <c r="BX422" s="71">
        <v>1</v>
      </c>
      <c r="BY422" s="71" t="b">
        <v>0</v>
      </c>
      <c r="BZ422" s="71"/>
      <c r="CL422" t="s">
        <v>429</v>
      </c>
      <c r="CM422">
        <v>1</v>
      </c>
      <c r="CN422">
        <v>300</v>
      </c>
      <c r="CO422">
        <v>50</v>
      </c>
      <c r="CP422" s="74">
        <f ca="1">INDIRECT(ADDRESS(11+(MATCH(RIGHT(Table11[[#This Row],[spawner_sku]],LEN(Table11[[#This Row],[spawner_sku]])-FIND("/",Table11[[#This Row],[spawner_sku]])),Table1[Entity Prefab],0)),10,1,1,"Entities"))</f>
        <v>77</v>
      </c>
      <c r="CQ422">
        <f ca="1">ROUND((Table11[[#This Row],[XP]]*Table11[[#This Row],[entity_spawned (AVG)]])*(Table11[[#This Row],[activating_chance]]/100),0)</f>
        <v>39</v>
      </c>
      <c r="CR422" s="144" t="str">
        <f ca="1">INDIRECT(ADDRESS(11+(MATCH(RIGHT(Table11[[#This Row],[spawner_sku]],LEN(Table11[[#This Row],[spawner_sku]])-FIND("/",Table11[[#This Row],[spawner_sku]])),Table28[Entity Prefab],0)),25,1,1,"Entities"))</f>
        <v>yes</v>
      </c>
      <c r="CS422" s="71">
        <v>1</v>
      </c>
      <c r="CT422" s="71">
        <v>1</v>
      </c>
      <c r="CU422" s="71" t="b">
        <v>0</v>
      </c>
      <c r="DS422" t="s">
        <v>510</v>
      </c>
      <c r="DT422">
        <v>1</v>
      </c>
      <c r="DU422">
        <v>140</v>
      </c>
      <c r="DV422">
        <v>100</v>
      </c>
      <c r="DW422" s="74">
        <f ca="1">INDIRECT(ADDRESS(11+(MATCH(RIGHT(Table14[[#This Row],[spawner_sku]],LEN(Table14[[#This Row],[spawner_sku]])-FIND("/",Table14[[#This Row],[spawner_sku]])),Table1[Entity Prefab],0)),10,1,1,"Entities"))</f>
        <v>90</v>
      </c>
      <c r="DX422" s="74">
        <f ca="1">ROUND((Table14[[#This Row],[XP]]*Table14[[#This Row],[entity_spawned (AVG)]])*(Table14[[#This Row],[activating_chance]]/100),0)</f>
        <v>90</v>
      </c>
      <c r="DY422" s="144" t="str">
        <f ca="1">INDIRECT(ADDRESS(11+(MATCH(RIGHT(Table14[[#This Row],[spawner_sku]],LEN(Table14[[#This Row],[spawner_sku]])-FIND("/",Table14[[#This Row],[spawner_sku]])),Table28[Entity Prefab],0)),25,1,1,"Entities"))</f>
        <v>no</v>
      </c>
      <c r="DZ422" s="71">
        <v>1</v>
      </c>
      <c r="EA422" s="71">
        <v>1</v>
      </c>
      <c r="EB422" s="71" t="b">
        <v>0</v>
      </c>
      <c r="EC422" s="71"/>
    </row>
    <row r="423" spans="2:133" x14ac:dyDescent="0.25">
      <c r="B423" s="72" t="s">
        <v>5003</v>
      </c>
      <c r="C423">
        <v>1</v>
      </c>
      <c r="D423">
        <v>5000</v>
      </c>
      <c r="E423">
        <v>50</v>
      </c>
      <c r="F423" s="74">
        <f ca="1">INDIRECT(ADDRESS(11+(MATCH(RIGHT(Table245[[#This Row],[spawner_sku]],LEN(Table245[[#This Row],[spawner_sku]])-FIND("/",Table245[[#This Row],[spawner_sku]])),Table1[Entity Prefab],0)),10,1,1,"Entities"))</f>
        <v>25</v>
      </c>
      <c r="G423" s="74">
        <f ca="1">ROUND((Table245[[#This Row],[XP]]*Table245[[#This Row],[entity_spawned (AVG)]])*(Table245[[#This Row],[activating_chance]]/100),0)</f>
        <v>13</v>
      </c>
      <c r="H423" s="71" t="str">
        <f ca="1">INDIRECT(ADDRESS(11+(MATCH(RIGHT(Table245[[#This Row],[spawner_sku]],LEN(Table245[[#This Row],[spawner_sku]])-FIND("/",Table245[[#This Row],[spawner_sku]])),Table28[Entity Prefab],0)),24,1,1,"Entities"))</f>
        <v>no</v>
      </c>
      <c r="I423" s="71">
        <v>1</v>
      </c>
      <c r="J423" s="71">
        <v>1</v>
      </c>
      <c r="K423" s="71" t="b">
        <v>0</v>
      </c>
      <c r="BP423" t="s">
        <v>244</v>
      </c>
      <c r="BQ423">
        <v>1</v>
      </c>
      <c r="BR423">
        <v>240</v>
      </c>
      <c r="BS423">
        <v>100</v>
      </c>
      <c r="BT423" s="74">
        <f ca="1">INDIRECT(ADDRESS(11+(MATCH(RIGHT(Table61011[[#This Row],[spawner_sku]],LEN(Table61011[[#This Row],[spawner_sku]])-FIND("/",Table61011[[#This Row],[spawner_sku]])),Table1[Entity Prefab],0)),10,1,1,"Entities"))</f>
        <v>50</v>
      </c>
      <c r="BU423" s="74">
        <f ca="1">ROUND((Table61011[[#This Row],[XP]]*Table61011[[#This Row],[entity_spawned (AVG)]])*(Table61011[[#This Row],[activating_chance]]/100),0)</f>
        <v>50</v>
      </c>
      <c r="BV423" s="71" t="str">
        <f ca="1">INDIRECT(ADDRESS(11+(MATCH(RIGHT(Table61011[[#This Row],[spawner_sku]],LEN(Table61011[[#This Row],[spawner_sku]])-FIND("/",Table61011[[#This Row],[spawner_sku]])),Table28[Entity Prefab],0)),24,1,1,"Entities"))</f>
        <v>no</v>
      </c>
      <c r="BW423" s="71">
        <v>1</v>
      </c>
      <c r="BX423" s="71">
        <v>1</v>
      </c>
      <c r="BY423" s="71" t="b">
        <v>0</v>
      </c>
      <c r="BZ423" s="71"/>
      <c r="CL423" t="s">
        <v>429</v>
      </c>
      <c r="CM423">
        <v>1</v>
      </c>
      <c r="CN423">
        <v>300</v>
      </c>
      <c r="CO423">
        <v>60</v>
      </c>
      <c r="CP423" s="74">
        <f ca="1">INDIRECT(ADDRESS(11+(MATCH(RIGHT(Table11[[#This Row],[spawner_sku]],LEN(Table11[[#This Row],[spawner_sku]])-FIND("/",Table11[[#This Row],[spawner_sku]])),Table1[Entity Prefab],0)),10,1,1,"Entities"))</f>
        <v>77</v>
      </c>
      <c r="CQ423">
        <f ca="1">ROUND((Table11[[#This Row],[XP]]*Table11[[#This Row],[entity_spawned (AVG)]])*(Table11[[#This Row],[activating_chance]]/100),0)</f>
        <v>46</v>
      </c>
      <c r="CR423" s="144" t="str">
        <f ca="1">INDIRECT(ADDRESS(11+(MATCH(RIGHT(Table11[[#This Row],[spawner_sku]],LEN(Table11[[#This Row],[spawner_sku]])-FIND("/",Table11[[#This Row],[spawner_sku]])),Table28[Entity Prefab],0)),25,1,1,"Entities"))</f>
        <v>yes</v>
      </c>
      <c r="CS423" s="71">
        <v>1</v>
      </c>
      <c r="CT423" s="71">
        <v>1</v>
      </c>
      <c r="CU423" s="71" t="b">
        <v>0</v>
      </c>
      <c r="DS423" t="s">
        <v>510</v>
      </c>
      <c r="DT423">
        <v>1</v>
      </c>
      <c r="DU423">
        <v>145</v>
      </c>
      <c r="DV423">
        <v>70</v>
      </c>
      <c r="DW423" s="74">
        <f ca="1">INDIRECT(ADDRESS(11+(MATCH(RIGHT(Table14[[#This Row],[spawner_sku]],LEN(Table14[[#This Row],[spawner_sku]])-FIND("/",Table14[[#This Row],[spawner_sku]])),Table1[Entity Prefab],0)),10,1,1,"Entities"))</f>
        <v>90</v>
      </c>
      <c r="DX423" s="74">
        <f ca="1">ROUND((Table14[[#This Row],[XP]]*Table14[[#This Row],[entity_spawned (AVG)]])*(Table14[[#This Row],[activating_chance]]/100),0)</f>
        <v>63</v>
      </c>
      <c r="DY423" s="144" t="str">
        <f ca="1">INDIRECT(ADDRESS(11+(MATCH(RIGHT(Table14[[#This Row],[spawner_sku]],LEN(Table14[[#This Row],[spawner_sku]])-FIND("/",Table14[[#This Row],[spawner_sku]])),Table28[Entity Prefab],0)),25,1,1,"Entities"))</f>
        <v>no</v>
      </c>
      <c r="DZ423" s="71">
        <v>1</v>
      </c>
      <c r="EA423" s="71">
        <v>1</v>
      </c>
      <c r="EB423" s="71" t="b">
        <v>0</v>
      </c>
      <c r="EC423" s="71"/>
    </row>
    <row r="424" spans="2:133" x14ac:dyDescent="0.25">
      <c r="B424" s="72" t="s">
        <v>5003</v>
      </c>
      <c r="C424">
        <v>1</v>
      </c>
      <c r="D424">
        <v>5000</v>
      </c>
      <c r="E424">
        <v>100</v>
      </c>
      <c r="F424" s="74">
        <f ca="1">INDIRECT(ADDRESS(11+(MATCH(RIGHT(Table245[[#This Row],[spawner_sku]],LEN(Table245[[#This Row],[spawner_sku]])-FIND("/",Table245[[#This Row],[spawner_sku]])),Table1[Entity Prefab],0)),10,1,1,"Entities"))</f>
        <v>25</v>
      </c>
      <c r="G424" s="74">
        <f ca="1">ROUND((Table245[[#This Row],[XP]]*Table245[[#This Row],[entity_spawned (AVG)]])*(Table245[[#This Row],[activating_chance]]/100),0)</f>
        <v>25</v>
      </c>
      <c r="H424" s="71" t="str">
        <f ca="1">INDIRECT(ADDRESS(11+(MATCH(RIGHT(Table245[[#This Row],[spawner_sku]],LEN(Table245[[#This Row],[spawner_sku]])-FIND("/",Table245[[#This Row],[spawner_sku]])),Table28[Entity Prefab],0)),24,1,1,"Entities"))</f>
        <v>no</v>
      </c>
      <c r="I424" s="71">
        <v>1</v>
      </c>
      <c r="J424" s="71">
        <v>1</v>
      </c>
      <c r="K424" s="71" t="b">
        <v>0</v>
      </c>
      <c r="BP424" t="s">
        <v>244</v>
      </c>
      <c r="BQ424">
        <v>1</v>
      </c>
      <c r="BR424">
        <v>200</v>
      </c>
      <c r="BS424">
        <v>100</v>
      </c>
      <c r="BT424" s="74">
        <f ca="1">INDIRECT(ADDRESS(11+(MATCH(RIGHT(Table61011[[#This Row],[spawner_sku]],LEN(Table61011[[#This Row],[spawner_sku]])-FIND("/",Table61011[[#This Row],[spawner_sku]])),Table1[Entity Prefab],0)),10,1,1,"Entities"))</f>
        <v>50</v>
      </c>
      <c r="BU424" s="74">
        <f ca="1">ROUND((Table61011[[#This Row],[XP]]*Table61011[[#This Row],[entity_spawned (AVG)]])*(Table61011[[#This Row],[activating_chance]]/100),0)</f>
        <v>50</v>
      </c>
      <c r="BV424" s="71" t="str">
        <f ca="1">INDIRECT(ADDRESS(11+(MATCH(RIGHT(Table61011[[#This Row],[spawner_sku]],LEN(Table61011[[#This Row],[spawner_sku]])-FIND("/",Table61011[[#This Row],[spawner_sku]])),Table28[Entity Prefab],0)),24,1,1,"Entities"))</f>
        <v>no</v>
      </c>
      <c r="BW424" s="71">
        <v>1</v>
      </c>
      <c r="BX424" s="71">
        <v>1</v>
      </c>
      <c r="BY424" s="71" t="b">
        <v>0</v>
      </c>
      <c r="BZ424" s="71"/>
      <c r="CL424" t="s">
        <v>429</v>
      </c>
      <c r="CM424">
        <v>1</v>
      </c>
      <c r="CN424">
        <v>300</v>
      </c>
      <c r="CO424">
        <v>100</v>
      </c>
      <c r="CP424" s="74">
        <f ca="1">INDIRECT(ADDRESS(11+(MATCH(RIGHT(Table11[[#This Row],[spawner_sku]],LEN(Table11[[#This Row],[spawner_sku]])-FIND("/",Table11[[#This Row],[spawner_sku]])),Table1[Entity Prefab],0)),10,1,1,"Entities"))</f>
        <v>77</v>
      </c>
      <c r="CQ424">
        <f ca="1">ROUND((Table11[[#This Row],[XP]]*Table11[[#This Row],[entity_spawned (AVG)]])*(Table11[[#This Row],[activating_chance]]/100),0)</f>
        <v>77</v>
      </c>
      <c r="CR424" s="144" t="str">
        <f ca="1">INDIRECT(ADDRESS(11+(MATCH(RIGHT(Table11[[#This Row],[spawner_sku]],LEN(Table11[[#This Row],[spawner_sku]])-FIND("/",Table11[[#This Row],[spawner_sku]])),Table28[Entity Prefab],0)),25,1,1,"Entities"))</f>
        <v>yes</v>
      </c>
      <c r="CS424" s="71">
        <v>1</v>
      </c>
      <c r="CT424" s="71">
        <v>1</v>
      </c>
      <c r="CU424" s="71" t="b">
        <v>0</v>
      </c>
      <c r="DS424" t="s">
        <v>510</v>
      </c>
      <c r="DT424">
        <v>1</v>
      </c>
      <c r="DU424">
        <v>100</v>
      </c>
      <c r="DV424">
        <v>100</v>
      </c>
      <c r="DW424" s="74">
        <f ca="1">INDIRECT(ADDRESS(11+(MATCH(RIGHT(Table14[[#This Row],[spawner_sku]],LEN(Table14[[#This Row],[spawner_sku]])-FIND("/",Table14[[#This Row],[spawner_sku]])),Table1[Entity Prefab],0)),10,1,1,"Entities"))</f>
        <v>90</v>
      </c>
      <c r="DX424" s="74">
        <f ca="1">ROUND((Table14[[#This Row],[XP]]*Table14[[#This Row],[entity_spawned (AVG)]])*(Table14[[#This Row],[activating_chance]]/100),0)</f>
        <v>90</v>
      </c>
      <c r="DY424" s="144" t="str">
        <f ca="1">INDIRECT(ADDRESS(11+(MATCH(RIGHT(Table14[[#This Row],[spawner_sku]],LEN(Table14[[#This Row],[spawner_sku]])-FIND("/",Table14[[#This Row],[spawner_sku]])),Table28[Entity Prefab],0)),25,1,1,"Entities"))</f>
        <v>no</v>
      </c>
      <c r="DZ424" s="71">
        <v>1</v>
      </c>
      <c r="EA424" s="71">
        <v>1</v>
      </c>
      <c r="EB424" s="71" t="b">
        <v>0</v>
      </c>
      <c r="EC424" s="71"/>
    </row>
    <row r="425" spans="2:133" x14ac:dyDescent="0.25">
      <c r="B425" s="72" t="s">
        <v>5003</v>
      </c>
      <c r="C425">
        <v>1</v>
      </c>
      <c r="D425">
        <v>5000</v>
      </c>
      <c r="E425">
        <v>100</v>
      </c>
      <c r="F425" s="74">
        <f ca="1">INDIRECT(ADDRESS(11+(MATCH(RIGHT(Table245[[#This Row],[spawner_sku]],LEN(Table245[[#This Row],[spawner_sku]])-FIND("/",Table245[[#This Row],[spawner_sku]])),Table1[Entity Prefab],0)),10,1,1,"Entities"))</f>
        <v>25</v>
      </c>
      <c r="G425" s="74">
        <f ca="1">ROUND((Table245[[#This Row],[XP]]*Table245[[#This Row],[entity_spawned (AVG)]])*(Table245[[#This Row],[activating_chance]]/100),0)</f>
        <v>25</v>
      </c>
      <c r="H425" s="71" t="str">
        <f ca="1">INDIRECT(ADDRESS(11+(MATCH(RIGHT(Table245[[#This Row],[spawner_sku]],LEN(Table245[[#This Row],[spawner_sku]])-FIND("/",Table245[[#This Row],[spawner_sku]])),Table28[Entity Prefab],0)),24,1,1,"Entities"))</f>
        <v>no</v>
      </c>
      <c r="I425" s="71">
        <v>1</v>
      </c>
      <c r="J425" s="71">
        <v>1</v>
      </c>
      <c r="K425" s="71" t="b">
        <v>0</v>
      </c>
      <c r="BP425" t="s">
        <v>244</v>
      </c>
      <c r="BQ425">
        <v>1</v>
      </c>
      <c r="BR425">
        <v>240</v>
      </c>
      <c r="BS425">
        <v>100</v>
      </c>
      <c r="BT425" s="74">
        <f ca="1">INDIRECT(ADDRESS(11+(MATCH(RIGHT(Table61011[[#This Row],[spawner_sku]],LEN(Table61011[[#This Row],[spawner_sku]])-FIND("/",Table61011[[#This Row],[spawner_sku]])),Table1[Entity Prefab],0)),10,1,1,"Entities"))</f>
        <v>50</v>
      </c>
      <c r="BU425" s="74">
        <f ca="1">ROUND((Table61011[[#This Row],[XP]]*Table61011[[#This Row],[entity_spawned (AVG)]])*(Table61011[[#This Row],[activating_chance]]/100),0)</f>
        <v>50</v>
      </c>
      <c r="BV425" s="71" t="str">
        <f ca="1">INDIRECT(ADDRESS(11+(MATCH(RIGHT(Table61011[[#This Row],[spawner_sku]],LEN(Table61011[[#This Row],[spawner_sku]])-FIND("/",Table61011[[#This Row],[spawner_sku]])),Table28[Entity Prefab],0)),24,1,1,"Entities"))</f>
        <v>no</v>
      </c>
      <c r="BW425" s="71">
        <v>1</v>
      </c>
      <c r="BX425" s="71">
        <v>1</v>
      </c>
      <c r="BY425" s="71" t="b">
        <v>0</v>
      </c>
      <c r="BZ425" s="71"/>
      <c r="CL425" t="s">
        <v>429</v>
      </c>
      <c r="CM425">
        <v>1</v>
      </c>
      <c r="CN425">
        <v>300</v>
      </c>
      <c r="CO425">
        <v>50</v>
      </c>
      <c r="CP425" s="74">
        <f ca="1">INDIRECT(ADDRESS(11+(MATCH(RIGHT(Table11[[#This Row],[spawner_sku]],LEN(Table11[[#This Row],[spawner_sku]])-FIND("/",Table11[[#This Row],[spawner_sku]])),Table1[Entity Prefab],0)),10,1,1,"Entities"))</f>
        <v>77</v>
      </c>
      <c r="CQ425">
        <f ca="1">ROUND((Table11[[#This Row],[XP]]*Table11[[#This Row],[entity_spawned (AVG)]])*(Table11[[#This Row],[activating_chance]]/100),0)</f>
        <v>39</v>
      </c>
      <c r="CR425" s="144" t="str">
        <f ca="1">INDIRECT(ADDRESS(11+(MATCH(RIGHT(Table11[[#This Row],[spawner_sku]],LEN(Table11[[#This Row],[spawner_sku]])-FIND("/",Table11[[#This Row],[spawner_sku]])),Table28[Entity Prefab],0)),25,1,1,"Entities"))</f>
        <v>yes</v>
      </c>
      <c r="CS425" s="71">
        <v>1</v>
      </c>
      <c r="CT425" s="71">
        <v>1</v>
      </c>
      <c r="CU425" s="71" t="b">
        <v>0</v>
      </c>
      <c r="DS425" t="s">
        <v>510</v>
      </c>
      <c r="DT425">
        <v>1</v>
      </c>
      <c r="DU425">
        <v>140</v>
      </c>
      <c r="DV425">
        <v>100</v>
      </c>
      <c r="DW425" s="74">
        <f ca="1">INDIRECT(ADDRESS(11+(MATCH(RIGHT(Table14[[#This Row],[spawner_sku]],LEN(Table14[[#This Row],[spawner_sku]])-FIND("/",Table14[[#This Row],[spawner_sku]])),Table1[Entity Prefab],0)),10,1,1,"Entities"))</f>
        <v>90</v>
      </c>
      <c r="DX425" s="74">
        <f ca="1">ROUND((Table14[[#This Row],[XP]]*Table14[[#This Row],[entity_spawned (AVG)]])*(Table14[[#This Row],[activating_chance]]/100),0)</f>
        <v>90</v>
      </c>
      <c r="DY425" s="144" t="str">
        <f ca="1">INDIRECT(ADDRESS(11+(MATCH(RIGHT(Table14[[#This Row],[spawner_sku]],LEN(Table14[[#This Row],[spawner_sku]])-FIND("/",Table14[[#This Row],[spawner_sku]])),Table28[Entity Prefab],0)),25,1,1,"Entities"))</f>
        <v>no</v>
      </c>
      <c r="DZ425" s="71">
        <v>1</v>
      </c>
      <c r="EA425" s="71">
        <v>1</v>
      </c>
      <c r="EB425" s="71" t="b">
        <v>0</v>
      </c>
      <c r="EC425" s="71"/>
    </row>
    <row r="426" spans="2:133" x14ac:dyDescent="0.25">
      <c r="B426" s="72" t="s">
        <v>5003</v>
      </c>
      <c r="C426">
        <v>1</v>
      </c>
      <c r="D426">
        <v>5000</v>
      </c>
      <c r="E426">
        <v>50</v>
      </c>
      <c r="F426" s="74">
        <f ca="1">INDIRECT(ADDRESS(11+(MATCH(RIGHT(Table245[[#This Row],[spawner_sku]],LEN(Table245[[#This Row],[spawner_sku]])-FIND("/",Table245[[#This Row],[spawner_sku]])),Table1[Entity Prefab],0)),10,1,1,"Entities"))</f>
        <v>25</v>
      </c>
      <c r="G426" s="74">
        <f ca="1">ROUND((Table245[[#This Row],[XP]]*Table245[[#This Row],[entity_spawned (AVG)]])*(Table245[[#This Row],[activating_chance]]/100),0)</f>
        <v>13</v>
      </c>
      <c r="H426" s="71" t="str">
        <f ca="1">INDIRECT(ADDRESS(11+(MATCH(RIGHT(Table245[[#This Row],[spawner_sku]],LEN(Table245[[#This Row],[spawner_sku]])-FIND("/",Table245[[#This Row],[spawner_sku]])),Table28[Entity Prefab],0)),24,1,1,"Entities"))</f>
        <v>no</v>
      </c>
      <c r="I426" s="71">
        <v>1</v>
      </c>
      <c r="J426" s="71">
        <v>1</v>
      </c>
      <c r="K426" s="71" t="b">
        <v>0</v>
      </c>
      <c r="BP426" t="s">
        <v>244</v>
      </c>
      <c r="BQ426">
        <v>1</v>
      </c>
      <c r="BR426">
        <v>240</v>
      </c>
      <c r="BS426">
        <v>100</v>
      </c>
      <c r="BT426" s="74">
        <f ca="1">INDIRECT(ADDRESS(11+(MATCH(RIGHT(Table61011[[#This Row],[spawner_sku]],LEN(Table61011[[#This Row],[spawner_sku]])-FIND("/",Table61011[[#This Row],[spawner_sku]])),Table1[Entity Prefab],0)),10,1,1,"Entities"))</f>
        <v>50</v>
      </c>
      <c r="BU426" s="74">
        <f ca="1">ROUND((Table61011[[#This Row],[XP]]*Table61011[[#This Row],[entity_spawned (AVG)]])*(Table61011[[#This Row],[activating_chance]]/100),0)</f>
        <v>50</v>
      </c>
      <c r="BV426" s="71" t="str">
        <f ca="1">INDIRECT(ADDRESS(11+(MATCH(RIGHT(Table61011[[#This Row],[spawner_sku]],LEN(Table61011[[#This Row],[spawner_sku]])-FIND("/",Table61011[[#This Row],[spawner_sku]])),Table28[Entity Prefab],0)),24,1,1,"Entities"))</f>
        <v>no</v>
      </c>
      <c r="BW426" s="71">
        <v>1</v>
      </c>
      <c r="BX426" s="71">
        <v>1</v>
      </c>
      <c r="BY426" s="71" t="b">
        <v>0</v>
      </c>
      <c r="BZ426" s="71"/>
      <c r="CL426" t="s">
        <v>429</v>
      </c>
      <c r="CM426">
        <v>1</v>
      </c>
      <c r="CN426">
        <v>300</v>
      </c>
      <c r="CO426">
        <v>100</v>
      </c>
      <c r="CP426" s="74">
        <f ca="1">INDIRECT(ADDRESS(11+(MATCH(RIGHT(Table11[[#This Row],[spawner_sku]],LEN(Table11[[#This Row],[spawner_sku]])-FIND("/",Table11[[#This Row],[spawner_sku]])),Table1[Entity Prefab],0)),10,1,1,"Entities"))</f>
        <v>77</v>
      </c>
      <c r="CQ426">
        <f ca="1">ROUND((Table11[[#This Row],[XP]]*Table11[[#This Row],[entity_spawned (AVG)]])*(Table11[[#This Row],[activating_chance]]/100),0)</f>
        <v>77</v>
      </c>
      <c r="CR426" s="144" t="str">
        <f ca="1">INDIRECT(ADDRESS(11+(MATCH(RIGHT(Table11[[#This Row],[spawner_sku]],LEN(Table11[[#This Row],[spawner_sku]])-FIND("/",Table11[[#This Row],[spawner_sku]])),Table28[Entity Prefab],0)),25,1,1,"Entities"))</f>
        <v>yes</v>
      </c>
      <c r="CS426" s="71">
        <v>1</v>
      </c>
      <c r="CT426" s="71">
        <v>1</v>
      </c>
      <c r="CU426" s="71" t="b">
        <v>0</v>
      </c>
      <c r="DS426" t="s">
        <v>510</v>
      </c>
      <c r="DT426">
        <v>1</v>
      </c>
      <c r="DU426">
        <v>100</v>
      </c>
      <c r="DV426">
        <v>100</v>
      </c>
      <c r="DW426" s="74">
        <f ca="1">INDIRECT(ADDRESS(11+(MATCH(RIGHT(Table14[[#This Row],[spawner_sku]],LEN(Table14[[#This Row],[spawner_sku]])-FIND("/",Table14[[#This Row],[spawner_sku]])),Table1[Entity Prefab],0)),10,1,1,"Entities"))</f>
        <v>90</v>
      </c>
      <c r="DX426" s="74">
        <f ca="1">ROUND((Table14[[#This Row],[XP]]*Table14[[#This Row],[entity_spawned (AVG)]])*(Table14[[#This Row],[activating_chance]]/100),0)</f>
        <v>90</v>
      </c>
      <c r="DY426" s="144" t="str">
        <f ca="1">INDIRECT(ADDRESS(11+(MATCH(RIGHT(Table14[[#This Row],[spawner_sku]],LEN(Table14[[#This Row],[spawner_sku]])-FIND("/",Table14[[#This Row],[spawner_sku]])),Table28[Entity Prefab],0)),25,1,1,"Entities"))</f>
        <v>no</v>
      </c>
      <c r="DZ426" s="71">
        <v>1</v>
      </c>
      <c r="EA426" s="71">
        <v>1</v>
      </c>
      <c r="EB426" s="71" t="b">
        <v>0</v>
      </c>
      <c r="EC426" s="71"/>
    </row>
    <row r="427" spans="2:133" x14ac:dyDescent="0.25">
      <c r="B427" s="72" t="s">
        <v>5003</v>
      </c>
      <c r="C427">
        <v>1</v>
      </c>
      <c r="D427">
        <v>5000</v>
      </c>
      <c r="E427">
        <v>50</v>
      </c>
      <c r="F427" s="74">
        <f ca="1">INDIRECT(ADDRESS(11+(MATCH(RIGHT(Table245[[#This Row],[spawner_sku]],LEN(Table245[[#This Row],[spawner_sku]])-FIND("/",Table245[[#This Row],[spawner_sku]])),Table1[Entity Prefab],0)),10,1,1,"Entities"))</f>
        <v>25</v>
      </c>
      <c r="G427" s="74">
        <f ca="1">ROUND((Table245[[#This Row],[XP]]*Table245[[#This Row],[entity_spawned (AVG)]])*(Table245[[#This Row],[activating_chance]]/100),0)</f>
        <v>13</v>
      </c>
      <c r="H427" s="71" t="str">
        <f ca="1">INDIRECT(ADDRESS(11+(MATCH(RIGHT(Table245[[#This Row],[spawner_sku]],LEN(Table245[[#This Row],[spawner_sku]])-FIND("/",Table245[[#This Row],[spawner_sku]])),Table28[Entity Prefab],0)),24,1,1,"Entities"))</f>
        <v>no</v>
      </c>
      <c r="I427" s="71">
        <v>1</v>
      </c>
      <c r="J427" s="71">
        <v>1</v>
      </c>
      <c r="K427" s="71" t="b">
        <v>0</v>
      </c>
      <c r="BP427" t="s">
        <v>244</v>
      </c>
      <c r="BQ427">
        <v>1</v>
      </c>
      <c r="BR427">
        <v>240</v>
      </c>
      <c r="BS427">
        <v>30</v>
      </c>
      <c r="BT427" s="74">
        <f ca="1">INDIRECT(ADDRESS(11+(MATCH(RIGHT(Table61011[[#This Row],[spawner_sku]],LEN(Table61011[[#This Row],[spawner_sku]])-FIND("/",Table61011[[#This Row],[spawner_sku]])),Table1[Entity Prefab],0)),10,1,1,"Entities"))</f>
        <v>50</v>
      </c>
      <c r="BU427" s="74">
        <f ca="1">ROUND((Table61011[[#This Row],[XP]]*Table61011[[#This Row],[entity_spawned (AVG)]])*(Table61011[[#This Row],[activating_chance]]/100),0)</f>
        <v>15</v>
      </c>
      <c r="BV427" s="71" t="str">
        <f ca="1">INDIRECT(ADDRESS(11+(MATCH(RIGHT(Table61011[[#This Row],[spawner_sku]],LEN(Table61011[[#This Row],[spawner_sku]])-FIND("/",Table61011[[#This Row],[spawner_sku]])),Table28[Entity Prefab],0)),24,1,1,"Entities"))</f>
        <v>no</v>
      </c>
      <c r="BW427" s="71">
        <v>1</v>
      </c>
      <c r="BX427" s="71">
        <v>1</v>
      </c>
      <c r="BY427" s="71" t="b">
        <v>0</v>
      </c>
      <c r="BZ427" s="71"/>
      <c r="CL427" t="s">
        <v>429</v>
      </c>
      <c r="CM427">
        <v>1</v>
      </c>
      <c r="CN427">
        <v>300</v>
      </c>
      <c r="CO427">
        <v>100</v>
      </c>
      <c r="CP427" s="74">
        <f ca="1">INDIRECT(ADDRESS(11+(MATCH(RIGHT(Table11[[#This Row],[spawner_sku]],LEN(Table11[[#This Row],[spawner_sku]])-FIND("/",Table11[[#This Row],[spawner_sku]])),Table1[Entity Prefab],0)),10,1,1,"Entities"))</f>
        <v>77</v>
      </c>
      <c r="CQ427">
        <f ca="1">ROUND((Table11[[#This Row],[XP]]*Table11[[#This Row],[entity_spawned (AVG)]])*(Table11[[#This Row],[activating_chance]]/100),0)</f>
        <v>77</v>
      </c>
      <c r="CR427" s="144" t="str">
        <f ca="1">INDIRECT(ADDRESS(11+(MATCH(RIGHT(Table11[[#This Row],[spawner_sku]],LEN(Table11[[#This Row],[spawner_sku]])-FIND("/",Table11[[#This Row],[spawner_sku]])),Table28[Entity Prefab],0)),25,1,1,"Entities"))</f>
        <v>yes</v>
      </c>
      <c r="CS427" s="71">
        <v>1</v>
      </c>
      <c r="CT427" s="71">
        <v>1</v>
      </c>
      <c r="CU427" s="71" t="b">
        <v>0</v>
      </c>
      <c r="DS427" t="s">
        <v>510</v>
      </c>
      <c r="DT427">
        <v>1.5</v>
      </c>
      <c r="DU427">
        <v>200</v>
      </c>
      <c r="DV427">
        <v>100</v>
      </c>
      <c r="DW427" s="74">
        <f ca="1">INDIRECT(ADDRESS(11+(MATCH(RIGHT(Table14[[#This Row],[spawner_sku]],LEN(Table14[[#This Row],[spawner_sku]])-FIND("/",Table14[[#This Row],[spawner_sku]])),Table1[Entity Prefab],0)),10,1,1,"Entities"))</f>
        <v>90</v>
      </c>
      <c r="DX427" s="74">
        <f ca="1">ROUND((Table14[[#This Row],[XP]]*Table14[[#This Row],[entity_spawned (AVG)]])*(Table14[[#This Row],[activating_chance]]/100),0)</f>
        <v>135</v>
      </c>
      <c r="DY427" s="144" t="str">
        <f ca="1">INDIRECT(ADDRESS(11+(MATCH(RIGHT(Table14[[#This Row],[spawner_sku]],LEN(Table14[[#This Row],[spawner_sku]])-FIND("/",Table14[[#This Row],[spawner_sku]])),Table28[Entity Prefab],0)),25,1,1,"Entities"))</f>
        <v>no</v>
      </c>
      <c r="DZ427" s="71">
        <v>1</v>
      </c>
      <c r="EA427" s="71">
        <v>2</v>
      </c>
      <c r="EB427" s="71" t="b">
        <v>0</v>
      </c>
      <c r="EC427" s="71"/>
    </row>
    <row r="428" spans="2:133" x14ac:dyDescent="0.25">
      <c r="B428" s="72" t="s">
        <v>464</v>
      </c>
      <c r="C428">
        <v>1</v>
      </c>
      <c r="D428">
        <v>220</v>
      </c>
      <c r="E428">
        <v>100</v>
      </c>
      <c r="F428" s="74">
        <f ca="1">INDIRECT(ADDRESS(11+(MATCH(RIGHT(Table245[[#This Row],[spawner_sku]],LEN(Table245[[#This Row],[spawner_sku]])-FIND("/",Table245[[#This Row],[spawner_sku]])),Table1[Entity Prefab],0)),10,1,1,"Entities"))</f>
        <v>28</v>
      </c>
      <c r="G428" s="74">
        <f ca="1">ROUND((Table245[[#This Row],[XP]]*Table245[[#This Row],[entity_spawned (AVG)]])*(Table245[[#This Row],[activating_chance]]/100),0)</f>
        <v>28</v>
      </c>
      <c r="H428" s="71" t="str">
        <f ca="1">INDIRECT(ADDRESS(11+(MATCH(RIGHT(Table245[[#This Row],[spawner_sku]],LEN(Table245[[#This Row],[spawner_sku]])-FIND("/",Table245[[#This Row],[spawner_sku]])),Table28[Entity Prefab],0)),24,1,1,"Entities"))</f>
        <v>no</v>
      </c>
      <c r="I428" s="71">
        <v>1</v>
      </c>
      <c r="J428" s="71">
        <v>1</v>
      </c>
      <c r="K428" s="71" t="b">
        <v>0</v>
      </c>
      <c r="BP428" t="s">
        <v>244</v>
      </c>
      <c r="BQ428">
        <v>1</v>
      </c>
      <c r="BR428">
        <v>220</v>
      </c>
      <c r="BS428">
        <v>100</v>
      </c>
      <c r="BT428" s="74">
        <f ca="1">INDIRECT(ADDRESS(11+(MATCH(RIGHT(Table61011[[#This Row],[spawner_sku]],LEN(Table61011[[#This Row],[spawner_sku]])-FIND("/",Table61011[[#This Row],[spawner_sku]])),Table1[Entity Prefab],0)),10,1,1,"Entities"))</f>
        <v>50</v>
      </c>
      <c r="BU428" s="74">
        <f ca="1">ROUND((Table61011[[#This Row],[XP]]*Table61011[[#This Row],[entity_spawned (AVG)]])*(Table61011[[#This Row],[activating_chance]]/100),0)</f>
        <v>50</v>
      </c>
      <c r="BV428" s="71" t="str">
        <f ca="1">INDIRECT(ADDRESS(11+(MATCH(RIGHT(Table61011[[#This Row],[spawner_sku]],LEN(Table61011[[#This Row],[spawner_sku]])-FIND("/",Table61011[[#This Row],[spawner_sku]])),Table28[Entity Prefab],0)),24,1,1,"Entities"))</f>
        <v>no</v>
      </c>
      <c r="BW428" s="71">
        <v>1</v>
      </c>
      <c r="BX428" s="71">
        <v>1</v>
      </c>
      <c r="BY428" s="71" t="b">
        <v>0</v>
      </c>
      <c r="BZ428" s="71"/>
      <c r="CL428" t="s">
        <v>429</v>
      </c>
      <c r="CM428">
        <v>1</v>
      </c>
      <c r="CN428">
        <v>300</v>
      </c>
      <c r="CO428">
        <v>100</v>
      </c>
      <c r="CP428" s="74">
        <f ca="1">INDIRECT(ADDRESS(11+(MATCH(RIGHT(Table11[[#This Row],[spawner_sku]],LEN(Table11[[#This Row],[spawner_sku]])-FIND("/",Table11[[#This Row],[spawner_sku]])),Table1[Entity Prefab],0)),10,1,1,"Entities"))</f>
        <v>77</v>
      </c>
      <c r="CQ428">
        <f ca="1">ROUND((Table11[[#This Row],[XP]]*Table11[[#This Row],[entity_spawned (AVG)]])*(Table11[[#This Row],[activating_chance]]/100),0)</f>
        <v>77</v>
      </c>
      <c r="CR428" s="144" t="str">
        <f ca="1">INDIRECT(ADDRESS(11+(MATCH(RIGHT(Table11[[#This Row],[spawner_sku]],LEN(Table11[[#This Row],[spawner_sku]])-FIND("/",Table11[[#This Row],[spawner_sku]])),Table28[Entity Prefab],0)),25,1,1,"Entities"))</f>
        <v>yes</v>
      </c>
      <c r="CS428" s="71">
        <v>1</v>
      </c>
      <c r="CT428" s="71">
        <v>1</v>
      </c>
      <c r="CU428" s="71" t="b">
        <v>0</v>
      </c>
      <c r="DS428" t="s">
        <v>510</v>
      </c>
      <c r="DT428">
        <v>1</v>
      </c>
      <c r="DU428">
        <v>140</v>
      </c>
      <c r="DV428">
        <v>100</v>
      </c>
      <c r="DW428" s="74">
        <f ca="1">INDIRECT(ADDRESS(11+(MATCH(RIGHT(Table14[[#This Row],[spawner_sku]],LEN(Table14[[#This Row],[spawner_sku]])-FIND("/",Table14[[#This Row],[spawner_sku]])),Table1[Entity Prefab],0)),10,1,1,"Entities"))</f>
        <v>90</v>
      </c>
      <c r="DX428" s="74">
        <f ca="1">ROUND((Table14[[#This Row],[XP]]*Table14[[#This Row],[entity_spawned (AVG)]])*(Table14[[#This Row],[activating_chance]]/100),0)</f>
        <v>90</v>
      </c>
      <c r="DY428" s="144" t="str">
        <f ca="1">INDIRECT(ADDRESS(11+(MATCH(RIGHT(Table14[[#This Row],[spawner_sku]],LEN(Table14[[#This Row],[spawner_sku]])-FIND("/",Table14[[#This Row],[spawner_sku]])),Table28[Entity Prefab],0)),25,1,1,"Entities"))</f>
        <v>no</v>
      </c>
      <c r="DZ428" s="71">
        <v>1</v>
      </c>
      <c r="EA428" s="71">
        <v>1</v>
      </c>
      <c r="EB428" s="71" t="b">
        <v>0</v>
      </c>
      <c r="EC428" s="71"/>
    </row>
    <row r="429" spans="2:133" x14ac:dyDescent="0.25">
      <c r="B429" s="72" t="s">
        <v>464</v>
      </c>
      <c r="C429">
        <v>1</v>
      </c>
      <c r="D429">
        <v>220</v>
      </c>
      <c r="E429">
        <v>100</v>
      </c>
      <c r="F429" s="74">
        <f ca="1">INDIRECT(ADDRESS(11+(MATCH(RIGHT(Table245[[#This Row],[spawner_sku]],LEN(Table245[[#This Row],[spawner_sku]])-FIND("/",Table245[[#This Row],[spawner_sku]])),Table1[Entity Prefab],0)),10,1,1,"Entities"))</f>
        <v>28</v>
      </c>
      <c r="G429" s="74">
        <f ca="1">ROUND((Table245[[#This Row],[XP]]*Table245[[#This Row],[entity_spawned (AVG)]])*(Table245[[#This Row],[activating_chance]]/100),0)</f>
        <v>28</v>
      </c>
      <c r="H429" s="71" t="str">
        <f ca="1">INDIRECT(ADDRESS(11+(MATCH(RIGHT(Table245[[#This Row],[spawner_sku]],LEN(Table245[[#This Row],[spawner_sku]])-FIND("/",Table245[[#This Row],[spawner_sku]])),Table28[Entity Prefab],0)),24,1,1,"Entities"))</f>
        <v>no</v>
      </c>
      <c r="I429" s="71">
        <v>1</v>
      </c>
      <c r="J429" s="71">
        <v>1</v>
      </c>
      <c r="K429" s="71" t="b">
        <v>0</v>
      </c>
      <c r="BP429" t="s">
        <v>244</v>
      </c>
      <c r="BQ429">
        <v>1</v>
      </c>
      <c r="BR429">
        <v>220</v>
      </c>
      <c r="BS429">
        <v>60</v>
      </c>
      <c r="BT429" s="74">
        <f ca="1">INDIRECT(ADDRESS(11+(MATCH(RIGHT(Table61011[[#This Row],[spawner_sku]],LEN(Table61011[[#This Row],[spawner_sku]])-FIND("/",Table61011[[#This Row],[spawner_sku]])),Table1[Entity Prefab],0)),10,1,1,"Entities"))</f>
        <v>50</v>
      </c>
      <c r="BU429" s="74">
        <f ca="1">ROUND((Table61011[[#This Row],[XP]]*Table61011[[#This Row],[entity_spawned (AVG)]])*(Table61011[[#This Row],[activating_chance]]/100),0)</f>
        <v>30</v>
      </c>
      <c r="BV429" s="71" t="str">
        <f ca="1">INDIRECT(ADDRESS(11+(MATCH(RIGHT(Table61011[[#This Row],[spawner_sku]],LEN(Table61011[[#This Row],[spawner_sku]])-FIND("/",Table61011[[#This Row],[spawner_sku]])),Table28[Entity Prefab],0)),24,1,1,"Entities"))</f>
        <v>no</v>
      </c>
      <c r="BW429" s="71">
        <v>1</v>
      </c>
      <c r="BX429" s="71">
        <v>1</v>
      </c>
      <c r="BY429" s="71" t="b">
        <v>0</v>
      </c>
      <c r="BZ429" s="71"/>
      <c r="CL429" t="s">
        <v>502</v>
      </c>
      <c r="CM429">
        <v>1</v>
      </c>
      <c r="CN429">
        <v>130</v>
      </c>
      <c r="CO429">
        <v>50</v>
      </c>
      <c r="CP429" s="74">
        <f ca="1">INDIRECT(ADDRESS(11+(MATCH(RIGHT(Table11[[#This Row],[spawner_sku]],LEN(Table11[[#This Row],[spawner_sku]])-FIND("/",Table11[[#This Row],[spawner_sku]])),Table1[Entity Prefab],0)),10,1,1,"Entities"))</f>
        <v>50</v>
      </c>
      <c r="CQ429">
        <f ca="1">ROUND((Table11[[#This Row],[XP]]*Table11[[#This Row],[entity_spawned (AVG)]])*(Table11[[#This Row],[activating_chance]]/100),0)</f>
        <v>25</v>
      </c>
      <c r="CR429" s="144" t="str">
        <f ca="1">INDIRECT(ADDRESS(11+(MATCH(RIGHT(Table11[[#This Row],[spawner_sku]],LEN(Table11[[#This Row],[spawner_sku]])-FIND("/",Table11[[#This Row],[spawner_sku]])),Table28[Entity Prefab],0)),25,1,1,"Entities"))</f>
        <v>no</v>
      </c>
      <c r="CS429" s="71">
        <v>1</v>
      </c>
      <c r="CT429" s="71">
        <v>1</v>
      </c>
      <c r="CU429" s="71" t="b">
        <v>0</v>
      </c>
      <c r="DS429" t="s">
        <v>510</v>
      </c>
      <c r="DT429">
        <v>1</v>
      </c>
      <c r="DU429">
        <v>140</v>
      </c>
      <c r="DV429">
        <v>100</v>
      </c>
      <c r="DW429" s="74">
        <f ca="1">INDIRECT(ADDRESS(11+(MATCH(RIGHT(Table14[[#This Row],[spawner_sku]],LEN(Table14[[#This Row],[spawner_sku]])-FIND("/",Table14[[#This Row],[spawner_sku]])),Table1[Entity Prefab],0)),10,1,1,"Entities"))</f>
        <v>90</v>
      </c>
      <c r="DX429" s="74">
        <f ca="1">ROUND((Table14[[#This Row],[XP]]*Table14[[#This Row],[entity_spawned (AVG)]])*(Table14[[#This Row],[activating_chance]]/100),0)</f>
        <v>90</v>
      </c>
      <c r="DY429" s="144" t="str">
        <f ca="1">INDIRECT(ADDRESS(11+(MATCH(RIGHT(Table14[[#This Row],[spawner_sku]],LEN(Table14[[#This Row],[spawner_sku]])-FIND("/",Table14[[#This Row],[spawner_sku]])),Table28[Entity Prefab],0)),25,1,1,"Entities"))</f>
        <v>no</v>
      </c>
      <c r="DZ429" s="71">
        <v>1</v>
      </c>
      <c r="EA429" s="71">
        <v>1</v>
      </c>
      <c r="EB429" s="71" t="b">
        <v>0</v>
      </c>
      <c r="EC429" s="71"/>
    </row>
    <row r="430" spans="2:133" x14ac:dyDescent="0.25">
      <c r="B430" s="72" t="s">
        <v>464</v>
      </c>
      <c r="C430">
        <v>1</v>
      </c>
      <c r="D430">
        <v>200</v>
      </c>
      <c r="E430">
        <v>100</v>
      </c>
      <c r="F430" s="74">
        <f ca="1">INDIRECT(ADDRESS(11+(MATCH(RIGHT(Table245[[#This Row],[spawner_sku]],LEN(Table245[[#This Row],[spawner_sku]])-FIND("/",Table245[[#This Row],[spawner_sku]])),Table1[Entity Prefab],0)),10,1,1,"Entities"))</f>
        <v>28</v>
      </c>
      <c r="G430" s="74">
        <f ca="1">ROUND((Table245[[#This Row],[XP]]*Table245[[#This Row],[entity_spawned (AVG)]])*(Table245[[#This Row],[activating_chance]]/100),0)</f>
        <v>28</v>
      </c>
      <c r="H430" s="71" t="str">
        <f ca="1">INDIRECT(ADDRESS(11+(MATCH(RIGHT(Table245[[#This Row],[spawner_sku]],LEN(Table245[[#This Row],[spawner_sku]])-FIND("/",Table245[[#This Row],[spawner_sku]])),Table28[Entity Prefab],0)),24,1,1,"Entities"))</f>
        <v>no</v>
      </c>
      <c r="I430" s="71">
        <v>1</v>
      </c>
      <c r="J430" s="71">
        <v>1</v>
      </c>
      <c r="K430" s="71" t="b">
        <v>0</v>
      </c>
      <c r="BP430" t="s">
        <v>244</v>
      </c>
      <c r="BQ430">
        <v>1</v>
      </c>
      <c r="BR430">
        <v>240</v>
      </c>
      <c r="BS430">
        <v>100</v>
      </c>
      <c r="BT430" s="74">
        <f ca="1">INDIRECT(ADDRESS(11+(MATCH(RIGHT(Table61011[[#This Row],[spawner_sku]],LEN(Table61011[[#This Row],[spawner_sku]])-FIND("/",Table61011[[#This Row],[spawner_sku]])),Table1[Entity Prefab],0)),10,1,1,"Entities"))</f>
        <v>50</v>
      </c>
      <c r="BU430" s="74">
        <f ca="1">ROUND((Table61011[[#This Row],[XP]]*Table61011[[#This Row],[entity_spawned (AVG)]])*(Table61011[[#This Row],[activating_chance]]/100),0)</f>
        <v>50</v>
      </c>
      <c r="BV430" s="71" t="str">
        <f ca="1">INDIRECT(ADDRESS(11+(MATCH(RIGHT(Table61011[[#This Row],[spawner_sku]],LEN(Table61011[[#This Row],[spawner_sku]])-FIND("/",Table61011[[#This Row],[spawner_sku]])),Table28[Entity Prefab],0)),24,1,1,"Entities"))</f>
        <v>no</v>
      </c>
      <c r="BW430" s="71">
        <v>1</v>
      </c>
      <c r="BX430" s="71">
        <v>1</v>
      </c>
      <c r="BY430" s="71" t="b">
        <v>0</v>
      </c>
      <c r="BZ430" s="71"/>
      <c r="CL430" t="s">
        <v>502</v>
      </c>
      <c r="CM430">
        <v>1</v>
      </c>
      <c r="CN430">
        <v>130</v>
      </c>
      <c r="CO430">
        <v>100</v>
      </c>
      <c r="CP430" s="74">
        <f ca="1">INDIRECT(ADDRESS(11+(MATCH(RIGHT(Table11[[#This Row],[spawner_sku]],LEN(Table11[[#This Row],[spawner_sku]])-FIND("/",Table11[[#This Row],[spawner_sku]])),Table1[Entity Prefab],0)),10,1,1,"Entities"))</f>
        <v>50</v>
      </c>
      <c r="CQ430">
        <f ca="1">ROUND((Table11[[#This Row],[XP]]*Table11[[#This Row],[entity_spawned (AVG)]])*(Table11[[#This Row],[activating_chance]]/100),0)</f>
        <v>50</v>
      </c>
      <c r="CR430" s="144" t="str">
        <f ca="1">INDIRECT(ADDRESS(11+(MATCH(RIGHT(Table11[[#This Row],[spawner_sku]],LEN(Table11[[#This Row],[spawner_sku]])-FIND("/",Table11[[#This Row],[spawner_sku]])),Table28[Entity Prefab],0)),25,1,1,"Entities"))</f>
        <v>no</v>
      </c>
      <c r="CS430" s="71">
        <v>1</v>
      </c>
      <c r="CT430" s="71">
        <v>1</v>
      </c>
      <c r="CU430" s="71" t="b">
        <v>0</v>
      </c>
      <c r="DS430" t="s">
        <v>510</v>
      </c>
      <c r="DT430">
        <v>1</v>
      </c>
      <c r="DU430">
        <v>135</v>
      </c>
      <c r="DV430">
        <v>100</v>
      </c>
      <c r="DW430" s="74">
        <f ca="1">INDIRECT(ADDRESS(11+(MATCH(RIGHT(Table14[[#This Row],[spawner_sku]],LEN(Table14[[#This Row],[spawner_sku]])-FIND("/",Table14[[#This Row],[spawner_sku]])),Table1[Entity Prefab],0)),10,1,1,"Entities"))</f>
        <v>90</v>
      </c>
      <c r="DX430" s="74">
        <f ca="1">ROUND((Table14[[#This Row],[XP]]*Table14[[#This Row],[entity_spawned (AVG)]])*(Table14[[#This Row],[activating_chance]]/100),0)</f>
        <v>90</v>
      </c>
      <c r="DY430" s="144" t="str">
        <f ca="1">INDIRECT(ADDRESS(11+(MATCH(RIGHT(Table14[[#This Row],[spawner_sku]],LEN(Table14[[#This Row],[spawner_sku]])-FIND("/",Table14[[#This Row],[spawner_sku]])),Table28[Entity Prefab],0)),25,1,1,"Entities"))</f>
        <v>no</v>
      </c>
      <c r="DZ430" s="71">
        <v>1</v>
      </c>
      <c r="EA430" s="71">
        <v>1</v>
      </c>
      <c r="EB430" s="71" t="b">
        <v>0</v>
      </c>
      <c r="EC430" s="71"/>
    </row>
    <row r="431" spans="2:133" x14ac:dyDescent="0.25">
      <c r="B431" s="72" t="s">
        <v>465</v>
      </c>
      <c r="C431">
        <v>1</v>
      </c>
      <c r="D431">
        <v>140</v>
      </c>
      <c r="E431">
        <v>80</v>
      </c>
      <c r="F431" s="74">
        <f ca="1">INDIRECT(ADDRESS(11+(MATCH(RIGHT(Table245[[#This Row],[spawner_sku]],LEN(Table245[[#This Row],[spawner_sku]])-FIND("/",Table245[[#This Row],[spawner_sku]])),Table1[Entity Prefab],0)),10,1,1,"Entities"))</f>
        <v>25</v>
      </c>
      <c r="G431" s="74">
        <f ca="1">ROUND((Table245[[#This Row],[XP]]*Table245[[#This Row],[entity_spawned (AVG)]])*(Table245[[#This Row],[activating_chance]]/100),0)</f>
        <v>20</v>
      </c>
      <c r="H431" s="71" t="str">
        <f ca="1">INDIRECT(ADDRESS(11+(MATCH(RIGHT(Table245[[#This Row],[spawner_sku]],LEN(Table245[[#This Row],[spawner_sku]])-FIND("/",Table245[[#This Row],[spawner_sku]])),Table28[Entity Prefab],0)),24,1,1,"Entities"))</f>
        <v>no</v>
      </c>
      <c r="I431" s="71">
        <v>1</v>
      </c>
      <c r="J431" s="71">
        <v>1</v>
      </c>
      <c r="K431" s="71" t="b">
        <v>0</v>
      </c>
      <c r="BP431" t="s">
        <v>244</v>
      </c>
      <c r="BQ431">
        <v>1</v>
      </c>
      <c r="BR431">
        <v>200</v>
      </c>
      <c r="BS431">
        <v>30</v>
      </c>
      <c r="BT431" s="74">
        <f ca="1">INDIRECT(ADDRESS(11+(MATCH(RIGHT(Table61011[[#This Row],[spawner_sku]],LEN(Table61011[[#This Row],[spawner_sku]])-FIND("/",Table61011[[#This Row],[spawner_sku]])),Table1[Entity Prefab],0)),10,1,1,"Entities"))</f>
        <v>50</v>
      </c>
      <c r="BU431" s="74">
        <f ca="1">ROUND((Table61011[[#This Row],[XP]]*Table61011[[#This Row],[entity_spawned (AVG)]])*(Table61011[[#This Row],[activating_chance]]/100),0)</f>
        <v>15</v>
      </c>
      <c r="BV431" s="71" t="str">
        <f ca="1">INDIRECT(ADDRESS(11+(MATCH(RIGHT(Table61011[[#This Row],[spawner_sku]],LEN(Table61011[[#This Row],[spawner_sku]])-FIND("/",Table61011[[#This Row],[spawner_sku]])),Table28[Entity Prefab],0)),24,1,1,"Entities"))</f>
        <v>no</v>
      </c>
      <c r="BW431" s="71">
        <v>1</v>
      </c>
      <c r="BX431" s="71">
        <v>1</v>
      </c>
      <c r="BY431" s="71" t="b">
        <v>0</v>
      </c>
      <c r="BZ431" s="71"/>
      <c r="CL431" t="s">
        <v>502</v>
      </c>
      <c r="CM431">
        <v>1</v>
      </c>
      <c r="CN431">
        <v>130</v>
      </c>
      <c r="CO431">
        <v>100</v>
      </c>
      <c r="CP431" s="74">
        <f ca="1">INDIRECT(ADDRESS(11+(MATCH(RIGHT(Table11[[#This Row],[spawner_sku]],LEN(Table11[[#This Row],[spawner_sku]])-FIND("/",Table11[[#This Row],[spawner_sku]])),Table1[Entity Prefab],0)),10,1,1,"Entities"))</f>
        <v>50</v>
      </c>
      <c r="CQ431">
        <f ca="1">ROUND((Table11[[#This Row],[XP]]*Table11[[#This Row],[entity_spawned (AVG)]])*(Table11[[#This Row],[activating_chance]]/100),0)</f>
        <v>50</v>
      </c>
      <c r="CR431" s="144" t="str">
        <f ca="1">INDIRECT(ADDRESS(11+(MATCH(RIGHT(Table11[[#This Row],[spawner_sku]],LEN(Table11[[#This Row],[spawner_sku]])-FIND("/",Table11[[#This Row],[spawner_sku]])),Table28[Entity Prefab],0)),25,1,1,"Entities"))</f>
        <v>no</v>
      </c>
      <c r="CS431" s="71">
        <v>1</v>
      </c>
      <c r="CT431" s="71">
        <v>1</v>
      </c>
      <c r="CU431" s="71" t="b">
        <v>0</v>
      </c>
      <c r="DS431" t="s">
        <v>510</v>
      </c>
      <c r="DT431">
        <v>1</v>
      </c>
      <c r="DU431">
        <v>150</v>
      </c>
      <c r="DV431">
        <v>30</v>
      </c>
      <c r="DW431" s="74">
        <f ca="1">INDIRECT(ADDRESS(11+(MATCH(RIGHT(Table14[[#This Row],[spawner_sku]],LEN(Table14[[#This Row],[spawner_sku]])-FIND("/",Table14[[#This Row],[spawner_sku]])),Table1[Entity Prefab],0)),10,1,1,"Entities"))</f>
        <v>90</v>
      </c>
      <c r="DX431" s="74">
        <f ca="1">ROUND((Table14[[#This Row],[XP]]*Table14[[#This Row],[entity_spawned (AVG)]])*(Table14[[#This Row],[activating_chance]]/100),0)</f>
        <v>27</v>
      </c>
      <c r="DY431" s="144" t="str">
        <f ca="1">INDIRECT(ADDRESS(11+(MATCH(RIGHT(Table14[[#This Row],[spawner_sku]],LEN(Table14[[#This Row],[spawner_sku]])-FIND("/",Table14[[#This Row],[spawner_sku]])),Table28[Entity Prefab],0)),25,1,1,"Entities"))</f>
        <v>no</v>
      </c>
      <c r="DZ431" s="71">
        <v>1</v>
      </c>
      <c r="EA431" s="71">
        <v>1</v>
      </c>
      <c r="EB431" s="71" t="b">
        <v>0</v>
      </c>
      <c r="EC431" s="71"/>
    </row>
    <row r="432" spans="2:133" x14ac:dyDescent="0.25">
      <c r="B432" s="72" t="s">
        <v>465</v>
      </c>
      <c r="C432">
        <v>1</v>
      </c>
      <c r="D432">
        <v>120</v>
      </c>
      <c r="E432">
        <v>80</v>
      </c>
      <c r="F432" s="74">
        <f ca="1">INDIRECT(ADDRESS(11+(MATCH(RIGHT(Table245[[#This Row],[spawner_sku]],LEN(Table245[[#This Row],[spawner_sku]])-FIND("/",Table245[[#This Row],[spawner_sku]])),Table1[Entity Prefab],0)),10,1,1,"Entities"))</f>
        <v>25</v>
      </c>
      <c r="G432" s="74">
        <f ca="1">ROUND((Table245[[#This Row],[XP]]*Table245[[#This Row],[entity_spawned (AVG)]])*(Table245[[#This Row],[activating_chance]]/100),0)</f>
        <v>20</v>
      </c>
      <c r="H432" s="71" t="str">
        <f ca="1">INDIRECT(ADDRESS(11+(MATCH(RIGHT(Table245[[#This Row],[spawner_sku]],LEN(Table245[[#This Row],[spawner_sku]])-FIND("/",Table245[[#This Row],[spawner_sku]])),Table28[Entity Prefab],0)),24,1,1,"Entities"))</f>
        <v>no</v>
      </c>
      <c r="I432" s="71">
        <v>1</v>
      </c>
      <c r="J432" s="71">
        <v>1</v>
      </c>
      <c r="K432" s="71" t="b">
        <v>0</v>
      </c>
      <c r="BP432" t="s">
        <v>244</v>
      </c>
      <c r="BQ432">
        <v>1</v>
      </c>
      <c r="BR432">
        <v>200</v>
      </c>
      <c r="BS432">
        <v>100</v>
      </c>
      <c r="BT432" s="74">
        <f ca="1">INDIRECT(ADDRESS(11+(MATCH(RIGHT(Table61011[[#This Row],[spawner_sku]],LEN(Table61011[[#This Row],[spawner_sku]])-FIND("/",Table61011[[#This Row],[spawner_sku]])),Table1[Entity Prefab],0)),10,1,1,"Entities"))</f>
        <v>50</v>
      </c>
      <c r="BU432" s="74">
        <f ca="1">ROUND((Table61011[[#This Row],[XP]]*Table61011[[#This Row],[entity_spawned (AVG)]])*(Table61011[[#This Row],[activating_chance]]/100),0)</f>
        <v>50</v>
      </c>
      <c r="BV432" s="71" t="str">
        <f ca="1">INDIRECT(ADDRESS(11+(MATCH(RIGHT(Table61011[[#This Row],[spawner_sku]],LEN(Table61011[[#This Row],[spawner_sku]])-FIND("/",Table61011[[#This Row],[spawner_sku]])),Table28[Entity Prefab],0)),24,1,1,"Entities"))</f>
        <v>no</v>
      </c>
      <c r="BW432" s="71">
        <v>1</v>
      </c>
      <c r="BX432" s="71">
        <v>1</v>
      </c>
      <c r="BY432" s="71" t="b">
        <v>0</v>
      </c>
      <c r="BZ432" s="71"/>
      <c r="CL432" t="s">
        <v>374</v>
      </c>
      <c r="CM432">
        <v>1</v>
      </c>
      <c r="CN432">
        <v>220</v>
      </c>
      <c r="CO432">
        <v>90</v>
      </c>
      <c r="CP432" s="74">
        <f ca="1">INDIRECT(ADDRESS(11+(MATCH(RIGHT(Table11[[#This Row],[spawner_sku]],LEN(Table11[[#This Row],[spawner_sku]])-FIND("/",Table11[[#This Row],[spawner_sku]])),Table1[Entity Prefab],0)),10,1,1,"Entities"))</f>
        <v>83</v>
      </c>
      <c r="CQ432">
        <f ca="1">ROUND((Table11[[#This Row],[XP]]*Table11[[#This Row],[entity_spawned (AVG)]])*(Table11[[#This Row],[activating_chance]]/100),0)</f>
        <v>75</v>
      </c>
      <c r="CR432" s="144" t="str">
        <f ca="1">INDIRECT(ADDRESS(11+(MATCH(RIGHT(Table11[[#This Row],[spawner_sku]],LEN(Table11[[#This Row],[spawner_sku]])-FIND("/",Table11[[#This Row],[spawner_sku]])),Table28[Entity Prefab],0)),25,1,1,"Entities"))</f>
        <v>no</v>
      </c>
      <c r="CS432" s="71">
        <v>1</v>
      </c>
      <c r="CT432" s="71">
        <v>1</v>
      </c>
      <c r="CU432" s="71" t="b">
        <v>0</v>
      </c>
      <c r="DS432" t="s">
        <v>510</v>
      </c>
      <c r="DT432">
        <v>1</v>
      </c>
      <c r="DU432">
        <v>150</v>
      </c>
      <c r="DV432">
        <v>100</v>
      </c>
      <c r="DW432" s="74">
        <f ca="1">INDIRECT(ADDRESS(11+(MATCH(RIGHT(Table14[[#This Row],[spawner_sku]],LEN(Table14[[#This Row],[spawner_sku]])-FIND("/",Table14[[#This Row],[spawner_sku]])),Table1[Entity Prefab],0)),10,1,1,"Entities"))</f>
        <v>90</v>
      </c>
      <c r="DX432" s="74">
        <f ca="1">ROUND((Table14[[#This Row],[XP]]*Table14[[#This Row],[entity_spawned (AVG)]])*(Table14[[#This Row],[activating_chance]]/100),0)</f>
        <v>90</v>
      </c>
      <c r="DY432" s="144" t="str">
        <f ca="1">INDIRECT(ADDRESS(11+(MATCH(RIGHT(Table14[[#This Row],[spawner_sku]],LEN(Table14[[#This Row],[spawner_sku]])-FIND("/",Table14[[#This Row],[spawner_sku]])),Table28[Entity Prefab],0)),25,1,1,"Entities"))</f>
        <v>no</v>
      </c>
      <c r="DZ432" s="71">
        <v>1</v>
      </c>
      <c r="EA432" s="71">
        <v>1</v>
      </c>
      <c r="EB432" s="71" t="b">
        <v>0</v>
      </c>
      <c r="EC432" s="71"/>
    </row>
    <row r="433" spans="2:133" x14ac:dyDescent="0.25">
      <c r="B433" s="72" t="s">
        <v>465</v>
      </c>
      <c r="C433">
        <v>1</v>
      </c>
      <c r="D433">
        <v>140</v>
      </c>
      <c r="E433">
        <v>80</v>
      </c>
      <c r="F433" s="74">
        <f ca="1">INDIRECT(ADDRESS(11+(MATCH(RIGHT(Table245[[#This Row],[spawner_sku]],LEN(Table245[[#This Row],[spawner_sku]])-FIND("/",Table245[[#This Row],[spawner_sku]])),Table1[Entity Prefab],0)),10,1,1,"Entities"))</f>
        <v>25</v>
      </c>
      <c r="G433" s="74">
        <f ca="1">ROUND((Table245[[#This Row],[XP]]*Table245[[#This Row],[entity_spawned (AVG)]])*(Table245[[#This Row],[activating_chance]]/100),0)</f>
        <v>20</v>
      </c>
      <c r="H433" s="71" t="str">
        <f ca="1">INDIRECT(ADDRESS(11+(MATCH(RIGHT(Table245[[#This Row],[spawner_sku]],LEN(Table245[[#This Row],[spawner_sku]])-FIND("/",Table245[[#This Row],[spawner_sku]])),Table28[Entity Prefab],0)),24,1,1,"Entities"))</f>
        <v>no</v>
      </c>
      <c r="I433" s="71">
        <v>1</v>
      </c>
      <c r="J433" s="71">
        <v>1</v>
      </c>
      <c r="K433" s="71" t="b">
        <v>0</v>
      </c>
      <c r="BP433" t="s">
        <v>244</v>
      </c>
      <c r="BQ433">
        <v>1</v>
      </c>
      <c r="BR433">
        <v>240</v>
      </c>
      <c r="BS433">
        <v>100</v>
      </c>
      <c r="BT433" s="74">
        <f ca="1">INDIRECT(ADDRESS(11+(MATCH(RIGHT(Table61011[[#This Row],[spawner_sku]],LEN(Table61011[[#This Row],[spawner_sku]])-FIND("/",Table61011[[#This Row],[spawner_sku]])),Table1[Entity Prefab],0)),10,1,1,"Entities"))</f>
        <v>50</v>
      </c>
      <c r="BU433" s="74">
        <f ca="1">ROUND((Table61011[[#This Row],[XP]]*Table61011[[#This Row],[entity_spawned (AVG)]])*(Table61011[[#This Row],[activating_chance]]/100),0)</f>
        <v>50</v>
      </c>
      <c r="BV433" s="71" t="str">
        <f ca="1">INDIRECT(ADDRESS(11+(MATCH(RIGHT(Table61011[[#This Row],[spawner_sku]],LEN(Table61011[[#This Row],[spawner_sku]])-FIND("/",Table61011[[#This Row],[spawner_sku]])),Table28[Entity Prefab],0)),24,1,1,"Entities"))</f>
        <v>no</v>
      </c>
      <c r="BW433" s="71">
        <v>1</v>
      </c>
      <c r="BX433" s="71">
        <v>1</v>
      </c>
      <c r="BY433" s="71" t="b">
        <v>0</v>
      </c>
      <c r="BZ433" s="71"/>
      <c r="CL433" t="s">
        <v>374</v>
      </c>
      <c r="CM433">
        <v>1</v>
      </c>
      <c r="CN433">
        <v>220</v>
      </c>
      <c r="CO433">
        <v>30</v>
      </c>
      <c r="CP433" s="74">
        <f ca="1">INDIRECT(ADDRESS(11+(MATCH(RIGHT(Table11[[#This Row],[spawner_sku]],LEN(Table11[[#This Row],[spawner_sku]])-FIND("/",Table11[[#This Row],[spawner_sku]])),Table1[Entity Prefab],0)),10,1,1,"Entities"))</f>
        <v>83</v>
      </c>
      <c r="CQ433">
        <f ca="1">ROUND((Table11[[#This Row],[XP]]*Table11[[#This Row],[entity_spawned (AVG)]])*(Table11[[#This Row],[activating_chance]]/100),0)</f>
        <v>25</v>
      </c>
      <c r="CR433" s="144" t="str">
        <f ca="1">INDIRECT(ADDRESS(11+(MATCH(RIGHT(Table11[[#This Row],[spawner_sku]],LEN(Table11[[#This Row],[spawner_sku]])-FIND("/",Table11[[#This Row],[spawner_sku]])),Table28[Entity Prefab],0)),25,1,1,"Entities"))</f>
        <v>no</v>
      </c>
      <c r="CS433" s="71">
        <v>1</v>
      </c>
      <c r="CT433" s="71">
        <v>1</v>
      </c>
      <c r="CU433" s="71" t="b">
        <v>0</v>
      </c>
      <c r="DS433" t="s">
        <v>510</v>
      </c>
      <c r="DT433">
        <v>2.5</v>
      </c>
      <c r="DU433">
        <v>100</v>
      </c>
      <c r="DV433">
        <v>100</v>
      </c>
      <c r="DW433" s="74">
        <f ca="1">INDIRECT(ADDRESS(11+(MATCH(RIGHT(Table14[[#This Row],[spawner_sku]],LEN(Table14[[#This Row],[spawner_sku]])-FIND("/",Table14[[#This Row],[spawner_sku]])),Table1[Entity Prefab],0)),10,1,1,"Entities"))</f>
        <v>90</v>
      </c>
      <c r="DX433" s="74">
        <f ca="1">ROUND((Table14[[#This Row],[XP]]*Table14[[#This Row],[entity_spawned (AVG)]])*(Table14[[#This Row],[activating_chance]]/100),0)</f>
        <v>225</v>
      </c>
      <c r="DY433" s="144" t="str">
        <f ca="1">INDIRECT(ADDRESS(11+(MATCH(RIGHT(Table14[[#This Row],[spawner_sku]],LEN(Table14[[#This Row],[spawner_sku]])-FIND("/",Table14[[#This Row],[spawner_sku]])),Table28[Entity Prefab],0)),25,1,1,"Entities"))</f>
        <v>no</v>
      </c>
      <c r="DZ433" s="71">
        <v>2</v>
      </c>
      <c r="EA433" s="71">
        <v>3</v>
      </c>
      <c r="EB433" s="71" t="b">
        <v>0</v>
      </c>
      <c r="EC433" s="71"/>
    </row>
    <row r="434" spans="2:133" x14ac:dyDescent="0.25">
      <c r="B434" s="72" t="s">
        <v>465</v>
      </c>
      <c r="C434">
        <v>1</v>
      </c>
      <c r="D434">
        <v>150</v>
      </c>
      <c r="E434">
        <v>100</v>
      </c>
      <c r="F434" s="74">
        <f ca="1">INDIRECT(ADDRESS(11+(MATCH(RIGHT(Table245[[#This Row],[spawner_sku]],LEN(Table245[[#This Row],[spawner_sku]])-FIND("/",Table245[[#This Row],[spawner_sku]])),Table1[Entity Prefab],0)),10,1,1,"Entities"))</f>
        <v>25</v>
      </c>
      <c r="G434" s="74">
        <f ca="1">ROUND((Table245[[#This Row],[XP]]*Table245[[#This Row],[entity_spawned (AVG)]])*(Table245[[#This Row],[activating_chance]]/100),0)</f>
        <v>25</v>
      </c>
      <c r="H434" s="71" t="str">
        <f ca="1">INDIRECT(ADDRESS(11+(MATCH(RIGHT(Table245[[#This Row],[spawner_sku]],LEN(Table245[[#This Row],[spawner_sku]])-FIND("/",Table245[[#This Row],[spawner_sku]])),Table28[Entity Prefab],0)),24,1,1,"Entities"))</f>
        <v>no</v>
      </c>
      <c r="I434" s="71">
        <v>1</v>
      </c>
      <c r="J434" s="71">
        <v>1</v>
      </c>
      <c r="K434" s="71" t="b">
        <v>0</v>
      </c>
      <c r="BP434" t="s">
        <v>244</v>
      </c>
      <c r="BQ434">
        <v>1</v>
      </c>
      <c r="BR434">
        <v>240</v>
      </c>
      <c r="BS434">
        <v>100</v>
      </c>
      <c r="BT434" s="74">
        <f ca="1">INDIRECT(ADDRESS(11+(MATCH(RIGHT(Table61011[[#This Row],[spawner_sku]],LEN(Table61011[[#This Row],[spawner_sku]])-FIND("/",Table61011[[#This Row],[spawner_sku]])),Table1[Entity Prefab],0)),10,1,1,"Entities"))</f>
        <v>50</v>
      </c>
      <c r="BU434" s="74">
        <f ca="1">ROUND((Table61011[[#This Row],[XP]]*Table61011[[#This Row],[entity_spawned (AVG)]])*(Table61011[[#This Row],[activating_chance]]/100),0)</f>
        <v>50</v>
      </c>
      <c r="BV434" s="71" t="str">
        <f ca="1">INDIRECT(ADDRESS(11+(MATCH(RIGHT(Table61011[[#This Row],[spawner_sku]],LEN(Table61011[[#This Row],[spawner_sku]])-FIND("/",Table61011[[#This Row],[spawner_sku]])),Table28[Entity Prefab],0)),24,1,1,"Entities"))</f>
        <v>no</v>
      </c>
      <c r="BW434" s="71">
        <v>1</v>
      </c>
      <c r="BX434" s="71">
        <v>1</v>
      </c>
      <c r="BY434" s="71" t="b">
        <v>0</v>
      </c>
      <c r="BZ434" s="71"/>
      <c r="CL434" t="s">
        <v>374</v>
      </c>
      <c r="CM434">
        <v>1</v>
      </c>
      <c r="CN434">
        <v>220</v>
      </c>
      <c r="CO434">
        <v>80</v>
      </c>
      <c r="CP434" s="74">
        <f ca="1">INDIRECT(ADDRESS(11+(MATCH(RIGHT(Table11[[#This Row],[spawner_sku]],LEN(Table11[[#This Row],[spawner_sku]])-FIND("/",Table11[[#This Row],[spawner_sku]])),Table1[Entity Prefab],0)),10,1,1,"Entities"))</f>
        <v>83</v>
      </c>
      <c r="CQ434">
        <f ca="1">ROUND((Table11[[#This Row],[XP]]*Table11[[#This Row],[entity_spawned (AVG)]])*(Table11[[#This Row],[activating_chance]]/100),0)</f>
        <v>66</v>
      </c>
      <c r="CR434" s="144" t="str">
        <f ca="1">INDIRECT(ADDRESS(11+(MATCH(RIGHT(Table11[[#This Row],[spawner_sku]],LEN(Table11[[#This Row],[spawner_sku]])-FIND("/",Table11[[#This Row],[spawner_sku]])),Table28[Entity Prefab],0)),25,1,1,"Entities"))</f>
        <v>no</v>
      </c>
      <c r="CS434" s="71">
        <v>1</v>
      </c>
      <c r="CT434" s="71">
        <v>1</v>
      </c>
      <c r="CU434" s="71" t="b">
        <v>0</v>
      </c>
      <c r="DS434" t="s">
        <v>510</v>
      </c>
      <c r="DT434">
        <v>1</v>
      </c>
      <c r="DU434">
        <v>150</v>
      </c>
      <c r="DV434">
        <v>100</v>
      </c>
      <c r="DW434" s="74">
        <f ca="1">INDIRECT(ADDRESS(11+(MATCH(RIGHT(Table14[[#This Row],[spawner_sku]],LEN(Table14[[#This Row],[spawner_sku]])-FIND("/",Table14[[#This Row],[spawner_sku]])),Table1[Entity Prefab],0)),10,1,1,"Entities"))</f>
        <v>90</v>
      </c>
      <c r="DX434" s="74">
        <f ca="1">ROUND((Table14[[#This Row],[XP]]*Table14[[#This Row],[entity_spawned (AVG)]])*(Table14[[#This Row],[activating_chance]]/100),0)</f>
        <v>90</v>
      </c>
      <c r="DY434" s="144" t="str">
        <f ca="1">INDIRECT(ADDRESS(11+(MATCH(RIGHT(Table14[[#This Row],[spawner_sku]],LEN(Table14[[#This Row],[spawner_sku]])-FIND("/",Table14[[#This Row],[spawner_sku]])),Table28[Entity Prefab],0)),25,1,1,"Entities"))</f>
        <v>no</v>
      </c>
      <c r="DZ434" s="71">
        <v>1</v>
      </c>
      <c r="EA434" s="71">
        <v>1</v>
      </c>
      <c r="EB434" s="71" t="b">
        <v>0</v>
      </c>
      <c r="EC434" s="71"/>
    </row>
    <row r="435" spans="2:133" x14ac:dyDescent="0.25">
      <c r="B435" s="72" t="s">
        <v>466</v>
      </c>
      <c r="C435">
        <v>1</v>
      </c>
      <c r="D435">
        <v>80</v>
      </c>
      <c r="E435">
        <v>100</v>
      </c>
      <c r="F435" s="74">
        <f ca="1">INDIRECT(ADDRESS(11+(MATCH(RIGHT(Table245[[#This Row],[spawner_sku]],LEN(Table245[[#This Row],[spawner_sku]])-FIND("/",Table245[[#This Row],[spawner_sku]])),Table1[Entity Prefab],0)),10,1,1,"Entities"))</f>
        <v>75</v>
      </c>
      <c r="G435" s="74">
        <f ca="1">ROUND((Table245[[#This Row],[XP]]*Table245[[#This Row],[entity_spawned (AVG)]])*(Table245[[#This Row],[activating_chance]]/100),0)</f>
        <v>75</v>
      </c>
      <c r="H435" s="71" t="str">
        <f ca="1">INDIRECT(ADDRESS(11+(MATCH(RIGHT(Table245[[#This Row],[spawner_sku]],LEN(Table245[[#This Row],[spawner_sku]])-FIND("/",Table245[[#This Row],[spawner_sku]])),Table28[Entity Prefab],0)),24,1,1,"Entities"))</f>
        <v>no</v>
      </c>
      <c r="I435" s="71">
        <v>1</v>
      </c>
      <c r="J435" s="71">
        <v>1</v>
      </c>
      <c r="K435" s="71" t="b">
        <v>0</v>
      </c>
      <c r="BP435" t="s">
        <v>244</v>
      </c>
      <c r="BQ435">
        <v>1</v>
      </c>
      <c r="BR435">
        <v>240</v>
      </c>
      <c r="BS435">
        <v>100</v>
      </c>
      <c r="BT435" s="74">
        <f ca="1">INDIRECT(ADDRESS(11+(MATCH(RIGHT(Table61011[[#This Row],[spawner_sku]],LEN(Table61011[[#This Row],[spawner_sku]])-FIND("/",Table61011[[#This Row],[spawner_sku]])),Table1[Entity Prefab],0)),10,1,1,"Entities"))</f>
        <v>50</v>
      </c>
      <c r="BU435" s="74">
        <f ca="1">ROUND((Table61011[[#This Row],[XP]]*Table61011[[#This Row],[entity_spawned (AVG)]])*(Table61011[[#This Row],[activating_chance]]/100),0)</f>
        <v>50</v>
      </c>
      <c r="BV435" s="71" t="str">
        <f ca="1">INDIRECT(ADDRESS(11+(MATCH(RIGHT(Table61011[[#This Row],[spawner_sku]],LEN(Table61011[[#This Row],[spawner_sku]])-FIND("/",Table61011[[#This Row],[spawner_sku]])),Table28[Entity Prefab],0)),24,1,1,"Entities"))</f>
        <v>no</v>
      </c>
      <c r="BW435" s="71">
        <v>1</v>
      </c>
      <c r="BX435" s="71">
        <v>1</v>
      </c>
      <c r="BY435" s="71" t="b">
        <v>0</v>
      </c>
      <c r="BZ435" s="71"/>
      <c r="CL435" t="s">
        <v>377</v>
      </c>
      <c r="CM435">
        <v>5</v>
      </c>
      <c r="CN435">
        <v>120</v>
      </c>
      <c r="CO435">
        <v>100</v>
      </c>
      <c r="CP435" s="74">
        <f ca="1">INDIRECT(ADDRESS(11+(MATCH(RIGHT(Table11[[#This Row],[spawner_sku]],LEN(Table11[[#This Row],[spawner_sku]])-FIND("/",Table11[[#This Row],[spawner_sku]])),Table1[Entity Prefab],0)),10,1,1,"Entities"))</f>
        <v>25</v>
      </c>
      <c r="CQ435">
        <f ca="1">ROUND((Table11[[#This Row],[XP]]*Table11[[#This Row],[entity_spawned (AVG)]])*(Table11[[#This Row],[activating_chance]]/100),0)</f>
        <v>125</v>
      </c>
      <c r="CR435" s="144" t="str">
        <f ca="1">INDIRECT(ADDRESS(11+(MATCH(RIGHT(Table11[[#This Row],[spawner_sku]],LEN(Table11[[#This Row],[spawner_sku]])-FIND("/",Table11[[#This Row],[spawner_sku]])),Table28[Entity Prefab],0)),25,1,1,"Entities"))</f>
        <v>no</v>
      </c>
      <c r="CS435" s="71">
        <v>5</v>
      </c>
      <c r="CT435" s="71">
        <v>5</v>
      </c>
      <c r="CU435" s="71" t="b">
        <v>1</v>
      </c>
      <c r="DS435" t="s">
        <v>510</v>
      </c>
      <c r="DT435">
        <v>1</v>
      </c>
      <c r="DU435">
        <v>100</v>
      </c>
      <c r="DV435">
        <v>100</v>
      </c>
      <c r="DW435" s="74">
        <f ca="1">INDIRECT(ADDRESS(11+(MATCH(RIGHT(Table14[[#This Row],[spawner_sku]],LEN(Table14[[#This Row],[spawner_sku]])-FIND("/",Table14[[#This Row],[spawner_sku]])),Table1[Entity Prefab],0)),10,1,1,"Entities"))</f>
        <v>90</v>
      </c>
      <c r="DX435" s="74">
        <f ca="1">ROUND((Table14[[#This Row],[XP]]*Table14[[#This Row],[entity_spawned (AVG)]])*(Table14[[#This Row],[activating_chance]]/100),0)</f>
        <v>90</v>
      </c>
      <c r="DY435" s="144" t="str">
        <f ca="1">INDIRECT(ADDRESS(11+(MATCH(RIGHT(Table14[[#This Row],[spawner_sku]],LEN(Table14[[#This Row],[spawner_sku]])-FIND("/",Table14[[#This Row],[spawner_sku]])),Table28[Entity Prefab],0)),25,1,1,"Entities"))</f>
        <v>no</v>
      </c>
      <c r="DZ435" s="71">
        <v>1</v>
      </c>
      <c r="EA435" s="71">
        <v>1</v>
      </c>
      <c r="EB435" s="71" t="b">
        <v>0</v>
      </c>
      <c r="EC435" s="71"/>
    </row>
    <row r="436" spans="2:133" x14ac:dyDescent="0.25">
      <c r="B436" s="72" t="s">
        <v>466</v>
      </c>
      <c r="C436">
        <v>1</v>
      </c>
      <c r="D436">
        <v>70</v>
      </c>
      <c r="E436">
        <v>100</v>
      </c>
      <c r="F436" s="74">
        <f ca="1">INDIRECT(ADDRESS(11+(MATCH(RIGHT(Table245[[#This Row],[spawner_sku]],LEN(Table245[[#This Row],[spawner_sku]])-FIND("/",Table245[[#This Row],[spawner_sku]])),Table1[Entity Prefab],0)),10,1,1,"Entities"))</f>
        <v>75</v>
      </c>
      <c r="G436" s="74">
        <f ca="1">ROUND((Table245[[#This Row],[XP]]*Table245[[#This Row],[entity_spawned (AVG)]])*(Table245[[#This Row],[activating_chance]]/100),0)</f>
        <v>75</v>
      </c>
      <c r="H436" s="71" t="str">
        <f ca="1">INDIRECT(ADDRESS(11+(MATCH(RIGHT(Table245[[#This Row],[spawner_sku]],LEN(Table245[[#This Row],[spawner_sku]])-FIND("/",Table245[[#This Row],[spawner_sku]])),Table28[Entity Prefab],0)),24,1,1,"Entities"))</f>
        <v>no</v>
      </c>
      <c r="I436" s="71">
        <v>1</v>
      </c>
      <c r="J436" s="71">
        <v>1</v>
      </c>
      <c r="K436" s="71" t="b">
        <v>0</v>
      </c>
      <c r="BP436" t="s">
        <v>375</v>
      </c>
      <c r="BQ436">
        <v>1</v>
      </c>
      <c r="BR436">
        <v>240</v>
      </c>
      <c r="BS436">
        <v>100</v>
      </c>
      <c r="BT436" s="74">
        <f ca="1">INDIRECT(ADDRESS(11+(MATCH(RIGHT(Table61011[[#This Row],[spawner_sku]],LEN(Table61011[[#This Row],[spawner_sku]])-FIND("/",Table61011[[#This Row],[spawner_sku]])),Table1[Entity Prefab],0)),10,1,1,"Entities"))</f>
        <v>50</v>
      </c>
      <c r="BU436" s="74">
        <f ca="1">ROUND((Table61011[[#This Row],[XP]]*Table61011[[#This Row],[entity_spawned (AVG)]])*(Table61011[[#This Row],[activating_chance]]/100),0)</f>
        <v>50</v>
      </c>
      <c r="BV436" s="71" t="str">
        <f ca="1">INDIRECT(ADDRESS(11+(MATCH(RIGHT(Table61011[[#This Row],[spawner_sku]],LEN(Table61011[[#This Row],[spawner_sku]])-FIND("/",Table61011[[#This Row],[spawner_sku]])),Table28[Entity Prefab],0)),24,1,1,"Entities"))</f>
        <v>no</v>
      </c>
      <c r="BW436" s="71">
        <v>1</v>
      </c>
      <c r="BX436" s="71">
        <v>1</v>
      </c>
      <c r="BY436" s="71" t="b">
        <v>0</v>
      </c>
      <c r="BZ436" s="71"/>
      <c r="CL436" t="s">
        <v>377</v>
      </c>
      <c r="CM436">
        <v>5</v>
      </c>
      <c r="CN436">
        <v>120</v>
      </c>
      <c r="CO436">
        <v>100</v>
      </c>
      <c r="CP436" s="74">
        <f ca="1">INDIRECT(ADDRESS(11+(MATCH(RIGHT(Table11[[#This Row],[spawner_sku]],LEN(Table11[[#This Row],[spawner_sku]])-FIND("/",Table11[[#This Row],[spawner_sku]])),Table1[Entity Prefab],0)),10,1,1,"Entities"))</f>
        <v>25</v>
      </c>
      <c r="CQ436">
        <f ca="1">ROUND((Table11[[#This Row],[XP]]*Table11[[#This Row],[entity_spawned (AVG)]])*(Table11[[#This Row],[activating_chance]]/100),0)</f>
        <v>125</v>
      </c>
      <c r="CR436" s="144" t="str">
        <f ca="1">INDIRECT(ADDRESS(11+(MATCH(RIGHT(Table11[[#This Row],[spawner_sku]],LEN(Table11[[#This Row],[spawner_sku]])-FIND("/",Table11[[#This Row],[spawner_sku]])),Table28[Entity Prefab],0)),25,1,1,"Entities"))</f>
        <v>no</v>
      </c>
      <c r="CS436" s="71">
        <v>5</v>
      </c>
      <c r="CT436" s="71">
        <v>5</v>
      </c>
      <c r="CU436" s="71" t="b">
        <v>1</v>
      </c>
      <c r="DS436" t="s">
        <v>510</v>
      </c>
      <c r="DT436">
        <v>1</v>
      </c>
      <c r="DU436">
        <v>150</v>
      </c>
      <c r="DV436">
        <v>100</v>
      </c>
      <c r="DW436" s="74">
        <f ca="1">INDIRECT(ADDRESS(11+(MATCH(RIGHT(Table14[[#This Row],[spawner_sku]],LEN(Table14[[#This Row],[spawner_sku]])-FIND("/",Table14[[#This Row],[spawner_sku]])),Table1[Entity Prefab],0)),10,1,1,"Entities"))</f>
        <v>90</v>
      </c>
      <c r="DX436" s="74">
        <f ca="1">ROUND((Table14[[#This Row],[XP]]*Table14[[#This Row],[entity_spawned (AVG)]])*(Table14[[#This Row],[activating_chance]]/100),0)</f>
        <v>90</v>
      </c>
      <c r="DY436" s="144" t="str">
        <f ca="1">INDIRECT(ADDRESS(11+(MATCH(RIGHT(Table14[[#This Row],[spawner_sku]],LEN(Table14[[#This Row],[spawner_sku]])-FIND("/",Table14[[#This Row],[spawner_sku]])),Table28[Entity Prefab],0)),25,1,1,"Entities"))</f>
        <v>no</v>
      </c>
      <c r="DZ436" s="71">
        <v>1</v>
      </c>
      <c r="EA436" s="71">
        <v>1</v>
      </c>
      <c r="EB436" s="71" t="b">
        <v>0</v>
      </c>
      <c r="EC436" s="71"/>
    </row>
    <row r="437" spans="2:133" x14ac:dyDescent="0.25">
      <c r="B437" s="72" t="s">
        <v>466</v>
      </c>
      <c r="C437">
        <v>1</v>
      </c>
      <c r="D437">
        <v>70</v>
      </c>
      <c r="E437">
        <v>100</v>
      </c>
      <c r="F437" s="74">
        <f ca="1">INDIRECT(ADDRESS(11+(MATCH(RIGHT(Table245[[#This Row],[spawner_sku]],LEN(Table245[[#This Row],[spawner_sku]])-FIND("/",Table245[[#This Row],[spawner_sku]])),Table1[Entity Prefab],0)),10,1,1,"Entities"))</f>
        <v>75</v>
      </c>
      <c r="G437" s="74">
        <f ca="1">ROUND((Table245[[#This Row],[XP]]*Table245[[#This Row],[entity_spawned (AVG)]])*(Table245[[#This Row],[activating_chance]]/100),0)</f>
        <v>75</v>
      </c>
      <c r="H437" s="71" t="str">
        <f ca="1">INDIRECT(ADDRESS(11+(MATCH(RIGHT(Table245[[#This Row],[spawner_sku]],LEN(Table245[[#This Row],[spawner_sku]])-FIND("/",Table245[[#This Row],[spawner_sku]])),Table28[Entity Prefab],0)),24,1,1,"Entities"))</f>
        <v>no</v>
      </c>
      <c r="I437" s="71">
        <v>1</v>
      </c>
      <c r="J437" s="71">
        <v>1</v>
      </c>
      <c r="K437" s="71" t="b">
        <v>0</v>
      </c>
      <c r="BP437" t="s">
        <v>375</v>
      </c>
      <c r="BQ437">
        <v>1</v>
      </c>
      <c r="BR437">
        <v>220</v>
      </c>
      <c r="BS437">
        <v>100</v>
      </c>
      <c r="BT437" s="74">
        <f ca="1">INDIRECT(ADDRESS(11+(MATCH(RIGHT(Table61011[[#This Row],[spawner_sku]],LEN(Table61011[[#This Row],[spawner_sku]])-FIND("/",Table61011[[#This Row],[spawner_sku]])),Table1[Entity Prefab],0)),10,1,1,"Entities"))</f>
        <v>50</v>
      </c>
      <c r="BU437" s="74">
        <f ca="1">ROUND((Table61011[[#This Row],[XP]]*Table61011[[#This Row],[entity_spawned (AVG)]])*(Table61011[[#This Row],[activating_chance]]/100),0)</f>
        <v>50</v>
      </c>
      <c r="BV437" s="71" t="str">
        <f ca="1">INDIRECT(ADDRESS(11+(MATCH(RIGHT(Table61011[[#This Row],[spawner_sku]],LEN(Table61011[[#This Row],[spawner_sku]])-FIND("/",Table61011[[#This Row],[spawner_sku]])),Table28[Entity Prefab],0)),24,1,1,"Entities"))</f>
        <v>no</v>
      </c>
      <c r="BW437" s="71">
        <v>1</v>
      </c>
      <c r="BX437" s="71">
        <v>1</v>
      </c>
      <c r="BY437" s="71" t="b">
        <v>0</v>
      </c>
      <c r="BZ437" s="71"/>
      <c r="CL437" t="s">
        <v>377</v>
      </c>
      <c r="CM437">
        <v>3</v>
      </c>
      <c r="CN437">
        <v>120</v>
      </c>
      <c r="CO437">
        <v>80</v>
      </c>
      <c r="CP437" s="74">
        <f ca="1">INDIRECT(ADDRESS(11+(MATCH(RIGHT(Table11[[#This Row],[spawner_sku]],LEN(Table11[[#This Row],[spawner_sku]])-FIND("/",Table11[[#This Row],[spawner_sku]])),Table1[Entity Prefab],0)),10,1,1,"Entities"))</f>
        <v>25</v>
      </c>
      <c r="CQ437">
        <f ca="1">ROUND((Table11[[#This Row],[XP]]*Table11[[#This Row],[entity_spawned (AVG)]])*(Table11[[#This Row],[activating_chance]]/100),0)</f>
        <v>60</v>
      </c>
      <c r="CR437" s="144" t="str">
        <f ca="1">INDIRECT(ADDRESS(11+(MATCH(RIGHT(Table11[[#This Row],[spawner_sku]],LEN(Table11[[#This Row],[spawner_sku]])-FIND("/",Table11[[#This Row],[spawner_sku]])),Table28[Entity Prefab],0)),25,1,1,"Entities"))</f>
        <v>no</v>
      </c>
      <c r="CS437" s="71">
        <v>2</v>
      </c>
      <c r="CT437" s="71">
        <v>4</v>
      </c>
      <c r="CU437" s="71" t="b">
        <v>0</v>
      </c>
      <c r="DS437" t="s">
        <v>510</v>
      </c>
      <c r="DT437">
        <v>1</v>
      </c>
      <c r="DU437">
        <v>150</v>
      </c>
      <c r="DV437">
        <v>100</v>
      </c>
      <c r="DW437" s="74">
        <f ca="1">INDIRECT(ADDRESS(11+(MATCH(RIGHT(Table14[[#This Row],[spawner_sku]],LEN(Table14[[#This Row],[spawner_sku]])-FIND("/",Table14[[#This Row],[spawner_sku]])),Table1[Entity Prefab],0)),10,1,1,"Entities"))</f>
        <v>90</v>
      </c>
      <c r="DX437" s="74">
        <f ca="1">ROUND((Table14[[#This Row],[XP]]*Table14[[#This Row],[entity_spawned (AVG)]])*(Table14[[#This Row],[activating_chance]]/100),0)</f>
        <v>90</v>
      </c>
      <c r="DY437" s="144" t="str">
        <f ca="1">INDIRECT(ADDRESS(11+(MATCH(RIGHT(Table14[[#This Row],[spawner_sku]],LEN(Table14[[#This Row],[spawner_sku]])-FIND("/",Table14[[#This Row],[spawner_sku]])),Table28[Entity Prefab],0)),25,1,1,"Entities"))</f>
        <v>no</v>
      </c>
      <c r="DZ437" s="71">
        <v>1</v>
      </c>
      <c r="EA437" s="71">
        <v>1</v>
      </c>
      <c r="EB437" s="71" t="b">
        <v>0</v>
      </c>
      <c r="EC437" s="71"/>
    </row>
    <row r="438" spans="2:133" x14ac:dyDescent="0.25">
      <c r="B438" s="72" t="s">
        <v>466</v>
      </c>
      <c r="C438">
        <v>1</v>
      </c>
      <c r="D438">
        <v>140</v>
      </c>
      <c r="E438">
        <v>100</v>
      </c>
      <c r="F438" s="74">
        <f ca="1">INDIRECT(ADDRESS(11+(MATCH(RIGHT(Table245[[#This Row],[spawner_sku]],LEN(Table245[[#This Row],[spawner_sku]])-FIND("/",Table245[[#This Row],[spawner_sku]])),Table1[Entity Prefab],0)),10,1,1,"Entities"))</f>
        <v>75</v>
      </c>
      <c r="G438" s="74">
        <f ca="1">ROUND((Table245[[#This Row],[XP]]*Table245[[#This Row],[entity_spawned (AVG)]])*(Table245[[#This Row],[activating_chance]]/100),0)</f>
        <v>75</v>
      </c>
      <c r="H438" s="71" t="str">
        <f ca="1">INDIRECT(ADDRESS(11+(MATCH(RIGHT(Table245[[#This Row],[spawner_sku]],LEN(Table245[[#This Row],[spawner_sku]])-FIND("/",Table245[[#This Row],[spawner_sku]])),Table28[Entity Prefab],0)),24,1,1,"Entities"))</f>
        <v>no</v>
      </c>
      <c r="I438" s="71">
        <v>1</v>
      </c>
      <c r="J438" s="71">
        <v>1</v>
      </c>
      <c r="K438" s="71" t="b">
        <v>0</v>
      </c>
      <c r="BP438" t="s">
        <v>375</v>
      </c>
      <c r="BQ438">
        <v>1</v>
      </c>
      <c r="BR438">
        <v>240</v>
      </c>
      <c r="BS438">
        <v>100</v>
      </c>
      <c r="BT438" s="74">
        <f ca="1">INDIRECT(ADDRESS(11+(MATCH(RIGHT(Table61011[[#This Row],[spawner_sku]],LEN(Table61011[[#This Row],[spawner_sku]])-FIND("/",Table61011[[#This Row],[spawner_sku]])),Table1[Entity Prefab],0)),10,1,1,"Entities"))</f>
        <v>50</v>
      </c>
      <c r="BU438" s="74">
        <f ca="1">ROUND((Table61011[[#This Row],[XP]]*Table61011[[#This Row],[entity_spawned (AVG)]])*(Table61011[[#This Row],[activating_chance]]/100),0)</f>
        <v>50</v>
      </c>
      <c r="BV438" s="71" t="str">
        <f ca="1">INDIRECT(ADDRESS(11+(MATCH(RIGHT(Table61011[[#This Row],[spawner_sku]],LEN(Table61011[[#This Row],[spawner_sku]])-FIND("/",Table61011[[#This Row],[spawner_sku]])),Table28[Entity Prefab],0)),24,1,1,"Entities"))</f>
        <v>no</v>
      </c>
      <c r="BW438" s="71">
        <v>1</v>
      </c>
      <c r="BX438" s="71">
        <v>1</v>
      </c>
      <c r="BY438" s="71" t="b">
        <v>0</v>
      </c>
      <c r="BZ438" s="71"/>
      <c r="CL438" t="s">
        <v>377</v>
      </c>
      <c r="CM438">
        <v>3</v>
      </c>
      <c r="CN438">
        <v>120</v>
      </c>
      <c r="CO438">
        <v>80</v>
      </c>
      <c r="CP438" s="74">
        <f ca="1">INDIRECT(ADDRESS(11+(MATCH(RIGHT(Table11[[#This Row],[spawner_sku]],LEN(Table11[[#This Row],[spawner_sku]])-FIND("/",Table11[[#This Row],[spawner_sku]])),Table1[Entity Prefab],0)),10,1,1,"Entities"))</f>
        <v>25</v>
      </c>
      <c r="CQ438">
        <f ca="1">ROUND((Table11[[#This Row],[XP]]*Table11[[#This Row],[entity_spawned (AVG)]])*(Table11[[#This Row],[activating_chance]]/100),0)</f>
        <v>60</v>
      </c>
      <c r="CR438" s="144" t="str">
        <f ca="1">INDIRECT(ADDRESS(11+(MATCH(RIGHT(Table11[[#This Row],[spawner_sku]],LEN(Table11[[#This Row],[spawner_sku]])-FIND("/",Table11[[#This Row],[spawner_sku]])),Table28[Entity Prefab],0)),25,1,1,"Entities"))</f>
        <v>no</v>
      </c>
      <c r="CS438" s="71">
        <v>2</v>
      </c>
      <c r="CT438" s="71">
        <v>4</v>
      </c>
      <c r="CU438" s="71" t="b">
        <v>0</v>
      </c>
      <c r="DS438" t="s">
        <v>510</v>
      </c>
      <c r="DT438">
        <v>1</v>
      </c>
      <c r="DU438">
        <v>150</v>
      </c>
      <c r="DV438">
        <v>100</v>
      </c>
      <c r="DW438" s="74">
        <f ca="1">INDIRECT(ADDRESS(11+(MATCH(RIGHT(Table14[[#This Row],[spawner_sku]],LEN(Table14[[#This Row],[spawner_sku]])-FIND("/",Table14[[#This Row],[spawner_sku]])),Table1[Entity Prefab],0)),10,1,1,"Entities"))</f>
        <v>90</v>
      </c>
      <c r="DX438" s="74">
        <f ca="1">ROUND((Table14[[#This Row],[XP]]*Table14[[#This Row],[entity_spawned (AVG)]])*(Table14[[#This Row],[activating_chance]]/100),0)</f>
        <v>90</v>
      </c>
      <c r="DY438" s="144" t="str">
        <f ca="1">INDIRECT(ADDRESS(11+(MATCH(RIGHT(Table14[[#This Row],[spawner_sku]],LEN(Table14[[#This Row],[spawner_sku]])-FIND("/",Table14[[#This Row],[spawner_sku]])),Table28[Entity Prefab],0)),25,1,1,"Entities"))</f>
        <v>no</v>
      </c>
      <c r="DZ438" s="71">
        <v>1</v>
      </c>
      <c r="EA438" s="71">
        <v>1</v>
      </c>
      <c r="EB438" s="71" t="b">
        <v>0</v>
      </c>
      <c r="EC438" s="71"/>
    </row>
    <row r="439" spans="2:133" x14ac:dyDescent="0.25">
      <c r="B439" s="72" t="s">
        <v>466</v>
      </c>
      <c r="C439">
        <v>1</v>
      </c>
      <c r="D439">
        <v>70</v>
      </c>
      <c r="E439">
        <v>100</v>
      </c>
      <c r="F439" s="74">
        <f ca="1">INDIRECT(ADDRESS(11+(MATCH(RIGHT(Table245[[#This Row],[spawner_sku]],LEN(Table245[[#This Row],[spawner_sku]])-FIND("/",Table245[[#This Row],[spawner_sku]])),Table1[Entity Prefab],0)),10,1,1,"Entities"))</f>
        <v>75</v>
      </c>
      <c r="G439" s="74">
        <f ca="1">ROUND((Table245[[#This Row],[XP]]*Table245[[#This Row],[entity_spawned (AVG)]])*(Table245[[#This Row],[activating_chance]]/100),0)</f>
        <v>75</v>
      </c>
      <c r="H439" s="71" t="str">
        <f ca="1">INDIRECT(ADDRESS(11+(MATCH(RIGHT(Table245[[#This Row],[spawner_sku]],LEN(Table245[[#This Row],[spawner_sku]])-FIND("/",Table245[[#This Row],[spawner_sku]])),Table28[Entity Prefab],0)),24,1,1,"Entities"))</f>
        <v>no</v>
      </c>
      <c r="I439" s="71">
        <v>1</v>
      </c>
      <c r="J439" s="71">
        <v>1</v>
      </c>
      <c r="K439" s="71" t="b">
        <v>0</v>
      </c>
      <c r="BP439" t="s">
        <v>322</v>
      </c>
      <c r="BQ439">
        <v>1</v>
      </c>
      <c r="BR439">
        <v>240</v>
      </c>
      <c r="BS439">
        <v>100</v>
      </c>
      <c r="BT439" s="74">
        <f ca="1">INDIRECT(ADDRESS(11+(MATCH(RIGHT(Table61011[[#This Row],[spawner_sku]],LEN(Table61011[[#This Row],[spawner_sku]])-FIND("/",Table61011[[#This Row],[spawner_sku]])),Table1[Entity Prefab],0)),10,1,1,"Entities"))</f>
        <v>50</v>
      </c>
      <c r="BU439" s="74">
        <f ca="1">ROUND((Table61011[[#This Row],[XP]]*Table61011[[#This Row],[entity_spawned (AVG)]])*(Table61011[[#This Row],[activating_chance]]/100),0)</f>
        <v>50</v>
      </c>
      <c r="BV439" s="71" t="str">
        <f ca="1">INDIRECT(ADDRESS(11+(MATCH(RIGHT(Table61011[[#This Row],[spawner_sku]],LEN(Table61011[[#This Row],[spawner_sku]])-FIND("/",Table61011[[#This Row],[spawner_sku]])),Table28[Entity Prefab],0)),24,1,1,"Entities"))</f>
        <v>no</v>
      </c>
      <c r="BW439" s="71">
        <v>1</v>
      </c>
      <c r="BX439" s="71">
        <v>1</v>
      </c>
      <c r="BY439" s="71" t="b">
        <v>0</v>
      </c>
      <c r="BZ439" s="71"/>
      <c r="CL439" t="s">
        <v>377</v>
      </c>
      <c r="CM439">
        <v>3</v>
      </c>
      <c r="CN439">
        <v>120</v>
      </c>
      <c r="CO439">
        <v>80</v>
      </c>
      <c r="CP439" s="74">
        <f ca="1">INDIRECT(ADDRESS(11+(MATCH(RIGHT(Table11[[#This Row],[spawner_sku]],LEN(Table11[[#This Row],[spawner_sku]])-FIND("/",Table11[[#This Row],[spawner_sku]])),Table1[Entity Prefab],0)),10,1,1,"Entities"))</f>
        <v>25</v>
      </c>
      <c r="CQ439">
        <f ca="1">ROUND((Table11[[#This Row],[XP]]*Table11[[#This Row],[entity_spawned (AVG)]])*(Table11[[#This Row],[activating_chance]]/100),0)</f>
        <v>60</v>
      </c>
      <c r="CR439" s="144" t="str">
        <f ca="1">INDIRECT(ADDRESS(11+(MATCH(RIGHT(Table11[[#This Row],[spawner_sku]],LEN(Table11[[#This Row],[spawner_sku]])-FIND("/",Table11[[#This Row],[spawner_sku]])),Table28[Entity Prefab],0)),25,1,1,"Entities"))</f>
        <v>no</v>
      </c>
      <c r="CS439" s="71">
        <v>2</v>
      </c>
      <c r="CT439" s="71">
        <v>4</v>
      </c>
      <c r="CU439" s="71" t="b">
        <v>0</v>
      </c>
      <c r="DS439" t="s">
        <v>510</v>
      </c>
      <c r="DT439">
        <v>1</v>
      </c>
      <c r="DU439">
        <v>100</v>
      </c>
      <c r="DV439">
        <v>70</v>
      </c>
      <c r="DW439" s="74">
        <f ca="1">INDIRECT(ADDRESS(11+(MATCH(RIGHT(Table14[[#This Row],[spawner_sku]],LEN(Table14[[#This Row],[spawner_sku]])-FIND("/",Table14[[#This Row],[spawner_sku]])),Table1[Entity Prefab],0)),10,1,1,"Entities"))</f>
        <v>90</v>
      </c>
      <c r="DX439" s="74">
        <f ca="1">ROUND((Table14[[#This Row],[XP]]*Table14[[#This Row],[entity_spawned (AVG)]])*(Table14[[#This Row],[activating_chance]]/100),0)</f>
        <v>63</v>
      </c>
      <c r="DY439" s="144" t="str">
        <f ca="1">INDIRECT(ADDRESS(11+(MATCH(RIGHT(Table14[[#This Row],[spawner_sku]],LEN(Table14[[#This Row],[spawner_sku]])-FIND("/",Table14[[#This Row],[spawner_sku]])),Table28[Entity Prefab],0)),25,1,1,"Entities"))</f>
        <v>no</v>
      </c>
      <c r="DZ439" s="71">
        <v>1</v>
      </c>
      <c r="EA439" s="71">
        <v>1</v>
      </c>
      <c r="EB439" s="71" t="b">
        <v>0</v>
      </c>
      <c r="EC439" s="71"/>
    </row>
    <row r="440" spans="2:133" x14ac:dyDescent="0.25">
      <c r="B440" s="72" t="s">
        <v>466</v>
      </c>
      <c r="C440">
        <v>1</v>
      </c>
      <c r="D440">
        <v>150</v>
      </c>
      <c r="E440">
        <v>100</v>
      </c>
      <c r="F440" s="74">
        <f ca="1">INDIRECT(ADDRESS(11+(MATCH(RIGHT(Table245[[#This Row],[spawner_sku]],LEN(Table245[[#This Row],[spawner_sku]])-FIND("/",Table245[[#This Row],[spawner_sku]])),Table1[Entity Prefab],0)),10,1,1,"Entities"))</f>
        <v>75</v>
      </c>
      <c r="G440" s="74">
        <f ca="1">ROUND((Table245[[#This Row],[XP]]*Table245[[#This Row],[entity_spawned (AVG)]])*(Table245[[#This Row],[activating_chance]]/100),0)</f>
        <v>75</v>
      </c>
      <c r="H440" s="71" t="str">
        <f ca="1">INDIRECT(ADDRESS(11+(MATCH(RIGHT(Table245[[#This Row],[spawner_sku]],LEN(Table245[[#This Row],[spawner_sku]])-FIND("/",Table245[[#This Row],[spawner_sku]])),Table28[Entity Prefab],0)),24,1,1,"Entities"))</f>
        <v>no</v>
      </c>
      <c r="I440" s="71">
        <v>1</v>
      </c>
      <c r="J440" s="71">
        <v>1</v>
      </c>
      <c r="K440" s="71" t="b">
        <v>0</v>
      </c>
      <c r="BP440" t="s">
        <v>322</v>
      </c>
      <c r="BQ440">
        <v>1</v>
      </c>
      <c r="BR440">
        <v>240</v>
      </c>
      <c r="BS440">
        <v>20</v>
      </c>
      <c r="BT440" s="74">
        <f ca="1">INDIRECT(ADDRESS(11+(MATCH(RIGHT(Table61011[[#This Row],[spawner_sku]],LEN(Table61011[[#This Row],[spawner_sku]])-FIND("/",Table61011[[#This Row],[spawner_sku]])),Table1[Entity Prefab],0)),10,1,1,"Entities"))</f>
        <v>50</v>
      </c>
      <c r="BU440" s="74">
        <f ca="1">ROUND((Table61011[[#This Row],[XP]]*Table61011[[#This Row],[entity_spawned (AVG)]])*(Table61011[[#This Row],[activating_chance]]/100),0)</f>
        <v>10</v>
      </c>
      <c r="BV440" s="71" t="str">
        <f ca="1">INDIRECT(ADDRESS(11+(MATCH(RIGHT(Table61011[[#This Row],[spawner_sku]],LEN(Table61011[[#This Row],[spawner_sku]])-FIND("/",Table61011[[#This Row],[spawner_sku]])),Table28[Entity Prefab],0)),24,1,1,"Entities"))</f>
        <v>no</v>
      </c>
      <c r="BW440" s="71">
        <v>1</v>
      </c>
      <c r="BX440" s="71">
        <v>1</v>
      </c>
      <c r="BY440" s="71" t="b">
        <v>0</v>
      </c>
      <c r="BZ440" s="71"/>
      <c r="CL440" t="s">
        <v>377</v>
      </c>
      <c r="CM440">
        <v>3</v>
      </c>
      <c r="CN440">
        <v>120</v>
      </c>
      <c r="CO440">
        <v>80</v>
      </c>
      <c r="CP440" s="74">
        <f ca="1">INDIRECT(ADDRESS(11+(MATCH(RIGHT(Table11[[#This Row],[spawner_sku]],LEN(Table11[[#This Row],[spawner_sku]])-FIND("/",Table11[[#This Row],[spawner_sku]])),Table1[Entity Prefab],0)),10,1,1,"Entities"))</f>
        <v>25</v>
      </c>
      <c r="CQ440">
        <f ca="1">ROUND((Table11[[#This Row],[XP]]*Table11[[#This Row],[entity_spawned (AVG)]])*(Table11[[#This Row],[activating_chance]]/100),0)</f>
        <v>60</v>
      </c>
      <c r="CR440" s="144" t="str">
        <f ca="1">INDIRECT(ADDRESS(11+(MATCH(RIGHT(Table11[[#This Row],[spawner_sku]],LEN(Table11[[#This Row],[spawner_sku]])-FIND("/",Table11[[#This Row],[spawner_sku]])),Table28[Entity Prefab],0)),25,1,1,"Entities"))</f>
        <v>no</v>
      </c>
      <c r="CS440" s="71">
        <v>2</v>
      </c>
      <c r="CT440" s="71">
        <v>4</v>
      </c>
      <c r="CU440" s="71" t="b">
        <v>0</v>
      </c>
      <c r="DS440" t="s">
        <v>510</v>
      </c>
      <c r="DT440">
        <v>1</v>
      </c>
      <c r="DU440">
        <v>130</v>
      </c>
      <c r="DV440">
        <v>100</v>
      </c>
      <c r="DW440" s="74">
        <f ca="1">INDIRECT(ADDRESS(11+(MATCH(RIGHT(Table14[[#This Row],[spawner_sku]],LEN(Table14[[#This Row],[spawner_sku]])-FIND("/",Table14[[#This Row],[spawner_sku]])),Table1[Entity Prefab],0)),10,1,1,"Entities"))</f>
        <v>90</v>
      </c>
      <c r="DX440" s="74">
        <f ca="1">ROUND((Table14[[#This Row],[XP]]*Table14[[#This Row],[entity_spawned (AVG)]])*(Table14[[#This Row],[activating_chance]]/100),0)</f>
        <v>90</v>
      </c>
      <c r="DY440" s="144" t="str">
        <f ca="1">INDIRECT(ADDRESS(11+(MATCH(RIGHT(Table14[[#This Row],[spawner_sku]],LEN(Table14[[#This Row],[spawner_sku]])-FIND("/",Table14[[#This Row],[spawner_sku]])),Table28[Entity Prefab],0)),25,1,1,"Entities"))</f>
        <v>no</v>
      </c>
      <c r="DZ440" s="71">
        <v>1</v>
      </c>
      <c r="EA440" s="71">
        <v>1</v>
      </c>
      <c r="EB440" s="71" t="b">
        <v>0</v>
      </c>
      <c r="EC440" s="71"/>
    </row>
    <row r="441" spans="2:133" x14ac:dyDescent="0.25">
      <c r="B441" s="72" t="s">
        <v>466</v>
      </c>
      <c r="C441">
        <v>1</v>
      </c>
      <c r="D441">
        <v>70</v>
      </c>
      <c r="E441">
        <v>100</v>
      </c>
      <c r="F441" s="74">
        <f ca="1">INDIRECT(ADDRESS(11+(MATCH(RIGHT(Table245[[#This Row],[spawner_sku]],LEN(Table245[[#This Row],[spawner_sku]])-FIND("/",Table245[[#This Row],[spawner_sku]])),Table1[Entity Prefab],0)),10,1,1,"Entities"))</f>
        <v>75</v>
      </c>
      <c r="G441" s="74">
        <f ca="1">ROUND((Table245[[#This Row],[XP]]*Table245[[#This Row],[entity_spawned (AVG)]])*(Table245[[#This Row],[activating_chance]]/100),0)</f>
        <v>75</v>
      </c>
      <c r="H441" s="71" t="str">
        <f ca="1">INDIRECT(ADDRESS(11+(MATCH(RIGHT(Table245[[#This Row],[spawner_sku]],LEN(Table245[[#This Row],[spawner_sku]])-FIND("/",Table245[[#This Row],[spawner_sku]])),Table28[Entity Prefab],0)),24,1,1,"Entities"))</f>
        <v>no</v>
      </c>
      <c r="I441" s="71">
        <v>1</v>
      </c>
      <c r="J441" s="71">
        <v>1</v>
      </c>
      <c r="K441" s="71" t="b">
        <v>0</v>
      </c>
      <c r="BP441" t="s">
        <v>322</v>
      </c>
      <c r="BQ441">
        <v>1</v>
      </c>
      <c r="BR441">
        <v>240</v>
      </c>
      <c r="BS441">
        <v>100</v>
      </c>
      <c r="BT441" s="74">
        <f ca="1">INDIRECT(ADDRESS(11+(MATCH(RIGHT(Table61011[[#This Row],[spawner_sku]],LEN(Table61011[[#This Row],[spawner_sku]])-FIND("/",Table61011[[#This Row],[spawner_sku]])),Table1[Entity Prefab],0)),10,1,1,"Entities"))</f>
        <v>50</v>
      </c>
      <c r="BU441" s="74">
        <f ca="1">ROUND((Table61011[[#This Row],[XP]]*Table61011[[#This Row],[entity_spawned (AVG)]])*(Table61011[[#This Row],[activating_chance]]/100),0)</f>
        <v>50</v>
      </c>
      <c r="BV441" s="71" t="str">
        <f ca="1">INDIRECT(ADDRESS(11+(MATCH(RIGHT(Table61011[[#This Row],[spawner_sku]],LEN(Table61011[[#This Row],[spawner_sku]])-FIND("/",Table61011[[#This Row],[spawner_sku]])),Table28[Entity Prefab],0)),24,1,1,"Entities"))</f>
        <v>no</v>
      </c>
      <c r="BW441" s="71">
        <v>1</v>
      </c>
      <c r="BX441" s="71">
        <v>1</v>
      </c>
      <c r="BY441" s="71" t="b">
        <v>0</v>
      </c>
      <c r="BZ441" s="71"/>
      <c r="CL441" t="s">
        <v>377</v>
      </c>
      <c r="CM441">
        <v>3</v>
      </c>
      <c r="CN441">
        <v>120</v>
      </c>
      <c r="CO441">
        <v>80</v>
      </c>
      <c r="CP441" s="74">
        <f ca="1">INDIRECT(ADDRESS(11+(MATCH(RIGHT(Table11[[#This Row],[spawner_sku]],LEN(Table11[[#This Row],[spawner_sku]])-FIND("/",Table11[[#This Row],[spawner_sku]])),Table1[Entity Prefab],0)),10,1,1,"Entities"))</f>
        <v>25</v>
      </c>
      <c r="CQ441">
        <f ca="1">ROUND((Table11[[#This Row],[XP]]*Table11[[#This Row],[entity_spawned (AVG)]])*(Table11[[#This Row],[activating_chance]]/100),0)</f>
        <v>60</v>
      </c>
      <c r="CR441" s="144" t="str">
        <f ca="1">INDIRECT(ADDRESS(11+(MATCH(RIGHT(Table11[[#This Row],[spawner_sku]],LEN(Table11[[#This Row],[spawner_sku]])-FIND("/",Table11[[#This Row],[spawner_sku]])),Table28[Entity Prefab],0)),25,1,1,"Entities"))</f>
        <v>no</v>
      </c>
      <c r="CS441" s="71">
        <v>2</v>
      </c>
      <c r="CT441" s="71">
        <v>4</v>
      </c>
      <c r="CU441" s="71" t="b">
        <v>0</v>
      </c>
      <c r="DS441" t="s">
        <v>510</v>
      </c>
      <c r="DT441">
        <v>1</v>
      </c>
      <c r="DU441">
        <v>150</v>
      </c>
      <c r="DV441">
        <v>70</v>
      </c>
      <c r="DW441" s="74">
        <f ca="1">INDIRECT(ADDRESS(11+(MATCH(RIGHT(Table14[[#This Row],[spawner_sku]],LEN(Table14[[#This Row],[spawner_sku]])-FIND("/",Table14[[#This Row],[spawner_sku]])),Table1[Entity Prefab],0)),10,1,1,"Entities"))</f>
        <v>90</v>
      </c>
      <c r="DX441" s="74">
        <f ca="1">ROUND((Table14[[#This Row],[XP]]*Table14[[#This Row],[entity_spawned (AVG)]])*(Table14[[#This Row],[activating_chance]]/100),0)</f>
        <v>63</v>
      </c>
      <c r="DY441" s="144" t="str">
        <f ca="1">INDIRECT(ADDRESS(11+(MATCH(RIGHT(Table14[[#This Row],[spawner_sku]],LEN(Table14[[#This Row],[spawner_sku]])-FIND("/",Table14[[#This Row],[spawner_sku]])),Table28[Entity Prefab],0)),25,1,1,"Entities"))</f>
        <v>no</v>
      </c>
      <c r="DZ441" s="71">
        <v>1</v>
      </c>
      <c r="EA441" s="71">
        <v>1</v>
      </c>
      <c r="EB441" s="71" t="b">
        <v>0</v>
      </c>
      <c r="EC441" s="71"/>
    </row>
    <row r="442" spans="2:133" x14ac:dyDescent="0.25">
      <c r="B442" s="72" t="s">
        <v>234</v>
      </c>
      <c r="C442">
        <v>1</v>
      </c>
      <c r="D442">
        <v>420</v>
      </c>
      <c r="E442">
        <v>100</v>
      </c>
      <c r="F442" s="74">
        <f ca="1">INDIRECT(ADDRESS(11+(MATCH(RIGHT(Table245[[#This Row],[spawner_sku]],LEN(Table245[[#This Row],[spawner_sku]])-FIND("/",Table245[[#This Row],[spawner_sku]])),Table1[Entity Prefab],0)),10,1,1,"Entities"))</f>
        <v>83</v>
      </c>
      <c r="G442" s="74">
        <f ca="1">ROUND((Table245[[#This Row],[XP]]*Table245[[#This Row],[entity_spawned (AVG)]])*(Table245[[#This Row],[activating_chance]]/100),0)</f>
        <v>83</v>
      </c>
      <c r="H442" s="71" t="str">
        <f ca="1">INDIRECT(ADDRESS(11+(MATCH(RIGHT(Table245[[#This Row],[spawner_sku]],LEN(Table245[[#This Row],[spawner_sku]])-FIND("/",Table245[[#This Row],[spawner_sku]])),Table28[Entity Prefab],0)),24,1,1,"Entities"))</f>
        <v>yes</v>
      </c>
      <c r="I442" s="71">
        <v>1</v>
      </c>
      <c r="J442" s="71">
        <v>1</v>
      </c>
      <c r="K442" s="71" t="b">
        <v>0</v>
      </c>
      <c r="BP442" t="s">
        <v>430</v>
      </c>
      <c r="BQ442">
        <v>1</v>
      </c>
      <c r="BR442">
        <v>240</v>
      </c>
      <c r="BS442">
        <v>80</v>
      </c>
      <c r="BT442" s="74">
        <f ca="1">INDIRECT(ADDRESS(11+(MATCH(RIGHT(Table61011[[#This Row],[spawner_sku]],LEN(Table61011[[#This Row],[spawner_sku]])-FIND("/",Table61011[[#This Row],[spawner_sku]])),Table1[Entity Prefab],0)),10,1,1,"Entities"))</f>
        <v>50</v>
      </c>
      <c r="BU442" s="74">
        <f ca="1">ROUND((Table61011[[#This Row],[XP]]*Table61011[[#This Row],[entity_spawned (AVG)]])*(Table61011[[#This Row],[activating_chance]]/100),0)</f>
        <v>40</v>
      </c>
      <c r="BV442" s="71" t="str">
        <f ca="1">INDIRECT(ADDRESS(11+(MATCH(RIGHT(Table61011[[#This Row],[spawner_sku]],LEN(Table61011[[#This Row],[spawner_sku]])-FIND("/",Table61011[[#This Row],[spawner_sku]])),Table28[Entity Prefab],0)),24,1,1,"Entities"))</f>
        <v>no</v>
      </c>
      <c r="BW442" s="71">
        <v>1</v>
      </c>
      <c r="BX442" s="71">
        <v>1</v>
      </c>
      <c r="BY442" s="71" t="b">
        <v>0</v>
      </c>
      <c r="BZ442" s="71"/>
      <c r="CL442" t="s">
        <v>377</v>
      </c>
      <c r="CM442">
        <v>3</v>
      </c>
      <c r="CN442">
        <v>120</v>
      </c>
      <c r="CO442">
        <v>80</v>
      </c>
      <c r="CP442" s="74">
        <f ca="1">INDIRECT(ADDRESS(11+(MATCH(RIGHT(Table11[[#This Row],[spawner_sku]],LEN(Table11[[#This Row],[spawner_sku]])-FIND("/",Table11[[#This Row],[spawner_sku]])),Table1[Entity Prefab],0)),10,1,1,"Entities"))</f>
        <v>25</v>
      </c>
      <c r="CQ442">
        <f ca="1">ROUND((Table11[[#This Row],[XP]]*Table11[[#This Row],[entity_spawned (AVG)]])*(Table11[[#This Row],[activating_chance]]/100),0)</f>
        <v>60</v>
      </c>
      <c r="CR442" s="144" t="str">
        <f ca="1">INDIRECT(ADDRESS(11+(MATCH(RIGHT(Table11[[#This Row],[spawner_sku]],LEN(Table11[[#This Row],[spawner_sku]])-FIND("/",Table11[[#This Row],[spawner_sku]])),Table28[Entity Prefab],0)),25,1,1,"Entities"))</f>
        <v>no</v>
      </c>
      <c r="CS442" s="71">
        <v>2</v>
      </c>
      <c r="CT442" s="71">
        <v>4</v>
      </c>
      <c r="CU442" s="71" t="b">
        <v>0</v>
      </c>
      <c r="DS442" t="s">
        <v>510</v>
      </c>
      <c r="DT442">
        <v>1</v>
      </c>
      <c r="DU442">
        <v>160</v>
      </c>
      <c r="DV442">
        <v>100</v>
      </c>
      <c r="DW442" s="74">
        <f ca="1">INDIRECT(ADDRESS(11+(MATCH(RIGHT(Table14[[#This Row],[spawner_sku]],LEN(Table14[[#This Row],[spawner_sku]])-FIND("/",Table14[[#This Row],[spawner_sku]])),Table1[Entity Prefab],0)),10,1,1,"Entities"))</f>
        <v>90</v>
      </c>
      <c r="DX442" s="74">
        <f ca="1">ROUND((Table14[[#This Row],[XP]]*Table14[[#This Row],[entity_spawned (AVG)]])*(Table14[[#This Row],[activating_chance]]/100),0)</f>
        <v>90</v>
      </c>
      <c r="DY442" s="144" t="str">
        <f ca="1">INDIRECT(ADDRESS(11+(MATCH(RIGHT(Table14[[#This Row],[spawner_sku]],LEN(Table14[[#This Row],[spawner_sku]])-FIND("/",Table14[[#This Row],[spawner_sku]])),Table28[Entity Prefab],0)),25,1,1,"Entities"))</f>
        <v>no</v>
      </c>
      <c r="DZ442" s="71">
        <v>1</v>
      </c>
      <c r="EA442" s="71">
        <v>1</v>
      </c>
      <c r="EB442" s="71" t="b">
        <v>0</v>
      </c>
      <c r="EC442" s="71"/>
    </row>
    <row r="443" spans="2:133" x14ac:dyDescent="0.25">
      <c r="B443" s="72" t="s">
        <v>234</v>
      </c>
      <c r="C443">
        <v>1</v>
      </c>
      <c r="D443">
        <v>420</v>
      </c>
      <c r="E443">
        <v>100</v>
      </c>
      <c r="F443" s="74">
        <f ca="1">INDIRECT(ADDRESS(11+(MATCH(RIGHT(Table245[[#This Row],[spawner_sku]],LEN(Table245[[#This Row],[spawner_sku]])-FIND("/",Table245[[#This Row],[spawner_sku]])),Table1[Entity Prefab],0)),10,1,1,"Entities"))</f>
        <v>83</v>
      </c>
      <c r="G443" s="74">
        <f ca="1">ROUND((Table245[[#This Row],[XP]]*Table245[[#This Row],[entity_spawned (AVG)]])*(Table245[[#This Row],[activating_chance]]/100),0)</f>
        <v>83</v>
      </c>
      <c r="H443" s="71" t="str">
        <f ca="1">INDIRECT(ADDRESS(11+(MATCH(RIGHT(Table245[[#This Row],[spawner_sku]],LEN(Table245[[#This Row],[spawner_sku]])-FIND("/",Table245[[#This Row],[spawner_sku]])),Table28[Entity Prefab],0)),24,1,1,"Entities"))</f>
        <v>yes</v>
      </c>
      <c r="I443" s="71">
        <v>1</v>
      </c>
      <c r="J443" s="71">
        <v>1</v>
      </c>
      <c r="K443" s="71" t="b">
        <v>0</v>
      </c>
      <c r="BP443" t="s">
        <v>430</v>
      </c>
      <c r="BQ443">
        <v>1</v>
      </c>
      <c r="BR443">
        <v>240</v>
      </c>
      <c r="BS443">
        <v>100</v>
      </c>
      <c r="BT443" s="74">
        <f ca="1">INDIRECT(ADDRESS(11+(MATCH(RIGHT(Table61011[[#This Row],[spawner_sku]],LEN(Table61011[[#This Row],[spawner_sku]])-FIND("/",Table61011[[#This Row],[spawner_sku]])),Table1[Entity Prefab],0)),10,1,1,"Entities"))</f>
        <v>50</v>
      </c>
      <c r="BU443" s="74">
        <f ca="1">ROUND((Table61011[[#This Row],[XP]]*Table61011[[#This Row],[entity_spawned (AVG)]])*(Table61011[[#This Row],[activating_chance]]/100),0)</f>
        <v>50</v>
      </c>
      <c r="BV443" s="71" t="str">
        <f ca="1">INDIRECT(ADDRESS(11+(MATCH(RIGHT(Table61011[[#This Row],[spawner_sku]],LEN(Table61011[[#This Row],[spawner_sku]])-FIND("/",Table61011[[#This Row],[spawner_sku]])),Table28[Entity Prefab],0)),24,1,1,"Entities"))</f>
        <v>no</v>
      </c>
      <c r="BW443" s="71">
        <v>1</v>
      </c>
      <c r="BX443" s="71">
        <v>1</v>
      </c>
      <c r="BY443" s="71" t="b">
        <v>0</v>
      </c>
      <c r="BZ443" s="71"/>
      <c r="CL443" t="s">
        <v>377</v>
      </c>
      <c r="CM443">
        <v>3</v>
      </c>
      <c r="CN443">
        <v>120</v>
      </c>
      <c r="CO443">
        <v>100</v>
      </c>
      <c r="CP443" s="74">
        <f ca="1">INDIRECT(ADDRESS(11+(MATCH(RIGHT(Table11[[#This Row],[spawner_sku]],LEN(Table11[[#This Row],[spawner_sku]])-FIND("/",Table11[[#This Row],[spawner_sku]])),Table1[Entity Prefab],0)),10,1,1,"Entities"))</f>
        <v>25</v>
      </c>
      <c r="CQ443">
        <f ca="1">ROUND((Table11[[#This Row],[XP]]*Table11[[#This Row],[entity_spawned (AVG)]])*(Table11[[#This Row],[activating_chance]]/100),0)</f>
        <v>75</v>
      </c>
      <c r="CR443" s="144" t="str">
        <f ca="1">INDIRECT(ADDRESS(11+(MATCH(RIGHT(Table11[[#This Row],[spawner_sku]],LEN(Table11[[#This Row],[spawner_sku]])-FIND("/",Table11[[#This Row],[spawner_sku]])),Table28[Entity Prefab],0)),25,1,1,"Entities"))</f>
        <v>no</v>
      </c>
      <c r="CS443" s="71">
        <v>2</v>
      </c>
      <c r="CT443" s="71">
        <v>4</v>
      </c>
      <c r="CU443" s="71" t="b">
        <v>0</v>
      </c>
      <c r="DS443" t="s">
        <v>510</v>
      </c>
      <c r="DT443">
        <v>1</v>
      </c>
      <c r="DU443">
        <v>135</v>
      </c>
      <c r="DV443">
        <v>100</v>
      </c>
      <c r="DW443" s="74">
        <f ca="1">INDIRECT(ADDRESS(11+(MATCH(RIGHT(Table14[[#This Row],[spawner_sku]],LEN(Table14[[#This Row],[spawner_sku]])-FIND("/",Table14[[#This Row],[spawner_sku]])),Table1[Entity Prefab],0)),10,1,1,"Entities"))</f>
        <v>90</v>
      </c>
      <c r="DX443" s="74">
        <f ca="1">ROUND((Table14[[#This Row],[XP]]*Table14[[#This Row],[entity_spawned (AVG)]])*(Table14[[#This Row],[activating_chance]]/100),0)</f>
        <v>90</v>
      </c>
      <c r="DY443" s="144" t="str">
        <f ca="1">INDIRECT(ADDRESS(11+(MATCH(RIGHT(Table14[[#This Row],[spawner_sku]],LEN(Table14[[#This Row],[spawner_sku]])-FIND("/",Table14[[#This Row],[spawner_sku]])),Table28[Entity Prefab],0)),25,1,1,"Entities"))</f>
        <v>no</v>
      </c>
      <c r="DZ443" s="71">
        <v>1</v>
      </c>
      <c r="EA443" s="71">
        <v>1</v>
      </c>
      <c r="EB443" s="71" t="b">
        <v>0</v>
      </c>
      <c r="EC443" s="71"/>
    </row>
    <row r="444" spans="2:133" x14ac:dyDescent="0.25">
      <c r="B444" s="72" t="s">
        <v>235</v>
      </c>
      <c r="C444">
        <v>1</v>
      </c>
      <c r="D444">
        <v>270</v>
      </c>
      <c r="E444">
        <v>100</v>
      </c>
      <c r="F444" s="74">
        <f ca="1">INDIRECT(ADDRESS(11+(MATCH(RIGHT(Table245[[#This Row],[spawner_sku]],LEN(Table245[[#This Row],[spawner_sku]])-FIND("/",Table245[[#This Row],[spawner_sku]])),Table1[Entity Prefab],0)),10,1,1,"Entities"))</f>
        <v>75</v>
      </c>
      <c r="G444" s="74">
        <f ca="1">ROUND((Table245[[#This Row],[XP]]*Table245[[#This Row],[entity_spawned (AVG)]])*(Table245[[#This Row],[activating_chance]]/100),0)</f>
        <v>75</v>
      </c>
      <c r="H444" s="71" t="str">
        <f ca="1">INDIRECT(ADDRESS(11+(MATCH(RIGHT(Table245[[#This Row],[spawner_sku]],LEN(Table245[[#This Row],[spawner_sku]])-FIND("/",Table245[[#This Row],[spawner_sku]])),Table28[Entity Prefab],0)),24,1,1,"Entities"))</f>
        <v>yes</v>
      </c>
      <c r="I444" s="71">
        <v>1</v>
      </c>
      <c r="J444" s="71">
        <v>1</v>
      </c>
      <c r="K444" s="71" t="b">
        <v>0</v>
      </c>
      <c r="BP444" t="s">
        <v>430</v>
      </c>
      <c r="BQ444">
        <v>1</v>
      </c>
      <c r="BR444">
        <v>240</v>
      </c>
      <c r="BS444">
        <v>80</v>
      </c>
      <c r="BT444" s="74">
        <f ca="1">INDIRECT(ADDRESS(11+(MATCH(RIGHT(Table61011[[#This Row],[spawner_sku]],LEN(Table61011[[#This Row],[spawner_sku]])-FIND("/",Table61011[[#This Row],[spawner_sku]])),Table1[Entity Prefab],0)),10,1,1,"Entities"))</f>
        <v>50</v>
      </c>
      <c r="BU444" s="74">
        <f ca="1">ROUND((Table61011[[#This Row],[XP]]*Table61011[[#This Row],[entity_spawned (AVG)]])*(Table61011[[#This Row],[activating_chance]]/100),0)</f>
        <v>40</v>
      </c>
      <c r="BV444" s="71" t="str">
        <f ca="1">INDIRECT(ADDRESS(11+(MATCH(RIGHT(Table61011[[#This Row],[spawner_sku]],LEN(Table61011[[#This Row],[spawner_sku]])-FIND("/",Table61011[[#This Row],[spawner_sku]])),Table28[Entity Prefab],0)),24,1,1,"Entities"))</f>
        <v>no</v>
      </c>
      <c r="BW444" s="71">
        <v>1</v>
      </c>
      <c r="BX444" s="71">
        <v>1</v>
      </c>
      <c r="BY444" s="71" t="b">
        <v>0</v>
      </c>
      <c r="BZ444" s="71"/>
      <c r="CL444" t="s">
        <v>377</v>
      </c>
      <c r="CM444">
        <v>3</v>
      </c>
      <c r="CN444">
        <v>120</v>
      </c>
      <c r="CO444">
        <v>80</v>
      </c>
      <c r="CP444" s="74">
        <f ca="1">INDIRECT(ADDRESS(11+(MATCH(RIGHT(Table11[[#This Row],[spawner_sku]],LEN(Table11[[#This Row],[spawner_sku]])-FIND("/",Table11[[#This Row],[spawner_sku]])),Table1[Entity Prefab],0)),10,1,1,"Entities"))</f>
        <v>25</v>
      </c>
      <c r="CQ444">
        <f ca="1">ROUND((Table11[[#This Row],[XP]]*Table11[[#This Row],[entity_spawned (AVG)]])*(Table11[[#This Row],[activating_chance]]/100),0)</f>
        <v>60</v>
      </c>
      <c r="CR444" s="144" t="str">
        <f ca="1">INDIRECT(ADDRESS(11+(MATCH(RIGHT(Table11[[#This Row],[spawner_sku]],LEN(Table11[[#This Row],[spawner_sku]])-FIND("/",Table11[[#This Row],[spawner_sku]])),Table28[Entity Prefab],0)),25,1,1,"Entities"))</f>
        <v>no</v>
      </c>
      <c r="CS444" s="71">
        <v>2</v>
      </c>
      <c r="CT444" s="71">
        <v>4</v>
      </c>
      <c r="CU444" s="71" t="b">
        <v>0</v>
      </c>
      <c r="DS444" t="s">
        <v>510</v>
      </c>
      <c r="DT444">
        <v>1</v>
      </c>
      <c r="DU444">
        <v>100</v>
      </c>
      <c r="DV444">
        <v>100</v>
      </c>
      <c r="DW444" s="74">
        <f ca="1">INDIRECT(ADDRESS(11+(MATCH(RIGHT(Table14[[#This Row],[spawner_sku]],LEN(Table14[[#This Row],[spawner_sku]])-FIND("/",Table14[[#This Row],[spawner_sku]])),Table1[Entity Prefab],0)),10,1,1,"Entities"))</f>
        <v>90</v>
      </c>
      <c r="DX444" s="74">
        <f ca="1">ROUND((Table14[[#This Row],[XP]]*Table14[[#This Row],[entity_spawned (AVG)]])*(Table14[[#This Row],[activating_chance]]/100),0)</f>
        <v>90</v>
      </c>
      <c r="DY444" s="144" t="str">
        <f ca="1">INDIRECT(ADDRESS(11+(MATCH(RIGHT(Table14[[#This Row],[spawner_sku]],LEN(Table14[[#This Row],[spawner_sku]])-FIND("/",Table14[[#This Row],[spawner_sku]])),Table28[Entity Prefab],0)),25,1,1,"Entities"))</f>
        <v>no</v>
      </c>
      <c r="DZ444" s="71">
        <v>1</v>
      </c>
      <c r="EA444" s="71">
        <v>1</v>
      </c>
      <c r="EB444" s="71" t="b">
        <v>0</v>
      </c>
      <c r="EC444" s="71"/>
    </row>
    <row r="445" spans="2:133" x14ac:dyDescent="0.25">
      <c r="B445" s="72" t="s">
        <v>235</v>
      </c>
      <c r="C445">
        <v>1</v>
      </c>
      <c r="D445">
        <v>270</v>
      </c>
      <c r="E445">
        <v>100</v>
      </c>
      <c r="F445" s="74">
        <f ca="1">INDIRECT(ADDRESS(11+(MATCH(RIGHT(Table245[[#This Row],[spawner_sku]],LEN(Table245[[#This Row],[spawner_sku]])-FIND("/",Table245[[#This Row],[spawner_sku]])),Table1[Entity Prefab],0)),10,1,1,"Entities"))</f>
        <v>75</v>
      </c>
      <c r="G445" s="74">
        <f ca="1">ROUND((Table245[[#This Row],[XP]]*Table245[[#This Row],[entity_spawned (AVG)]])*(Table245[[#This Row],[activating_chance]]/100),0)</f>
        <v>75</v>
      </c>
      <c r="H445" s="71" t="str">
        <f ca="1">INDIRECT(ADDRESS(11+(MATCH(RIGHT(Table245[[#This Row],[spawner_sku]],LEN(Table245[[#This Row],[spawner_sku]])-FIND("/",Table245[[#This Row],[spawner_sku]])),Table28[Entity Prefab],0)),24,1,1,"Entities"))</f>
        <v>yes</v>
      </c>
      <c r="I445" s="71">
        <v>1</v>
      </c>
      <c r="J445" s="71">
        <v>1</v>
      </c>
      <c r="K445" s="71" t="b">
        <v>0</v>
      </c>
      <c r="BP445" t="s">
        <v>430</v>
      </c>
      <c r="BQ445">
        <v>1</v>
      </c>
      <c r="BR445">
        <v>240</v>
      </c>
      <c r="BS445">
        <v>100</v>
      </c>
      <c r="BT445" s="74">
        <f ca="1">INDIRECT(ADDRESS(11+(MATCH(RIGHT(Table61011[[#This Row],[spawner_sku]],LEN(Table61011[[#This Row],[spawner_sku]])-FIND("/",Table61011[[#This Row],[spawner_sku]])),Table1[Entity Prefab],0)),10,1,1,"Entities"))</f>
        <v>50</v>
      </c>
      <c r="BU445" s="74">
        <f ca="1">ROUND((Table61011[[#This Row],[XP]]*Table61011[[#This Row],[entity_spawned (AVG)]])*(Table61011[[#This Row],[activating_chance]]/100),0)</f>
        <v>50</v>
      </c>
      <c r="BV445" s="71" t="str">
        <f ca="1">INDIRECT(ADDRESS(11+(MATCH(RIGHT(Table61011[[#This Row],[spawner_sku]],LEN(Table61011[[#This Row],[spawner_sku]])-FIND("/",Table61011[[#This Row],[spawner_sku]])),Table28[Entity Prefab],0)),24,1,1,"Entities"))</f>
        <v>no</v>
      </c>
      <c r="BW445" s="71">
        <v>1</v>
      </c>
      <c r="BX445" s="71">
        <v>1</v>
      </c>
      <c r="BY445" s="71" t="b">
        <v>0</v>
      </c>
      <c r="BZ445" s="71"/>
      <c r="CL445" t="s">
        <v>377</v>
      </c>
      <c r="CM445">
        <v>3</v>
      </c>
      <c r="CN445">
        <v>120</v>
      </c>
      <c r="CO445">
        <v>80</v>
      </c>
      <c r="CP445" s="74">
        <f ca="1">INDIRECT(ADDRESS(11+(MATCH(RIGHT(Table11[[#This Row],[spawner_sku]],LEN(Table11[[#This Row],[spawner_sku]])-FIND("/",Table11[[#This Row],[spawner_sku]])),Table1[Entity Prefab],0)),10,1,1,"Entities"))</f>
        <v>25</v>
      </c>
      <c r="CQ445">
        <f ca="1">ROUND((Table11[[#This Row],[XP]]*Table11[[#This Row],[entity_spawned (AVG)]])*(Table11[[#This Row],[activating_chance]]/100),0)</f>
        <v>60</v>
      </c>
      <c r="CR445" s="144" t="str">
        <f ca="1">INDIRECT(ADDRESS(11+(MATCH(RIGHT(Table11[[#This Row],[spawner_sku]],LEN(Table11[[#This Row],[spawner_sku]])-FIND("/",Table11[[#This Row],[spawner_sku]])),Table28[Entity Prefab],0)),25,1,1,"Entities"))</f>
        <v>no</v>
      </c>
      <c r="CS445" s="71">
        <v>2</v>
      </c>
      <c r="CT445" s="71">
        <v>4</v>
      </c>
      <c r="CU445" s="71" t="b">
        <v>0</v>
      </c>
      <c r="DS445" t="s">
        <v>510</v>
      </c>
      <c r="DT445">
        <v>1.5</v>
      </c>
      <c r="DU445">
        <v>130</v>
      </c>
      <c r="DV445">
        <v>100</v>
      </c>
      <c r="DW445" s="74">
        <f ca="1">INDIRECT(ADDRESS(11+(MATCH(RIGHT(Table14[[#This Row],[spawner_sku]],LEN(Table14[[#This Row],[spawner_sku]])-FIND("/",Table14[[#This Row],[spawner_sku]])),Table1[Entity Prefab],0)),10,1,1,"Entities"))</f>
        <v>90</v>
      </c>
      <c r="DX445" s="74">
        <f ca="1">ROUND((Table14[[#This Row],[XP]]*Table14[[#This Row],[entity_spawned (AVG)]])*(Table14[[#This Row],[activating_chance]]/100),0)</f>
        <v>135</v>
      </c>
      <c r="DY445" s="144" t="str">
        <f ca="1">INDIRECT(ADDRESS(11+(MATCH(RIGHT(Table14[[#This Row],[spawner_sku]],LEN(Table14[[#This Row],[spawner_sku]])-FIND("/",Table14[[#This Row],[spawner_sku]])),Table28[Entity Prefab],0)),25,1,1,"Entities"))</f>
        <v>no</v>
      </c>
      <c r="DZ445" s="71">
        <v>1</v>
      </c>
      <c r="EA445" s="71">
        <v>2</v>
      </c>
      <c r="EB445" s="71" t="b">
        <v>0</v>
      </c>
      <c r="EC445" s="71"/>
    </row>
    <row r="446" spans="2:133" x14ac:dyDescent="0.25">
      <c r="B446" s="72" t="s">
        <v>235</v>
      </c>
      <c r="C446">
        <v>1</v>
      </c>
      <c r="D446">
        <v>270</v>
      </c>
      <c r="E446">
        <v>100</v>
      </c>
      <c r="F446" s="74">
        <f ca="1">INDIRECT(ADDRESS(11+(MATCH(RIGHT(Table245[[#This Row],[spawner_sku]],LEN(Table245[[#This Row],[spawner_sku]])-FIND("/",Table245[[#This Row],[spawner_sku]])),Table1[Entity Prefab],0)),10,1,1,"Entities"))</f>
        <v>75</v>
      </c>
      <c r="G446" s="74">
        <f ca="1">ROUND((Table245[[#This Row],[XP]]*Table245[[#This Row],[entity_spawned (AVG)]])*(Table245[[#This Row],[activating_chance]]/100),0)</f>
        <v>75</v>
      </c>
      <c r="H446" s="71" t="str">
        <f ca="1">INDIRECT(ADDRESS(11+(MATCH(RIGHT(Table245[[#This Row],[spawner_sku]],LEN(Table245[[#This Row],[spawner_sku]])-FIND("/",Table245[[#This Row],[spawner_sku]])),Table28[Entity Prefab],0)),24,1,1,"Entities"))</f>
        <v>yes</v>
      </c>
      <c r="I446" s="71">
        <v>1</v>
      </c>
      <c r="J446" s="71">
        <v>1</v>
      </c>
      <c r="K446" s="71" t="b">
        <v>0</v>
      </c>
      <c r="BP446" t="s">
        <v>430</v>
      </c>
      <c r="BQ446">
        <v>1</v>
      </c>
      <c r="BR446">
        <v>240</v>
      </c>
      <c r="BS446">
        <v>100</v>
      </c>
      <c r="BT446" s="74">
        <f ca="1">INDIRECT(ADDRESS(11+(MATCH(RIGHT(Table61011[[#This Row],[spawner_sku]],LEN(Table61011[[#This Row],[spawner_sku]])-FIND("/",Table61011[[#This Row],[spawner_sku]])),Table1[Entity Prefab],0)),10,1,1,"Entities"))</f>
        <v>50</v>
      </c>
      <c r="BU446" s="74">
        <f ca="1">ROUND((Table61011[[#This Row],[XP]]*Table61011[[#This Row],[entity_spawned (AVG)]])*(Table61011[[#This Row],[activating_chance]]/100),0)</f>
        <v>50</v>
      </c>
      <c r="BV446" s="71" t="str">
        <f ca="1">INDIRECT(ADDRESS(11+(MATCH(RIGHT(Table61011[[#This Row],[spawner_sku]],LEN(Table61011[[#This Row],[spawner_sku]])-FIND("/",Table61011[[#This Row],[spawner_sku]])),Table28[Entity Prefab],0)),24,1,1,"Entities"))</f>
        <v>no</v>
      </c>
      <c r="BW446" s="71">
        <v>1</v>
      </c>
      <c r="BX446" s="71">
        <v>1</v>
      </c>
      <c r="BY446" s="71" t="b">
        <v>0</v>
      </c>
      <c r="BZ446" s="71"/>
      <c r="CL446" t="s">
        <v>377</v>
      </c>
      <c r="CM446">
        <v>3</v>
      </c>
      <c r="CN446">
        <v>120</v>
      </c>
      <c r="CO446">
        <v>80</v>
      </c>
      <c r="CP446" s="74">
        <f ca="1">INDIRECT(ADDRESS(11+(MATCH(RIGHT(Table11[[#This Row],[spawner_sku]],LEN(Table11[[#This Row],[spawner_sku]])-FIND("/",Table11[[#This Row],[spawner_sku]])),Table1[Entity Prefab],0)),10,1,1,"Entities"))</f>
        <v>25</v>
      </c>
      <c r="CQ446">
        <f ca="1">ROUND((Table11[[#This Row],[XP]]*Table11[[#This Row],[entity_spawned (AVG)]])*(Table11[[#This Row],[activating_chance]]/100),0)</f>
        <v>60</v>
      </c>
      <c r="CR446" s="144" t="str">
        <f ca="1">INDIRECT(ADDRESS(11+(MATCH(RIGHT(Table11[[#This Row],[spawner_sku]],LEN(Table11[[#This Row],[spawner_sku]])-FIND("/",Table11[[#This Row],[spawner_sku]])),Table28[Entity Prefab],0)),25,1,1,"Entities"))</f>
        <v>no</v>
      </c>
      <c r="CS446" s="71">
        <v>2</v>
      </c>
      <c r="CT446" s="71">
        <v>4</v>
      </c>
      <c r="CU446" s="71" t="b">
        <v>0</v>
      </c>
      <c r="DS446" t="s">
        <v>510</v>
      </c>
      <c r="DT446">
        <v>1</v>
      </c>
      <c r="DU446">
        <v>150</v>
      </c>
      <c r="DV446">
        <v>100</v>
      </c>
      <c r="DW446" s="74">
        <f ca="1">INDIRECT(ADDRESS(11+(MATCH(RIGHT(Table14[[#This Row],[spawner_sku]],LEN(Table14[[#This Row],[spawner_sku]])-FIND("/",Table14[[#This Row],[spawner_sku]])),Table1[Entity Prefab],0)),10,1,1,"Entities"))</f>
        <v>90</v>
      </c>
      <c r="DX446" s="74">
        <f ca="1">ROUND((Table14[[#This Row],[XP]]*Table14[[#This Row],[entity_spawned (AVG)]])*(Table14[[#This Row],[activating_chance]]/100),0)</f>
        <v>90</v>
      </c>
      <c r="DY446" s="144" t="str">
        <f ca="1">INDIRECT(ADDRESS(11+(MATCH(RIGHT(Table14[[#This Row],[spawner_sku]],LEN(Table14[[#This Row],[spawner_sku]])-FIND("/",Table14[[#This Row],[spawner_sku]])),Table28[Entity Prefab],0)),25,1,1,"Entities"))</f>
        <v>no</v>
      </c>
      <c r="DZ446" s="71">
        <v>1</v>
      </c>
      <c r="EA446" s="71">
        <v>1</v>
      </c>
      <c r="EB446" s="71" t="b">
        <v>0</v>
      </c>
      <c r="EC446" s="71"/>
    </row>
    <row r="447" spans="2:133" x14ac:dyDescent="0.25">
      <c r="B447" s="72" t="s">
        <v>235</v>
      </c>
      <c r="C447">
        <v>1</v>
      </c>
      <c r="D447">
        <v>320</v>
      </c>
      <c r="E447">
        <v>50</v>
      </c>
      <c r="F447" s="74">
        <f ca="1">INDIRECT(ADDRESS(11+(MATCH(RIGHT(Table245[[#This Row],[spawner_sku]],LEN(Table245[[#This Row],[spawner_sku]])-FIND("/",Table245[[#This Row],[spawner_sku]])),Table1[Entity Prefab],0)),10,1,1,"Entities"))</f>
        <v>75</v>
      </c>
      <c r="G447" s="74">
        <f ca="1">ROUND((Table245[[#This Row],[XP]]*Table245[[#This Row],[entity_spawned (AVG)]])*(Table245[[#This Row],[activating_chance]]/100),0)</f>
        <v>38</v>
      </c>
      <c r="H447" s="71" t="str">
        <f ca="1">INDIRECT(ADDRESS(11+(MATCH(RIGHT(Table245[[#This Row],[spawner_sku]],LEN(Table245[[#This Row],[spawner_sku]])-FIND("/",Table245[[#This Row],[spawner_sku]])),Table28[Entity Prefab],0)),24,1,1,"Entities"))</f>
        <v>yes</v>
      </c>
      <c r="I447" s="71">
        <v>1</v>
      </c>
      <c r="J447" s="71">
        <v>1</v>
      </c>
      <c r="K447" s="71" t="b">
        <v>0</v>
      </c>
      <c r="BP447" t="s">
        <v>431</v>
      </c>
      <c r="BQ447">
        <v>1</v>
      </c>
      <c r="BR447">
        <v>220</v>
      </c>
      <c r="BS447">
        <v>100</v>
      </c>
      <c r="BT447" s="74">
        <f ca="1">INDIRECT(ADDRESS(11+(MATCH(RIGHT(Table61011[[#This Row],[spawner_sku]],LEN(Table61011[[#This Row],[spawner_sku]])-FIND("/",Table61011[[#This Row],[spawner_sku]])),Table1[Entity Prefab],0)),10,1,1,"Entities"))</f>
        <v>0</v>
      </c>
      <c r="BU447" s="74">
        <f ca="1">ROUND((Table61011[[#This Row],[XP]]*Table61011[[#This Row],[entity_spawned (AVG)]])*(Table61011[[#This Row],[activating_chance]]/100),0)</f>
        <v>0</v>
      </c>
      <c r="BV447" s="71" t="str">
        <f ca="1">INDIRECT(ADDRESS(11+(MATCH(RIGHT(Table61011[[#This Row],[spawner_sku]],LEN(Table61011[[#This Row],[spawner_sku]])-FIND("/",Table61011[[#This Row],[spawner_sku]])),Table28[Entity Prefab],0)),24,1,1,"Entities"))</f>
        <v>no</v>
      </c>
      <c r="BW447" s="71">
        <v>1</v>
      </c>
      <c r="BX447" s="71">
        <v>1</v>
      </c>
      <c r="BY447" s="71" t="b">
        <v>0</v>
      </c>
      <c r="BZ447" s="71"/>
      <c r="CL447" t="s">
        <v>427</v>
      </c>
      <c r="CM447">
        <v>2.5</v>
      </c>
      <c r="CN447">
        <v>120</v>
      </c>
      <c r="CO447">
        <v>100</v>
      </c>
      <c r="CP447" s="74">
        <f ca="1">INDIRECT(ADDRESS(11+(MATCH(RIGHT(Table11[[#This Row],[spawner_sku]],LEN(Table11[[#This Row],[spawner_sku]])-FIND("/",Table11[[#This Row],[spawner_sku]])),Table1[Entity Prefab],0)),10,1,1,"Entities"))</f>
        <v>25</v>
      </c>
      <c r="CQ447">
        <f ca="1">ROUND((Table11[[#This Row],[XP]]*Table11[[#This Row],[entity_spawned (AVG)]])*(Table11[[#This Row],[activating_chance]]/100),0)</f>
        <v>63</v>
      </c>
      <c r="CR447" s="144" t="str">
        <f ca="1">INDIRECT(ADDRESS(11+(MATCH(RIGHT(Table11[[#This Row],[spawner_sku]],LEN(Table11[[#This Row],[spawner_sku]])-FIND("/",Table11[[#This Row],[spawner_sku]])),Table28[Entity Prefab],0)),25,1,1,"Entities"))</f>
        <v>no</v>
      </c>
      <c r="CS447" s="71">
        <v>2</v>
      </c>
      <c r="CT447" s="71">
        <v>3</v>
      </c>
      <c r="CU447" s="71" t="b">
        <v>0</v>
      </c>
      <c r="DS447" t="s">
        <v>510</v>
      </c>
      <c r="DT447">
        <v>1</v>
      </c>
      <c r="DU447">
        <v>130</v>
      </c>
      <c r="DV447">
        <v>100</v>
      </c>
      <c r="DW447" s="74">
        <f ca="1">INDIRECT(ADDRESS(11+(MATCH(RIGHT(Table14[[#This Row],[spawner_sku]],LEN(Table14[[#This Row],[spawner_sku]])-FIND("/",Table14[[#This Row],[spawner_sku]])),Table1[Entity Prefab],0)),10,1,1,"Entities"))</f>
        <v>90</v>
      </c>
      <c r="DX447" s="74">
        <f ca="1">ROUND((Table14[[#This Row],[XP]]*Table14[[#This Row],[entity_spawned (AVG)]])*(Table14[[#This Row],[activating_chance]]/100),0)</f>
        <v>90</v>
      </c>
      <c r="DY447" s="144" t="str">
        <f ca="1">INDIRECT(ADDRESS(11+(MATCH(RIGHT(Table14[[#This Row],[spawner_sku]],LEN(Table14[[#This Row],[spawner_sku]])-FIND("/",Table14[[#This Row],[spawner_sku]])),Table28[Entity Prefab],0)),25,1,1,"Entities"))</f>
        <v>no</v>
      </c>
      <c r="DZ447" s="71">
        <v>1</v>
      </c>
      <c r="EA447" s="71">
        <v>1</v>
      </c>
      <c r="EB447" s="71" t="b">
        <v>0</v>
      </c>
      <c r="EC447" s="71"/>
    </row>
    <row r="448" spans="2:133" x14ac:dyDescent="0.25">
      <c r="B448" s="72" t="s">
        <v>235</v>
      </c>
      <c r="C448">
        <v>1.5</v>
      </c>
      <c r="D448">
        <v>300</v>
      </c>
      <c r="E448">
        <v>100</v>
      </c>
      <c r="F448" s="74">
        <f ca="1">INDIRECT(ADDRESS(11+(MATCH(RIGHT(Table245[[#This Row],[spawner_sku]],LEN(Table245[[#This Row],[spawner_sku]])-FIND("/",Table245[[#This Row],[spawner_sku]])),Table1[Entity Prefab],0)),10,1,1,"Entities"))</f>
        <v>75</v>
      </c>
      <c r="G448" s="74">
        <f ca="1">ROUND((Table245[[#This Row],[XP]]*Table245[[#This Row],[entity_spawned (AVG)]])*(Table245[[#This Row],[activating_chance]]/100),0)</f>
        <v>113</v>
      </c>
      <c r="H448" s="71" t="str">
        <f ca="1">INDIRECT(ADDRESS(11+(MATCH(RIGHT(Table245[[#This Row],[spawner_sku]],LEN(Table245[[#This Row],[spawner_sku]])-FIND("/",Table245[[#This Row],[spawner_sku]])),Table28[Entity Prefab],0)),24,1,1,"Entities"))</f>
        <v>yes</v>
      </c>
      <c r="I448" s="71">
        <v>1</v>
      </c>
      <c r="J448" s="71">
        <v>2</v>
      </c>
      <c r="K448" s="71" t="b">
        <v>0</v>
      </c>
      <c r="BP448" t="s">
        <v>431</v>
      </c>
      <c r="BQ448">
        <v>1</v>
      </c>
      <c r="BR448">
        <v>220</v>
      </c>
      <c r="BS448">
        <v>100</v>
      </c>
      <c r="BT448" s="74">
        <f ca="1">INDIRECT(ADDRESS(11+(MATCH(RIGHT(Table61011[[#This Row],[spawner_sku]],LEN(Table61011[[#This Row],[spawner_sku]])-FIND("/",Table61011[[#This Row],[spawner_sku]])),Table1[Entity Prefab],0)),10,1,1,"Entities"))</f>
        <v>0</v>
      </c>
      <c r="BU448" s="74">
        <f ca="1">ROUND((Table61011[[#This Row],[XP]]*Table61011[[#This Row],[entity_spawned (AVG)]])*(Table61011[[#This Row],[activating_chance]]/100),0)</f>
        <v>0</v>
      </c>
      <c r="BV448" s="71" t="str">
        <f ca="1">INDIRECT(ADDRESS(11+(MATCH(RIGHT(Table61011[[#This Row],[spawner_sku]],LEN(Table61011[[#This Row],[spawner_sku]])-FIND("/",Table61011[[#This Row],[spawner_sku]])),Table28[Entity Prefab],0)),24,1,1,"Entities"))</f>
        <v>no</v>
      </c>
      <c r="BW448" s="71">
        <v>1</v>
      </c>
      <c r="BX448" s="71">
        <v>1</v>
      </c>
      <c r="BY448" s="71" t="b">
        <v>0</v>
      </c>
      <c r="BZ448" s="71"/>
      <c r="CL448" t="s">
        <v>427</v>
      </c>
      <c r="CM448">
        <v>5.5</v>
      </c>
      <c r="CN448">
        <v>120</v>
      </c>
      <c r="CO448">
        <v>30</v>
      </c>
      <c r="CP448" s="74">
        <f ca="1">INDIRECT(ADDRESS(11+(MATCH(RIGHT(Table11[[#This Row],[spawner_sku]],LEN(Table11[[#This Row],[spawner_sku]])-FIND("/",Table11[[#This Row],[spawner_sku]])),Table1[Entity Prefab],0)),10,1,1,"Entities"))</f>
        <v>25</v>
      </c>
      <c r="CQ448">
        <f ca="1">ROUND((Table11[[#This Row],[XP]]*Table11[[#This Row],[entity_spawned (AVG)]])*(Table11[[#This Row],[activating_chance]]/100),0)</f>
        <v>41</v>
      </c>
      <c r="CR448" s="144" t="str">
        <f ca="1">INDIRECT(ADDRESS(11+(MATCH(RIGHT(Table11[[#This Row],[spawner_sku]],LEN(Table11[[#This Row],[spawner_sku]])-FIND("/",Table11[[#This Row],[spawner_sku]])),Table28[Entity Prefab],0)),25,1,1,"Entities"))</f>
        <v>no</v>
      </c>
      <c r="CS448" s="71">
        <v>5</v>
      </c>
      <c r="CT448" s="71">
        <v>6</v>
      </c>
      <c r="CU448" s="71" t="b">
        <v>1</v>
      </c>
      <c r="DS448" t="s">
        <v>510</v>
      </c>
      <c r="DT448">
        <v>1</v>
      </c>
      <c r="DU448">
        <v>140</v>
      </c>
      <c r="DV448">
        <v>100</v>
      </c>
      <c r="DW448" s="74">
        <f ca="1">INDIRECT(ADDRESS(11+(MATCH(RIGHT(Table14[[#This Row],[spawner_sku]],LEN(Table14[[#This Row],[spawner_sku]])-FIND("/",Table14[[#This Row],[spawner_sku]])),Table1[Entity Prefab],0)),10,1,1,"Entities"))</f>
        <v>90</v>
      </c>
      <c r="DX448" s="74">
        <f ca="1">ROUND((Table14[[#This Row],[XP]]*Table14[[#This Row],[entity_spawned (AVG)]])*(Table14[[#This Row],[activating_chance]]/100),0)</f>
        <v>90</v>
      </c>
      <c r="DY448" s="144" t="str">
        <f ca="1">INDIRECT(ADDRESS(11+(MATCH(RIGHT(Table14[[#This Row],[spawner_sku]],LEN(Table14[[#This Row],[spawner_sku]])-FIND("/",Table14[[#This Row],[spawner_sku]])),Table28[Entity Prefab],0)),25,1,1,"Entities"))</f>
        <v>no</v>
      </c>
      <c r="DZ448" s="71">
        <v>1</v>
      </c>
      <c r="EA448" s="71">
        <v>1</v>
      </c>
      <c r="EB448" s="71" t="b">
        <v>0</v>
      </c>
      <c r="EC448" s="71"/>
    </row>
    <row r="449" spans="2:133" x14ac:dyDescent="0.25">
      <c r="B449" s="72" t="s">
        <v>235</v>
      </c>
      <c r="C449">
        <v>1</v>
      </c>
      <c r="D449">
        <v>300</v>
      </c>
      <c r="E449">
        <v>80</v>
      </c>
      <c r="F449" s="74">
        <f ca="1">INDIRECT(ADDRESS(11+(MATCH(RIGHT(Table245[[#This Row],[spawner_sku]],LEN(Table245[[#This Row],[spawner_sku]])-FIND("/",Table245[[#This Row],[spawner_sku]])),Table1[Entity Prefab],0)),10,1,1,"Entities"))</f>
        <v>75</v>
      </c>
      <c r="G449" s="74">
        <f ca="1">ROUND((Table245[[#This Row],[XP]]*Table245[[#This Row],[entity_spawned (AVG)]])*(Table245[[#This Row],[activating_chance]]/100),0)</f>
        <v>60</v>
      </c>
      <c r="H449" s="71" t="str">
        <f ca="1">INDIRECT(ADDRESS(11+(MATCH(RIGHT(Table245[[#This Row],[spawner_sku]],LEN(Table245[[#This Row],[spawner_sku]])-FIND("/",Table245[[#This Row],[spawner_sku]])),Table28[Entity Prefab],0)),24,1,1,"Entities"))</f>
        <v>yes</v>
      </c>
      <c r="I449" s="71">
        <v>1</v>
      </c>
      <c r="J449" s="71">
        <v>1</v>
      </c>
      <c r="K449" s="71" t="b">
        <v>0</v>
      </c>
      <c r="BP449" t="s">
        <v>431</v>
      </c>
      <c r="BQ449">
        <v>1</v>
      </c>
      <c r="BR449">
        <v>220</v>
      </c>
      <c r="BS449">
        <v>100</v>
      </c>
      <c r="BT449" s="74">
        <f ca="1">INDIRECT(ADDRESS(11+(MATCH(RIGHT(Table61011[[#This Row],[spawner_sku]],LEN(Table61011[[#This Row],[spawner_sku]])-FIND("/",Table61011[[#This Row],[spawner_sku]])),Table1[Entity Prefab],0)),10,1,1,"Entities"))</f>
        <v>0</v>
      </c>
      <c r="BU449" s="74">
        <f ca="1">ROUND((Table61011[[#This Row],[XP]]*Table61011[[#This Row],[entity_spawned (AVG)]])*(Table61011[[#This Row],[activating_chance]]/100),0)</f>
        <v>0</v>
      </c>
      <c r="BV449" s="71" t="str">
        <f ca="1">INDIRECT(ADDRESS(11+(MATCH(RIGHT(Table61011[[#This Row],[spawner_sku]],LEN(Table61011[[#This Row],[spawner_sku]])-FIND("/",Table61011[[#This Row],[spawner_sku]])),Table28[Entity Prefab],0)),24,1,1,"Entities"))</f>
        <v>no</v>
      </c>
      <c r="BW449" s="71">
        <v>1</v>
      </c>
      <c r="BX449" s="71">
        <v>1</v>
      </c>
      <c r="BY449" s="71" t="b">
        <v>0</v>
      </c>
      <c r="BZ449" s="71"/>
      <c r="CL449" t="s">
        <v>427</v>
      </c>
      <c r="CM449">
        <v>5</v>
      </c>
      <c r="CN449">
        <v>120</v>
      </c>
      <c r="CO449">
        <v>30</v>
      </c>
      <c r="CP449" s="74">
        <f ca="1">INDIRECT(ADDRESS(11+(MATCH(RIGHT(Table11[[#This Row],[spawner_sku]],LEN(Table11[[#This Row],[spawner_sku]])-FIND("/",Table11[[#This Row],[spawner_sku]])),Table1[Entity Prefab],0)),10,1,1,"Entities"))</f>
        <v>25</v>
      </c>
      <c r="CQ449">
        <f ca="1">ROUND((Table11[[#This Row],[XP]]*Table11[[#This Row],[entity_spawned (AVG)]])*(Table11[[#This Row],[activating_chance]]/100),0)</f>
        <v>38</v>
      </c>
      <c r="CR449" s="144" t="str">
        <f ca="1">INDIRECT(ADDRESS(11+(MATCH(RIGHT(Table11[[#This Row],[spawner_sku]],LEN(Table11[[#This Row],[spawner_sku]])-FIND("/",Table11[[#This Row],[spawner_sku]])),Table28[Entity Prefab],0)),25,1,1,"Entities"))</f>
        <v>no</v>
      </c>
      <c r="CS449" s="71">
        <v>5</v>
      </c>
      <c r="CT449" s="71">
        <v>5</v>
      </c>
      <c r="CU449" s="71" t="b">
        <v>1</v>
      </c>
      <c r="DS449" t="s">
        <v>510</v>
      </c>
      <c r="DT449">
        <v>1</v>
      </c>
      <c r="DU449">
        <v>175</v>
      </c>
      <c r="DV449">
        <v>80</v>
      </c>
      <c r="DW449" s="74">
        <f ca="1">INDIRECT(ADDRESS(11+(MATCH(RIGHT(Table14[[#This Row],[spawner_sku]],LEN(Table14[[#This Row],[spawner_sku]])-FIND("/",Table14[[#This Row],[spawner_sku]])),Table1[Entity Prefab],0)),10,1,1,"Entities"))</f>
        <v>90</v>
      </c>
      <c r="DX449" s="74">
        <f ca="1">ROUND((Table14[[#This Row],[XP]]*Table14[[#This Row],[entity_spawned (AVG)]])*(Table14[[#This Row],[activating_chance]]/100),0)</f>
        <v>72</v>
      </c>
      <c r="DY449" s="144" t="str">
        <f ca="1">INDIRECT(ADDRESS(11+(MATCH(RIGHT(Table14[[#This Row],[spawner_sku]],LEN(Table14[[#This Row],[spawner_sku]])-FIND("/",Table14[[#This Row],[spawner_sku]])),Table28[Entity Prefab],0)),25,1,1,"Entities"))</f>
        <v>no</v>
      </c>
      <c r="DZ449" s="71">
        <v>1</v>
      </c>
      <c r="EA449" s="71">
        <v>1</v>
      </c>
      <c r="EB449" s="71" t="b">
        <v>0</v>
      </c>
      <c r="EC449" s="71"/>
    </row>
    <row r="450" spans="2:133" x14ac:dyDescent="0.25">
      <c r="B450" s="72" t="s">
        <v>235</v>
      </c>
      <c r="C450">
        <v>1</v>
      </c>
      <c r="D450">
        <v>270</v>
      </c>
      <c r="E450">
        <v>100</v>
      </c>
      <c r="F450" s="74">
        <f ca="1">INDIRECT(ADDRESS(11+(MATCH(RIGHT(Table245[[#This Row],[spawner_sku]],LEN(Table245[[#This Row],[spawner_sku]])-FIND("/",Table245[[#This Row],[spawner_sku]])),Table1[Entity Prefab],0)),10,1,1,"Entities"))</f>
        <v>75</v>
      </c>
      <c r="G450" s="74">
        <f ca="1">ROUND((Table245[[#This Row],[XP]]*Table245[[#This Row],[entity_spawned (AVG)]])*(Table245[[#This Row],[activating_chance]]/100),0)</f>
        <v>75</v>
      </c>
      <c r="H450" s="71" t="str">
        <f ca="1">INDIRECT(ADDRESS(11+(MATCH(RIGHT(Table245[[#This Row],[spawner_sku]],LEN(Table245[[#This Row],[spawner_sku]])-FIND("/",Table245[[#This Row],[spawner_sku]])),Table28[Entity Prefab],0)),24,1,1,"Entities"))</f>
        <v>yes</v>
      </c>
      <c r="I450" s="71">
        <v>1</v>
      </c>
      <c r="J450" s="71">
        <v>1</v>
      </c>
      <c r="K450" s="71" t="b">
        <v>0</v>
      </c>
      <c r="BP450" t="s">
        <v>487</v>
      </c>
      <c r="BQ450">
        <v>1</v>
      </c>
      <c r="BR450">
        <v>220</v>
      </c>
      <c r="BS450">
        <v>100</v>
      </c>
      <c r="BT450" s="74">
        <f ca="1">INDIRECT(ADDRESS(11+(MATCH(RIGHT(Table61011[[#This Row],[spawner_sku]],LEN(Table61011[[#This Row],[spawner_sku]])-FIND("/",Table61011[[#This Row],[spawner_sku]])),Table1[Entity Prefab],0)),10,1,1,"Entities"))</f>
        <v>0</v>
      </c>
      <c r="BU450" s="74">
        <f ca="1">ROUND((Table61011[[#This Row],[XP]]*Table61011[[#This Row],[entity_spawned (AVG)]])*(Table61011[[#This Row],[activating_chance]]/100),0)</f>
        <v>0</v>
      </c>
      <c r="BV450" s="71" t="str">
        <f ca="1">INDIRECT(ADDRESS(11+(MATCH(RIGHT(Table61011[[#This Row],[spawner_sku]],LEN(Table61011[[#This Row],[spawner_sku]])-FIND("/",Table61011[[#This Row],[spawner_sku]])),Table28[Entity Prefab],0)),24,1,1,"Entities"))</f>
        <v>no</v>
      </c>
      <c r="BW450" s="71">
        <v>1</v>
      </c>
      <c r="BX450" s="71">
        <v>1</v>
      </c>
      <c r="BY450" s="71" t="b">
        <v>0</v>
      </c>
      <c r="BZ450" s="71"/>
      <c r="CL450" t="s">
        <v>2430</v>
      </c>
      <c r="CM450">
        <v>1</v>
      </c>
      <c r="CN450">
        <v>120</v>
      </c>
      <c r="CO450">
        <v>100</v>
      </c>
      <c r="CP450" s="74">
        <f ca="1">INDIRECT(ADDRESS(11+(MATCH(RIGHT(Table11[[#This Row],[spawner_sku]],LEN(Table11[[#This Row],[spawner_sku]])-FIND("/",Table11[[#This Row],[spawner_sku]])),Table1[Entity Prefab],0)),10,1,1,"Entities"))</f>
        <v>50</v>
      </c>
      <c r="CQ450">
        <f ca="1">ROUND((Table11[[#This Row],[XP]]*Table11[[#This Row],[entity_spawned (AVG)]])*(Table11[[#This Row],[activating_chance]]/100),0)</f>
        <v>50</v>
      </c>
      <c r="CR450" s="144" t="str">
        <f ca="1">INDIRECT(ADDRESS(11+(MATCH(RIGHT(Table11[[#This Row],[spawner_sku]],LEN(Table11[[#This Row],[spawner_sku]])-FIND("/",Table11[[#This Row],[spawner_sku]])),Table28[Entity Prefab],0)),25,1,1,"Entities"))</f>
        <v>no</v>
      </c>
      <c r="CS450" s="71">
        <v>1</v>
      </c>
      <c r="CT450" s="71">
        <v>1</v>
      </c>
      <c r="CU450" s="71" t="b">
        <v>0</v>
      </c>
      <c r="DS450" t="s">
        <v>510</v>
      </c>
      <c r="DT450">
        <v>1</v>
      </c>
      <c r="DU450">
        <v>145</v>
      </c>
      <c r="DV450">
        <v>80</v>
      </c>
      <c r="DW450" s="74">
        <f ca="1">INDIRECT(ADDRESS(11+(MATCH(RIGHT(Table14[[#This Row],[spawner_sku]],LEN(Table14[[#This Row],[spawner_sku]])-FIND("/",Table14[[#This Row],[spawner_sku]])),Table1[Entity Prefab],0)),10,1,1,"Entities"))</f>
        <v>90</v>
      </c>
      <c r="DX450" s="74">
        <f ca="1">ROUND((Table14[[#This Row],[XP]]*Table14[[#This Row],[entity_spawned (AVG)]])*(Table14[[#This Row],[activating_chance]]/100),0)</f>
        <v>72</v>
      </c>
      <c r="DY450" s="144" t="str">
        <f ca="1">INDIRECT(ADDRESS(11+(MATCH(RIGHT(Table14[[#This Row],[spawner_sku]],LEN(Table14[[#This Row],[spawner_sku]])-FIND("/",Table14[[#This Row],[spawner_sku]])),Table28[Entity Prefab],0)),25,1,1,"Entities"))</f>
        <v>no</v>
      </c>
      <c r="DZ450" s="71">
        <v>1</v>
      </c>
      <c r="EA450" s="71">
        <v>1</v>
      </c>
      <c r="EB450" s="71" t="b">
        <v>0</v>
      </c>
      <c r="EC450" s="71"/>
    </row>
    <row r="451" spans="2:133" x14ac:dyDescent="0.25">
      <c r="B451" s="72" t="s">
        <v>235</v>
      </c>
      <c r="C451">
        <v>1</v>
      </c>
      <c r="D451">
        <v>280</v>
      </c>
      <c r="E451">
        <v>100</v>
      </c>
      <c r="F451" s="74">
        <f ca="1">INDIRECT(ADDRESS(11+(MATCH(RIGHT(Table245[[#This Row],[spawner_sku]],LEN(Table245[[#This Row],[spawner_sku]])-FIND("/",Table245[[#This Row],[spawner_sku]])),Table1[Entity Prefab],0)),10,1,1,"Entities"))</f>
        <v>75</v>
      </c>
      <c r="G451" s="74">
        <f ca="1">ROUND((Table245[[#This Row],[XP]]*Table245[[#This Row],[entity_spawned (AVG)]])*(Table245[[#This Row],[activating_chance]]/100),0)</f>
        <v>75</v>
      </c>
      <c r="H451" s="71" t="str">
        <f ca="1">INDIRECT(ADDRESS(11+(MATCH(RIGHT(Table245[[#This Row],[spawner_sku]],LEN(Table245[[#This Row],[spawner_sku]])-FIND("/",Table245[[#This Row],[spawner_sku]])),Table28[Entity Prefab],0)),24,1,1,"Entities"))</f>
        <v>yes</v>
      </c>
      <c r="I451" s="71">
        <v>1</v>
      </c>
      <c r="J451" s="71">
        <v>1</v>
      </c>
      <c r="K451" s="71" t="b">
        <v>0</v>
      </c>
      <c r="BP451" t="s">
        <v>487</v>
      </c>
      <c r="BQ451">
        <v>1</v>
      </c>
      <c r="BR451">
        <v>220</v>
      </c>
      <c r="BS451">
        <v>100</v>
      </c>
      <c r="BT451" s="74">
        <f ca="1">INDIRECT(ADDRESS(11+(MATCH(RIGHT(Table61011[[#This Row],[spawner_sku]],LEN(Table61011[[#This Row],[spawner_sku]])-FIND("/",Table61011[[#This Row],[spawner_sku]])),Table1[Entity Prefab],0)),10,1,1,"Entities"))</f>
        <v>0</v>
      </c>
      <c r="BU451" s="74">
        <f ca="1">ROUND((Table61011[[#This Row],[XP]]*Table61011[[#This Row],[entity_spawned (AVG)]])*(Table61011[[#This Row],[activating_chance]]/100),0)</f>
        <v>0</v>
      </c>
      <c r="BV451" s="71" t="str">
        <f ca="1">INDIRECT(ADDRESS(11+(MATCH(RIGHT(Table61011[[#This Row],[spawner_sku]],LEN(Table61011[[#This Row],[spawner_sku]])-FIND("/",Table61011[[#This Row],[spawner_sku]])),Table28[Entity Prefab],0)),24,1,1,"Entities"))</f>
        <v>no</v>
      </c>
      <c r="BW451" s="71">
        <v>1</v>
      </c>
      <c r="BX451" s="71">
        <v>1</v>
      </c>
      <c r="BY451" s="71" t="b">
        <v>0</v>
      </c>
      <c r="BZ451" s="71"/>
      <c r="CL451" t="s">
        <v>2430</v>
      </c>
      <c r="CM451">
        <v>1</v>
      </c>
      <c r="CN451">
        <v>120</v>
      </c>
      <c r="CO451">
        <v>100</v>
      </c>
      <c r="CP451" s="74">
        <f ca="1">INDIRECT(ADDRESS(11+(MATCH(RIGHT(Table11[[#This Row],[spawner_sku]],LEN(Table11[[#This Row],[spawner_sku]])-FIND("/",Table11[[#This Row],[spawner_sku]])),Table1[Entity Prefab],0)),10,1,1,"Entities"))</f>
        <v>50</v>
      </c>
      <c r="CQ451">
        <f ca="1">ROUND((Table11[[#This Row],[XP]]*Table11[[#This Row],[entity_spawned (AVG)]])*(Table11[[#This Row],[activating_chance]]/100),0)</f>
        <v>50</v>
      </c>
      <c r="CR451" s="144" t="str">
        <f ca="1">INDIRECT(ADDRESS(11+(MATCH(RIGHT(Table11[[#This Row],[spawner_sku]],LEN(Table11[[#This Row],[spawner_sku]])-FIND("/",Table11[[#This Row],[spawner_sku]])),Table28[Entity Prefab],0)),25,1,1,"Entities"))</f>
        <v>no</v>
      </c>
      <c r="CS451" s="71">
        <v>1</v>
      </c>
      <c r="CT451" s="71">
        <v>1</v>
      </c>
      <c r="CU451" s="71" t="b">
        <v>0</v>
      </c>
      <c r="DS451" t="s">
        <v>510</v>
      </c>
      <c r="DT451">
        <v>1</v>
      </c>
      <c r="DU451">
        <v>145</v>
      </c>
      <c r="DV451">
        <v>100</v>
      </c>
      <c r="DW451" s="74">
        <f ca="1">INDIRECT(ADDRESS(11+(MATCH(RIGHT(Table14[[#This Row],[spawner_sku]],LEN(Table14[[#This Row],[spawner_sku]])-FIND("/",Table14[[#This Row],[spawner_sku]])),Table1[Entity Prefab],0)),10,1,1,"Entities"))</f>
        <v>90</v>
      </c>
      <c r="DX451" s="74">
        <f ca="1">ROUND((Table14[[#This Row],[XP]]*Table14[[#This Row],[entity_spawned (AVG)]])*(Table14[[#This Row],[activating_chance]]/100),0)</f>
        <v>90</v>
      </c>
      <c r="DY451" s="144" t="str">
        <f ca="1">INDIRECT(ADDRESS(11+(MATCH(RIGHT(Table14[[#This Row],[spawner_sku]],LEN(Table14[[#This Row],[spawner_sku]])-FIND("/",Table14[[#This Row],[spawner_sku]])),Table28[Entity Prefab],0)),25,1,1,"Entities"))</f>
        <v>no</v>
      </c>
      <c r="DZ451" s="71">
        <v>1</v>
      </c>
      <c r="EA451" s="71">
        <v>1</v>
      </c>
      <c r="EB451" s="71" t="b">
        <v>0</v>
      </c>
      <c r="EC451" s="71"/>
    </row>
    <row r="452" spans="2:133" x14ac:dyDescent="0.25">
      <c r="B452" s="72" t="s">
        <v>235</v>
      </c>
      <c r="C452">
        <v>1</v>
      </c>
      <c r="D452">
        <v>260</v>
      </c>
      <c r="E452">
        <v>100</v>
      </c>
      <c r="F452" s="74">
        <f ca="1">INDIRECT(ADDRESS(11+(MATCH(RIGHT(Table245[[#This Row],[spawner_sku]],LEN(Table245[[#This Row],[spawner_sku]])-FIND("/",Table245[[#This Row],[spawner_sku]])),Table1[Entity Prefab],0)),10,1,1,"Entities"))</f>
        <v>75</v>
      </c>
      <c r="G452" s="74">
        <f ca="1">ROUND((Table245[[#This Row],[XP]]*Table245[[#This Row],[entity_spawned (AVG)]])*(Table245[[#This Row],[activating_chance]]/100),0)</f>
        <v>75</v>
      </c>
      <c r="H452" s="71" t="str">
        <f ca="1">INDIRECT(ADDRESS(11+(MATCH(RIGHT(Table245[[#This Row],[spawner_sku]],LEN(Table245[[#This Row],[spawner_sku]])-FIND("/",Table245[[#This Row],[spawner_sku]])),Table28[Entity Prefab],0)),24,1,1,"Entities"))</f>
        <v>yes</v>
      </c>
      <c r="I452" s="71">
        <v>1</v>
      </c>
      <c r="J452" s="71">
        <v>1</v>
      </c>
      <c r="K452" s="71" t="b">
        <v>0</v>
      </c>
      <c r="BP452" t="s">
        <v>485</v>
      </c>
      <c r="BQ452">
        <v>1</v>
      </c>
      <c r="BR452">
        <v>220</v>
      </c>
      <c r="BS452">
        <v>100</v>
      </c>
      <c r="BT452" s="74">
        <f ca="1">INDIRECT(ADDRESS(11+(MATCH(RIGHT(Table61011[[#This Row],[spawner_sku]],LEN(Table61011[[#This Row],[spawner_sku]])-FIND("/",Table61011[[#This Row],[spawner_sku]])),Table1[Entity Prefab],0)),10,1,1,"Entities"))</f>
        <v>0</v>
      </c>
      <c r="BU452" s="74">
        <f ca="1">ROUND((Table61011[[#This Row],[XP]]*Table61011[[#This Row],[entity_spawned (AVG)]])*(Table61011[[#This Row],[activating_chance]]/100),0)</f>
        <v>0</v>
      </c>
      <c r="BV452" s="71" t="str">
        <f ca="1">INDIRECT(ADDRESS(11+(MATCH(RIGHT(Table61011[[#This Row],[spawner_sku]],LEN(Table61011[[#This Row],[spawner_sku]])-FIND("/",Table61011[[#This Row],[spawner_sku]])),Table28[Entity Prefab],0)),24,1,1,"Entities"))</f>
        <v>no</v>
      </c>
      <c r="BW452" s="71">
        <v>1</v>
      </c>
      <c r="BX452" s="71">
        <v>1</v>
      </c>
      <c r="BY452" s="71" t="b">
        <v>0</v>
      </c>
      <c r="BZ452" s="71"/>
      <c r="CL452" t="s">
        <v>2430</v>
      </c>
      <c r="CM452">
        <v>1</v>
      </c>
      <c r="CN452">
        <v>120</v>
      </c>
      <c r="CO452">
        <v>100</v>
      </c>
      <c r="CP452" s="74">
        <f ca="1">INDIRECT(ADDRESS(11+(MATCH(RIGHT(Table11[[#This Row],[spawner_sku]],LEN(Table11[[#This Row],[spawner_sku]])-FIND("/",Table11[[#This Row],[spawner_sku]])),Table1[Entity Prefab],0)),10,1,1,"Entities"))</f>
        <v>50</v>
      </c>
      <c r="CQ452">
        <f ca="1">ROUND((Table11[[#This Row],[XP]]*Table11[[#This Row],[entity_spawned (AVG)]])*(Table11[[#This Row],[activating_chance]]/100),0)</f>
        <v>50</v>
      </c>
      <c r="CR452" s="144" t="str">
        <f ca="1">INDIRECT(ADDRESS(11+(MATCH(RIGHT(Table11[[#This Row],[spawner_sku]],LEN(Table11[[#This Row],[spawner_sku]])-FIND("/",Table11[[#This Row],[spawner_sku]])),Table28[Entity Prefab],0)),25,1,1,"Entities"))</f>
        <v>no</v>
      </c>
      <c r="CS452" s="71">
        <v>1</v>
      </c>
      <c r="CT452" s="71">
        <v>1</v>
      </c>
      <c r="CU452" s="71" t="b">
        <v>0</v>
      </c>
      <c r="DS452" t="s">
        <v>510</v>
      </c>
      <c r="DT452">
        <v>1</v>
      </c>
      <c r="DU452">
        <v>150</v>
      </c>
      <c r="DV452">
        <v>70</v>
      </c>
      <c r="DW452" s="74">
        <f ca="1">INDIRECT(ADDRESS(11+(MATCH(RIGHT(Table14[[#This Row],[spawner_sku]],LEN(Table14[[#This Row],[spawner_sku]])-FIND("/",Table14[[#This Row],[spawner_sku]])),Table1[Entity Prefab],0)),10,1,1,"Entities"))</f>
        <v>90</v>
      </c>
      <c r="DX452" s="74">
        <f ca="1">ROUND((Table14[[#This Row],[XP]]*Table14[[#This Row],[entity_spawned (AVG)]])*(Table14[[#This Row],[activating_chance]]/100),0)</f>
        <v>63</v>
      </c>
      <c r="DY452" s="144" t="str">
        <f ca="1">INDIRECT(ADDRESS(11+(MATCH(RIGHT(Table14[[#This Row],[spawner_sku]],LEN(Table14[[#This Row],[spawner_sku]])-FIND("/",Table14[[#This Row],[spawner_sku]])),Table28[Entity Prefab],0)),25,1,1,"Entities"))</f>
        <v>no</v>
      </c>
      <c r="DZ452" s="71">
        <v>1</v>
      </c>
      <c r="EA452" s="71">
        <v>1</v>
      </c>
      <c r="EB452" s="71" t="b">
        <v>0</v>
      </c>
      <c r="EC452" s="71"/>
    </row>
    <row r="453" spans="2:133" x14ac:dyDescent="0.25">
      <c r="B453" s="72" t="s">
        <v>381</v>
      </c>
      <c r="C453">
        <v>1</v>
      </c>
      <c r="D453">
        <v>300</v>
      </c>
      <c r="E453">
        <v>100</v>
      </c>
      <c r="F453" s="74">
        <f ca="1">INDIRECT(ADDRESS(11+(MATCH(RIGHT(Table245[[#This Row],[spawner_sku]],LEN(Table245[[#This Row],[spawner_sku]])-FIND("/",Table245[[#This Row],[spawner_sku]])),Table1[Entity Prefab],0)),10,1,1,"Entities"))</f>
        <v>75</v>
      </c>
      <c r="G453" s="74">
        <f ca="1">ROUND((Table245[[#This Row],[XP]]*Table245[[#This Row],[entity_spawned (AVG)]])*(Table245[[#This Row],[activating_chance]]/100),0)</f>
        <v>75</v>
      </c>
      <c r="H453" s="71" t="str">
        <f ca="1">INDIRECT(ADDRESS(11+(MATCH(RIGHT(Table245[[#This Row],[spawner_sku]],LEN(Table245[[#This Row],[spawner_sku]])-FIND("/",Table245[[#This Row],[spawner_sku]])),Table28[Entity Prefab],0)),24,1,1,"Entities"))</f>
        <v>yes</v>
      </c>
      <c r="I453" s="71">
        <v>1</v>
      </c>
      <c r="J453" s="71">
        <v>1</v>
      </c>
      <c r="K453" s="71" t="b">
        <v>0</v>
      </c>
      <c r="BZ453" s="71"/>
      <c r="CL453" t="s">
        <v>2430</v>
      </c>
      <c r="CM453">
        <v>1</v>
      </c>
      <c r="CN453">
        <v>120</v>
      </c>
      <c r="CO453">
        <v>100</v>
      </c>
      <c r="CP453" s="74">
        <f ca="1">INDIRECT(ADDRESS(11+(MATCH(RIGHT(Table11[[#This Row],[spawner_sku]],LEN(Table11[[#This Row],[spawner_sku]])-FIND("/",Table11[[#This Row],[spawner_sku]])),Table1[Entity Prefab],0)),10,1,1,"Entities"))</f>
        <v>50</v>
      </c>
      <c r="CQ453">
        <f ca="1">ROUND((Table11[[#This Row],[XP]]*Table11[[#This Row],[entity_spawned (AVG)]])*(Table11[[#This Row],[activating_chance]]/100),0)</f>
        <v>50</v>
      </c>
      <c r="CR453" s="144" t="str">
        <f ca="1">INDIRECT(ADDRESS(11+(MATCH(RIGHT(Table11[[#This Row],[spawner_sku]],LEN(Table11[[#This Row],[spawner_sku]])-FIND("/",Table11[[#This Row],[spawner_sku]])),Table28[Entity Prefab],0)),25,1,1,"Entities"))</f>
        <v>no</v>
      </c>
      <c r="CS453" s="71">
        <v>1</v>
      </c>
      <c r="CT453" s="71">
        <v>1</v>
      </c>
      <c r="CU453" s="71" t="b">
        <v>0</v>
      </c>
      <c r="DS453" t="s">
        <v>510</v>
      </c>
      <c r="DT453">
        <v>1</v>
      </c>
      <c r="DU453">
        <v>140</v>
      </c>
      <c r="DV453">
        <v>100</v>
      </c>
      <c r="DW453" s="74">
        <f ca="1">INDIRECT(ADDRESS(11+(MATCH(RIGHT(Table14[[#This Row],[spawner_sku]],LEN(Table14[[#This Row],[spawner_sku]])-FIND("/",Table14[[#This Row],[spawner_sku]])),Table1[Entity Prefab],0)),10,1,1,"Entities"))</f>
        <v>90</v>
      </c>
      <c r="DX453" s="74">
        <f ca="1">ROUND((Table14[[#This Row],[XP]]*Table14[[#This Row],[entity_spawned (AVG)]])*(Table14[[#This Row],[activating_chance]]/100),0)</f>
        <v>90</v>
      </c>
      <c r="DY453" s="144" t="str">
        <f ca="1">INDIRECT(ADDRESS(11+(MATCH(RIGHT(Table14[[#This Row],[spawner_sku]],LEN(Table14[[#This Row],[spawner_sku]])-FIND("/",Table14[[#This Row],[spawner_sku]])),Table28[Entity Prefab],0)),25,1,1,"Entities"))</f>
        <v>no</v>
      </c>
      <c r="DZ453" s="71">
        <v>1</v>
      </c>
      <c r="EA453" s="71">
        <v>1</v>
      </c>
      <c r="EB453" s="71" t="b">
        <v>0</v>
      </c>
      <c r="EC453" s="71"/>
    </row>
    <row r="454" spans="2:133" x14ac:dyDescent="0.25">
      <c r="B454" s="72" t="s">
        <v>381</v>
      </c>
      <c r="C454">
        <v>1</v>
      </c>
      <c r="D454">
        <v>300</v>
      </c>
      <c r="E454">
        <v>100</v>
      </c>
      <c r="F454" s="74">
        <f ca="1">INDIRECT(ADDRESS(11+(MATCH(RIGHT(Table245[[#This Row],[spawner_sku]],LEN(Table245[[#This Row],[spawner_sku]])-FIND("/",Table245[[#This Row],[spawner_sku]])),Table1[Entity Prefab],0)),10,1,1,"Entities"))</f>
        <v>75</v>
      </c>
      <c r="G454" s="74">
        <f ca="1">ROUND((Table245[[#This Row],[XP]]*Table245[[#This Row],[entity_spawned (AVG)]])*(Table245[[#This Row],[activating_chance]]/100),0)</f>
        <v>75</v>
      </c>
      <c r="H454" s="71" t="str">
        <f ca="1">INDIRECT(ADDRESS(11+(MATCH(RIGHT(Table245[[#This Row],[spawner_sku]],LEN(Table245[[#This Row],[spawner_sku]])-FIND("/",Table245[[#This Row],[spawner_sku]])),Table28[Entity Prefab],0)),24,1,1,"Entities"))</f>
        <v>yes</v>
      </c>
      <c r="I454" s="71">
        <v>1</v>
      </c>
      <c r="J454" s="71">
        <v>1</v>
      </c>
      <c r="K454" s="71" t="b">
        <v>0</v>
      </c>
      <c r="BZ454" s="71"/>
      <c r="CL454" t="s">
        <v>2430</v>
      </c>
      <c r="CM454">
        <v>1</v>
      </c>
      <c r="CN454">
        <v>120</v>
      </c>
      <c r="CO454">
        <v>70</v>
      </c>
      <c r="CP454" s="74">
        <f ca="1">INDIRECT(ADDRESS(11+(MATCH(RIGHT(Table11[[#This Row],[spawner_sku]],LEN(Table11[[#This Row],[spawner_sku]])-FIND("/",Table11[[#This Row],[spawner_sku]])),Table1[Entity Prefab],0)),10,1,1,"Entities"))</f>
        <v>50</v>
      </c>
      <c r="CQ454">
        <f ca="1">ROUND((Table11[[#This Row],[XP]]*Table11[[#This Row],[entity_spawned (AVG)]])*(Table11[[#This Row],[activating_chance]]/100),0)</f>
        <v>35</v>
      </c>
      <c r="CR454" s="144" t="str">
        <f ca="1">INDIRECT(ADDRESS(11+(MATCH(RIGHT(Table11[[#This Row],[spawner_sku]],LEN(Table11[[#This Row],[spawner_sku]])-FIND("/",Table11[[#This Row],[spawner_sku]])),Table28[Entity Prefab],0)),25,1,1,"Entities"))</f>
        <v>no</v>
      </c>
      <c r="CS454" s="71">
        <v>1</v>
      </c>
      <c r="CT454" s="71">
        <v>1</v>
      </c>
      <c r="CU454" s="71" t="b">
        <v>0</v>
      </c>
      <c r="DS454" t="s">
        <v>510</v>
      </c>
      <c r="DT454">
        <v>1</v>
      </c>
      <c r="DU454">
        <v>120</v>
      </c>
      <c r="DV454">
        <v>100</v>
      </c>
      <c r="DW454" s="74">
        <f ca="1">INDIRECT(ADDRESS(11+(MATCH(RIGHT(Table14[[#This Row],[spawner_sku]],LEN(Table14[[#This Row],[spawner_sku]])-FIND("/",Table14[[#This Row],[spawner_sku]])),Table1[Entity Prefab],0)),10,1,1,"Entities"))</f>
        <v>90</v>
      </c>
      <c r="DX454" s="74">
        <f ca="1">ROUND((Table14[[#This Row],[XP]]*Table14[[#This Row],[entity_spawned (AVG)]])*(Table14[[#This Row],[activating_chance]]/100),0)</f>
        <v>90</v>
      </c>
      <c r="DY454" s="144" t="str">
        <f ca="1">INDIRECT(ADDRESS(11+(MATCH(RIGHT(Table14[[#This Row],[spawner_sku]],LEN(Table14[[#This Row],[spawner_sku]])-FIND("/",Table14[[#This Row],[spawner_sku]])),Table28[Entity Prefab],0)),25,1,1,"Entities"))</f>
        <v>no</v>
      </c>
      <c r="DZ454" s="71">
        <v>1</v>
      </c>
      <c r="EA454" s="71">
        <v>1</v>
      </c>
      <c r="EB454" s="71" t="b">
        <v>0</v>
      </c>
      <c r="EC454" s="71"/>
    </row>
    <row r="455" spans="2:133" x14ac:dyDescent="0.25">
      <c r="B455" s="72" t="s">
        <v>381</v>
      </c>
      <c r="C455">
        <v>1</v>
      </c>
      <c r="D455">
        <v>300</v>
      </c>
      <c r="E455">
        <v>100</v>
      </c>
      <c r="F455" s="74">
        <f ca="1">INDIRECT(ADDRESS(11+(MATCH(RIGHT(Table245[[#This Row],[spawner_sku]],LEN(Table245[[#This Row],[spawner_sku]])-FIND("/",Table245[[#This Row],[spawner_sku]])),Table1[Entity Prefab],0)),10,1,1,"Entities"))</f>
        <v>75</v>
      </c>
      <c r="G455" s="74">
        <f ca="1">ROUND((Table245[[#This Row],[XP]]*Table245[[#This Row],[entity_spawned (AVG)]])*(Table245[[#This Row],[activating_chance]]/100),0)</f>
        <v>75</v>
      </c>
      <c r="H455" s="71" t="str">
        <f ca="1">INDIRECT(ADDRESS(11+(MATCH(RIGHT(Table245[[#This Row],[spawner_sku]],LEN(Table245[[#This Row],[spawner_sku]])-FIND("/",Table245[[#This Row],[spawner_sku]])),Table28[Entity Prefab],0)),24,1,1,"Entities"))</f>
        <v>yes</v>
      </c>
      <c r="I455" s="71">
        <v>1</v>
      </c>
      <c r="J455" s="71">
        <v>1</v>
      </c>
      <c r="K455" s="71" t="b">
        <v>0</v>
      </c>
      <c r="BZ455" s="71"/>
      <c r="CL455" t="s">
        <v>2430</v>
      </c>
      <c r="CM455">
        <v>1</v>
      </c>
      <c r="CN455">
        <v>120</v>
      </c>
      <c r="CO455">
        <v>100</v>
      </c>
      <c r="CP455" s="74">
        <f ca="1">INDIRECT(ADDRESS(11+(MATCH(RIGHT(Table11[[#This Row],[spawner_sku]],LEN(Table11[[#This Row],[spawner_sku]])-FIND("/",Table11[[#This Row],[spawner_sku]])),Table1[Entity Prefab],0)),10,1,1,"Entities"))</f>
        <v>50</v>
      </c>
      <c r="CQ455">
        <f ca="1">ROUND((Table11[[#This Row],[XP]]*Table11[[#This Row],[entity_spawned (AVG)]])*(Table11[[#This Row],[activating_chance]]/100),0)</f>
        <v>50</v>
      </c>
      <c r="CR455" s="144" t="str">
        <f ca="1">INDIRECT(ADDRESS(11+(MATCH(RIGHT(Table11[[#This Row],[spawner_sku]],LEN(Table11[[#This Row],[spawner_sku]])-FIND("/",Table11[[#This Row],[spawner_sku]])),Table28[Entity Prefab],0)),25,1,1,"Entities"))</f>
        <v>no</v>
      </c>
      <c r="CS455" s="71">
        <v>1</v>
      </c>
      <c r="CT455" s="71">
        <v>1</v>
      </c>
      <c r="CU455" s="71" t="b">
        <v>0</v>
      </c>
      <c r="DS455" t="s">
        <v>510</v>
      </c>
      <c r="DT455">
        <v>1</v>
      </c>
      <c r="DU455">
        <v>150</v>
      </c>
      <c r="DV455">
        <v>100</v>
      </c>
      <c r="DW455" s="74">
        <f ca="1">INDIRECT(ADDRESS(11+(MATCH(RIGHT(Table14[[#This Row],[spawner_sku]],LEN(Table14[[#This Row],[spawner_sku]])-FIND("/",Table14[[#This Row],[spawner_sku]])),Table1[Entity Prefab],0)),10,1,1,"Entities"))</f>
        <v>90</v>
      </c>
      <c r="DX455" s="74">
        <f ca="1">ROUND((Table14[[#This Row],[XP]]*Table14[[#This Row],[entity_spawned (AVG)]])*(Table14[[#This Row],[activating_chance]]/100),0)</f>
        <v>90</v>
      </c>
      <c r="DY455" s="144" t="str">
        <f ca="1">INDIRECT(ADDRESS(11+(MATCH(RIGHT(Table14[[#This Row],[spawner_sku]],LEN(Table14[[#This Row],[spawner_sku]])-FIND("/",Table14[[#This Row],[spawner_sku]])),Table28[Entity Prefab],0)),25,1,1,"Entities"))</f>
        <v>no</v>
      </c>
      <c r="DZ455" s="71">
        <v>1</v>
      </c>
      <c r="EA455" s="71">
        <v>1</v>
      </c>
      <c r="EB455" s="71" t="b">
        <v>0</v>
      </c>
      <c r="EC455" s="71"/>
    </row>
    <row r="456" spans="2:133" x14ac:dyDescent="0.25">
      <c r="B456" s="72" t="s">
        <v>381</v>
      </c>
      <c r="C456">
        <v>1</v>
      </c>
      <c r="D456">
        <v>300</v>
      </c>
      <c r="E456">
        <v>100</v>
      </c>
      <c r="F456" s="74">
        <f ca="1">INDIRECT(ADDRESS(11+(MATCH(RIGHT(Table245[[#This Row],[spawner_sku]],LEN(Table245[[#This Row],[spawner_sku]])-FIND("/",Table245[[#This Row],[spawner_sku]])),Table1[Entity Prefab],0)),10,1,1,"Entities"))</f>
        <v>75</v>
      </c>
      <c r="G456" s="74">
        <f ca="1">ROUND((Table245[[#This Row],[XP]]*Table245[[#This Row],[entity_spawned (AVG)]])*(Table245[[#This Row],[activating_chance]]/100),0)</f>
        <v>75</v>
      </c>
      <c r="H456" s="71" t="str">
        <f ca="1">INDIRECT(ADDRESS(11+(MATCH(RIGHT(Table245[[#This Row],[spawner_sku]],LEN(Table245[[#This Row],[spawner_sku]])-FIND("/",Table245[[#This Row],[spawner_sku]])),Table28[Entity Prefab],0)),24,1,1,"Entities"))</f>
        <v>yes</v>
      </c>
      <c r="I456" s="71">
        <v>1</v>
      </c>
      <c r="J456" s="71">
        <v>1</v>
      </c>
      <c r="K456" s="71" t="b">
        <v>0</v>
      </c>
      <c r="BZ456" s="71"/>
      <c r="CL456" t="s">
        <v>2430</v>
      </c>
      <c r="CM456">
        <v>1</v>
      </c>
      <c r="CN456">
        <v>120</v>
      </c>
      <c r="CO456">
        <v>100</v>
      </c>
      <c r="CP456" s="74">
        <f ca="1">INDIRECT(ADDRESS(11+(MATCH(RIGHT(Table11[[#This Row],[spawner_sku]],LEN(Table11[[#This Row],[spawner_sku]])-FIND("/",Table11[[#This Row],[spawner_sku]])),Table1[Entity Prefab],0)),10,1,1,"Entities"))</f>
        <v>50</v>
      </c>
      <c r="CQ456">
        <f ca="1">ROUND((Table11[[#This Row],[XP]]*Table11[[#This Row],[entity_spawned (AVG)]])*(Table11[[#This Row],[activating_chance]]/100),0)</f>
        <v>50</v>
      </c>
      <c r="CR456" s="144" t="str">
        <f ca="1">INDIRECT(ADDRESS(11+(MATCH(RIGHT(Table11[[#This Row],[spawner_sku]],LEN(Table11[[#This Row],[spawner_sku]])-FIND("/",Table11[[#This Row],[spawner_sku]])),Table28[Entity Prefab],0)),25,1,1,"Entities"))</f>
        <v>no</v>
      </c>
      <c r="CS456" s="71">
        <v>1</v>
      </c>
      <c r="CT456" s="71">
        <v>1</v>
      </c>
      <c r="CU456" s="71" t="b">
        <v>0</v>
      </c>
      <c r="DS456" t="s">
        <v>432</v>
      </c>
      <c r="DT456">
        <v>1</v>
      </c>
      <c r="DU456">
        <v>140</v>
      </c>
      <c r="DV456">
        <v>100</v>
      </c>
      <c r="DW456" s="74">
        <f ca="1">INDIRECT(ADDRESS(11+(MATCH(RIGHT(Table14[[#This Row],[spawner_sku]],LEN(Table14[[#This Row],[spawner_sku]])-FIND("/",Table14[[#This Row],[spawner_sku]])),Table1[Entity Prefab],0)),10,1,1,"Entities"))</f>
        <v>75</v>
      </c>
      <c r="DX456" s="74">
        <f ca="1">ROUND((Table14[[#This Row],[XP]]*Table14[[#This Row],[entity_spawned (AVG)]])*(Table14[[#This Row],[activating_chance]]/100),0)</f>
        <v>75</v>
      </c>
      <c r="DY456" s="144" t="str">
        <f ca="1">INDIRECT(ADDRESS(11+(MATCH(RIGHT(Table14[[#This Row],[spawner_sku]],LEN(Table14[[#This Row],[spawner_sku]])-FIND("/",Table14[[#This Row],[spawner_sku]])),Table28[Entity Prefab],0)),25,1,1,"Entities"))</f>
        <v>no</v>
      </c>
      <c r="DZ456" s="71">
        <v>1</v>
      </c>
      <c r="EA456" s="71">
        <v>1</v>
      </c>
      <c r="EB456" s="71" t="b">
        <v>0</v>
      </c>
      <c r="EC456" s="71"/>
    </row>
    <row r="457" spans="2:133" x14ac:dyDescent="0.25">
      <c r="B457" s="72" t="s">
        <v>424</v>
      </c>
      <c r="C457">
        <v>1</v>
      </c>
      <c r="D457">
        <v>280</v>
      </c>
      <c r="E457">
        <v>50</v>
      </c>
      <c r="F457" s="74">
        <f ca="1">INDIRECT(ADDRESS(11+(MATCH(RIGHT(Table245[[#This Row],[spawner_sku]],LEN(Table245[[#This Row],[spawner_sku]])-FIND("/",Table245[[#This Row],[spawner_sku]])),Table1[Entity Prefab],0)),10,1,1,"Entities"))</f>
        <v>55</v>
      </c>
      <c r="G457" s="74">
        <f ca="1">ROUND((Table245[[#This Row],[XP]]*Table245[[#This Row],[entity_spawned (AVG)]])*(Table245[[#This Row],[activating_chance]]/100),0)</f>
        <v>28</v>
      </c>
      <c r="H457" s="71" t="str">
        <f ca="1">INDIRECT(ADDRESS(11+(MATCH(RIGHT(Table245[[#This Row],[spawner_sku]],LEN(Table245[[#This Row],[spawner_sku]])-FIND("/",Table245[[#This Row],[spawner_sku]])),Table28[Entity Prefab],0)),24,1,1,"Entities"))</f>
        <v>yes</v>
      </c>
      <c r="I457" s="71">
        <v>1</v>
      </c>
      <c r="J457" s="71">
        <v>1</v>
      </c>
      <c r="K457" s="71" t="b">
        <v>0</v>
      </c>
      <c r="BZ457" s="71"/>
      <c r="CL457" t="s">
        <v>496</v>
      </c>
      <c r="CM457">
        <v>1</v>
      </c>
      <c r="CN457">
        <v>260</v>
      </c>
      <c r="CO457">
        <v>100</v>
      </c>
      <c r="CP457" s="74">
        <f ca="1">INDIRECT(ADDRESS(11+(MATCH(RIGHT(Table11[[#This Row],[spawner_sku]],LEN(Table11[[#This Row],[spawner_sku]])-FIND("/",Table11[[#This Row],[spawner_sku]])),Table1[Entity Prefab],0)),10,1,1,"Entities"))</f>
        <v>50</v>
      </c>
      <c r="CQ457">
        <f ca="1">ROUND((Table11[[#This Row],[XP]]*Table11[[#This Row],[entity_spawned (AVG)]])*(Table11[[#This Row],[activating_chance]]/100),0)</f>
        <v>50</v>
      </c>
      <c r="CR457" s="144" t="str">
        <f ca="1">INDIRECT(ADDRESS(11+(MATCH(RIGHT(Table11[[#This Row],[spawner_sku]],LEN(Table11[[#This Row],[spawner_sku]])-FIND("/",Table11[[#This Row],[spawner_sku]])),Table28[Entity Prefab],0)),25,1,1,"Entities"))</f>
        <v>no</v>
      </c>
      <c r="CS457" s="71">
        <v>1</v>
      </c>
      <c r="CT457" s="71">
        <v>1</v>
      </c>
      <c r="CU457" s="71" t="b">
        <v>0</v>
      </c>
      <c r="DS457" t="s">
        <v>432</v>
      </c>
      <c r="DT457">
        <v>1</v>
      </c>
      <c r="DU457">
        <v>100</v>
      </c>
      <c r="DV457">
        <v>100</v>
      </c>
      <c r="DW457" s="74">
        <f ca="1">INDIRECT(ADDRESS(11+(MATCH(RIGHT(Table14[[#This Row],[spawner_sku]],LEN(Table14[[#This Row],[spawner_sku]])-FIND("/",Table14[[#This Row],[spawner_sku]])),Table1[Entity Prefab],0)),10,1,1,"Entities"))</f>
        <v>75</v>
      </c>
      <c r="DX457" s="74">
        <f ca="1">ROUND((Table14[[#This Row],[XP]]*Table14[[#This Row],[entity_spawned (AVG)]])*(Table14[[#This Row],[activating_chance]]/100),0)</f>
        <v>75</v>
      </c>
      <c r="DY457" s="144" t="str">
        <f ca="1">INDIRECT(ADDRESS(11+(MATCH(RIGHT(Table14[[#This Row],[spawner_sku]],LEN(Table14[[#This Row],[spawner_sku]])-FIND("/",Table14[[#This Row],[spawner_sku]])),Table28[Entity Prefab],0)),25,1,1,"Entities"))</f>
        <v>no</v>
      </c>
      <c r="DZ457" s="71">
        <v>1</v>
      </c>
      <c r="EA457" s="71">
        <v>1</v>
      </c>
      <c r="EB457" s="71" t="b">
        <v>0</v>
      </c>
      <c r="EC457" s="71"/>
    </row>
    <row r="458" spans="2:133" x14ac:dyDescent="0.25">
      <c r="B458" s="72" t="s">
        <v>424</v>
      </c>
      <c r="C458">
        <v>1</v>
      </c>
      <c r="D458">
        <v>320</v>
      </c>
      <c r="E458">
        <v>100</v>
      </c>
      <c r="F458" s="74">
        <f ca="1">INDIRECT(ADDRESS(11+(MATCH(RIGHT(Table245[[#This Row],[spawner_sku]],LEN(Table245[[#This Row],[spawner_sku]])-FIND("/",Table245[[#This Row],[spawner_sku]])),Table1[Entity Prefab],0)),10,1,1,"Entities"))</f>
        <v>55</v>
      </c>
      <c r="G458" s="74">
        <f ca="1">ROUND((Table245[[#This Row],[XP]]*Table245[[#This Row],[entity_spawned (AVG)]])*(Table245[[#This Row],[activating_chance]]/100),0)</f>
        <v>55</v>
      </c>
      <c r="H458" s="71" t="str">
        <f ca="1">INDIRECT(ADDRESS(11+(MATCH(RIGHT(Table245[[#This Row],[spawner_sku]],LEN(Table245[[#This Row],[spawner_sku]])-FIND("/",Table245[[#This Row],[spawner_sku]])),Table28[Entity Prefab],0)),24,1,1,"Entities"))</f>
        <v>yes</v>
      </c>
      <c r="I458" s="71">
        <v>1</v>
      </c>
      <c r="J458" s="71">
        <v>1</v>
      </c>
      <c r="K458" s="71" t="b">
        <v>0</v>
      </c>
      <c r="BZ458" s="71"/>
      <c r="CL458" t="s">
        <v>496</v>
      </c>
      <c r="CM458">
        <v>1</v>
      </c>
      <c r="CN458">
        <v>260</v>
      </c>
      <c r="CO458">
        <v>100</v>
      </c>
      <c r="CP458" s="74">
        <f ca="1">INDIRECT(ADDRESS(11+(MATCH(RIGHT(Table11[[#This Row],[spawner_sku]],LEN(Table11[[#This Row],[spawner_sku]])-FIND("/",Table11[[#This Row],[spawner_sku]])),Table1[Entity Prefab],0)),10,1,1,"Entities"))</f>
        <v>50</v>
      </c>
      <c r="CQ458">
        <f ca="1">ROUND((Table11[[#This Row],[XP]]*Table11[[#This Row],[entity_spawned (AVG)]])*(Table11[[#This Row],[activating_chance]]/100),0)</f>
        <v>50</v>
      </c>
      <c r="CR458" s="144" t="str">
        <f ca="1">INDIRECT(ADDRESS(11+(MATCH(RIGHT(Table11[[#This Row],[spawner_sku]],LEN(Table11[[#This Row],[spawner_sku]])-FIND("/",Table11[[#This Row],[spawner_sku]])),Table28[Entity Prefab],0)),25,1,1,"Entities"))</f>
        <v>no</v>
      </c>
      <c r="CS458" s="71">
        <v>1</v>
      </c>
      <c r="CT458" s="71">
        <v>1</v>
      </c>
      <c r="CU458" s="71" t="b">
        <v>0</v>
      </c>
      <c r="DS458" t="s">
        <v>432</v>
      </c>
      <c r="DT458">
        <v>1</v>
      </c>
      <c r="DU458">
        <v>120</v>
      </c>
      <c r="DV458">
        <v>100</v>
      </c>
      <c r="DW458" s="74">
        <f ca="1">INDIRECT(ADDRESS(11+(MATCH(RIGHT(Table14[[#This Row],[spawner_sku]],LEN(Table14[[#This Row],[spawner_sku]])-FIND("/",Table14[[#This Row],[spawner_sku]])),Table1[Entity Prefab],0)),10,1,1,"Entities"))</f>
        <v>75</v>
      </c>
      <c r="DX458" s="74">
        <f ca="1">ROUND((Table14[[#This Row],[XP]]*Table14[[#This Row],[entity_spawned (AVG)]])*(Table14[[#This Row],[activating_chance]]/100),0)</f>
        <v>75</v>
      </c>
      <c r="DY458" s="144" t="str">
        <f ca="1">INDIRECT(ADDRESS(11+(MATCH(RIGHT(Table14[[#This Row],[spawner_sku]],LEN(Table14[[#This Row],[spawner_sku]])-FIND("/",Table14[[#This Row],[spawner_sku]])),Table28[Entity Prefab],0)),25,1,1,"Entities"))</f>
        <v>no</v>
      </c>
      <c r="DZ458" s="71">
        <v>1</v>
      </c>
      <c r="EA458" s="71">
        <v>1</v>
      </c>
      <c r="EB458" s="71" t="b">
        <v>0</v>
      </c>
      <c r="EC458" s="71"/>
    </row>
    <row r="459" spans="2:133" x14ac:dyDescent="0.25">
      <c r="B459" s="72" t="s">
        <v>424</v>
      </c>
      <c r="C459">
        <v>1</v>
      </c>
      <c r="D459">
        <v>300</v>
      </c>
      <c r="E459">
        <v>100</v>
      </c>
      <c r="F459" s="74">
        <f ca="1">INDIRECT(ADDRESS(11+(MATCH(RIGHT(Table245[[#This Row],[spawner_sku]],LEN(Table245[[#This Row],[spawner_sku]])-FIND("/",Table245[[#This Row],[spawner_sku]])),Table1[Entity Prefab],0)),10,1,1,"Entities"))</f>
        <v>55</v>
      </c>
      <c r="G459" s="74">
        <f ca="1">ROUND((Table245[[#This Row],[XP]]*Table245[[#This Row],[entity_spawned (AVG)]])*(Table245[[#This Row],[activating_chance]]/100),0)</f>
        <v>55</v>
      </c>
      <c r="H459" s="71" t="str">
        <f ca="1">INDIRECT(ADDRESS(11+(MATCH(RIGHT(Table245[[#This Row],[spawner_sku]],LEN(Table245[[#This Row],[spawner_sku]])-FIND("/",Table245[[#This Row],[spawner_sku]])),Table28[Entity Prefab],0)),24,1,1,"Entities"))</f>
        <v>yes</v>
      </c>
      <c r="I459" s="71">
        <v>1</v>
      </c>
      <c r="J459" s="71">
        <v>1</v>
      </c>
      <c r="K459" s="71" t="b">
        <v>0</v>
      </c>
      <c r="BZ459" s="71"/>
      <c r="CL459" t="s">
        <v>496</v>
      </c>
      <c r="CM459">
        <v>1</v>
      </c>
      <c r="CN459">
        <v>260</v>
      </c>
      <c r="CO459">
        <v>100</v>
      </c>
      <c r="CP459" s="74">
        <f ca="1">INDIRECT(ADDRESS(11+(MATCH(RIGHT(Table11[[#This Row],[spawner_sku]],LEN(Table11[[#This Row],[spawner_sku]])-FIND("/",Table11[[#This Row],[spawner_sku]])),Table1[Entity Prefab],0)),10,1,1,"Entities"))</f>
        <v>50</v>
      </c>
      <c r="CQ459">
        <f ca="1">ROUND((Table11[[#This Row],[XP]]*Table11[[#This Row],[entity_spawned (AVG)]])*(Table11[[#This Row],[activating_chance]]/100),0)</f>
        <v>50</v>
      </c>
      <c r="CR459" s="144" t="str">
        <f ca="1">INDIRECT(ADDRESS(11+(MATCH(RIGHT(Table11[[#This Row],[spawner_sku]],LEN(Table11[[#This Row],[spawner_sku]])-FIND("/",Table11[[#This Row],[spawner_sku]])),Table28[Entity Prefab],0)),25,1,1,"Entities"))</f>
        <v>no</v>
      </c>
      <c r="CS459" s="71">
        <v>1</v>
      </c>
      <c r="CT459" s="71">
        <v>1</v>
      </c>
      <c r="CU459" s="71" t="b">
        <v>0</v>
      </c>
      <c r="DS459" t="s">
        <v>432</v>
      </c>
      <c r="DT459">
        <v>1</v>
      </c>
      <c r="DU459">
        <v>150</v>
      </c>
      <c r="DV459">
        <v>100</v>
      </c>
      <c r="DW459" s="74">
        <f ca="1">INDIRECT(ADDRESS(11+(MATCH(RIGHT(Table14[[#This Row],[spawner_sku]],LEN(Table14[[#This Row],[spawner_sku]])-FIND("/",Table14[[#This Row],[spawner_sku]])),Table1[Entity Prefab],0)),10,1,1,"Entities"))</f>
        <v>75</v>
      </c>
      <c r="DX459" s="74">
        <f ca="1">ROUND((Table14[[#This Row],[XP]]*Table14[[#This Row],[entity_spawned (AVG)]])*(Table14[[#This Row],[activating_chance]]/100),0)</f>
        <v>75</v>
      </c>
      <c r="DY459" s="144" t="str">
        <f ca="1">INDIRECT(ADDRESS(11+(MATCH(RIGHT(Table14[[#This Row],[spawner_sku]],LEN(Table14[[#This Row],[spawner_sku]])-FIND("/",Table14[[#This Row],[spawner_sku]])),Table28[Entity Prefab],0)),25,1,1,"Entities"))</f>
        <v>no</v>
      </c>
      <c r="DZ459" s="71">
        <v>1</v>
      </c>
      <c r="EA459" s="71">
        <v>1</v>
      </c>
      <c r="EB459" s="71" t="b">
        <v>0</v>
      </c>
      <c r="EC459" s="71"/>
    </row>
    <row r="460" spans="2:133" x14ac:dyDescent="0.25">
      <c r="B460" s="72" t="s">
        <v>424</v>
      </c>
      <c r="C460">
        <v>1</v>
      </c>
      <c r="D460">
        <v>280</v>
      </c>
      <c r="E460">
        <v>100</v>
      </c>
      <c r="F460" s="74">
        <f ca="1">INDIRECT(ADDRESS(11+(MATCH(RIGHT(Table245[[#This Row],[spawner_sku]],LEN(Table245[[#This Row],[spawner_sku]])-FIND("/",Table245[[#This Row],[spawner_sku]])),Table1[Entity Prefab],0)),10,1,1,"Entities"))</f>
        <v>55</v>
      </c>
      <c r="G460" s="74">
        <f ca="1">ROUND((Table245[[#This Row],[XP]]*Table245[[#This Row],[entity_spawned (AVG)]])*(Table245[[#This Row],[activating_chance]]/100),0)</f>
        <v>55</v>
      </c>
      <c r="H460" s="71" t="str">
        <f ca="1">INDIRECT(ADDRESS(11+(MATCH(RIGHT(Table245[[#This Row],[spawner_sku]],LEN(Table245[[#This Row],[spawner_sku]])-FIND("/",Table245[[#This Row],[spawner_sku]])),Table28[Entity Prefab],0)),24,1,1,"Entities"))</f>
        <v>yes</v>
      </c>
      <c r="I460" s="71">
        <v>1</v>
      </c>
      <c r="J460" s="71">
        <v>1</v>
      </c>
      <c r="K460" s="71" t="b">
        <v>0</v>
      </c>
      <c r="BZ460" s="71"/>
      <c r="CL460" t="s">
        <v>496</v>
      </c>
      <c r="CM460">
        <v>1</v>
      </c>
      <c r="CN460">
        <v>260</v>
      </c>
      <c r="CO460">
        <v>100</v>
      </c>
      <c r="CP460" s="74">
        <f ca="1">INDIRECT(ADDRESS(11+(MATCH(RIGHT(Table11[[#This Row],[spawner_sku]],LEN(Table11[[#This Row],[spawner_sku]])-FIND("/",Table11[[#This Row],[spawner_sku]])),Table1[Entity Prefab],0)),10,1,1,"Entities"))</f>
        <v>50</v>
      </c>
      <c r="CQ460">
        <f ca="1">ROUND((Table11[[#This Row],[XP]]*Table11[[#This Row],[entity_spawned (AVG)]])*(Table11[[#This Row],[activating_chance]]/100),0)</f>
        <v>50</v>
      </c>
      <c r="CR460" s="144" t="str">
        <f ca="1">INDIRECT(ADDRESS(11+(MATCH(RIGHT(Table11[[#This Row],[spawner_sku]],LEN(Table11[[#This Row],[spawner_sku]])-FIND("/",Table11[[#This Row],[spawner_sku]])),Table28[Entity Prefab],0)),25,1,1,"Entities"))</f>
        <v>no</v>
      </c>
      <c r="CS460" s="71">
        <v>1</v>
      </c>
      <c r="CT460" s="71">
        <v>1</v>
      </c>
      <c r="CU460" s="71" t="b">
        <v>0</v>
      </c>
      <c r="DS460" t="s">
        <v>432</v>
      </c>
      <c r="DT460">
        <v>1</v>
      </c>
      <c r="DU460">
        <v>150</v>
      </c>
      <c r="DV460">
        <v>100</v>
      </c>
      <c r="DW460" s="74">
        <f ca="1">INDIRECT(ADDRESS(11+(MATCH(RIGHT(Table14[[#This Row],[spawner_sku]],LEN(Table14[[#This Row],[spawner_sku]])-FIND("/",Table14[[#This Row],[spawner_sku]])),Table1[Entity Prefab],0)),10,1,1,"Entities"))</f>
        <v>75</v>
      </c>
      <c r="DX460" s="74">
        <f ca="1">ROUND((Table14[[#This Row],[XP]]*Table14[[#This Row],[entity_spawned (AVG)]])*(Table14[[#This Row],[activating_chance]]/100),0)</f>
        <v>75</v>
      </c>
      <c r="DY460" s="144" t="str">
        <f ca="1">INDIRECT(ADDRESS(11+(MATCH(RIGHT(Table14[[#This Row],[spawner_sku]],LEN(Table14[[#This Row],[spawner_sku]])-FIND("/",Table14[[#This Row],[spawner_sku]])),Table28[Entity Prefab],0)),25,1,1,"Entities"))</f>
        <v>no</v>
      </c>
      <c r="DZ460" s="71">
        <v>1</v>
      </c>
      <c r="EA460" s="71">
        <v>1</v>
      </c>
      <c r="EB460" s="71" t="b">
        <v>0</v>
      </c>
      <c r="EC460" s="71"/>
    </row>
    <row r="461" spans="2:133" x14ac:dyDescent="0.25">
      <c r="B461" s="72" t="s">
        <v>236</v>
      </c>
      <c r="C461">
        <v>1</v>
      </c>
      <c r="D461">
        <v>230</v>
      </c>
      <c r="E461">
        <v>80</v>
      </c>
      <c r="F461" s="74">
        <f ca="1">INDIRECT(ADDRESS(11+(MATCH(RIGHT(Table245[[#This Row],[spawner_sku]],LEN(Table245[[#This Row],[spawner_sku]])-FIND("/",Table245[[#This Row],[spawner_sku]])),Table1[Entity Prefab],0)),10,1,1,"Entities"))</f>
        <v>50</v>
      </c>
      <c r="G461" s="74">
        <f ca="1">ROUND((Table245[[#This Row],[XP]]*Table245[[#This Row],[entity_spawned (AVG)]])*(Table245[[#This Row],[activating_chance]]/100),0)</f>
        <v>40</v>
      </c>
      <c r="H461" s="71" t="str">
        <f ca="1">INDIRECT(ADDRESS(11+(MATCH(RIGHT(Table245[[#This Row],[spawner_sku]],LEN(Table245[[#This Row],[spawner_sku]])-FIND("/",Table245[[#This Row],[spawner_sku]])),Table28[Entity Prefab],0)),24,1,1,"Entities"))</f>
        <v>no</v>
      </c>
      <c r="I461" s="71">
        <v>1</v>
      </c>
      <c r="J461" s="71">
        <v>1</v>
      </c>
      <c r="K461" s="71" t="b">
        <v>0</v>
      </c>
      <c r="BZ461" s="71"/>
      <c r="CL461" t="s">
        <v>496</v>
      </c>
      <c r="CM461">
        <v>1</v>
      </c>
      <c r="CN461">
        <v>260</v>
      </c>
      <c r="CO461">
        <v>80</v>
      </c>
      <c r="CP461" s="74">
        <f ca="1">INDIRECT(ADDRESS(11+(MATCH(RIGHT(Table11[[#This Row],[spawner_sku]],LEN(Table11[[#This Row],[spawner_sku]])-FIND("/",Table11[[#This Row],[spawner_sku]])),Table1[Entity Prefab],0)),10,1,1,"Entities"))</f>
        <v>50</v>
      </c>
      <c r="CQ461">
        <f ca="1">ROUND((Table11[[#This Row],[XP]]*Table11[[#This Row],[entity_spawned (AVG)]])*(Table11[[#This Row],[activating_chance]]/100),0)</f>
        <v>40</v>
      </c>
      <c r="CR461" s="144" t="str">
        <f ca="1">INDIRECT(ADDRESS(11+(MATCH(RIGHT(Table11[[#This Row],[spawner_sku]],LEN(Table11[[#This Row],[spawner_sku]])-FIND("/",Table11[[#This Row],[spawner_sku]])),Table28[Entity Prefab],0)),25,1,1,"Entities"))</f>
        <v>no</v>
      </c>
      <c r="CS461" s="71">
        <v>1</v>
      </c>
      <c r="CT461" s="71">
        <v>1</v>
      </c>
      <c r="CU461" s="71" t="b">
        <v>0</v>
      </c>
      <c r="DS461" t="s">
        <v>432</v>
      </c>
      <c r="DT461">
        <v>1</v>
      </c>
      <c r="DU461">
        <v>100</v>
      </c>
      <c r="DV461">
        <v>100</v>
      </c>
      <c r="DW461" s="74">
        <f ca="1">INDIRECT(ADDRESS(11+(MATCH(RIGHT(Table14[[#This Row],[spawner_sku]],LEN(Table14[[#This Row],[spawner_sku]])-FIND("/",Table14[[#This Row],[spawner_sku]])),Table1[Entity Prefab],0)),10,1,1,"Entities"))</f>
        <v>75</v>
      </c>
      <c r="DX461" s="74">
        <f ca="1">ROUND((Table14[[#This Row],[XP]]*Table14[[#This Row],[entity_spawned (AVG)]])*(Table14[[#This Row],[activating_chance]]/100),0)</f>
        <v>75</v>
      </c>
      <c r="DY461" s="144" t="str">
        <f ca="1">INDIRECT(ADDRESS(11+(MATCH(RIGHT(Table14[[#This Row],[spawner_sku]],LEN(Table14[[#This Row],[spawner_sku]])-FIND("/",Table14[[#This Row],[spawner_sku]])),Table28[Entity Prefab],0)),25,1,1,"Entities"))</f>
        <v>no</v>
      </c>
      <c r="DZ461" s="71">
        <v>1</v>
      </c>
      <c r="EA461" s="71">
        <v>1</v>
      </c>
      <c r="EB461" s="71" t="b">
        <v>0</v>
      </c>
      <c r="EC461" s="71"/>
    </row>
    <row r="462" spans="2:133" x14ac:dyDescent="0.25">
      <c r="B462" s="72" t="s">
        <v>236</v>
      </c>
      <c r="C462">
        <v>1</v>
      </c>
      <c r="D462">
        <v>230</v>
      </c>
      <c r="E462">
        <v>80</v>
      </c>
      <c r="F462" s="74">
        <f ca="1">INDIRECT(ADDRESS(11+(MATCH(RIGHT(Table245[[#This Row],[spawner_sku]],LEN(Table245[[#This Row],[spawner_sku]])-FIND("/",Table245[[#This Row],[spawner_sku]])),Table1[Entity Prefab],0)),10,1,1,"Entities"))</f>
        <v>50</v>
      </c>
      <c r="G462" s="74">
        <f ca="1">ROUND((Table245[[#This Row],[XP]]*Table245[[#This Row],[entity_spawned (AVG)]])*(Table245[[#This Row],[activating_chance]]/100),0)</f>
        <v>40</v>
      </c>
      <c r="H462" s="71" t="str">
        <f ca="1">INDIRECT(ADDRESS(11+(MATCH(RIGHT(Table245[[#This Row],[spawner_sku]],LEN(Table245[[#This Row],[spawner_sku]])-FIND("/",Table245[[#This Row],[spawner_sku]])),Table28[Entity Prefab],0)),24,1,1,"Entities"))</f>
        <v>no</v>
      </c>
      <c r="I462" s="71">
        <v>1</v>
      </c>
      <c r="J462" s="71">
        <v>1</v>
      </c>
      <c r="K462" s="71" t="b">
        <v>0</v>
      </c>
      <c r="BZ462" s="71"/>
      <c r="CL462" t="s">
        <v>496</v>
      </c>
      <c r="CM462">
        <v>1</v>
      </c>
      <c r="CN462">
        <v>270</v>
      </c>
      <c r="CO462">
        <v>20</v>
      </c>
      <c r="CP462" s="74">
        <f ca="1">INDIRECT(ADDRESS(11+(MATCH(RIGHT(Table11[[#This Row],[spawner_sku]],LEN(Table11[[#This Row],[spawner_sku]])-FIND("/",Table11[[#This Row],[spawner_sku]])),Table1[Entity Prefab],0)),10,1,1,"Entities"))</f>
        <v>50</v>
      </c>
      <c r="CQ462">
        <f ca="1">ROUND((Table11[[#This Row],[XP]]*Table11[[#This Row],[entity_spawned (AVG)]])*(Table11[[#This Row],[activating_chance]]/100),0)</f>
        <v>10</v>
      </c>
      <c r="CR462" s="144" t="str">
        <f ca="1">INDIRECT(ADDRESS(11+(MATCH(RIGHT(Table11[[#This Row],[spawner_sku]],LEN(Table11[[#This Row],[spawner_sku]])-FIND("/",Table11[[#This Row],[spawner_sku]])),Table28[Entity Prefab],0)),25,1,1,"Entities"))</f>
        <v>no</v>
      </c>
      <c r="CS462" s="71">
        <v>1</v>
      </c>
      <c r="CT462" s="71">
        <v>1</v>
      </c>
      <c r="CU462" s="71" t="b">
        <v>0</v>
      </c>
      <c r="DS462" t="s">
        <v>432</v>
      </c>
      <c r="DT462">
        <v>1</v>
      </c>
      <c r="DU462">
        <v>100</v>
      </c>
      <c r="DV462">
        <v>100</v>
      </c>
      <c r="DW462" s="74">
        <f ca="1">INDIRECT(ADDRESS(11+(MATCH(RIGHT(Table14[[#This Row],[spawner_sku]],LEN(Table14[[#This Row],[spawner_sku]])-FIND("/",Table14[[#This Row],[spawner_sku]])),Table1[Entity Prefab],0)),10,1,1,"Entities"))</f>
        <v>75</v>
      </c>
      <c r="DX462" s="74">
        <f ca="1">ROUND((Table14[[#This Row],[XP]]*Table14[[#This Row],[entity_spawned (AVG)]])*(Table14[[#This Row],[activating_chance]]/100),0)</f>
        <v>75</v>
      </c>
      <c r="DY462" s="144" t="str">
        <f ca="1">INDIRECT(ADDRESS(11+(MATCH(RIGHT(Table14[[#This Row],[spawner_sku]],LEN(Table14[[#This Row],[spawner_sku]])-FIND("/",Table14[[#This Row],[spawner_sku]])),Table28[Entity Prefab],0)),25,1,1,"Entities"))</f>
        <v>no</v>
      </c>
      <c r="DZ462" s="71">
        <v>1</v>
      </c>
      <c r="EA462" s="71">
        <v>1</v>
      </c>
      <c r="EB462" s="71" t="b">
        <v>0</v>
      </c>
      <c r="EC462" s="71"/>
    </row>
    <row r="463" spans="2:133" x14ac:dyDescent="0.25">
      <c r="B463" s="72" t="s">
        <v>236</v>
      </c>
      <c r="C463">
        <v>1</v>
      </c>
      <c r="D463">
        <v>230</v>
      </c>
      <c r="E463">
        <v>100</v>
      </c>
      <c r="F463" s="74">
        <f ca="1">INDIRECT(ADDRESS(11+(MATCH(RIGHT(Table245[[#This Row],[spawner_sku]],LEN(Table245[[#This Row],[spawner_sku]])-FIND("/",Table245[[#This Row],[spawner_sku]])),Table1[Entity Prefab],0)),10,1,1,"Entities"))</f>
        <v>50</v>
      </c>
      <c r="G463" s="74">
        <f ca="1">ROUND((Table245[[#This Row],[XP]]*Table245[[#This Row],[entity_spawned (AVG)]])*(Table245[[#This Row],[activating_chance]]/100),0)</f>
        <v>50</v>
      </c>
      <c r="H463" s="71" t="str">
        <f ca="1">INDIRECT(ADDRESS(11+(MATCH(RIGHT(Table245[[#This Row],[spawner_sku]],LEN(Table245[[#This Row],[spawner_sku]])-FIND("/",Table245[[#This Row],[spawner_sku]])),Table28[Entity Prefab],0)),24,1,1,"Entities"))</f>
        <v>no</v>
      </c>
      <c r="I463" s="71">
        <v>1</v>
      </c>
      <c r="J463" s="71">
        <v>1</v>
      </c>
      <c r="K463" s="71" t="b">
        <v>0</v>
      </c>
      <c r="BZ463" s="71"/>
      <c r="CL463" t="s">
        <v>496</v>
      </c>
      <c r="CM463">
        <v>1</v>
      </c>
      <c r="CN463">
        <v>260</v>
      </c>
      <c r="CO463">
        <v>100</v>
      </c>
      <c r="CP463" s="74">
        <f ca="1">INDIRECT(ADDRESS(11+(MATCH(RIGHT(Table11[[#This Row],[spawner_sku]],LEN(Table11[[#This Row],[spawner_sku]])-FIND("/",Table11[[#This Row],[spawner_sku]])),Table1[Entity Prefab],0)),10,1,1,"Entities"))</f>
        <v>50</v>
      </c>
      <c r="CQ463">
        <f ca="1">ROUND((Table11[[#This Row],[XP]]*Table11[[#This Row],[entity_spawned (AVG)]])*(Table11[[#This Row],[activating_chance]]/100),0)</f>
        <v>50</v>
      </c>
      <c r="CR463" s="144" t="str">
        <f ca="1">INDIRECT(ADDRESS(11+(MATCH(RIGHT(Table11[[#This Row],[spawner_sku]],LEN(Table11[[#This Row],[spawner_sku]])-FIND("/",Table11[[#This Row],[spawner_sku]])),Table28[Entity Prefab],0)),25,1,1,"Entities"))</f>
        <v>no</v>
      </c>
      <c r="CS463" s="71">
        <v>1</v>
      </c>
      <c r="CT463" s="71">
        <v>1</v>
      </c>
      <c r="CU463" s="71" t="b">
        <v>0</v>
      </c>
      <c r="DS463" t="s">
        <v>432</v>
      </c>
      <c r="DT463">
        <v>1</v>
      </c>
      <c r="DU463">
        <v>135</v>
      </c>
      <c r="DV463">
        <v>100</v>
      </c>
      <c r="DW463" s="74">
        <f ca="1">INDIRECT(ADDRESS(11+(MATCH(RIGHT(Table14[[#This Row],[spawner_sku]],LEN(Table14[[#This Row],[spawner_sku]])-FIND("/",Table14[[#This Row],[spawner_sku]])),Table1[Entity Prefab],0)),10,1,1,"Entities"))</f>
        <v>75</v>
      </c>
      <c r="DX463" s="74">
        <f ca="1">ROUND((Table14[[#This Row],[XP]]*Table14[[#This Row],[entity_spawned (AVG)]])*(Table14[[#This Row],[activating_chance]]/100),0)</f>
        <v>75</v>
      </c>
      <c r="DY463" s="144" t="str">
        <f ca="1">INDIRECT(ADDRESS(11+(MATCH(RIGHT(Table14[[#This Row],[spawner_sku]],LEN(Table14[[#This Row],[spawner_sku]])-FIND("/",Table14[[#This Row],[spawner_sku]])),Table28[Entity Prefab],0)),25,1,1,"Entities"))</f>
        <v>no</v>
      </c>
      <c r="DZ463" s="71">
        <v>1</v>
      </c>
      <c r="EA463" s="71">
        <v>1</v>
      </c>
      <c r="EB463" s="71" t="b">
        <v>0</v>
      </c>
      <c r="EC463" s="71"/>
    </row>
    <row r="464" spans="2:133" x14ac:dyDescent="0.25">
      <c r="B464" s="72" t="s">
        <v>236</v>
      </c>
      <c r="C464">
        <v>1</v>
      </c>
      <c r="D464">
        <v>230</v>
      </c>
      <c r="E464">
        <v>80</v>
      </c>
      <c r="F464" s="74">
        <f ca="1">INDIRECT(ADDRESS(11+(MATCH(RIGHT(Table245[[#This Row],[spawner_sku]],LEN(Table245[[#This Row],[spawner_sku]])-FIND("/",Table245[[#This Row],[spawner_sku]])),Table1[Entity Prefab],0)),10,1,1,"Entities"))</f>
        <v>50</v>
      </c>
      <c r="G464" s="74">
        <f ca="1">ROUND((Table245[[#This Row],[XP]]*Table245[[#This Row],[entity_spawned (AVG)]])*(Table245[[#This Row],[activating_chance]]/100),0)</f>
        <v>40</v>
      </c>
      <c r="H464" s="71" t="str">
        <f ca="1">INDIRECT(ADDRESS(11+(MATCH(RIGHT(Table245[[#This Row],[spawner_sku]],LEN(Table245[[#This Row],[spawner_sku]])-FIND("/",Table245[[#This Row],[spawner_sku]])),Table28[Entity Prefab],0)),24,1,1,"Entities"))</f>
        <v>no</v>
      </c>
      <c r="I464" s="71">
        <v>1</v>
      </c>
      <c r="J464" s="71">
        <v>1</v>
      </c>
      <c r="K464" s="71" t="b">
        <v>0</v>
      </c>
      <c r="BZ464" s="71"/>
      <c r="CL464" t="s">
        <v>496</v>
      </c>
      <c r="CM464">
        <v>1</v>
      </c>
      <c r="CN464">
        <v>260</v>
      </c>
      <c r="CO464">
        <v>100</v>
      </c>
      <c r="CP464" s="74">
        <f ca="1">INDIRECT(ADDRESS(11+(MATCH(RIGHT(Table11[[#This Row],[spawner_sku]],LEN(Table11[[#This Row],[spawner_sku]])-FIND("/",Table11[[#This Row],[spawner_sku]])),Table1[Entity Prefab],0)),10,1,1,"Entities"))</f>
        <v>50</v>
      </c>
      <c r="CQ464">
        <f ca="1">ROUND((Table11[[#This Row],[XP]]*Table11[[#This Row],[entity_spawned (AVG)]])*(Table11[[#This Row],[activating_chance]]/100),0)</f>
        <v>50</v>
      </c>
      <c r="CR464" s="144" t="str">
        <f ca="1">INDIRECT(ADDRESS(11+(MATCH(RIGHT(Table11[[#This Row],[spawner_sku]],LEN(Table11[[#This Row],[spawner_sku]])-FIND("/",Table11[[#This Row],[spawner_sku]])),Table28[Entity Prefab],0)),25,1,1,"Entities"))</f>
        <v>no</v>
      </c>
      <c r="CS464" s="71">
        <v>1</v>
      </c>
      <c r="CT464" s="71">
        <v>1</v>
      </c>
      <c r="CU464" s="71" t="b">
        <v>0</v>
      </c>
      <c r="DS464" t="s">
        <v>432</v>
      </c>
      <c r="DT464">
        <v>1</v>
      </c>
      <c r="DU464">
        <v>120</v>
      </c>
      <c r="DV464">
        <v>100</v>
      </c>
      <c r="DW464" s="74">
        <f ca="1">INDIRECT(ADDRESS(11+(MATCH(RIGHT(Table14[[#This Row],[spawner_sku]],LEN(Table14[[#This Row],[spawner_sku]])-FIND("/",Table14[[#This Row],[spawner_sku]])),Table1[Entity Prefab],0)),10,1,1,"Entities"))</f>
        <v>75</v>
      </c>
      <c r="DX464" s="74">
        <f ca="1">ROUND((Table14[[#This Row],[XP]]*Table14[[#This Row],[entity_spawned (AVG)]])*(Table14[[#This Row],[activating_chance]]/100),0)</f>
        <v>75</v>
      </c>
      <c r="DY464" s="144" t="str">
        <f ca="1">INDIRECT(ADDRESS(11+(MATCH(RIGHT(Table14[[#This Row],[spawner_sku]],LEN(Table14[[#This Row],[spawner_sku]])-FIND("/",Table14[[#This Row],[spawner_sku]])),Table28[Entity Prefab],0)),25,1,1,"Entities"))</f>
        <v>no</v>
      </c>
      <c r="DZ464" s="71">
        <v>1</v>
      </c>
      <c r="EA464" s="71">
        <v>1</v>
      </c>
      <c r="EB464" s="71" t="b">
        <v>0</v>
      </c>
      <c r="EC464" s="71"/>
    </row>
    <row r="465" spans="2:133" x14ac:dyDescent="0.25">
      <c r="B465" s="72" t="s">
        <v>236</v>
      </c>
      <c r="C465">
        <v>1</v>
      </c>
      <c r="D465">
        <v>230</v>
      </c>
      <c r="E465">
        <v>80</v>
      </c>
      <c r="F465" s="74">
        <f ca="1">INDIRECT(ADDRESS(11+(MATCH(RIGHT(Table245[[#This Row],[spawner_sku]],LEN(Table245[[#This Row],[spawner_sku]])-FIND("/",Table245[[#This Row],[spawner_sku]])),Table1[Entity Prefab],0)),10,1,1,"Entities"))</f>
        <v>50</v>
      </c>
      <c r="G465" s="74">
        <f ca="1">ROUND((Table245[[#This Row],[XP]]*Table245[[#This Row],[entity_spawned (AVG)]])*(Table245[[#This Row],[activating_chance]]/100),0)</f>
        <v>40</v>
      </c>
      <c r="H465" s="71" t="str">
        <f ca="1">INDIRECT(ADDRESS(11+(MATCH(RIGHT(Table245[[#This Row],[spawner_sku]],LEN(Table245[[#This Row],[spawner_sku]])-FIND("/",Table245[[#This Row],[spawner_sku]])),Table28[Entity Prefab],0)),24,1,1,"Entities"))</f>
        <v>no</v>
      </c>
      <c r="I465" s="71">
        <v>1</v>
      </c>
      <c r="J465" s="71">
        <v>1</v>
      </c>
      <c r="K465" s="71" t="b">
        <v>0</v>
      </c>
      <c r="BZ465" s="71"/>
      <c r="CL465" t="s">
        <v>496</v>
      </c>
      <c r="CM465">
        <v>1</v>
      </c>
      <c r="CN465">
        <v>260</v>
      </c>
      <c r="CO465">
        <v>70</v>
      </c>
      <c r="CP465" s="74">
        <f ca="1">INDIRECT(ADDRESS(11+(MATCH(RIGHT(Table11[[#This Row],[spawner_sku]],LEN(Table11[[#This Row],[spawner_sku]])-FIND("/",Table11[[#This Row],[spawner_sku]])),Table1[Entity Prefab],0)),10,1,1,"Entities"))</f>
        <v>50</v>
      </c>
      <c r="CQ465">
        <f ca="1">ROUND((Table11[[#This Row],[XP]]*Table11[[#This Row],[entity_spawned (AVG)]])*(Table11[[#This Row],[activating_chance]]/100),0)</f>
        <v>35</v>
      </c>
      <c r="CR465" s="144" t="str">
        <f ca="1">INDIRECT(ADDRESS(11+(MATCH(RIGHT(Table11[[#This Row],[spawner_sku]],LEN(Table11[[#This Row],[spawner_sku]])-FIND("/",Table11[[#This Row],[spawner_sku]])),Table28[Entity Prefab],0)),25,1,1,"Entities"))</f>
        <v>no</v>
      </c>
      <c r="CS465" s="71">
        <v>1</v>
      </c>
      <c r="CT465" s="71">
        <v>1</v>
      </c>
      <c r="CU465" s="71" t="b">
        <v>0</v>
      </c>
      <c r="DS465" t="s">
        <v>432</v>
      </c>
      <c r="DT465">
        <v>1</v>
      </c>
      <c r="DU465">
        <v>140</v>
      </c>
      <c r="DV465">
        <v>100</v>
      </c>
      <c r="DW465" s="74">
        <f ca="1">INDIRECT(ADDRESS(11+(MATCH(RIGHT(Table14[[#This Row],[spawner_sku]],LEN(Table14[[#This Row],[spawner_sku]])-FIND("/",Table14[[#This Row],[spawner_sku]])),Table1[Entity Prefab],0)),10,1,1,"Entities"))</f>
        <v>75</v>
      </c>
      <c r="DX465" s="74">
        <f ca="1">ROUND((Table14[[#This Row],[XP]]*Table14[[#This Row],[entity_spawned (AVG)]])*(Table14[[#This Row],[activating_chance]]/100),0)</f>
        <v>75</v>
      </c>
      <c r="DY465" s="144" t="str">
        <f ca="1">INDIRECT(ADDRESS(11+(MATCH(RIGHT(Table14[[#This Row],[spawner_sku]],LEN(Table14[[#This Row],[spawner_sku]])-FIND("/",Table14[[#This Row],[spawner_sku]])),Table28[Entity Prefab],0)),25,1,1,"Entities"))</f>
        <v>no</v>
      </c>
      <c r="DZ465" s="71">
        <v>1</v>
      </c>
      <c r="EA465" s="71">
        <v>1</v>
      </c>
      <c r="EB465" s="71" t="b">
        <v>0</v>
      </c>
      <c r="EC465" s="71"/>
    </row>
    <row r="466" spans="2:133" x14ac:dyDescent="0.25">
      <c r="B466" s="72" t="s">
        <v>237</v>
      </c>
      <c r="C466">
        <v>1</v>
      </c>
      <c r="D466">
        <v>270</v>
      </c>
      <c r="E466">
        <v>20</v>
      </c>
      <c r="F466" s="74">
        <f ca="1">INDIRECT(ADDRESS(11+(MATCH(RIGHT(Table245[[#This Row],[spawner_sku]],LEN(Table245[[#This Row],[spawner_sku]])-FIND("/",Table245[[#This Row],[spawner_sku]])),Table1[Entity Prefab],0)),10,1,1,"Entities"))</f>
        <v>83</v>
      </c>
      <c r="G466" s="74">
        <f ca="1">ROUND((Table245[[#This Row],[XP]]*Table245[[#This Row],[entity_spawned (AVG)]])*(Table245[[#This Row],[activating_chance]]/100),0)</f>
        <v>17</v>
      </c>
      <c r="H466" s="71" t="str">
        <f ca="1">INDIRECT(ADDRESS(11+(MATCH(RIGHT(Table245[[#This Row],[spawner_sku]],LEN(Table245[[#This Row],[spawner_sku]])-FIND("/",Table245[[#This Row],[spawner_sku]])),Table28[Entity Prefab],0)),24,1,1,"Entities"))</f>
        <v>no</v>
      </c>
      <c r="I466" s="71">
        <v>1</v>
      </c>
      <c r="J466" s="71">
        <v>1</v>
      </c>
      <c r="K466" s="71" t="b">
        <v>0</v>
      </c>
      <c r="BZ466" s="71"/>
      <c r="CL466" t="s">
        <v>496</v>
      </c>
      <c r="CM466">
        <v>1</v>
      </c>
      <c r="CN466">
        <v>260</v>
      </c>
      <c r="CO466">
        <v>100</v>
      </c>
      <c r="CP466" s="74">
        <f ca="1">INDIRECT(ADDRESS(11+(MATCH(RIGHT(Table11[[#This Row],[spawner_sku]],LEN(Table11[[#This Row],[spawner_sku]])-FIND("/",Table11[[#This Row],[spawner_sku]])),Table1[Entity Prefab],0)),10,1,1,"Entities"))</f>
        <v>50</v>
      </c>
      <c r="CQ466">
        <f ca="1">ROUND((Table11[[#This Row],[XP]]*Table11[[#This Row],[entity_spawned (AVG)]])*(Table11[[#This Row],[activating_chance]]/100),0)</f>
        <v>50</v>
      </c>
      <c r="CR466" s="144" t="str">
        <f ca="1">INDIRECT(ADDRESS(11+(MATCH(RIGHT(Table11[[#This Row],[spawner_sku]],LEN(Table11[[#This Row],[spawner_sku]])-FIND("/",Table11[[#This Row],[spawner_sku]])),Table28[Entity Prefab],0)),25,1,1,"Entities"))</f>
        <v>no</v>
      </c>
      <c r="CS466" s="71">
        <v>1</v>
      </c>
      <c r="CT466" s="71">
        <v>1</v>
      </c>
      <c r="CU466" s="71" t="b">
        <v>0</v>
      </c>
      <c r="DS466" t="s">
        <v>432</v>
      </c>
      <c r="DT466">
        <v>1</v>
      </c>
      <c r="DU466">
        <v>150</v>
      </c>
      <c r="DV466">
        <v>100</v>
      </c>
      <c r="DW466" s="74">
        <f ca="1">INDIRECT(ADDRESS(11+(MATCH(RIGHT(Table14[[#This Row],[spawner_sku]],LEN(Table14[[#This Row],[spawner_sku]])-FIND("/",Table14[[#This Row],[spawner_sku]])),Table1[Entity Prefab],0)),10,1,1,"Entities"))</f>
        <v>75</v>
      </c>
      <c r="DX466" s="74">
        <f ca="1">ROUND((Table14[[#This Row],[XP]]*Table14[[#This Row],[entity_spawned (AVG)]])*(Table14[[#This Row],[activating_chance]]/100),0)</f>
        <v>75</v>
      </c>
      <c r="DY466" s="144" t="str">
        <f ca="1">INDIRECT(ADDRESS(11+(MATCH(RIGHT(Table14[[#This Row],[spawner_sku]],LEN(Table14[[#This Row],[spawner_sku]])-FIND("/",Table14[[#This Row],[spawner_sku]])),Table28[Entity Prefab],0)),25,1,1,"Entities"))</f>
        <v>no</v>
      </c>
      <c r="DZ466" s="71">
        <v>1</v>
      </c>
      <c r="EA466" s="71">
        <v>1</v>
      </c>
      <c r="EB466" s="71" t="b">
        <v>0</v>
      </c>
      <c r="EC466" s="71"/>
    </row>
    <row r="467" spans="2:133" x14ac:dyDescent="0.25">
      <c r="B467" s="72" t="s">
        <v>237</v>
      </c>
      <c r="C467">
        <v>1</v>
      </c>
      <c r="D467">
        <v>270</v>
      </c>
      <c r="E467">
        <v>100</v>
      </c>
      <c r="F467" s="74">
        <f ca="1">INDIRECT(ADDRESS(11+(MATCH(RIGHT(Table245[[#This Row],[spawner_sku]],LEN(Table245[[#This Row],[spawner_sku]])-FIND("/",Table245[[#This Row],[spawner_sku]])),Table1[Entity Prefab],0)),10,1,1,"Entities"))</f>
        <v>83</v>
      </c>
      <c r="G467" s="74">
        <f ca="1">ROUND((Table245[[#This Row],[XP]]*Table245[[#This Row],[entity_spawned (AVG)]])*(Table245[[#This Row],[activating_chance]]/100),0)</f>
        <v>83</v>
      </c>
      <c r="H467" s="71" t="str">
        <f ca="1">INDIRECT(ADDRESS(11+(MATCH(RIGHT(Table245[[#This Row],[spawner_sku]],LEN(Table245[[#This Row],[spawner_sku]])-FIND("/",Table245[[#This Row],[spawner_sku]])),Table28[Entity Prefab],0)),24,1,1,"Entities"))</f>
        <v>no</v>
      </c>
      <c r="I467" s="71">
        <v>1</v>
      </c>
      <c r="J467" s="71">
        <v>1</v>
      </c>
      <c r="K467" s="71" t="b">
        <v>0</v>
      </c>
      <c r="BZ467" s="71"/>
      <c r="CL467" t="s">
        <v>496</v>
      </c>
      <c r="CM467">
        <v>1</v>
      </c>
      <c r="CN467">
        <v>260</v>
      </c>
      <c r="CO467">
        <v>100</v>
      </c>
      <c r="CP467" s="74">
        <f ca="1">INDIRECT(ADDRESS(11+(MATCH(RIGHT(Table11[[#This Row],[spawner_sku]],LEN(Table11[[#This Row],[spawner_sku]])-FIND("/",Table11[[#This Row],[spawner_sku]])),Table1[Entity Prefab],0)),10,1,1,"Entities"))</f>
        <v>50</v>
      </c>
      <c r="CQ467">
        <f ca="1">ROUND((Table11[[#This Row],[XP]]*Table11[[#This Row],[entity_spawned (AVG)]])*(Table11[[#This Row],[activating_chance]]/100),0)</f>
        <v>50</v>
      </c>
      <c r="CR467" s="144" t="str">
        <f ca="1">INDIRECT(ADDRESS(11+(MATCH(RIGHT(Table11[[#This Row],[spawner_sku]],LEN(Table11[[#This Row],[spawner_sku]])-FIND("/",Table11[[#This Row],[spawner_sku]])),Table28[Entity Prefab],0)),25,1,1,"Entities"))</f>
        <v>no</v>
      </c>
      <c r="CS467" s="71">
        <v>1</v>
      </c>
      <c r="CT467" s="71">
        <v>1</v>
      </c>
      <c r="CU467" s="71" t="b">
        <v>0</v>
      </c>
      <c r="DS467" t="s">
        <v>432</v>
      </c>
      <c r="DT467">
        <v>1</v>
      </c>
      <c r="DU467">
        <v>145</v>
      </c>
      <c r="DV467">
        <v>100</v>
      </c>
      <c r="DW467" s="74">
        <f ca="1">INDIRECT(ADDRESS(11+(MATCH(RIGHT(Table14[[#This Row],[spawner_sku]],LEN(Table14[[#This Row],[spawner_sku]])-FIND("/",Table14[[#This Row],[spawner_sku]])),Table1[Entity Prefab],0)),10,1,1,"Entities"))</f>
        <v>75</v>
      </c>
      <c r="DX467" s="74">
        <f ca="1">ROUND((Table14[[#This Row],[XP]]*Table14[[#This Row],[entity_spawned (AVG)]])*(Table14[[#This Row],[activating_chance]]/100),0)</f>
        <v>75</v>
      </c>
      <c r="DY467" s="144" t="str">
        <f ca="1">INDIRECT(ADDRESS(11+(MATCH(RIGHT(Table14[[#This Row],[spawner_sku]],LEN(Table14[[#This Row],[spawner_sku]])-FIND("/",Table14[[#This Row],[spawner_sku]])),Table28[Entity Prefab],0)),25,1,1,"Entities"))</f>
        <v>no</v>
      </c>
      <c r="DZ467" s="71">
        <v>1</v>
      </c>
      <c r="EA467" s="71">
        <v>1</v>
      </c>
      <c r="EB467" s="71" t="b">
        <v>0</v>
      </c>
      <c r="EC467" s="71"/>
    </row>
    <row r="468" spans="2:133" x14ac:dyDescent="0.25">
      <c r="B468" s="72" t="s">
        <v>237</v>
      </c>
      <c r="C468">
        <v>1</v>
      </c>
      <c r="D468">
        <v>230</v>
      </c>
      <c r="E468">
        <v>100</v>
      </c>
      <c r="F468" s="74">
        <f ca="1">INDIRECT(ADDRESS(11+(MATCH(RIGHT(Table245[[#This Row],[spawner_sku]],LEN(Table245[[#This Row],[spawner_sku]])-FIND("/",Table245[[#This Row],[spawner_sku]])),Table1[Entity Prefab],0)),10,1,1,"Entities"))</f>
        <v>83</v>
      </c>
      <c r="G468" s="74">
        <f ca="1">ROUND((Table245[[#This Row],[XP]]*Table245[[#This Row],[entity_spawned (AVG)]])*(Table245[[#This Row],[activating_chance]]/100),0)</f>
        <v>83</v>
      </c>
      <c r="H468" s="71" t="str">
        <f ca="1">INDIRECT(ADDRESS(11+(MATCH(RIGHT(Table245[[#This Row],[spawner_sku]],LEN(Table245[[#This Row],[spawner_sku]])-FIND("/",Table245[[#This Row],[spawner_sku]])),Table28[Entity Prefab],0)),24,1,1,"Entities"))</f>
        <v>no</v>
      </c>
      <c r="I468" s="71">
        <v>1</v>
      </c>
      <c r="J468" s="71">
        <v>1</v>
      </c>
      <c r="K468" s="71" t="b">
        <v>0</v>
      </c>
      <c r="BZ468" s="71"/>
      <c r="CL468" t="s">
        <v>496</v>
      </c>
      <c r="CM468">
        <v>1</v>
      </c>
      <c r="CN468">
        <v>260</v>
      </c>
      <c r="CO468">
        <v>100</v>
      </c>
      <c r="CP468" s="74">
        <f ca="1">INDIRECT(ADDRESS(11+(MATCH(RIGHT(Table11[[#This Row],[spawner_sku]],LEN(Table11[[#This Row],[spawner_sku]])-FIND("/",Table11[[#This Row],[spawner_sku]])),Table1[Entity Prefab],0)),10,1,1,"Entities"))</f>
        <v>50</v>
      </c>
      <c r="CQ468">
        <f ca="1">ROUND((Table11[[#This Row],[XP]]*Table11[[#This Row],[entity_spawned (AVG)]])*(Table11[[#This Row],[activating_chance]]/100),0)</f>
        <v>50</v>
      </c>
      <c r="CR468" s="144" t="str">
        <f ca="1">INDIRECT(ADDRESS(11+(MATCH(RIGHT(Table11[[#This Row],[spawner_sku]],LEN(Table11[[#This Row],[spawner_sku]])-FIND("/",Table11[[#This Row],[spawner_sku]])),Table28[Entity Prefab],0)),25,1,1,"Entities"))</f>
        <v>no</v>
      </c>
      <c r="CS468" s="71">
        <v>1</v>
      </c>
      <c r="CT468" s="71">
        <v>1</v>
      </c>
      <c r="CU468" s="71" t="b">
        <v>0</v>
      </c>
      <c r="DS468" t="s">
        <v>432</v>
      </c>
      <c r="DT468">
        <v>1</v>
      </c>
      <c r="DU468">
        <v>150</v>
      </c>
      <c r="DV468">
        <v>30</v>
      </c>
      <c r="DW468" s="74">
        <f ca="1">INDIRECT(ADDRESS(11+(MATCH(RIGHT(Table14[[#This Row],[spawner_sku]],LEN(Table14[[#This Row],[spawner_sku]])-FIND("/",Table14[[#This Row],[spawner_sku]])),Table1[Entity Prefab],0)),10,1,1,"Entities"))</f>
        <v>75</v>
      </c>
      <c r="DX468" s="74">
        <f ca="1">ROUND((Table14[[#This Row],[XP]]*Table14[[#This Row],[entity_spawned (AVG)]])*(Table14[[#This Row],[activating_chance]]/100),0)</f>
        <v>23</v>
      </c>
      <c r="DY468" s="144" t="str">
        <f ca="1">INDIRECT(ADDRESS(11+(MATCH(RIGHT(Table14[[#This Row],[spawner_sku]],LEN(Table14[[#This Row],[spawner_sku]])-FIND("/",Table14[[#This Row],[spawner_sku]])),Table28[Entity Prefab],0)),25,1,1,"Entities"))</f>
        <v>no</v>
      </c>
      <c r="DZ468" s="71">
        <v>1</v>
      </c>
      <c r="EA468" s="71">
        <v>1</v>
      </c>
      <c r="EB468" s="71" t="b">
        <v>0</v>
      </c>
      <c r="EC468" s="71"/>
    </row>
    <row r="469" spans="2:133" x14ac:dyDescent="0.25">
      <c r="B469" s="72" t="s">
        <v>237</v>
      </c>
      <c r="C469">
        <v>1</v>
      </c>
      <c r="D469">
        <v>240</v>
      </c>
      <c r="E469">
        <v>40</v>
      </c>
      <c r="F469" s="74">
        <f ca="1">INDIRECT(ADDRESS(11+(MATCH(RIGHT(Table245[[#This Row],[spawner_sku]],LEN(Table245[[#This Row],[spawner_sku]])-FIND("/",Table245[[#This Row],[spawner_sku]])),Table1[Entity Prefab],0)),10,1,1,"Entities"))</f>
        <v>83</v>
      </c>
      <c r="G469" s="74">
        <f ca="1">ROUND((Table245[[#This Row],[XP]]*Table245[[#This Row],[entity_spawned (AVG)]])*(Table245[[#This Row],[activating_chance]]/100),0)</f>
        <v>33</v>
      </c>
      <c r="H469" s="71" t="str">
        <f ca="1">INDIRECT(ADDRESS(11+(MATCH(RIGHT(Table245[[#This Row],[spawner_sku]],LEN(Table245[[#This Row],[spawner_sku]])-FIND("/",Table245[[#This Row],[spawner_sku]])),Table28[Entity Prefab],0)),24,1,1,"Entities"))</f>
        <v>no</v>
      </c>
      <c r="I469" s="71">
        <v>1</v>
      </c>
      <c r="J469" s="71">
        <v>1</v>
      </c>
      <c r="K469" s="71" t="b">
        <v>0</v>
      </c>
      <c r="BZ469" s="71"/>
      <c r="CL469" t="s">
        <v>496</v>
      </c>
      <c r="CM469">
        <v>1</v>
      </c>
      <c r="CN469">
        <v>260</v>
      </c>
      <c r="CO469">
        <v>80</v>
      </c>
      <c r="CP469" s="74">
        <f ca="1">INDIRECT(ADDRESS(11+(MATCH(RIGHT(Table11[[#This Row],[spawner_sku]],LEN(Table11[[#This Row],[spawner_sku]])-FIND("/",Table11[[#This Row],[spawner_sku]])),Table1[Entity Prefab],0)),10,1,1,"Entities"))</f>
        <v>50</v>
      </c>
      <c r="CQ469">
        <f ca="1">ROUND((Table11[[#This Row],[XP]]*Table11[[#This Row],[entity_spawned (AVG)]])*(Table11[[#This Row],[activating_chance]]/100),0)</f>
        <v>40</v>
      </c>
      <c r="CR469" s="144" t="str">
        <f ca="1">INDIRECT(ADDRESS(11+(MATCH(RIGHT(Table11[[#This Row],[spawner_sku]],LEN(Table11[[#This Row],[spawner_sku]])-FIND("/",Table11[[#This Row],[spawner_sku]])),Table28[Entity Prefab],0)),25,1,1,"Entities"))</f>
        <v>no</v>
      </c>
      <c r="CS469" s="71">
        <v>1</v>
      </c>
      <c r="CT469" s="71">
        <v>1</v>
      </c>
      <c r="CU469" s="71" t="b">
        <v>0</v>
      </c>
      <c r="DS469" t="s">
        <v>432</v>
      </c>
      <c r="DT469">
        <v>1</v>
      </c>
      <c r="DU469">
        <v>150</v>
      </c>
      <c r="DV469">
        <v>100</v>
      </c>
      <c r="DW469" s="74">
        <f ca="1">INDIRECT(ADDRESS(11+(MATCH(RIGHT(Table14[[#This Row],[spawner_sku]],LEN(Table14[[#This Row],[spawner_sku]])-FIND("/",Table14[[#This Row],[spawner_sku]])),Table1[Entity Prefab],0)),10,1,1,"Entities"))</f>
        <v>75</v>
      </c>
      <c r="DX469" s="74">
        <f ca="1">ROUND((Table14[[#This Row],[XP]]*Table14[[#This Row],[entity_spawned (AVG)]])*(Table14[[#This Row],[activating_chance]]/100),0)</f>
        <v>75</v>
      </c>
      <c r="DY469" s="144" t="str">
        <f ca="1">INDIRECT(ADDRESS(11+(MATCH(RIGHT(Table14[[#This Row],[spawner_sku]],LEN(Table14[[#This Row],[spawner_sku]])-FIND("/",Table14[[#This Row],[spawner_sku]])),Table28[Entity Prefab],0)),25,1,1,"Entities"))</f>
        <v>no</v>
      </c>
      <c r="DZ469" s="71">
        <v>1</v>
      </c>
      <c r="EA469" s="71">
        <v>1</v>
      </c>
      <c r="EB469" s="71" t="b">
        <v>0</v>
      </c>
      <c r="EC469" s="71"/>
    </row>
    <row r="470" spans="2:133" x14ac:dyDescent="0.25">
      <c r="B470" s="72" t="s">
        <v>237</v>
      </c>
      <c r="C470">
        <v>1</v>
      </c>
      <c r="D470">
        <v>250</v>
      </c>
      <c r="E470">
        <v>100</v>
      </c>
      <c r="F470" s="74">
        <f ca="1">INDIRECT(ADDRESS(11+(MATCH(RIGHT(Table245[[#This Row],[spawner_sku]],LEN(Table245[[#This Row],[spawner_sku]])-FIND("/",Table245[[#This Row],[spawner_sku]])),Table1[Entity Prefab],0)),10,1,1,"Entities"))</f>
        <v>83</v>
      </c>
      <c r="G470" s="74">
        <f ca="1">ROUND((Table245[[#This Row],[XP]]*Table245[[#This Row],[entity_spawned (AVG)]])*(Table245[[#This Row],[activating_chance]]/100),0)</f>
        <v>83</v>
      </c>
      <c r="H470" s="71" t="str">
        <f ca="1">INDIRECT(ADDRESS(11+(MATCH(RIGHT(Table245[[#This Row],[spawner_sku]],LEN(Table245[[#This Row],[spawner_sku]])-FIND("/",Table245[[#This Row],[spawner_sku]])),Table28[Entity Prefab],0)),24,1,1,"Entities"))</f>
        <v>no</v>
      </c>
      <c r="I470" s="71">
        <v>1</v>
      </c>
      <c r="J470" s="71">
        <v>1</v>
      </c>
      <c r="K470" s="71" t="b">
        <v>0</v>
      </c>
      <c r="BZ470" s="71"/>
      <c r="CL470" t="s">
        <v>496</v>
      </c>
      <c r="CM470">
        <v>1</v>
      </c>
      <c r="CN470">
        <v>260</v>
      </c>
      <c r="CO470">
        <v>60</v>
      </c>
      <c r="CP470" s="74">
        <f ca="1">INDIRECT(ADDRESS(11+(MATCH(RIGHT(Table11[[#This Row],[spawner_sku]],LEN(Table11[[#This Row],[spawner_sku]])-FIND("/",Table11[[#This Row],[spawner_sku]])),Table1[Entity Prefab],0)),10,1,1,"Entities"))</f>
        <v>50</v>
      </c>
      <c r="CQ470">
        <f ca="1">ROUND((Table11[[#This Row],[XP]]*Table11[[#This Row],[entity_spawned (AVG)]])*(Table11[[#This Row],[activating_chance]]/100),0)</f>
        <v>30</v>
      </c>
      <c r="CR470" s="144" t="str">
        <f ca="1">INDIRECT(ADDRESS(11+(MATCH(RIGHT(Table11[[#This Row],[spawner_sku]],LEN(Table11[[#This Row],[spawner_sku]])-FIND("/",Table11[[#This Row],[spawner_sku]])),Table28[Entity Prefab],0)),25,1,1,"Entities"))</f>
        <v>no</v>
      </c>
      <c r="CS470" s="71">
        <v>1</v>
      </c>
      <c r="CT470" s="71">
        <v>1</v>
      </c>
      <c r="CU470" s="71" t="b">
        <v>0</v>
      </c>
      <c r="DS470" t="s">
        <v>432</v>
      </c>
      <c r="DT470">
        <v>1.5</v>
      </c>
      <c r="DU470">
        <v>150</v>
      </c>
      <c r="DV470">
        <v>100</v>
      </c>
      <c r="DW470" s="74">
        <f ca="1">INDIRECT(ADDRESS(11+(MATCH(RIGHT(Table14[[#This Row],[spawner_sku]],LEN(Table14[[#This Row],[spawner_sku]])-FIND("/",Table14[[#This Row],[spawner_sku]])),Table1[Entity Prefab],0)),10,1,1,"Entities"))</f>
        <v>75</v>
      </c>
      <c r="DX470" s="74">
        <f ca="1">ROUND((Table14[[#This Row],[XP]]*Table14[[#This Row],[entity_spawned (AVG)]])*(Table14[[#This Row],[activating_chance]]/100),0)</f>
        <v>113</v>
      </c>
      <c r="DY470" s="144" t="str">
        <f ca="1">INDIRECT(ADDRESS(11+(MATCH(RIGHT(Table14[[#This Row],[spawner_sku]],LEN(Table14[[#This Row],[spawner_sku]])-FIND("/",Table14[[#This Row],[spawner_sku]])),Table28[Entity Prefab],0)),25,1,1,"Entities"))</f>
        <v>no</v>
      </c>
      <c r="DZ470" s="71">
        <v>1</v>
      </c>
      <c r="EA470" s="71">
        <v>2</v>
      </c>
      <c r="EB470" s="71" t="b">
        <v>0</v>
      </c>
      <c r="EC470" s="71"/>
    </row>
    <row r="471" spans="2:133" x14ac:dyDescent="0.25">
      <c r="B471" s="72" t="s">
        <v>237</v>
      </c>
      <c r="C471">
        <v>1</v>
      </c>
      <c r="D471">
        <v>230</v>
      </c>
      <c r="E471">
        <v>60</v>
      </c>
      <c r="F471" s="74">
        <f ca="1">INDIRECT(ADDRESS(11+(MATCH(RIGHT(Table245[[#This Row],[spawner_sku]],LEN(Table245[[#This Row],[spawner_sku]])-FIND("/",Table245[[#This Row],[spawner_sku]])),Table1[Entity Prefab],0)),10,1,1,"Entities"))</f>
        <v>83</v>
      </c>
      <c r="G471" s="74">
        <f ca="1">ROUND((Table245[[#This Row],[XP]]*Table245[[#This Row],[entity_spawned (AVG)]])*(Table245[[#This Row],[activating_chance]]/100),0)</f>
        <v>50</v>
      </c>
      <c r="H471" s="71" t="str">
        <f ca="1">INDIRECT(ADDRESS(11+(MATCH(RIGHT(Table245[[#This Row],[spawner_sku]],LEN(Table245[[#This Row],[spawner_sku]])-FIND("/",Table245[[#This Row],[spawner_sku]])),Table28[Entity Prefab],0)),24,1,1,"Entities"))</f>
        <v>no</v>
      </c>
      <c r="I471" s="71">
        <v>1</v>
      </c>
      <c r="J471" s="71">
        <v>1</v>
      </c>
      <c r="K471" s="71" t="b">
        <v>0</v>
      </c>
      <c r="BZ471" s="71"/>
      <c r="CL471" t="s">
        <v>496</v>
      </c>
      <c r="CM471">
        <v>1</v>
      </c>
      <c r="CN471">
        <v>260</v>
      </c>
      <c r="CO471">
        <v>100</v>
      </c>
      <c r="CP471" s="74">
        <f ca="1">INDIRECT(ADDRESS(11+(MATCH(RIGHT(Table11[[#This Row],[spawner_sku]],LEN(Table11[[#This Row],[spawner_sku]])-FIND("/",Table11[[#This Row],[spawner_sku]])),Table1[Entity Prefab],0)),10,1,1,"Entities"))</f>
        <v>50</v>
      </c>
      <c r="CQ471">
        <f ca="1">ROUND((Table11[[#This Row],[XP]]*Table11[[#This Row],[entity_spawned (AVG)]])*(Table11[[#This Row],[activating_chance]]/100),0)</f>
        <v>50</v>
      </c>
      <c r="CR471" s="144" t="str">
        <f ca="1">INDIRECT(ADDRESS(11+(MATCH(RIGHT(Table11[[#This Row],[spawner_sku]],LEN(Table11[[#This Row],[spawner_sku]])-FIND("/",Table11[[#This Row],[spawner_sku]])),Table28[Entity Prefab],0)),25,1,1,"Entities"))</f>
        <v>no</v>
      </c>
      <c r="CS471" s="71">
        <v>1</v>
      </c>
      <c r="CT471" s="71">
        <v>1</v>
      </c>
      <c r="CU471" s="71" t="b">
        <v>0</v>
      </c>
      <c r="DS471" t="s">
        <v>423</v>
      </c>
      <c r="DT471">
        <v>4</v>
      </c>
      <c r="DU471">
        <v>200</v>
      </c>
      <c r="DV471">
        <v>80</v>
      </c>
      <c r="DW471" s="74">
        <f ca="1">INDIRECT(ADDRESS(11+(MATCH(RIGHT(Table14[[#This Row],[spawner_sku]],LEN(Table14[[#This Row],[spawner_sku]])-FIND("/",Table14[[#This Row],[spawner_sku]])),Table1[Entity Prefab],0)),10,1,1,"Entities"))</f>
        <v>0</v>
      </c>
      <c r="DX471" s="74">
        <f ca="1">ROUND((Table14[[#This Row],[XP]]*Table14[[#This Row],[entity_spawned (AVG)]])*(Table14[[#This Row],[activating_chance]]/100),0)</f>
        <v>0</v>
      </c>
      <c r="DY471" s="144" t="str">
        <f ca="1">INDIRECT(ADDRESS(11+(MATCH(RIGHT(Table14[[#This Row],[spawner_sku]],LEN(Table14[[#This Row],[spawner_sku]])-FIND("/",Table14[[#This Row],[spawner_sku]])),Table28[Entity Prefab],0)),25,1,1,"Entities"))</f>
        <v>yes</v>
      </c>
      <c r="DZ471" s="71">
        <v>4</v>
      </c>
      <c r="EA471" s="71">
        <v>4</v>
      </c>
      <c r="EB471" s="71" t="b">
        <v>0</v>
      </c>
      <c r="EC471" s="71"/>
    </row>
    <row r="472" spans="2:133" x14ac:dyDescent="0.25">
      <c r="B472" s="72" t="s">
        <v>323</v>
      </c>
      <c r="C472">
        <v>1</v>
      </c>
      <c r="D472">
        <v>230</v>
      </c>
      <c r="E472">
        <v>100</v>
      </c>
      <c r="F472" s="74">
        <f ca="1">INDIRECT(ADDRESS(11+(MATCH(RIGHT(Table245[[#This Row],[spawner_sku]],LEN(Table245[[#This Row],[spawner_sku]])-FIND("/",Table245[[#This Row],[spawner_sku]])),Table1[Entity Prefab],0)),10,1,1,"Entities"))</f>
        <v>83</v>
      </c>
      <c r="G472" s="74">
        <f ca="1">ROUND((Table245[[#This Row],[XP]]*Table245[[#This Row],[entity_spawned (AVG)]])*(Table245[[#This Row],[activating_chance]]/100),0)</f>
        <v>83</v>
      </c>
      <c r="H472" s="71" t="str">
        <f ca="1">INDIRECT(ADDRESS(11+(MATCH(RIGHT(Table245[[#This Row],[spawner_sku]],LEN(Table245[[#This Row],[spawner_sku]])-FIND("/",Table245[[#This Row],[spawner_sku]])),Table28[Entity Prefab],0)),24,1,1,"Entities"))</f>
        <v>no</v>
      </c>
      <c r="I472" s="71">
        <v>1</v>
      </c>
      <c r="J472" s="71">
        <v>1</v>
      </c>
      <c r="K472" s="71" t="b">
        <v>0</v>
      </c>
      <c r="BZ472" s="71"/>
      <c r="CL472" t="s">
        <v>496</v>
      </c>
      <c r="CM472">
        <v>1</v>
      </c>
      <c r="CN472">
        <v>260</v>
      </c>
      <c r="CO472">
        <v>100</v>
      </c>
      <c r="CP472" s="74">
        <f ca="1">INDIRECT(ADDRESS(11+(MATCH(RIGHT(Table11[[#This Row],[spawner_sku]],LEN(Table11[[#This Row],[spawner_sku]])-FIND("/",Table11[[#This Row],[spawner_sku]])),Table1[Entity Prefab],0)),10,1,1,"Entities"))</f>
        <v>50</v>
      </c>
      <c r="CQ472">
        <f ca="1">ROUND((Table11[[#This Row],[XP]]*Table11[[#This Row],[entity_spawned (AVG)]])*(Table11[[#This Row],[activating_chance]]/100),0)</f>
        <v>50</v>
      </c>
      <c r="CR472" s="144" t="str">
        <f ca="1">INDIRECT(ADDRESS(11+(MATCH(RIGHT(Table11[[#This Row],[spawner_sku]],LEN(Table11[[#This Row],[spawner_sku]])-FIND("/",Table11[[#This Row],[spawner_sku]])),Table28[Entity Prefab],0)),25,1,1,"Entities"))</f>
        <v>no</v>
      </c>
      <c r="CS472" s="71">
        <v>1</v>
      </c>
      <c r="CT472" s="71">
        <v>1</v>
      </c>
      <c r="CU472" s="71" t="b">
        <v>0</v>
      </c>
      <c r="DS472" t="s">
        <v>423</v>
      </c>
      <c r="DT472">
        <v>3</v>
      </c>
      <c r="DU472">
        <v>200</v>
      </c>
      <c r="DV472">
        <v>20</v>
      </c>
      <c r="DW472" s="74">
        <f ca="1">INDIRECT(ADDRESS(11+(MATCH(RIGHT(Table14[[#This Row],[spawner_sku]],LEN(Table14[[#This Row],[spawner_sku]])-FIND("/",Table14[[#This Row],[spawner_sku]])),Table1[Entity Prefab],0)),10,1,1,"Entities"))</f>
        <v>0</v>
      </c>
      <c r="DX472" s="74">
        <f ca="1">ROUND((Table14[[#This Row],[XP]]*Table14[[#This Row],[entity_spawned (AVG)]])*(Table14[[#This Row],[activating_chance]]/100),0)</f>
        <v>0</v>
      </c>
      <c r="DY472" s="144" t="str">
        <f ca="1">INDIRECT(ADDRESS(11+(MATCH(RIGHT(Table14[[#This Row],[spawner_sku]],LEN(Table14[[#This Row],[spawner_sku]])-FIND("/",Table14[[#This Row],[spawner_sku]])),Table28[Entity Prefab],0)),25,1,1,"Entities"))</f>
        <v>yes</v>
      </c>
      <c r="DZ472" s="71">
        <v>2</v>
      </c>
      <c r="EA472" s="71">
        <v>4</v>
      </c>
      <c r="EB472" s="71" t="b">
        <v>0</v>
      </c>
      <c r="EC472" s="71"/>
    </row>
    <row r="473" spans="2:133" x14ac:dyDescent="0.25">
      <c r="B473" s="72" t="s">
        <v>323</v>
      </c>
      <c r="C473">
        <v>1</v>
      </c>
      <c r="D473">
        <v>230</v>
      </c>
      <c r="E473">
        <v>60</v>
      </c>
      <c r="F473" s="74">
        <f ca="1">INDIRECT(ADDRESS(11+(MATCH(RIGHT(Table245[[#This Row],[spawner_sku]],LEN(Table245[[#This Row],[spawner_sku]])-FIND("/",Table245[[#This Row],[spawner_sku]])),Table1[Entity Prefab],0)),10,1,1,"Entities"))</f>
        <v>83</v>
      </c>
      <c r="G473" s="74">
        <f ca="1">ROUND((Table245[[#This Row],[XP]]*Table245[[#This Row],[entity_spawned (AVG)]])*(Table245[[#This Row],[activating_chance]]/100),0)</f>
        <v>50</v>
      </c>
      <c r="H473" s="71" t="str">
        <f ca="1">INDIRECT(ADDRESS(11+(MATCH(RIGHT(Table245[[#This Row],[spawner_sku]],LEN(Table245[[#This Row],[spawner_sku]])-FIND("/",Table245[[#This Row],[spawner_sku]])),Table28[Entity Prefab],0)),24,1,1,"Entities"))</f>
        <v>no</v>
      </c>
      <c r="I473" s="71">
        <v>1</v>
      </c>
      <c r="J473" s="71">
        <v>1</v>
      </c>
      <c r="K473" s="71" t="b">
        <v>0</v>
      </c>
      <c r="BZ473" s="71"/>
      <c r="CL473" t="s">
        <v>491</v>
      </c>
      <c r="CM473">
        <v>1</v>
      </c>
      <c r="CN473">
        <v>300</v>
      </c>
      <c r="CO473">
        <v>70</v>
      </c>
      <c r="CP473" s="74">
        <f ca="1">INDIRECT(ADDRESS(11+(MATCH(RIGHT(Table11[[#This Row],[spawner_sku]],LEN(Table11[[#This Row],[spawner_sku]])-FIND("/",Table11[[#This Row],[spawner_sku]])),Table1[Entity Prefab],0)),10,1,1,"Entities"))</f>
        <v>105</v>
      </c>
      <c r="CQ473">
        <f ca="1">ROUND((Table11[[#This Row],[XP]]*Table11[[#This Row],[entity_spawned (AVG)]])*(Table11[[#This Row],[activating_chance]]/100),0)</f>
        <v>74</v>
      </c>
      <c r="CR473" s="144" t="str">
        <f ca="1">INDIRECT(ADDRESS(11+(MATCH(RIGHT(Table11[[#This Row],[spawner_sku]],LEN(Table11[[#This Row],[spawner_sku]])-FIND("/",Table11[[#This Row],[spawner_sku]])),Table28[Entity Prefab],0)),25,1,1,"Entities"))</f>
        <v>no</v>
      </c>
      <c r="CS473" s="71">
        <v>1</v>
      </c>
      <c r="CT473" s="71">
        <v>1</v>
      </c>
      <c r="CU473" s="71" t="b">
        <v>0</v>
      </c>
      <c r="DS473" t="s">
        <v>423</v>
      </c>
      <c r="DT473">
        <v>2</v>
      </c>
      <c r="DU473">
        <v>200</v>
      </c>
      <c r="DV473">
        <v>100</v>
      </c>
      <c r="DW473" s="74">
        <f ca="1">INDIRECT(ADDRESS(11+(MATCH(RIGHT(Table14[[#This Row],[spawner_sku]],LEN(Table14[[#This Row],[spawner_sku]])-FIND("/",Table14[[#This Row],[spawner_sku]])),Table1[Entity Prefab],0)),10,1,1,"Entities"))</f>
        <v>0</v>
      </c>
      <c r="DX473" s="74">
        <f ca="1">ROUND((Table14[[#This Row],[XP]]*Table14[[#This Row],[entity_spawned (AVG)]])*(Table14[[#This Row],[activating_chance]]/100),0)</f>
        <v>0</v>
      </c>
      <c r="DY473" s="144" t="str">
        <f ca="1">INDIRECT(ADDRESS(11+(MATCH(RIGHT(Table14[[#This Row],[spawner_sku]],LEN(Table14[[#This Row],[spawner_sku]])-FIND("/",Table14[[#This Row],[spawner_sku]])),Table28[Entity Prefab],0)),25,1,1,"Entities"))</f>
        <v>yes</v>
      </c>
      <c r="DZ473" s="71">
        <v>2</v>
      </c>
      <c r="EA473" s="71">
        <v>2</v>
      </c>
      <c r="EB473" s="71" t="b">
        <v>0</v>
      </c>
      <c r="EC473" s="71"/>
    </row>
    <row r="474" spans="2:133" x14ac:dyDescent="0.25">
      <c r="B474" s="72" t="s">
        <v>323</v>
      </c>
      <c r="C474">
        <v>1</v>
      </c>
      <c r="D474">
        <v>230</v>
      </c>
      <c r="E474">
        <v>100</v>
      </c>
      <c r="F474" s="74">
        <f ca="1">INDIRECT(ADDRESS(11+(MATCH(RIGHT(Table245[[#This Row],[spawner_sku]],LEN(Table245[[#This Row],[spawner_sku]])-FIND("/",Table245[[#This Row],[spawner_sku]])),Table1[Entity Prefab],0)),10,1,1,"Entities"))</f>
        <v>83</v>
      </c>
      <c r="G474" s="74">
        <f ca="1">ROUND((Table245[[#This Row],[XP]]*Table245[[#This Row],[entity_spawned (AVG)]])*(Table245[[#This Row],[activating_chance]]/100),0)</f>
        <v>83</v>
      </c>
      <c r="H474" s="71" t="str">
        <f ca="1">INDIRECT(ADDRESS(11+(MATCH(RIGHT(Table245[[#This Row],[spawner_sku]],LEN(Table245[[#This Row],[spawner_sku]])-FIND("/",Table245[[#This Row],[spawner_sku]])),Table28[Entity Prefab],0)),24,1,1,"Entities"))</f>
        <v>no</v>
      </c>
      <c r="I474" s="71">
        <v>1</v>
      </c>
      <c r="J474" s="71">
        <v>1</v>
      </c>
      <c r="K474" s="71" t="b">
        <v>0</v>
      </c>
      <c r="BZ474" s="71"/>
      <c r="CL474" t="s">
        <v>491</v>
      </c>
      <c r="CM474">
        <v>1</v>
      </c>
      <c r="CN474">
        <v>300</v>
      </c>
      <c r="CO474">
        <v>70</v>
      </c>
      <c r="CP474" s="74">
        <f ca="1">INDIRECT(ADDRESS(11+(MATCH(RIGHT(Table11[[#This Row],[spawner_sku]],LEN(Table11[[#This Row],[spawner_sku]])-FIND("/",Table11[[#This Row],[spawner_sku]])),Table1[Entity Prefab],0)),10,1,1,"Entities"))</f>
        <v>105</v>
      </c>
      <c r="CQ474">
        <f ca="1">ROUND((Table11[[#This Row],[XP]]*Table11[[#This Row],[entity_spawned (AVG)]])*(Table11[[#This Row],[activating_chance]]/100),0)</f>
        <v>74</v>
      </c>
      <c r="CR474" s="144" t="str">
        <f ca="1">INDIRECT(ADDRESS(11+(MATCH(RIGHT(Table11[[#This Row],[spawner_sku]],LEN(Table11[[#This Row],[spawner_sku]])-FIND("/",Table11[[#This Row],[spawner_sku]])),Table28[Entity Prefab],0)),25,1,1,"Entities"))</f>
        <v>no</v>
      </c>
      <c r="CS474" s="71">
        <v>1</v>
      </c>
      <c r="CT474" s="71">
        <v>1</v>
      </c>
      <c r="CU474" s="71" t="b">
        <v>0</v>
      </c>
      <c r="DS474" t="s">
        <v>423</v>
      </c>
      <c r="DT474">
        <v>2</v>
      </c>
      <c r="DU474">
        <v>200</v>
      </c>
      <c r="DV474">
        <v>100</v>
      </c>
      <c r="DW474" s="74">
        <f ca="1">INDIRECT(ADDRESS(11+(MATCH(RIGHT(Table14[[#This Row],[spawner_sku]],LEN(Table14[[#This Row],[spawner_sku]])-FIND("/",Table14[[#This Row],[spawner_sku]])),Table1[Entity Prefab],0)),10,1,1,"Entities"))</f>
        <v>0</v>
      </c>
      <c r="DX474" s="74">
        <f ca="1">ROUND((Table14[[#This Row],[XP]]*Table14[[#This Row],[entity_spawned (AVG)]])*(Table14[[#This Row],[activating_chance]]/100),0)</f>
        <v>0</v>
      </c>
      <c r="DY474" s="144" t="str">
        <f ca="1">INDIRECT(ADDRESS(11+(MATCH(RIGHT(Table14[[#This Row],[spawner_sku]],LEN(Table14[[#This Row],[spawner_sku]])-FIND("/",Table14[[#This Row],[spawner_sku]])),Table28[Entity Prefab],0)),25,1,1,"Entities"))</f>
        <v>yes</v>
      </c>
      <c r="DZ474" s="71">
        <v>2</v>
      </c>
      <c r="EA474" s="71">
        <v>2</v>
      </c>
      <c r="EB474" s="71" t="b">
        <v>0</v>
      </c>
      <c r="EC474" s="71"/>
    </row>
    <row r="475" spans="2:133" x14ac:dyDescent="0.25">
      <c r="B475" s="72" t="s">
        <v>238</v>
      </c>
      <c r="C475">
        <v>1</v>
      </c>
      <c r="D475">
        <v>180</v>
      </c>
      <c r="E475">
        <v>100</v>
      </c>
      <c r="F475" s="74">
        <f ca="1">INDIRECT(ADDRESS(11+(MATCH(RIGHT(Table245[[#This Row],[spawner_sku]],LEN(Table245[[#This Row],[spawner_sku]])-FIND("/",Table245[[#This Row],[spawner_sku]])),Table1[Entity Prefab],0)),10,1,1,"Entities"))</f>
        <v>83</v>
      </c>
      <c r="G475" s="74">
        <f ca="1">ROUND((Table245[[#This Row],[XP]]*Table245[[#This Row],[entity_spawned (AVG)]])*(Table245[[#This Row],[activating_chance]]/100),0)</f>
        <v>83</v>
      </c>
      <c r="H475" s="71" t="str">
        <f ca="1">INDIRECT(ADDRESS(11+(MATCH(RIGHT(Table245[[#This Row],[spawner_sku]],LEN(Table245[[#This Row],[spawner_sku]])-FIND("/",Table245[[#This Row],[spawner_sku]])),Table28[Entity Prefab],0)),24,1,1,"Entities"))</f>
        <v>no</v>
      </c>
      <c r="I475" s="71">
        <v>1</v>
      </c>
      <c r="J475" s="71">
        <v>1</v>
      </c>
      <c r="K475" s="71" t="b">
        <v>0</v>
      </c>
      <c r="BZ475" s="71"/>
      <c r="CL475" t="s">
        <v>491</v>
      </c>
      <c r="CM475">
        <v>1</v>
      </c>
      <c r="CN475">
        <v>300</v>
      </c>
      <c r="CO475">
        <v>100</v>
      </c>
      <c r="CP475" s="74">
        <f ca="1">INDIRECT(ADDRESS(11+(MATCH(RIGHT(Table11[[#This Row],[spawner_sku]],LEN(Table11[[#This Row],[spawner_sku]])-FIND("/",Table11[[#This Row],[spawner_sku]])),Table1[Entity Prefab],0)),10,1,1,"Entities"))</f>
        <v>105</v>
      </c>
      <c r="CQ475">
        <f ca="1">ROUND((Table11[[#This Row],[XP]]*Table11[[#This Row],[entity_spawned (AVG)]])*(Table11[[#This Row],[activating_chance]]/100),0)</f>
        <v>105</v>
      </c>
      <c r="CR475" s="144" t="str">
        <f ca="1">INDIRECT(ADDRESS(11+(MATCH(RIGHT(Table11[[#This Row],[spawner_sku]],LEN(Table11[[#This Row],[spawner_sku]])-FIND("/",Table11[[#This Row],[spawner_sku]])),Table28[Entity Prefab],0)),25,1,1,"Entities"))</f>
        <v>no</v>
      </c>
      <c r="CS475" s="71">
        <v>1</v>
      </c>
      <c r="CT475" s="71">
        <v>1</v>
      </c>
      <c r="CU475" s="71" t="b">
        <v>0</v>
      </c>
      <c r="DS475" t="s">
        <v>423</v>
      </c>
      <c r="DT475">
        <v>4</v>
      </c>
      <c r="DU475">
        <v>200</v>
      </c>
      <c r="DV475">
        <v>100</v>
      </c>
      <c r="DW475" s="74">
        <f ca="1">INDIRECT(ADDRESS(11+(MATCH(RIGHT(Table14[[#This Row],[spawner_sku]],LEN(Table14[[#This Row],[spawner_sku]])-FIND("/",Table14[[#This Row],[spawner_sku]])),Table1[Entity Prefab],0)),10,1,1,"Entities"))</f>
        <v>0</v>
      </c>
      <c r="DX475" s="74">
        <f ca="1">ROUND((Table14[[#This Row],[XP]]*Table14[[#This Row],[entity_spawned (AVG)]])*(Table14[[#This Row],[activating_chance]]/100),0)</f>
        <v>0</v>
      </c>
      <c r="DY475" s="144" t="str">
        <f ca="1">INDIRECT(ADDRESS(11+(MATCH(RIGHT(Table14[[#This Row],[spawner_sku]],LEN(Table14[[#This Row],[spawner_sku]])-FIND("/",Table14[[#This Row],[spawner_sku]])),Table28[Entity Prefab],0)),25,1,1,"Entities"))</f>
        <v>yes</v>
      </c>
      <c r="DZ475" s="71">
        <v>4</v>
      </c>
      <c r="EA475" s="71">
        <v>4</v>
      </c>
      <c r="EB475" s="71" t="b">
        <v>0</v>
      </c>
      <c r="EC475" s="71"/>
    </row>
    <row r="476" spans="2:133" x14ac:dyDescent="0.25">
      <c r="B476" s="72" t="s">
        <v>238</v>
      </c>
      <c r="C476">
        <v>1</v>
      </c>
      <c r="D476">
        <v>280</v>
      </c>
      <c r="E476">
        <v>20</v>
      </c>
      <c r="F476" s="74">
        <f ca="1">INDIRECT(ADDRESS(11+(MATCH(RIGHT(Table245[[#This Row],[spawner_sku]],LEN(Table245[[#This Row],[spawner_sku]])-FIND("/",Table245[[#This Row],[spawner_sku]])),Table1[Entity Prefab],0)),10,1,1,"Entities"))</f>
        <v>83</v>
      </c>
      <c r="G476" s="74">
        <f ca="1">ROUND((Table245[[#This Row],[XP]]*Table245[[#This Row],[entity_spawned (AVG)]])*(Table245[[#This Row],[activating_chance]]/100),0)</f>
        <v>17</v>
      </c>
      <c r="H476" s="71" t="str">
        <f ca="1">INDIRECT(ADDRESS(11+(MATCH(RIGHT(Table245[[#This Row],[spawner_sku]],LEN(Table245[[#This Row],[spawner_sku]])-FIND("/",Table245[[#This Row],[spawner_sku]])),Table28[Entity Prefab],0)),24,1,1,"Entities"))</f>
        <v>no</v>
      </c>
      <c r="I476" s="71">
        <v>1</v>
      </c>
      <c r="J476" s="71">
        <v>1</v>
      </c>
      <c r="K476" s="71" t="b">
        <v>0</v>
      </c>
      <c r="BZ476" s="71"/>
      <c r="CL476" t="s">
        <v>491</v>
      </c>
      <c r="CM476">
        <v>1</v>
      </c>
      <c r="CN476">
        <v>300</v>
      </c>
      <c r="CO476">
        <v>100</v>
      </c>
      <c r="CP476" s="74">
        <f ca="1">INDIRECT(ADDRESS(11+(MATCH(RIGHT(Table11[[#This Row],[spawner_sku]],LEN(Table11[[#This Row],[spawner_sku]])-FIND("/",Table11[[#This Row],[spawner_sku]])),Table1[Entity Prefab],0)),10,1,1,"Entities"))</f>
        <v>105</v>
      </c>
      <c r="CQ476">
        <f ca="1">ROUND((Table11[[#This Row],[XP]]*Table11[[#This Row],[entity_spawned (AVG)]])*(Table11[[#This Row],[activating_chance]]/100),0)</f>
        <v>105</v>
      </c>
      <c r="CR476" s="144" t="str">
        <f ca="1">INDIRECT(ADDRESS(11+(MATCH(RIGHT(Table11[[#This Row],[spawner_sku]],LEN(Table11[[#This Row],[spawner_sku]])-FIND("/",Table11[[#This Row],[spawner_sku]])),Table28[Entity Prefab],0)),25,1,1,"Entities"))</f>
        <v>no</v>
      </c>
      <c r="CS476" s="71">
        <v>1</v>
      </c>
      <c r="CT476" s="71">
        <v>1</v>
      </c>
      <c r="CU476" s="71" t="b">
        <v>0</v>
      </c>
      <c r="DS476" t="s">
        <v>423</v>
      </c>
      <c r="DT476">
        <v>4</v>
      </c>
      <c r="DU476">
        <v>200</v>
      </c>
      <c r="DV476">
        <v>100</v>
      </c>
      <c r="DW476" s="74">
        <f ca="1">INDIRECT(ADDRESS(11+(MATCH(RIGHT(Table14[[#This Row],[spawner_sku]],LEN(Table14[[#This Row],[spawner_sku]])-FIND("/",Table14[[#This Row],[spawner_sku]])),Table1[Entity Prefab],0)),10,1,1,"Entities"))</f>
        <v>0</v>
      </c>
      <c r="DX476" s="74">
        <f ca="1">ROUND((Table14[[#This Row],[XP]]*Table14[[#This Row],[entity_spawned (AVG)]])*(Table14[[#This Row],[activating_chance]]/100),0)</f>
        <v>0</v>
      </c>
      <c r="DY476" s="144" t="str">
        <f ca="1">INDIRECT(ADDRESS(11+(MATCH(RIGHT(Table14[[#This Row],[spawner_sku]],LEN(Table14[[#This Row],[spawner_sku]])-FIND("/",Table14[[#This Row],[spawner_sku]])),Table28[Entity Prefab],0)),25,1,1,"Entities"))</f>
        <v>yes</v>
      </c>
      <c r="DZ476" s="71">
        <v>4</v>
      </c>
      <c r="EA476" s="71">
        <v>4</v>
      </c>
      <c r="EB476" s="71" t="b">
        <v>0</v>
      </c>
      <c r="EC476" s="71"/>
    </row>
    <row r="477" spans="2:133" x14ac:dyDescent="0.25">
      <c r="B477" s="72" t="s">
        <v>374</v>
      </c>
      <c r="C477">
        <v>1</v>
      </c>
      <c r="D477">
        <v>270</v>
      </c>
      <c r="E477">
        <v>40</v>
      </c>
      <c r="F477" s="74">
        <f ca="1">INDIRECT(ADDRESS(11+(MATCH(RIGHT(Table245[[#This Row],[spawner_sku]],LEN(Table245[[#This Row],[spawner_sku]])-FIND("/",Table245[[#This Row],[spawner_sku]])),Table1[Entity Prefab],0)),10,1,1,"Entities"))</f>
        <v>83</v>
      </c>
      <c r="G477" s="74">
        <f ca="1">ROUND((Table245[[#This Row],[XP]]*Table245[[#This Row],[entity_spawned (AVG)]])*(Table245[[#This Row],[activating_chance]]/100),0)</f>
        <v>33</v>
      </c>
      <c r="H477" s="71" t="str">
        <f ca="1">INDIRECT(ADDRESS(11+(MATCH(RIGHT(Table245[[#This Row],[spawner_sku]],LEN(Table245[[#This Row],[spawner_sku]])-FIND("/",Table245[[#This Row],[spawner_sku]])),Table28[Entity Prefab],0)),24,1,1,"Entities"))</f>
        <v>no</v>
      </c>
      <c r="I477" s="71">
        <v>1</v>
      </c>
      <c r="J477" s="71">
        <v>1</v>
      </c>
      <c r="K477" s="71" t="b">
        <v>0</v>
      </c>
      <c r="BZ477" s="71"/>
      <c r="CL477" t="s">
        <v>491</v>
      </c>
      <c r="CM477">
        <v>1</v>
      </c>
      <c r="CN477">
        <v>300</v>
      </c>
      <c r="CO477">
        <v>70</v>
      </c>
      <c r="CP477" s="74">
        <f ca="1">INDIRECT(ADDRESS(11+(MATCH(RIGHT(Table11[[#This Row],[spawner_sku]],LEN(Table11[[#This Row],[spawner_sku]])-FIND("/",Table11[[#This Row],[spawner_sku]])),Table1[Entity Prefab],0)),10,1,1,"Entities"))</f>
        <v>105</v>
      </c>
      <c r="CQ477">
        <f ca="1">ROUND((Table11[[#This Row],[XP]]*Table11[[#This Row],[entity_spawned (AVG)]])*(Table11[[#This Row],[activating_chance]]/100),0)</f>
        <v>74</v>
      </c>
      <c r="CR477" s="144" t="str">
        <f ca="1">INDIRECT(ADDRESS(11+(MATCH(RIGHT(Table11[[#This Row],[spawner_sku]],LEN(Table11[[#This Row],[spawner_sku]])-FIND("/",Table11[[#This Row],[spawner_sku]])),Table28[Entity Prefab],0)),25,1,1,"Entities"))</f>
        <v>no</v>
      </c>
      <c r="CS477" s="71">
        <v>1</v>
      </c>
      <c r="CT477" s="71">
        <v>1</v>
      </c>
      <c r="CU477" s="71" t="b">
        <v>0</v>
      </c>
      <c r="DS477" t="s">
        <v>423</v>
      </c>
      <c r="DT477">
        <v>2</v>
      </c>
      <c r="DU477">
        <v>200</v>
      </c>
      <c r="DV477">
        <v>100</v>
      </c>
      <c r="DW477" s="74">
        <f ca="1">INDIRECT(ADDRESS(11+(MATCH(RIGHT(Table14[[#This Row],[spawner_sku]],LEN(Table14[[#This Row],[spawner_sku]])-FIND("/",Table14[[#This Row],[spawner_sku]])),Table1[Entity Prefab],0)),10,1,1,"Entities"))</f>
        <v>0</v>
      </c>
      <c r="DX477" s="74">
        <f ca="1">ROUND((Table14[[#This Row],[XP]]*Table14[[#This Row],[entity_spawned (AVG)]])*(Table14[[#This Row],[activating_chance]]/100),0)</f>
        <v>0</v>
      </c>
      <c r="DY477" s="144" t="str">
        <f ca="1">INDIRECT(ADDRESS(11+(MATCH(RIGHT(Table14[[#This Row],[spawner_sku]],LEN(Table14[[#This Row],[spawner_sku]])-FIND("/",Table14[[#This Row],[spawner_sku]])),Table28[Entity Prefab],0)),25,1,1,"Entities"))</f>
        <v>yes</v>
      </c>
      <c r="DZ477" s="71">
        <v>2</v>
      </c>
      <c r="EA477" s="71">
        <v>2</v>
      </c>
      <c r="EB477" s="71" t="b">
        <v>0</v>
      </c>
      <c r="EC477" s="71"/>
    </row>
    <row r="478" spans="2:133" x14ac:dyDescent="0.25">
      <c r="B478" s="72" t="s">
        <v>374</v>
      </c>
      <c r="C478">
        <v>1</v>
      </c>
      <c r="D478">
        <v>240</v>
      </c>
      <c r="E478">
        <v>100</v>
      </c>
      <c r="F478" s="74">
        <f ca="1">INDIRECT(ADDRESS(11+(MATCH(RIGHT(Table245[[#This Row],[spawner_sku]],LEN(Table245[[#This Row],[spawner_sku]])-FIND("/",Table245[[#This Row],[spawner_sku]])),Table1[Entity Prefab],0)),10,1,1,"Entities"))</f>
        <v>83</v>
      </c>
      <c r="G478" s="74">
        <f ca="1">ROUND((Table245[[#This Row],[XP]]*Table245[[#This Row],[entity_spawned (AVG)]])*(Table245[[#This Row],[activating_chance]]/100),0)</f>
        <v>83</v>
      </c>
      <c r="H478" s="71" t="str">
        <f ca="1">INDIRECT(ADDRESS(11+(MATCH(RIGHT(Table245[[#This Row],[spawner_sku]],LEN(Table245[[#This Row],[spawner_sku]])-FIND("/",Table245[[#This Row],[spawner_sku]])),Table28[Entity Prefab],0)),24,1,1,"Entities"))</f>
        <v>no</v>
      </c>
      <c r="I478" s="71">
        <v>1</v>
      </c>
      <c r="J478" s="71">
        <v>1</v>
      </c>
      <c r="K478" s="71" t="b">
        <v>0</v>
      </c>
      <c r="BZ478" s="71"/>
      <c r="CL478" t="s">
        <v>491</v>
      </c>
      <c r="CM478">
        <v>1</v>
      </c>
      <c r="CN478">
        <v>300</v>
      </c>
      <c r="CO478">
        <v>100</v>
      </c>
      <c r="CP478" s="74">
        <f ca="1">INDIRECT(ADDRESS(11+(MATCH(RIGHT(Table11[[#This Row],[spawner_sku]],LEN(Table11[[#This Row],[spawner_sku]])-FIND("/",Table11[[#This Row],[spawner_sku]])),Table1[Entity Prefab],0)),10,1,1,"Entities"))</f>
        <v>105</v>
      </c>
      <c r="CQ478">
        <f ca="1">ROUND((Table11[[#This Row],[XP]]*Table11[[#This Row],[entity_spawned (AVG)]])*(Table11[[#This Row],[activating_chance]]/100),0)</f>
        <v>105</v>
      </c>
      <c r="CR478" s="144" t="str">
        <f ca="1">INDIRECT(ADDRESS(11+(MATCH(RIGHT(Table11[[#This Row],[spawner_sku]],LEN(Table11[[#This Row],[spawner_sku]])-FIND("/",Table11[[#This Row],[spawner_sku]])),Table28[Entity Prefab],0)),25,1,1,"Entities"))</f>
        <v>no</v>
      </c>
      <c r="CS478" s="71">
        <v>1</v>
      </c>
      <c r="CT478" s="71">
        <v>1</v>
      </c>
      <c r="CU478" s="71" t="b">
        <v>0</v>
      </c>
      <c r="DS478" t="s">
        <v>423</v>
      </c>
      <c r="DT478">
        <v>3.5</v>
      </c>
      <c r="DU478">
        <v>200</v>
      </c>
      <c r="DV478">
        <v>100</v>
      </c>
      <c r="DW478" s="74">
        <f ca="1">INDIRECT(ADDRESS(11+(MATCH(RIGHT(Table14[[#This Row],[spawner_sku]],LEN(Table14[[#This Row],[spawner_sku]])-FIND("/",Table14[[#This Row],[spawner_sku]])),Table1[Entity Prefab],0)),10,1,1,"Entities"))</f>
        <v>0</v>
      </c>
      <c r="DX478" s="74">
        <f ca="1">ROUND((Table14[[#This Row],[XP]]*Table14[[#This Row],[entity_spawned (AVG)]])*(Table14[[#This Row],[activating_chance]]/100),0)</f>
        <v>0</v>
      </c>
      <c r="DY478" s="144" t="str">
        <f ca="1">INDIRECT(ADDRESS(11+(MATCH(RIGHT(Table14[[#This Row],[spawner_sku]],LEN(Table14[[#This Row],[spawner_sku]])-FIND("/",Table14[[#This Row],[spawner_sku]])),Table28[Entity Prefab],0)),25,1,1,"Entities"))</f>
        <v>yes</v>
      </c>
      <c r="DZ478" s="71">
        <v>3</v>
      </c>
      <c r="EA478" s="71">
        <v>4</v>
      </c>
      <c r="EB478" s="71" t="b">
        <v>0</v>
      </c>
      <c r="EC478" s="71"/>
    </row>
    <row r="479" spans="2:133" x14ac:dyDescent="0.25">
      <c r="B479" s="72" t="s">
        <v>332</v>
      </c>
      <c r="C479">
        <v>1</v>
      </c>
      <c r="D479">
        <v>180</v>
      </c>
      <c r="E479">
        <v>100</v>
      </c>
      <c r="F479" s="74">
        <f ca="1">INDIRECT(ADDRESS(11+(MATCH(RIGHT(Table245[[#This Row],[spawner_sku]],LEN(Table245[[#This Row],[spawner_sku]])-FIND("/",Table245[[#This Row],[spawner_sku]])),Table1[Entity Prefab],0)),10,1,1,"Entities"))</f>
        <v>50</v>
      </c>
      <c r="G479" s="74">
        <f ca="1">ROUND((Table245[[#This Row],[XP]]*Table245[[#This Row],[entity_spawned (AVG)]])*(Table245[[#This Row],[activating_chance]]/100),0)</f>
        <v>50</v>
      </c>
      <c r="H479" s="71" t="str">
        <f ca="1">INDIRECT(ADDRESS(11+(MATCH(RIGHT(Table245[[#This Row],[spawner_sku]],LEN(Table245[[#This Row],[spawner_sku]])-FIND("/",Table245[[#This Row],[spawner_sku]])),Table28[Entity Prefab],0)),24,1,1,"Entities"))</f>
        <v>no</v>
      </c>
      <c r="I479" s="71">
        <v>1</v>
      </c>
      <c r="J479" s="71">
        <v>1</v>
      </c>
      <c r="K479" s="71" t="b">
        <v>0</v>
      </c>
      <c r="BZ479" s="71"/>
      <c r="CL479" t="s">
        <v>495</v>
      </c>
      <c r="CM479">
        <v>1</v>
      </c>
      <c r="CN479">
        <v>240</v>
      </c>
      <c r="CO479">
        <v>100</v>
      </c>
      <c r="CP479" s="74">
        <f ca="1">INDIRECT(ADDRESS(11+(MATCH(RIGHT(Table11[[#This Row],[spawner_sku]],LEN(Table11[[#This Row],[spawner_sku]])-FIND("/",Table11[[#This Row],[spawner_sku]])),Table1[Entity Prefab],0)),10,1,1,"Entities"))</f>
        <v>70</v>
      </c>
      <c r="CQ479">
        <f ca="1">ROUND((Table11[[#This Row],[XP]]*Table11[[#This Row],[entity_spawned (AVG)]])*(Table11[[#This Row],[activating_chance]]/100),0)</f>
        <v>70</v>
      </c>
      <c r="CR479" s="144" t="str">
        <f ca="1">INDIRECT(ADDRESS(11+(MATCH(RIGHT(Table11[[#This Row],[spawner_sku]],LEN(Table11[[#This Row],[spawner_sku]])-FIND("/",Table11[[#This Row],[spawner_sku]])),Table28[Entity Prefab],0)),25,1,1,"Entities"))</f>
        <v>yes</v>
      </c>
      <c r="CS479" s="71">
        <v>1</v>
      </c>
      <c r="CT479" s="71">
        <v>1</v>
      </c>
      <c r="CU479" s="71" t="b">
        <v>0</v>
      </c>
      <c r="DS479" t="s">
        <v>423</v>
      </c>
      <c r="DT479">
        <v>4</v>
      </c>
      <c r="DU479">
        <v>200</v>
      </c>
      <c r="DV479">
        <v>100</v>
      </c>
      <c r="DW479" s="74">
        <f ca="1">INDIRECT(ADDRESS(11+(MATCH(RIGHT(Table14[[#This Row],[spawner_sku]],LEN(Table14[[#This Row],[spawner_sku]])-FIND("/",Table14[[#This Row],[spawner_sku]])),Table1[Entity Prefab],0)),10,1,1,"Entities"))</f>
        <v>0</v>
      </c>
      <c r="DX479" s="74">
        <f ca="1">ROUND((Table14[[#This Row],[XP]]*Table14[[#This Row],[entity_spawned (AVG)]])*(Table14[[#This Row],[activating_chance]]/100),0)</f>
        <v>0</v>
      </c>
      <c r="DY479" s="144" t="str">
        <f ca="1">INDIRECT(ADDRESS(11+(MATCH(RIGHT(Table14[[#This Row],[spawner_sku]],LEN(Table14[[#This Row],[spawner_sku]])-FIND("/",Table14[[#This Row],[spawner_sku]])),Table28[Entity Prefab],0)),25,1,1,"Entities"))</f>
        <v>yes</v>
      </c>
      <c r="DZ479" s="71">
        <v>4</v>
      </c>
      <c r="EA479" s="71">
        <v>4</v>
      </c>
      <c r="EB479" s="71" t="b">
        <v>0</v>
      </c>
      <c r="EC479" s="71"/>
    </row>
    <row r="480" spans="2:133" x14ac:dyDescent="0.25">
      <c r="B480" s="72" t="s">
        <v>239</v>
      </c>
      <c r="C480">
        <v>1</v>
      </c>
      <c r="D480">
        <v>190</v>
      </c>
      <c r="E480">
        <v>60</v>
      </c>
      <c r="F480" s="74">
        <f ca="1">INDIRECT(ADDRESS(11+(MATCH(RIGHT(Table245[[#This Row],[spawner_sku]],LEN(Table245[[#This Row],[spawner_sku]])-FIND("/",Table245[[#This Row],[spawner_sku]])),Table1[Entity Prefab],0)),10,1,1,"Entities"))</f>
        <v>75</v>
      </c>
      <c r="G480" s="74">
        <f ca="1">ROUND((Table245[[#This Row],[XP]]*Table245[[#This Row],[entity_spawned (AVG)]])*(Table245[[#This Row],[activating_chance]]/100),0)</f>
        <v>45</v>
      </c>
      <c r="H480" s="71" t="str">
        <f ca="1">INDIRECT(ADDRESS(11+(MATCH(RIGHT(Table245[[#This Row],[spawner_sku]],LEN(Table245[[#This Row],[spawner_sku]])-FIND("/",Table245[[#This Row],[spawner_sku]])),Table28[Entity Prefab],0)),24,1,1,"Entities"))</f>
        <v>no</v>
      </c>
      <c r="I480" s="71">
        <v>1</v>
      </c>
      <c r="J480" s="71">
        <v>1</v>
      </c>
      <c r="K480" s="71" t="b">
        <v>0</v>
      </c>
      <c r="BZ480" s="71"/>
      <c r="CL480" t="s">
        <v>495</v>
      </c>
      <c r="CM480">
        <v>1</v>
      </c>
      <c r="CN480">
        <v>240</v>
      </c>
      <c r="CO480">
        <v>100</v>
      </c>
      <c r="CP480" s="74">
        <f ca="1">INDIRECT(ADDRESS(11+(MATCH(RIGHT(Table11[[#This Row],[spawner_sku]],LEN(Table11[[#This Row],[spawner_sku]])-FIND("/",Table11[[#This Row],[spawner_sku]])),Table1[Entity Prefab],0)),10,1,1,"Entities"))</f>
        <v>70</v>
      </c>
      <c r="CQ480">
        <f ca="1">ROUND((Table11[[#This Row],[XP]]*Table11[[#This Row],[entity_spawned (AVG)]])*(Table11[[#This Row],[activating_chance]]/100),0)</f>
        <v>70</v>
      </c>
      <c r="CR480" s="144" t="str">
        <f ca="1">INDIRECT(ADDRESS(11+(MATCH(RIGHT(Table11[[#This Row],[spawner_sku]],LEN(Table11[[#This Row],[spawner_sku]])-FIND("/",Table11[[#This Row],[spawner_sku]])),Table28[Entity Prefab],0)),25,1,1,"Entities"))</f>
        <v>yes</v>
      </c>
      <c r="CS480" s="71">
        <v>1</v>
      </c>
      <c r="CT480" s="71">
        <v>1</v>
      </c>
      <c r="CU480" s="71" t="b">
        <v>0</v>
      </c>
      <c r="DS480" t="s">
        <v>423</v>
      </c>
      <c r="DT480">
        <v>4</v>
      </c>
      <c r="DU480">
        <v>200</v>
      </c>
      <c r="DV480">
        <v>80</v>
      </c>
      <c r="DW480" s="74">
        <f ca="1">INDIRECT(ADDRESS(11+(MATCH(RIGHT(Table14[[#This Row],[spawner_sku]],LEN(Table14[[#This Row],[spawner_sku]])-FIND("/",Table14[[#This Row],[spawner_sku]])),Table1[Entity Prefab],0)),10,1,1,"Entities"))</f>
        <v>0</v>
      </c>
      <c r="DX480" s="74">
        <f ca="1">ROUND((Table14[[#This Row],[XP]]*Table14[[#This Row],[entity_spawned (AVG)]])*(Table14[[#This Row],[activating_chance]]/100),0)</f>
        <v>0</v>
      </c>
      <c r="DY480" s="144" t="str">
        <f ca="1">INDIRECT(ADDRESS(11+(MATCH(RIGHT(Table14[[#This Row],[spawner_sku]],LEN(Table14[[#This Row],[spawner_sku]])-FIND("/",Table14[[#This Row],[spawner_sku]])),Table28[Entity Prefab],0)),25,1,1,"Entities"))</f>
        <v>yes</v>
      </c>
      <c r="DZ480" s="71">
        <v>4</v>
      </c>
      <c r="EA480" s="71">
        <v>4</v>
      </c>
      <c r="EB480" s="71" t="b">
        <v>0</v>
      </c>
      <c r="EC480" s="71"/>
    </row>
    <row r="481" spans="2:133" x14ac:dyDescent="0.25">
      <c r="B481" s="72" t="s">
        <v>239</v>
      </c>
      <c r="C481">
        <v>2</v>
      </c>
      <c r="D481">
        <v>160</v>
      </c>
      <c r="E481">
        <v>100</v>
      </c>
      <c r="F481" s="74">
        <f ca="1">INDIRECT(ADDRESS(11+(MATCH(RIGHT(Table245[[#This Row],[spawner_sku]],LEN(Table245[[#This Row],[spawner_sku]])-FIND("/",Table245[[#This Row],[spawner_sku]])),Table1[Entity Prefab],0)),10,1,1,"Entities"))</f>
        <v>75</v>
      </c>
      <c r="G481" s="74">
        <f ca="1">ROUND((Table245[[#This Row],[XP]]*Table245[[#This Row],[entity_spawned (AVG)]])*(Table245[[#This Row],[activating_chance]]/100),0)</f>
        <v>150</v>
      </c>
      <c r="H481" s="71" t="str">
        <f ca="1">INDIRECT(ADDRESS(11+(MATCH(RIGHT(Table245[[#This Row],[spawner_sku]],LEN(Table245[[#This Row],[spawner_sku]])-FIND("/",Table245[[#This Row],[spawner_sku]])),Table28[Entity Prefab],0)),24,1,1,"Entities"))</f>
        <v>no</v>
      </c>
      <c r="I481" s="71">
        <v>2</v>
      </c>
      <c r="J481" s="71">
        <v>2</v>
      </c>
      <c r="K481" s="71" t="b">
        <v>0</v>
      </c>
      <c r="BZ481" s="71"/>
      <c r="CL481" t="s">
        <v>495</v>
      </c>
      <c r="CM481">
        <v>1</v>
      </c>
      <c r="CN481">
        <v>310</v>
      </c>
      <c r="CO481">
        <v>100</v>
      </c>
      <c r="CP481" s="74">
        <f ca="1">INDIRECT(ADDRESS(11+(MATCH(RIGHT(Table11[[#This Row],[spawner_sku]],LEN(Table11[[#This Row],[spawner_sku]])-FIND("/",Table11[[#This Row],[spawner_sku]])),Table1[Entity Prefab],0)),10,1,1,"Entities"))</f>
        <v>70</v>
      </c>
      <c r="CQ481">
        <f ca="1">ROUND((Table11[[#This Row],[XP]]*Table11[[#This Row],[entity_spawned (AVG)]])*(Table11[[#This Row],[activating_chance]]/100),0)</f>
        <v>70</v>
      </c>
      <c r="CR481" s="144" t="str">
        <f ca="1">INDIRECT(ADDRESS(11+(MATCH(RIGHT(Table11[[#This Row],[spawner_sku]],LEN(Table11[[#This Row],[spawner_sku]])-FIND("/",Table11[[#This Row],[spawner_sku]])),Table28[Entity Prefab],0)),25,1,1,"Entities"))</f>
        <v>yes</v>
      </c>
      <c r="CS481" s="71">
        <v>1</v>
      </c>
      <c r="CT481" s="71">
        <v>1</v>
      </c>
      <c r="CU481" s="71" t="b">
        <v>0</v>
      </c>
      <c r="DS481" t="s">
        <v>423</v>
      </c>
      <c r="DT481">
        <v>1.5</v>
      </c>
      <c r="DU481">
        <v>200</v>
      </c>
      <c r="DV481">
        <v>100</v>
      </c>
      <c r="DW481" s="74">
        <f ca="1">INDIRECT(ADDRESS(11+(MATCH(RIGHT(Table14[[#This Row],[spawner_sku]],LEN(Table14[[#This Row],[spawner_sku]])-FIND("/",Table14[[#This Row],[spawner_sku]])),Table1[Entity Prefab],0)),10,1,1,"Entities"))</f>
        <v>0</v>
      </c>
      <c r="DX481" s="74">
        <f ca="1">ROUND((Table14[[#This Row],[XP]]*Table14[[#This Row],[entity_spawned (AVG)]])*(Table14[[#This Row],[activating_chance]]/100),0)</f>
        <v>0</v>
      </c>
      <c r="DY481" s="144" t="str">
        <f ca="1">INDIRECT(ADDRESS(11+(MATCH(RIGHT(Table14[[#This Row],[spawner_sku]],LEN(Table14[[#This Row],[spawner_sku]])-FIND("/",Table14[[#This Row],[spawner_sku]])),Table28[Entity Prefab],0)),25,1,1,"Entities"))</f>
        <v>yes</v>
      </c>
      <c r="DZ481" s="71">
        <v>1</v>
      </c>
      <c r="EA481" s="71">
        <v>2</v>
      </c>
      <c r="EB481" s="71" t="b">
        <v>0</v>
      </c>
      <c r="EC481" s="71"/>
    </row>
    <row r="482" spans="2:133" x14ac:dyDescent="0.25">
      <c r="B482" s="72" t="s">
        <v>239</v>
      </c>
      <c r="C482">
        <v>1</v>
      </c>
      <c r="D482">
        <v>220</v>
      </c>
      <c r="E482">
        <v>75</v>
      </c>
      <c r="F482" s="74">
        <f ca="1">INDIRECT(ADDRESS(11+(MATCH(RIGHT(Table245[[#This Row],[spawner_sku]],LEN(Table245[[#This Row],[spawner_sku]])-FIND("/",Table245[[#This Row],[spawner_sku]])),Table1[Entity Prefab],0)),10,1,1,"Entities"))</f>
        <v>75</v>
      </c>
      <c r="G482" s="74">
        <f ca="1">ROUND((Table245[[#This Row],[XP]]*Table245[[#This Row],[entity_spawned (AVG)]])*(Table245[[#This Row],[activating_chance]]/100),0)</f>
        <v>56</v>
      </c>
      <c r="H482" s="71" t="str">
        <f ca="1">INDIRECT(ADDRESS(11+(MATCH(RIGHT(Table245[[#This Row],[spawner_sku]],LEN(Table245[[#This Row],[spawner_sku]])-FIND("/",Table245[[#This Row],[spawner_sku]])),Table28[Entity Prefab],0)),24,1,1,"Entities"))</f>
        <v>no</v>
      </c>
      <c r="I482" s="71">
        <v>1</v>
      </c>
      <c r="J482" s="71">
        <v>1</v>
      </c>
      <c r="K482" s="71" t="b">
        <v>0</v>
      </c>
      <c r="BZ482" s="71"/>
      <c r="CL482" t="s">
        <v>492</v>
      </c>
      <c r="CM482">
        <v>1</v>
      </c>
      <c r="CN482">
        <v>310</v>
      </c>
      <c r="CO482">
        <v>100</v>
      </c>
      <c r="CP482" s="74">
        <f ca="1">INDIRECT(ADDRESS(11+(MATCH(RIGHT(Table11[[#This Row],[spawner_sku]],LEN(Table11[[#This Row],[spawner_sku]])-FIND("/",Table11[[#This Row],[spawner_sku]])),Table1[Entity Prefab],0)),10,1,1,"Entities"))</f>
        <v>70</v>
      </c>
      <c r="CQ482">
        <f ca="1">ROUND((Table11[[#This Row],[XP]]*Table11[[#This Row],[entity_spawned (AVG)]])*(Table11[[#This Row],[activating_chance]]/100),0)</f>
        <v>70</v>
      </c>
      <c r="CR482" s="144" t="str">
        <f ca="1">INDIRECT(ADDRESS(11+(MATCH(RIGHT(Table11[[#This Row],[spawner_sku]],LEN(Table11[[#This Row],[spawner_sku]])-FIND("/",Table11[[#This Row],[spawner_sku]])),Table28[Entity Prefab],0)),25,1,1,"Entities"))</f>
        <v>yes</v>
      </c>
      <c r="CS482" s="71">
        <v>1</v>
      </c>
      <c r="CT482" s="71">
        <v>1</v>
      </c>
      <c r="CU482" s="71" t="b">
        <v>0</v>
      </c>
      <c r="DS482" t="s">
        <v>423</v>
      </c>
      <c r="DT482">
        <v>4</v>
      </c>
      <c r="DU482">
        <v>200</v>
      </c>
      <c r="DV482">
        <v>30</v>
      </c>
      <c r="DW482" s="74">
        <f ca="1">INDIRECT(ADDRESS(11+(MATCH(RIGHT(Table14[[#This Row],[spawner_sku]],LEN(Table14[[#This Row],[spawner_sku]])-FIND("/",Table14[[#This Row],[spawner_sku]])),Table1[Entity Prefab],0)),10,1,1,"Entities"))</f>
        <v>0</v>
      </c>
      <c r="DX482" s="74">
        <f ca="1">ROUND((Table14[[#This Row],[XP]]*Table14[[#This Row],[entity_spawned (AVG)]])*(Table14[[#This Row],[activating_chance]]/100),0)</f>
        <v>0</v>
      </c>
      <c r="DY482" s="144" t="str">
        <f ca="1">INDIRECT(ADDRESS(11+(MATCH(RIGHT(Table14[[#This Row],[spawner_sku]],LEN(Table14[[#This Row],[spawner_sku]])-FIND("/",Table14[[#This Row],[spawner_sku]])),Table28[Entity Prefab],0)),25,1,1,"Entities"))</f>
        <v>yes</v>
      </c>
      <c r="DZ482" s="71">
        <v>4</v>
      </c>
      <c r="EA482" s="71">
        <v>4</v>
      </c>
      <c r="EB482" s="71" t="b">
        <v>0</v>
      </c>
      <c r="EC482" s="71"/>
    </row>
    <row r="483" spans="2:133" x14ac:dyDescent="0.25">
      <c r="B483" s="72" t="s">
        <v>239</v>
      </c>
      <c r="C483">
        <v>1</v>
      </c>
      <c r="D483">
        <v>160</v>
      </c>
      <c r="E483">
        <v>100</v>
      </c>
      <c r="F483" s="74">
        <f ca="1">INDIRECT(ADDRESS(11+(MATCH(RIGHT(Table245[[#This Row],[spawner_sku]],LEN(Table245[[#This Row],[spawner_sku]])-FIND("/",Table245[[#This Row],[spawner_sku]])),Table1[Entity Prefab],0)),10,1,1,"Entities"))</f>
        <v>75</v>
      </c>
      <c r="G483" s="74">
        <f ca="1">ROUND((Table245[[#This Row],[XP]]*Table245[[#This Row],[entity_spawned (AVG)]])*(Table245[[#This Row],[activating_chance]]/100),0)</f>
        <v>75</v>
      </c>
      <c r="H483" s="71" t="str">
        <f ca="1">INDIRECT(ADDRESS(11+(MATCH(RIGHT(Table245[[#This Row],[spawner_sku]],LEN(Table245[[#This Row],[spawner_sku]])-FIND("/",Table245[[#This Row],[spawner_sku]])),Table28[Entity Prefab],0)),24,1,1,"Entities"))</f>
        <v>no</v>
      </c>
      <c r="I483" s="71">
        <v>1</v>
      </c>
      <c r="J483" s="71">
        <v>1</v>
      </c>
      <c r="K483" s="71" t="b">
        <v>0</v>
      </c>
      <c r="BZ483" s="71"/>
      <c r="CL483" t="s">
        <v>492</v>
      </c>
      <c r="CM483">
        <v>1</v>
      </c>
      <c r="CN483">
        <v>310</v>
      </c>
      <c r="CO483">
        <v>100</v>
      </c>
      <c r="CP483" s="74">
        <f ca="1">INDIRECT(ADDRESS(11+(MATCH(RIGHT(Table11[[#This Row],[spawner_sku]],LEN(Table11[[#This Row],[spawner_sku]])-FIND("/",Table11[[#This Row],[spawner_sku]])),Table1[Entity Prefab],0)),10,1,1,"Entities"))</f>
        <v>70</v>
      </c>
      <c r="CQ483">
        <f ca="1">ROUND((Table11[[#This Row],[XP]]*Table11[[#This Row],[entity_spawned (AVG)]])*(Table11[[#This Row],[activating_chance]]/100),0)</f>
        <v>70</v>
      </c>
      <c r="CR483" s="144" t="str">
        <f ca="1">INDIRECT(ADDRESS(11+(MATCH(RIGHT(Table11[[#This Row],[spawner_sku]],LEN(Table11[[#This Row],[spawner_sku]])-FIND("/",Table11[[#This Row],[spawner_sku]])),Table28[Entity Prefab],0)),25,1,1,"Entities"))</f>
        <v>yes</v>
      </c>
      <c r="CS483" s="71">
        <v>1</v>
      </c>
      <c r="CT483" s="71">
        <v>1</v>
      </c>
      <c r="CU483" s="71" t="b">
        <v>0</v>
      </c>
      <c r="DS483" t="s">
        <v>423</v>
      </c>
      <c r="DT483">
        <v>2</v>
      </c>
      <c r="DU483">
        <v>200</v>
      </c>
      <c r="DV483">
        <v>30</v>
      </c>
      <c r="DW483" s="74">
        <f ca="1">INDIRECT(ADDRESS(11+(MATCH(RIGHT(Table14[[#This Row],[spawner_sku]],LEN(Table14[[#This Row],[spawner_sku]])-FIND("/",Table14[[#This Row],[spawner_sku]])),Table1[Entity Prefab],0)),10,1,1,"Entities"))</f>
        <v>0</v>
      </c>
      <c r="DX483" s="74">
        <f ca="1">ROUND((Table14[[#This Row],[XP]]*Table14[[#This Row],[entity_spawned (AVG)]])*(Table14[[#This Row],[activating_chance]]/100),0)</f>
        <v>0</v>
      </c>
      <c r="DY483" s="144" t="str">
        <f ca="1">INDIRECT(ADDRESS(11+(MATCH(RIGHT(Table14[[#This Row],[spawner_sku]],LEN(Table14[[#This Row],[spawner_sku]])-FIND("/",Table14[[#This Row],[spawner_sku]])),Table28[Entity Prefab],0)),25,1,1,"Entities"))</f>
        <v>yes</v>
      </c>
      <c r="DZ483" s="71">
        <v>2</v>
      </c>
      <c r="EA483" s="71">
        <v>2</v>
      </c>
      <c r="EB483" s="71" t="b">
        <v>0</v>
      </c>
      <c r="EC483" s="71"/>
    </row>
    <row r="484" spans="2:133" x14ac:dyDescent="0.25">
      <c r="B484" s="72" t="s">
        <v>239</v>
      </c>
      <c r="C484">
        <v>2</v>
      </c>
      <c r="D484">
        <v>160</v>
      </c>
      <c r="E484">
        <v>100</v>
      </c>
      <c r="F484" s="74">
        <f ca="1">INDIRECT(ADDRESS(11+(MATCH(RIGHT(Table245[[#This Row],[spawner_sku]],LEN(Table245[[#This Row],[spawner_sku]])-FIND("/",Table245[[#This Row],[spawner_sku]])),Table1[Entity Prefab],0)),10,1,1,"Entities"))</f>
        <v>75</v>
      </c>
      <c r="G484" s="74">
        <f ca="1">ROUND((Table245[[#This Row],[XP]]*Table245[[#This Row],[entity_spawned (AVG)]])*(Table245[[#This Row],[activating_chance]]/100),0)</f>
        <v>150</v>
      </c>
      <c r="H484" s="71" t="str">
        <f ca="1">INDIRECT(ADDRESS(11+(MATCH(RIGHT(Table245[[#This Row],[spawner_sku]],LEN(Table245[[#This Row],[spawner_sku]])-FIND("/",Table245[[#This Row],[spawner_sku]])),Table28[Entity Prefab],0)),24,1,1,"Entities"))</f>
        <v>no</v>
      </c>
      <c r="I484" s="71">
        <v>2</v>
      </c>
      <c r="J484" s="71">
        <v>2</v>
      </c>
      <c r="K484" s="71" t="b">
        <v>0</v>
      </c>
      <c r="CL484" t="s">
        <v>492</v>
      </c>
      <c r="CM484">
        <v>1</v>
      </c>
      <c r="CN484">
        <v>310</v>
      </c>
      <c r="CO484">
        <v>100</v>
      </c>
      <c r="CP484" s="74">
        <f ca="1">INDIRECT(ADDRESS(11+(MATCH(RIGHT(Table11[[#This Row],[spawner_sku]],LEN(Table11[[#This Row],[spawner_sku]])-FIND("/",Table11[[#This Row],[spawner_sku]])),Table1[Entity Prefab],0)),10,1,1,"Entities"))</f>
        <v>70</v>
      </c>
      <c r="CQ484">
        <f ca="1">ROUND((Table11[[#This Row],[XP]]*Table11[[#This Row],[entity_spawned (AVG)]])*(Table11[[#This Row],[activating_chance]]/100),0)</f>
        <v>70</v>
      </c>
      <c r="CR484" s="144" t="str">
        <f ca="1">INDIRECT(ADDRESS(11+(MATCH(RIGHT(Table11[[#This Row],[spawner_sku]],LEN(Table11[[#This Row],[spawner_sku]])-FIND("/",Table11[[#This Row],[spawner_sku]])),Table28[Entity Prefab],0)),25,1,1,"Entities"))</f>
        <v>yes</v>
      </c>
      <c r="CS484" s="71">
        <v>1</v>
      </c>
      <c r="CT484" s="71">
        <v>1</v>
      </c>
      <c r="CU484" s="71" t="b">
        <v>0</v>
      </c>
      <c r="DS484" t="s">
        <v>423</v>
      </c>
      <c r="DT484">
        <v>4</v>
      </c>
      <c r="DU484">
        <v>200</v>
      </c>
      <c r="DV484">
        <v>100</v>
      </c>
      <c r="DW484" s="74">
        <f ca="1">INDIRECT(ADDRESS(11+(MATCH(RIGHT(Table14[[#This Row],[spawner_sku]],LEN(Table14[[#This Row],[spawner_sku]])-FIND("/",Table14[[#This Row],[spawner_sku]])),Table1[Entity Prefab],0)),10,1,1,"Entities"))</f>
        <v>0</v>
      </c>
      <c r="DX484" s="74">
        <f ca="1">ROUND((Table14[[#This Row],[XP]]*Table14[[#This Row],[entity_spawned (AVG)]])*(Table14[[#This Row],[activating_chance]]/100),0)</f>
        <v>0</v>
      </c>
      <c r="DY484" s="144" t="str">
        <f ca="1">INDIRECT(ADDRESS(11+(MATCH(RIGHT(Table14[[#This Row],[spawner_sku]],LEN(Table14[[#This Row],[spawner_sku]])-FIND("/",Table14[[#This Row],[spawner_sku]])),Table28[Entity Prefab],0)),25,1,1,"Entities"))</f>
        <v>yes</v>
      </c>
      <c r="DZ484" s="71">
        <v>4</v>
      </c>
      <c r="EA484" s="71">
        <v>4</v>
      </c>
      <c r="EB484" s="71" t="b">
        <v>0</v>
      </c>
      <c r="EC484" s="71"/>
    </row>
    <row r="485" spans="2:133" x14ac:dyDescent="0.25">
      <c r="B485" s="72" t="s">
        <v>239</v>
      </c>
      <c r="C485">
        <v>1</v>
      </c>
      <c r="D485">
        <v>180</v>
      </c>
      <c r="E485">
        <v>60</v>
      </c>
      <c r="F485" s="74">
        <f ca="1">INDIRECT(ADDRESS(11+(MATCH(RIGHT(Table245[[#This Row],[spawner_sku]],LEN(Table245[[#This Row],[spawner_sku]])-FIND("/",Table245[[#This Row],[spawner_sku]])),Table1[Entity Prefab],0)),10,1,1,"Entities"))</f>
        <v>75</v>
      </c>
      <c r="G485" s="74">
        <f ca="1">ROUND((Table245[[#This Row],[XP]]*Table245[[#This Row],[entity_spawned (AVG)]])*(Table245[[#This Row],[activating_chance]]/100),0)</f>
        <v>45</v>
      </c>
      <c r="H485" s="71" t="str">
        <f ca="1">INDIRECT(ADDRESS(11+(MATCH(RIGHT(Table245[[#This Row],[spawner_sku]],LEN(Table245[[#This Row],[spawner_sku]])-FIND("/",Table245[[#This Row],[spawner_sku]])),Table28[Entity Prefab],0)),24,1,1,"Entities"))</f>
        <v>no</v>
      </c>
      <c r="I485" s="71">
        <v>1</v>
      </c>
      <c r="J485" s="71">
        <v>1</v>
      </c>
      <c r="K485" s="71" t="b">
        <v>0</v>
      </c>
      <c r="CL485" t="s">
        <v>492</v>
      </c>
      <c r="CM485">
        <v>1</v>
      </c>
      <c r="CN485">
        <v>310</v>
      </c>
      <c r="CO485">
        <v>100</v>
      </c>
      <c r="CP485" s="74">
        <f ca="1">INDIRECT(ADDRESS(11+(MATCH(RIGHT(Table11[[#This Row],[spawner_sku]],LEN(Table11[[#This Row],[spawner_sku]])-FIND("/",Table11[[#This Row],[spawner_sku]])),Table1[Entity Prefab],0)),10,1,1,"Entities"))</f>
        <v>70</v>
      </c>
      <c r="CQ485">
        <f ca="1">ROUND((Table11[[#This Row],[XP]]*Table11[[#This Row],[entity_spawned (AVG)]])*(Table11[[#This Row],[activating_chance]]/100),0)</f>
        <v>70</v>
      </c>
      <c r="CR485" s="144" t="str">
        <f ca="1">INDIRECT(ADDRESS(11+(MATCH(RIGHT(Table11[[#This Row],[spawner_sku]],LEN(Table11[[#This Row],[spawner_sku]])-FIND("/",Table11[[#This Row],[spawner_sku]])),Table28[Entity Prefab],0)),25,1,1,"Entities"))</f>
        <v>yes</v>
      </c>
      <c r="CS485" s="71">
        <v>1</v>
      </c>
      <c r="CT485" s="71">
        <v>1</v>
      </c>
      <c r="CU485" s="71" t="b">
        <v>0</v>
      </c>
      <c r="DS485" t="s">
        <v>423</v>
      </c>
      <c r="DT485">
        <v>4</v>
      </c>
      <c r="DU485">
        <v>200</v>
      </c>
      <c r="DV485">
        <v>100</v>
      </c>
      <c r="DW485" s="74">
        <f ca="1">INDIRECT(ADDRESS(11+(MATCH(RIGHT(Table14[[#This Row],[spawner_sku]],LEN(Table14[[#This Row],[spawner_sku]])-FIND("/",Table14[[#This Row],[spawner_sku]])),Table1[Entity Prefab],0)),10,1,1,"Entities"))</f>
        <v>0</v>
      </c>
      <c r="DX485" s="74">
        <f ca="1">ROUND((Table14[[#This Row],[XP]]*Table14[[#This Row],[entity_spawned (AVG)]])*(Table14[[#This Row],[activating_chance]]/100),0)</f>
        <v>0</v>
      </c>
      <c r="DY485" s="144" t="str">
        <f ca="1">INDIRECT(ADDRESS(11+(MATCH(RIGHT(Table14[[#This Row],[spawner_sku]],LEN(Table14[[#This Row],[spawner_sku]])-FIND("/",Table14[[#This Row],[spawner_sku]])),Table28[Entity Prefab],0)),25,1,1,"Entities"))</f>
        <v>yes</v>
      </c>
      <c r="DZ485" s="71">
        <v>4</v>
      </c>
      <c r="EA485" s="71">
        <v>4</v>
      </c>
      <c r="EB485" s="71" t="b">
        <v>0</v>
      </c>
      <c r="EC485" s="71"/>
    </row>
    <row r="486" spans="2:133" x14ac:dyDescent="0.25">
      <c r="B486" s="72" t="s">
        <v>239</v>
      </c>
      <c r="C486">
        <v>2</v>
      </c>
      <c r="D486">
        <v>160</v>
      </c>
      <c r="E486">
        <v>100</v>
      </c>
      <c r="F486" s="74">
        <f ca="1">INDIRECT(ADDRESS(11+(MATCH(RIGHT(Table245[[#This Row],[spawner_sku]],LEN(Table245[[#This Row],[spawner_sku]])-FIND("/",Table245[[#This Row],[spawner_sku]])),Table1[Entity Prefab],0)),10,1,1,"Entities"))</f>
        <v>75</v>
      </c>
      <c r="G486" s="74">
        <f ca="1">ROUND((Table245[[#This Row],[XP]]*Table245[[#This Row],[entity_spawned (AVG)]])*(Table245[[#This Row],[activating_chance]]/100),0)</f>
        <v>150</v>
      </c>
      <c r="H486" s="71" t="str">
        <f ca="1">INDIRECT(ADDRESS(11+(MATCH(RIGHT(Table245[[#This Row],[spawner_sku]],LEN(Table245[[#This Row],[spawner_sku]])-FIND("/",Table245[[#This Row],[spawner_sku]])),Table28[Entity Prefab],0)),24,1,1,"Entities"))</f>
        <v>no</v>
      </c>
      <c r="I486" s="71">
        <v>2</v>
      </c>
      <c r="J486" s="71">
        <v>2</v>
      </c>
      <c r="K486" s="71" t="b">
        <v>0</v>
      </c>
      <c r="CL486" t="s">
        <v>492</v>
      </c>
      <c r="CM486">
        <v>1</v>
      </c>
      <c r="CN486">
        <v>310</v>
      </c>
      <c r="CO486">
        <v>100</v>
      </c>
      <c r="CP486" s="74">
        <f ca="1">INDIRECT(ADDRESS(11+(MATCH(RIGHT(Table11[[#This Row],[spawner_sku]],LEN(Table11[[#This Row],[spawner_sku]])-FIND("/",Table11[[#This Row],[spawner_sku]])),Table1[Entity Prefab],0)),10,1,1,"Entities"))</f>
        <v>70</v>
      </c>
      <c r="CQ486">
        <f ca="1">ROUND((Table11[[#This Row],[XP]]*Table11[[#This Row],[entity_spawned (AVG)]])*(Table11[[#This Row],[activating_chance]]/100),0)</f>
        <v>70</v>
      </c>
      <c r="CR486" s="144" t="str">
        <f ca="1">INDIRECT(ADDRESS(11+(MATCH(RIGHT(Table11[[#This Row],[spawner_sku]],LEN(Table11[[#This Row],[spawner_sku]])-FIND("/",Table11[[#This Row],[spawner_sku]])),Table28[Entity Prefab],0)),25,1,1,"Entities"))</f>
        <v>yes</v>
      </c>
      <c r="CS486" s="71">
        <v>1</v>
      </c>
      <c r="CT486" s="71">
        <v>1</v>
      </c>
      <c r="CU486" s="71" t="b">
        <v>0</v>
      </c>
      <c r="DS486" t="s">
        <v>423</v>
      </c>
      <c r="DT486">
        <v>3.5</v>
      </c>
      <c r="DU486">
        <v>200</v>
      </c>
      <c r="DV486">
        <v>50</v>
      </c>
      <c r="DW486" s="74">
        <f ca="1">INDIRECT(ADDRESS(11+(MATCH(RIGHT(Table14[[#This Row],[spawner_sku]],LEN(Table14[[#This Row],[spawner_sku]])-FIND("/",Table14[[#This Row],[spawner_sku]])),Table1[Entity Prefab],0)),10,1,1,"Entities"))</f>
        <v>0</v>
      </c>
      <c r="DX486" s="74">
        <f ca="1">ROUND((Table14[[#This Row],[XP]]*Table14[[#This Row],[entity_spawned (AVG)]])*(Table14[[#This Row],[activating_chance]]/100),0)</f>
        <v>0</v>
      </c>
      <c r="DY486" s="144" t="str">
        <f ca="1">INDIRECT(ADDRESS(11+(MATCH(RIGHT(Table14[[#This Row],[spawner_sku]],LEN(Table14[[#This Row],[spawner_sku]])-FIND("/",Table14[[#This Row],[spawner_sku]])),Table28[Entity Prefab],0)),25,1,1,"Entities"))</f>
        <v>yes</v>
      </c>
      <c r="DZ486" s="71">
        <v>3</v>
      </c>
      <c r="EA486" s="71">
        <v>4</v>
      </c>
      <c r="EB486" s="71" t="b">
        <v>0</v>
      </c>
      <c r="EC486" s="71"/>
    </row>
    <row r="487" spans="2:133" x14ac:dyDescent="0.25">
      <c r="B487" s="72" t="s">
        <v>239</v>
      </c>
      <c r="C487">
        <v>1</v>
      </c>
      <c r="D487">
        <v>190</v>
      </c>
      <c r="E487">
        <v>100</v>
      </c>
      <c r="F487" s="74">
        <f ca="1">INDIRECT(ADDRESS(11+(MATCH(RIGHT(Table245[[#This Row],[spawner_sku]],LEN(Table245[[#This Row],[spawner_sku]])-FIND("/",Table245[[#This Row],[spawner_sku]])),Table1[Entity Prefab],0)),10,1,1,"Entities"))</f>
        <v>75</v>
      </c>
      <c r="G487" s="74">
        <f ca="1">ROUND((Table245[[#This Row],[XP]]*Table245[[#This Row],[entity_spawned (AVG)]])*(Table245[[#This Row],[activating_chance]]/100),0)</f>
        <v>75</v>
      </c>
      <c r="H487" s="71" t="str">
        <f ca="1">INDIRECT(ADDRESS(11+(MATCH(RIGHT(Table245[[#This Row],[spawner_sku]],LEN(Table245[[#This Row],[spawner_sku]])-FIND("/",Table245[[#This Row],[spawner_sku]])),Table28[Entity Prefab],0)),24,1,1,"Entities"))</f>
        <v>no</v>
      </c>
      <c r="I487" s="71">
        <v>1</v>
      </c>
      <c r="J487" s="71">
        <v>1</v>
      </c>
      <c r="K487" s="71" t="b">
        <v>0</v>
      </c>
      <c r="CL487" t="s">
        <v>492</v>
      </c>
      <c r="CM487">
        <v>1</v>
      </c>
      <c r="CN487">
        <v>310</v>
      </c>
      <c r="CO487">
        <v>100</v>
      </c>
      <c r="CP487" s="74">
        <f ca="1">INDIRECT(ADDRESS(11+(MATCH(RIGHT(Table11[[#This Row],[spawner_sku]],LEN(Table11[[#This Row],[spawner_sku]])-FIND("/",Table11[[#This Row],[spawner_sku]])),Table1[Entity Prefab],0)),10,1,1,"Entities"))</f>
        <v>70</v>
      </c>
      <c r="CQ487">
        <f ca="1">ROUND((Table11[[#This Row],[XP]]*Table11[[#This Row],[entity_spawned (AVG)]])*(Table11[[#This Row],[activating_chance]]/100),0)</f>
        <v>70</v>
      </c>
      <c r="CR487" s="144" t="str">
        <f ca="1">INDIRECT(ADDRESS(11+(MATCH(RIGHT(Table11[[#This Row],[spawner_sku]],LEN(Table11[[#This Row],[spawner_sku]])-FIND("/",Table11[[#This Row],[spawner_sku]])),Table28[Entity Prefab],0)),25,1,1,"Entities"))</f>
        <v>yes</v>
      </c>
      <c r="CS487" s="71">
        <v>1</v>
      </c>
      <c r="CT487" s="71">
        <v>1</v>
      </c>
      <c r="CU487" s="71" t="b">
        <v>0</v>
      </c>
      <c r="DS487" t="s">
        <v>423</v>
      </c>
      <c r="DT487">
        <v>2.5</v>
      </c>
      <c r="DU487">
        <v>200</v>
      </c>
      <c r="DV487">
        <v>30</v>
      </c>
      <c r="DW487" s="74">
        <f ca="1">INDIRECT(ADDRESS(11+(MATCH(RIGHT(Table14[[#This Row],[spawner_sku]],LEN(Table14[[#This Row],[spawner_sku]])-FIND("/",Table14[[#This Row],[spawner_sku]])),Table1[Entity Prefab],0)),10,1,1,"Entities"))</f>
        <v>0</v>
      </c>
      <c r="DX487" s="74">
        <f ca="1">ROUND((Table14[[#This Row],[XP]]*Table14[[#This Row],[entity_spawned (AVG)]])*(Table14[[#This Row],[activating_chance]]/100),0)</f>
        <v>0</v>
      </c>
      <c r="DY487" s="144" t="str">
        <f ca="1">INDIRECT(ADDRESS(11+(MATCH(RIGHT(Table14[[#This Row],[spawner_sku]],LEN(Table14[[#This Row],[spawner_sku]])-FIND("/",Table14[[#This Row],[spawner_sku]])),Table28[Entity Prefab],0)),25,1,1,"Entities"))</f>
        <v>yes</v>
      </c>
      <c r="DZ487" s="71">
        <v>2</v>
      </c>
      <c r="EA487" s="71">
        <v>3</v>
      </c>
      <c r="EB487" s="71" t="b">
        <v>0</v>
      </c>
      <c r="EC487" s="71"/>
    </row>
    <row r="488" spans="2:133" x14ac:dyDescent="0.25">
      <c r="B488" s="72" t="s">
        <v>239</v>
      </c>
      <c r="C488">
        <v>1</v>
      </c>
      <c r="D488">
        <v>180</v>
      </c>
      <c r="E488">
        <v>100</v>
      </c>
      <c r="F488" s="74">
        <f ca="1">INDIRECT(ADDRESS(11+(MATCH(RIGHT(Table245[[#This Row],[spawner_sku]],LEN(Table245[[#This Row],[spawner_sku]])-FIND("/",Table245[[#This Row],[spawner_sku]])),Table1[Entity Prefab],0)),10,1,1,"Entities"))</f>
        <v>75</v>
      </c>
      <c r="G488" s="74">
        <f ca="1">ROUND((Table245[[#This Row],[XP]]*Table245[[#This Row],[entity_spawned (AVG)]])*(Table245[[#This Row],[activating_chance]]/100),0)</f>
        <v>75</v>
      </c>
      <c r="H488" s="71" t="str">
        <f ca="1">INDIRECT(ADDRESS(11+(MATCH(RIGHT(Table245[[#This Row],[spawner_sku]],LEN(Table245[[#This Row],[spawner_sku]])-FIND("/",Table245[[#This Row],[spawner_sku]])),Table28[Entity Prefab],0)),24,1,1,"Entities"))</f>
        <v>no</v>
      </c>
      <c r="I488" s="71">
        <v>1</v>
      </c>
      <c r="J488" s="71">
        <v>1</v>
      </c>
      <c r="K488" s="71" t="b">
        <v>0</v>
      </c>
      <c r="CL488" t="s">
        <v>492</v>
      </c>
      <c r="CM488">
        <v>1</v>
      </c>
      <c r="CN488">
        <v>310</v>
      </c>
      <c r="CO488">
        <v>100</v>
      </c>
      <c r="CP488" s="74">
        <f ca="1">INDIRECT(ADDRESS(11+(MATCH(RIGHT(Table11[[#This Row],[spawner_sku]],LEN(Table11[[#This Row],[spawner_sku]])-FIND("/",Table11[[#This Row],[spawner_sku]])),Table1[Entity Prefab],0)),10,1,1,"Entities"))</f>
        <v>70</v>
      </c>
      <c r="CQ488">
        <f ca="1">ROUND((Table11[[#This Row],[XP]]*Table11[[#This Row],[entity_spawned (AVG)]])*(Table11[[#This Row],[activating_chance]]/100),0)</f>
        <v>70</v>
      </c>
      <c r="CR488" s="144" t="str">
        <f ca="1">INDIRECT(ADDRESS(11+(MATCH(RIGHT(Table11[[#This Row],[spawner_sku]],LEN(Table11[[#This Row],[spawner_sku]])-FIND("/",Table11[[#This Row],[spawner_sku]])),Table28[Entity Prefab],0)),25,1,1,"Entities"))</f>
        <v>yes</v>
      </c>
      <c r="CS488" s="71">
        <v>1</v>
      </c>
      <c r="CT488" s="71">
        <v>1</v>
      </c>
      <c r="CU488" s="71" t="b">
        <v>0</v>
      </c>
      <c r="DS488" t="s">
        <v>423</v>
      </c>
      <c r="DT488">
        <v>1.5</v>
      </c>
      <c r="DU488">
        <v>200</v>
      </c>
      <c r="DV488">
        <v>100</v>
      </c>
      <c r="DW488" s="74">
        <f ca="1">INDIRECT(ADDRESS(11+(MATCH(RIGHT(Table14[[#This Row],[spawner_sku]],LEN(Table14[[#This Row],[spawner_sku]])-FIND("/",Table14[[#This Row],[spawner_sku]])),Table1[Entity Prefab],0)),10,1,1,"Entities"))</f>
        <v>0</v>
      </c>
      <c r="DX488" s="74">
        <f ca="1">ROUND((Table14[[#This Row],[XP]]*Table14[[#This Row],[entity_spawned (AVG)]])*(Table14[[#This Row],[activating_chance]]/100),0)</f>
        <v>0</v>
      </c>
      <c r="DY488" s="144" t="str">
        <f ca="1">INDIRECT(ADDRESS(11+(MATCH(RIGHT(Table14[[#This Row],[spawner_sku]],LEN(Table14[[#This Row],[spawner_sku]])-FIND("/",Table14[[#This Row],[spawner_sku]])),Table28[Entity Prefab],0)),25,1,1,"Entities"))</f>
        <v>yes</v>
      </c>
      <c r="DZ488" s="71">
        <v>1</v>
      </c>
      <c r="EA488" s="71">
        <v>2</v>
      </c>
      <c r="EB488" s="71" t="b">
        <v>0</v>
      </c>
      <c r="EC488" s="71"/>
    </row>
    <row r="489" spans="2:133" x14ac:dyDescent="0.25">
      <c r="B489" s="72" t="s">
        <v>239</v>
      </c>
      <c r="C489">
        <v>2</v>
      </c>
      <c r="D489">
        <v>220</v>
      </c>
      <c r="E489">
        <v>40</v>
      </c>
      <c r="F489" s="74">
        <f ca="1">INDIRECT(ADDRESS(11+(MATCH(RIGHT(Table245[[#This Row],[spawner_sku]],LEN(Table245[[#This Row],[spawner_sku]])-FIND("/",Table245[[#This Row],[spawner_sku]])),Table1[Entity Prefab],0)),10,1,1,"Entities"))</f>
        <v>75</v>
      </c>
      <c r="G489" s="74">
        <f ca="1">ROUND((Table245[[#This Row],[XP]]*Table245[[#This Row],[entity_spawned (AVG)]])*(Table245[[#This Row],[activating_chance]]/100),0)</f>
        <v>60</v>
      </c>
      <c r="H489" s="71" t="str">
        <f ca="1">INDIRECT(ADDRESS(11+(MATCH(RIGHT(Table245[[#This Row],[spawner_sku]],LEN(Table245[[#This Row],[spawner_sku]])-FIND("/",Table245[[#This Row],[spawner_sku]])),Table28[Entity Prefab],0)),24,1,1,"Entities"))</f>
        <v>no</v>
      </c>
      <c r="I489" s="71">
        <v>2</v>
      </c>
      <c r="J489" s="71">
        <v>2</v>
      </c>
      <c r="K489" s="71" t="b">
        <v>0</v>
      </c>
      <c r="CL489" t="s">
        <v>240</v>
      </c>
      <c r="CM489">
        <v>1</v>
      </c>
      <c r="CN489">
        <v>170</v>
      </c>
      <c r="CO489">
        <v>100</v>
      </c>
      <c r="CP489" s="74">
        <f ca="1">INDIRECT(ADDRESS(11+(MATCH(RIGHT(Table11[[#This Row],[spawner_sku]],LEN(Table11[[#This Row],[spawner_sku]])-FIND("/",Table11[[#This Row],[spawner_sku]])),Table1[Entity Prefab],0)),10,1,1,"Entities"))</f>
        <v>70</v>
      </c>
      <c r="CQ489">
        <f ca="1">ROUND((Table11[[#This Row],[XP]]*Table11[[#This Row],[entity_spawned (AVG)]])*(Table11[[#This Row],[activating_chance]]/100),0)</f>
        <v>70</v>
      </c>
      <c r="CR489" s="144" t="str">
        <f ca="1">INDIRECT(ADDRESS(11+(MATCH(RIGHT(Table11[[#This Row],[spawner_sku]],LEN(Table11[[#This Row],[spawner_sku]])-FIND("/",Table11[[#This Row],[spawner_sku]])),Table28[Entity Prefab],0)),25,1,1,"Entities"))</f>
        <v>yes</v>
      </c>
      <c r="CS489" s="71">
        <v>1</v>
      </c>
      <c r="CT489" s="71">
        <v>1</v>
      </c>
      <c r="CU489" s="71" t="b">
        <v>0</v>
      </c>
      <c r="DS489" t="s">
        <v>423</v>
      </c>
      <c r="DT489">
        <v>4</v>
      </c>
      <c r="DU489">
        <v>200</v>
      </c>
      <c r="DV489">
        <v>80</v>
      </c>
      <c r="DW489" s="74">
        <f ca="1">INDIRECT(ADDRESS(11+(MATCH(RIGHT(Table14[[#This Row],[spawner_sku]],LEN(Table14[[#This Row],[spawner_sku]])-FIND("/",Table14[[#This Row],[spawner_sku]])),Table1[Entity Prefab],0)),10,1,1,"Entities"))</f>
        <v>0</v>
      </c>
      <c r="DX489" s="74">
        <f ca="1">ROUND((Table14[[#This Row],[XP]]*Table14[[#This Row],[entity_spawned (AVG)]])*(Table14[[#This Row],[activating_chance]]/100),0)</f>
        <v>0</v>
      </c>
      <c r="DY489" s="144" t="str">
        <f ca="1">INDIRECT(ADDRESS(11+(MATCH(RIGHT(Table14[[#This Row],[spawner_sku]],LEN(Table14[[#This Row],[spawner_sku]])-FIND("/",Table14[[#This Row],[spawner_sku]])),Table28[Entity Prefab],0)),25,1,1,"Entities"))</f>
        <v>yes</v>
      </c>
      <c r="DZ489" s="71">
        <v>4</v>
      </c>
      <c r="EA489" s="71">
        <v>4</v>
      </c>
      <c r="EB489" s="71" t="b">
        <v>0</v>
      </c>
      <c r="EC489" s="71"/>
    </row>
    <row r="490" spans="2:133" x14ac:dyDescent="0.25">
      <c r="B490" s="72" t="s">
        <v>239</v>
      </c>
      <c r="C490">
        <v>1</v>
      </c>
      <c r="D490">
        <v>190</v>
      </c>
      <c r="E490">
        <v>100</v>
      </c>
      <c r="F490" s="74">
        <f ca="1">INDIRECT(ADDRESS(11+(MATCH(RIGHT(Table245[[#This Row],[spawner_sku]],LEN(Table245[[#This Row],[spawner_sku]])-FIND("/",Table245[[#This Row],[spawner_sku]])),Table1[Entity Prefab],0)),10,1,1,"Entities"))</f>
        <v>75</v>
      </c>
      <c r="G490" s="74">
        <f ca="1">ROUND((Table245[[#This Row],[XP]]*Table245[[#This Row],[entity_spawned (AVG)]])*(Table245[[#This Row],[activating_chance]]/100),0)</f>
        <v>75</v>
      </c>
      <c r="H490" s="71" t="str">
        <f ca="1">INDIRECT(ADDRESS(11+(MATCH(RIGHT(Table245[[#This Row],[spawner_sku]],LEN(Table245[[#This Row],[spawner_sku]])-FIND("/",Table245[[#This Row],[spawner_sku]])),Table28[Entity Prefab],0)),24,1,1,"Entities"))</f>
        <v>no</v>
      </c>
      <c r="I490" s="71">
        <v>1</v>
      </c>
      <c r="J490" s="71">
        <v>1</v>
      </c>
      <c r="K490" s="71" t="b">
        <v>0</v>
      </c>
      <c r="CL490" t="s">
        <v>240</v>
      </c>
      <c r="CM490">
        <v>1</v>
      </c>
      <c r="CN490">
        <v>170</v>
      </c>
      <c r="CO490">
        <v>75</v>
      </c>
      <c r="CP490" s="74">
        <f ca="1">INDIRECT(ADDRESS(11+(MATCH(RIGHT(Table11[[#This Row],[spawner_sku]],LEN(Table11[[#This Row],[spawner_sku]])-FIND("/",Table11[[#This Row],[spawner_sku]])),Table1[Entity Prefab],0)),10,1,1,"Entities"))</f>
        <v>70</v>
      </c>
      <c r="CQ490">
        <f ca="1">ROUND((Table11[[#This Row],[XP]]*Table11[[#This Row],[entity_spawned (AVG)]])*(Table11[[#This Row],[activating_chance]]/100),0)</f>
        <v>53</v>
      </c>
      <c r="CR490" s="144" t="str">
        <f ca="1">INDIRECT(ADDRESS(11+(MATCH(RIGHT(Table11[[#This Row],[spawner_sku]],LEN(Table11[[#This Row],[spawner_sku]])-FIND("/",Table11[[#This Row],[spawner_sku]])),Table28[Entity Prefab],0)),25,1,1,"Entities"))</f>
        <v>yes</v>
      </c>
      <c r="CS490" s="71">
        <v>1</v>
      </c>
      <c r="CT490" s="71">
        <v>1</v>
      </c>
      <c r="CU490" s="71" t="b">
        <v>0</v>
      </c>
      <c r="DS490" t="s">
        <v>423</v>
      </c>
      <c r="DT490">
        <v>2</v>
      </c>
      <c r="DU490">
        <v>200</v>
      </c>
      <c r="DV490">
        <v>50</v>
      </c>
      <c r="DW490" s="74">
        <f ca="1">INDIRECT(ADDRESS(11+(MATCH(RIGHT(Table14[[#This Row],[spawner_sku]],LEN(Table14[[#This Row],[spawner_sku]])-FIND("/",Table14[[#This Row],[spawner_sku]])),Table1[Entity Prefab],0)),10,1,1,"Entities"))</f>
        <v>0</v>
      </c>
      <c r="DX490" s="74">
        <f ca="1">ROUND((Table14[[#This Row],[XP]]*Table14[[#This Row],[entity_spawned (AVG)]])*(Table14[[#This Row],[activating_chance]]/100),0)</f>
        <v>0</v>
      </c>
      <c r="DY490" s="144" t="str">
        <f ca="1">INDIRECT(ADDRESS(11+(MATCH(RIGHT(Table14[[#This Row],[spawner_sku]],LEN(Table14[[#This Row],[spawner_sku]])-FIND("/",Table14[[#This Row],[spawner_sku]])),Table28[Entity Prefab],0)),25,1,1,"Entities"))</f>
        <v>yes</v>
      </c>
      <c r="DZ490" s="71">
        <v>2</v>
      </c>
      <c r="EA490" s="71">
        <v>2</v>
      </c>
      <c r="EB490" s="71" t="b">
        <v>0</v>
      </c>
      <c r="EC490" s="71"/>
    </row>
    <row r="491" spans="2:133" x14ac:dyDescent="0.25">
      <c r="B491" s="72" t="s">
        <v>239</v>
      </c>
      <c r="C491">
        <v>1</v>
      </c>
      <c r="D491">
        <v>160</v>
      </c>
      <c r="E491">
        <v>60</v>
      </c>
      <c r="F491" s="74">
        <f ca="1">INDIRECT(ADDRESS(11+(MATCH(RIGHT(Table245[[#This Row],[spawner_sku]],LEN(Table245[[#This Row],[spawner_sku]])-FIND("/",Table245[[#This Row],[spawner_sku]])),Table1[Entity Prefab],0)),10,1,1,"Entities"))</f>
        <v>75</v>
      </c>
      <c r="G491" s="74">
        <f ca="1">ROUND((Table245[[#This Row],[XP]]*Table245[[#This Row],[entity_spawned (AVG)]])*(Table245[[#This Row],[activating_chance]]/100),0)</f>
        <v>45</v>
      </c>
      <c r="H491" s="71" t="str">
        <f ca="1">INDIRECT(ADDRESS(11+(MATCH(RIGHT(Table245[[#This Row],[spawner_sku]],LEN(Table245[[#This Row],[spawner_sku]])-FIND("/",Table245[[#This Row],[spawner_sku]])),Table28[Entity Prefab],0)),24,1,1,"Entities"))</f>
        <v>no</v>
      </c>
      <c r="I491" s="71">
        <v>1</v>
      </c>
      <c r="J491" s="71">
        <v>1</v>
      </c>
      <c r="K491" s="71" t="b">
        <v>0</v>
      </c>
      <c r="CL491" t="s">
        <v>240</v>
      </c>
      <c r="CM491">
        <v>1</v>
      </c>
      <c r="CN491">
        <v>170</v>
      </c>
      <c r="CO491">
        <v>100</v>
      </c>
      <c r="CP491" s="74">
        <f ca="1">INDIRECT(ADDRESS(11+(MATCH(RIGHT(Table11[[#This Row],[spawner_sku]],LEN(Table11[[#This Row],[spawner_sku]])-FIND("/",Table11[[#This Row],[spawner_sku]])),Table1[Entity Prefab],0)),10,1,1,"Entities"))</f>
        <v>70</v>
      </c>
      <c r="CQ491">
        <f ca="1">ROUND((Table11[[#This Row],[XP]]*Table11[[#This Row],[entity_spawned (AVG)]])*(Table11[[#This Row],[activating_chance]]/100),0)</f>
        <v>70</v>
      </c>
      <c r="CR491" s="144" t="str">
        <f ca="1">INDIRECT(ADDRESS(11+(MATCH(RIGHT(Table11[[#This Row],[spawner_sku]],LEN(Table11[[#This Row],[spawner_sku]])-FIND("/",Table11[[#This Row],[spawner_sku]])),Table28[Entity Prefab],0)),25,1,1,"Entities"))</f>
        <v>yes</v>
      </c>
      <c r="CS491" s="71">
        <v>1</v>
      </c>
      <c r="CT491" s="71">
        <v>1</v>
      </c>
      <c r="CU491" s="71" t="b">
        <v>0</v>
      </c>
      <c r="DS491" t="s">
        <v>423</v>
      </c>
      <c r="DT491">
        <v>2</v>
      </c>
      <c r="DU491">
        <v>200</v>
      </c>
      <c r="DV491">
        <v>100</v>
      </c>
      <c r="DW491" s="74">
        <f ca="1">INDIRECT(ADDRESS(11+(MATCH(RIGHT(Table14[[#This Row],[spawner_sku]],LEN(Table14[[#This Row],[spawner_sku]])-FIND("/",Table14[[#This Row],[spawner_sku]])),Table1[Entity Prefab],0)),10,1,1,"Entities"))</f>
        <v>0</v>
      </c>
      <c r="DX491" s="74">
        <f ca="1">ROUND((Table14[[#This Row],[XP]]*Table14[[#This Row],[entity_spawned (AVG)]])*(Table14[[#This Row],[activating_chance]]/100),0)</f>
        <v>0</v>
      </c>
      <c r="DY491" s="144" t="str">
        <f ca="1">INDIRECT(ADDRESS(11+(MATCH(RIGHT(Table14[[#This Row],[spawner_sku]],LEN(Table14[[#This Row],[spawner_sku]])-FIND("/",Table14[[#This Row],[spawner_sku]])),Table28[Entity Prefab],0)),25,1,1,"Entities"))</f>
        <v>yes</v>
      </c>
      <c r="DZ491" s="71">
        <v>2</v>
      </c>
      <c r="EA491" s="71">
        <v>2</v>
      </c>
      <c r="EB491" s="71" t="b">
        <v>0</v>
      </c>
      <c r="EC491" s="71"/>
    </row>
    <row r="492" spans="2:133" x14ac:dyDescent="0.25">
      <c r="B492" s="72" t="s">
        <v>239</v>
      </c>
      <c r="C492">
        <v>1</v>
      </c>
      <c r="D492">
        <v>160</v>
      </c>
      <c r="E492">
        <v>30</v>
      </c>
      <c r="F492" s="74">
        <f ca="1">INDIRECT(ADDRESS(11+(MATCH(RIGHT(Table245[[#This Row],[spawner_sku]],LEN(Table245[[#This Row],[spawner_sku]])-FIND("/",Table245[[#This Row],[spawner_sku]])),Table1[Entity Prefab],0)),10,1,1,"Entities"))</f>
        <v>75</v>
      </c>
      <c r="G492" s="74">
        <f ca="1">ROUND((Table245[[#This Row],[XP]]*Table245[[#This Row],[entity_spawned (AVG)]])*(Table245[[#This Row],[activating_chance]]/100),0)</f>
        <v>23</v>
      </c>
      <c r="H492" s="71" t="str">
        <f ca="1">INDIRECT(ADDRESS(11+(MATCH(RIGHT(Table245[[#This Row],[spawner_sku]],LEN(Table245[[#This Row],[spawner_sku]])-FIND("/",Table245[[#This Row],[spawner_sku]])),Table28[Entity Prefab],0)),24,1,1,"Entities"))</f>
        <v>no</v>
      </c>
      <c r="I492" s="71">
        <v>1</v>
      </c>
      <c r="J492" s="71">
        <v>1</v>
      </c>
      <c r="K492" s="71" t="b">
        <v>0</v>
      </c>
      <c r="CL492" t="s">
        <v>240</v>
      </c>
      <c r="CM492">
        <v>1</v>
      </c>
      <c r="CN492">
        <v>170</v>
      </c>
      <c r="CO492">
        <v>100</v>
      </c>
      <c r="CP492" s="74">
        <f ca="1">INDIRECT(ADDRESS(11+(MATCH(RIGHT(Table11[[#This Row],[spawner_sku]],LEN(Table11[[#This Row],[spawner_sku]])-FIND("/",Table11[[#This Row],[spawner_sku]])),Table1[Entity Prefab],0)),10,1,1,"Entities"))</f>
        <v>70</v>
      </c>
      <c r="CQ492">
        <f ca="1">ROUND((Table11[[#This Row],[XP]]*Table11[[#This Row],[entity_spawned (AVG)]])*(Table11[[#This Row],[activating_chance]]/100),0)</f>
        <v>70</v>
      </c>
      <c r="CR492" s="144" t="str">
        <f ca="1">INDIRECT(ADDRESS(11+(MATCH(RIGHT(Table11[[#This Row],[spawner_sku]],LEN(Table11[[#This Row],[spawner_sku]])-FIND("/",Table11[[#This Row],[spawner_sku]])),Table28[Entity Prefab],0)),25,1,1,"Entities"))</f>
        <v>yes</v>
      </c>
      <c r="CS492" s="71">
        <v>1</v>
      </c>
      <c r="CT492" s="71">
        <v>1</v>
      </c>
      <c r="CU492" s="71" t="b">
        <v>0</v>
      </c>
      <c r="DS492" t="s">
        <v>423</v>
      </c>
      <c r="DT492">
        <v>4</v>
      </c>
      <c r="DU492">
        <v>200</v>
      </c>
      <c r="DV492">
        <v>25</v>
      </c>
      <c r="DW492" s="74">
        <f ca="1">INDIRECT(ADDRESS(11+(MATCH(RIGHT(Table14[[#This Row],[spawner_sku]],LEN(Table14[[#This Row],[spawner_sku]])-FIND("/",Table14[[#This Row],[spawner_sku]])),Table1[Entity Prefab],0)),10,1,1,"Entities"))</f>
        <v>0</v>
      </c>
      <c r="DX492" s="74">
        <f ca="1">ROUND((Table14[[#This Row],[XP]]*Table14[[#This Row],[entity_spawned (AVG)]])*(Table14[[#This Row],[activating_chance]]/100),0)</f>
        <v>0</v>
      </c>
      <c r="DY492" s="144" t="str">
        <f ca="1">INDIRECT(ADDRESS(11+(MATCH(RIGHT(Table14[[#This Row],[spawner_sku]],LEN(Table14[[#This Row],[spawner_sku]])-FIND("/",Table14[[#This Row],[spawner_sku]])),Table28[Entity Prefab],0)),25,1,1,"Entities"))</f>
        <v>yes</v>
      </c>
      <c r="DZ492" s="71">
        <v>4</v>
      </c>
      <c r="EA492" s="71">
        <v>4</v>
      </c>
      <c r="EB492" s="71" t="b">
        <v>0</v>
      </c>
      <c r="EC492" s="71"/>
    </row>
    <row r="493" spans="2:133" x14ac:dyDescent="0.25">
      <c r="B493" s="72" t="s">
        <v>239</v>
      </c>
      <c r="C493">
        <v>1</v>
      </c>
      <c r="D493">
        <v>240</v>
      </c>
      <c r="E493">
        <v>75</v>
      </c>
      <c r="F493" s="74">
        <f ca="1">INDIRECT(ADDRESS(11+(MATCH(RIGHT(Table245[[#This Row],[spawner_sku]],LEN(Table245[[#This Row],[spawner_sku]])-FIND("/",Table245[[#This Row],[spawner_sku]])),Table1[Entity Prefab],0)),10,1,1,"Entities"))</f>
        <v>75</v>
      </c>
      <c r="G493" s="74">
        <f ca="1">ROUND((Table245[[#This Row],[XP]]*Table245[[#This Row],[entity_spawned (AVG)]])*(Table245[[#This Row],[activating_chance]]/100),0)</f>
        <v>56</v>
      </c>
      <c r="H493" s="71" t="str">
        <f ca="1">INDIRECT(ADDRESS(11+(MATCH(RIGHT(Table245[[#This Row],[spawner_sku]],LEN(Table245[[#This Row],[spawner_sku]])-FIND("/",Table245[[#This Row],[spawner_sku]])),Table28[Entity Prefab],0)),24,1,1,"Entities"))</f>
        <v>no</v>
      </c>
      <c r="I493" s="71">
        <v>1</v>
      </c>
      <c r="J493" s="71">
        <v>1</v>
      </c>
      <c r="K493" s="71" t="b">
        <v>0</v>
      </c>
      <c r="CL493" t="s">
        <v>241</v>
      </c>
      <c r="CM493">
        <v>1</v>
      </c>
      <c r="CN493">
        <v>170</v>
      </c>
      <c r="CO493">
        <v>100</v>
      </c>
      <c r="CP493" s="74">
        <f ca="1">INDIRECT(ADDRESS(11+(MATCH(RIGHT(Table11[[#This Row],[spawner_sku]],LEN(Table11[[#This Row],[spawner_sku]])-FIND("/",Table11[[#This Row],[spawner_sku]])),Table1[Entity Prefab],0)),10,1,1,"Entities"))</f>
        <v>70</v>
      </c>
      <c r="CQ493">
        <f ca="1">ROUND((Table11[[#This Row],[XP]]*Table11[[#This Row],[entity_spawned (AVG)]])*(Table11[[#This Row],[activating_chance]]/100),0)</f>
        <v>70</v>
      </c>
      <c r="CR493" s="144" t="str">
        <f ca="1">INDIRECT(ADDRESS(11+(MATCH(RIGHT(Table11[[#This Row],[spawner_sku]],LEN(Table11[[#This Row],[spawner_sku]])-FIND("/",Table11[[#This Row],[spawner_sku]])),Table28[Entity Prefab],0)),25,1,1,"Entities"))</f>
        <v>yes</v>
      </c>
      <c r="CS493" s="71">
        <v>1</v>
      </c>
      <c r="CT493" s="71">
        <v>1</v>
      </c>
      <c r="CU493" s="71" t="b">
        <v>0</v>
      </c>
      <c r="DS493" t="s">
        <v>423</v>
      </c>
      <c r="DT493">
        <v>4</v>
      </c>
      <c r="DU493">
        <v>200</v>
      </c>
      <c r="DV493">
        <v>100</v>
      </c>
      <c r="DW493" s="74">
        <f ca="1">INDIRECT(ADDRESS(11+(MATCH(RIGHT(Table14[[#This Row],[spawner_sku]],LEN(Table14[[#This Row],[spawner_sku]])-FIND("/",Table14[[#This Row],[spawner_sku]])),Table1[Entity Prefab],0)),10,1,1,"Entities"))</f>
        <v>0</v>
      </c>
      <c r="DX493" s="74">
        <f ca="1">ROUND((Table14[[#This Row],[XP]]*Table14[[#This Row],[entity_spawned (AVG)]])*(Table14[[#This Row],[activating_chance]]/100),0)</f>
        <v>0</v>
      </c>
      <c r="DY493" s="144" t="str">
        <f ca="1">INDIRECT(ADDRESS(11+(MATCH(RIGHT(Table14[[#This Row],[spawner_sku]],LEN(Table14[[#This Row],[spawner_sku]])-FIND("/",Table14[[#This Row],[spawner_sku]])),Table28[Entity Prefab],0)),25,1,1,"Entities"))</f>
        <v>yes</v>
      </c>
      <c r="DZ493" s="71">
        <v>4</v>
      </c>
      <c r="EA493" s="71">
        <v>4</v>
      </c>
      <c r="EB493" s="71" t="b">
        <v>0</v>
      </c>
      <c r="EC493" s="71"/>
    </row>
    <row r="494" spans="2:133" x14ac:dyDescent="0.25">
      <c r="B494" s="72" t="s">
        <v>239</v>
      </c>
      <c r="C494">
        <v>1</v>
      </c>
      <c r="D494">
        <v>160</v>
      </c>
      <c r="E494">
        <v>80</v>
      </c>
      <c r="F494" s="74">
        <f ca="1">INDIRECT(ADDRESS(11+(MATCH(RIGHT(Table245[[#This Row],[spawner_sku]],LEN(Table245[[#This Row],[spawner_sku]])-FIND("/",Table245[[#This Row],[spawner_sku]])),Table1[Entity Prefab],0)),10,1,1,"Entities"))</f>
        <v>75</v>
      </c>
      <c r="G494" s="74">
        <f ca="1">ROUND((Table245[[#This Row],[XP]]*Table245[[#This Row],[entity_spawned (AVG)]])*(Table245[[#This Row],[activating_chance]]/100),0)</f>
        <v>60</v>
      </c>
      <c r="H494" s="71" t="str">
        <f ca="1">INDIRECT(ADDRESS(11+(MATCH(RIGHT(Table245[[#This Row],[spawner_sku]],LEN(Table245[[#This Row],[spawner_sku]])-FIND("/",Table245[[#This Row],[spawner_sku]])),Table28[Entity Prefab],0)),24,1,1,"Entities"))</f>
        <v>no</v>
      </c>
      <c r="I494" s="71">
        <v>1</v>
      </c>
      <c r="J494" s="71">
        <v>1</v>
      </c>
      <c r="K494" s="71" t="b">
        <v>0</v>
      </c>
      <c r="CL494" t="s">
        <v>241</v>
      </c>
      <c r="CM494">
        <v>1</v>
      </c>
      <c r="CN494">
        <v>170</v>
      </c>
      <c r="CO494">
        <v>10</v>
      </c>
      <c r="CP494" s="74">
        <f ca="1">INDIRECT(ADDRESS(11+(MATCH(RIGHT(Table11[[#This Row],[spawner_sku]],LEN(Table11[[#This Row],[spawner_sku]])-FIND("/",Table11[[#This Row],[spawner_sku]])),Table1[Entity Prefab],0)),10,1,1,"Entities"))</f>
        <v>70</v>
      </c>
      <c r="CQ494">
        <f ca="1">ROUND((Table11[[#This Row],[XP]]*Table11[[#This Row],[entity_spawned (AVG)]])*(Table11[[#This Row],[activating_chance]]/100),0)</f>
        <v>7</v>
      </c>
      <c r="CR494" s="144" t="str">
        <f ca="1">INDIRECT(ADDRESS(11+(MATCH(RIGHT(Table11[[#This Row],[spawner_sku]],LEN(Table11[[#This Row],[spawner_sku]])-FIND("/",Table11[[#This Row],[spawner_sku]])),Table28[Entity Prefab],0)),25,1,1,"Entities"))</f>
        <v>yes</v>
      </c>
      <c r="CS494" s="71">
        <v>1</v>
      </c>
      <c r="CT494" s="71">
        <v>1</v>
      </c>
      <c r="CU494" s="71" t="b">
        <v>0</v>
      </c>
      <c r="DS494" t="s">
        <v>423</v>
      </c>
      <c r="DT494">
        <v>1.5</v>
      </c>
      <c r="DU494">
        <v>220</v>
      </c>
      <c r="DV494">
        <v>100</v>
      </c>
      <c r="DW494" s="74">
        <f ca="1">INDIRECT(ADDRESS(11+(MATCH(RIGHT(Table14[[#This Row],[spawner_sku]],LEN(Table14[[#This Row],[spawner_sku]])-FIND("/",Table14[[#This Row],[spawner_sku]])),Table1[Entity Prefab],0)),10,1,1,"Entities"))</f>
        <v>0</v>
      </c>
      <c r="DX494" s="74">
        <f ca="1">ROUND((Table14[[#This Row],[XP]]*Table14[[#This Row],[entity_spawned (AVG)]])*(Table14[[#This Row],[activating_chance]]/100),0)</f>
        <v>0</v>
      </c>
      <c r="DY494" s="144" t="str">
        <f ca="1">INDIRECT(ADDRESS(11+(MATCH(RIGHT(Table14[[#This Row],[spawner_sku]],LEN(Table14[[#This Row],[spawner_sku]])-FIND("/",Table14[[#This Row],[spawner_sku]])),Table28[Entity Prefab],0)),25,1,1,"Entities"))</f>
        <v>yes</v>
      </c>
      <c r="DZ494" s="71">
        <v>1</v>
      </c>
      <c r="EA494" s="71">
        <v>2</v>
      </c>
      <c r="EB494" s="71" t="b">
        <v>0</v>
      </c>
      <c r="EC494" s="71"/>
    </row>
    <row r="495" spans="2:133" x14ac:dyDescent="0.25">
      <c r="B495" s="72" t="s">
        <v>239</v>
      </c>
      <c r="C495">
        <v>1</v>
      </c>
      <c r="D495">
        <v>180</v>
      </c>
      <c r="E495">
        <v>100</v>
      </c>
      <c r="F495" s="74">
        <f ca="1">INDIRECT(ADDRESS(11+(MATCH(RIGHT(Table245[[#This Row],[spawner_sku]],LEN(Table245[[#This Row],[spawner_sku]])-FIND("/",Table245[[#This Row],[spawner_sku]])),Table1[Entity Prefab],0)),10,1,1,"Entities"))</f>
        <v>75</v>
      </c>
      <c r="G495" s="74">
        <f ca="1">ROUND((Table245[[#This Row],[XP]]*Table245[[#This Row],[entity_spawned (AVG)]])*(Table245[[#This Row],[activating_chance]]/100),0)</f>
        <v>75</v>
      </c>
      <c r="H495" s="71" t="str">
        <f ca="1">INDIRECT(ADDRESS(11+(MATCH(RIGHT(Table245[[#This Row],[spawner_sku]],LEN(Table245[[#This Row],[spawner_sku]])-FIND("/",Table245[[#This Row],[spawner_sku]])),Table28[Entity Prefab],0)),24,1,1,"Entities"))</f>
        <v>no</v>
      </c>
      <c r="I495" s="71">
        <v>1</v>
      </c>
      <c r="J495" s="71">
        <v>1</v>
      </c>
      <c r="K495" s="71" t="b">
        <v>0</v>
      </c>
      <c r="CL495" t="s">
        <v>241</v>
      </c>
      <c r="CM495">
        <v>1</v>
      </c>
      <c r="CN495">
        <v>170</v>
      </c>
      <c r="CO495">
        <v>80</v>
      </c>
      <c r="CP495" s="74">
        <f ca="1">INDIRECT(ADDRESS(11+(MATCH(RIGHT(Table11[[#This Row],[spawner_sku]],LEN(Table11[[#This Row],[spawner_sku]])-FIND("/",Table11[[#This Row],[spawner_sku]])),Table1[Entity Prefab],0)),10,1,1,"Entities"))</f>
        <v>70</v>
      </c>
      <c r="CQ495">
        <f ca="1">ROUND((Table11[[#This Row],[XP]]*Table11[[#This Row],[entity_spawned (AVG)]])*(Table11[[#This Row],[activating_chance]]/100),0)</f>
        <v>56</v>
      </c>
      <c r="CR495" s="144" t="str">
        <f ca="1">INDIRECT(ADDRESS(11+(MATCH(RIGHT(Table11[[#This Row],[spawner_sku]],LEN(Table11[[#This Row],[spawner_sku]])-FIND("/",Table11[[#This Row],[spawner_sku]])),Table28[Entity Prefab],0)),25,1,1,"Entities"))</f>
        <v>yes</v>
      </c>
      <c r="CS495" s="71">
        <v>1</v>
      </c>
      <c r="CT495" s="71">
        <v>1</v>
      </c>
      <c r="CU495" s="71" t="b">
        <v>0</v>
      </c>
      <c r="DS495" t="s">
        <v>423</v>
      </c>
      <c r="DT495">
        <v>4</v>
      </c>
      <c r="DU495">
        <v>200</v>
      </c>
      <c r="DV495">
        <v>100</v>
      </c>
      <c r="DW495" s="74">
        <f ca="1">INDIRECT(ADDRESS(11+(MATCH(RIGHT(Table14[[#This Row],[spawner_sku]],LEN(Table14[[#This Row],[spawner_sku]])-FIND("/",Table14[[#This Row],[spawner_sku]])),Table1[Entity Prefab],0)),10,1,1,"Entities"))</f>
        <v>0</v>
      </c>
      <c r="DX495" s="74">
        <f ca="1">ROUND((Table14[[#This Row],[XP]]*Table14[[#This Row],[entity_spawned (AVG)]])*(Table14[[#This Row],[activating_chance]]/100),0)</f>
        <v>0</v>
      </c>
      <c r="DY495" s="144" t="str">
        <f ca="1">INDIRECT(ADDRESS(11+(MATCH(RIGHT(Table14[[#This Row],[spawner_sku]],LEN(Table14[[#This Row],[spawner_sku]])-FIND("/",Table14[[#This Row],[spawner_sku]])),Table28[Entity Prefab],0)),25,1,1,"Entities"))</f>
        <v>yes</v>
      </c>
      <c r="DZ495" s="71">
        <v>4</v>
      </c>
      <c r="EA495" s="71">
        <v>4</v>
      </c>
      <c r="EB495" s="71" t="b">
        <v>0</v>
      </c>
      <c r="EC495" s="71"/>
    </row>
    <row r="496" spans="2:133" x14ac:dyDescent="0.25">
      <c r="B496" s="72" t="s">
        <v>239</v>
      </c>
      <c r="C496">
        <v>1</v>
      </c>
      <c r="D496">
        <v>160</v>
      </c>
      <c r="E496">
        <v>100</v>
      </c>
      <c r="F496" s="74">
        <f ca="1">INDIRECT(ADDRESS(11+(MATCH(RIGHT(Table245[[#This Row],[spawner_sku]],LEN(Table245[[#This Row],[spawner_sku]])-FIND("/",Table245[[#This Row],[spawner_sku]])),Table1[Entity Prefab],0)),10,1,1,"Entities"))</f>
        <v>75</v>
      </c>
      <c r="G496" s="74">
        <f ca="1">ROUND((Table245[[#This Row],[XP]]*Table245[[#This Row],[entity_spawned (AVG)]])*(Table245[[#This Row],[activating_chance]]/100),0)</f>
        <v>75</v>
      </c>
      <c r="H496" s="71" t="str">
        <f ca="1">INDIRECT(ADDRESS(11+(MATCH(RIGHT(Table245[[#This Row],[spawner_sku]],LEN(Table245[[#This Row],[spawner_sku]])-FIND("/",Table245[[#This Row],[spawner_sku]])),Table28[Entity Prefab],0)),24,1,1,"Entities"))</f>
        <v>no</v>
      </c>
      <c r="I496" s="71">
        <v>1</v>
      </c>
      <c r="J496" s="71">
        <v>1</v>
      </c>
      <c r="K496" s="71" t="b">
        <v>0</v>
      </c>
      <c r="CL496" t="s">
        <v>241</v>
      </c>
      <c r="CM496">
        <v>1</v>
      </c>
      <c r="CN496">
        <v>170</v>
      </c>
      <c r="CO496">
        <v>100</v>
      </c>
      <c r="CP496" s="74">
        <f ca="1">INDIRECT(ADDRESS(11+(MATCH(RIGHT(Table11[[#This Row],[spawner_sku]],LEN(Table11[[#This Row],[spawner_sku]])-FIND("/",Table11[[#This Row],[spawner_sku]])),Table1[Entity Prefab],0)),10,1,1,"Entities"))</f>
        <v>70</v>
      </c>
      <c r="CQ496">
        <f ca="1">ROUND((Table11[[#This Row],[XP]]*Table11[[#This Row],[entity_spawned (AVG)]])*(Table11[[#This Row],[activating_chance]]/100),0)</f>
        <v>70</v>
      </c>
      <c r="CR496" s="144" t="str">
        <f ca="1">INDIRECT(ADDRESS(11+(MATCH(RIGHT(Table11[[#This Row],[spawner_sku]],LEN(Table11[[#This Row],[spawner_sku]])-FIND("/",Table11[[#This Row],[spawner_sku]])),Table28[Entity Prefab],0)),25,1,1,"Entities"))</f>
        <v>yes</v>
      </c>
      <c r="CS496" s="71">
        <v>1</v>
      </c>
      <c r="CT496" s="71">
        <v>1</v>
      </c>
      <c r="CU496" s="71" t="b">
        <v>0</v>
      </c>
      <c r="DS496" t="s">
        <v>423</v>
      </c>
      <c r="DT496">
        <v>4</v>
      </c>
      <c r="DU496">
        <v>200</v>
      </c>
      <c r="DV496">
        <v>100</v>
      </c>
      <c r="DW496" s="74">
        <f ca="1">INDIRECT(ADDRESS(11+(MATCH(RIGHT(Table14[[#This Row],[spawner_sku]],LEN(Table14[[#This Row],[spawner_sku]])-FIND("/",Table14[[#This Row],[spawner_sku]])),Table1[Entity Prefab],0)),10,1,1,"Entities"))</f>
        <v>0</v>
      </c>
      <c r="DX496" s="74">
        <f ca="1">ROUND((Table14[[#This Row],[XP]]*Table14[[#This Row],[entity_spawned (AVG)]])*(Table14[[#This Row],[activating_chance]]/100),0)</f>
        <v>0</v>
      </c>
      <c r="DY496" s="144" t="str">
        <f ca="1">INDIRECT(ADDRESS(11+(MATCH(RIGHT(Table14[[#This Row],[spawner_sku]],LEN(Table14[[#This Row],[spawner_sku]])-FIND("/",Table14[[#This Row],[spawner_sku]])),Table28[Entity Prefab],0)),25,1,1,"Entities"))</f>
        <v>yes</v>
      </c>
      <c r="DZ496" s="71">
        <v>4</v>
      </c>
      <c r="EA496" s="71">
        <v>4</v>
      </c>
      <c r="EB496" s="71" t="b">
        <v>0</v>
      </c>
      <c r="EC496" s="71"/>
    </row>
    <row r="497" spans="2:133" x14ac:dyDescent="0.25">
      <c r="B497" s="72" t="s">
        <v>239</v>
      </c>
      <c r="C497">
        <v>1</v>
      </c>
      <c r="D497">
        <v>190</v>
      </c>
      <c r="E497">
        <v>80</v>
      </c>
      <c r="F497" s="74">
        <f ca="1">INDIRECT(ADDRESS(11+(MATCH(RIGHT(Table245[[#This Row],[spawner_sku]],LEN(Table245[[#This Row],[spawner_sku]])-FIND("/",Table245[[#This Row],[spawner_sku]])),Table1[Entity Prefab],0)),10,1,1,"Entities"))</f>
        <v>75</v>
      </c>
      <c r="G497" s="74">
        <f ca="1">ROUND((Table245[[#This Row],[XP]]*Table245[[#This Row],[entity_spawned (AVG)]])*(Table245[[#This Row],[activating_chance]]/100),0)</f>
        <v>60</v>
      </c>
      <c r="H497" s="71" t="str">
        <f ca="1">INDIRECT(ADDRESS(11+(MATCH(RIGHT(Table245[[#This Row],[spawner_sku]],LEN(Table245[[#This Row],[spawner_sku]])-FIND("/",Table245[[#This Row],[spawner_sku]])),Table28[Entity Prefab],0)),24,1,1,"Entities"))</f>
        <v>no</v>
      </c>
      <c r="I497" s="71">
        <v>1</v>
      </c>
      <c r="J497" s="71">
        <v>1</v>
      </c>
      <c r="K497" s="71" t="b">
        <v>0</v>
      </c>
      <c r="CL497" t="s">
        <v>241</v>
      </c>
      <c r="CM497">
        <v>1</v>
      </c>
      <c r="CN497">
        <v>170</v>
      </c>
      <c r="CO497">
        <v>10</v>
      </c>
      <c r="CP497" s="74">
        <f ca="1">INDIRECT(ADDRESS(11+(MATCH(RIGHT(Table11[[#This Row],[spawner_sku]],LEN(Table11[[#This Row],[spawner_sku]])-FIND("/",Table11[[#This Row],[spawner_sku]])),Table1[Entity Prefab],0)),10,1,1,"Entities"))</f>
        <v>70</v>
      </c>
      <c r="CQ497">
        <f ca="1">ROUND((Table11[[#This Row],[XP]]*Table11[[#This Row],[entity_spawned (AVG)]])*(Table11[[#This Row],[activating_chance]]/100),0)</f>
        <v>7</v>
      </c>
      <c r="CR497" s="144" t="str">
        <f ca="1">INDIRECT(ADDRESS(11+(MATCH(RIGHT(Table11[[#This Row],[spawner_sku]],LEN(Table11[[#This Row],[spawner_sku]])-FIND("/",Table11[[#This Row],[spawner_sku]])),Table28[Entity Prefab],0)),25,1,1,"Entities"))</f>
        <v>yes</v>
      </c>
      <c r="CS497" s="71">
        <v>1</v>
      </c>
      <c r="CT497" s="71">
        <v>1</v>
      </c>
      <c r="CU497" s="71" t="b">
        <v>0</v>
      </c>
      <c r="DS497" t="s">
        <v>423</v>
      </c>
      <c r="DT497">
        <v>2</v>
      </c>
      <c r="DU497">
        <v>200</v>
      </c>
      <c r="DV497">
        <v>60</v>
      </c>
      <c r="DW497" s="74">
        <f ca="1">INDIRECT(ADDRESS(11+(MATCH(RIGHT(Table14[[#This Row],[spawner_sku]],LEN(Table14[[#This Row],[spawner_sku]])-FIND("/",Table14[[#This Row],[spawner_sku]])),Table1[Entity Prefab],0)),10,1,1,"Entities"))</f>
        <v>0</v>
      </c>
      <c r="DX497" s="74">
        <f ca="1">ROUND((Table14[[#This Row],[XP]]*Table14[[#This Row],[entity_spawned (AVG)]])*(Table14[[#This Row],[activating_chance]]/100),0)</f>
        <v>0</v>
      </c>
      <c r="DY497" s="144" t="str">
        <f ca="1">INDIRECT(ADDRESS(11+(MATCH(RIGHT(Table14[[#This Row],[spawner_sku]],LEN(Table14[[#This Row],[spawner_sku]])-FIND("/",Table14[[#This Row],[spawner_sku]])),Table28[Entity Prefab],0)),25,1,1,"Entities"))</f>
        <v>yes</v>
      </c>
      <c r="DZ497" s="71">
        <v>1</v>
      </c>
      <c r="EA497" s="71">
        <v>3</v>
      </c>
      <c r="EB497" s="71" t="b">
        <v>0</v>
      </c>
      <c r="EC497" s="71"/>
    </row>
    <row r="498" spans="2:133" x14ac:dyDescent="0.25">
      <c r="B498" s="72" t="s">
        <v>239</v>
      </c>
      <c r="C498">
        <v>1</v>
      </c>
      <c r="D498">
        <v>160</v>
      </c>
      <c r="E498">
        <v>60</v>
      </c>
      <c r="F498" s="74">
        <f ca="1">INDIRECT(ADDRESS(11+(MATCH(RIGHT(Table245[[#This Row],[spawner_sku]],LEN(Table245[[#This Row],[spawner_sku]])-FIND("/",Table245[[#This Row],[spawner_sku]])),Table1[Entity Prefab],0)),10,1,1,"Entities"))</f>
        <v>75</v>
      </c>
      <c r="G498" s="74">
        <f ca="1">ROUND((Table245[[#This Row],[XP]]*Table245[[#This Row],[entity_spawned (AVG)]])*(Table245[[#This Row],[activating_chance]]/100),0)</f>
        <v>45</v>
      </c>
      <c r="H498" s="71" t="str">
        <f ca="1">INDIRECT(ADDRESS(11+(MATCH(RIGHT(Table245[[#This Row],[spawner_sku]],LEN(Table245[[#This Row],[spawner_sku]])-FIND("/",Table245[[#This Row],[spawner_sku]])),Table28[Entity Prefab],0)),24,1,1,"Entities"))</f>
        <v>no</v>
      </c>
      <c r="I498" s="71">
        <v>1</v>
      </c>
      <c r="J498" s="71">
        <v>1</v>
      </c>
      <c r="K498" s="71" t="b">
        <v>0</v>
      </c>
      <c r="CL498" t="s">
        <v>241</v>
      </c>
      <c r="CM498">
        <v>1</v>
      </c>
      <c r="CN498">
        <v>170</v>
      </c>
      <c r="CO498">
        <v>100</v>
      </c>
      <c r="CP498" s="74">
        <f ca="1">INDIRECT(ADDRESS(11+(MATCH(RIGHT(Table11[[#This Row],[spawner_sku]],LEN(Table11[[#This Row],[spawner_sku]])-FIND("/",Table11[[#This Row],[spawner_sku]])),Table1[Entity Prefab],0)),10,1,1,"Entities"))</f>
        <v>70</v>
      </c>
      <c r="CQ498">
        <f ca="1">ROUND((Table11[[#This Row],[XP]]*Table11[[#This Row],[entity_spawned (AVG)]])*(Table11[[#This Row],[activating_chance]]/100),0)</f>
        <v>70</v>
      </c>
      <c r="CR498" s="144" t="str">
        <f ca="1">INDIRECT(ADDRESS(11+(MATCH(RIGHT(Table11[[#This Row],[spawner_sku]],LEN(Table11[[#This Row],[spawner_sku]])-FIND("/",Table11[[#This Row],[spawner_sku]])),Table28[Entity Prefab],0)),25,1,1,"Entities"))</f>
        <v>yes</v>
      </c>
      <c r="CS498" s="71">
        <v>1</v>
      </c>
      <c r="CT498" s="71">
        <v>1</v>
      </c>
      <c r="CU498" s="71" t="b">
        <v>0</v>
      </c>
      <c r="DS498" t="s">
        <v>423</v>
      </c>
      <c r="DT498">
        <v>3</v>
      </c>
      <c r="DU498">
        <v>220</v>
      </c>
      <c r="DV498">
        <v>100</v>
      </c>
      <c r="DW498" s="74">
        <f ca="1">INDIRECT(ADDRESS(11+(MATCH(RIGHT(Table14[[#This Row],[spawner_sku]],LEN(Table14[[#This Row],[spawner_sku]])-FIND("/",Table14[[#This Row],[spawner_sku]])),Table1[Entity Prefab],0)),10,1,1,"Entities"))</f>
        <v>0</v>
      </c>
      <c r="DX498" s="74">
        <f ca="1">ROUND((Table14[[#This Row],[XP]]*Table14[[#This Row],[entity_spawned (AVG)]])*(Table14[[#This Row],[activating_chance]]/100),0)</f>
        <v>0</v>
      </c>
      <c r="DY498" s="144" t="str">
        <f ca="1">INDIRECT(ADDRESS(11+(MATCH(RIGHT(Table14[[#This Row],[spawner_sku]],LEN(Table14[[#This Row],[spawner_sku]])-FIND("/",Table14[[#This Row],[spawner_sku]])),Table28[Entity Prefab],0)),25,1,1,"Entities"))</f>
        <v>yes</v>
      </c>
      <c r="DZ498" s="71">
        <v>3</v>
      </c>
      <c r="EA498" s="71">
        <v>3</v>
      </c>
      <c r="EB498" s="71" t="b">
        <v>0</v>
      </c>
      <c r="EC498" s="71"/>
    </row>
    <row r="499" spans="2:133" x14ac:dyDescent="0.25">
      <c r="B499" s="72" t="s">
        <v>239</v>
      </c>
      <c r="C499">
        <v>1.5</v>
      </c>
      <c r="D499">
        <v>170</v>
      </c>
      <c r="E499">
        <v>100</v>
      </c>
      <c r="F499" s="74">
        <f ca="1">INDIRECT(ADDRESS(11+(MATCH(RIGHT(Table245[[#This Row],[spawner_sku]],LEN(Table245[[#This Row],[spawner_sku]])-FIND("/",Table245[[#This Row],[spawner_sku]])),Table1[Entity Prefab],0)),10,1,1,"Entities"))</f>
        <v>75</v>
      </c>
      <c r="G499" s="74">
        <f ca="1">ROUND((Table245[[#This Row],[XP]]*Table245[[#This Row],[entity_spawned (AVG)]])*(Table245[[#This Row],[activating_chance]]/100),0)</f>
        <v>113</v>
      </c>
      <c r="H499" s="71" t="str">
        <f ca="1">INDIRECT(ADDRESS(11+(MATCH(RIGHT(Table245[[#This Row],[spawner_sku]],LEN(Table245[[#This Row],[spawner_sku]])-FIND("/",Table245[[#This Row],[spawner_sku]])),Table28[Entity Prefab],0)),24,1,1,"Entities"))</f>
        <v>no</v>
      </c>
      <c r="I499" s="71">
        <v>1</v>
      </c>
      <c r="J499" s="71">
        <v>2</v>
      </c>
      <c r="K499" s="71" t="b">
        <v>0</v>
      </c>
      <c r="CL499" t="s">
        <v>241</v>
      </c>
      <c r="CM499">
        <v>1</v>
      </c>
      <c r="CN499">
        <v>170</v>
      </c>
      <c r="CO499">
        <v>80</v>
      </c>
      <c r="CP499" s="74">
        <f ca="1">INDIRECT(ADDRESS(11+(MATCH(RIGHT(Table11[[#This Row],[spawner_sku]],LEN(Table11[[#This Row],[spawner_sku]])-FIND("/",Table11[[#This Row],[spawner_sku]])),Table1[Entity Prefab],0)),10,1,1,"Entities"))</f>
        <v>70</v>
      </c>
      <c r="CQ499">
        <f ca="1">ROUND((Table11[[#This Row],[XP]]*Table11[[#This Row],[entity_spawned (AVG)]])*(Table11[[#This Row],[activating_chance]]/100),0)</f>
        <v>56</v>
      </c>
      <c r="CR499" s="144" t="str">
        <f ca="1">INDIRECT(ADDRESS(11+(MATCH(RIGHT(Table11[[#This Row],[spawner_sku]],LEN(Table11[[#This Row],[spawner_sku]])-FIND("/",Table11[[#This Row],[spawner_sku]])),Table28[Entity Prefab],0)),25,1,1,"Entities"))</f>
        <v>yes</v>
      </c>
      <c r="CS499" s="71">
        <v>1</v>
      </c>
      <c r="CT499" s="71">
        <v>1</v>
      </c>
      <c r="CU499" s="71" t="b">
        <v>0</v>
      </c>
      <c r="DS499" t="s">
        <v>423</v>
      </c>
      <c r="DT499">
        <v>2</v>
      </c>
      <c r="DU499">
        <v>200</v>
      </c>
      <c r="DV499">
        <v>100</v>
      </c>
      <c r="DW499" s="74">
        <f ca="1">INDIRECT(ADDRESS(11+(MATCH(RIGHT(Table14[[#This Row],[spawner_sku]],LEN(Table14[[#This Row],[spawner_sku]])-FIND("/",Table14[[#This Row],[spawner_sku]])),Table1[Entity Prefab],0)),10,1,1,"Entities"))</f>
        <v>0</v>
      </c>
      <c r="DX499" s="74">
        <f ca="1">ROUND((Table14[[#This Row],[XP]]*Table14[[#This Row],[entity_spawned (AVG)]])*(Table14[[#This Row],[activating_chance]]/100),0)</f>
        <v>0</v>
      </c>
      <c r="DY499" s="144" t="str">
        <f ca="1">INDIRECT(ADDRESS(11+(MATCH(RIGHT(Table14[[#This Row],[spawner_sku]],LEN(Table14[[#This Row],[spawner_sku]])-FIND("/",Table14[[#This Row],[spawner_sku]])),Table28[Entity Prefab],0)),25,1,1,"Entities"))</f>
        <v>yes</v>
      </c>
      <c r="DZ499" s="71">
        <v>2</v>
      </c>
      <c r="EA499" s="71">
        <v>2</v>
      </c>
      <c r="EB499" s="71" t="b">
        <v>0</v>
      </c>
      <c r="EC499" s="71"/>
    </row>
    <row r="500" spans="2:133" x14ac:dyDescent="0.25">
      <c r="B500" s="72" t="s">
        <v>239</v>
      </c>
      <c r="C500">
        <v>2</v>
      </c>
      <c r="D500">
        <v>200</v>
      </c>
      <c r="E500">
        <v>100</v>
      </c>
      <c r="F500" s="74">
        <f ca="1">INDIRECT(ADDRESS(11+(MATCH(RIGHT(Table245[[#This Row],[spawner_sku]],LEN(Table245[[#This Row],[spawner_sku]])-FIND("/",Table245[[#This Row],[spawner_sku]])),Table1[Entity Prefab],0)),10,1,1,"Entities"))</f>
        <v>75</v>
      </c>
      <c r="G500" s="74">
        <f ca="1">ROUND((Table245[[#This Row],[XP]]*Table245[[#This Row],[entity_spawned (AVG)]])*(Table245[[#This Row],[activating_chance]]/100),0)</f>
        <v>150</v>
      </c>
      <c r="H500" s="71" t="str">
        <f ca="1">INDIRECT(ADDRESS(11+(MATCH(RIGHT(Table245[[#This Row],[spawner_sku]],LEN(Table245[[#This Row],[spawner_sku]])-FIND("/",Table245[[#This Row],[spawner_sku]])),Table28[Entity Prefab],0)),24,1,1,"Entities"))</f>
        <v>no</v>
      </c>
      <c r="I500" s="71">
        <v>2</v>
      </c>
      <c r="J500" s="71">
        <v>2</v>
      </c>
      <c r="K500" s="71" t="b">
        <v>0</v>
      </c>
      <c r="CL500" t="s">
        <v>241</v>
      </c>
      <c r="CM500">
        <v>1</v>
      </c>
      <c r="CN500">
        <v>170</v>
      </c>
      <c r="CO500">
        <v>30</v>
      </c>
      <c r="CP500" s="74">
        <f ca="1">INDIRECT(ADDRESS(11+(MATCH(RIGHT(Table11[[#This Row],[spawner_sku]],LEN(Table11[[#This Row],[spawner_sku]])-FIND("/",Table11[[#This Row],[spawner_sku]])),Table1[Entity Prefab],0)),10,1,1,"Entities"))</f>
        <v>70</v>
      </c>
      <c r="CQ500">
        <f ca="1">ROUND((Table11[[#This Row],[XP]]*Table11[[#This Row],[entity_spawned (AVG)]])*(Table11[[#This Row],[activating_chance]]/100),0)</f>
        <v>21</v>
      </c>
      <c r="CR500" s="144" t="str">
        <f ca="1">INDIRECT(ADDRESS(11+(MATCH(RIGHT(Table11[[#This Row],[spawner_sku]],LEN(Table11[[#This Row],[spawner_sku]])-FIND("/",Table11[[#This Row],[spawner_sku]])),Table28[Entity Prefab],0)),25,1,1,"Entities"))</f>
        <v>yes</v>
      </c>
      <c r="CS500" s="71">
        <v>1</v>
      </c>
      <c r="CT500" s="71">
        <v>1</v>
      </c>
      <c r="CU500" s="71" t="b">
        <v>0</v>
      </c>
      <c r="DS500" t="s">
        <v>423</v>
      </c>
      <c r="DT500">
        <v>2</v>
      </c>
      <c r="DU500">
        <v>200</v>
      </c>
      <c r="DV500">
        <v>90</v>
      </c>
      <c r="DW500" s="74">
        <f ca="1">INDIRECT(ADDRESS(11+(MATCH(RIGHT(Table14[[#This Row],[spawner_sku]],LEN(Table14[[#This Row],[spawner_sku]])-FIND("/",Table14[[#This Row],[spawner_sku]])),Table1[Entity Prefab],0)),10,1,1,"Entities"))</f>
        <v>0</v>
      </c>
      <c r="DX500" s="74">
        <f ca="1">ROUND((Table14[[#This Row],[XP]]*Table14[[#This Row],[entity_spawned (AVG)]])*(Table14[[#This Row],[activating_chance]]/100),0)</f>
        <v>0</v>
      </c>
      <c r="DY500" s="144" t="str">
        <f ca="1">INDIRECT(ADDRESS(11+(MATCH(RIGHT(Table14[[#This Row],[spawner_sku]],LEN(Table14[[#This Row],[spawner_sku]])-FIND("/",Table14[[#This Row],[spawner_sku]])),Table28[Entity Prefab],0)),25,1,1,"Entities"))</f>
        <v>yes</v>
      </c>
      <c r="DZ500" s="71">
        <v>2</v>
      </c>
      <c r="EA500" s="71">
        <v>2</v>
      </c>
      <c r="EB500" s="71" t="b">
        <v>0</v>
      </c>
      <c r="EC500" s="71"/>
    </row>
    <row r="501" spans="2:133" x14ac:dyDescent="0.25">
      <c r="B501" s="72" t="s">
        <v>239</v>
      </c>
      <c r="C501">
        <v>1</v>
      </c>
      <c r="D501">
        <v>80</v>
      </c>
      <c r="E501">
        <v>100</v>
      </c>
      <c r="F501" s="74">
        <f ca="1">INDIRECT(ADDRESS(11+(MATCH(RIGHT(Table245[[#This Row],[spawner_sku]],LEN(Table245[[#This Row],[spawner_sku]])-FIND("/",Table245[[#This Row],[spawner_sku]])),Table1[Entity Prefab],0)),10,1,1,"Entities"))</f>
        <v>75</v>
      </c>
      <c r="G501" s="74">
        <f ca="1">ROUND((Table245[[#This Row],[XP]]*Table245[[#This Row],[entity_spawned (AVG)]])*(Table245[[#This Row],[activating_chance]]/100),0)</f>
        <v>75</v>
      </c>
      <c r="H501" s="71" t="str">
        <f ca="1">INDIRECT(ADDRESS(11+(MATCH(RIGHT(Table245[[#This Row],[spawner_sku]],LEN(Table245[[#This Row],[spawner_sku]])-FIND("/",Table245[[#This Row],[spawner_sku]])),Table28[Entity Prefab],0)),24,1,1,"Entities"))</f>
        <v>no</v>
      </c>
      <c r="I501" s="71">
        <v>1</v>
      </c>
      <c r="J501" s="71">
        <v>1</v>
      </c>
      <c r="K501" s="71" t="b">
        <v>0</v>
      </c>
      <c r="CL501" t="s">
        <v>241</v>
      </c>
      <c r="CM501">
        <v>1</v>
      </c>
      <c r="CN501">
        <v>170</v>
      </c>
      <c r="CO501">
        <v>100</v>
      </c>
      <c r="CP501" s="74">
        <f ca="1">INDIRECT(ADDRESS(11+(MATCH(RIGHT(Table11[[#This Row],[spawner_sku]],LEN(Table11[[#This Row],[spawner_sku]])-FIND("/",Table11[[#This Row],[spawner_sku]])),Table1[Entity Prefab],0)),10,1,1,"Entities"))</f>
        <v>70</v>
      </c>
      <c r="CQ501">
        <f ca="1">ROUND((Table11[[#This Row],[XP]]*Table11[[#This Row],[entity_spawned (AVG)]])*(Table11[[#This Row],[activating_chance]]/100),0)</f>
        <v>70</v>
      </c>
      <c r="CR501" s="144" t="str">
        <f ca="1">INDIRECT(ADDRESS(11+(MATCH(RIGHT(Table11[[#This Row],[spawner_sku]],LEN(Table11[[#This Row],[spawner_sku]])-FIND("/",Table11[[#This Row],[spawner_sku]])),Table28[Entity Prefab],0)),25,1,1,"Entities"))</f>
        <v>yes</v>
      </c>
      <c r="CS501" s="71">
        <v>1</v>
      </c>
      <c r="CT501" s="71">
        <v>1</v>
      </c>
      <c r="CU501" s="71" t="b">
        <v>0</v>
      </c>
      <c r="DS501" t="s">
        <v>423</v>
      </c>
      <c r="DT501">
        <v>4</v>
      </c>
      <c r="DU501">
        <v>200</v>
      </c>
      <c r="DV501">
        <v>100</v>
      </c>
      <c r="DW501" s="74">
        <f ca="1">INDIRECT(ADDRESS(11+(MATCH(RIGHT(Table14[[#This Row],[spawner_sku]],LEN(Table14[[#This Row],[spawner_sku]])-FIND("/",Table14[[#This Row],[spawner_sku]])),Table1[Entity Prefab],0)),10,1,1,"Entities"))</f>
        <v>0</v>
      </c>
      <c r="DX501" s="74">
        <f ca="1">ROUND((Table14[[#This Row],[XP]]*Table14[[#This Row],[entity_spawned (AVG)]])*(Table14[[#This Row],[activating_chance]]/100),0)</f>
        <v>0</v>
      </c>
      <c r="DY501" s="144" t="str">
        <f ca="1">INDIRECT(ADDRESS(11+(MATCH(RIGHT(Table14[[#This Row],[spawner_sku]],LEN(Table14[[#This Row],[spawner_sku]])-FIND("/",Table14[[#This Row],[spawner_sku]])),Table28[Entity Prefab],0)),25,1,1,"Entities"))</f>
        <v>yes</v>
      </c>
      <c r="DZ501" s="71">
        <v>4</v>
      </c>
      <c r="EA501" s="71">
        <v>4</v>
      </c>
      <c r="EB501" s="71" t="b">
        <v>0</v>
      </c>
      <c r="EC501" s="71"/>
    </row>
    <row r="502" spans="2:133" x14ac:dyDescent="0.25">
      <c r="B502" s="72" t="s">
        <v>319</v>
      </c>
      <c r="C502">
        <v>1</v>
      </c>
      <c r="D502">
        <v>170</v>
      </c>
      <c r="E502">
        <v>70</v>
      </c>
      <c r="F502" s="74">
        <f ca="1">INDIRECT(ADDRESS(11+(MATCH(RIGHT(Table245[[#This Row],[spawner_sku]],LEN(Table245[[#This Row],[spawner_sku]])-FIND("/",Table245[[#This Row],[spawner_sku]])),Table1[Entity Prefab],0)),10,1,1,"Entities"))</f>
        <v>75</v>
      </c>
      <c r="G502" s="74">
        <f ca="1">ROUND((Table245[[#This Row],[XP]]*Table245[[#This Row],[entity_spawned (AVG)]])*(Table245[[#This Row],[activating_chance]]/100),0)</f>
        <v>53</v>
      </c>
      <c r="H502" s="71" t="str">
        <f ca="1">INDIRECT(ADDRESS(11+(MATCH(RIGHT(Table245[[#This Row],[spawner_sku]],LEN(Table245[[#This Row],[spawner_sku]])-FIND("/",Table245[[#This Row],[spawner_sku]])),Table28[Entity Prefab],0)),24,1,1,"Entities"))</f>
        <v>no</v>
      </c>
      <c r="I502" s="71">
        <v>1</v>
      </c>
      <c r="J502" s="71">
        <v>1</v>
      </c>
      <c r="K502" s="71" t="b">
        <v>0</v>
      </c>
      <c r="CL502" t="s">
        <v>241</v>
      </c>
      <c r="CM502">
        <v>1</v>
      </c>
      <c r="CN502">
        <v>170</v>
      </c>
      <c r="CO502">
        <v>80</v>
      </c>
      <c r="CP502" s="74">
        <f ca="1">INDIRECT(ADDRESS(11+(MATCH(RIGHT(Table11[[#This Row],[spawner_sku]],LEN(Table11[[#This Row],[spawner_sku]])-FIND("/",Table11[[#This Row],[spawner_sku]])),Table1[Entity Prefab],0)),10,1,1,"Entities"))</f>
        <v>70</v>
      </c>
      <c r="CQ502">
        <f ca="1">ROUND((Table11[[#This Row],[XP]]*Table11[[#This Row],[entity_spawned (AVG)]])*(Table11[[#This Row],[activating_chance]]/100),0)</f>
        <v>56</v>
      </c>
      <c r="CR502" s="144" t="str">
        <f ca="1">INDIRECT(ADDRESS(11+(MATCH(RIGHT(Table11[[#This Row],[spawner_sku]],LEN(Table11[[#This Row],[spawner_sku]])-FIND("/",Table11[[#This Row],[spawner_sku]])),Table28[Entity Prefab],0)),25,1,1,"Entities"))</f>
        <v>yes</v>
      </c>
      <c r="CS502" s="71">
        <v>1</v>
      </c>
      <c r="CT502" s="71">
        <v>1</v>
      </c>
      <c r="CU502" s="71" t="b">
        <v>0</v>
      </c>
      <c r="DS502" t="s">
        <v>423</v>
      </c>
      <c r="DT502">
        <v>3.5</v>
      </c>
      <c r="DU502">
        <v>200</v>
      </c>
      <c r="DV502">
        <v>100</v>
      </c>
      <c r="DW502" s="74">
        <f ca="1">INDIRECT(ADDRESS(11+(MATCH(RIGHT(Table14[[#This Row],[spawner_sku]],LEN(Table14[[#This Row],[spawner_sku]])-FIND("/",Table14[[#This Row],[spawner_sku]])),Table1[Entity Prefab],0)),10,1,1,"Entities"))</f>
        <v>0</v>
      </c>
      <c r="DX502" s="74">
        <f ca="1">ROUND((Table14[[#This Row],[XP]]*Table14[[#This Row],[entity_spawned (AVG)]])*(Table14[[#This Row],[activating_chance]]/100),0)</f>
        <v>0</v>
      </c>
      <c r="DY502" s="144" t="str">
        <f ca="1">INDIRECT(ADDRESS(11+(MATCH(RIGHT(Table14[[#This Row],[spawner_sku]],LEN(Table14[[#This Row],[spawner_sku]])-FIND("/",Table14[[#This Row],[spawner_sku]])),Table28[Entity Prefab],0)),25,1,1,"Entities"))</f>
        <v>yes</v>
      </c>
      <c r="DZ502" s="71">
        <v>3</v>
      </c>
      <c r="EA502" s="71">
        <v>4</v>
      </c>
      <c r="EB502" s="71" t="b">
        <v>0</v>
      </c>
      <c r="EC502" s="71"/>
    </row>
    <row r="503" spans="2:133" x14ac:dyDescent="0.25">
      <c r="B503" s="72" t="s">
        <v>319</v>
      </c>
      <c r="C503">
        <v>1</v>
      </c>
      <c r="D503">
        <v>190</v>
      </c>
      <c r="E503">
        <v>100</v>
      </c>
      <c r="F503" s="74">
        <f ca="1">INDIRECT(ADDRESS(11+(MATCH(RIGHT(Table245[[#This Row],[spawner_sku]],LEN(Table245[[#This Row],[spawner_sku]])-FIND("/",Table245[[#This Row],[spawner_sku]])),Table1[Entity Prefab],0)),10,1,1,"Entities"))</f>
        <v>75</v>
      </c>
      <c r="G503" s="74">
        <f ca="1">ROUND((Table245[[#This Row],[XP]]*Table245[[#This Row],[entity_spawned (AVG)]])*(Table245[[#This Row],[activating_chance]]/100),0)</f>
        <v>75</v>
      </c>
      <c r="H503" s="71" t="str">
        <f ca="1">INDIRECT(ADDRESS(11+(MATCH(RIGHT(Table245[[#This Row],[spawner_sku]],LEN(Table245[[#This Row],[spawner_sku]])-FIND("/",Table245[[#This Row],[spawner_sku]])),Table28[Entity Prefab],0)),24,1,1,"Entities"))</f>
        <v>no</v>
      </c>
      <c r="I503" s="71">
        <v>1</v>
      </c>
      <c r="J503" s="71">
        <v>1</v>
      </c>
      <c r="K503" s="71" t="b">
        <v>0</v>
      </c>
      <c r="CL503" t="s">
        <v>242</v>
      </c>
      <c r="CM503">
        <v>1</v>
      </c>
      <c r="CN503">
        <v>150</v>
      </c>
      <c r="CO503">
        <v>100</v>
      </c>
      <c r="CP503" s="74">
        <f ca="1">INDIRECT(ADDRESS(11+(MATCH(RIGHT(Table11[[#This Row],[spawner_sku]],LEN(Table11[[#This Row],[spawner_sku]])-FIND("/",Table11[[#This Row],[spawner_sku]])),Table1[Entity Prefab],0)),10,1,1,"Entities"))</f>
        <v>25</v>
      </c>
      <c r="CQ503">
        <f ca="1">ROUND((Table11[[#This Row],[XP]]*Table11[[#This Row],[entity_spawned (AVG)]])*(Table11[[#This Row],[activating_chance]]/100),0)</f>
        <v>25</v>
      </c>
      <c r="CR503" s="144" t="str">
        <f ca="1">INDIRECT(ADDRESS(11+(MATCH(RIGHT(Table11[[#This Row],[spawner_sku]],LEN(Table11[[#This Row],[spawner_sku]])-FIND("/",Table11[[#This Row],[spawner_sku]])),Table28[Entity Prefab],0)),25,1,1,"Entities"))</f>
        <v>no</v>
      </c>
      <c r="CS503" s="71">
        <v>1</v>
      </c>
      <c r="CT503" s="71">
        <v>1</v>
      </c>
      <c r="CU503" s="71" t="b">
        <v>0</v>
      </c>
      <c r="DS503" t="s">
        <v>423</v>
      </c>
      <c r="DT503">
        <v>2</v>
      </c>
      <c r="DU503">
        <v>200</v>
      </c>
      <c r="DV503">
        <v>80</v>
      </c>
      <c r="DW503" s="74">
        <f ca="1">INDIRECT(ADDRESS(11+(MATCH(RIGHT(Table14[[#This Row],[spawner_sku]],LEN(Table14[[#This Row],[spawner_sku]])-FIND("/",Table14[[#This Row],[spawner_sku]])),Table1[Entity Prefab],0)),10,1,1,"Entities"))</f>
        <v>0</v>
      </c>
      <c r="DX503" s="74">
        <f ca="1">ROUND((Table14[[#This Row],[XP]]*Table14[[#This Row],[entity_spawned (AVG)]])*(Table14[[#This Row],[activating_chance]]/100),0)</f>
        <v>0</v>
      </c>
      <c r="DY503" s="144" t="str">
        <f ca="1">INDIRECT(ADDRESS(11+(MATCH(RIGHT(Table14[[#This Row],[spawner_sku]],LEN(Table14[[#This Row],[spawner_sku]])-FIND("/",Table14[[#This Row],[spawner_sku]])),Table28[Entity Prefab],0)),25,1,1,"Entities"))</f>
        <v>yes</v>
      </c>
      <c r="DZ503" s="71">
        <v>2</v>
      </c>
      <c r="EA503" s="71">
        <v>2</v>
      </c>
      <c r="EB503" s="71" t="b">
        <v>0</v>
      </c>
      <c r="EC503" s="71"/>
    </row>
    <row r="504" spans="2:133" x14ac:dyDescent="0.25">
      <c r="B504" s="72" t="s">
        <v>319</v>
      </c>
      <c r="C504">
        <v>1</v>
      </c>
      <c r="D504">
        <v>200</v>
      </c>
      <c r="E504">
        <v>100</v>
      </c>
      <c r="F504" s="74">
        <f ca="1">INDIRECT(ADDRESS(11+(MATCH(RIGHT(Table245[[#This Row],[spawner_sku]],LEN(Table245[[#This Row],[spawner_sku]])-FIND("/",Table245[[#This Row],[spawner_sku]])),Table1[Entity Prefab],0)),10,1,1,"Entities"))</f>
        <v>75</v>
      </c>
      <c r="G504" s="74">
        <f ca="1">ROUND((Table245[[#This Row],[XP]]*Table245[[#This Row],[entity_spawned (AVG)]])*(Table245[[#This Row],[activating_chance]]/100),0)</f>
        <v>75</v>
      </c>
      <c r="H504" s="71" t="str">
        <f ca="1">INDIRECT(ADDRESS(11+(MATCH(RIGHT(Table245[[#This Row],[spawner_sku]],LEN(Table245[[#This Row],[spawner_sku]])-FIND("/",Table245[[#This Row],[spawner_sku]])),Table28[Entity Prefab],0)),24,1,1,"Entities"))</f>
        <v>no</v>
      </c>
      <c r="I504" s="71">
        <v>1</v>
      </c>
      <c r="J504" s="71">
        <v>1</v>
      </c>
      <c r="K504" s="71" t="b">
        <v>0</v>
      </c>
      <c r="CL504" t="s">
        <v>242</v>
      </c>
      <c r="CM504">
        <v>1</v>
      </c>
      <c r="CN504">
        <v>130</v>
      </c>
      <c r="CO504">
        <v>100</v>
      </c>
      <c r="CP504" s="74">
        <f ca="1">INDIRECT(ADDRESS(11+(MATCH(RIGHT(Table11[[#This Row],[spawner_sku]],LEN(Table11[[#This Row],[spawner_sku]])-FIND("/",Table11[[#This Row],[spawner_sku]])),Table1[Entity Prefab],0)),10,1,1,"Entities"))</f>
        <v>25</v>
      </c>
      <c r="CQ504">
        <f ca="1">ROUND((Table11[[#This Row],[XP]]*Table11[[#This Row],[entity_spawned (AVG)]])*(Table11[[#This Row],[activating_chance]]/100),0)</f>
        <v>25</v>
      </c>
      <c r="CR504" s="144" t="str">
        <f ca="1">INDIRECT(ADDRESS(11+(MATCH(RIGHT(Table11[[#This Row],[spawner_sku]],LEN(Table11[[#This Row],[spawner_sku]])-FIND("/",Table11[[#This Row],[spawner_sku]])),Table28[Entity Prefab],0)),25,1,1,"Entities"))</f>
        <v>no</v>
      </c>
      <c r="CS504" s="71">
        <v>1</v>
      </c>
      <c r="CT504" s="71">
        <v>1</v>
      </c>
      <c r="CU504" s="71" t="b">
        <v>0</v>
      </c>
      <c r="DS504" t="s">
        <v>423</v>
      </c>
      <c r="DT504">
        <v>4</v>
      </c>
      <c r="DU504">
        <v>200</v>
      </c>
      <c r="DV504">
        <v>100</v>
      </c>
      <c r="DW504" s="74">
        <f ca="1">INDIRECT(ADDRESS(11+(MATCH(RIGHT(Table14[[#This Row],[spawner_sku]],LEN(Table14[[#This Row],[spawner_sku]])-FIND("/",Table14[[#This Row],[spawner_sku]])),Table1[Entity Prefab],0)),10,1,1,"Entities"))</f>
        <v>0</v>
      </c>
      <c r="DX504" s="74">
        <f ca="1">ROUND((Table14[[#This Row],[XP]]*Table14[[#This Row],[entity_spawned (AVG)]])*(Table14[[#This Row],[activating_chance]]/100),0)</f>
        <v>0</v>
      </c>
      <c r="DY504" s="144" t="str">
        <f ca="1">INDIRECT(ADDRESS(11+(MATCH(RIGHT(Table14[[#This Row],[spawner_sku]],LEN(Table14[[#This Row],[spawner_sku]])-FIND("/",Table14[[#This Row],[spawner_sku]])),Table28[Entity Prefab],0)),25,1,1,"Entities"))</f>
        <v>yes</v>
      </c>
      <c r="DZ504" s="71">
        <v>4</v>
      </c>
      <c r="EA504" s="71">
        <v>4</v>
      </c>
      <c r="EB504" s="71" t="b">
        <v>0</v>
      </c>
      <c r="EC504" s="71"/>
    </row>
    <row r="505" spans="2:133" x14ac:dyDescent="0.25">
      <c r="B505" s="72" t="s">
        <v>319</v>
      </c>
      <c r="C505">
        <v>1</v>
      </c>
      <c r="D505">
        <v>160</v>
      </c>
      <c r="E505">
        <v>100</v>
      </c>
      <c r="F505" s="74">
        <f ca="1">INDIRECT(ADDRESS(11+(MATCH(RIGHT(Table245[[#This Row],[spawner_sku]],LEN(Table245[[#This Row],[spawner_sku]])-FIND("/",Table245[[#This Row],[spawner_sku]])),Table1[Entity Prefab],0)),10,1,1,"Entities"))</f>
        <v>75</v>
      </c>
      <c r="G505" s="74">
        <f ca="1">ROUND((Table245[[#This Row],[XP]]*Table245[[#This Row],[entity_spawned (AVG)]])*(Table245[[#This Row],[activating_chance]]/100),0)</f>
        <v>75</v>
      </c>
      <c r="H505" s="71" t="str">
        <f ca="1">INDIRECT(ADDRESS(11+(MATCH(RIGHT(Table245[[#This Row],[spawner_sku]],LEN(Table245[[#This Row],[spawner_sku]])-FIND("/",Table245[[#This Row],[spawner_sku]])),Table28[Entity Prefab],0)),24,1,1,"Entities"))</f>
        <v>no</v>
      </c>
      <c r="I505" s="71">
        <v>1</v>
      </c>
      <c r="J505" s="71">
        <v>1</v>
      </c>
      <c r="K505" s="71" t="b">
        <v>0</v>
      </c>
      <c r="CL505" t="s">
        <v>242</v>
      </c>
      <c r="CM505">
        <v>1</v>
      </c>
      <c r="CN505">
        <v>150</v>
      </c>
      <c r="CO505">
        <v>100</v>
      </c>
      <c r="CP505" s="74">
        <f ca="1">INDIRECT(ADDRESS(11+(MATCH(RIGHT(Table11[[#This Row],[spawner_sku]],LEN(Table11[[#This Row],[spawner_sku]])-FIND("/",Table11[[#This Row],[spawner_sku]])),Table1[Entity Prefab],0)),10,1,1,"Entities"))</f>
        <v>25</v>
      </c>
      <c r="CQ505">
        <f ca="1">ROUND((Table11[[#This Row],[XP]]*Table11[[#This Row],[entity_spawned (AVG)]])*(Table11[[#This Row],[activating_chance]]/100),0)</f>
        <v>25</v>
      </c>
      <c r="CR505" s="144" t="str">
        <f ca="1">INDIRECT(ADDRESS(11+(MATCH(RIGHT(Table11[[#This Row],[spawner_sku]],LEN(Table11[[#This Row],[spawner_sku]])-FIND("/",Table11[[#This Row],[spawner_sku]])),Table28[Entity Prefab],0)),25,1,1,"Entities"))</f>
        <v>no</v>
      </c>
      <c r="CS505" s="71">
        <v>1</v>
      </c>
      <c r="CT505" s="71">
        <v>1</v>
      </c>
      <c r="CU505" s="71" t="b">
        <v>0</v>
      </c>
      <c r="DS505" t="s">
        <v>423</v>
      </c>
      <c r="DT505">
        <v>1.5</v>
      </c>
      <c r="DU505">
        <v>200</v>
      </c>
      <c r="DV505">
        <v>100</v>
      </c>
      <c r="DW505" s="74">
        <f ca="1">INDIRECT(ADDRESS(11+(MATCH(RIGHT(Table14[[#This Row],[spawner_sku]],LEN(Table14[[#This Row],[spawner_sku]])-FIND("/",Table14[[#This Row],[spawner_sku]])),Table1[Entity Prefab],0)),10,1,1,"Entities"))</f>
        <v>0</v>
      </c>
      <c r="DX505" s="74">
        <f ca="1">ROUND((Table14[[#This Row],[XP]]*Table14[[#This Row],[entity_spawned (AVG)]])*(Table14[[#This Row],[activating_chance]]/100),0)</f>
        <v>0</v>
      </c>
      <c r="DY505" s="144" t="str">
        <f ca="1">INDIRECT(ADDRESS(11+(MATCH(RIGHT(Table14[[#This Row],[spawner_sku]],LEN(Table14[[#This Row],[spawner_sku]])-FIND("/",Table14[[#This Row],[spawner_sku]])),Table28[Entity Prefab],0)),25,1,1,"Entities"))</f>
        <v>yes</v>
      </c>
      <c r="DZ505" s="71">
        <v>1</v>
      </c>
      <c r="EA505" s="71">
        <v>2</v>
      </c>
      <c r="EB505" s="71" t="b">
        <v>0</v>
      </c>
      <c r="EC505" s="71"/>
    </row>
    <row r="506" spans="2:133" x14ac:dyDescent="0.25">
      <c r="B506" s="72" t="s">
        <v>319</v>
      </c>
      <c r="C506">
        <v>1</v>
      </c>
      <c r="D506">
        <v>160</v>
      </c>
      <c r="E506">
        <v>100</v>
      </c>
      <c r="F506" s="74">
        <f ca="1">INDIRECT(ADDRESS(11+(MATCH(RIGHT(Table245[[#This Row],[spawner_sku]],LEN(Table245[[#This Row],[spawner_sku]])-FIND("/",Table245[[#This Row],[spawner_sku]])),Table1[Entity Prefab],0)),10,1,1,"Entities"))</f>
        <v>75</v>
      </c>
      <c r="G506" s="74">
        <f ca="1">ROUND((Table245[[#This Row],[XP]]*Table245[[#This Row],[entity_spawned (AVG)]])*(Table245[[#This Row],[activating_chance]]/100),0)</f>
        <v>75</v>
      </c>
      <c r="H506" s="71" t="str">
        <f ca="1">INDIRECT(ADDRESS(11+(MATCH(RIGHT(Table245[[#This Row],[spawner_sku]],LEN(Table245[[#This Row],[spawner_sku]])-FIND("/",Table245[[#This Row],[spawner_sku]])),Table28[Entity Prefab],0)),24,1,1,"Entities"))</f>
        <v>no</v>
      </c>
      <c r="I506" s="71">
        <v>1</v>
      </c>
      <c r="J506" s="71">
        <v>1</v>
      </c>
      <c r="K506" s="71" t="b">
        <v>0</v>
      </c>
      <c r="CL506" t="s">
        <v>242</v>
      </c>
      <c r="CM506">
        <v>1</v>
      </c>
      <c r="CN506">
        <v>150</v>
      </c>
      <c r="CO506">
        <v>100</v>
      </c>
      <c r="CP506" s="74">
        <f ca="1">INDIRECT(ADDRESS(11+(MATCH(RIGHT(Table11[[#This Row],[spawner_sku]],LEN(Table11[[#This Row],[spawner_sku]])-FIND("/",Table11[[#This Row],[spawner_sku]])),Table1[Entity Prefab],0)),10,1,1,"Entities"))</f>
        <v>25</v>
      </c>
      <c r="CQ506">
        <f ca="1">ROUND((Table11[[#This Row],[XP]]*Table11[[#This Row],[entity_spawned (AVG)]])*(Table11[[#This Row],[activating_chance]]/100),0)</f>
        <v>25</v>
      </c>
      <c r="CR506" s="144" t="str">
        <f ca="1">INDIRECT(ADDRESS(11+(MATCH(RIGHT(Table11[[#This Row],[spawner_sku]],LEN(Table11[[#This Row],[spawner_sku]])-FIND("/",Table11[[#This Row],[spawner_sku]])),Table28[Entity Prefab],0)),25,1,1,"Entities"))</f>
        <v>no</v>
      </c>
      <c r="CS506" s="71">
        <v>1</v>
      </c>
      <c r="CT506" s="71">
        <v>1</v>
      </c>
      <c r="CU506" s="71" t="b">
        <v>0</v>
      </c>
      <c r="DS506" t="s">
        <v>233</v>
      </c>
      <c r="DT506">
        <v>1</v>
      </c>
      <c r="DU506">
        <v>500</v>
      </c>
      <c r="DV506">
        <v>75</v>
      </c>
      <c r="DW506" s="74">
        <f ca="1">INDIRECT(ADDRESS(11+(MATCH(RIGHT(Table14[[#This Row],[spawner_sku]],LEN(Table14[[#This Row],[spawner_sku]])-FIND("/",Table14[[#This Row],[spawner_sku]])),Table1[Entity Prefab],0)),10,1,1,"Entities"))</f>
        <v>25</v>
      </c>
      <c r="DX506" s="74">
        <f ca="1">ROUND((Table14[[#This Row],[XP]]*Table14[[#This Row],[entity_spawned (AVG)]])*(Table14[[#This Row],[activating_chance]]/100),0)</f>
        <v>19</v>
      </c>
      <c r="DY506" s="144" t="str">
        <f ca="1">INDIRECT(ADDRESS(11+(MATCH(RIGHT(Table14[[#This Row],[spawner_sku]],LEN(Table14[[#This Row],[spawner_sku]])-FIND("/",Table14[[#This Row],[spawner_sku]])),Table28[Entity Prefab],0)),25,1,1,"Entities"))</f>
        <v>no</v>
      </c>
      <c r="DZ506" s="71">
        <v>1</v>
      </c>
      <c r="EA506" s="71">
        <v>1</v>
      </c>
      <c r="EB506" s="71" t="b">
        <v>0</v>
      </c>
      <c r="EC506" s="71"/>
    </row>
    <row r="507" spans="2:133" x14ac:dyDescent="0.25">
      <c r="B507" s="72" t="s">
        <v>319</v>
      </c>
      <c r="C507">
        <v>1</v>
      </c>
      <c r="D507">
        <v>210</v>
      </c>
      <c r="E507">
        <v>100</v>
      </c>
      <c r="F507" s="74">
        <f ca="1">INDIRECT(ADDRESS(11+(MATCH(RIGHT(Table245[[#This Row],[spawner_sku]],LEN(Table245[[#This Row],[spawner_sku]])-FIND("/",Table245[[#This Row],[spawner_sku]])),Table1[Entity Prefab],0)),10,1,1,"Entities"))</f>
        <v>75</v>
      </c>
      <c r="G507" s="74">
        <f ca="1">ROUND((Table245[[#This Row],[XP]]*Table245[[#This Row],[entity_spawned (AVG)]])*(Table245[[#This Row],[activating_chance]]/100),0)</f>
        <v>75</v>
      </c>
      <c r="H507" s="71" t="str">
        <f ca="1">INDIRECT(ADDRESS(11+(MATCH(RIGHT(Table245[[#This Row],[spawner_sku]],LEN(Table245[[#This Row],[spawner_sku]])-FIND("/",Table245[[#This Row],[spawner_sku]])),Table28[Entity Prefab],0)),24,1,1,"Entities"))</f>
        <v>no</v>
      </c>
      <c r="I507" s="71">
        <v>1</v>
      </c>
      <c r="J507" s="71">
        <v>1</v>
      </c>
      <c r="K507" s="71" t="b">
        <v>0</v>
      </c>
      <c r="CL507" t="s">
        <v>242</v>
      </c>
      <c r="CM507">
        <v>1</v>
      </c>
      <c r="CN507">
        <v>150</v>
      </c>
      <c r="CO507">
        <v>100</v>
      </c>
      <c r="CP507" s="74">
        <f ca="1">INDIRECT(ADDRESS(11+(MATCH(RIGHT(Table11[[#This Row],[spawner_sku]],LEN(Table11[[#This Row],[spawner_sku]])-FIND("/",Table11[[#This Row],[spawner_sku]])),Table1[Entity Prefab],0)),10,1,1,"Entities"))</f>
        <v>25</v>
      </c>
      <c r="CQ507">
        <f ca="1">ROUND((Table11[[#This Row],[XP]]*Table11[[#This Row],[entity_spawned (AVG)]])*(Table11[[#This Row],[activating_chance]]/100),0)</f>
        <v>25</v>
      </c>
      <c r="CR507" s="144" t="str">
        <f ca="1">INDIRECT(ADDRESS(11+(MATCH(RIGHT(Table11[[#This Row],[spawner_sku]],LEN(Table11[[#This Row],[spawner_sku]])-FIND("/",Table11[[#This Row],[spawner_sku]])),Table28[Entity Prefab],0)),25,1,1,"Entities"))</f>
        <v>no</v>
      </c>
      <c r="CS507" s="71">
        <v>1</v>
      </c>
      <c r="CT507" s="71">
        <v>1</v>
      </c>
      <c r="CU507" s="71" t="b">
        <v>0</v>
      </c>
      <c r="DS507" t="s">
        <v>233</v>
      </c>
      <c r="DT507">
        <v>3</v>
      </c>
      <c r="DU507">
        <v>500</v>
      </c>
      <c r="DV507">
        <v>80</v>
      </c>
      <c r="DW507" s="74">
        <f ca="1">INDIRECT(ADDRESS(11+(MATCH(RIGHT(Table14[[#This Row],[spawner_sku]],LEN(Table14[[#This Row],[spawner_sku]])-FIND("/",Table14[[#This Row],[spawner_sku]])),Table1[Entity Prefab],0)),10,1,1,"Entities"))</f>
        <v>25</v>
      </c>
      <c r="DX507" s="74">
        <f ca="1">ROUND((Table14[[#This Row],[XP]]*Table14[[#This Row],[entity_spawned (AVG)]])*(Table14[[#This Row],[activating_chance]]/100),0)</f>
        <v>60</v>
      </c>
      <c r="DY507" s="144" t="str">
        <f ca="1">INDIRECT(ADDRESS(11+(MATCH(RIGHT(Table14[[#This Row],[spawner_sku]],LEN(Table14[[#This Row],[spawner_sku]])-FIND("/",Table14[[#This Row],[spawner_sku]])),Table28[Entity Prefab],0)),25,1,1,"Entities"))</f>
        <v>no</v>
      </c>
      <c r="DZ507" s="71">
        <v>3</v>
      </c>
      <c r="EA507" s="71">
        <v>3</v>
      </c>
      <c r="EB507" s="71" t="b">
        <v>0</v>
      </c>
      <c r="EC507" s="71"/>
    </row>
    <row r="508" spans="2:133" x14ac:dyDescent="0.25">
      <c r="B508" s="72" t="s">
        <v>240</v>
      </c>
      <c r="C508">
        <v>1</v>
      </c>
      <c r="D508">
        <v>190</v>
      </c>
      <c r="E508">
        <v>100</v>
      </c>
      <c r="F508" s="74">
        <f ca="1">INDIRECT(ADDRESS(11+(MATCH(RIGHT(Table245[[#This Row],[spawner_sku]],LEN(Table245[[#This Row],[spawner_sku]])-FIND("/",Table245[[#This Row],[spawner_sku]])),Table1[Entity Prefab],0)),10,1,1,"Entities"))</f>
        <v>70</v>
      </c>
      <c r="G508" s="74">
        <f ca="1">ROUND((Table245[[#This Row],[XP]]*Table245[[#This Row],[entity_spawned (AVG)]])*(Table245[[#This Row],[activating_chance]]/100),0)</f>
        <v>70</v>
      </c>
      <c r="H508" s="71" t="str">
        <f ca="1">INDIRECT(ADDRESS(11+(MATCH(RIGHT(Table245[[#This Row],[spawner_sku]],LEN(Table245[[#This Row],[spawner_sku]])-FIND("/",Table245[[#This Row],[spawner_sku]])),Table28[Entity Prefab],0)),24,1,1,"Entities"))</f>
        <v>yes</v>
      </c>
      <c r="I508" s="71">
        <v>1</v>
      </c>
      <c r="J508" s="71">
        <v>1</v>
      </c>
      <c r="K508" s="71" t="b">
        <v>0</v>
      </c>
      <c r="CL508" t="s">
        <v>242</v>
      </c>
      <c r="CM508">
        <v>1</v>
      </c>
      <c r="CN508">
        <v>150</v>
      </c>
      <c r="CO508">
        <v>100</v>
      </c>
      <c r="CP508" s="74">
        <f ca="1">INDIRECT(ADDRESS(11+(MATCH(RIGHT(Table11[[#This Row],[spawner_sku]],LEN(Table11[[#This Row],[spawner_sku]])-FIND("/",Table11[[#This Row],[spawner_sku]])),Table1[Entity Prefab],0)),10,1,1,"Entities"))</f>
        <v>25</v>
      </c>
      <c r="CQ508">
        <f ca="1">ROUND((Table11[[#This Row],[XP]]*Table11[[#This Row],[entity_spawned (AVG)]])*(Table11[[#This Row],[activating_chance]]/100),0)</f>
        <v>25</v>
      </c>
      <c r="CR508" s="144" t="str">
        <f ca="1">INDIRECT(ADDRESS(11+(MATCH(RIGHT(Table11[[#This Row],[spawner_sku]],LEN(Table11[[#This Row],[spawner_sku]])-FIND("/",Table11[[#This Row],[spawner_sku]])),Table28[Entity Prefab],0)),25,1,1,"Entities"))</f>
        <v>no</v>
      </c>
      <c r="CS508" s="71">
        <v>1</v>
      </c>
      <c r="CT508" s="71">
        <v>1</v>
      </c>
      <c r="CU508" s="71" t="b">
        <v>0</v>
      </c>
      <c r="DS508" t="s">
        <v>233</v>
      </c>
      <c r="DT508">
        <v>1</v>
      </c>
      <c r="DU508">
        <v>500</v>
      </c>
      <c r="DV508">
        <v>75</v>
      </c>
      <c r="DW508" s="74">
        <f ca="1">INDIRECT(ADDRESS(11+(MATCH(RIGHT(Table14[[#This Row],[spawner_sku]],LEN(Table14[[#This Row],[spawner_sku]])-FIND("/",Table14[[#This Row],[spawner_sku]])),Table1[Entity Prefab],0)),10,1,1,"Entities"))</f>
        <v>25</v>
      </c>
      <c r="DX508" s="74">
        <f ca="1">ROUND((Table14[[#This Row],[XP]]*Table14[[#This Row],[entity_spawned (AVG)]])*(Table14[[#This Row],[activating_chance]]/100),0)</f>
        <v>19</v>
      </c>
      <c r="DY508" s="144" t="str">
        <f ca="1">INDIRECT(ADDRESS(11+(MATCH(RIGHT(Table14[[#This Row],[spawner_sku]],LEN(Table14[[#This Row],[spawner_sku]])-FIND("/",Table14[[#This Row],[spawner_sku]])),Table28[Entity Prefab],0)),25,1,1,"Entities"))</f>
        <v>no</v>
      </c>
      <c r="DZ508" s="71">
        <v>1</v>
      </c>
      <c r="EA508" s="71">
        <v>1</v>
      </c>
      <c r="EB508" s="71" t="b">
        <v>0</v>
      </c>
      <c r="EC508" s="71"/>
    </row>
    <row r="509" spans="2:133" x14ac:dyDescent="0.25">
      <c r="B509" s="72" t="s">
        <v>241</v>
      </c>
      <c r="C509">
        <v>1</v>
      </c>
      <c r="D509">
        <v>175</v>
      </c>
      <c r="E509">
        <v>100</v>
      </c>
      <c r="F509" s="74">
        <f ca="1">INDIRECT(ADDRESS(11+(MATCH(RIGHT(Table245[[#This Row],[spawner_sku]],LEN(Table245[[#This Row],[spawner_sku]])-FIND("/",Table245[[#This Row],[spawner_sku]])),Table1[Entity Prefab],0)),10,1,1,"Entities"))</f>
        <v>70</v>
      </c>
      <c r="G509" s="74">
        <f ca="1">ROUND((Table245[[#This Row],[XP]]*Table245[[#This Row],[entity_spawned (AVG)]])*(Table245[[#This Row],[activating_chance]]/100),0)</f>
        <v>70</v>
      </c>
      <c r="H509" s="71" t="str">
        <f ca="1">INDIRECT(ADDRESS(11+(MATCH(RIGHT(Table245[[#This Row],[spawner_sku]],LEN(Table245[[#This Row],[spawner_sku]])-FIND("/",Table245[[#This Row],[spawner_sku]])),Table28[Entity Prefab],0)),24,1,1,"Entities"))</f>
        <v>yes</v>
      </c>
      <c r="I509" s="71">
        <v>1</v>
      </c>
      <c r="J509" s="71">
        <v>1</v>
      </c>
      <c r="K509" s="71" t="b">
        <v>0</v>
      </c>
      <c r="CL509" t="s">
        <v>242</v>
      </c>
      <c r="CM509">
        <v>1</v>
      </c>
      <c r="CN509">
        <v>150</v>
      </c>
      <c r="CO509">
        <v>100</v>
      </c>
      <c r="CP509" s="74">
        <f ca="1">INDIRECT(ADDRESS(11+(MATCH(RIGHT(Table11[[#This Row],[spawner_sku]],LEN(Table11[[#This Row],[spawner_sku]])-FIND("/",Table11[[#This Row],[spawner_sku]])),Table1[Entity Prefab],0)),10,1,1,"Entities"))</f>
        <v>25</v>
      </c>
      <c r="CQ509">
        <f ca="1">ROUND((Table11[[#This Row],[XP]]*Table11[[#This Row],[entity_spawned (AVG)]])*(Table11[[#This Row],[activating_chance]]/100),0)</f>
        <v>25</v>
      </c>
      <c r="CR509" s="144" t="str">
        <f ca="1">INDIRECT(ADDRESS(11+(MATCH(RIGHT(Table11[[#This Row],[spawner_sku]],LEN(Table11[[#This Row],[spawner_sku]])-FIND("/",Table11[[#This Row],[spawner_sku]])),Table28[Entity Prefab],0)),25,1,1,"Entities"))</f>
        <v>no</v>
      </c>
      <c r="CS509" s="71">
        <v>1</v>
      </c>
      <c r="CT509" s="71">
        <v>1</v>
      </c>
      <c r="CU509" s="71" t="b">
        <v>0</v>
      </c>
      <c r="DS509" t="s">
        <v>233</v>
      </c>
      <c r="DT509">
        <v>1</v>
      </c>
      <c r="DU509">
        <v>500</v>
      </c>
      <c r="DV509">
        <v>100</v>
      </c>
      <c r="DW509" s="74">
        <f ca="1">INDIRECT(ADDRESS(11+(MATCH(RIGHT(Table14[[#This Row],[spawner_sku]],LEN(Table14[[#This Row],[spawner_sku]])-FIND("/",Table14[[#This Row],[spawner_sku]])),Table1[Entity Prefab],0)),10,1,1,"Entities"))</f>
        <v>25</v>
      </c>
      <c r="DX509" s="74">
        <f ca="1">ROUND((Table14[[#This Row],[XP]]*Table14[[#This Row],[entity_spawned (AVG)]])*(Table14[[#This Row],[activating_chance]]/100),0)</f>
        <v>25</v>
      </c>
      <c r="DY509" s="144" t="str">
        <f ca="1">INDIRECT(ADDRESS(11+(MATCH(RIGHT(Table14[[#This Row],[spawner_sku]],LEN(Table14[[#This Row],[spawner_sku]])-FIND("/",Table14[[#This Row],[spawner_sku]])),Table28[Entity Prefab],0)),25,1,1,"Entities"))</f>
        <v>no</v>
      </c>
      <c r="DZ509" s="71">
        <v>1</v>
      </c>
      <c r="EA509" s="71">
        <v>1</v>
      </c>
      <c r="EB509" s="71" t="b">
        <v>0</v>
      </c>
      <c r="EC509" s="71"/>
    </row>
    <row r="510" spans="2:133" x14ac:dyDescent="0.25">
      <c r="B510" s="72" t="s">
        <v>241</v>
      </c>
      <c r="C510">
        <v>1</v>
      </c>
      <c r="D510">
        <v>220</v>
      </c>
      <c r="E510">
        <v>100</v>
      </c>
      <c r="F510" s="74">
        <f ca="1">INDIRECT(ADDRESS(11+(MATCH(RIGHT(Table245[[#This Row],[spawner_sku]],LEN(Table245[[#This Row],[spawner_sku]])-FIND("/",Table245[[#This Row],[spawner_sku]])),Table1[Entity Prefab],0)),10,1,1,"Entities"))</f>
        <v>70</v>
      </c>
      <c r="G510" s="74">
        <f ca="1">ROUND((Table245[[#This Row],[XP]]*Table245[[#This Row],[entity_spawned (AVG)]])*(Table245[[#This Row],[activating_chance]]/100),0)</f>
        <v>70</v>
      </c>
      <c r="H510" s="71" t="str">
        <f ca="1">INDIRECT(ADDRESS(11+(MATCH(RIGHT(Table245[[#This Row],[spawner_sku]],LEN(Table245[[#This Row],[spawner_sku]])-FIND("/",Table245[[#This Row],[spawner_sku]])),Table28[Entity Prefab],0)),24,1,1,"Entities"))</f>
        <v>yes</v>
      </c>
      <c r="I510" s="71">
        <v>1</v>
      </c>
      <c r="J510" s="71">
        <v>1</v>
      </c>
      <c r="K510" s="71" t="b">
        <v>0</v>
      </c>
      <c r="CL510" t="s">
        <v>242</v>
      </c>
      <c r="CM510">
        <v>1</v>
      </c>
      <c r="CN510">
        <v>80</v>
      </c>
      <c r="CO510">
        <v>100</v>
      </c>
      <c r="CP510" s="74">
        <f ca="1">INDIRECT(ADDRESS(11+(MATCH(RIGHT(Table11[[#This Row],[spawner_sku]],LEN(Table11[[#This Row],[spawner_sku]])-FIND("/",Table11[[#This Row],[spawner_sku]])),Table1[Entity Prefab],0)),10,1,1,"Entities"))</f>
        <v>25</v>
      </c>
      <c r="CQ510">
        <f ca="1">ROUND((Table11[[#This Row],[XP]]*Table11[[#This Row],[entity_spawned (AVG)]])*(Table11[[#This Row],[activating_chance]]/100),0)</f>
        <v>25</v>
      </c>
      <c r="CR510" s="144" t="str">
        <f ca="1">INDIRECT(ADDRESS(11+(MATCH(RIGHT(Table11[[#This Row],[spawner_sku]],LEN(Table11[[#This Row],[spawner_sku]])-FIND("/",Table11[[#This Row],[spawner_sku]])),Table28[Entity Prefab],0)),25,1,1,"Entities"))</f>
        <v>no</v>
      </c>
      <c r="CS510" s="71">
        <v>1</v>
      </c>
      <c r="CT510" s="71">
        <v>1</v>
      </c>
      <c r="CU510" s="71" t="b">
        <v>0</v>
      </c>
      <c r="DS510" t="s">
        <v>233</v>
      </c>
      <c r="DT510">
        <v>1</v>
      </c>
      <c r="DU510">
        <v>500</v>
      </c>
      <c r="DV510">
        <v>50</v>
      </c>
      <c r="DW510" s="74">
        <f ca="1">INDIRECT(ADDRESS(11+(MATCH(RIGHT(Table14[[#This Row],[spawner_sku]],LEN(Table14[[#This Row],[spawner_sku]])-FIND("/",Table14[[#This Row],[spawner_sku]])),Table1[Entity Prefab],0)),10,1,1,"Entities"))</f>
        <v>25</v>
      </c>
      <c r="DX510" s="74">
        <f ca="1">ROUND((Table14[[#This Row],[XP]]*Table14[[#This Row],[entity_spawned (AVG)]])*(Table14[[#This Row],[activating_chance]]/100),0)</f>
        <v>13</v>
      </c>
      <c r="DY510" s="144" t="str">
        <f ca="1">INDIRECT(ADDRESS(11+(MATCH(RIGHT(Table14[[#This Row],[spawner_sku]],LEN(Table14[[#This Row],[spawner_sku]])-FIND("/",Table14[[#This Row],[spawner_sku]])),Table28[Entity Prefab],0)),25,1,1,"Entities"))</f>
        <v>no</v>
      </c>
      <c r="DZ510" s="71">
        <v>1</v>
      </c>
      <c r="EA510" s="71">
        <v>1</v>
      </c>
      <c r="EB510" s="71" t="b">
        <v>0</v>
      </c>
      <c r="EC510" s="71"/>
    </row>
    <row r="511" spans="2:133" x14ac:dyDescent="0.25">
      <c r="B511" s="72" t="s">
        <v>241</v>
      </c>
      <c r="C511">
        <v>1</v>
      </c>
      <c r="D511">
        <v>175</v>
      </c>
      <c r="E511">
        <v>100</v>
      </c>
      <c r="F511" s="74">
        <f ca="1">INDIRECT(ADDRESS(11+(MATCH(RIGHT(Table245[[#This Row],[spawner_sku]],LEN(Table245[[#This Row],[spawner_sku]])-FIND("/",Table245[[#This Row],[spawner_sku]])),Table1[Entity Prefab],0)),10,1,1,"Entities"))</f>
        <v>70</v>
      </c>
      <c r="G511" s="74">
        <f ca="1">ROUND((Table245[[#This Row],[XP]]*Table245[[#This Row],[entity_spawned (AVG)]])*(Table245[[#This Row],[activating_chance]]/100),0)</f>
        <v>70</v>
      </c>
      <c r="H511" s="71" t="str">
        <f ca="1">INDIRECT(ADDRESS(11+(MATCH(RIGHT(Table245[[#This Row],[spawner_sku]],LEN(Table245[[#This Row],[spawner_sku]])-FIND("/",Table245[[#This Row],[spawner_sku]])),Table28[Entity Prefab],0)),24,1,1,"Entities"))</f>
        <v>yes</v>
      </c>
      <c r="I511" s="71">
        <v>1</v>
      </c>
      <c r="J511" s="71">
        <v>1</v>
      </c>
      <c r="K511" s="71" t="b">
        <v>0</v>
      </c>
      <c r="CL511" t="s">
        <v>242</v>
      </c>
      <c r="CM511">
        <v>1</v>
      </c>
      <c r="CN511">
        <v>150</v>
      </c>
      <c r="CO511">
        <v>80</v>
      </c>
      <c r="CP511" s="74">
        <f ca="1">INDIRECT(ADDRESS(11+(MATCH(RIGHT(Table11[[#This Row],[spawner_sku]],LEN(Table11[[#This Row],[spawner_sku]])-FIND("/",Table11[[#This Row],[spawner_sku]])),Table1[Entity Prefab],0)),10,1,1,"Entities"))</f>
        <v>25</v>
      </c>
      <c r="CQ511">
        <f ca="1">ROUND((Table11[[#This Row],[XP]]*Table11[[#This Row],[entity_spawned (AVG)]])*(Table11[[#This Row],[activating_chance]]/100),0)</f>
        <v>20</v>
      </c>
      <c r="CR511" s="144" t="str">
        <f ca="1">INDIRECT(ADDRESS(11+(MATCH(RIGHT(Table11[[#This Row],[spawner_sku]],LEN(Table11[[#This Row],[spawner_sku]])-FIND("/",Table11[[#This Row],[spawner_sku]])),Table28[Entity Prefab],0)),25,1,1,"Entities"))</f>
        <v>no</v>
      </c>
      <c r="CS511" s="71">
        <v>1</v>
      </c>
      <c r="CT511" s="71">
        <v>1</v>
      </c>
      <c r="CU511" s="71" t="b">
        <v>0</v>
      </c>
      <c r="DS511" t="s">
        <v>233</v>
      </c>
      <c r="DT511">
        <v>1</v>
      </c>
      <c r="DU511">
        <v>500</v>
      </c>
      <c r="DV511">
        <v>75</v>
      </c>
      <c r="DW511" s="74">
        <f ca="1">INDIRECT(ADDRESS(11+(MATCH(RIGHT(Table14[[#This Row],[spawner_sku]],LEN(Table14[[#This Row],[spawner_sku]])-FIND("/",Table14[[#This Row],[spawner_sku]])),Table1[Entity Prefab],0)),10,1,1,"Entities"))</f>
        <v>25</v>
      </c>
      <c r="DX511" s="74">
        <f ca="1">ROUND((Table14[[#This Row],[XP]]*Table14[[#This Row],[entity_spawned (AVG)]])*(Table14[[#This Row],[activating_chance]]/100),0)</f>
        <v>19</v>
      </c>
      <c r="DY511" s="144" t="str">
        <f ca="1">INDIRECT(ADDRESS(11+(MATCH(RIGHT(Table14[[#This Row],[spawner_sku]],LEN(Table14[[#This Row],[spawner_sku]])-FIND("/",Table14[[#This Row],[spawner_sku]])),Table28[Entity Prefab],0)),25,1,1,"Entities"))</f>
        <v>no</v>
      </c>
      <c r="DZ511" s="71">
        <v>1</v>
      </c>
      <c r="EA511" s="71">
        <v>1</v>
      </c>
      <c r="EB511" s="71" t="b">
        <v>0</v>
      </c>
      <c r="EC511" s="71"/>
    </row>
    <row r="512" spans="2:133" x14ac:dyDescent="0.25">
      <c r="B512" s="72" t="s">
        <v>241</v>
      </c>
      <c r="C512">
        <v>1</v>
      </c>
      <c r="D512">
        <v>190</v>
      </c>
      <c r="E512">
        <v>100</v>
      </c>
      <c r="F512" s="74">
        <f ca="1">INDIRECT(ADDRESS(11+(MATCH(RIGHT(Table245[[#This Row],[spawner_sku]],LEN(Table245[[#This Row],[spawner_sku]])-FIND("/",Table245[[#This Row],[spawner_sku]])),Table1[Entity Prefab],0)),10,1,1,"Entities"))</f>
        <v>70</v>
      </c>
      <c r="G512" s="74">
        <f ca="1">ROUND((Table245[[#This Row],[XP]]*Table245[[#This Row],[entity_spawned (AVG)]])*(Table245[[#This Row],[activating_chance]]/100),0)</f>
        <v>70</v>
      </c>
      <c r="H512" s="71" t="str">
        <f ca="1">INDIRECT(ADDRESS(11+(MATCH(RIGHT(Table245[[#This Row],[spawner_sku]],LEN(Table245[[#This Row],[spawner_sku]])-FIND("/",Table245[[#This Row],[spawner_sku]])),Table28[Entity Prefab],0)),24,1,1,"Entities"))</f>
        <v>yes</v>
      </c>
      <c r="I512" s="71">
        <v>1</v>
      </c>
      <c r="J512" s="71">
        <v>1</v>
      </c>
      <c r="K512" s="71" t="b">
        <v>0</v>
      </c>
      <c r="CL512" t="s">
        <v>242</v>
      </c>
      <c r="CM512">
        <v>1</v>
      </c>
      <c r="CN512">
        <v>150</v>
      </c>
      <c r="CO512">
        <v>100</v>
      </c>
      <c r="CP512" s="74">
        <f ca="1">INDIRECT(ADDRESS(11+(MATCH(RIGHT(Table11[[#This Row],[spawner_sku]],LEN(Table11[[#This Row],[spawner_sku]])-FIND("/",Table11[[#This Row],[spawner_sku]])),Table1[Entity Prefab],0)),10,1,1,"Entities"))</f>
        <v>25</v>
      </c>
      <c r="CQ512">
        <f ca="1">ROUND((Table11[[#This Row],[XP]]*Table11[[#This Row],[entity_spawned (AVG)]])*(Table11[[#This Row],[activating_chance]]/100),0)</f>
        <v>25</v>
      </c>
      <c r="CR512" s="144" t="str">
        <f ca="1">INDIRECT(ADDRESS(11+(MATCH(RIGHT(Table11[[#This Row],[spawner_sku]],LEN(Table11[[#This Row],[spawner_sku]])-FIND("/",Table11[[#This Row],[spawner_sku]])),Table28[Entity Prefab],0)),25,1,1,"Entities"))</f>
        <v>no</v>
      </c>
      <c r="CS512" s="71">
        <v>1</v>
      </c>
      <c r="CT512" s="71">
        <v>1</v>
      </c>
      <c r="CU512" s="71" t="b">
        <v>0</v>
      </c>
      <c r="DS512" t="s">
        <v>233</v>
      </c>
      <c r="DT512">
        <v>1</v>
      </c>
      <c r="DU512">
        <v>500</v>
      </c>
      <c r="DV512">
        <v>100</v>
      </c>
      <c r="DW512" s="74">
        <f ca="1">INDIRECT(ADDRESS(11+(MATCH(RIGHT(Table14[[#This Row],[spawner_sku]],LEN(Table14[[#This Row],[spawner_sku]])-FIND("/",Table14[[#This Row],[spawner_sku]])),Table1[Entity Prefab],0)),10,1,1,"Entities"))</f>
        <v>25</v>
      </c>
      <c r="DX512" s="74">
        <f ca="1">ROUND((Table14[[#This Row],[XP]]*Table14[[#This Row],[entity_spawned (AVG)]])*(Table14[[#This Row],[activating_chance]]/100),0)</f>
        <v>25</v>
      </c>
      <c r="DY512" s="144" t="str">
        <f ca="1">INDIRECT(ADDRESS(11+(MATCH(RIGHT(Table14[[#This Row],[spawner_sku]],LEN(Table14[[#This Row],[spawner_sku]])-FIND("/",Table14[[#This Row],[spawner_sku]])),Table28[Entity Prefab],0)),25,1,1,"Entities"))</f>
        <v>no</v>
      </c>
      <c r="DZ512" s="71">
        <v>1</v>
      </c>
      <c r="EA512" s="71">
        <v>1</v>
      </c>
      <c r="EB512" s="71" t="b">
        <v>0</v>
      </c>
      <c r="EC512" s="71"/>
    </row>
    <row r="513" spans="2:133" x14ac:dyDescent="0.25">
      <c r="B513" s="72" t="s">
        <v>241</v>
      </c>
      <c r="C513">
        <v>1</v>
      </c>
      <c r="D513">
        <v>175</v>
      </c>
      <c r="E513">
        <v>100</v>
      </c>
      <c r="F513" s="74">
        <f ca="1">INDIRECT(ADDRESS(11+(MATCH(RIGHT(Table245[[#This Row],[spawner_sku]],LEN(Table245[[#This Row],[spawner_sku]])-FIND("/",Table245[[#This Row],[spawner_sku]])),Table1[Entity Prefab],0)),10,1,1,"Entities"))</f>
        <v>70</v>
      </c>
      <c r="G513" s="74">
        <f ca="1">ROUND((Table245[[#This Row],[XP]]*Table245[[#This Row],[entity_spawned (AVG)]])*(Table245[[#This Row],[activating_chance]]/100),0)</f>
        <v>70</v>
      </c>
      <c r="H513" s="71" t="str">
        <f ca="1">INDIRECT(ADDRESS(11+(MATCH(RIGHT(Table245[[#This Row],[spawner_sku]],LEN(Table245[[#This Row],[spawner_sku]])-FIND("/",Table245[[#This Row],[spawner_sku]])),Table28[Entity Prefab],0)),24,1,1,"Entities"))</f>
        <v>yes</v>
      </c>
      <c r="I513" s="71">
        <v>1</v>
      </c>
      <c r="J513" s="71">
        <v>1</v>
      </c>
      <c r="K513" s="71" t="b">
        <v>0</v>
      </c>
      <c r="CL513" t="s">
        <v>242</v>
      </c>
      <c r="CM513">
        <v>1</v>
      </c>
      <c r="CN513">
        <v>150</v>
      </c>
      <c r="CO513">
        <v>100</v>
      </c>
      <c r="CP513" s="74">
        <f ca="1">INDIRECT(ADDRESS(11+(MATCH(RIGHT(Table11[[#This Row],[spawner_sku]],LEN(Table11[[#This Row],[spawner_sku]])-FIND("/",Table11[[#This Row],[spawner_sku]])),Table1[Entity Prefab],0)),10,1,1,"Entities"))</f>
        <v>25</v>
      </c>
      <c r="CQ513">
        <f ca="1">ROUND((Table11[[#This Row],[XP]]*Table11[[#This Row],[entity_spawned (AVG)]])*(Table11[[#This Row],[activating_chance]]/100),0)</f>
        <v>25</v>
      </c>
      <c r="CR513" s="144" t="str">
        <f ca="1">INDIRECT(ADDRESS(11+(MATCH(RIGHT(Table11[[#This Row],[spawner_sku]],LEN(Table11[[#This Row],[spawner_sku]])-FIND("/",Table11[[#This Row],[spawner_sku]])),Table28[Entity Prefab],0)),25,1,1,"Entities"))</f>
        <v>no</v>
      </c>
      <c r="CS513" s="71">
        <v>1</v>
      </c>
      <c r="CT513" s="71">
        <v>1</v>
      </c>
      <c r="CU513" s="71" t="b">
        <v>0</v>
      </c>
      <c r="DS513" t="s">
        <v>233</v>
      </c>
      <c r="DT513">
        <v>1</v>
      </c>
      <c r="DU513">
        <v>500</v>
      </c>
      <c r="DV513">
        <v>85</v>
      </c>
      <c r="DW513" s="74">
        <f ca="1">INDIRECT(ADDRESS(11+(MATCH(RIGHT(Table14[[#This Row],[spawner_sku]],LEN(Table14[[#This Row],[spawner_sku]])-FIND("/",Table14[[#This Row],[spawner_sku]])),Table1[Entity Prefab],0)),10,1,1,"Entities"))</f>
        <v>25</v>
      </c>
      <c r="DX513" s="74">
        <f ca="1">ROUND((Table14[[#This Row],[XP]]*Table14[[#This Row],[entity_spawned (AVG)]])*(Table14[[#This Row],[activating_chance]]/100),0)</f>
        <v>21</v>
      </c>
      <c r="DY513" s="144" t="str">
        <f ca="1">INDIRECT(ADDRESS(11+(MATCH(RIGHT(Table14[[#This Row],[spawner_sku]],LEN(Table14[[#This Row],[spawner_sku]])-FIND("/",Table14[[#This Row],[spawner_sku]])),Table28[Entity Prefab],0)),25,1,1,"Entities"))</f>
        <v>no</v>
      </c>
      <c r="DZ513" s="71">
        <v>1</v>
      </c>
      <c r="EA513" s="71">
        <v>1</v>
      </c>
      <c r="EB513" s="71" t="b">
        <v>0</v>
      </c>
      <c r="EC513" s="71"/>
    </row>
    <row r="514" spans="2:133" x14ac:dyDescent="0.25">
      <c r="B514" s="72" t="s">
        <v>241</v>
      </c>
      <c r="C514">
        <v>1</v>
      </c>
      <c r="D514">
        <v>190</v>
      </c>
      <c r="E514">
        <v>100</v>
      </c>
      <c r="F514" s="74">
        <f ca="1">INDIRECT(ADDRESS(11+(MATCH(RIGHT(Table245[[#This Row],[spawner_sku]],LEN(Table245[[#This Row],[spawner_sku]])-FIND("/",Table245[[#This Row],[spawner_sku]])),Table1[Entity Prefab],0)),10,1,1,"Entities"))</f>
        <v>70</v>
      </c>
      <c r="G514" s="74">
        <f ca="1">ROUND((Table245[[#This Row],[XP]]*Table245[[#This Row],[entity_spawned (AVG)]])*(Table245[[#This Row],[activating_chance]]/100),0)</f>
        <v>70</v>
      </c>
      <c r="H514" s="71" t="str">
        <f ca="1">INDIRECT(ADDRESS(11+(MATCH(RIGHT(Table245[[#This Row],[spawner_sku]],LEN(Table245[[#This Row],[spawner_sku]])-FIND("/",Table245[[#This Row],[spawner_sku]])),Table28[Entity Prefab],0)),24,1,1,"Entities"))</f>
        <v>yes</v>
      </c>
      <c r="I514" s="71">
        <v>1</v>
      </c>
      <c r="J514" s="71">
        <v>1</v>
      </c>
      <c r="K514" s="71" t="b">
        <v>0</v>
      </c>
      <c r="CL514" t="s">
        <v>242</v>
      </c>
      <c r="CM514">
        <v>1</v>
      </c>
      <c r="CN514">
        <v>80</v>
      </c>
      <c r="CO514">
        <v>100</v>
      </c>
      <c r="CP514" s="74">
        <f ca="1">INDIRECT(ADDRESS(11+(MATCH(RIGHT(Table11[[#This Row],[spawner_sku]],LEN(Table11[[#This Row],[spawner_sku]])-FIND("/",Table11[[#This Row],[spawner_sku]])),Table1[Entity Prefab],0)),10,1,1,"Entities"))</f>
        <v>25</v>
      </c>
      <c r="CQ514">
        <f ca="1">ROUND((Table11[[#This Row],[XP]]*Table11[[#This Row],[entity_spawned (AVG)]])*(Table11[[#This Row],[activating_chance]]/100),0)</f>
        <v>25</v>
      </c>
      <c r="CR514" s="144" t="str">
        <f ca="1">INDIRECT(ADDRESS(11+(MATCH(RIGHT(Table11[[#This Row],[spawner_sku]],LEN(Table11[[#This Row],[spawner_sku]])-FIND("/",Table11[[#This Row],[spawner_sku]])),Table28[Entity Prefab],0)),25,1,1,"Entities"))</f>
        <v>no</v>
      </c>
      <c r="CS514" s="71">
        <v>1</v>
      </c>
      <c r="CT514" s="71">
        <v>1</v>
      </c>
      <c r="CU514" s="71" t="b">
        <v>0</v>
      </c>
      <c r="DS514" t="s">
        <v>233</v>
      </c>
      <c r="DT514">
        <v>1</v>
      </c>
      <c r="DU514">
        <v>500</v>
      </c>
      <c r="DV514">
        <v>90</v>
      </c>
      <c r="DW514" s="74">
        <f ca="1">INDIRECT(ADDRESS(11+(MATCH(RIGHT(Table14[[#This Row],[spawner_sku]],LEN(Table14[[#This Row],[spawner_sku]])-FIND("/",Table14[[#This Row],[spawner_sku]])),Table1[Entity Prefab],0)),10,1,1,"Entities"))</f>
        <v>25</v>
      </c>
      <c r="DX514" s="74">
        <f ca="1">ROUND((Table14[[#This Row],[XP]]*Table14[[#This Row],[entity_spawned (AVG)]])*(Table14[[#This Row],[activating_chance]]/100),0)</f>
        <v>23</v>
      </c>
      <c r="DY514" s="144" t="str">
        <f ca="1">INDIRECT(ADDRESS(11+(MATCH(RIGHT(Table14[[#This Row],[spawner_sku]],LEN(Table14[[#This Row],[spawner_sku]])-FIND("/",Table14[[#This Row],[spawner_sku]])),Table28[Entity Prefab],0)),25,1,1,"Entities"))</f>
        <v>no</v>
      </c>
      <c r="DZ514" s="71">
        <v>1</v>
      </c>
      <c r="EA514" s="71">
        <v>1</v>
      </c>
      <c r="EB514" s="71" t="b">
        <v>0</v>
      </c>
      <c r="EC514" s="71"/>
    </row>
    <row r="515" spans="2:133" x14ac:dyDescent="0.25">
      <c r="B515" s="72" t="s">
        <v>241</v>
      </c>
      <c r="C515">
        <v>1</v>
      </c>
      <c r="D515">
        <v>220</v>
      </c>
      <c r="E515">
        <v>100</v>
      </c>
      <c r="F515" s="74">
        <f ca="1">INDIRECT(ADDRESS(11+(MATCH(RIGHT(Table245[[#This Row],[spawner_sku]],LEN(Table245[[#This Row],[spawner_sku]])-FIND("/",Table245[[#This Row],[spawner_sku]])),Table1[Entity Prefab],0)),10,1,1,"Entities"))</f>
        <v>70</v>
      </c>
      <c r="G515" s="74">
        <f ca="1">ROUND((Table245[[#This Row],[XP]]*Table245[[#This Row],[entity_spawned (AVG)]])*(Table245[[#This Row],[activating_chance]]/100),0)</f>
        <v>70</v>
      </c>
      <c r="H515" s="71" t="str">
        <f ca="1">INDIRECT(ADDRESS(11+(MATCH(RIGHT(Table245[[#This Row],[spawner_sku]],LEN(Table245[[#This Row],[spawner_sku]])-FIND("/",Table245[[#This Row],[spawner_sku]])),Table28[Entity Prefab],0)),24,1,1,"Entities"))</f>
        <v>yes</v>
      </c>
      <c r="I515" s="71">
        <v>1</v>
      </c>
      <c r="J515" s="71">
        <v>1</v>
      </c>
      <c r="K515" s="71" t="b">
        <v>0</v>
      </c>
      <c r="CL515" t="s">
        <v>242</v>
      </c>
      <c r="CM515">
        <v>1</v>
      </c>
      <c r="CN515">
        <v>80</v>
      </c>
      <c r="CO515">
        <v>100</v>
      </c>
      <c r="CP515" s="74">
        <f ca="1">INDIRECT(ADDRESS(11+(MATCH(RIGHT(Table11[[#This Row],[spawner_sku]],LEN(Table11[[#This Row],[spawner_sku]])-FIND("/",Table11[[#This Row],[spawner_sku]])),Table1[Entity Prefab],0)),10,1,1,"Entities"))</f>
        <v>25</v>
      </c>
      <c r="CQ515">
        <f ca="1">ROUND((Table11[[#This Row],[XP]]*Table11[[#This Row],[entity_spawned (AVG)]])*(Table11[[#This Row],[activating_chance]]/100),0)</f>
        <v>25</v>
      </c>
      <c r="CR515" s="144" t="str">
        <f ca="1">INDIRECT(ADDRESS(11+(MATCH(RIGHT(Table11[[#This Row],[spawner_sku]],LEN(Table11[[#This Row],[spawner_sku]])-FIND("/",Table11[[#This Row],[spawner_sku]])),Table28[Entity Prefab],0)),25,1,1,"Entities"))</f>
        <v>no</v>
      </c>
      <c r="CS515" s="71">
        <v>1</v>
      </c>
      <c r="CT515" s="71">
        <v>1</v>
      </c>
      <c r="CU515" s="71" t="b">
        <v>0</v>
      </c>
      <c r="DS515" t="s">
        <v>233</v>
      </c>
      <c r="DT515">
        <v>1</v>
      </c>
      <c r="DU515">
        <v>500</v>
      </c>
      <c r="DV515">
        <v>70</v>
      </c>
      <c r="DW515" s="74">
        <f ca="1">INDIRECT(ADDRESS(11+(MATCH(RIGHT(Table14[[#This Row],[spawner_sku]],LEN(Table14[[#This Row],[spawner_sku]])-FIND("/",Table14[[#This Row],[spawner_sku]])),Table1[Entity Prefab],0)),10,1,1,"Entities"))</f>
        <v>25</v>
      </c>
      <c r="DX515" s="74">
        <f ca="1">ROUND((Table14[[#This Row],[XP]]*Table14[[#This Row],[entity_spawned (AVG)]])*(Table14[[#This Row],[activating_chance]]/100),0)</f>
        <v>18</v>
      </c>
      <c r="DY515" s="144" t="str">
        <f ca="1">INDIRECT(ADDRESS(11+(MATCH(RIGHT(Table14[[#This Row],[spawner_sku]],LEN(Table14[[#This Row],[spawner_sku]])-FIND("/",Table14[[#This Row],[spawner_sku]])),Table28[Entity Prefab],0)),25,1,1,"Entities"))</f>
        <v>no</v>
      </c>
      <c r="DZ515" s="71">
        <v>1</v>
      </c>
      <c r="EA515" s="71">
        <v>1</v>
      </c>
      <c r="EB515" s="71" t="b">
        <v>0</v>
      </c>
      <c r="EC515" s="71"/>
    </row>
    <row r="516" spans="2:133" x14ac:dyDescent="0.25">
      <c r="B516" s="72" t="s">
        <v>241</v>
      </c>
      <c r="C516">
        <v>1</v>
      </c>
      <c r="D516">
        <v>170</v>
      </c>
      <c r="E516">
        <v>100</v>
      </c>
      <c r="F516" s="74">
        <f ca="1">INDIRECT(ADDRESS(11+(MATCH(RIGHT(Table245[[#This Row],[spawner_sku]],LEN(Table245[[#This Row],[spawner_sku]])-FIND("/",Table245[[#This Row],[spawner_sku]])),Table1[Entity Prefab],0)),10,1,1,"Entities"))</f>
        <v>70</v>
      </c>
      <c r="G516" s="74">
        <f ca="1">ROUND((Table245[[#This Row],[XP]]*Table245[[#This Row],[entity_spawned (AVG)]])*(Table245[[#This Row],[activating_chance]]/100),0)</f>
        <v>70</v>
      </c>
      <c r="H516" s="71" t="str">
        <f ca="1">INDIRECT(ADDRESS(11+(MATCH(RIGHT(Table245[[#This Row],[spawner_sku]],LEN(Table245[[#This Row],[spawner_sku]])-FIND("/",Table245[[#This Row],[spawner_sku]])),Table28[Entity Prefab],0)),24,1,1,"Entities"))</f>
        <v>yes</v>
      </c>
      <c r="I516" s="71">
        <v>1</v>
      </c>
      <c r="J516" s="71">
        <v>1</v>
      </c>
      <c r="K516" s="71" t="b">
        <v>0</v>
      </c>
      <c r="CL516" t="s">
        <v>242</v>
      </c>
      <c r="CM516">
        <v>1</v>
      </c>
      <c r="CN516">
        <v>150</v>
      </c>
      <c r="CO516">
        <v>100</v>
      </c>
      <c r="CP516" s="74">
        <f ca="1">INDIRECT(ADDRESS(11+(MATCH(RIGHT(Table11[[#This Row],[spawner_sku]],LEN(Table11[[#This Row],[spawner_sku]])-FIND("/",Table11[[#This Row],[spawner_sku]])),Table1[Entity Prefab],0)),10,1,1,"Entities"))</f>
        <v>25</v>
      </c>
      <c r="CQ516">
        <f ca="1">ROUND((Table11[[#This Row],[XP]]*Table11[[#This Row],[entity_spawned (AVG)]])*(Table11[[#This Row],[activating_chance]]/100),0)</f>
        <v>25</v>
      </c>
      <c r="CR516" s="144" t="str">
        <f ca="1">INDIRECT(ADDRESS(11+(MATCH(RIGHT(Table11[[#This Row],[spawner_sku]],LEN(Table11[[#This Row],[spawner_sku]])-FIND("/",Table11[[#This Row],[spawner_sku]])),Table28[Entity Prefab],0)),25,1,1,"Entities"))</f>
        <v>no</v>
      </c>
      <c r="CS516" s="71">
        <v>1</v>
      </c>
      <c r="CT516" s="71">
        <v>1</v>
      </c>
      <c r="CU516" s="71" t="b">
        <v>0</v>
      </c>
      <c r="DS516" t="s">
        <v>233</v>
      </c>
      <c r="DT516">
        <v>1</v>
      </c>
      <c r="DU516">
        <v>500</v>
      </c>
      <c r="DV516">
        <v>75</v>
      </c>
      <c r="DW516" s="74">
        <f ca="1">INDIRECT(ADDRESS(11+(MATCH(RIGHT(Table14[[#This Row],[spawner_sku]],LEN(Table14[[#This Row],[spawner_sku]])-FIND("/",Table14[[#This Row],[spawner_sku]])),Table1[Entity Prefab],0)),10,1,1,"Entities"))</f>
        <v>25</v>
      </c>
      <c r="DX516" s="74">
        <f ca="1">ROUND((Table14[[#This Row],[XP]]*Table14[[#This Row],[entity_spawned (AVG)]])*(Table14[[#This Row],[activating_chance]]/100),0)</f>
        <v>19</v>
      </c>
      <c r="DY516" s="144" t="str">
        <f ca="1">INDIRECT(ADDRESS(11+(MATCH(RIGHT(Table14[[#This Row],[spawner_sku]],LEN(Table14[[#This Row],[spawner_sku]])-FIND("/",Table14[[#This Row],[spawner_sku]])),Table28[Entity Prefab],0)),25,1,1,"Entities"))</f>
        <v>no</v>
      </c>
      <c r="DZ516" s="71">
        <v>1</v>
      </c>
      <c r="EA516" s="71">
        <v>1</v>
      </c>
      <c r="EB516" s="71" t="b">
        <v>0</v>
      </c>
      <c r="EC516" s="71"/>
    </row>
    <row r="517" spans="2:133" x14ac:dyDescent="0.25">
      <c r="B517" s="72" t="s">
        <v>241</v>
      </c>
      <c r="C517">
        <v>1</v>
      </c>
      <c r="D517">
        <v>190</v>
      </c>
      <c r="E517">
        <v>80</v>
      </c>
      <c r="F517" s="74">
        <f ca="1">INDIRECT(ADDRESS(11+(MATCH(RIGHT(Table245[[#This Row],[spawner_sku]],LEN(Table245[[#This Row],[spawner_sku]])-FIND("/",Table245[[#This Row],[spawner_sku]])),Table1[Entity Prefab],0)),10,1,1,"Entities"))</f>
        <v>70</v>
      </c>
      <c r="G517" s="74">
        <f ca="1">ROUND((Table245[[#This Row],[XP]]*Table245[[#This Row],[entity_spawned (AVG)]])*(Table245[[#This Row],[activating_chance]]/100),0)</f>
        <v>56</v>
      </c>
      <c r="H517" s="71" t="str">
        <f ca="1">INDIRECT(ADDRESS(11+(MATCH(RIGHT(Table245[[#This Row],[spawner_sku]],LEN(Table245[[#This Row],[spawner_sku]])-FIND("/",Table245[[#This Row],[spawner_sku]])),Table28[Entity Prefab],0)),24,1,1,"Entities"))</f>
        <v>yes</v>
      </c>
      <c r="I517" s="71">
        <v>1</v>
      </c>
      <c r="J517" s="71">
        <v>1</v>
      </c>
      <c r="K517" s="71" t="b">
        <v>0</v>
      </c>
      <c r="CL517" t="s">
        <v>242</v>
      </c>
      <c r="CM517">
        <v>1</v>
      </c>
      <c r="CN517">
        <v>80</v>
      </c>
      <c r="CO517">
        <v>100</v>
      </c>
      <c r="CP517" s="74">
        <f ca="1">INDIRECT(ADDRESS(11+(MATCH(RIGHT(Table11[[#This Row],[spawner_sku]],LEN(Table11[[#This Row],[spawner_sku]])-FIND("/",Table11[[#This Row],[spawner_sku]])),Table1[Entity Prefab],0)),10,1,1,"Entities"))</f>
        <v>25</v>
      </c>
      <c r="CQ517">
        <f ca="1">ROUND((Table11[[#This Row],[XP]]*Table11[[#This Row],[entity_spawned (AVG)]])*(Table11[[#This Row],[activating_chance]]/100),0)</f>
        <v>25</v>
      </c>
      <c r="CR517" s="144" t="str">
        <f ca="1">INDIRECT(ADDRESS(11+(MATCH(RIGHT(Table11[[#This Row],[spawner_sku]],LEN(Table11[[#This Row],[spawner_sku]])-FIND("/",Table11[[#This Row],[spawner_sku]])),Table28[Entity Prefab],0)),25,1,1,"Entities"))</f>
        <v>no</v>
      </c>
      <c r="CS517" s="71">
        <v>1</v>
      </c>
      <c r="CT517" s="71">
        <v>1</v>
      </c>
      <c r="CU517" s="71" t="b">
        <v>0</v>
      </c>
      <c r="DS517" t="s">
        <v>233</v>
      </c>
      <c r="DT517">
        <v>1</v>
      </c>
      <c r="DU517">
        <v>500</v>
      </c>
      <c r="DV517">
        <v>75</v>
      </c>
      <c r="DW517" s="74">
        <f ca="1">INDIRECT(ADDRESS(11+(MATCH(RIGHT(Table14[[#This Row],[spawner_sku]],LEN(Table14[[#This Row],[spawner_sku]])-FIND("/",Table14[[#This Row],[spawner_sku]])),Table1[Entity Prefab],0)),10,1,1,"Entities"))</f>
        <v>25</v>
      </c>
      <c r="DX517" s="74">
        <f ca="1">ROUND((Table14[[#This Row],[XP]]*Table14[[#This Row],[entity_spawned (AVG)]])*(Table14[[#This Row],[activating_chance]]/100),0)</f>
        <v>19</v>
      </c>
      <c r="DY517" s="144" t="str">
        <f ca="1">INDIRECT(ADDRESS(11+(MATCH(RIGHT(Table14[[#This Row],[spawner_sku]],LEN(Table14[[#This Row],[spawner_sku]])-FIND("/",Table14[[#This Row],[spawner_sku]])),Table28[Entity Prefab],0)),25,1,1,"Entities"))</f>
        <v>no</v>
      </c>
      <c r="DZ517" s="71">
        <v>1</v>
      </c>
      <c r="EA517" s="71">
        <v>1</v>
      </c>
      <c r="EB517" s="71" t="b">
        <v>0</v>
      </c>
      <c r="EC517" s="71"/>
    </row>
    <row r="518" spans="2:133" x14ac:dyDescent="0.25">
      <c r="B518" s="72" t="s">
        <v>241</v>
      </c>
      <c r="C518">
        <v>1</v>
      </c>
      <c r="D518">
        <v>220</v>
      </c>
      <c r="E518">
        <v>100</v>
      </c>
      <c r="F518" s="74">
        <f ca="1">INDIRECT(ADDRESS(11+(MATCH(RIGHT(Table245[[#This Row],[spawner_sku]],LEN(Table245[[#This Row],[spawner_sku]])-FIND("/",Table245[[#This Row],[spawner_sku]])),Table1[Entity Prefab],0)),10,1,1,"Entities"))</f>
        <v>70</v>
      </c>
      <c r="G518" s="74">
        <f ca="1">ROUND((Table245[[#This Row],[XP]]*Table245[[#This Row],[entity_spawned (AVG)]])*(Table245[[#This Row],[activating_chance]]/100),0)</f>
        <v>70</v>
      </c>
      <c r="H518" s="71" t="str">
        <f ca="1">INDIRECT(ADDRESS(11+(MATCH(RIGHT(Table245[[#This Row],[spawner_sku]],LEN(Table245[[#This Row],[spawner_sku]])-FIND("/",Table245[[#This Row],[spawner_sku]])),Table28[Entity Prefab],0)),24,1,1,"Entities"))</f>
        <v>yes</v>
      </c>
      <c r="I518" s="71">
        <v>1</v>
      </c>
      <c r="J518" s="71">
        <v>1</v>
      </c>
      <c r="K518" s="71" t="b">
        <v>0</v>
      </c>
      <c r="CL518" t="s">
        <v>242</v>
      </c>
      <c r="CM518">
        <v>1</v>
      </c>
      <c r="CN518">
        <v>150</v>
      </c>
      <c r="CO518">
        <v>30</v>
      </c>
      <c r="CP518" s="74">
        <f ca="1">INDIRECT(ADDRESS(11+(MATCH(RIGHT(Table11[[#This Row],[spawner_sku]],LEN(Table11[[#This Row],[spawner_sku]])-FIND("/",Table11[[#This Row],[spawner_sku]])),Table1[Entity Prefab],0)),10,1,1,"Entities"))</f>
        <v>25</v>
      </c>
      <c r="CQ518">
        <f ca="1">ROUND((Table11[[#This Row],[XP]]*Table11[[#This Row],[entity_spawned (AVG)]])*(Table11[[#This Row],[activating_chance]]/100),0)</f>
        <v>8</v>
      </c>
      <c r="CR518" s="144" t="str">
        <f ca="1">INDIRECT(ADDRESS(11+(MATCH(RIGHT(Table11[[#This Row],[spawner_sku]],LEN(Table11[[#This Row],[spawner_sku]])-FIND("/",Table11[[#This Row],[spawner_sku]])),Table28[Entity Prefab],0)),25,1,1,"Entities"))</f>
        <v>no</v>
      </c>
      <c r="CS518" s="71">
        <v>1</v>
      </c>
      <c r="CT518" s="71">
        <v>1</v>
      </c>
      <c r="CU518" s="71" t="b">
        <v>0</v>
      </c>
      <c r="DS518" t="s">
        <v>233</v>
      </c>
      <c r="DT518">
        <v>1</v>
      </c>
      <c r="DU518">
        <v>500</v>
      </c>
      <c r="DV518">
        <v>100</v>
      </c>
      <c r="DW518" s="74">
        <f ca="1">INDIRECT(ADDRESS(11+(MATCH(RIGHT(Table14[[#This Row],[spawner_sku]],LEN(Table14[[#This Row],[spawner_sku]])-FIND("/",Table14[[#This Row],[spawner_sku]])),Table1[Entity Prefab],0)),10,1,1,"Entities"))</f>
        <v>25</v>
      </c>
      <c r="DX518" s="74">
        <f ca="1">ROUND((Table14[[#This Row],[XP]]*Table14[[#This Row],[entity_spawned (AVG)]])*(Table14[[#This Row],[activating_chance]]/100),0)</f>
        <v>25</v>
      </c>
      <c r="DY518" s="144" t="str">
        <f ca="1">INDIRECT(ADDRESS(11+(MATCH(RIGHT(Table14[[#This Row],[spawner_sku]],LEN(Table14[[#This Row],[spawner_sku]])-FIND("/",Table14[[#This Row],[spawner_sku]])),Table28[Entity Prefab],0)),25,1,1,"Entities"))</f>
        <v>no</v>
      </c>
      <c r="DZ518" s="71">
        <v>1</v>
      </c>
      <c r="EA518" s="71">
        <v>1</v>
      </c>
      <c r="EB518" s="71" t="b">
        <v>0</v>
      </c>
      <c r="EC518" s="71"/>
    </row>
    <row r="519" spans="2:133" x14ac:dyDescent="0.25">
      <c r="B519" s="72" t="s">
        <v>241</v>
      </c>
      <c r="C519">
        <v>1</v>
      </c>
      <c r="D519">
        <v>220</v>
      </c>
      <c r="E519">
        <v>100</v>
      </c>
      <c r="F519" s="74">
        <f ca="1">INDIRECT(ADDRESS(11+(MATCH(RIGHT(Table245[[#This Row],[spawner_sku]],LEN(Table245[[#This Row],[spawner_sku]])-FIND("/",Table245[[#This Row],[spawner_sku]])),Table1[Entity Prefab],0)),10,1,1,"Entities"))</f>
        <v>70</v>
      </c>
      <c r="G519" s="74">
        <f ca="1">ROUND((Table245[[#This Row],[XP]]*Table245[[#This Row],[entity_spawned (AVG)]])*(Table245[[#This Row],[activating_chance]]/100),0)</f>
        <v>70</v>
      </c>
      <c r="H519" s="71" t="str">
        <f ca="1">INDIRECT(ADDRESS(11+(MATCH(RIGHT(Table245[[#This Row],[spawner_sku]],LEN(Table245[[#This Row],[spawner_sku]])-FIND("/",Table245[[#This Row],[spawner_sku]])),Table28[Entity Prefab],0)),24,1,1,"Entities"))</f>
        <v>yes</v>
      </c>
      <c r="I519" s="71">
        <v>1</v>
      </c>
      <c r="J519" s="71">
        <v>1</v>
      </c>
      <c r="K519" s="71" t="b">
        <v>0</v>
      </c>
      <c r="CL519" t="s">
        <v>242</v>
      </c>
      <c r="CM519">
        <v>1</v>
      </c>
      <c r="CN519">
        <v>80</v>
      </c>
      <c r="CO519">
        <v>100</v>
      </c>
      <c r="CP519" s="74">
        <f ca="1">INDIRECT(ADDRESS(11+(MATCH(RIGHT(Table11[[#This Row],[spawner_sku]],LEN(Table11[[#This Row],[spawner_sku]])-FIND("/",Table11[[#This Row],[spawner_sku]])),Table1[Entity Prefab],0)),10,1,1,"Entities"))</f>
        <v>25</v>
      </c>
      <c r="CQ519">
        <f ca="1">ROUND((Table11[[#This Row],[XP]]*Table11[[#This Row],[entity_spawned (AVG)]])*(Table11[[#This Row],[activating_chance]]/100),0)</f>
        <v>25</v>
      </c>
      <c r="CR519" s="144" t="str">
        <f ca="1">INDIRECT(ADDRESS(11+(MATCH(RIGHT(Table11[[#This Row],[spawner_sku]],LEN(Table11[[#This Row],[spawner_sku]])-FIND("/",Table11[[#This Row],[spawner_sku]])),Table28[Entity Prefab],0)),25,1,1,"Entities"))</f>
        <v>no</v>
      </c>
      <c r="CS519" s="71">
        <v>1</v>
      </c>
      <c r="CT519" s="71">
        <v>1</v>
      </c>
      <c r="CU519" s="71" t="b">
        <v>0</v>
      </c>
      <c r="DS519" t="s">
        <v>233</v>
      </c>
      <c r="DT519">
        <v>1</v>
      </c>
      <c r="DU519">
        <v>500</v>
      </c>
      <c r="DV519">
        <v>100</v>
      </c>
      <c r="DW519" s="74">
        <f ca="1">INDIRECT(ADDRESS(11+(MATCH(RIGHT(Table14[[#This Row],[spawner_sku]],LEN(Table14[[#This Row],[spawner_sku]])-FIND("/",Table14[[#This Row],[spawner_sku]])),Table1[Entity Prefab],0)),10,1,1,"Entities"))</f>
        <v>25</v>
      </c>
      <c r="DX519" s="74">
        <f ca="1">ROUND((Table14[[#This Row],[XP]]*Table14[[#This Row],[entity_spawned (AVG)]])*(Table14[[#This Row],[activating_chance]]/100),0)</f>
        <v>25</v>
      </c>
      <c r="DY519" s="144" t="str">
        <f ca="1">INDIRECT(ADDRESS(11+(MATCH(RIGHT(Table14[[#This Row],[spawner_sku]],LEN(Table14[[#This Row],[spawner_sku]])-FIND("/",Table14[[#This Row],[spawner_sku]])),Table28[Entity Prefab],0)),25,1,1,"Entities"))</f>
        <v>no</v>
      </c>
      <c r="DZ519" s="71">
        <v>1</v>
      </c>
      <c r="EA519" s="71">
        <v>1</v>
      </c>
      <c r="EB519" s="71" t="b">
        <v>0</v>
      </c>
      <c r="EC519" s="71"/>
    </row>
    <row r="520" spans="2:133" x14ac:dyDescent="0.25">
      <c r="B520" s="72" t="s">
        <v>241</v>
      </c>
      <c r="C520">
        <v>1</v>
      </c>
      <c r="D520">
        <v>175</v>
      </c>
      <c r="E520">
        <v>100</v>
      </c>
      <c r="F520" s="74">
        <f ca="1">INDIRECT(ADDRESS(11+(MATCH(RIGHT(Table245[[#This Row],[spawner_sku]],LEN(Table245[[#This Row],[spawner_sku]])-FIND("/",Table245[[#This Row],[spawner_sku]])),Table1[Entity Prefab],0)),10,1,1,"Entities"))</f>
        <v>70</v>
      </c>
      <c r="G520" s="74">
        <f ca="1">ROUND((Table245[[#This Row],[XP]]*Table245[[#This Row],[entity_spawned (AVG)]])*(Table245[[#This Row],[activating_chance]]/100),0)</f>
        <v>70</v>
      </c>
      <c r="H520" s="71" t="str">
        <f ca="1">INDIRECT(ADDRESS(11+(MATCH(RIGHT(Table245[[#This Row],[spawner_sku]],LEN(Table245[[#This Row],[spawner_sku]])-FIND("/",Table245[[#This Row],[spawner_sku]])),Table28[Entity Prefab],0)),24,1,1,"Entities"))</f>
        <v>yes</v>
      </c>
      <c r="I520" s="71">
        <v>1</v>
      </c>
      <c r="J520" s="71">
        <v>1</v>
      </c>
      <c r="K520" s="71" t="b">
        <v>0</v>
      </c>
      <c r="CL520" t="s">
        <v>242</v>
      </c>
      <c r="CM520">
        <v>1</v>
      </c>
      <c r="CN520">
        <v>80</v>
      </c>
      <c r="CO520">
        <v>100</v>
      </c>
      <c r="CP520" s="74">
        <f ca="1">INDIRECT(ADDRESS(11+(MATCH(RIGHT(Table11[[#This Row],[spawner_sku]],LEN(Table11[[#This Row],[spawner_sku]])-FIND("/",Table11[[#This Row],[spawner_sku]])),Table1[Entity Prefab],0)),10,1,1,"Entities"))</f>
        <v>25</v>
      </c>
      <c r="CQ520">
        <f ca="1">ROUND((Table11[[#This Row],[XP]]*Table11[[#This Row],[entity_spawned (AVG)]])*(Table11[[#This Row],[activating_chance]]/100),0)</f>
        <v>25</v>
      </c>
      <c r="CR520" s="144" t="str">
        <f ca="1">INDIRECT(ADDRESS(11+(MATCH(RIGHT(Table11[[#This Row],[spawner_sku]],LEN(Table11[[#This Row],[spawner_sku]])-FIND("/",Table11[[#This Row],[spawner_sku]])),Table28[Entity Prefab],0)),25,1,1,"Entities"))</f>
        <v>no</v>
      </c>
      <c r="CS520" s="71">
        <v>1</v>
      </c>
      <c r="CT520" s="71">
        <v>1</v>
      </c>
      <c r="CU520" s="71" t="b">
        <v>0</v>
      </c>
      <c r="DS520" t="s">
        <v>233</v>
      </c>
      <c r="DT520">
        <v>1</v>
      </c>
      <c r="DU520">
        <v>500</v>
      </c>
      <c r="DV520">
        <v>100</v>
      </c>
      <c r="DW520" s="74">
        <f ca="1">INDIRECT(ADDRESS(11+(MATCH(RIGHT(Table14[[#This Row],[spawner_sku]],LEN(Table14[[#This Row],[spawner_sku]])-FIND("/",Table14[[#This Row],[spawner_sku]])),Table1[Entity Prefab],0)),10,1,1,"Entities"))</f>
        <v>25</v>
      </c>
      <c r="DX520" s="74">
        <f ca="1">ROUND((Table14[[#This Row],[XP]]*Table14[[#This Row],[entity_spawned (AVG)]])*(Table14[[#This Row],[activating_chance]]/100),0)</f>
        <v>25</v>
      </c>
      <c r="DY520" s="144" t="str">
        <f ca="1">INDIRECT(ADDRESS(11+(MATCH(RIGHT(Table14[[#This Row],[spawner_sku]],LEN(Table14[[#This Row],[spawner_sku]])-FIND("/",Table14[[#This Row],[spawner_sku]])),Table28[Entity Prefab],0)),25,1,1,"Entities"))</f>
        <v>no</v>
      </c>
      <c r="DZ520" s="71">
        <v>1</v>
      </c>
      <c r="EA520" s="71">
        <v>1</v>
      </c>
      <c r="EB520" s="71" t="b">
        <v>0</v>
      </c>
      <c r="EC520" s="71"/>
    </row>
    <row r="521" spans="2:133" x14ac:dyDescent="0.25">
      <c r="B521" s="72" t="s">
        <v>241</v>
      </c>
      <c r="C521">
        <v>1</v>
      </c>
      <c r="D521">
        <v>120</v>
      </c>
      <c r="E521">
        <v>80</v>
      </c>
      <c r="F521" s="74">
        <f ca="1">INDIRECT(ADDRESS(11+(MATCH(RIGHT(Table245[[#This Row],[spawner_sku]],LEN(Table245[[#This Row],[spawner_sku]])-FIND("/",Table245[[#This Row],[spawner_sku]])),Table1[Entity Prefab],0)),10,1,1,"Entities"))</f>
        <v>70</v>
      </c>
      <c r="G521" s="74">
        <f ca="1">ROUND((Table245[[#This Row],[XP]]*Table245[[#This Row],[entity_spawned (AVG)]])*(Table245[[#This Row],[activating_chance]]/100),0)</f>
        <v>56</v>
      </c>
      <c r="H521" s="71" t="str">
        <f ca="1">INDIRECT(ADDRESS(11+(MATCH(RIGHT(Table245[[#This Row],[spawner_sku]],LEN(Table245[[#This Row],[spawner_sku]])-FIND("/",Table245[[#This Row],[spawner_sku]])),Table28[Entity Prefab],0)),24,1,1,"Entities"))</f>
        <v>yes</v>
      </c>
      <c r="I521" s="71">
        <v>1</v>
      </c>
      <c r="J521" s="71">
        <v>1</v>
      </c>
      <c r="K521" s="71" t="b">
        <v>0</v>
      </c>
      <c r="CL521" t="s">
        <v>242</v>
      </c>
      <c r="CM521">
        <v>1</v>
      </c>
      <c r="CN521">
        <v>80</v>
      </c>
      <c r="CO521">
        <v>100</v>
      </c>
      <c r="CP521" s="74">
        <f ca="1">INDIRECT(ADDRESS(11+(MATCH(RIGHT(Table11[[#This Row],[spawner_sku]],LEN(Table11[[#This Row],[spawner_sku]])-FIND("/",Table11[[#This Row],[spawner_sku]])),Table1[Entity Prefab],0)),10,1,1,"Entities"))</f>
        <v>25</v>
      </c>
      <c r="CQ521">
        <f ca="1">ROUND((Table11[[#This Row],[XP]]*Table11[[#This Row],[entity_spawned (AVG)]])*(Table11[[#This Row],[activating_chance]]/100),0)</f>
        <v>25</v>
      </c>
      <c r="CR521" s="144" t="str">
        <f ca="1">INDIRECT(ADDRESS(11+(MATCH(RIGHT(Table11[[#This Row],[spawner_sku]],LEN(Table11[[#This Row],[spawner_sku]])-FIND("/",Table11[[#This Row],[spawner_sku]])),Table28[Entity Prefab],0)),25,1,1,"Entities"))</f>
        <v>no</v>
      </c>
      <c r="CS521" s="71">
        <v>1</v>
      </c>
      <c r="CT521" s="71">
        <v>1</v>
      </c>
      <c r="CU521" s="71" t="b">
        <v>0</v>
      </c>
      <c r="DS521" t="s">
        <v>233</v>
      </c>
      <c r="DT521">
        <v>1</v>
      </c>
      <c r="DU521">
        <v>500</v>
      </c>
      <c r="DV521">
        <v>100</v>
      </c>
      <c r="DW521" s="74">
        <f ca="1">INDIRECT(ADDRESS(11+(MATCH(RIGHT(Table14[[#This Row],[spawner_sku]],LEN(Table14[[#This Row],[spawner_sku]])-FIND("/",Table14[[#This Row],[spawner_sku]])),Table1[Entity Prefab],0)),10,1,1,"Entities"))</f>
        <v>25</v>
      </c>
      <c r="DX521" s="74">
        <f ca="1">ROUND((Table14[[#This Row],[XP]]*Table14[[#This Row],[entity_spawned (AVG)]])*(Table14[[#This Row],[activating_chance]]/100),0)</f>
        <v>25</v>
      </c>
      <c r="DY521" s="144" t="str">
        <f ca="1">INDIRECT(ADDRESS(11+(MATCH(RIGHT(Table14[[#This Row],[spawner_sku]],LEN(Table14[[#This Row],[spawner_sku]])-FIND("/",Table14[[#This Row],[spawner_sku]])),Table28[Entity Prefab],0)),25,1,1,"Entities"))</f>
        <v>no</v>
      </c>
      <c r="DZ521" s="71">
        <v>1</v>
      </c>
      <c r="EA521" s="71">
        <v>1</v>
      </c>
      <c r="EB521" s="71" t="b">
        <v>0</v>
      </c>
      <c r="EC521" s="71"/>
    </row>
    <row r="522" spans="2:133" x14ac:dyDescent="0.25">
      <c r="B522" s="72" t="s">
        <v>241</v>
      </c>
      <c r="C522">
        <v>1</v>
      </c>
      <c r="D522">
        <v>190</v>
      </c>
      <c r="E522">
        <v>90</v>
      </c>
      <c r="F522" s="74">
        <f ca="1">INDIRECT(ADDRESS(11+(MATCH(RIGHT(Table245[[#This Row],[spawner_sku]],LEN(Table245[[#This Row],[spawner_sku]])-FIND("/",Table245[[#This Row],[spawner_sku]])),Table1[Entity Prefab],0)),10,1,1,"Entities"))</f>
        <v>70</v>
      </c>
      <c r="G522" s="74">
        <f ca="1">ROUND((Table245[[#This Row],[XP]]*Table245[[#This Row],[entity_spawned (AVG)]])*(Table245[[#This Row],[activating_chance]]/100),0)</f>
        <v>63</v>
      </c>
      <c r="H522" s="71" t="str">
        <f ca="1">INDIRECT(ADDRESS(11+(MATCH(RIGHT(Table245[[#This Row],[spawner_sku]],LEN(Table245[[#This Row],[spawner_sku]])-FIND("/",Table245[[#This Row],[spawner_sku]])),Table28[Entity Prefab],0)),24,1,1,"Entities"))</f>
        <v>yes</v>
      </c>
      <c r="I522" s="71">
        <v>1</v>
      </c>
      <c r="J522" s="71">
        <v>1</v>
      </c>
      <c r="K522" s="71" t="b">
        <v>0</v>
      </c>
      <c r="CL522" t="s">
        <v>242</v>
      </c>
      <c r="CM522">
        <v>1</v>
      </c>
      <c r="CN522">
        <v>150</v>
      </c>
      <c r="CO522">
        <v>100</v>
      </c>
      <c r="CP522" s="74">
        <f ca="1">INDIRECT(ADDRESS(11+(MATCH(RIGHT(Table11[[#This Row],[spawner_sku]],LEN(Table11[[#This Row],[spawner_sku]])-FIND("/",Table11[[#This Row],[spawner_sku]])),Table1[Entity Prefab],0)),10,1,1,"Entities"))</f>
        <v>25</v>
      </c>
      <c r="CQ522">
        <f ca="1">ROUND((Table11[[#This Row],[XP]]*Table11[[#This Row],[entity_spawned (AVG)]])*(Table11[[#This Row],[activating_chance]]/100),0)</f>
        <v>25</v>
      </c>
      <c r="CR522" s="144" t="str">
        <f ca="1">INDIRECT(ADDRESS(11+(MATCH(RIGHT(Table11[[#This Row],[spawner_sku]],LEN(Table11[[#This Row],[spawner_sku]])-FIND("/",Table11[[#This Row],[spawner_sku]])),Table28[Entity Prefab],0)),25,1,1,"Entities"))</f>
        <v>no</v>
      </c>
      <c r="CS522" s="71">
        <v>1</v>
      </c>
      <c r="CT522" s="71">
        <v>1</v>
      </c>
      <c r="CU522" s="71" t="b">
        <v>0</v>
      </c>
      <c r="DS522" t="s">
        <v>233</v>
      </c>
      <c r="DT522">
        <v>1</v>
      </c>
      <c r="DU522">
        <v>500</v>
      </c>
      <c r="DV522">
        <v>100</v>
      </c>
      <c r="DW522" s="74">
        <f ca="1">INDIRECT(ADDRESS(11+(MATCH(RIGHT(Table14[[#This Row],[spawner_sku]],LEN(Table14[[#This Row],[spawner_sku]])-FIND("/",Table14[[#This Row],[spawner_sku]])),Table1[Entity Prefab],0)),10,1,1,"Entities"))</f>
        <v>25</v>
      </c>
      <c r="DX522" s="74">
        <f ca="1">ROUND((Table14[[#This Row],[XP]]*Table14[[#This Row],[entity_spawned (AVG)]])*(Table14[[#This Row],[activating_chance]]/100),0)</f>
        <v>25</v>
      </c>
      <c r="DY522" s="144" t="str">
        <f ca="1">INDIRECT(ADDRESS(11+(MATCH(RIGHT(Table14[[#This Row],[spawner_sku]],LEN(Table14[[#This Row],[spawner_sku]])-FIND("/",Table14[[#This Row],[spawner_sku]])),Table28[Entity Prefab],0)),25,1,1,"Entities"))</f>
        <v>no</v>
      </c>
      <c r="DZ522" s="71">
        <v>1</v>
      </c>
      <c r="EA522" s="71">
        <v>1</v>
      </c>
      <c r="EB522" s="71" t="b">
        <v>0</v>
      </c>
      <c r="EC522" s="71"/>
    </row>
    <row r="523" spans="2:133" x14ac:dyDescent="0.25">
      <c r="B523" s="72" t="s">
        <v>241</v>
      </c>
      <c r="C523">
        <v>1</v>
      </c>
      <c r="D523">
        <v>190</v>
      </c>
      <c r="E523">
        <v>100</v>
      </c>
      <c r="F523" s="74">
        <f ca="1">INDIRECT(ADDRESS(11+(MATCH(RIGHT(Table245[[#This Row],[spawner_sku]],LEN(Table245[[#This Row],[spawner_sku]])-FIND("/",Table245[[#This Row],[spawner_sku]])),Table1[Entity Prefab],0)),10,1,1,"Entities"))</f>
        <v>70</v>
      </c>
      <c r="G523" s="74">
        <f ca="1">ROUND((Table245[[#This Row],[XP]]*Table245[[#This Row],[entity_spawned (AVG)]])*(Table245[[#This Row],[activating_chance]]/100),0)</f>
        <v>70</v>
      </c>
      <c r="H523" s="71" t="str">
        <f ca="1">INDIRECT(ADDRESS(11+(MATCH(RIGHT(Table245[[#This Row],[spawner_sku]],LEN(Table245[[#This Row],[spawner_sku]])-FIND("/",Table245[[#This Row],[spawner_sku]])),Table28[Entity Prefab],0)),24,1,1,"Entities"))</f>
        <v>yes</v>
      </c>
      <c r="I523" s="71">
        <v>1</v>
      </c>
      <c r="J523" s="71">
        <v>1</v>
      </c>
      <c r="K523" s="71" t="b">
        <v>0</v>
      </c>
      <c r="CL523" t="s">
        <v>242</v>
      </c>
      <c r="CM523">
        <v>1</v>
      </c>
      <c r="CN523">
        <v>80</v>
      </c>
      <c r="CO523">
        <v>100</v>
      </c>
      <c r="CP523" s="74">
        <f ca="1">INDIRECT(ADDRESS(11+(MATCH(RIGHT(Table11[[#This Row],[spawner_sku]],LEN(Table11[[#This Row],[spawner_sku]])-FIND("/",Table11[[#This Row],[spawner_sku]])),Table1[Entity Prefab],0)),10,1,1,"Entities"))</f>
        <v>25</v>
      </c>
      <c r="CQ523">
        <f ca="1">ROUND((Table11[[#This Row],[XP]]*Table11[[#This Row],[entity_spawned (AVG)]])*(Table11[[#This Row],[activating_chance]]/100),0)</f>
        <v>25</v>
      </c>
      <c r="CR523" s="144" t="str">
        <f ca="1">INDIRECT(ADDRESS(11+(MATCH(RIGHT(Table11[[#This Row],[spawner_sku]],LEN(Table11[[#This Row],[spawner_sku]])-FIND("/",Table11[[#This Row],[spawner_sku]])),Table28[Entity Prefab],0)),25,1,1,"Entities"))</f>
        <v>no</v>
      </c>
      <c r="CS523" s="71">
        <v>1</v>
      </c>
      <c r="CT523" s="71">
        <v>1</v>
      </c>
      <c r="CU523" s="71" t="b">
        <v>0</v>
      </c>
      <c r="DS523" t="s">
        <v>233</v>
      </c>
      <c r="DT523">
        <v>1</v>
      </c>
      <c r="DU523">
        <v>500</v>
      </c>
      <c r="DV523">
        <v>50</v>
      </c>
      <c r="DW523" s="74">
        <f ca="1">INDIRECT(ADDRESS(11+(MATCH(RIGHT(Table14[[#This Row],[spawner_sku]],LEN(Table14[[#This Row],[spawner_sku]])-FIND("/",Table14[[#This Row],[spawner_sku]])),Table1[Entity Prefab],0)),10,1,1,"Entities"))</f>
        <v>25</v>
      </c>
      <c r="DX523" s="74">
        <f ca="1">ROUND((Table14[[#This Row],[XP]]*Table14[[#This Row],[entity_spawned (AVG)]])*(Table14[[#This Row],[activating_chance]]/100),0)</f>
        <v>13</v>
      </c>
      <c r="DY523" s="144" t="str">
        <f ca="1">INDIRECT(ADDRESS(11+(MATCH(RIGHT(Table14[[#This Row],[spawner_sku]],LEN(Table14[[#This Row],[spawner_sku]])-FIND("/",Table14[[#This Row],[spawner_sku]])),Table28[Entity Prefab],0)),25,1,1,"Entities"))</f>
        <v>no</v>
      </c>
      <c r="DZ523" s="71">
        <v>1</v>
      </c>
      <c r="EA523" s="71">
        <v>1</v>
      </c>
      <c r="EB523" s="71" t="b">
        <v>0</v>
      </c>
      <c r="EC523" s="71"/>
    </row>
    <row r="524" spans="2:133" x14ac:dyDescent="0.25">
      <c r="B524" s="72" t="s">
        <v>241</v>
      </c>
      <c r="C524">
        <v>1</v>
      </c>
      <c r="D524">
        <v>175</v>
      </c>
      <c r="E524">
        <v>100</v>
      </c>
      <c r="F524" s="74">
        <f ca="1">INDIRECT(ADDRESS(11+(MATCH(RIGHT(Table245[[#This Row],[spawner_sku]],LEN(Table245[[#This Row],[spawner_sku]])-FIND("/",Table245[[#This Row],[spawner_sku]])),Table1[Entity Prefab],0)),10,1,1,"Entities"))</f>
        <v>70</v>
      </c>
      <c r="G524" s="74">
        <f ca="1">ROUND((Table245[[#This Row],[XP]]*Table245[[#This Row],[entity_spawned (AVG)]])*(Table245[[#This Row],[activating_chance]]/100),0)</f>
        <v>70</v>
      </c>
      <c r="H524" s="71" t="str">
        <f ca="1">INDIRECT(ADDRESS(11+(MATCH(RIGHT(Table245[[#This Row],[spawner_sku]],LEN(Table245[[#This Row],[spawner_sku]])-FIND("/",Table245[[#This Row],[spawner_sku]])),Table28[Entity Prefab],0)),24,1,1,"Entities"))</f>
        <v>yes</v>
      </c>
      <c r="I524" s="71">
        <v>1</v>
      </c>
      <c r="J524" s="71">
        <v>1</v>
      </c>
      <c r="K524" s="71" t="b">
        <v>0</v>
      </c>
      <c r="CL524" t="s">
        <v>242</v>
      </c>
      <c r="CM524">
        <v>1</v>
      </c>
      <c r="CN524">
        <v>80</v>
      </c>
      <c r="CO524">
        <v>100</v>
      </c>
      <c r="CP524" s="74">
        <f ca="1">INDIRECT(ADDRESS(11+(MATCH(RIGHT(Table11[[#This Row],[spawner_sku]],LEN(Table11[[#This Row],[spawner_sku]])-FIND("/",Table11[[#This Row],[spawner_sku]])),Table1[Entity Prefab],0)),10,1,1,"Entities"))</f>
        <v>25</v>
      </c>
      <c r="CQ524">
        <f ca="1">ROUND((Table11[[#This Row],[XP]]*Table11[[#This Row],[entity_spawned (AVG)]])*(Table11[[#This Row],[activating_chance]]/100),0)</f>
        <v>25</v>
      </c>
      <c r="CR524" s="144" t="str">
        <f ca="1">INDIRECT(ADDRESS(11+(MATCH(RIGHT(Table11[[#This Row],[spawner_sku]],LEN(Table11[[#This Row],[spawner_sku]])-FIND("/",Table11[[#This Row],[spawner_sku]])),Table28[Entity Prefab],0)),25,1,1,"Entities"))</f>
        <v>no</v>
      </c>
      <c r="CS524" s="71">
        <v>1</v>
      </c>
      <c r="CT524" s="71">
        <v>1</v>
      </c>
      <c r="CU524" s="71" t="b">
        <v>0</v>
      </c>
      <c r="DS524" t="s">
        <v>233</v>
      </c>
      <c r="DT524">
        <v>1</v>
      </c>
      <c r="DU524">
        <v>500</v>
      </c>
      <c r="DV524">
        <v>100</v>
      </c>
      <c r="DW524" s="74">
        <f ca="1">INDIRECT(ADDRESS(11+(MATCH(RIGHT(Table14[[#This Row],[spawner_sku]],LEN(Table14[[#This Row],[spawner_sku]])-FIND("/",Table14[[#This Row],[spawner_sku]])),Table1[Entity Prefab],0)),10,1,1,"Entities"))</f>
        <v>25</v>
      </c>
      <c r="DX524" s="74">
        <f ca="1">ROUND((Table14[[#This Row],[XP]]*Table14[[#This Row],[entity_spawned (AVG)]])*(Table14[[#This Row],[activating_chance]]/100),0)</f>
        <v>25</v>
      </c>
      <c r="DY524" s="144" t="str">
        <f ca="1">INDIRECT(ADDRESS(11+(MATCH(RIGHT(Table14[[#This Row],[spawner_sku]],LEN(Table14[[#This Row],[spawner_sku]])-FIND("/",Table14[[#This Row],[spawner_sku]])),Table28[Entity Prefab],0)),25,1,1,"Entities"))</f>
        <v>no</v>
      </c>
      <c r="DZ524" s="71">
        <v>1</v>
      </c>
      <c r="EA524" s="71">
        <v>1</v>
      </c>
      <c r="EB524" s="71" t="b">
        <v>0</v>
      </c>
      <c r="EC524" s="71"/>
    </row>
    <row r="525" spans="2:133" x14ac:dyDescent="0.25">
      <c r="B525" s="72" t="s">
        <v>241</v>
      </c>
      <c r="C525">
        <v>1</v>
      </c>
      <c r="D525">
        <v>175</v>
      </c>
      <c r="E525">
        <v>100</v>
      </c>
      <c r="F525" s="74">
        <f ca="1">INDIRECT(ADDRESS(11+(MATCH(RIGHT(Table245[[#This Row],[spawner_sku]],LEN(Table245[[#This Row],[spawner_sku]])-FIND("/",Table245[[#This Row],[spawner_sku]])),Table1[Entity Prefab],0)),10,1,1,"Entities"))</f>
        <v>70</v>
      </c>
      <c r="G525" s="74">
        <f ca="1">ROUND((Table245[[#This Row],[XP]]*Table245[[#This Row],[entity_spawned (AVG)]])*(Table245[[#This Row],[activating_chance]]/100),0)</f>
        <v>70</v>
      </c>
      <c r="H525" s="71" t="str">
        <f ca="1">INDIRECT(ADDRESS(11+(MATCH(RIGHT(Table245[[#This Row],[spawner_sku]],LEN(Table245[[#This Row],[spawner_sku]])-FIND("/",Table245[[#This Row],[spawner_sku]])),Table28[Entity Prefab],0)),24,1,1,"Entities"))</f>
        <v>yes</v>
      </c>
      <c r="I525" s="71">
        <v>1</v>
      </c>
      <c r="J525" s="71">
        <v>1</v>
      </c>
      <c r="K525" s="71" t="b">
        <v>0</v>
      </c>
      <c r="CL525" t="s">
        <v>242</v>
      </c>
      <c r="CM525">
        <v>1</v>
      </c>
      <c r="CN525">
        <v>150</v>
      </c>
      <c r="CO525">
        <v>100</v>
      </c>
      <c r="CP525" s="74">
        <f ca="1">INDIRECT(ADDRESS(11+(MATCH(RIGHT(Table11[[#This Row],[spawner_sku]],LEN(Table11[[#This Row],[spawner_sku]])-FIND("/",Table11[[#This Row],[spawner_sku]])),Table1[Entity Prefab],0)),10,1,1,"Entities"))</f>
        <v>25</v>
      </c>
      <c r="CQ525">
        <f ca="1">ROUND((Table11[[#This Row],[XP]]*Table11[[#This Row],[entity_spawned (AVG)]])*(Table11[[#This Row],[activating_chance]]/100),0)</f>
        <v>25</v>
      </c>
      <c r="CR525" s="144" t="str">
        <f ca="1">INDIRECT(ADDRESS(11+(MATCH(RIGHT(Table11[[#This Row],[spawner_sku]],LEN(Table11[[#This Row],[spawner_sku]])-FIND("/",Table11[[#This Row],[spawner_sku]])),Table28[Entity Prefab],0)),25,1,1,"Entities"))</f>
        <v>no</v>
      </c>
      <c r="CS525" s="71">
        <v>1</v>
      </c>
      <c r="CT525" s="71">
        <v>1</v>
      </c>
      <c r="CU525" s="71" t="b">
        <v>0</v>
      </c>
      <c r="DS525" t="s">
        <v>233</v>
      </c>
      <c r="DT525">
        <v>1</v>
      </c>
      <c r="DU525">
        <v>500</v>
      </c>
      <c r="DV525">
        <v>75</v>
      </c>
      <c r="DW525" s="74">
        <f ca="1">INDIRECT(ADDRESS(11+(MATCH(RIGHT(Table14[[#This Row],[spawner_sku]],LEN(Table14[[#This Row],[spawner_sku]])-FIND("/",Table14[[#This Row],[spawner_sku]])),Table1[Entity Prefab],0)),10,1,1,"Entities"))</f>
        <v>25</v>
      </c>
      <c r="DX525" s="74">
        <f ca="1">ROUND((Table14[[#This Row],[XP]]*Table14[[#This Row],[entity_spawned (AVG)]])*(Table14[[#This Row],[activating_chance]]/100),0)</f>
        <v>19</v>
      </c>
      <c r="DY525" s="144" t="str">
        <f ca="1">INDIRECT(ADDRESS(11+(MATCH(RIGHT(Table14[[#This Row],[spawner_sku]],LEN(Table14[[#This Row],[spawner_sku]])-FIND("/",Table14[[#This Row],[spawner_sku]])),Table28[Entity Prefab],0)),25,1,1,"Entities"))</f>
        <v>no</v>
      </c>
      <c r="DZ525" s="71">
        <v>1</v>
      </c>
      <c r="EA525" s="71">
        <v>1</v>
      </c>
      <c r="EB525" s="71" t="b">
        <v>0</v>
      </c>
      <c r="EC525" s="71"/>
    </row>
    <row r="526" spans="2:133" x14ac:dyDescent="0.25">
      <c r="B526" s="72" t="s">
        <v>241</v>
      </c>
      <c r="C526">
        <v>1</v>
      </c>
      <c r="D526">
        <v>220</v>
      </c>
      <c r="E526">
        <v>100</v>
      </c>
      <c r="F526" s="74">
        <f ca="1">INDIRECT(ADDRESS(11+(MATCH(RIGHT(Table245[[#This Row],[spawner_sku]],LEN(Table245[[#This Row],[spawner_sku]])-FIND("/",Table245[[#This Row],[spawner_sku]])),Table1[Entity Prefab],0)),10,1,1,"Entities"))</f>
        <v>70</v>
      </c>
      <c r="G526" s="74">
        <f ca="1">ROUND((Table245[[#This Row],[XP]]*Table245[[#This Row],[entity_spawned (AVG)]])*(Table245[[#This Row],[activating_chance]]/100),0)</f>
        <v>70</v>
      </c>
      <c r="H526" s="71" t="str">
        <f ca="1">INDIRECT(ADDRESS(11+(MATCH(RIGHT(Table245[[#This Row],[spawner_sku]],LEN(Table245[[#This Row],[spawner_sku]])-FIND("/",Table245[[#This Row],[spawner_sku]])),Table28[Entity Prefab],0)),24,1,1,"Entities"))</f>
        <v>yes</v>
      </c>
      <c r="I526" s="71">
        <v>1</v>
      </c>
      <c r="J526" s="71">
        <v>1</v>
      </c>
      <c r="K526" s="71" t="b">
        <v>0</v>
      </c>
      <c r="CL526" t="s">
        <v>242</v>
      </c>
      <c r="CM526">
        <v>1</v>
      </c>
      <c r="CN526">
        <v>80</v>
      </c>
      <c r="CO526">
        <v>100</v>
      </c>
      <c r="CP526" s="74">
        <f ca="1">INDIRECT(ADDRESS(11+(MATCH(RIGHT(Table11[[#This Row],[spawner_sku]],LEN(Table11[[#This Row],[spawner_sku]])-FIND("/",Table11[[#This Row],[spawner_sku]])),Table1[Entity Prefab],0)),10,1,1,"Entities"))</f>
        <v>25</v>
      </c>
      <c r="CQ526">
        <f ca="1">ROUND((Table11[[#This Row],[XP]]*Table11[[#This Row],[entity_spawned (AVG)]])*(Table11[[#This Row],[activating_chance]]/100),0)</f>
        <v>25</v>
      </c>
      <c r="CR526" s="144" t="str">
        <f ca="1">INDIRECT(ADDRESS(11+(MATCH(RIGHT(Table11[[#This Row],[spawner_sku]],LEN(Table11[[#This Row],[spawner_sku]])-FIND("/",Table11[[#This Row],[spawner_sku]])),Table28[Entity Prefab],0)),25,1,1,"Entities"))</f>
        <v>no</v>
      </c>
      <c r="CS526" s="71">
        <v>1</v>
      </c>
      <c r="CT526" s="71">
        <v>1</v>
      </c>
      <c r="CU526" s="71" t="b">
        <v>0</v>
      </c>
      <c r="DS526" t="s">
        <v>5003</v>
      </c>
      <c r="DT526">
        <v>1</v>
      </c>
      <c r="DU526">
        <v>5000</v>
      </c>
      <c r="DV526">
        <v>100</v>
      </c>
      <c r="DW526" s="74">
        <f ca="1">INDIRECT(ADDRESS(11+(MATCH(RIGHT(Table14[[#This Row],[spawner_sku]],LEN(Table14[[#This Row],[spawner_sku]])-FIND("/",Table14[[#This Row],[spawner_sku]])),Table1[Entity Prefab],0)),10,1,1,"Entities"))</f>
        <v>25</v>
      </c>
      <c r="DX526" s="74">
        <f ca="1">ROUND((Table14[[#This Row],[XP]]*Table14[[#This Row],[entity_spawned (AVG)]])*(Table14[[#This Row],[activating_chance]]/100),0)</f>
        <v>25</v>
      </c>
      <c r="DY526" s="144" t="str">
        <f ca="1">INDIRECT(ADDRESS(11+(MATCH(RIGHT(Table14[[#This Row],[spawner_sku]],LEN(Table14[[#This Row],[spawner_sku]])-FIND("/",Table14[[#This Row],[spawner_sku]])),Table28[Entity Prefab],0)),25,1,1,"Entities"))</f>
        <v>no</v>
      </c>
      <c r="DZ526" s="71">
        <v>1</v>
      </c>
      <c r="EA526" s="71">
        <v>1</v>
      </c>
      <c r="EB526" s="71" t="b">
        <v>0</v>
      </c>
      <c r="EC526" s="71"/>
    </row>
    <row r="527" spans="2:133" x14ac:dyDescent="0.25">
      <c r="B527" s="72" t="s">
        <v>241</v>
      </c>
      <c r="C527">
        <v>1</v>
      </c>
      <c r="D527">
        <v>220</v>
      </c>
      <c r="E527">
        <v>100</v>
      </c>
      <c r="F527" s="74">
        <f ca="1">INDIRECT(ADDRESS(11+(MATCH(RIGHT(Table245[[#This Row],[spawner_sku]],LEN(Table245[[#This Row],[spawner_sku]])-FIND("/",Table245[[#This Row],[spawner_sku]])),Table1[Entity Prefab],0)),10,1,1,"Entities"))</f>
        <v>70</v>
      </c>
      <c r="G527" s="74">
        <f ca="1">ROUND((Table245[[#This Row],[XP]]*Table245[[#This Row],[entity_spawned (AVG)]])*(Table245[[#This Row],[activating_chance]]/100),0)</f>
        <v>70</v>
      </c>
      <c r="H527" s="71" t="str">
        <f ca="1">INDIRECT(ADDRESS(11+(MATCH(RIGHT(Table245[[#This Row],[spawner_sku]],LEN(Table245[[#This Row],[spawner_sku]])-FIND("/",Table245[[#This Row],[spawner_sku]])),Table28[Entity Prefab],0)),24,1,1,"Entities"))</f>
        <v>yes</v>
      </c>
      <c r="I527" s="71">
        <v>1</v>
      </c>
      <c r="J527" s="71">
        <v>1</v>
      </c>
      <c r="K527" s="71" t="b">
        <v>0</v>
      </c>
      <c r="CL527" t="s">
        <v>242</v>
      </c>
      <c r="CM527">
        <v>1</v>
      </c>
      <c r="CN527">
        <v>140</v>
      </c>
      <c r="CO527">
        <v>100</v>
      </c>
      <c r="CP527" s="74">
        <f ca="1">INDIRECT(ADDRESS(11+(MATCH(RIGHT(Table11[[#This Row],[spawner_sku]],LEN(Table11[[#This Row],[spawner_sku]])-FIND("/",Table11[[#This Row],[spawner_sku]])),Table1[Entity Prefab],0)),10,1,1,"Entities"))</f>
        <v>25</v>
      </c>
      <c r="CQ527">
        <f ca="1">ROUND((Table11[[#This Row],[XP]]*Table11[[#This Row],[entity_spawned (AVG)]])*(Table11[[#This Row],[activating_chance]]/100),0)</f>
        <v>25</v>
      </c>
      <c r="CR527" s="144" t="str">
        <f ca="1">INDIRECT(ADDRESS(11+(MATCH(RIGHT(Table11[[#This Row],[spawner_sku]],LEN(Table11[[#This Row],[spawner_sku]])-FIND("/",Table11[[#This Row],[spawner_sku]])),Table28[Entity Prefab],0)),25,1,1,"Entities"))</f>
        <v>no</v>
      </c>
      <c r="CS527" s="71">
        <v>1</v>
      </c>
      <c r="CT527" s="71">
        <v>1</v>
      </c>
      <c r="CU527" s="71" t="b">
        <v>0</v>
      </c>
      <c r="DS527" t="s">
        <v>5003</v>
      </c>
      <c r="DT527">
        <v>1</v>
      </c>
      <c r="DU527">
        <v>5000</v>
      </c>
      <c r="DV527">
        <v>80</v>
      </c>
      <c r="DW527" s="74">
        <f ca="1">INDIRECT(ADDRESS(11+(MATCH(RIGHT(Table14[[#This Row],[spawner_sku]],LEN(Table14[[#This Row],[spawner_sku]])-FIND("/",Table14[[#This Row],[spawner_sku]])),Table1[Entity Prefab],0)),10,1,1,"Entities"))</f>
        <v>25</v>
      </c>
      <c r="DX527" s="74">
        <f ca="1">ROUND((Table14[[#This Row],[XP]]*Table14[[#This Row],[entity_spawned (AVG)]])*(Table14[[#This Row],[activating_chance]]/100),0)</f>
        <v>20</v>
      </c>
      <c r="DY527" s="144" t="str">
        <f ca="1">INDIRECT(ADDRESS(11+(MATCH(RIGHT(Table14[[#This Row],[spawner_sku]],LEN(Table14[[#This Row],[spawner_sku]])-FIND("/",Table14[[#This Row],[spawner_sku]])),Table28[Entity Prefab],0)),25,1,1,"Entities"))</f>
        <v>no</v>
      </c>
      <c r="DZ527" s="71">
        <v>1</v>
      </c>
      <c r="EA527" s="71">
        <v>1</v>
      </c>
      <c r="EB527" s="71" t="b">
        <v>0</v>
      </c>
      <c r="EC527" s="71"/>
    </row>
    <row r="528" spans="2:133" x14ac:dyDescent="0.25">
      <c r="B528" s="72" t="s">
        <v>241</v>
      </c>
      <c r="C528">
        <v>1</v>
      </c>
      <c r="D528">
        <v>190</v>
      </c>
      <c r="E528">
        <v>100</v>
      </c>
      <c r="F528" s="74">
        <f ca="1">INDIRECT(ADDRESS(11+(MATCH(RIGHT(Table245[[#This Row],[spawner_sku]],LEN(Table245[[#This Row],[spawner_sku]])-FIND("/",Table245[[#This Row],[spawner_sku]])),Table1[Entity Prefab],0)),10,1,1,"Entities"))</f>
        <v>70</v>
      </c>
      <c r="G528" s="74">
        <f ca="1">ROUND((Table245[[#This Row],[XP]]*Table245[[#This Row],[entity_spawned (AVG)]])*(Table245[[#This Row],[activating_chance]]/100),0)</f>
        <v>70</v>
      </c>
      <c r="H528" s="71" t="str">
        <f ca="1">INDIRECT(ADDRESS(11+(MATCH(RIGHT(Table245[[#This Row],[spawner_sku]],LEN(Table245[[#This Row],[spawner_sku]])-FIND("/",Table245[[#This Row],[spawner_sku]])),Table28[Entity Prefab],0)),24,1,1,"Entities"))</f>
        <v>yes</v>
      </c>
      <c r="I528" s="71">
        <v>1</v>
      </c>
      <c r="J528" s="71">
        <v>1</v>
      </c>
      <c r="K528" s="71" t="b">
        <v>0</v>
      </c>
      <c r="CL528" t="s">
        <v>242</v>
      </c>
      <c r="CM528">
        <v>1</v>
      </c>
      <c r="CN528">
        <v>80</v>
      </c>
      <c r="CO528">
        <v>100</v>
      </c>
      <c r="CP528" s="74">
        <f ca="1">INDIRECT(ADDRESS(11+(MATCH(RIGHT(Table11[[#This Row],[spawner_sku]],LEN(Table11[[#This Row],[spawner_sku]])-FIND("/",Table11[[#This Row],[spawner_sku]])),Table1[Entity Prefab],0)),10,1,1,"Entities"))</f>
        <v>25</v>
      </c>
      <c r="CQ528">
        <f ca="1">ROUND((Table11[[#This Row],[XP]]*Table11[[#This Row],[entity_spawned (AVG)]])*(Table11[[#This Row],[activating_chance]]/100),0)</f>
        <v>25</v>
      </c>
      <c r="CR528" s="144" t="str">
        <f ca="1">INDIRECT(ADDRESS(11+(MATCH(RIGHT(Table11[[#This Row],[spawner_sku]],LEN(Table11[[#This Row],[spawner_sku]])-FIND("/",Table11[[#This Row],[spawner_sku]])),Table28[Entity Prefab],0)),25,1,1,"Entities"))</f>
        <v>no</v>
      </c>
      <c r="CS528" s="71">
        <v>1</v>
      </c>
      <c r="CT528" s="71">
        <v>1</v>
      </c>
      <c r="CU528" s="71" t="b">
        <v>0</v>
      </c>
      <c r="DS528" t="s">
        <v>5003</v>
      </c>
      <c r="DT528">
        <v>1</v>
      </c>
      <c r="DU528">
        <v>5000</v>
      </c>
      <c r="DV528">
        <v>50</v>
      </c>
      <c r="DW528" s="74">
        <f ca="1">INDIRECT(ADDRESS(11+(MATCH(RIGHT(Table14[[#This Row],[spawner_sku]],LEN(Table14[[#This Row],[spawner_sku]])-FIND("/",Table14[[#This Row],[spawner_sku]])),Table1[Entity Prefab],0)),10,1,1,"Entities"))</f>
        <v>25</v>
      </c>
      <c r="DX528" s="74">
        <f ca="1">ROUND((Table14[[#This Row],[XP]]*Table14[[#This Row],[entity_spawned (AVG)]])*(Table14[[#This Row],[activating_chance]]/100),0)</f>
        <v>13</v>
      </c>
      <c r="DY528" s="144" t="str">
        <f ca="1">INDIRECT(ADDRESS(11+(MATCH(RIGHT(Table14[[#This Row],[spawner_sku]],LEN(Table14[[#This Row],[spawner_sku]])-FIND("/",Table14[[#This Row],[spawner_sku]])),Table28[Entity Prefab],0)),25,1,1,"Entities"))</f>
        <v>no</v>
      </c>
      <c r="DZ528" s="71">
        <v>1</v>
      </c>
      <c r="EA528" s="71">
        <v>1</v>
      </c>
      <c r="EB528" s="71" t="b">
        <v>0</v>
      </c>
      <c r="EC528" s="71"/>
    </row>
    <row r="529" spans="2:133" x14ac:dyDescent="0.25">
      <c r="B529" s="72" t="s">
        <v>241</v>
      </c>
      <c r="C529">
        <v>1</v>
      </c>
      <c r="D529">
        <v>190</v>
      </c>
      <c r="E529">
        <v>100</v>
      </c>
      <c r="F529" s="74">
        <f ca="1">INDIRECT(ADDRESS(11+(MATCH(RIGHT(Table245[[#This Row],[spawner_sku]],LEN(Table245[[#This Row],[spawner_sku]])-FIND("/",Table245[[#This Row],[spawner_sku]])),Table1[Entity Prefab],0)),10,1,1,"Entities"))</f>
        <v>70</v>
      </c>
      <c r="G529" s="74">
        <f ca="1">ROUND((Table245[[#This Row],[XP]]*Table245[[#This Row],[entity_spawned (AVG)]])*(Table245[[#This Row],[activating_chance]]/100),0)</f>
        <v>70</v>
      </c>
      <c r="H529" s="71" t="str">
        <f ca="1">INDIRECT(ADDRESS(11+(MATCH(RIGHT(Table245[[#This Row],[spawner_sku]],LEN(Table245[[#This Row],[spawner_sku]])-FIND("/",Table245[[#This Row],[spawner_sku]])),Table28[Entity Prefab],0)),24,1,1,"Entities"))</f>
        <v>yes</v>
      </c>
      <c r="I529" s="71">
        <v>1</v>
      </c>
      <c r="J529" s="71">
        <v>1</v>
      </c>
      <c r="K529" s="71" t="b">
        <v>0</v>
      </c>
      <c r="CL529" t="s">
        <v>242</v>
      </c>
      <c r="CM529">
        <v>1</v>
      </c>
      <c r="CN529">
        <v>165</v>
      </c>
      <c r="CO529">
        <v>80</v>
      </c>
      <c r="CP529" s="74">
        <f ca="1">INDIRECT(ADDRESS(11+(MATCH(RIGHT(Table11[[#This Row],[spawner_sku]],LEN(Table11[[#This Row],[spawner_sku]])-FIND("/",Table11[[#This Row],[spawner_sku]])),Table1[Entity Prefab],0)),10,1,1,"Entities"))</f>
        <v>25</v>
      </c>
      <c r="CQ529">
        <f ca="1">ROUND((Table11[[#This Row],[XP]]*Table11[[#This Row],[entity_spawned (AVG)]])*(Table11[[#This Row],[activating_chance]]/100),0)</f>
        <v>20</v>
      </c>
      <c r="CR529" s="144" t="str">
        <f ca="1">INDIRECT(ADDRESS(11+(MATCH(RIGHT(Table11[[#This Row],[spawner_sku]],LEN(Table11[[#This Row],[spawner_sku]])-FIND("/",Table11[[#This Row],[spawner_sku]])),Table28[Entity Prefab],0)),25,1,1,"Entities"))</f>
        <v>no</v>
      </c>
      <c r="CS529" s="71">
        <v>1</v>
      </c>
      <c r="CT529" s="71">
        <v>1</v>
      </c>
      <c r="CU529" s="71" t="b">
        <v>0</v>
      </c>
      <c r="DS529" t="s">
        <v>5003</v>
      </c>
      <c r="DT529">
        <v>1</v>
      </c>
      <c r="DU529">
        <v>5000</v>
      </c>
      <c r="DV529">
        <v>100</v>
      </c>
      <c r="DW529" s="74">
        <f ca="1">INDIRECT(ADDRESS(11+(MATCH(RIGHT(Table14[[#This Row],[spawner_sku]],LEN(Table14[[#This Row],[spawner_sku]])-FIND("/",Table14[[#This Row],[spawner_sku]])),Table1[Entity Prefab],0)),10,1,1,"Entities"))</f>
        <v>25</v>
      </c>
      <c r="DX529" s="74">
        <f ca="1">ROUND((Table14[[#This Row],[XP]]*Table14[[#This Row],[entity_spawned (AVG)]])*(Table14[[#This Row],[activating_chance]]/100),0)</f>
        <v>25</v>
      </c>
      <c r="DY529" s="144" t="str">
        <f ca="1">INDIRECT(ADDRESS(11+(MATCH(RIGHT(Table14[[#This Row],[spawner_sku]],LEN(Table14[[#This Row],[spawner_sku]])-FIND("/",Table14[[#This Row],[spawner_sku]])),Table28[Entity Prefab],0)),25,1,1,"Entities"))</f>
        <v>no</v>
      </c>
      <c r="DZ529" s="71">
        <v>1</v>
      </c>
      <c r="EA529" s="71">
        <v>1</v>
      </c>
      <c r="EB529" s="71" t="b">
        <v>0</v>
      </c>
      <c r="EC529" s="71"/>
    </row>
    <row r="530" spans="2:133" x14ac:dyDescent="0.25">
      <c r="B530" s="72" t="s">
        <v>241</v>
      </c>
      <c r="C530">
        <v>1</v>
      </c>
      <c r="D530">
        <v>190</v>
      </c>
      <c r="E530">
        <v>40</v>
      </c>
      <c r="F530" s="74">
        <f ca="1">INDIRECT(ADDRESS(11+(MATCH(RIGHT(Table245[[#This Row],[spawner_sku]],LEN(Table245[[#This Row],[spawner_sku]])-FIND("/",Table245[[#This Row],[spawner_sku]])),Table1[Entity Prefab],0)),10,1,1,"Entities"))</f>
        <v>70</v>
      </c>
      <c r="G530" s="74">
        <f ca="1">ROUND((Table245[[#This Row],[XP]]*Table245[[#This Row],[entity_spawned (AVG)]])*(Table245[[#This Row],[activating_chance]]/100),0)</f>
        <v>28</v>
      </c>
      <c r="H530" s="71" t="str">
        <f ca="1">INDIRECT(ADDRESS(11+(MATCH(RIGHT(Table245[[#This Row],[spawner_sku]],LEN(Table245[[#This Row],[spawner_sku]])-FIND("/",Table245[[#This Row],[spawner_sku]])),Table28[Entity Prefab],0)),24,1,1,"Entities"))</f>
        <v>yes</v>
      </c>
      <c r="I530" s="71">
        <v>1</v>
      </c>
      <c r="J530" s="71">
        <v>1</v>
      </c>
      <c r="K530" s="71" t="b">
        <v>0</v>
      </c>
      <c r="CL530" t="s">
        <v>242</v>
      </c>
      <c r="CM530">
        <v>1</v>
      </c>
      <c r="CN530">
        <v>150</v>
      </c>
      <c r="CO530">
        <v>100</v>
      </c>
      <c r="CP530" s="74">
        <f ca="1">INDIRECT(ADDRESS(11+(MATCH(RIGHT(Table11[[#This Row],[spawner_sku]],LEN(Table11[[#This Row],[spawner_sku]])-FIND("/",Table11[[#This Row],[spawner_sku]])),Table1[Entity Prefab],0)),10,1,1,"Entities"))</f>
        <v>25</v>
      </c>
      <c r="CQ530">
        <f ca="1">ROUND((Table11[[#This Row],[XP]]*Table11[[#This Row],[entity_spawned (AVG)]])*(Table11[[#This Row],[activating_chance]]/100),0)</f>
        <v>25</v>
      </c>
      <c r="CR530" s="144" t="str">
        <f ca="1">INDIRECT(ADDRESS(11+(MATCH(RIGHT(Table11[[#This Row],[spawner_sku]],LEN(Table11[[#This Row],[spawner_sku]])-FIND("/",Table11[[#This Row],[spawner_sku]])),Table28[Entity Prefab],0)),25,1,1,"Entities"))</f>
        <v>no</v>
      </c>
      <c r="CS530" s="71">
        <v>1</v>
      </c>
      <c r="CT530" s="71">
        <v>1</v>
      </c>
      <c r="CU530" s="71" t="b">
        <v>0</v>
      </c>
      <c r="DS530" t="s">
        <v>5003</v>
      </c>
      <c r="DT530">
        <v>1</v>
      </c>
      <c r="DU530">
        <v>5000</v>
      </c>
      <c r="DV530">
        <v>50</v>
      </c>
      <c r="DW530" s="74">
        <f ca="1">INDIRECT(ADDRESS(11+(MATCH(RIGHT(Table14[[#This Row],[spawner_sku]],LEN(Table14[[#This Row],[spawner_sku]])-FIND("/",Table14[[#This Row],[spawner_sku]])),Table1[Entity Prefab],0)),10,1,1,"Entities"))</f>
        <v>25</v>
      </c>
      <c r="DX530" s="74">
        <f ca="1">ROUND((Table14[[#This Row],[XP]]*Table14[[#This Row],[entity_spawned (AVG)]])*(Table14[[#This Row],[activating_chance]]/100),0)</f>
        <v>13</v>
      </c>
      <c r="DY530" s="144" t="str">
        <f ca="1">INDIRECT(ADDRESS(11+(MATCH(RIGHT(Table14[[#This Row],[spawner_sku]],LEN(Table14[[#This Row],[spawner_sku]])-FIND("/",Table14[[#This Row],[spawner_sku]])),Table28[Entity Prefab],0)),25,1,1,"Entities"))</f>
        <v>no</v>
      </c>
      <c r="DZ530" s="71">
        <v>1</v>
      </c>
      <c r="EA530" s="71">
        <v>1</v>
      </c>
      <c r="EB530" s="71" t="b">
        <v>0</v>
      </c>
      <c r="EC530" s="71"/>
    </row>
    <row r="531" spans="2:133" x14ac:dyDescent="0.25">
      <c r="B531" s="72" t="s">
        <v>241</v>
      </c>
      <c r="C531">
        <v>1</v>
      </c>
      <c r="D531">
        <v>175</v>
      </c>
      <c r="E531">
        <v>100</v>
      </c>
      <c r="F531" s="74">
        <f ca="1">INDIRECT(ADDRESS(11+(MATCH(RIGHT(Table245[[#This Row],[spawner_sku]],LEN(Table245[[#This Row],[spawner_sku]])-FIND("/",Table245[[#This Row],[spawner_sku]])),Table1[Entity Prefab],0)),10,1,1,"Entities"))</f>
        <v>70</v>
      </c>
      <c r="G531" s="74">
        <f ca="1">ROUND((Table245[[#This Row],[XP]]*Table245[[#This Row],[entity_spawned (AVG)]])*(Table245[[#This Row],[activating_chance]]/100),0)</f>
        <v>70</v>
      </c>
      <c r="H531" s="71" t="str">
        <f ca="1">INDIRECT(ADDRESS(11+(MATCH(RIGHT(Table245[[#This Row],[spawner_sku]],LEN(Table245[[#This Row],[spawner_sku]])-FIND("/",Table245[[#This Row],[spawner_sku]])),Table28[Entity Prefab],0)),24,1,1,"Entities"))</f>
        <v>yes</v>
      </c>
      <c r="I531" s="71">
        <v>1</v>
      </c>
      <c r="J531" s="71">
        <v>1</v>
      </c>
      <c r="K531" s="71" t="b">
        <v>0</v>
      </c>
      <c r="CL531" t="s">
        <v>242</v>
      </c>
      <c r="CM531">
        <v>1</v>
      </c>
      <c r="CN531">
        <v>150</v>
      </c>
      <c r="CO531">
        <v>100</v>
      </c>
      <c r="CP531" s="74">
        <f ca="1">INDIRECT(ADDRESS(11+(MATCH(RIGHT(Table11[[#This Row],[spawner_sku]],LEN(Table11[[#This Row],[spawner_sku]])-FIND("/",Table11[[#This Row],[spawner_sku]])),Table1[Entity Prefab],0)),10,1,1,"Entities"))</f>
        <v>25</v>
      </c>
      <c r="CQ531">
        <f ca="1">ROUND((Table11[[#This Row],[XP]]*Table11[[#This Row],[entity_spawned (AVG)]])*(Table11[[#This Row],[activating_chance]]/100),0)</f>
        <v>25</v>
      </c>
      <c r="CR531" s="144" t="str">
        <f ca="1">INDIRECT(ADDRESS(11+(MATCH(RIGHT(Table11[[#This Row],[spawner_sku]],LEN(Table11[[#This Row],[spawner_sku]])-FIND("/",Table11[[#This Row],[spawner_sku]])),Table28[Entity Prefab],0)),25,1,1,"Entities"))</f>
        <v>no</v>
      </c>
      <c r="CS531" s="71">
        <v>1</v>
      </c>
      <c r="CT531" s="71">
        <v>1</v>
      </c>
      <c r="CU531" s="71" t="b">
        <v>0</v>
      </c>
      <c r="DS531" t="s">
        <v>5003</v>
      </c>
      <c r="DT531">
        <v>1</v>
      </c>
      <c r="DU531">
        <v>5000</v>
      </c>
      <c r="DV531">
        <v>80</v>
      </c>
      <c r="DW531" s="74">
        <f ca="1">INDIRECT(ADDRESS(11+(MATCH(RIGHT(Table14[[#This Row],[spawner_sku]],LEN(Table14[[#This Row],[spawner_sku]])-FIND("/",Table14[[#This Row],[spawner_sku]])),Table1[Entity Prefab],0)),10,1,1,"Entities"))</f>
        <v>25</v>
      </c>
      <c r="DX531" s="74">
        <f ca="1">ROUND((Table14[[#This Row],[XP]]*Table14[[#This Row],[entity_spawned (AVG)]])*(Table14[[#This Row],[activating_chance]]/100),0)</f>
        <v>20</v>
      </c>
      <c r="DY531" s="144" t="str">
        <f ca="1">INDIRECT(ADDRESS(11+(MATCH(RIGHT(Table14[[#This Row],[spawner_sku]],LEN(Table14[[#This Row],[spawner_sku]])-FIND("/",Table14[[#This Row],[spawner_sku]])),Table28[Entity Prefab],0)),25,1,1,"Entities"))</f>
        <v>no</v>
      </c>
      <c r="DZ531" s="71">
        <v>1</v>
      </c>
      <c r="EA531" s="71">
        <v>1</v>
      </c>
      <c r="EB531" s="71" t="b">
        <v>0</v>
      </c>
      <c r="EC531" s="71"/>
    </row>
    <row r="532" spans="2:133" x14ac:dyDescent="0.25">
      <c r="B532" s="72" t="s">
        <v>241</v>
      </c>
      <c r="C532">
        <v>1</v>
      </c>
      <c r="D532">
        <v>190</v>
      </c>
      <c r="E532">
        <v>100</v>
      </c>
      <c r="F532" s="74">
        <f ca="1">INDIRECT(ADDRESS(11+(MATCH(RIGHT(Table245[[#This Row],[spawner_sku]],LEN(Table245[[#This Row],[spawner_sku]])-FIND("/",Table245[[#This Row],[spawner_sku]])),Table1[Entity Prefab],0)),10,1,1,"Entities"))</f>
        <v>70</v>
      </c>
      <c r="G532" s="74">
        <f ca="1">ROUND((Table245[[#This Row],[XP]]*Table245[[#This Row],[entity_spawned (AVG)]])*(Table245[[#This Row],[activating_chance]]/100),0)</f>
        <v>70</v>
      </c>
      <c r="H532" s="71" t="str">
        <f ca="1">INDIRECT(ADDRESS(11+(MATCH(RIGHT(Table245[[#This Row],[spawner_sku]],LEN(Table245[[#This Row],[spawner_sku]])-FIND("/",Table245[[#This Row],[spawner_sku]])),Table28[Entity Prefab],0)),24,1,1,"Entities"))</f>
        <v>yes</v>
      </c>
      <c r="I532" s="71">
        <v>1</v>
      </c>
      <c r="J532" s="71">
        <v>1</v>
      </c>
      <c r="K532" s="71" t="b">
        <v>0</v>
      </c>
      <c r="CL532" t="s">
        <v>242</v>
      </c>
      <c r="CM532">
        <v>1</v>
      </c>
      <c r="CN532">
        <v>150</v>
      </c>
      <c r="CO532">
        <v>100</v>
      </c>
      <c r="CP532" s="74">
        <f ca="1">INDIRECT(ADDRESS(11+(MATCH(RIGHT(Table11[[#This Row],[spawner_sku]],LEN(Table11[[#This Row],[spawner_sku]])-FIND("/",Table11[[#This Row],[spawner_sku]])),Table1[Entity Prefab],0)),10,1,1,"Entities"))</f>
        <v>25</v>
      </c>
      <c r="CQ532">
        <f ca="1">ROUND((Table11[[#This Row],[XP]]*Table11[[#This Row],[entity_spawned (AVG)]])*(Table11[[#This Row],[activating_chance]]/100),0)</f>
        <v>25</v>
      </c>
      <c r="CR532" s="144" t="str">
        <f ca="1">INDIRECT(ADDRESS(11+(MATCH(RIGHT(Table11[[#This Row],[spawner_sku]],LEN(Table11[[#This Row],[spawner_sku]])-FIND("/",Table11[[#This Row],[spawner_sku]])),Table28[Entity Prefab],0)),25,1,1,"Entities"))</f>
        <v>no</v>
      </c>
      <c r="CS532" s="71">
        <v>1</v>
      </c>
      <c r="CT532" s="71">
        <v>1</v>
      </c>
      <c r="CU532" s="71" t="b">
        <v>0</v>
      </c>
      <c r="DS532" t="s">
        <v>5003</v>
      </c>
      <c r="DT532">
        <v>1</v>
      </c>
      <c r="DU532">
        <v>5000</v>
      </c>
      <c r="DV532">
        <v>100</v>
      </c>
      <c r="DW532" s="74">
        <f ca="1">INDIRECT(ADDRESS(11+(MATCH(RIGHT(Table14[[#This Row],[spawner_sku]],LEN(Table14[[#This Row],[spawner_sku]])-FIND("/",Table14[[#This Row],[spawner_sku]])),Table1[Entity Prefab],0)),10,1,1,"Entities"))</f>
        <v>25</v>
      </c>
      <c r="DX532" s="74">
        <f ca="1">ROUND((Table14[[#This Row],[XP]]*Table14[[#This Row],[entity_spawned (AVG)]])*(Table14[[#This Row],[activating_chance]]/100),0)</f>
        <v>25</v>
      </c>
      <c r="DY532" s="144" t="str">
        <f ca="1">INDIRECT(ADDRESS(11+(MATCH(RIGHT(Table14[[#This Row],[spawner_sku]],LEN(Table14[[#This Row],[spawner_sku]])-FIND("/",Table14[[#This Row],[spawner_sku]])),Table28[Entity Prefab],0)),25,1,1,"Entities"))</f>
        <v>no</v>
      </c>
      <c r="DZ532" s="71">
        <v>1</v>
      </c>
      <c r="EA532" s="71">
        <v>1</v>
      </c>
      <c r="EB532" s="71" t="b">
        <v>0</v>
      </c>
      <c r="EC532" s="71"/>
    </row>
    <row r="533" spans="2:133" x14ac:dyDescent="0.25">
      <c r="B533" s="72" t="s">
        <v>242</v>
      </c>
      <c r="C533">
        <v>1</v>
      </c>
      <c r="D533">
        <v>130</v>
      </c>
      <c r="E533">
        <v>100</v>
      </c>
      <c r="F533" s="74">
        <f ca="1">INDIRECT(ADDRESS(11+(MATCH(RIGHT(Table245[[#This Row],[spawner_sku]],LEN(Table245[[#This Row],[spawner_sku]])-FIND("/",Table245[[#This Row],[spawner_sku]])),Table1[Entity Prefab],0)),10,1,1,"Entities"))</f>
        <v>25</v>
      </c>
      <c r="G533" s="74">
        <f ca="1">ROUND((Table245[[#This Row],[XP]]*Table245[[#This Row],[entity_spawned (AVG)]])*(Table245[[#This Row],[activating_chance]]/100),0)</f>
        <v>25</v>
      </c>
      <c r="H533" s="71" t="str">
        <f ca="1">INDIRECT(ADDRESS(11+(MATCH(RIGHT(Table245[[#This Row],[spawner_sku]],LEN(Table245[[#This Row],[spawner_sku]])-FIND("/",Table245[[#This Row],[spawner_sku]])),Table28[Entity Prefab],0)),24,1,1,"Entities"))</f>
        <v>no</v>
      </c>
      <c r="I533" s="71">
        <v>1</v>
      </c>
      <c r="J533" s="71">
        <v>1</v>
      </c>
      <c r="K533" s="71" t="b">
        <v>0</v>
      </c>
      <c r="CL533" t="s">
        <v>242</v>
      </c>
      <c r="CM533">
        <v>1</v>
      </c>
      <c r="CN533">
        <v>150</v>
      </c>
      <c r="CO533">
        <v>100</v>
      </c>
      <c r="CP533" s="74">
        <f ca="1">INDIRECT(ADDRESS(11+(MATCH(RIGHT(Table11[[#This Row],[spawner_sku]],LEN(Table11[[#This Row],[spawner_sku]])-FIND("/",Table11[[#This Row],[spawner_sku]])),Table1[Entity Prefab],0)),10,1,1,"Entities"))</f>
        <v>25</v>
      </c>
      <c r="CQ533">
        <f ca="1">ROUND((Table11[[#This Row],[XP]]*Table11[[#This Row],[entity_spawned (AVG)]])*(Table11[[#This Row],[activating_chance]]/100),0)</f>
        <v>25</v>
      </c>
      <c r="CR533" s="144" t="str">
        <f ca="1">INDIRECT(ADDRESS(11+(MATCH(RIGHT(Table11[[#This Row],[spawner_sku]],LEN(Table11[[#This Row],[spawner_sku]])-FIND("/",Table11[[#This Row],[spawner_sku]])),Table28[Entity Prefab],0)),25,1,1,"Entities"))</f>
        <v>no</v>
      </c>
      <c r="CS533" s="71">
        <v>1</v>
      </c>
      <c r="CT533" s="71">
        <v>1</v>
      </c>
      <c r="CU533" s="71" t="b">
        <v>0</v>
      </c>
      <c r="DS533" t="s">
        <v>464</v>
      </c>
      <c r="DT533">
        <v>1</v>
      </c>
      <c r="DU533">
        <v>140</v>
      </c>
      <c r="DV533">
        <v>10</v>
      </c>
      <c r="DW533" s="74">
        <f ca="1">INDIRECT(ADDRESS(11+(MATCH(RIGHT(Table14[[#This Row],[spawner_sku]],LEN(Table14[[#This Row],[spawner_sku]])-FIND("/",Table14[[#This Row],[spawner_sku]])),Table1[Entity Prefab],0)),10,1,1,"Entities"))</f>
        <v>28</v>
      </c>
      <c r="DX533" s="74">
        <f ca="1">ROUND((Table14[[#This Row],[XP]]*Table14[[#This Row],[entity_spawned (AVG)]])*(Table14[[#This Row],[activating_chance]]/100),0)</f>
        <v>3</v>
      </c>
      <c r="DY533" s="144" t="str">
        <f ca="1">INDIRECT(ADDRESS(11+(MATCH(RIGHT(Table14[[#This Row],[spawner_sku]],LEN(Table14[[#This Row],[spawner_sku]])-FIND("/",Table14[[#This Row],[spawner_sku]])),Table28[Entity Prefab],0)),25,1,1,"Entities"))</f>
        <v>no</v>
      </c>
      <c r="DZ533" s="71">
        <v>1</v>
      </c>
      <c r="EA533" s="71">
        <v>1</v>
      </c>
      <c r="EB533" s="71" t="b">
        <v>0</v>
      </c>
      <c r="EC533" s="71"/>
    </row>
    <row r="534" spans="2:133" x14ac:dyDescent="0.25">
      <c r="B534" s="72" t="s">
        <v>242</v>
      </c>
      <c r="C534">
        <v>1</v>
      </c>
      <c r="D534">
        <v>190</v>
      </c>
      <c r="E534">
        <v>80</v>
      </c>
      <c r="F534" s="74">
        <f ca="1">INDIRECT(ADDRESS(11+(MATCH(RIGHT(Table245[[#This Row],[spawner_sku]],LEN(Table245[[#This Row],[spawner_sku]])-FIND("/",Table245[[#This Row],[spawner_sku]])),Table1[Entity Prefab],0)),10,1,1,"Entities"))</f>
        <v>25</v>
      </c>
      <c r="G534" s="74">
        <f ca="1">ROUND((Table245[[#This Row],[XP]]*Table245[[#This Row],[entity_spawned (AVG)]])*(Table245[[#This Row],[activating_chance]]/100),0)</f>
        <v>20</v>
      </c>
      <c r="H534" s="71" t="str">
        <f ca="1">INDIRECT(ADDRESS(11+(MATCH(RIGHT(Table245[[#This Row],[spawner_sku]],LEN(Table245[[#This Row],[spawner_sku]])-FIND("/",Table245[[#This Row],[spawner_sku]])),Table28[Entity Prefab],0)),24,1,1,"Entities"))</f>
        <v>no</v>
      </c>
      <c r="I534" s="71">
        <v>1</v>
      </c>
      <c r="J534" s="71">
        <v>1</v>
      </c>
      <c r="K534" s="71" t="b">
        <v>0</v>
      </c>
      <c r="CL534" t="s">
        <v>242</v>
      </c>
      <c r="CM534">
        <v>1</v>
      </c>
      <c r="CN534">
        <v>150</v>
      </c>
      <c r="CO534">
        <v>80</v>
      </c>
      <c r="CP534" s="74">
        <f ca="1">INDIRECT(ADDRESS(11+(MATCH(RIGHT(Table11[[#This Row],[spawner_sku]],LEN(Table11[[#This Row],[spawner_sku]])-FIND("/",Table11[[#This Row],[spawner_sku]])),Table1[Entity Prefab],0)),10,1,1,"Entities"))</f>
        <v>25</v>
      </c>
      <c r="CQ534">
        <f ca="1">ROUND((Table11[[#This Row],[XP]]*Table11[[#This Row],[entity_spawned (AVG)]])*(Table11[[#This Row],[activating_chance]]/100),0)</f>
        <v>20</v>
      </c>
      <c r="CR534" s="144" t="str">
        <f ca="1">INDIRECT(ADDRESS(11+(MATCH(RIGHT(Table11[[#This Row],[spawner_sku]],LEN(Table11[[#This Row],[spawner_sku]])-FIND("/",Table11[[#This Row],[spawner_sku]])),Table28[Entity Prefab],0)),25,1,1,"Entities"))</f>
        <v>no</v>
      </c>
      <c r="CS534" s="71">
        <v>1</v>
      </c>
      <c r="CT534" s="71">
        <v>1</v>
      </c>
      <c r="CU534" s="71" t="b">
        <v>0</v>
      </c>
      <c r="DS534" t="s">
        <v>464</v>
      </c>
      <c r="DT534">
        <v>1</v>
      </c>
      <c r="DU534">
        <v>140</v>
      </c>
      <c r="DV534">
        <v>100</v>
      </c>
      <c r="DW534" s="74">
        <f ca="1">INDIRECT(ADDRESS(11+(MATCH(RIGHT(Table14[[#This Row],[spawner_sku]],LEN(Table14[[#This Row],[spawner_sku]])-FIND("/",Table14[[#This Row],[spawner_sku]])),Table1[Entity Prefab],0)),10,1,1,"Entities"))</f>
        <v>28</v>
      </c>
      <c r="DX534" s="74">
        <f ca="1">ROUND((Table14[[#This Row],[XP]]*Table14[[#This Row],[entity_spawned (AVG)]])*(Table14[[#This Row],[activating_chance]]/100),0)</f>
        <v>28</v>
      </c>
      <c r="DY534" s="144" t="str">
        <f ca="1">INDIRECT(ADDRESS(11+(MATCH(RIGHT(Table14[[#This Row],[spawner_sku]],LEN(Table14[[#This Row],[spawner_sku]])-FIND("/",Table14[[#This Row],[spawner_sku]])),Table28[Entity Prefab],0)),25,1,1,"Entities"))</f>
        <v>no</v>
      </c>
      <c r="DZ534" s="71">
        <v>1</v>
      </c>
      <c r="EA534" s="71">
        <v>1</v>
      </c>
      <c r="EB534" s="71" t="b">
        <v>0</v>
      </c>
      <c r="EC534" s="71"/>
    </row>
    <row r="535" spans="2:133" x14ac:dyDescent="0.25">
      <c r="B535" s="72" t="s">
        <v>242</v>
      </c>
      <c r="C535">
        <v>1</v>
      </c>
      <c r="D535">
        <v>170</v>
      </c>
      <c r="E535">
        <v>100</v>
      </c>
      <c r="F535" s="74">
        <f ca="1">INDIRECT(ADDRESS(11+(MATCH(RIGHT(Table245[[#This Row],[spawner_sku]],LEN(Table245[[#This Row],[spawner_sku]])-FIND("/",Table245[[#This Row],[spawner_sku]])),Table1[Entity Prefab],0)),10,1,1,"Entities"))</f>
        <v>25</v>
      </c>
      <c r="G535" s="74">
        <f ca="1">ROUND((Table245[[#This Row],[XP]]*Table245[[#This Row],[entity_spawned (AVG)]])*(Table245[[#This Row],[activating_chance]]/100),0)</f>
        <v>25</v>
      </c>
      <c r="H535" s="71" t="str">
        <f ca="1">INDIRECT(ADDRESS(11+(MATCH(RIGHT(Table245[[#This Row],[spawner_sku]],LEN(Table245[[#This Row],[spawner_sku]])-FIND("/",Table245[[#This Row],[spawner_sku]])),Table28[Entity Prefab],0)),24,1,1,"Entities"))</f>
        <v>no</v>
      </c>
      <c r="I535" s="71">
        <v>1</v>
      </c>
      <c r="J535" s="71">
        <v>1</v>
      </c>
      <c r="K535" s="71" t="b">
        <v>0</v>
      </c>
      <c r="CL535" t="s">
        <v>242</v>
      </c>
      <c r="CM535">
        <v>1</v>
      </c>
      <c r="CN535">
        <v>150</v>
      </c>
      <c r="CO535">
        <v>100</v>
      </c>
      <c r="CP535" s="74">
        <f ca="1">INDIRECT(ADDRESS(11+(MATCH(RIGHT(Table11[[#This Row],[spawner_sku]],LEN(Table11[[#This Row],[spawner_sku]])-FIND("/",Table11[[#This Row],[spawner_sku]])),Table1[Entity Prefab],0)),10,1,1,"Entities"))</f>
        <v>25</v>
      </c>
      <c r="CQ535">
        <f ca="1">ROUND((Table11[[#This Row],[XP]]*Table11[[#This Row],[entity_spawned (AVG)]])*(Table11[[#This Row],[activating_chance]]/100),0)</f>
        <v>25</v>
      </c>
      <c r="CR535" s="144" t="str">
        <f ca="1">INDIRECT(ADDRESS(11+(MATCH(RIGHT(Table11[[#This Row],[spawner_sku]],LEN(Table11[[#This Row],[spawner_sku]])-FIND("/",Table11[[#This Row],[spawner_sku]])),Table28[Entity Prefab],0)),25,1,1,"Entities"))</f>
        <v>no</v>
      </c>
      <c r="CS535" s="71">
        <v>1</v>
      </c>
      <c r="CT535" s="71">
        <v>1</v>
      </c>
      <c r="CU535" s="71" t="b">
        <v>0</v>
      </c>
      <c r="DS535" t="s">
        <v>464</v>
      </c>
      <c r="DT535">
        <v>1</v>
      </c>
      <c r="DU535">
        <v>140</v>
      </c>
      <c r="DV535">
        <v>100</v>
      </c>
      <c r="DW535" s="74">
        <f ca="1">INDIRECT(ADDRESS(11+(MATCH(RIGHT(Table14[[#This Row],[spawner_sku]],LEN(Table14[[#This Row],[spawner_sku]])-FIND("/",Table14[[#This Row],[spawner_sku]])),Table1[Entity Prefab],0)),10,1,1,"Entities"))</f>
        <v>28</v>
      </c>
      <c r="DX535" s="74">
        <f ca="1">ROUND((Table14[[#This Row],[XP]]*Table14[[#This Row],[entity_spawned (AVG)]])*(Table14[[#This Row],[activating_chance]]/100),0)</f>
        <v>28</v>
      </c>
      <c r="DY535" s="144" t="str">
        <f ca="1">INDIRECT(ADDRESS(11+(MATCH(RIGHT(Table14[[#This Row],[spawner_sku]],LEN(Table14[[#This Row],[spawner_sku]])-FIND("/",Table14[[#This Row],[spawner_sku]])),Table28[Entity Prefab],0)),25,1,1,"Entities"))</f>
        <v>no</v>
      </c>
      <c r="DZ535" s="71">
        <v>1</v>
      </c>
      <c r="EA535" s="71">
        <v>1</v>
      </c>
      <c r="EB535" s="71" t="b">
        <v>0</v>
      </c>
      <c r="EC535" s="71"/>
    </row>
    <row r="536" spans="2:133" x14ac:dyDescent="0.25">
      <c r="B536" s="72" t="s">
        <v>242</v>
      </c>
      <c r="C536">
        <v>2</v>
      </c>
      <c r="D536">
        <v>200</v>
      </c>
      <c r="E536">
        <v>100</v>
      </c>
      <c r="F536" s="74">
        <f ca="1">INDIRECT(ADDRESS(11+(MATCH(RIGHT(Table245[[#This Row],[spawner_sku]],LEN(Table245[[#This Row],[spawner_sku]])-FIND("/",Table245[[#This Row],[spawner_sku]])),Table1[Entity Prefab],0)),10,1,1,"Entities"))</f>
        <v>25</v>
      </c>
      <c r="G536" s="74">
        <f ca="1">ROUND((Table245[[#This Row],[XP]]*Table245[[#This Row],[entity_spawned (AVG)]])*(Table245[[#This Row],[activating_chance]]/100),0)</f>
        <v>50</v>
      </c>
      <c r="H536" s="71" t="str">
        <f ca="1">INDIRECT(ADDRESS(11+(MATCH(RIGHT(Table245[[#This Row],[spawner_sku]],LEN(Table245[[#This Row],[spawner_sku]])-FIND("/",Table245[[#This Row],[spawner_sku]])),Table28[Entity Prefab],0)),24,1,1,"Entities"))</f>
        <v>no</v>
      </c>
      <c r="I536" s="71">
        <v>2</v>
      </c>
      <c r="J536" s="71">
        <v>2</v>
      </c>
      <c r="K536" s="71" t="b">
        <v>0</v>
      </c>
      <c r="CL536" t="s">
        <v>242</v>
      </c>
      <c r="CM536">
        <v>1</v>
      </c>
      <c r="CN536">
        <v>120</v>
      </c>
      <c r="CO536">
        <v>100</v>
      </c>
      <c r="CP536" s="74">
        <f ca="1">INDIRECT(ADDRESS(11+(MATCH(RIGHT(Table11[[#This Row],[spawner_sku]],LEN(Table11[[#This Row],[spawner_sku]])-FIND("/",Table11[[#This Row],[spawner_sku]])),Table1[Entity Prefab],0)),10,1,1,"Entities"))</f>
        <v>25</v>
      </c>
      <c r="CQ536">
        <f ca="1">ROUND((Table11[[#This Row],[XP]]*Table11[[#This Row],[entity_spawned (AVG)]])*(Table11[[#This Row],[activating_chance]]/100),0)</f>
        <v>25</v>
      </c>
      <c r="CR536" s="144" t="str">
        <f ca="1">INDIRECT(ADDRESS(11+(MATCH(RIGHT(Table11[[#This Row],[spawner_sku]],LEN(Table11[[#This Row],[spawner_sku]])-FIND("/",Table11[[#This Row],[spawner_sku]])),Table28[Entity Prefab],0)),25,1,1,"Entities"))</f>
        <v>no</v>
      </c>
      <c r="CS536" s="71">
        <v>1</v>
      </c>
      <c r="CT536" s="71">
        <v>1</v>
      </c>
      <c r="CU536" s="71" t="b">
        <v>0</v>
      </c>
      <c r="DS536" t="s">
        <v>464</v>
      </c>
      <c r="DT536">
        <v>1</v>
      </c>
      <c r="DU536">
        <v>110</v>
      </c>
      <c r="DV536">
        <v>80</v>
      </c>
      <c r="DW536" s="74">
        <f ca="1">INDIRECT(ADDRESS(11+(MATCH(RIGHT(Table14[[#This Row],[spawner_sku]],LEN(Table14[[#This Row],[spawner_sku]])-FIND("/",Table14[[#This Row],[spawner_sku]])),Table1[Entity Prefab],0)),10,1,1,"Entities"))</f>
        <v>28</v>
      </c>
      <c r="DX536" s="74">
        <f ca="1">ROUND((Table14[[#This Row],[XP]]*Table14[[#This Row],[entity_spawned (AVG)]])*(Table14[[#This Row],[activating_chance]]/100),0)</f>
        <v>22</v>
      </c>
      <c r="DY536" s="144" t="str">
        <f ca="1">INDIRECT(ADDRESS(11+(MATCH(RIGHT(Table14[[#This Row],[spawner_sku]],LEN(Table14[[#This Row],[spawner_sku]])-FIND("/",Table14[[#This Row],[spawner_sku]])),Table28[Entity Prefab],0)),25,1,1,"Entities"))</f>
        <v>no</v>
      </c>
      <c r="DZ536" s="71">
        <v>1</v>
      </c>
      <c r="EA536" s="71">
        <v>1</v>
      </c>
      <c r="EB536" s="71" t="b">
        <v>0</v>
      </c>
      <c r="EC536" s="71"/>
    </row>
    <row r="537" spans="2:133" x14ac:dyDescent="0.25">
      <c r="B537" s="72" t="s">
        <v>242</v>
      </c>
      <c r="C537">
        <v>1</v>
      </c>
      <c r="D537">
        <v>130</v>
      </c>
      <c r="E537">
        <v>100</v>
      </c>
      <c r="F537" s="74">
        <f ca="1">INDIRECT(ADDRESS(11+(MATCH(RIGHT(Table245[[#This Row],[spawner_sku]],LEN(Table245[[#This Row],[spawner_sku]])-FIND("/",Table245[[#This Row],[spawner_sku]])),Table1[Entity Prefab],0)),10,1,1,"Entities"))</f>
        <v>25</v>
      </c>
      <c r="G537" s="74">
        <f ca="1">ROUND((Table245[[#This Row],[XP]]*Table245[[#This Row],[entity_spawned (AVG)]])*(Table245[[#This Row],[activating_chance]]/100),0)</f>
        <v>25</v>
      </c>
      <c r="H537" s="71" t="str">
        <f ca="1">INDIRECT(ADDRESS(11+(MATCH(RIGHT(Table245[[#This Row],[spawner_sku]],LEN(Table245[[#This Row],[spawner_sku]])-FIND("/",Table245[[#This Row],[spawner_sku]])),Table28[Entity Prefab],0)),24,1,1,"Entities"))</f>
        <v>no</v>
      </c>
      <c r="I537" s="71">
        <v>1</v>
      </c>
      <c r="J537" s="71">
        <v>1</v>
      </c>
      <c r="K537" s="71" t="b">
        <v>0</v>
      </c>
      <c r="CL537" t="s">
        <v>242</v>
      </c>
      <c r="CM537">
        <v>1</v>
      </c>
      <c r="CN537">
        <v>80</v>
      </c>
      <c r="CO537">
        <v>100</v>
      </c>
      <c r="CP537" s="74">
        <f ca="1">INDIRECT(ADDRESS(11+(MATCH(RIGHT(Table11[[#This Row],[spawner_sku]],LEN(Table11[[#This Row],[spawner_sku]])-FIND("/",Table11[[#This Row],[spawner_sku]])),Table1[Entity Prefab],0)),10,1,1,"Entities"))</f>
        <v>25</v>
      </c>
      <c r="CQ537">
        <f ca="1">ROUND((Table11[[#This Row],[XP]]*Table11[[#This Row],[entity_spawned (AVG)]])*(Table11[[#This Row],[activating_chance]]/100),0)</f>
        <v>25</v>
      </c>
      <c r="CR537" s="144" t="str">
        <f ca="1">INDIRECT(ADDRESS(11+(MATCH(RIGHT(Table11[[#This Row],[spawner_sku]],LEN(Table11[[#This Row],[spawner_sku]])-FIND("/",Table11[[#This Row],[spawner_sku]])),Table28[Entity Prefab],0)),25,1,1,"Entities"))</f>
        <v>no</v>
      </c>
      <c r="CS537" s="71">
        <v>1</v>
      </c>
      <c r="CT537" s="71">
        <v>1</v>
      </c>
      <c r="CU537" s="71" t="b">
        <v>0</v>
      </c>
      <c r="DS537" t="s">
        <v>464</v>
      </c>
      <c r="DT537">
        <v>1</v>
      </c>
      <c r="DU537">
        <v>90</v>
      </c>
      <c r="DV537">
        <v>100</v>
      </c>
      <c r="DW537" s="74">
        <f ca="1">INDIRECT(ADDRESS(11+(MATCH(RIGHT(Table14[[#This Row],[spawner_sku]],LEN(Table14[[#This Row],[spawner_sku]])-FIND("/",Table14[[#This Row],[spawner_sku]])),Table1[Entity Prefab],0)),10,1,1,"Entities"))</f>
        <v>28</v>
      </c>
      <c r="DX537" s="74">
        <f ca="1">ROUND((Table14[[#This Row],[XP]]*Table14[[#This Row],[entity_spawned (AVG)]])*(Table14[[#This Row],[activating_chance]]/100),0)</f>
        <v>28</v>
      </c>
      <c r="DY537" s="144" t="str">
        <f ca="1">INDIRECT(ADDRESS(11+(MATCH(RIGHT(Table14[[#This Row],[spawner_sku]],LEN(Table14[[#This Row],[spawner_sku]])-FIND("/",Table14[[#This Row],[spawner_sku]])),Table28[Entity Prefab],0)),25,1,1,"Entities"))</f>
        <v>no</v>
      </c>
      <c r="DZ537" s="71">
        <v>1</v>
      </c>
      <c r="EA537" s="71">
        <v>1</v>
      </c>
      <c r="EB537" s="71" t="b">
        <v>0</v>
      </c>
      <c r="EC537" s="71"/>
    </row>
    <row r="538" spans="2:133" x14ac:dyDescent="0.25">
      <c r="B538" s="72" t="s">
        <v>242</v>
      </c>
      <c r="C538">
        <v>1</v>
      </c>
      <c r="D538">
        <v>170</v>
      </c>
      <c r="E538">
        <v>60</v>
      </c>
      <c r="F538" s="74">
        <f ca="1">INDIRECT(ADDRESS(11+(MATCH(RIGHT(Table245[[#This Row],[spawner_sku]],LEN(Table245[[#This Row],[spawner_sku]])-FIND("/",Table245[[#This Row],[spawner_sku]])),Table1[Entity Prefab],0)),10,1,1,"Entities"))</f>
        <v>25</v>
      </c>
      <c r="G538" s="74">
        <f ca="1">ROUND((Table245[[#This Row],[XP]]*Table245[[#This Row],[entity_spawned (AVG)]])*(Table245[[#This Row],[activating_chance]]/100),0)</f>
        <v>15</v>
      </c>
      <c r="H538" s="71" t="str">
        <f ca="1">INDIRECT(ADDRESS(11+(MATCH(RIGHT(Table245[[#This Row],[spawner_sku]],LEN(Table245[[#This Row],[spawner_sku]])-FIND("/",Table245[[#This Row],[spawner_sku]])),Table28[Entity Prefab],0)),24,1,1,"Entities"))</f>
        <v>no</v>
      </c>
      <c r="I538" s="71">
        <v>1</v>
      </c>
      <c r="J538" s="71">
        <v>1</v>
      </c>
      <c r="K538" s="71" t="b">
        <v>0</v>
      </c>
      <c r="CL538" t="s">
        <v>242</v>
      </c>
      <c r="CM538">
        <v>1</v>
      </c>
      <c r="CN538">
        <v>80</v>
      </c>
      <c r="CO538">
        <v>100</v>
      </c>
      <c r="CP538" s="74">
        <f ca="1">INDIRECT(ADDRESS(11+(MATCH(RIGHT(Table11[[#This Row],[spawner_sku]],LEN(Table11[[#This Row],[spawner_sku]])-FIND("/",Table11[[#This Row],[spawner_sku]])),Table1[Entity Prefab],0)),10,1,1,"Entities"))</f>
        <v>25</v>
      </c>
      <c r="CQ538">
        <f ca="1">ROUND((Table11[[#This Row],[XP]]*Table11[[#This Row],[entity_spawned (AVG)]])*(Table11[[#This Row],[activating_chance]]/100),0)</f>
        <v>25</v>
      </c>
      <c r="CR538" s="144" t="str">
        <f ca="1">INDIRECT(ADDRESS(11+(MATCH(RIGHT(Table11[[#This Row],[spawner_sku]],LEN(Table11[[#This Row],[spawner_sku]])-FIND("/",Table11[[#This Row],[spawner_sku]])),Table28[Entity Prefab],0)),25,1,1,"Entities"))</f>
        <v>no</v>
      </c>
      <c r="CS538" s="71">
        <v>1</v>
      </c>
      <c r="CT538" s="71">
        <v>1</v>
      </c>
      <c r="CU538" s="71" t="b">
        <v>0</v>
      </c>
      <c r="DS538" t="s">
        <v>464</v>
      </c>
      <c r="DT538">
        <v>1</v>
      </c>
      <c r="DU538">
        <v>140</v>
      </c>
      <c r="DV538">
        <v>30</v>
      </c>
      <c r="DW538" s="74">
        <f ca="1">INDIRECT(ADDRESS(11+(MATCH(RIGHT(Table14[[#This Row],[spawner_sku]],LEN(Table14[[#This Row],[spawner_sku]])-FIND("/",Table14[[#This Row],[spawner_sku]])),Table1[Entity Prefab],0)),10,1,1,"Entities"))</f>
        <v>28</v>
      </c>
      <c r="DX538" s="74">
        <f ca="1">ROUND((Table14[[#This Row],[XP]]*Table14[[#This Row],[entity_spawned (AVG)]])*(Table14[[#This Row],[activating_chance]]/100),0)</f>
        <v>8</v>
      </c>
      <c r="DY538" s="144" t="str">
        <f ca="1">INDIRECT(ADDRESS(11+(MATCH(RIGHT(Table14[[#This Row],[spawner_sku]],LEN(Table14[[#This Row],[spawner_sku]])-FIND("/",Table14[[#This Row],[spawner_sku]])),Table28[Entity Prefab],0)),25,1,1,"Entities"))</f>
        <v>no</v>
      </c>
      <c r="DZ538" s="71">
        <v>1</v>
      </c>
      <c r="EA538" s="71">
        <v>1</v>
      </c>
      <c r="EB538" s="71" t="b">
        <v>0</v>
      </c>
      <c r="EC538" s="71"/>
    </row>
    <row r="539" spans="2:133" x14ac:dyDescent="0.25">
      <c r="B539" s="72" t="s">
        <v>242</v>
      </c>
      <c r="C539">
        <v>1</v>
      </c>
      <c r="D539">
        <v>140</v>
      </c>
      <c r="E539">
        <v>100</v>
      </c>
      <c r="F539" s="74">
        <f ca="1">INDIRECT(ADDRESS(11+(MATCH(RIGHT(Table245[[#This Row],[spawner_sku]],LEN(Table245[[#This Row],[spawner_sku]])-FIND("/",Table245[[#This Row],[spawner_sku]])),Table1[Entity Prefab],0)),10,1,1,"Entities"))</f>
        <v>25</v>
      </c>
      <c r="G539" s="74">
        <f ca="1">ROUND((Table245[[#This Row],[XP]]*Table245[[#This Row],[entity_spawned (AVG)]])*(Table245[[#This Row],[activating_chance]]/100),0)</f>
        <v>25</v>
      </c>
      <c r="H539" s="71" t="str">
        <f ca="1">INDIRECT(ADDRESS(11+(MATCH(RIGHT(Table245[[#This Row],[spawner_sku]],LEN(Table245[[#This Row],[spawner_sku]])-FIND("/",Table245[[#This Row],[spawner_sku]])),Table28[Entity Prefab],0)),24,1,1,"Entities"))</f>
        <v>no</v>
      </c>
      <c r="I539" s="71">
        <v>1</v>
      </c>
      <c r="J539" s="71">
        <v>1</v>
      </c>
      <c r="K539" s="71" t="b">
        <v>0</v>
      </c>
      <c r="CL539" t="s">
        <v>242</v>
      </c>
      <c r="CM539">
        <v>1</v>
      </c>
      <c r="CN539">
        <v>80</v>
      </c>
      <c r="CO539">
        <v>100</v>
      </c>
      <c r="CP539" s="74">
        <f ca="1">INDIRECT(ADDRESS(11+(MATCH(RIGHT(Table11[[#This Row],[spawner_sku]],LEN(Table11[[#This Row],[spawner_sku]])-FIND("/",Table11[[#This Row],[spawner_sku]])),Table1[Entity Prefab],0)),10,1,1,"Entities"))</f>
        <v>25</v>
      </c>
      <c r="CQ539">
        <f ca="1">ROUND((Table11[[#This Row],[XP]]*Table11[[#This Row],[entity_spawned (AVG)]])*(Table11[[#This Row],[activating_chance]]/100),0)</f>
        <v>25</v>
      </c>
      <c r="CR539" s="144" t="str">
        <f ca="1">INDIRECT(ADDRESS(11+(MATCH(RIGHT(Table11[[#This Row],[spawner_sku]],LEN(Table11[[#This Row],[spawner_sku]])-FIND("/",Table11[[#This Row],[spawner_sku]])),Table28[Entity Prefab],0)),25,1,1,"Entities"))</f>
        <v>no</v>
      </c>
      <c r="CS539" s="71">
        <v>1</v>
      </c>
      <c r="CT539" s="71">
        <v>1</v>
      </c>
      <c r="CU539" s="71" t="b">
        <v>0</v>
      </c>
      <c r="DS539" t="s">
        <v>464</v>
      </c>
      <c r="DT539">
        <v>1</v>
      </c>
      <c r="DU539">
        <v>90</v>
      </c>
      <c r="DV539">
        <v>100</v>
      </c>
      <c r="DW539" s="74">
        <f ca="1">INDIRECT(ADDRESS(11+(MATCH(RIGHT(Table14[[#This Row],[spawner_sku]],LEN(Table14[[#This Row],[spawner_sku]])-FIND("/",Table14[[#This Row],[spawner_sku]])),Table1[Entity Prefab],0)),10,1,1,"Entities"))</f>
        <v>28</v>
      </c>
      <c r="DX539" s="74">
        <f ca="1">ROUND((Table14[[#This Row],[XP]]*Table14[[#This Row],[entity_spawned (AVG)]])*(Table14[[#This Row],[activating_chance]]/100),0)</f>
        <v>28</v>
      </c>
      <c r="DY539" s="144" t="str">
        <f ca="1">INDIRECT(ADDRESS(11+(MATCH(RIGHT(Table14[[#This Row],[spawner_sku]],LEN(Table14[[#This Row],[spawner_sku]])-FIND("/",Table14[[#This Row],[spawner_sku]])),Table28[Entity Prefab],0)),25,1,1,"Entities"))</f>
        <v>no</v>
      </c>
      <c r="DZ539" s="71">
        <v>1</v>
      </c>
      <c r="EA539" s="71">
        <v>1</v>
      </c>
      <c r="EB539" s="71" t="b">
        <v>0</v>
      </c>
      <c r="EC539" s="71"/>
    </row>
    <row r="540" spans="2:133" x14ac:dyDescent="0.25">
      <c r="B540" s="72" t="s">
        <v>242</v>
      </c>
      <c r="C540">
        <v>1</v>
      </c>
      <c r="D540">
        <v>190</v>
      </c>
      <c r="E540">
        <v>100</v>
      </c>
      <c r="F540" s="74">
        <f ca="1">INDIRECT(ADDRESS(11+(MATCH(RIGHT(Table245[[#This Row],[spawner_sku]],LEN(Table245[[#This Row],[spawner_sku]])-FIND("/",Table245[[#This Row],[spawner_sku]])),Table1[Entity Prefab],0)),10,1,1,"Entities"))</f>
        <v>25</v>
      </c>
      <c r="G540" s="74">
        <f ca="1">ROUND((Table245[[#This Row],[XP]]*Table245[[#This Row],[entity_spawned (AVG)]])*(Table245[[#This Row],[activating_chance]]/100),0)</f>
        <v>25</v>
      </c>
      <c r="H540" s="71" t="str">
        <f ca="1">INDIRECT(ADDRESS(11+(MATCH(RIGHT(Table245[[#This Row],[spawner_sku]],LEN(Table245[[#This Row],[spawner_sku]])-FIND("/",Table245[[#This Row],[spawner_sku]])),Table28[Entity Prefab],0)),24,1,1,"Entities"))</f>
        <v>no</v>
      </c>
      <c r="I540" s="71">
        <v>1</v>
      </c>
      <c r="J540" s="71">
        <v>1</v>
      </c>
      <c r="K540" s="71" t="b">
        <v>0</v>
      </c>
      <c r="CL540" t="s">
        <v>242</v>
      </c>
      <c r="CM540">
        <v>1</v>
      </c>
      <c r="CN540">
        <v>150</v>
      </c>
      <c r="CO540">
        <v>100</v>
      </c>
      <c r="CP540" s="74">
        <f ca="1">INDIRECT(ADDRESS(11+(MATCH(RIGHT(Table11[[#This Row],[spawner_sku]],LEN(Table11[[#This Row],[spawner_sku]])-FIND("/",Table11[[#This Row],[spawner_sku]])),Table1[Entity Prefab],0)),10,1,1,"Entities"))</f>
        <v>25</v>
      </c>
      <c r="CQ540">
        <f ca="1">ROUND((Table11[[#This Row],[XP]]*Table11[[#This Row],[entity_spawned (AVG)]])*(Table11[[#This Row],[activating_chance]]/100),0)</f>
        <v>25</v>
      </c>
      <c r="CR540" s="144" t="str">
        <f ca="1">INDIRECT(ADDRESS(11+(MATCH(RIGHT(Table11[[#This Row],[spawner_sku]],LEN(Table11[[#This Row],[spawner_sku]])-FIND("/",Table11[[#This Row],[spawner_sku]])),Table28[Entity Prefab],0)),25,1,1,"Entities"))</f>
        <v>no</v>
      </c>
      <c r="CS540" s="71">
        <v>1</v>
      </c>
      <c r="CT540" s="71">
        <v>1</v>
      </c>
      <c r="CU540" s="71" t="b">
        <v>0</v>
      </c>
      <c r="DS540" t="s">
        <v>464</v>
      </c>
      <c r="DT540">
        <v>1</v>
      </c>
      <c r="DU540">
        <v>140</v>
      </c>
      <c r="DV540">
        <v>100</v>
      </c>
      <c r="DW540" s="74">
        <f ca="1">INDIRECT(ADDRESS(11+(MATCH(RIGHT(Table14[[#This Row],[spawner_sku]],LEN(Table14[[#This Row],[spawner_sku]])-FIND("/",Table14[[#This Row],[spawner_sku]])),Table1[Entity Prefab],0)),10,1,1,"Entities"))</f>
        <v>28</v>
      </c>
      <c r="DX540" s="74">
        <f ca="1">ROUND((Table14[[#This Row],[XP]]*Table14[[#This Row],[entity_spawned (AVG)]])*(Table14[[#This Row],[activating_chance]]/100),0)</f>
        <v>28</v>
      </c>
      <c r="DY540" s="144" t="str">
        <f ca="1">INDIRECT(ADDRESS(11+(MATCH(RIGHT(Table14[[#This Row],[spawner_sku]],LEN(Table14[[#This Row],[spawner_sku]])-FIND("/",Table14[[#This Row],[spawner_sku]])),Table28[Entity Prefab],0)),25,1,1,"Entities"))</f>
        <v>no</v>
      </c>
      <c r="DZ540" s="71">
        <v>1</v>
      </c>
      <c r="EA540" s="71">
        <v>1</v>
      </c>
      <c r="EB540" s="71" t="b">
        <v>0</v>
      </c>
      <c r="EC540" s="71"/>
    </row>
    <row r="541" spans="2:133" x14ac:dyDescent="0.25">
      <c r="B541" s="72" t="s">
        <v>242</v>
      </c>
      <c r="C541">
        <v>1</v>
      </c>
      <c r="D541">
        <v>140</v>
      </c>
      <c r="E541">
        <v>85</v>
      </c>
      <c r="F541" s="74">
        <f ca="1">INDIRECT(ADDRESS(11+(MATCH(RIGHT(Table245[[#This Row],[spawner_sku]],LEN(Table245[[#This Row],[spawner_sku]])-FIND("/",Table245[[#This Row],[spawner_sku]])),Table1[Entity Prefab],0)),10,1,1,"Entities"))</f>
        <v>25</v>
      </c>
      <c r="G541" s="74">
        <f ca="1">ROUND((Table245[[#This Row],[XP]]*Table245[[#This Row],[entity_spawned (AVG)]])*(Table245[[#This Row],[activating_chance]]/100),0)</f>
        <v>21</v>
      </c>
      <c r="H541" s="71" t="str">
        <f ca="1">INDIRECT(ADDRESS(11+(MATCH(RIGHT(Table245[[#This Row],[spawner_sku]],LEN(Table245[[#This Row],[spawner_sku]])-FIND("/",Table245[[#This Row],[spawner_sku]])),Table28[Entity Prefab],0)),24,1,1,"Entities"))</f>
        <v>no</v>
      </c>
      <c r="I541" s="71">
        <v>1</v>
      </c>
      <c r="J541" s="71">
        <v>1</v>
      </c>
      <c r="K541" s="71" t="b">
        <v>0</v>
      </c>
      <c r="CL541" t="s">
        <v>242</v>
      </c>
      <c r="CM541">
        <v>1</v>
      </c>
      <c r="CN541">
        <v>80</v>
      </c>
      <c r="CO541">
        <v>100</v>
      </c>
      <c r="CP541" s="74">
        <f ca="1">INDIRECT(ADDRESS(11+(MATCH(RIGHT(Table11[[#This Row],[spawner_sku]],LEN(Table11[[#This Row],[spawner_sku]])-FIND("/",Table11[[#This Row],[spawner_sku]])),Table1[Entity Prefab],0)),10,1,1,"Entities"))</f>
        <v>25</v>
      </c>
      <c r="CQ541">
        <f ca="1">ROUND((Table11[[#This Row],[XP]]*Table11[[#This Row],[entity_spawned (AVG)]])*(Table11[[#This Row],[activating_chance]]/100),0)</f>
        <v>25</v>
      </c>
      <c r="CR541" s="144" t="str">
        <f ca="1">INDIRECT(ADDRESS(11+(MATCH(RIGHT(Table11[[#This Row],[spawner_sku]],LEN(Table11[[#This Row],[spawner_sku]])-FIND("/",Table11[[#This Row],[spawner_sku]])),Table28[Entity Prefab],0)),25,1,1,"Entities"))</f>
        <v>no</v>
      </c>
      <c r="CS541" s="71">
        <v>1</v>
      </c>
      <c r="CT541" s="71">
        <v>1</v>
      </c>
      <c r="CU541" s="71" t="b">
        <v>0</v>
      </c>
      <c r="DS541" t="s">
        <v>464</v>
      </c>
      <c r="DT541">
        <v>1</v>
      </c>
      <c r="DU541">
        <v>110</v>
      </c>
      <c r="DV541">
        <v>80</v>
      </c>
      <c r="DW541" s="74">
        <f ca="1">INDIRECT(ADDRESS(11+(MATCH(RIGHT(Table14[[#This Row],[spawner_sku]],LEN(Table14[[#This Row],[spawner_sku]])-FIND("/",Table14[[#This Row],[spawner_sku]])),Table1[Entity Prefab],0)),10,1,1,"Entities"))</f>
        <v>28</v>
      </c>
      <c r="DX541" s="74">
        <f ca="1">ROUND((Table14[[#This Row],[XP]]*Table14[[#This Row],[entity_spawned (AVG)]])*(Table14[[#This Row],[activating_chance]]/100),0)</f>
        <v>22</v>
      </c>
      <c r="DY541" s="144" t="str">
        <f ca="1">INDIRECT(ADDRESS(11+(MATCH(RIGHT(Table14[[#This Row],[spawner_sku]],LEN(Table14[[#This Row],[spawner_sku]])-FIND("/",Table14[[#This Row],[spawner_sku]])),Table28[Entity Prefab],0)),25,1,1,"Entities"))</f>
        <v>no</v>
      </c>
      <c r="DZ541" s="71">
        <v>1</v>
      </c>
      <c r="EA541" s="71">
        <v>1</v>
      </c>
      <c r="EB541" s="71" t="b">
        <v>0</v>
      </c>
      <c r="EC541" s="71"/>
    </row>
    <row r="542" spans="2:133" x14ac:dyDescent="0.25">
      <c r="B542" s="72" t="s">
        <v>242</v>
      </c>
      <c r="C542">
        <v>1</v>
      </c>
      <c r="D542">
        <v>190</v>
      </c>
      <c r="E542">
        <v>100</v>
      </c>
      <c r="F542" s="74">
        <f ca="1">INDIRECT(ADDRESS(11+(MATCH(RIGHT(Table245[[#This Row],[spawner_sku]],LEN(Table245[[#This Row],[spawner_sku]])-FIND("/",Table245[[#This Row],[spawner_sku]])),Table1[Entity Prefab],0)),10,1,1,"Entities"))</f>
        <v>25</v>
      </c>
      <c r="G542" s="74">
        <f ca="1">ROUND((Table245[[#This Row],[XP]]*Table245[[#This Row],[entity_spawned (AVG)]])*(Table245[[#This Row],[activating_chance]]/100),0)</f>
        <v>25</v>
      </c>
      <c r="H542" s="71" t="str">
        <f ca="1">INDIRECT(ADDRESS(11+(MATCH(RIGHT(Table245[[#This Row],[spawner_sku]],LEN(Table245[[#This Row],[spawner_sku]])-FIND("/",Table245[[#This Row],[spawner_sku]])),Table28[Entity Prefab],0)),24,1,1,"Entities"))</f>
        <v>no</v>
      </c>
      <c r="I542" s="71">
        <v>1</v>
      </c>
      <c r="J542" s="71">
        <v>1</v>
      </c>
      <c r="K542" s="71" t="b">
        <v>0</v>
      </c>
      <c r="CL542" t="s">
        <v>242</v>
      </c>
      <c r="CM542">
        <v>1</v>
      </c>
      <c r="CN542">
        <v>150</v>
      </c>
      <c r="CO542">
        <v>30</v>
      </c>
      <c r="CP542" s="74">
        <f ca="1">INDIRECT(ADDRESS(11+(MATCH(RIGHT(Table11[[#This Row],[spawner_sku]],LEN(Table11[[#This Row],[spawner_sku]])-FIND("/",Table11[[#This Row],[spawner_sku]])),Table1[Entity Prefab],0)),10,1,1,"Entities"))</f>
        <v>25</v>
      </c>
      <c r="CQ542">
        <f ca="1">ROUND((Table11[[#This Row],[XP]]*Table11[[#This Row],[entity_spawned (AVG)]])*(Table11[[#This Row],[activating_chance]]/100),0)</f>
        <v>8</v>
      </c>
      <c r="CR542" s="144" t="str">
        <f ca="1">INDIRECT(ADDRESS(11+(MATCH(RIGHT(Table11[[#This Row],[spawner_sku]],LEN(Table11[[#This Row],[spawner_sku]])-FIND("/",Table11[[#This Row],[spawner_sku]])),Table28[Entity Prefab],0)),25,1,1,"Entities"))</f>
        <v>no</v>
      </c>
      <c r="CS542" s="71">
        <v>1</v>
      </c>
      <c r="CT542" s="71">
        <v>1</v>
      </c>
      <c r="CU542" s="71" t="b">
        <v>0</v>
      </c>
      <c r="DS542" t="s">
        <v>464</v>
      </c>
      <c r="DT542">
        <v>1</v>
      </c>
      <c r="DU542">
        <v>140</v>
      </c>
      <c r="DV542">
        <v>100</v>
      </c>
      <c r="DW542" s="74">
        <f ca="1">INDIRECT(ADDRESS(11+(MATCH(RIGHT(Table14[[#This Row],[spawner_sku]],LEN(Table14[[#This Row],[spawner_sku]])-FIND("/",Table14[[#This Row],[spawner_sku]])),Table1[Entity Prefab],0)),10,1,1,"Entities"))</f>
        <v>28</v>
      </c>
      <c r="DX542" s="74">
        <f ca="1">ROUND((Table14[[#This Row],[XP]]*Table14[[#This Row],[entity_spawned (AVG)]])*(Table14[[#This Row],[activating_chance]]/100),0)</f>
        <v>28</v>
      </c>
      <c r="DY542" s="144" t="str">
        <f ca="1">INDIRECT(ADDRESS(11+(MATCH(RIGHT(Table14[[#This Row],[spawner_sku]],LEN(Table14[[#This Row],[spawner_sku]])-FIND("/",Table14[[#This Row],[spawner_sku]])),Table28[Entity Prefab],0)),25,1,1,"Entities"))</f>
        <v>no</v>
      </c>
      <c r="DZ542" s="71">
        <v>1</v>
      </c>
      <c r="EA542" s="71">
        <v>1</v>
      </c>
      <c r="EB542" s="71" t="b">
        <v>0</v>
      </c>
      <c r="EC542" s="71"/>
    </row>
    <row r="543" spans="2:133" x14ac:dyDescent="0.25">
      <c r="B543" s="72" t="s">
        <v>242</v>
      </c>
      <c r="C543">
        <v>2</v>
      </c>
      <c r="D543">
        <v>140</v>
      </c>
      <c r="E543">
        <v>80</v>
      </c>
      <c r="F543" s="74">
        <f ca="1">INDIRECT(ADDRESS(11+(MATCH(RIGHT(Table245[[#This Row],[spawner_sku]],LEN(Table245[[#This Row],[spawner_sku]])-FIND("/",Table245[[#This Row],[spawner_sku]])),Table1[Entity Prefab],0)),10,1,1,"Entities"))</f>
        <v>25</v>
      </c>
      <c r="G543" s="74">
        <f ca="1">ROUND((Table245[[#This Row],[XP]]*Table245[[#This Row],[entity_spawned (AVG)]])*(Table245[[#This Row],[activating_chance]]/100),0)</f>
        <v>40</v>
      </c>
      <c r="H543" s="71" t="str">
        <f ca="1">INDIRECT(ADDRESS(11+(MATCH(RIGHT(Table245[[#This Row],[spawner_sku]],LEN(Table245[[#This Row],[spawner_sku]])-FIND("/",Table245[[#This Row],[spawner_sku]])),Table28[Entity Prefab],0)),24,1,1,"Entities"))</f>
        <v>no</v>
      </c>
      <c r="I543" s="71">
        <v>1</v>
      </c>
      <c r="J543" s="71">
        <v>3</v>
      </c>
      <c r="K543" s="71" t="b">
        <v>0</v>
      </c>
      <c r="CL543" t="s">
        <v>242</v>
      </c>
      <c r="CM543">
        <v>1</v>
      </c>
      <c r="CN543">
        <v>80</v>
      </c>
      <c r="CO543">
        <v>100</v>
      </c>
      <c r="CP543" s="74">
        <f ca="1">INDIRECT(ADDRESS(11+(MATCH(RIGHT(Table11[[#This Row],[spawner_sku]],LEN(Table11[[#This Row],[spawner_sku]])-FIND("/",Table11[[#This Row],[spawner_sku]])),Table1[Entity Prefab],0)),10,1,1,"Entities"))</f>
        <v>25</v>
      </c>
      <c r="CQ543">
        <f ca="1">ROUND((Table11[[#This Row],[XP]]*Table11[[#This Row],[entity_spawned (AVG)]])*(Table11[[#This Row],[activating_chance]]/100),0)</f>
        <v>25</v>
      </c>
      <c r="CR543" s="144" t="str">
        <f ca="1">INDIRECT(ADDRESS(11+(MATCH(RIGHT(Table11[[#This Row],[spawner_sku]],LEN(Table11[[#This Row],[spawner_sku]])-FIND("/",Table11[[#This Row],[spawner_sku]])),Table28[Entity Prefab],0)),25,1,1,"Entities"))</f>
        <v>no</v>
      </c>
      <c r="CS543" s="71">
        <v>1</v>
      </c>
      <c r="CT543" s="71">
        <v>1</v>
      </c>
      <c r="CU543" s="71" t="b">
        <v>0</v>
      </c>
      <c r="DS543" t="s">
        <v>464</v>
      </c>
      <c r="DT543">
        <v>1</v>
      </c>
      <c r="DU543">
        <v>140</v>
      </c>
      <c r="DV543">
        <v>100</v>
      </c>
      <c r="DW543" s="74">
        <f ca="1">INDIRECT(ADDRESS(11+(MATCH(RIGHT(Table14[[#This Row],[spawner_sku]],LEN(Table14[[#This Row],[spawner_sku]])-FIND("/",Table14[[#This Row],[spawner_sku]])),Table1[Entity Prefab],0)),10,1,1,"Entities"))</f>
        <v>28</v>
      </c>
      <c r="DX543" s="74">
        <f ca="1">ROUND((Table14[[#This Row],[XP]]*Table14[[#This Row],[entity_spawned (AVG)]])*(Table14[[#This Row],[activating_chance]]/100),0)</f>
        <v>28</v>
      </c>
      <c r="DY543" s="144" t="str">
        <f ca="1">INDIRECT(ADDRESS(11+(MATCH(RIGHT(Table14[[#This Row],[spawner_sku]],LEN(Table14[[#This Row],[spawner_sku]])-FIND("/",Table14[[#This Row],[spawner_sku]])),Table28[Entity Prefab],0)),25,1,1,"Entities"))</f>
        <v>no</v>
      </c>
      <c r="DZ543" s="71">
        <v>1</v>
      </c>
      <c r="EA543" s="71">
        <v>1</v>
      </c>
      <c r="EB543" s="71" t="b">
        <v>0</v>
      </c>
      <c r="EC543" s="71"/>
    </row>
    <row r="544" spans="2:133" x14ac:dyDescent="0.25">
      <c r="B544" s="72" t="s">
        <v>242</v>
      </c>
      <c r="C544">
        <v>1</v>
      </c>
      <c r="D544">
        <v>190</v>
      </c>
      <c r="E544">
        <v>90</v>
      </c>
      <c r="F544" s="74">
        <f ca="1">INDIRECT(ADDRESS(11+(MATCH(RIGHT(Table245[[#This Row],[spawner_sku]],LEN(Table245[[#This Row],[spawner_sku]])-FIND("/",Table245[[#This Row],[spawner_sku]])),Table1[Entity Prefab],0)),10,1,1,"Entities"))</f>
        <v>25</v>
      </c>
      <c r="G544" s="74">
        <f ca="1">ROUND((Table245[[#This Row],[XP]]*Table245[[#This Row],[entity_spawned (AVG)]])*(Table245[[#This Row],[activating_chance]]/100),0)</f>
        <v>23</v>
      </c>
      <c r="H544" s="71" t="str">
        <f ca="1">INDIRECT(ADDRESS(11+(MATCH(RIGHT(Table245[[#This Row],[spawner_sku]],LEN(Table245[[#This Row],[spawner_sku]])-FIND("/",Table245[[#This Row],[spawner_sku]])),Table28[Entity Prefab],0)),24,1,1,"Entities"))</f>
        <v>no</v>
      </c>
      <c r="I544" s="71">
        <v>1</v>
      </c>
      <c r="J544" s="71">
        <v>1</v>
      </c>
      <c r="K544" s="71" t="b">
        <v>0</v>
      </c>
      <c r="CL544" t="s">
        <v>242</v>
      </c>
      <c r="CM544">
        <v>1</v>
      </c>
      <c r="CN544">
        <v>150</v>
      </c>
      <c r="CO544">
        <v>100</v>
      </c>
      <c r="CP544" s="74">
        <f ca="1">INDIRECT(ADDRESS(11+(MATCH(RIGHT(Table11[[#This Row],[spawner_sku]],LEN(Table11[[#This Row],[spawner_sku]])-FIND("/",Table11[[#This Row],[spawner_sku]])),Table1[Entity Prefab],0)),10,1,1,"Entities"))</f>
        <v>25</v>
      </c>
      <c r="CQ544">
        <f ca="1">ROUND((Table11[[#This Row],[XP]]*Table11[[#This Row],[entity_spawned (AVG)]])*(Table11[[#This Row],[activating_chance]]/100),0)</f>
        <v>25</v>
      </c>
      <c r="CR544" s="144" t="str">
        <f ca="1">INDIRECT(ADDRESS(11+(MATCH(RIGHT(Table11[[#This Row],[spawner_sku]],LEN(Table11[[#This Row],[spawner_sku]])-FIND("/",Table11[[#This Row],[spawner_sku]])),Table28[Entity Prefab],0)),25,1,1,"Entities"))</f>
        <v>no</v>
      </c>
      <c r="CS544" s="71">
        <v>1</v>
      </c>
      <c r="CT544" s="71">
        <v>1</v>
      </c>
      <c r="CU544" s="71" t="b">
        <v>0</v>
      </c>
      <c r="DS544" t="s">
        <v>464</v>
      </c>
      <c r="DT544">
        <v>1</v>
      </c>
      <c r="DU544">
        <v>140</v>
      </c>
      <c r="DV544">
        <v>100</v>
      </c>
      <c r="DW544" s="74">
        <f ca="1">INDIRECT(ADDRESS(11+(MATCH(RIGHT(Table14[[#This Row],[spawner_sku]],LEN(Table14[[#This Row],[spawner_sku]])-FIND("/",Table14[[#This Row],[spawner_sku]])),Table1[Entity Prefab],0)),10,1,1,"Entities"))</f>
        <v>28</v>
      </c>
      <c r="DX544" s="74">
        <f ca="1">ROUND((Table14[[#This Row],[XP]]*Table14[[#This Row],[entity_spawned (AVG)]])*(Table14[[#This Row],[activating_chance]]/100),0)</f>
        <v>28</v>
      </c>
      <c r="DY544" s="144" t="str">
        <f ca="1">INDIRECT(ADDRESS(11+(MATCH(RIGHT(Table14[[#This Row],[spawner_sku]],LEN(Table14[[#This Row],[spawner_sku]])-FIND("/",Table14[[#This Row],[spawner_sku]])),Table28[Entity Prefab],0)),25,1,1,"Entities"))</f>
        <v>no</v>
      </c>
      <c r="DZ544" s="71">
        <v>1</v>
      </c>
      <c r="EA544" s="71">
        <v>1</v>
      </c>
      <c r="EB544" s="71" t="b">
        <v>0</v>
      </c>
      <c r="EC544" s="71"/>
    </row>
    <row r="545" spans="2:133" x14ac:dyDescent="0.25">
      <c r="B545" s="72" t="s">
        <v>242</v>
      </c>
      <c r="C545">
        <v>2.5</v>
      </c>
      <c r="D545">
        <v>200</v>
      </c>
      <c r="E545">
        <v>100</v>
      </c>
      <c r="F545" s="74">
        <f ca="1">INDIRECT(ADDRESS(11+(MATCH(RIGHT(Table245[[#This Row],[spawner_sku]],LEN(Table245[[#This Row],[spawner_sku]])-FIND("/",Table245[[#This Row],[spawner_sku]])),Table1[Entity Prefab],0)),10,1,1,"Entities"))</f>
        <v>25</v>
      </c>
      <c r="G545" s="74">
        <f ca="1">ROUND((Table245[[#This Row],[XP]]*Table245[[#This Row],[entity_spawned (AVG)]])*(Table245[[#This Row],[activating_chance]]/100),0)</f>
        <v>63</v>
      </c>
      <c r="H545" s="71" t="str">
        <f ca="1">INDIRECT(ADDRESS(11+(MATCH(RIGHT(Table245[[#This Row],[spawner_sku]],LEN(Table245[[#This Row],[spawner_sku]])-FIND("/",Table245[[#This Row],[spawner_sku]])),Table28[Entity Prefab],0)),24,1,1,"Entities"))</f>
        <v>no</v>
      </c>
      <c r="I545" s="71">
        <v>2</v>
      </c>
      <c r="J545" s="71">
        <v>3</v>
      </c>
      <c r="K545" s="71" t="b">
        <v>0</v>
      </c>
      <c r="CL545" t="s">
        <v>242</v>
      </c>
      <c r="CM545">
        <v>1</v>
      </c>
      <c r="CN545">
        <v>80</v>
      </c>
      <c r="CO545">
        <v>100</v>
      </c>
      <c r="CP545" s="74">
        <f ca="1">INDIRECT(ADDRESS(11+(MATCH(RIGHT(Table11[[#This Row],[spawner_sku]],LEN(Table11[[#This Row],[spawner_sku]])-FIND("/",Table11[[#This Row],[spawner_sku]])),Table1[Entity Prefab],0)),10,1,1,"Entities"))</f>
        <v>25</v>
      </c>
      <c r="CQ545">
        <f ca="1">ROUND((Table11[[#This Row],[XP]]*Table11[[#This Row],[entity_spawned (AVG)]])*(Table11[[#This Row],[activating_chance]]/100),0)</f>
        <v>25</v>
      </c>
      <c r="CR545" s="144" t="str">
        <f ca="1">INDIRECT(ADDRESS(11+(MATCH(RIGHT(Table11[[#This Row],[spawner_sku]],LEN(Table11[[#This Row],[spawner_sku]])-FIND("/",Table11[[#This Row],[spawner_sku]])),Table28[Entity Prefab],0)),25,1,1,"Entities"))</f>
        <v>no</v>
      </c>
      <c r="CS545" s="71">
        <v>1</v>
      </c>
      <c r="CT545" s="71">
        <v>1</v>
      </c>
      <c r="CU545" s="71" t="b">
        <v>0</v>
      </c>
      <c r="DS545" t="s">
        <v>464</v>
      </c>
      <c r="DT545">
        <v>1</v>
      </c>
      <c r="DU545">
        <v>140</v>
      </c>
      <c r="DV545">
        <v>100</v>
      </c>
      <c r="DW545" s="74">
        <f ca="1">INDIRECT(ADDRESS(11+(MATCH(RIGHT(Table14[[#This Row],[spawner_sku]],LEN(Table14[[#This Row],[spawner_sku]])-FIND("/",Table14[[#This Row],[spawner_sku]])),Table1[Entity Prefab],0)),10,1,1,"Entities"))</f>
        <v>28</v>
      </c>
      <c r="DX545" s="74">
        <f ca="1">ROUND((Table14[[#This Row],[XP]]*Table14[[#This Row],[entity_spawned (AVG)]])*(Table14[[#This Row],[activating_chance]]/100),0)</f>
        <v>28</v>
      </c>
      <c r="DY545" s="144" t="str">
        <f ca="1">INDIRECT(ADDRESS(11+(MATCH(RIGHT(Table14[[#This Row],[spawner_sku]],LEN(Table14[[#This Row],[spawner_sku]])-FIND("/",Table14[[#This Row],[spawner_sku]])),Table28[Entity Prefab],0)),25,1,1,"Entities"))</f>
        <v>no</v>
      </c>
      <c r="DZ545" s="71">
        <v>1</v>
      </c>
      <c r="EA545" s="71">
        <v>1</v>
      </c>
      <c r="EB545" s="71" t="b">
        <v>0</v>
      </c>
      <c r="EC545" s="71"/>
    </row>
    <row r="546" spans="2:133" x14ac:dyDescent="0.25">
      <c r="B546" s="72" t="s">
        <v>242</v>
      </c>
      <c r="C546">
        <v>1</v>
      </c>
      <c r="D546">
        <v>170</v>
      </c>
      <c r="E546">
        <v>100</v>
      </c>
      <c r="F546" s="74">
        <f ca="1">INDIRECT(ADDRESS(11+(MATCH(RIGHT(Table245[[#This Row],[spawner_sku]],LEN(Table245[[#This Row],[spawner_sku]])-FIND("/",Table245[[#This Row],[spawner_sku]])),Table1[Entity Prefab],0)),10,1,1,"Entities"))</f>
        <v>25</v>
      </c>
      <c r="G546" s="74">
        <f ca="1">ROUND((Table245[[#This Row],[XP]]*Table245[[#This Row],[entity_spawned (AVG)]])*(Table245[[#This Row],[activating_chance]]/100),0)</f>
        <v>25</v>
      </c>
      <c r="H546" s="71" t="str">
        <f ca="1">INDIRECT(ADDRESS(11+(MATCH(RIGHT(Table245[[#This Row],[spawner_sku]],LEN(Table245[[#This Row],[spawner_sku]])-FIND("/",Table245[[#This Row],[spawner_sku]])),Table28[Entity Prefab],0)),24,1,1,"Entities"))</f>
        <v>no</v>
      </c>
      <c r="I546" s="71">
        <v>1</v>
      </c>
      <c r="J546" s="71">
        <v>1</v>
      </c>
      <c r="K546" s="71" t="b">
        <v>0</v>
      </c>
      <c r="CL546" t="s">
        <v>242</v>
      </c>
      <c r="CM546">
        <v>1</v>
      </c>
      <c r="CN546">
        <v>80</v>
      </c>
      <c r="CO546">
        <v>100</v>
      </c>
      <c r="CP546" s="74">
        <f ca="1">INDIRECT(ADDRESS(11+(MATCH(RIGHT(Table11[[#This Row],[spawner_sku]],LEN(Table11[[#This Row],[spawner_sku]])-FIND("/",Table11[[#This Row],[spawner_sku]])),Table1[Entity Prefab],0)),10,1,1,"Entities"))</f>
        <v>25</v>
      </c>
      <c r="CQ546">
        <f ca="1">ROUND((Table11[[#This Row],[XP]]*Table11[[#This Row],[entity_spawned (AVG)]])*(Table11[[#This Row],[activating_chance]]/100),0)</f>
        <v>25</v>
      </c>
      <c r="CR546" s="144" t="str">
        <f ca="1">INDIRECT(ADDRESS(11+(MATCH(RIGHT(Table11[[#This Row],[spawner_sku]],LEN(Table11[[#This Row],[spawner_sku]])-FIND("/",Table11[[#This Row],[spawner_sku]])),Table28[Entity Prefab],0)),25,1,1,"Entities"))</f>
        <v>no</v>
      </c>
      <c r="CS546" s="71">
        <v>1</v>
      </c>
      <c r="CT546" s="71">
        <v>1</v>
      </c>
      <c r="CU546" s="71" t="b">
        <v>0</v>
      </c>
      <c r="DS546" t="s">
        <v>464</v>
      </c>
      <c r="DT546">
        <v>1</v>
      </c>
      <c r="DU546">
        <v>90</v>
      </c>
      <c r="DV546">
        <v>100</v>
      </c>
      <c r="DW546" s="74">
        <f ca="1">INDIRECT(ADDRESS(11+(MATCH(RIGHT(Table14[[#This Row],[spawner_sku]],LEN(Table14[[#This Row],[spawner_sku]])-FIND("/",Table14[[#This Row],[spawner_sku]])),Table1[Entity Prefab],0)),10,1,1,"Entities"))</f>
        <v>28</v>
      </c>
      <c r="DX546" s="74">
        <f ca="1">ROUND((Table14[[#This Row],[XP]]*Table14[[#This Row],[entity_spawned (AVG)]])*(Table14[[#This Row],[activating_chance]]/100),0)</f>
        <v>28</v>
      </c>
      <c r="DY546" s="144" t="str">
        <f ca="1">INDIRECT(ADDRESS(11+(MATCH(RIGHT(Table14[[#This Row],[spawner_sku]],LEN(Table14[[#This Row],[spawner_sku]])-FIND("/",Table14[[#This Row],[spawner_sku]])),Table28[Entity Prefab],0)),25,1,1,"Entities"))</f>
        <v>no</v>
      </c>
      <c r="DZ546" s="71">
        <v>1</v>
      </c>
      <c r="EA546" s="71">
        <v>1</v>
      </c>
      <c r="EB546" s="71" t="b">
        <v>0</v>
      </c>
      <c r="EC546" s="71"/>
    </row>
    <row r="547" spans="2:133" x14ac:dyDescent="0.25">
      <c r="B547" s="72" t="s">
        <v>242</v>
      </c>
      <c r="C547">
        <v>2</v>
      </c>
      <c r="D547">
        <v>155</v>
      </c>
      <c r="E547">
        <v>100</v>
      </c>
      <c r="F547" s="74">
        <f ca="1">INDIRECT(ADDRESS(11+(MATCH(RIGHT(Table245[[#This Row],[spawner_sku]],LEN(Table245[[#This Row],[spawner_sku]])-FIND("/",Table245[[#This Row],[spawner_sku]])),Table1[Entity Prefab],0)),10,1,1,"Entities"))</f>
        <v>25</v>
      </c>
      <c r="G547" s="74">
        <f ca="1">ROUND((Table245[[#This Row],[XP]]*Table245[[#This Row],[entity_spawned (AVG)]])*(Table245[[#This Row],[activating_chance]]/100),0)</f>
        <v>50</v>
      </c>
      <c r="H547" s="71" t="str">
        <f ca="1">INDIRECT(ADDRESS(11+(MATCH(RIGHT(Table245[[#This Row],[spawner_sku]],LEN(Table245[[#This Row],[spawner_sku]])-FIND("/",Table245[[#This Row],[spawner_sku]])),Table28[Entity Prefab],0)),24,1,1,"Entities"))</f>
        <v>no</v>
      </c>
      <c r="I547" s="71">
        <v>2</v>
      </c>
      <c r="J547" s="71">
        <v>2</v>
      </c>
      <c r="K547" s="71" t="b">
        <v>0</v>
      </c>
      <c r="CL547" t="s">
        <v>242</v>
      </c>
      <c r="CM547">
        <v>1</v>
      </c>
      <c r="CN547">
        <v>80</v>
      </c>
      <c r="CO547">
        <v>100</v>
      </c>
      <c r="CP547" s="74">
        <f ca="1">INDIRECT(ADDRESS(11+(MATCH(RIGHT(Table11[[#This Row],[spawner_sku]],LEN(Table11[[#This Row],[spawner_sku]])-FIND("/",Table11[[#This Row],[spawner_sku]])),Table1[Entity Prefab],0)),10,1,1,"Entities"))</f>
        <v>25</v>
      </c>
      <c r="CQ547">
        <f ca="1">ROUND((Table11[[#This Row],[XP]]*Table11[[#This Row],[entity_spawned (AVG)]])*(Table11[[#This Row],[activating_chance]]/100),0)</f>
        <v>25</v>
      </c>
      <c r="CR547" s="144" t="str">
        <f ca="1">INDIRECT(ADDRESS(11+(MATCH(RIGHT(Table11[[#This Row],[spawner_sku]],LEN(Table11[[#This Row],[spawner_sku]])-FIND("/",Table11[[#This Row],[spawner_sku]])),Table28[Entity Prefab],0)),25,1,1,"Entities"))</f>
        <v>no</v>
      </c>
      <c r="CS547" s="71">
        <v>1</v>
      </c>
      <c r="CT547" s="71">
        <v>1</v>
      </c>
      <c r="CU547" s="71" t="b">
        <v>0</v>
      </c>
      <c r="DS547" t="s">
        <v>464</v>
      </c>
      <c r="DT547">
        <v>1</v>
      </c>
      <c r="DU547">
        <v>120</v>
      </c>
      <c r="DV547">
        <v>100</v>
      </c>
      <c r="DW547" s="74">
        <f ca="1">INDIRECT(ADDRESS(11+(MATCH(RIGHT(Table14[[#This Row],[spawner_sku]],LEN(Table14[[#This Row],[spawner_sku]])-FIND("/",Table14[[#This Row],[spawner_sku]])),Table1[Entity Prefab],0)),10,1,1,"Entities"))</f>
        <v>28</v>
      </c>
      <c r="DX547" s="74">
        <f ca="1">ROUND((Table14[[#This Row],[XP]]*Table14[[#This Row],[entity_spawned (AVG)]])*(Table14[[#This Row],[activating_chance]]/100),0)</f>
        <v>28</v>
      </c>
      <c r="DY547" s="144" t="str">
        <f ca="1">INDIRECT(ADDRESS(11+(MATCH(RIGHT(Table14[[#This Row],[spawner_sku]],LEN(Table14[[#This Row],[spawner_sku]])-FIND("/",Table14[[#This Row],[spawner_sku]])),Table28[Entity Prefab],0)),25,1,1,"Entities"))</f>
        <v>no</v>
      </c>
      <c r="DZ547" s="71">
        <v>1</v>
      </c>
      <c r="EA547" s="71">
        <v>1</v>
      </c>
      <c r="EB547" s="71" t="b">
        <v>0</v>
      </c>
      <c r="EC547" s="71"/>
    </row>
    <row r="548" spans="2:133" x14ac:dyDescent="0.25">
      <c r="B548" s="72" t="s">
        <v>242</v>
      </c>
      <c r="C548">
        <v>1</v>
      </c>
      <c r="D548">
        <v>170</v>
      </c>
      <c r="E548">
        <v>60</v>
      </c>
      <c r="F548" s="74">
        <f ca="1">INDIRECT(ADDRESS(11+(MATCH(RIGHT(Table245[[#This Row],[spawner_sku]],LEN(Table245[[#This Row],[spawner_sku]])-FIND("/",Table245[[#This Row],[spawner_sku]])),Table1[Entity Prefab],0)),10,1,1,"Entities"))</f>
        <v>25</v>
      </c>
      <c r="G548" s="74">
        <f ca="1">ROUND((Table245[[#This Row],[XP]]*Table245[[#This Row],[entity_spawned (AVG)]])*(Table245[[#This Row],[activating_chance]]/100),0)</f>
        <v>15</v>
      </c>
      <c r="H548" s="71" t="str">
        <f ca="1">INDIRECT(ADDRESS(11+(MATCH(RIGHT(Table245[[#This Row],[spawner_sku]],LEN(Table245[[#This Row],[spawner_sku]])-FIND("/",Table245[[#This Row],[spawner_sku]])),Table28[Entity Prefab],0)),24,1,1,"Entities"))</f>
        <v>no</v>
      </c>
      <c r="I548" s="71">
        <v>1</v>
      </c>
      <c r="J548" s="71">
        <v>1</v>
      </c>
      <c r="K548" s="71" t="b">
        <v>0</v>
      </c>
      <c r="CL548" t="s">
        <v>242</v>
      </c>
      <c r="CM548">
        <v>1</v>
      </c>
      <c r="CN548">
        <v>150</v>
      </c>
      <c r="CO548">
        <v>80</v>
      </c>
      <c r="CP548" s="74">
        <f ca="1">INDIRECT(ADDRESS(11+(MATCH(RIGHT(Table11[[#This Row],[spawner_sku]],LEN(Table11[[#This Row],[spawner_sku]])-FIND("/",Table11[[#This Row],[spawner_sku]])),Table1[Entity Prefab],0)),10,1,1,"Entities"))</f>
        <v>25</v>
      </c>
      <c r="CQ548">
        <f ca="1">ROUND((Table11[[#This Row],[XP]]*Table11[[#This Row],[entity_spawned (AVG)]])*(Table11[[#This Row],[activating_chance]]/100),0)</f>
        <v>20</v>
      </c>
      <c r="CR548" s="144" t="str">
        <f ca="1">INDIRECT(ADDRESS(11+(MATCH(RIGHT(Table11[[#This Row],[spawner_sku]],LEN(Table11[[#This Row],[spawner_sku]])-FIND("/",Table11[[#This Row],[spawner_sku]])),Table28[Entity Prefab],0)),25,1,1,"Entities"))</f>
        <v>no</v>
      </c>
      <c r="CS548" s="71">
        <v>1</v>
      </c>
      <c r="CT548" s="71">
        <v>1</v>
      </c>
      <c r="CU548" s="71" t="b">
        <v>0</v>
      </c>
      <c r="DS548" t="s">
        <v>464</v>
      </c>
      <c r="DT548">
        <v>1</v>
      </c>
      <c r="DU548">
        <v>110</v>
      </c>
      <c r="DV548">
        <v>80</v>
      </c>
      <c r="DW548" s="74">
        <f ca="1">INDIRECT(ADDRESS(11+(MATCH(RIGHT(Table14[[#This Row],[spawner_sku]],LEN(Table14[[#This Row],[spawner_sku]])-FIND("/",Table14[[#This Row],[spawner_sku]])),Table1[Entity Prefab],0)),10,1,1,"Entities"))</f>
        <v>28</v>
      </c>
      <c r="DX548" s="74">
        <f ca="1">ROUND((Table14[[#This Row],[XP]]*Table14[[#This Row],[entity_spawned (AVG)]])*(Table14[[#This Row],[activating_chance]]/100),0)</f>
        <v>22</v>
      </c>
      <c r="DY548" s="144" t="str">
        <f ca="1">INDIRECT(ADDRESS(11+(MATCH(RIGHT(Table14[[#This Row],[spawner_sku]],LEN(Table14[[#This Row],[spawner_sku]])-FIND("/",Table14[[#This Row],[spawner_sku]])),Table28[Entity Prefab],0)),25,1,1,"Entities"))</f>
        <v>no</v>
      </c>
      <c r="DZ548" s="71">
        <v>1</v>
      </c>
      <c r="EA548" s="71">
        <v>1</v>
      </c>
      <c r="EB548" s="71" t="b">
        <v>0</v>
      </c>
      <c r="EC548" s="71"/>
    </row>
    <row r="549" spans="2:133" x14ac:dyDescent="0.25">
      <c r="B549" s="72" t="s">
        <v>242</v>
      </c>
      <c r="C549">
        <v>1</v>
      </c>
      <c r="D549">
        <v>170</v>
      </c>
      <c r="E549">
        <v>100</v>
      </c>
      <c r="F549" s="74">
        <f ca="1">INDIRECT(ADDRESS(11+(MATCH(RIGHT(Table245[[#This Row],[spawner_sku]],LEN(Table245[[#This Row],[spawner_sku]])-FIND("/",Table245[[#This Row],[spawner_sku]])),Table1[Entity Prefab],0)),10,1,1,"Entities"))</f>
        <v>25</v>
      </c>
      <c r="G549" s="74">
        <f ca="1">ROUND((Table245[[#This Row],[XP]]*Table245[[#This Row],[entity_spawned (AVG)]])*(Table245[[#This Row],[activating_chance]]/100),0)</f>
        <v>25</v>
      </c>
      <c r="H549" s="71" t="str">
        <f ca="1">INDIRECT(ADDRESS(11+(MATCH(RIGHT(Table245[[#This Row],[spawner_sku]],LEN(Table245[[#This Row],[spawner_sku]])-FIND("/",Table245[[#This Row],[spawner_sku]])),Table28[Entity Prefab],0)),24,1,1,"Entities"))</f>
        <v>no</v>
      </c>
      <c r="I549" s="71">
        <v>1</v>
      </c>
      <c r="J549" s="71">
        <v>1</v>
      </c>
      <c r="K549" s="71" t="b">
        <v>0</v>
      </c>
      <c r="CL549" t="s">
        <v>242</v>
      </c>
      <c r="CM549">
        <v>1</v>
      </c>
      <c r="CN549">
        <v>150</v>
      </c>
      <c r="CO549">
        <v>100</v>
      </c>
      <c r="CP549" s="74">
        <f ca="1">INDIRECT(ADDRESS(11+(MATCH(RIGHT(Table11[[#This Row],[spawner_sku]],LEN(Table11[[#This Row],[spawner_sku]])-FIND("/",Table11[[#This Row],[spawner_sku]])),Table1[Entity Prefab],0)),10,1,1,"Entities"))</f>
        <v>25</v>
      </c>
      <c r="CQ549">
        <f ca="1">ROUND((Table11[[#This Row],[XP]]*Table11[[#This Row],[entity_spawned (AVG)]])*(Table11[[#This Row],[activating_chance]]/100),0)</f>
        <v>25</v>
      </c>
      <c r="CR549" s="144" t="str">
        <f ca="1">INDIRECT(ADDRESS(11+(MATCH(RIGHT(Table11[[#This Row],[spawner_sku]],LEN(Table11[[#This Row],[spawner_sku]])-FIND("/",Table11[[#This Row],[spawner_sku]])),Table28[Entity Prefab],0)),25,1,1,"Entities"))</f>
        <v>no</v>
      </c>
      <c r="CS549" s="71">
        <v>1</v>
      </c>
      <c r="CT549" s="71">
        <v>1</v>
      </c>
      <c r="CU549" s="71" t="b">
        <v>0</v>
      </c>
      <c r="DS549" t="s">
        <v>464</v>
      </c>
      <c r="DT549">
        <v>1</v>
      </c>
      <c r="DU549">
        <v>140</v>
      </c>
      <c r="DV549">
        <v>30</v>
      </c>
      <c r="DW549" s="74">
        <f ca="1">INDIRECT(ADDRESS(11+(MATCH(RIGHT(Table14[[#This Row],[spawner_sku]],LEN(Table14[[#This Row],[spawner_sku]])-FIND("/",Table14[[#This Row],[spawner_sku]])),Table1[Entity Prefab],0)),10,1,1,"Entities"))</f>
        <v>28</v>
      </c>
      <c r="DX549" s="74">
        <f ca="1">ROUND((Table14[[#This Row],[XP]]*Table14[[#This Row],[entity_spawned (AVG)]])*(Table14[[#This Row],[activating_chance]]/100),0)</f>
        <v>8</v>
      </c>
      <c r="DY549" s="144" t="str">
        <f ca="1">INDIRECT(ADDRESS(11+(MATCH(RIGHT(Table14[[#This Row],[spawner_sku]],LEN(Table14[[#This Row],[spawner_sku]])-FIND("/",Table14[[#This Row],[spawner_sku]])),Table28[Entity Prefab],0)),25,1,1,"Entities"))</f>
        <v>no</v>
      </c>
      <c r="DZ549" s="71">
        <v>1</v>
      </c>
      <c r="EA549" s="71">
        <v>1</v>
      </c>
      <c r="EB549" s="71" t="b">
        <v>0</v>
      </c>
      <c r="EC549" s="71"/>
    </row>
    <row r="550" spans="2:133" x14ac:dyDescent="0.25">
      <c r="B550" s="72" t="s">
        <v>242</v>
      </c>
      <c r="C550">
        <v>1</v>
      </c>
      <c r="D550">
        <v>160</v>
      </c>
      <c r="E550">
        <v>100</v>
      </c>
      <c r="F550" s="74">
        <f ca="1">INDIRECT(ADDRESS(11+(MATCH(RIGHT(Table245[[#This Row],[spawner_sku]],LEN(Table245[[#This Row],[spawner_sku]])-FIND("/",Table245[[#This Row],[spawner_sku]])),Table1[Entity Prefab],0)),10,1,1,"Entities"))</f>
        <v>25</v>
      </c>
      <c r="G550" s="74">
        <f ca="1">ROUND((Table245[[#This Row],[XP]]*Table245[[#This Row],[entity_spawned (AVG)]])*(Table245[[#This Row],[activating_chance]]/100),0)</f>
        <v>25</v>
      </c>
      <c r="H550" s="71" t="str">
        <f ca="1">INDIRECT(ADDRESS(11+(MATCH(RIGHT(Table245[[#This Row],[spawner_sku]],LEN(Table245[[#This Row],[spawner_sku]])-FIND("/",Table245[[#This Row],[spawner_sku]])),Table28[Entity Prefab],0)),24,1,1,"Entities"))</f>
        <v>no</v>
      </c>
      <c r="I550" s="71">
        <v>1</v>
      </c>
      <c r="J550" s="71">
        <v>1</v>
      </c>
      <c r="K550" s="71" t="b">
        <v>0</v>
      </c>
      <c r="CL550" t="s">
        <v>242</v>
      </c>
      <c r="CM550">
        <v>1</v>
      </c>
      <c r="CN550">
        <v>150</v>
      </c>
      <c r="CO550">
        <v>30</v>
      </c>
      <c r="CP550" s="74">
        <f ca="1">INDIRECT(ADDRESS(11+(MATCH(RIGHT(Table11[[#This Row],[spawner_sku]],LEN(Table11[[#This Row],[spawner_sku]])-FIND("/",Table11[[#This Row],[spawner_sku]])),Table1[Entity Prefab],0)),10,1,1,"Entities"))</f>
        <v>25</v>
      </c>
      <c r="CQ550">
        <f ca="1">ROUND((Table11[[#This Row],[XP]]*Table11[[#This Row],[entity_spawned (AVG)]])*(Table11[[#This Row],[activating_chance]]/100),0)</f>
        <v>8</v>
      </c>
      <c r="CR550" s="144" t="str">
        <f ca="1">INDIRECT(ADDRESS(11+(MATCH(RIGHT(Table11[[#This Row],[spawner_sku]],LEN(Table11[[#This Row],[spawner_sku]])-FIND("/",Table11[[#This Row],[spawner_sku]])),Table28[Entity Prefab],0)),25,1,1,"Entities"))</f>
        <v>no</v>
      </c>
      <c r="CS550" s="71">
        <v>1</v>
      </c>
      <c r="CT550" s="71">
        <v>1</v>
      </c>
      <c r="CU550" s="71" t="b">
        <v>0</v>
      </c>
      <c r="DS550" t="s">
        <v>464</v>
      </c>
      <c r="DT550">
        <v>1</v>
      </c>
      <c r="DU550">
        <v>110</v>
      </c>
      <c r="DV550">
        <v>80</v>
      </c>
      <c r="DW550" s="74">
        <f ca="1">INDIRECT(ADDRESS(11+(MATCH(RIGHT(Table14[[#This Row],[spawner_sku]],LEN(Table14[[#This Row],[spawner_sku]])-FIND("/",Table14[[#This Row],[spawner_sku]])),Table1[Entity Prefab],0)),10,1,1,"Entities"))</f>
        <v>28</v>
      </c>
      <c r="DX550" s="74">
        <f ca="1">ROUND((Table14[[#This Row],[XP]]*Table14[[#This Row],[entity_spawned (AVG)]])*(Table14[[#This Row],[activating_chance]]/100),0)</f>
        <v>22</v>
      </c>
      <c r="DY550" s="144" t="str">
        <f ca="1">INDIRECT(ADDRESS(11+(MATCH(RIGHT(Table14[[#This Row],[spawner_sku]],LEN(Table14[[#This Row],[spawner_sku]])-FIND("/",Table14[[#This Row],[spawner_sku]])),Table28[Entity Prefab],0)),25,1,1,"Entities"))</f>
        <v>no</v>
      </c>
      <c r="DZ550" s="71">
        <v>1</v>
      </c>
      <c r="EA550" s="71">
        <v>1</v>
      </c>
      <c r="EB550" s="71" t="b">
        <v>0</v>
      </c>
      <c r="EC550" s="71"/>
    </row>
    <row r="551" spans="2:133" x14ac:dyDescent="0.25">
      <c r="B551" s="72" t="s">
        <v>242</v>
      </c>
      <c r="C551">
        <v>1</v>
      </c>
      <c r="D551">
        <v>170</v>
      </c>
      <c r="E551">
        <v>100</v>
      </c>
      <c r="F551" s="74">
        <f ca="1">INDIRECT(ADDRESS(11+(MATCH(RIGHT(Table245[[#This Row],[spawner_sku]],LEN(Table245[[#This Row],[spawner_sku]])-FIND("/",Table245[[#This Row],[spawner_sku]])),Table1[Entity Prefab],0)),10,1,1,"Entities"))</f>
        <v>25</v>
      </c>
      <c r="G551" s="74">
        <f ca="1">ROUND((Table245[[#This Row],[XP]]*Table245[[#This Row],[entity_spawned (AVG)]])*(Table245[[#This Row],[activating_chance]]/100),0)</f>
        <v>25</v>
      </c>
      <c r="H551" s="71" t="str">
        <f ca="1">INDIRECT(ADDRESS(11+(MATCH(RIGHT(Table245[[#This Row],[spawner_sku]],LEN(Table245[[#This Row],[spawner_sku]])-FIND("/",Table245[[#This Row],[spawner_sku]])),Table28[Entity Prefab],0)),24,1,1,"Entities"))</f>
        <v>no</v>
      </c>
      <c r="I551" s="71">
        <v>1</v>
      </c>
      <c r="J551" s="71">
        <v>1</v>
      </c>
      <c r="K551" s="71" t="b">
        <v>0</v>
      </c>
      <c r="CL551" t="s">
        <v>242</v>
      </c>
      <c r="CM551">
        <v>1</v>
      </c>
      <c r="CN551">
        <v>80</v>
      </c>
      <c r="CO551">
        <v>100</v>
      </c>
      <c r="CP551" s="74">
        <f ca="1">INDIRECT(ADDRESS(11+(MATCH(RIGHT(Table11[[#This Row],[spawner_sku]],LEN(Table11[[#This Row],[spawner_sku]])-FIND("/",Table11[[#This Row],[spawner_sku]])),Table1[Entity Prefab],0)),10,1,1,"Entities"))</f>
        <v>25</v>
      </c>
      <c r="CQ551">
        <f ca="1">ROUND((Table11[[#This Row],[XP]]*Table11[[#This Row],[entity_spawned (AVG)]])*(Table11[[#This Row],[activating_chance]]/100),0)</f>
        <v>25</v>
      </c>
      <c r="CR551" s="144" t="str">
        <f ca="1">INDIRECT(ADDRESS(11+(MATCH(RIGHT(Table11[[#This Row],[spawner_sku]],LEN(Table11[[#This Row],[spawner_sku]])-FIND("/",Table11[[#This Row],[spawner_sku]])),Table28[Entity Prefab],0)),25,1,1,"Entities"))</f>
        <v>no</v>
      </c>
      <c r="CS551" s="71">
        <v>1</v>
      </c>
      <c r="CT551" s="71">
        <v>1</v>
      </c>
      <c r="CU551" s="71" t="b">
        <v>0</v>
      </c>
      <c r="DS551" t="s">
        <v>465</v>
      </c>
      <c r="DT551">
        <v>1</v>
      </c>
      <c r="DU551">
        <v>100</v>
      </c>
      <c r="DV551">
        <v>100</v>
      </c>
      <c r="DW551" s="74">
        <f ca="1">INDIRECT(ADDRESS(11+(MATCH(RIGHT(Table14[[#This Row],[spawner_sku]],LEN(Table14[[#This Row],[spawner_sku]])-FIND("/",Table14[[#This Row],[spawner_sku]])),Table1[Entity Prefab],0)),10,1,1,"Entities"))</f>
        <v>25</v>
      </c>
      <c r="DX551" s="74">
        <f ca="1">ROUND((Table14[[#This Row],[XP]]*Table14[[#This Row],[entity_spawned (AVG)]])*(Table14[[#This Row],[activating_chance]]/100),0)</f>
        <v>25</v>
      </c>
      <c r="DY551" s="144" t="str">
        <f ca="1">INDIRECT(ADDRESS(11+(MATCH(RIGHT(Table14[[#This Row],[spawner_sku]],LEN(Table14[[#This Row],[spawner_sku]])-FIND("/",Table14[[#This Row],[spawner_sku]])),Table28[Entity Prefab],0)),25,1,1,"Entities"))</f>
        <v>no</v>
      </c>
      <c r="DZ551" s="71">
        <v>1</v>
      </c>
      <c r="EA551" s="71">
        <v>1</v>
      </c>
      <c r="EB551" s="71" t="b">
        <v>0</v>
      </c>
      <c r="EC551" s="71"/>
    </row>
    <row r="552" spans="2:133" x14ac:dyDescent="0.25">
      <c r="B552" s="72" t="s">
        <v>242</v>
      </c>
      <c r="C552">
        <v>1</v>
      </c>
      <c r="D552">
        <v>140</v>
      </c>
      <c r="E552">
        <v>80</v>
      </c>
      <c r="F552" s="74">
        <f ca="1">INDIRECT(ADDRESS(11+(MATCH(RIGHT(Table245[[#This Row],[spawner_sku]],LEN(Table245[[#This Row],[spawner_sku]])-FIND("/",Table245[[#This Row],[spawner_sku]])),Table1[Entity Prefab],0)),10,1,1,"Entities"))</f>
        <v>25</v>
      </c>
      <c r="G552" s="74">
        <f ca="1">ROUND((Table245[[#This Row],[XP]]*Table245[[#This Row],[entity_spawned (AVG)]])*(Table245[[#This Row],[activating_chance]]/100),0)</f>
        <v>20</v>
      </c>
      <c r="H552" s="71" t="str">
        <f ca="1">INDIRECT(ADDRESS(11+(MATCH(RIGHT(Table245[[#This Row],[spawner_sku]],LEN(Table245[[#This Row],[spawner_sku]])-FIND("/",Table245[[#This Row],[spawner_sku]])),Table28[Entity Prefab],0)),24,1,1,"Entities"))</f>
        <v>no</v>
      </c>
      <c r="I552" s="71">
        <v>1</v>
      </c>
      <c r="J552" s="71">
        <v>1</v>
      </c>
      <c r="K552" s="71" t="b">
        <v>0</v>
      </c>
      <c r="CL552" t="s">
        <v>242</v>
      </c>
      <c r="CM552">
        <v>1</v>
      </c>
      <c r="CN552">
        <v>150</v>
      </c>
      <c r="CO552">
        <v>100</v>
      </c>
      <c r="CP552" s="74">
        <f ca="1">INDIRECT(ADDRESS(11+(MATCH(RIGHT(Table11[[#This Row],[spawner_sku]],LEN(Table11[[#This Row],[spawner_sku]])-FIND("/",Table11[[#This Row],[spawner_sku]])),Table1[Entity Prefab],0)),10,1,1,"Entities"))</f>
        <v>25</v>
      </c>
      <c r="CQ552">
        <f ca="1">ROUND((Table11[[#This Row],[XP]]*Table11[[#This Row],[entity_spawned (AVG)]])*(Table11[[#This Row],[activating_chance]]/100),0)</f>
        <v>25</v>
      </c>
      <c r="CR552" s="144" t="str">
        <f ca="1">INDIRECT(ADDRESS(11+(MATCH(RIGHT(Table11[[#This Row],[spawner_sku]],LEN(Table11[[#This Row],[spawner_sku]])-FIND("/",Table11[[#This Row],[spawner_sku]])),Table28[Entity Prefab],0)),25,1,1,"Entities"))</f>
        <v>no</v>
      </c>
      <c r="CS552" s="71">
        <v>1</v>
      </c>
      <c r="CT552" s="71">
        <v>1</v>
      </c>
      <c r="CU552" s="71" t="b">
        <v>0</v>
      </c>
      <c r="DS552" t="s">
        <v>465</v>
      </c>
      <c r="DT552">
        <v>1</v>
      </c>
      <c r="DU552">
        <v>100</v>
      </c>
      <c r="DV552">
        <v>10</v>
      </c>
      <c r="DW552" s="74">
        <f ca="1">INDIRECT(ADDRESS(11+(MATCH(RIGHT(Table14[[#This Row],[spawner_sku]],LEN(Table14[[#This Row],[spawner_sku]])-FIND("/",Table14[[#This Row],[spawner_sku]])),Table1[Entity Prefab],0)),10,1,1,"Entities"))</f>
        <v>25</v>
      </c>
      <c r="DX552" s="74">
        <f ca="1">ROUND((Table14[[#This Row],[XP]]*Table14[[#This Row],[entity_spawned (AVG)]])*(Table14[[#This Row],[activating_chance]]/100),0)</f>
        <v>3</v>
      </c>
      <c r="DY552" s="144" t="str">
        <f ca="1">INDIRECT(ADDRESS(11+(MATCH(RIGHT(Table14[[#This Row],[spawner_sku]],LEN(Table14[[#This Row],[spawner_sku]])-FIND("/",Table14[[#This Row],[spawner_sku]])),Table28[Entity Prefab],0)),25,1,1,"Entities"))</f>
        <v>no</v>
      </c>
      <c r="DZ552" s="71">
        <v>1</v>
      </c>
      <c r="EA552" s="71">
        <v>1</v>
      </c>
      <c r="EB552" s="71" t="b">
        <v>0</v>
      </c>
      <c r="EC552" s="71"/>
    </row>
    <row r="553" spans="2:133" x14ac:dyDescent="0.25">
      <c r="B553" s="72" t="s">
        <v>242</v>
      </c>
      <c r="C553">
        <v>1</v>
      </c>
      <c r="D553">
        <v>200</v>
      </c>
      <c r="E553">
        <v>100</v>
      </c>
      <c r="F553" s="74">
        <f ca="1">INDIRECT(ADDRESS(11+(MATCH(RIGHT(Table245[[#This Row],[spawner_sku]],LEN(Table245[[#This Row],[spawner_sku]])-FIND("/",Table245[[#This Row],[spawner_sku]])),Table1[Entity Prefab],0)),10,1,1,"Entities"))</f>
        <v>25</v>
      </c>
      <c r="G553" s="74">
        <f ca="1">ROUND((Table245[[#This Row],[XP]]*Table245[[#This Row],[entity_spawned (AVG)]])*(Table245[[#This Row],[activating_chance]]/100),0)</f>
        <v>25</v>
      </c>
      <c r="H553" s="71" t="str">
        <f ca="1">INDIRECT(ADDRESS(11+(MATCH(RIGHT(Table245[[#This Row],[spawner_sku]],LEN(Table245[[#This Row],[spawner_sku]])-FIND("/",Table245[[#This Row],[spawner_sku]])),Table28[Entity Prefab],0)),24,1,1,"Entities"))</f>
        <v>no</v>
      </c>
      <c r="I553" s="71">
        <v>1</v>
      </c>
      <c r="J553" s="71">
        <v>1</v>
      </c>
      <c r="K553" s="71" t="b">
        <v>0</v>
      </c>
      <c r="CL553" t="s">
        <v>242</v>
      </c>
      <c r="CM553">
        <v>1</v>
      </c>
      <c r="CN553">
        <v>80</v>
      </c>
      <c r="CO553">
        <v>100</v>
      </c>
      <c r="CP553" s="74">
        <f ca="1">INDIRECT(ADDRESS(11+(MATCH(RIGHT(Table11[[#This Row],[spawner_sku]],LEN(Table11[[#This Row],[spawner_sku]])-FIND("/",Table11[[#This Row],[spawner_sku]])),Table1[Entity Prefab],0)),10,1,1,"Entities"))</f>
        <v>25</v>
      </c>
      <c r="CQ553">
        <f ca="1">ROUND((Table11[[#This Row],[XP]]*Table11[[#This Row],[entity_spawned (AVG)]])*(Table11[[#This Row],[activating_chance]]/100),0)</f>
        <v>25</v>
      </c>
      <c r="CR553" s="144" t="str">
        <f ca="1">INDIRECT(ADDRESS(11+(MATCH(RIGHT(Table11[[#This Row],[spawner_sku]],LEN(Table11[[#This Row],[spawner_sku]])-FIND("/",Table11[[#This Row],[spawner_sku]])),Table28[Entity Prefab],0)),25,1,1,"Entities"))</f>
        <v>no</v>
      </c>
      <c r="CS553" s="71">
        <v>1</v>
      </c>
      <c r="CT553" s="71">
        <v>1</v>
      </c>
      <c r="CU553" s="71" t="b">
        <v>0</v>
      </c>
      <c r="DS553" t="s">
        <v>465</v>
      </c>
      <c r="DT553">
        <v>1</v>
      </c>
      <c r="DU553">
        <v>100</v>
      </c>
      <c r="DV553">
        <v>10</v>
      </c>
      <c r="DW553" s="74">
        <f ca="1">INDIRECT(ADDRESS(11+(MATCH(RIGHT(Table14[[#This Row],[spawner_sku]],LEN(Table14[[#This Row],[spawner_sku]])-FIND("/",Table14[[#This Row],[spawner_sku]])),Table1[Entity Prefab],0)),10,1,1,"Entities"))</f>
        <v>25</v>
      </c>
      <c r="DX553" s="74">
        <f ca="1">ROUND((Table14[[#This Row],[XP]]*Table14[[#This Row],[entity_spawned (AVG)]])*(Table14[[#This Row],[activating_chance]]/100),0)</f>
        <v>3</v>
      </c>
      <c r="DY553" s="144" t="str">
        <f ca="1">INDIRECT(ADDRESS(11+(MATCH(RIGHT(Table14[[#This Row],[spawner_sku]],LEN(Table14[[#This Row],[spawner_sku]])-FIND("/",Table14[[#This Row],[spawner_sku]])),Table28[Entity Prefab],0)),25,1,1,"Entities"))</f>
        <v>no</v>
      </c>
      <c r="DZ553" s="71">
        <v>1</v>
      </c>
      <c r="EA553" s="71">
        <v>1</v>
      </c>
      <c r="EB553" s="71" t="b">
        <v>0</v>
      </c>
      <c r="EC553" s="71"/>
    </row>
    <row r="554" spans="2:133" x14ac:dyDescent="0.25">
      <c r="B554" s="72" t="s">
        <v>242</v>
      </c>
      <c r="C554">
        <v>1</v>
      </c>
      <c r="D554">
        <v>190</v>
      </c>
      <c r="E554">
        <v>100</v>
      </c>
      <c r="F554" s="74">
        <f ca="1">INDIRECT(ADDRESS(11+(MATCH(RIGHT(Table245[[#This Row],[spawner_sku]],LEN(Table245[[#This Row],[spawner_sku]])-FIND("/",Table245[[#This Row],[spawner_sku]])),Table1[Entity Prefab],0)),10,1,1,"Entities"))</f>
        <v>25</v>
      </c>
      <c r="G554" s="74">
        <f ca="1">ROUND((Table245[[#This Row],[XP]]*Table245[[#This Row],[entity_spawned (AVG)]])*(Table245[[#This Row],[activating_chance]]/100),0)</f>
        <v>25</v>
      </c>
      <c r="H554" s="71" t="str">
        <f ca="1">INDIRECT(ADDRESS(11+(MATCH(RIGHT(Table245[[#This Row],[spawner_sku]],LEN(Table245[[#This Row],[spawner_sku]])-FIND("/",Table245[[#This Row],[spawner_sku]])),Table28[Entity Prefab],0)),24,1,1,"Entities"))</f>
        <v>no</v>
      </c>
      <c r="I554" s="71">
        <v>1</v>
      </c>
      <c r="J554" s="71">
        <v>1</v>
      </c>
      <c r="K554" s="71" t="b">
        <v>0</v>
      </c>
      <c r="CL554" t="s">
        <v>242</v>
      </c>
      <c r="CM554">
        <v>1</v>
      </c>
      <c r="CN554">
        <v>80</v>
      </c>
      <c r="CO554">
        <v>100</v>
      </c>
      <c r="CP554" s="74">
        <f ca="1">INDIRECT(ADDRESS(11+(MATCH(RIGHT(Table11[[#This Row],[spawner_sku]],LEN(Table11[[#This Row],[spawner_sku]])-FIND("/",Table11[[#This Row],[spawner_sku]])),Table1[Entity Prefab],0)),10,1,1,"Entities"))</f>
        <v>25</v>
      </c>
      <c r="CQ554">
        <f ca="1">ROUND((Table11[[#This Row],[XP]]*Table11[[#This Row],[entity_spawned (AVG)]])*(Table11[[#This Row],[activating_chance]]/100),0)</f>
        <v>25</v>
      </c>
      <c r="CR554" s="144" t="str">
        <f ca="1">INDIRECT(ADDRESS(11+(MATCH(RIGHT(Table11[[#This Row],[spawner_sku]],LEN(Table11[[#This Row],[spawner_sku]])-FIND("/",Table11[[#This Row],[spawner_sku]])),Table28[Entity Prefab],0)),25,1,1,"Entities"))</f>
        <v>no</v>
      </c>
      <c r="CS554" s="71">
        <v>1</v>
      </c>
      <c r="CT554" s="71">
        <v>1</v>
      </c>
      <c r="CU554" s="71" t="b">
        <v>0</v>
      </c>
      <c r="DS554" t="s">
        <v>465</v>
      </c>
      <c r="DT554">
        <v>1</v>
      </c>
      <c r="DU554">
        <v>100</v>
      </c>
      <c r="DV554">
        <v>100</v>
      </c>
      <c r="DW554" s="74">
        <f ca="1">INDIRECT(ADDRESS(11+(MATCH(RIGHT(Table14[[#This Row],[spawner_sku]],LEN(Table14[[#This Row],[spawner_sku]])-FIND("/",Table14[[#This Row],[spawner_sku]])),Table1[Entity Prefab],0)),10,1,1,"Entities"))</f>
        <v>25</v>
      </c>
      <c r="DX554" s="74">
        <f ca="1">ROUND((Table14[[#This Row],[XP]]*Table14[[#This Row],[entity_spawned (AVG)]])*(Table14[[#This Row],[activating_chance]]/100),0)</f>
        <v>25</v>
      </c>
      <c r="DY554" s="144" t="str">
        <f ca="1">INDIRECT(ADDRESS(11+(MATCH(RIGHT(Table14[[#This Row],[spawner_sku]],LEN(Table14[[#This Row],[spawner_sku]])-FIND("/",Table14[[#This Row],[spawner_sku]])),Table28[Entity Prefab],0)),25,1,1,"Entities"))</f>
        <v>no</v>
      </c>
      <c r="DZ554" s="71">
        <v>1</v>
      </c>
      <c r="EA554" s="71">
        <v>1</v>
      </c>
      <c r="EB554" s="71" t="b">
        <v>0</v>
      </c>
      <c r="EC554" s="71"/>
    </row>
    <row r="555" spans="2:133" x14ac:dyDescent="0.25">
      <c r="B555" s="72" t="s">
        <v>242</v>
      </c>
      <c r="C555">
        <v>1</v>
      </c>
      <c r="D555">
        <v>140</v>
      </c>
      <c r="E555">
        <v>100</v>
      </c>
      <c r="F555" s="74">
        <f ca="1">INDIRECT(ADDRESS(11+(MATCH(RIGHT(Table245[[#This Row],[spawner_sku]],LEN(Table245[[#This Row],[spawner_sku]])-FIND("/",Table245[[#This Row],[spawner_sku]])),Table1[Entity Prefab],0)),10,1,1,"Entities"))</f>
        <v>25</v>
      </c>
      <c r="G555" s="74">
        <f ca="1">ROUND((Table245[[#This Row],[XP]]*Table245[[#This Row],[entity_spawned (AVG)]])*(Table245[[#This Row],[activating_chance]]/100),0)</f>
        <v>25</v>
      </c>
      <c r="H555" s="71" t="str">
        <f ca="1">INDIRECT(ADDRESS(11+(MATCH(RIGHT(Table245[[#This Row],[spawner_sku]],LEN(Table245[[#This Row],[spawner_sku]])-FIND("/",Table245[[#This Row],[spawner_sku]])),Table28[Entity Prefab],0)),24,1,1,"Entities"))</f>
        <v>no</v>
      </c>
      <c r="I555" s="71">
        <v>1</v>
      </c>
      <c r="J555" s="71">
        <v>1</v>
      </c>
      <c r="K555" s="71" t="b">
        <v>0</v>
      </c>
      <c r="CL555" t="s">
        <v>242</v>
      </c>
      <c r="CM555">
        <v>1</v>
      </c>
      <c r="CN555">
        <v>90</v>
      </c>
      <c r="CO555">
        <v>100</v>
      </c>
      <c r="CP555" s="74">
        <f ca="1">INDIRECT(ADDRESS(11+(MATCH(RIGHT(Table11[[#This Row],[spawner_sku]],LEN(Table11[[#This Row],[spawner_sku]])-FIND("/",Table11[[#This Row],[spawner_sku]])),Table1[Entity Prefab],0)),10,1,1,"Entities"))</f>
        <v>25</v>
      </c>
      <c r="CQ555">
        <f ca="1">ROUND((Table11[[#This Row],[XP]]*Table11[[#This Row],[entity_spawned (AVG)]])*(Table11[[#This Row],[activating_chance]]/100),0)</f>
        <v>25</v>
      </c>
      <c r="CR555" s="144" t="str">
        <f ca="1">INDIRECT(ADDRESS(11+(MATCH(RIGHT(Table11[[#This Row],[spawner_sku]],LEN(Table11[[#This Row],[spawner_sku]])-FIND("/",Table11[[#This Row],[spawner_sku]])),Table28[Entity Prefab],0)),25,1,1,"Entities"))</f>
        <v>no</v>
      </c>
      <c r="CS555" s="71">
        <v>1</v>
      </c>
      <c r="CT555" s="71">
        <v>1</v>
      </c>
      <c r="CU555" s="71" t="b">
        <v>0</v>
      </c>
      <c r="DS555" t="s">
        <v>465</v>
      </c>
      <c r="DT555">
        <v>1</v>
      </c>
      <c r="DU555">
        <v>100</v>
      </c>
      <c r="DV555">
        <v>100</v>
      </c>
      <c r="DW555" s="74">
        <f ca="1">INDIRECT(ADDRESS(11+(MATCH(RIGHT(Table14[[#This Row],[spawner_sku]],LEN(Table14[[#This Row],[spawner_sku]])-FIND("/",Table14[[#This Row],[spawner_sku]])),Table1[Entity Prefab],0)),10,1,1,"Entities"))</f>
        <v>25</v>
      </c>
      <c r="DX555" s="74">
        <f ca="1">ROUND((Table14[[#This Row],[XP]]*Table14[[#This Row],[entity_spawned (AVG)]])*(Table14[[#This Row],[activating_chance]]/100),0)</f>
        <v>25</v>
      </c>
      <c r="DY555" s="144" t="str">
        <f ca="1">INDIRECT(ADDRESS(11+(MATCH(RIGHT(Table14[[#This Row],[spawner_sku]],LEN(Table14[[#This Row],[spawner_sku]])-FIND("/",Table14[[#This Row],[spawner_sku]])),Table28[Entity Prefab],0)),25,1,1,"Entities"))</f>
        <v>no</v>
      </c>
      <c r="DZ555" s="71">
        <v>1</v>
      </c>
      <c r="EA555" s="71">
        <v>1</v>
      </c>
      <c r="EB555" s="71" t="b">
        <v>0</v>
      </c>
      <c r="EC555" s="71"/>
    </row>
    <row r="556" spans="2:133" x14ac:dyDescent="0.25">
      <c r="B556" s="72" t="s">
        <v>242</v>
      </c>
      <c r="C556">
        <v>1</v>
      </c>
      <c r="D556">
        <v>140</v>
      </c>
      <c r="E556">
        <v>60</v>
      </c>
      <c r="F556" s="74">
        <f ca="1">INDIRECT(ADDRESS(11+(MATCH(RIGHT(Table245[[#This Row],[spawner_sku]],LEN(Table245[[#This Row],[spawner_sku]])-FIND("/",Table245[[#This Row],[spawner_sku]])),Table1[Entity Prefab],0)),10,1,1,"Entities"))</f>
        <v>25</v>
      </c>
      <c r="G556" s="74">
        <f ca="1">ROUND((Table245[[#This Row],[XP]]*Table245[[#This Row],[entity_spawned (AVG)]])*(Table245[[#This Row],[activating_chance]]/100),0)</f>
        <v>15</v>
      </c>
      <c r="H556" s="71" t="str">
        <f ca="1">INDIRECT(ADDRESS(11+(MATCH(RIGHT(Table245[[#This Row],[spawner_sku]],LEN(Table245[[#This Row],[spawner_sku]])-FIND("/",Table245[[#This Row],[spawner_sku]])),Table28[Entity Prefab],0)),24,1,1,"Entities"))</f>
        <v>no</v>
      </c>
      <c r="I556" s="71">
        <v>1</v>
      </c>
      <c r="J556" s="71">
        <v>1</v>
      </c>
      <c r="K556" s="71" t="b">
        <v>0</v>
      </c>
      <c r="CL556" t="s">
        <v>242</v>
      </c>
      <c r="CM556">
        <v>1</v>
      </c>
      <c r="CN556">
        <v>70</v>
      </c>
      <c r="CO556">
        <v>100</v>
      </c>
      <c r="CP556" s="74">
        <f ca="1">INDIRECT(ADDRESS(11+(MATCH(RIGHT(Table11[[#This Row],[spawner_sku]],LEN(Table11[[#This Row],[spawner_sku]])-FIND("/",Table11[[#This Row],[spawner_sku]])),Table1[Entity Prefab],0)),10,1,1,"Entities"))</f>
        <v>25</v>
      </c>
      <c r="CQ556">
        <f ca="1">ROUND((Table11[[#This Row],[XP]]*Table11[[#This Row],[entity_spawned (AVG)]])*(Table11[[#This Row],[activating_chance]]/100),0)</f>
        <v>25</v>
      </c>
      <c r="CR556" s="144" t="str">
        <f ca="1">INDIRECT(ADDRESS(11+(MATCH(RIGHT(Table11[[#This Row],[spawner_sku]],LEN(Table11[[#This Row],[spawner_sku]])-FIND("/",Table11[[#This Row],[spawner_sku]])),Table28[Entity Prefab],0)),25,1,1,"Entities"))</f>
        <v>no</v>
      </c>
      <c r="CS556" s="71">
        <v>1</v>
      </c>
      <c r="CT556" s="71">
        <v>1</v>
      </c>
      <c r="CU556" s="71" t="b">
        <v>0</v>
      </c>
      <c r="DS556" t="s">
        <v>465</v>
      </c>
      <c r="DT556">
        <v>1</v>
      </c>
      <c r="DU556">
        <v>100</v>
      </c>
      <c r="DV556">
        <v>30</v>
      </c>
      <c r="DW556" s="74">
        <f ca="1">INDIRECT(ADDRESS(11+(MATCH(RIGHT(Table14[[#This Row],[spawner_sku]],LEN(Table14[[#This Row],[spawner_sku]])-FIND("/",Table14[[#This Row],[spawner_sku]])),Table1[Entity Prefab],0)),10,1,1,"Entities"))</f>
        <v>25</v>
      </c>
      <c r="DX556" s="74">
        <f ca="1">ROUND((Table14[[#This Row],[XP]]*Table14[[#This Row],[entity_spawned (AVG)]])*(Table14[[#This Row],[activating_chance]]/100),0)</f>
        <v>8</v>
      </c>
      <c r="DY556" s="144" t="str">
        <f ca="1">INDIRECT(ADDRESS(11+(MATCH(RIGHT(Table14[[#This Row],[spawner_sku]],LEN(Table14[[#This Row],[spawner_sku]])-FIND("/",Table14[[#This Row],[spawner_sku]])),Table28[Entity Prefab],0)),25,1,1,"Entities"))</f>
        <v>no</v>
      </c>
      <c r="DZ556" s="71">
        <v>1</v>
      </c>
      <c r="EA556" s="71">
        <v>1</v>
      </c>
      <c r="EB556" s="71" t="b">
        <v>0</v>
      </c>
      <c r="EC556" s="71"/>
    </row>
    <row r="557" spans="2:133" x14ac:dyDescent="0.25">
      <c r="B557" s="72" t="s">
        <v>242</v>
      </c>
      <c r="C557">
        <v>1</v>
      </c>
      <c r="D557">
        <v>120</v>
      </c>
      <c r="E557">
        <v>80</v>
      </c>
      <c r="F557" s="74">
        <f ca="1">INDIRECT(ADDRESS(11+(MATCH(RIGHT(Table245[[#This Row],[spawner_sku]],LEN(Table245[[#This Row],[spawner_sku]])-FIND("/",Table245[[#This Row],[spawner_sku]])),Table1[Entity Prefab],0)),10,1,1,"Entities"))</f>
        <v>25</v>
      </c>
      <c r="G557" s="74">
        <f ca="1">ROUND((Table245[[#This Row],[XP]]*Table245[[#This Row],[entity_spawned (AVG)]])*(Table245[[#This Row],[activating_chance]]/100),0)</f>
        <v>20</v>
      </c>
      <c r="H557" s="71" t="str">
        <f ca="1">INDIRECT(ADDRESS(11+(MATCH(RIGHT(Table245[[#This Row],[spawner_sku]],LEN(Table245[[#This Row],[spawner_sku]])-FIND("/",Table245[[#This Row],[spawner_sku]])),Table28[Entity Prefab],0)),24,1,1,"Entities"))</f>
        <v>no</v>
      </c>
      <c r="I557" s="71">
        <v>1</v>
      </c>
      <c r="J557" s="71">
        <v>1</v>
      </c>
      <c r="K557" s="71" t="b">
        <v>0</v>
      </c>
      <c r="CL557" t="s">
        <v>242</v>
      </c>
      <c r="CM557">
        <v>1</v>
      </c>
      <c r="CN557">
        <v>80</v>
      </c>
      <c r="CO557">
        <v>100</v>
      </c>
      <c r="CP557" s="74">
        <f ca="1">INDIRECT(ADDRESS(11+(MATCH(RIGHT(Table11[[#This Row],[spawner_sku]],LEN(Table11[[#This Row],[spawner_sku]])-FIND("/",Table11[[#This Row],[spawner_sku]])),Table1[Entity Prefab],0)),10,1,1,"Entities"))</f>
        <v>25</v>
      </c>
      <c r="CQ557">
        <f ca="1">ROUND((Table11[[#This Row],[XP]]*Table11[[#This Row],[entity_spawned (AVG)]])*(Table11[[#This Row],[activating_chance]]/100),0)</f>
        <v>25</v>
      </c>
      <c r="CR557" s="144" t="str">
        <f ca="1">INDIRECT(ADDRESS(11+(MATCH(RIGHT(Table11[[#This Row],[spawner_sku]],LEN(Table11[[#This Row],[spawner_sku]])-FIND("/",Table11[[#This Row],[spawner_sku]])),Table28[Entity Prefab],0)),25,1,1,"Entities"))</f>
        <v>no</v>
      </c>
      <c r="CS557" s="71">
        <v>1</v>
      </c>
      <c r="CT557" s="71">
        <v>1</v>
      </c>
      <c r="CU557" s="71" t="b">
        <v>0</v>
      </c>
      <c r="DS557" t="s">
        <v>465</v>
      </c>
      <c r="DT557">
        <v>1</v>
      </c>
      <c r="DU557">
        <v>100</v>
      </c>
      <c r="DV557">
        <v>30</v>
      </c>
      <c r="DW557" s="74">
        <f ca="1">INDIRECT(ADDRESS(11+(MATCH(RIGHT(Table14[[#This Row],[spawner_sku]],LEN(Table14[[#This Row],[spawner_sku]])-FIND("/",Table14[[#This Row],[spawner_sku]])),Table1[Entity Prefab],0)),10,1,1,"Entities"))</f>
        <v>25</v>
      </c>
      <c r="DX557" s="74">
        <f ca="1">ROUND((Table14[[#This Row],[XP]]*Table14[[#This Row],[entity_spawned (AVG)]])*(Table14[[#This Row],[activating_chance]]/100),0)</f>
        <v>8</v>
      </c>
      <c r="DY557" s="144" t="str">
        <f ca="1">INDIRECT(ADDRESS(11+(MATCH(RIGHT(Table14[[#This Row],[spawner_sku]],LEN(Table14[[#This Row],[spawner_sku]])-FIND("/",Table14[[#This Row],[spawner_sku]])),Table28[Entity Prefab],0)),25,1,1,"Entities"))</f>
        <v>no</v>
      </c>
      <c r="DZ557" s="71">
        <v>1</v>
      </c>
      <c r="EA557" s="71">
        <v>1</v>
      </c>
      <c r="EB557" s="71" t="b">
        <v>0</v>
      </c>
      <c r="EC557" s="71"/>
    </row>
    <row r="558" spans="2:133" x14ac:dyDescent="0.25">
      <c r="B558" s="72" t="s">
        <v>242</v>
      </c>
      <c r="C558">
        <v>1</v>
      </c>
      <c r="D558">
        <v>150</v>
      </c>
      <c r="E558">
        <v>100</v>
      </c>
      <c r="F558" s="74">
        <f ca="1">INDIRECT(ADDRESS(11+(MATCH(RIGHT(Table245[[#This Row],[spawner_sku]],LEN(Table245[[#This Row],[spawner_sku]])-FIND("/",Table245[[#This Row],[spawner_sku]])),Table1[Entity Prefab],0)),10,1,1,"Entities"))</f>
        <v>25</v>
      </c>
      <c r="G558" s="74">
        <f ca="1">ROUND((Table245[[#This Row],[XP]]*Table245[[#This Row],[entity_spawned (AVG)]])*(Table245[[#This Row],[activating_chance]]/100),0)</f>
        <v>25</v>
      </c>
      <c r="H558" s="71" t="str">
        <f ca="1">INDIRECT(ADDRESS(11+(MATCH(RIGHT(Table245[[#This Row],[spawner_sku]],LEN(Table245[[#This Row],[spawner_sku]])-FIND("/",Table245[[#This Row],[spawner_sku]])),Table28[Entity Prefab],0)),24,1,1,"Entities"))</f>
        <v>no</v>
      </c>
      <c r="I558" s="71">
        <v>1</v>
      </c>
      <c r="J558" s="71">
        <v>1</v>
      </c>
      <c r="K558" s="71" t="b">
        <v>0</v>
      </c>
      <c r="CL558" t="s">
        <v>242</v>
      </c>
      <c r="CM558">
        <v>1</v>
      </c>
      <c r="CN558">
        <v>80</v>
      </c>
      <c r="CO558">
        <v>100</v>
      </c>
      <c r="CP558" s="74">
        <f ca="1">INDIRECT(ADDRESS(11+(MATCH(RIGHT(Table11[[#This Row],[spawner_sku]],LEN(Table11[[#This Row],[spawner_sku]])-FIND("/",Table11[[#This Row],[spawner_sku]])),Table1[Entity Prefab],0)),10,1,1,"Entities"))</f>
        <v>25</v>
      </c>
      <c r="CQ558">
        <f ca="1">ROUND((Table11[[#This Row],[XP]]*Table11[[#This Row],[entity_spawned (AVG)]])*(Table11[[#This Row],[activating_chance]]/100),0)</f>
        <v>25</v>
      </c>
      <c r="CR558" s="144" t="str">
        <f ca="1">INDIRECT(ADDRESS(11+(MATCH(RIGHT(Table11[[#This Row],[spawner_sku]],LEN(Table11[[#This Row],[spawner_sku]])-FIND("/",Table11[[#This Row],[spawner_sku]])),Table28[Entity Prefab],0)),25,1,1,"Entities"))</f>
        <v>no</v>
      </c>
      <c r="CS558" s="71">
        <v>1</v>
      </c>
      <c r="CT558" s="71">
        <v>1</v>
      </c>
      <c r="CU558" s="71" t="b">
        <v>0</v>
      </c>
      <c r="DS558" t="s">
        <v>465</v>
      </c>
      <c r="DT558">
        <v>1</v>
      </c>
      <c r="DU558">
        <v>100</v>
      </c>
      <c r="DV558">
        <v>30</v>
      </c>
      <c r="DW558" s="74">
        <f ca="1">INDIRECT(ADDRESS(11+(MATCH(RIGHT(Table14[[#This Row],[spawner_sku]],LEN(Table14[[#This Row],[spawner_sku]])-FIND("/",Table14[[#This Row],[spawner_sku]])),Table1[Entity Prefab],0)),10,1,1,"Entities"))</f>
        <v>25</v>
      </c>
      <c r="DX558" s="74">
        <f ca="1">ROUND((Table14[[#This Row],[XP]]*Table14[[#This Row],[entity_spawned (AVG)]])*(Table14[[#This Row],[activating_chance]]/100),0)</f>
        <v>8</v>
      </c>
      <c r="DY558" s="144" t="str">
        <f ca="1">INDIRECT(ADDRESS(11+(MATCH(RIGHT(Table14[[#This Row],[spawner_sku]],LEN(Table14[[#This Row],[spawner_sku]])-FIND("/",Table14[[#This Row],[spawner_sku]])),Table28[Entity Prefab],0)),25,1,1,"Entities"))</f>
        <v>no</v>
      </c>
      <c r="DZ558" s="71">
        <v>1</v>
      </c>
      <c r="EA558" s="71">
        <v>1</v>
      </c>
      <c r="EB558" s="71" t="b">
        <v>0</v>
      </c>
      <c r="EC558" s="71"/>
    </row>
    <row r="559" spans="2:133" x14ac:dyDescent="0.25">
      <c r="B559" s="72" t="s">
        <v>242</v>
      </c>
      <c r="C559">
        <v>1</v>
      </c>
      <c r="D559">
        <v>150</v>
      </c>
      <c r="E559">
        <v>100</v>
      </c>
      <c r="F559" s="74">
        <f ca="1">INDIRECT(ADDRESS(11+(MATCH(RIGHT(Table245[[#This Row],[spawner_sku]],LEN(Table245[[#This Row],[spawner_sku]])-FIND("/",Table245[[#This Row],[spawner_sku]])),Table1[Entity Prefab],0)),10,1,1,"Entities"))</f>
        <v>25</v>
      </c>
      <c r="G559" s="74">
        <f ca="1">ROUND((Table245[[#This Row],[XP]]*Table245[[#This Row],[entity_spawned (AVG)]])*(Table245[[#This Row],[activating_chance]]/100),0)</f>
        <v>25</v>
      </c>
      <c r="H559" s="71" t="str">
        <f ca="1">INDIRECT(ADDRESS(11+(MATCH(RIGHT(Table245[[#This Row],[spawner_sku]],LEN(Table245[[#This Row],[spawner_sku]])-FIND("/",Table245[[#This Row],[spawner_sku]])),Table28[Entity Prefab],0)),24,1,1,"Entities"))</f>
        <v>no</v>
      </c>
      <c r="I559" s="71">
        <v>1</v>
      </c>
      <c r="J559" s="71">
        <v>1</v>
      </c>
      <c r="K559" s="71" t="b">
        <v>0</v>
      </c>
      <c r="CL559" t="s">
        <v>242</v>
      </c>
      <c r="CM559">
        <v>1</v>
      </c>
      <c r="CN559">
        <v>80</v>
      </c>
      <c r="CO559">
        <v>100</v>
      </c>
      <c r="CP559" s="74">
        <f ca="1">INDIRECT(ADDRESS(11+(MATCH(RIGHT(Table11[[#This Row],[spawner_sku]],LEN(Table11[[#This Row],[spawner_sku]])-FIND("/",Table11[[#This Row],[spawner_sku]])),Table1[Entity Prefab],0)),10,1,1,"Entities"))</f>
        <v>25</v>
      </c>
      <c r="CQ559">
        <f ca="1">ROUND((Table11[[#This Row],[XP]]*Table11[[#This Row],[entity_spawned (AVG)]])*(Table11[[#This Row],[activating_chance]]/100),0)</f>
        <v>25</v>
      </c>
      <c r="CR559" s="144" t="str">
        <f ca="1">INDIRECT(ADDRESS(11+(MATCH(RIGHT(Table11[[#This Row],[spawner_sku]],LEN(Table11[[#This Row],[spawner_sku]])-FIND("/",Table11[[#This Row],[spawner_sku]])),Table28[Entity Prefab],0)),25,1,1,"Entities"))</f>
        <v>no</v>
      </c>
      <c r="CS559" s="71">
        <v>1</v>
      </c>
      <c r="CT559" s="71">
        <v>1</v>
      </c>
      <c r="CU559" s="71" t="b">
        <v>0</v>
      </c>
      <c r="DS559" t="s">
        <v>465</v>
      </c>
      <c r="DT559">
        <v>1</v>
      </c>
      <c r="DU559">
        <v>100</v>
      </c>
      <c r="DV559">
        <v>100</v>
      </c>
      <c r="DW559" s="74">
        <f ca="1">INDIRECT(ADDRESS(11+(MATCH(RIGHT(Table14[[#This Row],[spawner_sku]],LEN(Table14[[#This Row],[spawner_sku]])-FIND("/",Table14[[#This Row],[spawner_sku]])),Table1[Entity Prefab],0)),10,1,1,"Entities"))</f>
        <v>25</v>
      </c>
      <c r="DX559" s="74">
        <f ca="1">ROUND((Table14[[#This Row],[XP]]*Table14[[#This Row],[entity_spawned (AVG)]])*(Table14[[#This Row],[activating_chance]]/100),0)</f>
        <v>25</v>
      </c>
      <c r="DY559" s="144" t="str">
        <f ca="1">INDIRECT(ADDRESS(11+(MATCH(RIGHT(Table14[[#This Row],[spawner_sku]],LEN(Table14[[#This Row],[spawner_sku]])-FIND("/",Table14[[#This Row],[spawner_sku]])),Table28[Entity Prefab],0)),25,1,1,"Entities"))</f>
        <v>no</v>
      </c>
      <c r="DZ559" s="71">
        <v>1</v>
      </c>
      <c r="EA559" s="71">
        <v>1</v>
      </c>
      <c r="EB559" s="71" t="b">
        <v>0</v>
      </c>
      <c r="EC559" s="71"/>
    </row>
    <row r="560" spans="2:133" x14ac:dyDescent="0.25">
      <c r="B560" s="72" t="s">
        <v>242</v>
      </c>
      <c r="C560">
        <v>3</v>
      </c>
      <c r="D560">
        <v>140</v>
      </c>
      <c r="E560">
        <v>100</v>
      </c>
      <c r="F560" s="74">
        <f ca="1">INDIRECT(ADDRESS(11+(MATCH(RIGHT(Table245[[#This Row],[spawner_sku]],LEN(Table245[[#This Row],[spawner_sku]])-FIND("/",Table245[[#This Row],[spawner_sku]])),Table1[Entity Prefab],0)),10,1,1,"Entities"))</f>
        <v>25</v>
      </c>
      <c r="G560" s="74">
        <f ca="1">ROUND((Table245[[#This Row],[XP]]*Table245[[#This Row],[entity_spawned (AVG)]])*(Table245[[#This Row],[activating_chance]]/100),0)</f>
        <v>75</v>
      </c>
      <c r="H560" s="71" t="str">
        <f ca="1">INDIRECT(ADDRESS(11+(MATCH(RIGHT(Table245[[#This Row],[spawner_sku]],LEN(Table245[[#This Row],[spawner_sku]])-FIND("/",Table245[[#This Row],[spawner_sku]])),Table28[Entity Prefab],0)),24,1,1,"Entities"))</f>
        <v>no</v>
      </c>
      <c r="I560" s="71">
        <v>2</v>
      </c>
      <c r="J560" s="71">
        <v>4</v>
      </c>
      <c r="K560" s="71" t="b">
        <v>0</v>
      </c>
      <c r="CL560" t="s">
        <v>242</v>
      </c>
      <c r="CM560">
        <v>2</v>
      </c>
      <c r="CN560">
        <v>120</v>
      </c>
      <c r="CO560">
        <v>100</v>
      </c>
      <c r="CP560" s="74">
        <f ca="1">INDIRECT(ADDRESS(11+(MATCH(RIGHT(Table11[[#This Row],[spawner_sku]],LEN(Table11[[#This Row],[spawner_sku]])-FIND("/",Table11[[#This Row],[spawner_sku]])),Table1[Entity Prefab],0)),10,1,1,"Entities"))</f>
        <v>25</v>
      </c>
      <c r="CQ560">
        <f ca="1">ROUND((Table11[[#This Row],[XP]]*Table11[[#This Row],[entity_spawned (AVG)]])*(Table11[[#This Row],[activating_chance]]/100),0)</f>
        <v>50</v>
      </c>
      <c r="CR560" s="144" t="str">
        <f ca="1">INDIRECT(ADDRESS(11+(MATCH(RIGHT(Table11[[#This Row],[spawner_sku]],LEN(Table11[[#This Row],[spawner_sku]])-FIND("/",Table11[[#This Row],[spawner_sku]])),Table28[Entity Prefab],0)),25,1,1,"Entities"))</f>
        <v>no</v>
      </c>
      <c r="CS560" s="71">
        <v>2</v>
      </c>
      <c r="CT560" s="71">
        <v>2</v>
      </c>
      <c r="CU560" s="71" t="b">
        <v>0</v>
      </c>
      <c r="DS560" t="s">
        <v>465</v>
      </c>
      <c r="DT560">
        <v>1</v>
      </c>
      <c r="DU560">
        <v>100</v>
      </c>
      <c r="DV560">
        <v>100</v>
      </c>
      <c r="DW560" s="74">
        <f ca="1">INDIRECT(ADDRESS(11+(MATCH(RIGHT(Table14[[#This Row],[spawner_sku]],LEN(Table14[[#This Row],[spawner_sku]])-FIND("/",Table14[[#This Row],[spawner_sku]])),Table1[Entity Prefab],0)),10,1,1,"Entities"))</f>
        <v>25</v>
      </c>
      <c r="DX560" s="74">
        <f ca="1">ROUND((Table14[[#This Row],[XP]]*Table14[[#This Row],[entity_spawned (AVG)]])*(Table14[[#This Row],[activating_chance]]/100),0)</f>
        <v>25</v>
      </c>
      <c r="DY560" s="144" t="str">
        <f ca="1">INDIRECT(ADDRESS(11+(MATCH(RIGHT(Table14[[#This Row],[spawner_sku]],LEN(Table14[[#This Row],[spawner_sku]])-FIND("/",Table14[[#This Row],[spawner_sku]])),Table28[Entity Prefab],0)),25,1,1,"Entities"))</f>
        <v>no</v>
      </c>
      <c r="DZ560" s="71">
        <v>1</v>
      </c>
      <c r="EA560" s="71">
        <v>1</v>
      </c>
      <c r="EB560" s="71" t="b">
        <v>0</v>
      </c>
      <c r="EC560" s="71"/>
    </row>
    <row r="561" spans="2:133" x14ac:dyDescent="0.25">
      <c r="B561" s="72" t="s">
        <v>242</v>
      </c>
      <c r="C561">
        <v>1</v>
      </c>
      <c r="D561">
        <v>160</v>
      </c>
      <c r="E561">
        <v>40</v>
      </c>
      <c r="F561" s="74">
        <f ca="1">INDIRECT(ADDRESS(11+(MATCH(RIGHT(Table245[[#This Row],[spawner_sku]],LEN(Table245[[#This Row],[spawner_sku]])-FIND("/",Table245[[#This Row],[spawner_sku]])),Table1[Entity Prefab],0)),10,1,1,"Entities"))</f>
        <v>25</v>
      </c>
      <c r="G561" s="74">
        <f ca="1">ROUND((Table245[[#This Row],[XP]]*Table245[[#This Row],[entity_spawned (AVG)]])*(Table245[[#This Row],[activating_chance]]/100),0)</f>
        <v>10</v>
      </c>
      <c r="H561" s="71" t="str">
        <f ca="1">INDIRECT(ADDRESS(11+(MATCH(RIGHT(Table245[[#This Row],[spawner_sku]],LEN(Table245[[#This Row],[spawner_sku]])-FIND("/",Table245[[#This Row],[spawner_sku]])),Table28[Entity Prefab],0)),24,1,1,"Entities"))</f>
        <v>no</v>
      </c>
      <c r="I561" s="71">
        <v>1</v>
      </c>
      <c r="J561" s="71">
        <v>1</v>
      </c>
      <c r="K561" s="71" t="b">
        <v>0</v>
      </c>
      <c r="CL561" t="s">
        <v>242</v>
      </c>
      <c r="CM561">
        <v>1</v>
      </c>
      <c r="CN561">
        <v>150</v>
      </c>
      <c r="CO561">
        <v>60</v>
      </c>
      <c r="CP561" s="74">
        <f ca="1">INDIRECT(ADDRESS(11+(MATCH(RIGHT(Table11[[#This Row],[spawner_sku]],LEN(Table11[[#This Row],[spawner_sku]])-FIND("/",Table11[[#This Row],[spawner_sku]])),Table1[Entity Prefab],0)),10,1,1,"Entities"))</f>
        <v>25</v>
      </c>
      <c r="CQ561">
        <f ca="1">ROUND((Table11[[#This Row],[XP]]*Table11[[#This Row],[entity_spawned (AVG)]])*(Table11[[#This Row],[activating_chance]]/100),0)</f>
        <v>15</v>
      </c>
      <c r="CR561" s="144" t="str">
        <f ca="1">INDIRECT(ADDRESS(11+(MATCH(RIGHT(Table11[[#This Row],[spawner_sku]],LEN(Table11[[#This Row],[spawner_sku]])-FIND("/",Table11[[#This Row],[spawner_sku]])),Table28[Entity Prefab],0)),25,1,1,"Entities"))</f>
        <v>no</v>
      </c>
      <c r="CS561" s="71">
        <v>1</v>
      </c>
      <c r="CT561" s="71">
        <v>1</v>
      </c>
      <c r="CU561" s="71" t="b">
        <v>0</v>
      </c>
      <c r="DS561" t="s">
        <v>465</v>
      </c>
      <c r="DT561">
        <v>1</v>
      </c>
      <c r="DU561">
        <v>100</v>
      </c>
      <c r="DV561">
        <v>80</v>
      </c>
      <c r="DW561" s="74">
        <f ca="1">INDIRECT(ADDRESS(11+(MATCH(RIGHT(Table14[[#This Row],[spawner_sku]],LEN(Table14[[#This Row],[spawner_sku]])-FIND("/",Table14[[#This Row],[spawner_sku]])),Table1[Entity Prefab],0)),10,1,1,"Entities"))</f>
        <v>25</v>
      </c>
      <c r="DX561" s="74">
        <f ca="1">ROUND((Table14[[#This Row],[XP]]*Table14[[#This Row],[entity_spawned (AVG)]])*(Table14[[#This Row],[activating_chance]]/100),0)</f>
        <v>20</v>
      </c>
      <c r="DY561" s="144" t="str">
        <f ca="1">INDIRECT(ADDRESS(11+(MATCH(RIGHT(Table14[[#This Row],[spawner_sku]],LEN(Table14[[#This Row],[spawner_sku]])-FIND("/",Table14[[#This Row],[spawner_sku]])),Table28[Entity Prefab],0)),25,1,1,"Entities"))</f>
        <v>no</v>
      </c>
      <c r="DZ561" s="71">
        <v>1</v>
      </c>
      <c r="EA561" s="71">
        <v>1</v>
      </c>
      <c r="EB561" s="71" t="b">
        <v>0</v>
      </c>
      <c r="EC561" s="71"/>
    </row>
    <row r="562" spans="2:133" x14ac:dyDescent="0.25">
      <c r="B562" s="72" t="s">
        <v>242</v>
      </c>
      <c r="C562">
        <v>1</v>
      </c>
      <c r="D562">
        <v>170</v>
      </c>
      <c r="E562">
        <v>100</v>
      </c>
      <c r="F562" s="74">
        <f ca="1">INDIRECT(ADDRESS(11+(MATCH(RIGHT(Table245[[#This Row],[spawner_sku]],LEN(Table245[[#This Row],[spawner_sku]])-FIND("/",Table245[[#This Row],[spawner_sku]])),Table1[Entity Prefab],0)),10,1,1,"Entities"))</f>
        <v>25</v>
      </c>
      <c r="G562" s="74">
        <f ca="1">ROUND((Table245[[#This Row],[XP]]*Table245[[#This Row],[entity_spawned (AVG)]])*(Table245[[#This Row],[activating_chance]]/100),0)</f>
        <v>25</v>
      </c>
      <c r="H562" s="71" t="str">
        <f ca="1">INDIRECT(ADDRESS(11+(MATCH(RIGHT(Table245[[#This Row],[spawner_sku]],LEN(Table245[[#This Row],[spawner_sku]])-FIND("/",Table245[[#This Row],[spawner_sku]])),Table28[Entity Prefab],0)),24,1,1,"Entities"))</f>
        <v>no</v>
      </c>
      <c r="I562" s="71">
        <v>1</v>
      </c>
      <c r="J562" s="71">
        <v>1</v>
      </c>
      <c r="K562" s="71" t="b">
        <v>0</v>
      </c>
      <c r="CL562" t="s">
        <v>242</v>
      </c>
      <c r="CM562">
        <v>1</v>
      </c>
      <c r="CN562">
        <v>150</v>
      </c>
      <c r="CO562">
        <v>20</v>
      </c>
      <c r="CP562" s="74">
        <f ca="1">INDIRECT(ADDRESS(11+(MATCH(RIGHT(Table11[[#This Row],[spawner_sku]],LEN(Table11[[#This Row],[spawner_sku]])-FIND("/",Table11[[#This Row],[spawner_sku]])),Table1[Entity Prefab],0)),10,1,1,"Entities"))</f>
        <v>25</v>
      </c>
      <c r="CQ562">
        <f ca="1">ROUND((Table11[[#This Row],[XP]]*Table11[[#This Row],[entity_spawned (AVG)]])*(Table11[[#This Row],[activating_chance]]/100),0)</f>
        <v>5</v>
      </c>
      <c r="CR562" s="144" t="str">
        <f ca="1">INDIRECT(ADDRESS(11+(MATCH(RIGHT(Table11[[#This Row],[spawner_sku]],LEN(Table11[[#This Row],[spawner_sku]])-FIND("/",Table11[[#This Row],[spawner_sku]])),Table28[Entity Prefab],0)),25,1,1,"Entities"))</f>
        <v>no</v>
      </c>
      <c r="CS562" s="71">
        <v>1</v>
      </c>
      <c r="CT562" s="71">
        <v>1</v>
      </c>
      <c r="CU562" s="71" t="b">
        <v>0</v>
      </c>
      <c r="DS562" t="s">
        <v>465</v>
      </c>
      <c r="DT562">
        <v>1</v>
      </c>
      <c r="DU562">
        <v>100</v>
      </c>
      <c r="DV562">
        <v>100</v>
      </c>
      <c r="DW562" s="74">
        <f ca="1">INDIRECT(ADDRESS(11+(MATCH(RIGHT(Table14[[#This Row],[spawner_sku]],LEN(Table14[[#This Row],[spawner_sku]])-FIND("/",Table14[[#This Row],[spawner_sku]])),Table1[Entity Prefab],0)),10,1,1,"Entities"))</f>
        <v>25</v>
      </c>
      <c r="DX562" s="74">
        <f ca="1">ROUND((Table14[[#This Row],[XP]]*Table14[[#This Row],[entity_spawned (AVG)]])*(Table14[[#This Row],[activating_chance]]/100),0)</f>
        <v>25</v>
      </c>
      <c r="DY562" s="144" t="str">
        <f ca="1">INDIRECT(ADDRESS(11+(MATCH(RIGHT(Table14[[#This Row],[spawner_sku]],LEN(Table14[[#This Row],[spawner_sku]])-FIND("/",Table14[[#This Row],[spawner_sku]])),Table28[Entity Prefab],0)),25,1,1,"Entities"))</f>
        <v>no</v>
      </c>
      <c r="DZ562" s="71">
        <v>1</v>
      </c>
      <c r="EA562" s="71">
        <v>1</v>
      </c>
      <c r="EB562" s="71" t="b">
        <v>0</v>
      </c>
      <c r="EC562" s="71"/>
    </row>
    <row r="563" spans="2:133" x14ac:dyDescent="0.25">
      <c r="B563" s="72" t="s">
        <v>242</v>
      </c>
      <c r="C563">
        <v>1</v>
      </c>
      <c r="D563">
        <v>140</v>
      </c>
      <c r="E563">
        <v>100</v>
      </c>
      <c r="F563" s="74">
        <f ca="1">INDIRECT(ADDRESS(11+(MATCH(RIGHT(Table245[[#This Row],[spawner_sku]],LEN(Table245[[#This Row],[spawner_sku]])-FIND("/",Table245[[#This Row],[spawner_sku]])),Table1[Entity Prefab],0)),10,1,1,"Entities"))</f>
        <v>25</v>
      </c>
      <c r="G563" s="74">
        <f ca="1">ROUND((Table245[[#This Row],[XP]]*Table245[[#This Row],[entity_spawned (AVG)]])*(Table245[[#This Row],[activating_chance]]/100),0)</f>
        <v>25</v>
      </c>
      <c r="H563" s="71" t="str">
        <f ca="1">INDIRECT(ADDRESS(11+(MATCH(RIGHT(Table245[[#This Row],[spawner_sku]],LEN(Table245[[#This Row],[spawner_sku]])-FIND("/",Table245[[#This Row],[spawner_sku]])),Table28[Entity Prefab],0)),24,1,1,"Entities"))</f>
        <v>no</v>
      </c>
      <c r="I563" s="71">
        <v>1</v>
      </c>
      <c r="J563" s="71">
        <v>1</v>
      </c>
      <c r="K563" s="71" t="b">
        <v>0</v>
      </c>
      <c r="CL563" t="s">
        <v>242</v>
      </c>
      <c r="CM563">
        <v>1</v>
      </c>
      <c r="CN563">
        <v>150</v>
      </c>
      <c r="CO563">
        <v>80</v>
      </c>
      <c r="CP563" s="74">
        <f ca="1">INDIRECT(ADDRESS(11+(MATCH(RIGHT(Table11[[#This Row],[spawner_sku]],LEN(Table11[[#This Row],[spawner_sku]])-FIND("/",Table11[[#This Row],[spawner_sku]])),Table1[Entity Prefab],0)),10,1,1,"Entities"))</f>
        <v>25</v>
      </c>
      <c r="CQ563">
        <f ca="1">ROUND((Table11[[#This Row],[XP]]*Table11[[#This Row],[entity_spawned (AVG)]])*(Table11[[#This Row],[activating_chance]]/100),0)</f>
        <v>20</v>
      </c>
      <c r="CR563" s="144" t="str">
        <f ca="1">INDIRECT(ADDRESS(11+(MATCH(RIGHT(Table11[[#This Row],[spawner_sku]],LEN(Table11[[#This Row],[spawner_sku]])-FIND("/",Table11[[#This Row],[spawner_sku]])),Table28[Entity Prefab],0)),25,1,1,"Entities"))</f>
        <v>no</v>
      </c>
      <c r="CS563" s="71">
        <v>1</v>
      </c>
      <c r="CT563" s="71">
        <v>1</v>
      </c>
      <c r="CU563" s="71" t="b">
        <v>0</v>
      </c>
      <c r="DS563" t="s">
        <v>377</v>
      </c>
      <c r="DT563">
        <v>5</v>
      </c>
      <c r="DU563">
        <v>100</v>
      </c>
      <c r="DV563">
        <v>100</v>
      </c>
      <c r="DW563" s="74">
        <f ca="1">INDIRECT(ADDRESS(11+(MATCH(RIGHT(Table14[[#This Row],[spawner_sku]],LEN(Table14[[#This Row],[spawner_sku]])-FIND("/",Table14[[#This Row],[spawner_sku]])),Table1[Entity Prefab],0)),10,1,1,"Entities"))</f>
        <v>25</v>
      </c>
      <c r="DX563" s="74">
        <f ca="1">ROUND((Table14[[#This Row],[XP]]*Table14[[#This Row],[entity_spawned (AVG)]])*(Table14[[#This Row],[activating_chance]]/100),0)</f>
        <v>125</v>
      </c>
      <c r="DY563" s="144" t="str">
        <f ca="1">INDIRECT(ADDRESS(11+(MATCH(RIGHT(Table14[[#This Row],[spawner_sku]],LEN(Table14[[#This Row],[spawner_sku]])-FIND("/",Table14[[#This Row],[spawner_sku]])),Table28[Entity Prefab],0)),25,1,1,"Entities"))</f>
        <v>no</v>
      </c>
      <c r="DZ563" s="71">
        <v>5</v>
      </c>
      <c r="EA563" s="71">
        <v>5</v>
      </c>
      <c r="EB563" s="71" t="b">
        <v>1</v>
      </c>
      <c r="EC563" s="71"/>
    </row>
    <row r="564" spans="2:133" x14ac:dyDescent="0.25">
      <c r="B564" s="72" t="s">
        <v>242</v>
      </c>
      <c r="C564">
        <v>2</v>
      </c>
      <c r="D564">
        <v>160</v>
      </c>
      <c r="E564">
        <v>80</v>
      </c>
      <c r="F564" s="74">
        <f ca="1">INDIRECT(ADDRESS(11+(MATCH(RIGHT(Table245[[#This Row],[spawner_sku]],LEN(Table245[[#This Row],[spawner_sku]])-FIND("/",Table245[[#This Row],[spawner_sku]])),Table1[Entity Prefab],0)),10,1,1,"Entities"))</f>
        <v>25</v>
      </c>
      <c r="G564" s="74">
        <f ca="1">ROUND((Table245[[#This Row],[XP]]*Table245[[#This Row],[entity_spawned (AVG)]])*(Table245[[#This Row],[activating_chance]]/100),0)</f>
        <v>40</v>
      </c>
      <c r="H564" s="71" t="str">
        <f ca="1">INDIRECT(ADDRESS(11+(MATCH(RIGHT(Table245[[#This Row],[spawner_sku]],LEN(Table245[[#This Row],[spawner_sku]])-FIND("/",Table245[[#This Row],[spawner_sku]])),Table28[Entity Prefab],0)),24,1,1,"Entities"))</f>
        <v>no</v>
      </c>
      <c r="I564" s="71">
        <v>2</v>
      </c>
      <c r="J564" s="71">
        <v>2</v>
      </c>
      <c r="K564" s="71" t="b">
        <v>0</v>
      </c>
      <c r="CL564" t="s">
        <v>242</v>
      </c>
      <c r="CM564">
        <v>1</v>
      </c>
      <c r="CN564">
        <v>150</v>
      </c>
      <c r="CO564">
        <v>100</v>
      </c>
      <c r="CP564" s="74">
        <f ca="1">INDIRECT(ADDRESS(11+(MATCH(RIGHT(Table11[[#This Row],[spawner_sku]],LEN(Table11[[#This Row],[spawner_sku]])-FIND("/",Table11[[#This Row],[spawner_sku]])),Table1[Entity Prefab],0)),10,1,1,"Entities"))</f>
        <v>25</v>
      </c>
      <c r="CQ564">
        <f ca="1">ROUND((Table11[[#This Row],[XP]]*Table11[[#This Row],[entity_spawned (AVG)]])*(Table11[[#This Row],[activating_chance]]/100),0)</f>
        <v>25</v>
      </c>
      <c r="CR564" s="144" t="str">
        <f ca="1">INDIRECT(ADDRESS(11+(MATCH(RIGHT(Table11[[#This Row],[spawner_sku]],LEN(Table11[[#This Row],[spawner_sku]])-FIND("/",Table11[[#This Row],[spawner_sku]])),Table28[Entity Prefab],0)),25,1,1,"Entities"))</f>
        <v>no</v>
      </c>
      <c r="CS564" s="71">
        <v>1</v>
      </c>
      <c r="CT564" s="71">
        <v>1</v>
      </c>
      <c r="CU564" s="71" t="b">
        <v>0</v>
      </c>
      <c r="DS564" t="s">
        <v>377</v>
      </c>
      <c r="DT564">
        <v>3.5</v>
      </c>
      <c r="DU564">
        <v>80</v>
      </c>
      <c r="DV564">
        <v>30</v>
      </c>
      <c r="DW564" s="74">
        <f ca="1">INDIRECT(ADDRESS(11+(MATCH(RIGHT(Table14[[#This Row],[spawner_sku]],LEN(Table14[[#This Row],[spawner_sku]])-FIND("/",Table14[[#This Row],[spawner_sku]])),Table1[Entity Prefab],0)),10,1,1,"Entities"))</f>
        <v>25</v>
      </c>
      <c r="DX564" s="74">
        <f ca="1">ROUND((Table14[[#This Row],[XP]]*Table14[[#This Row],[entity_spawned (AVG)]])*(Table14[[#This Row],[activating_chance]]/100),0)</f>
        <v>26</v>
      </c>
      <c r="DY564" s="144" t="str">
        <f ca="1">INDIRECT(ADDRESS(11+(MATCH(RIGHT(Table14[[#This Row],[spawner_sku]],LEN(Table14[[#This Row],[spawner_sku]])-FIND("/",Table14[[#This Row],[spawner_sku]])),Table28[Entity Prefab],0)),25,1,1,"Entities"))</f>
        <v>no</v>
      </c>
      <c r="DZ564" s="71">
        <v>3</v>
      </c>
      <c r="EA564" s="71">
        <v>4</v>
      </c>
      <c r="EB564" s="71" t="b">
        <v>0</v>
      </c>
      <c r="EC564" s="71"/>
    </row>
    <row r="565" spans="2:133" x14ac:dyDescent="0.25">
      <c r="B565" s="72" t="s">
        <v>242</v>
      </c>
      <c r="C565">
        <v>1</v>
      </c>
      <c r="D565">
        <v>170</v>
      </c>
      <c r="E565">
        <v>100</v>
      </c>
      <c r="F565" s="74">
        <f ca="1">INDIRECT(ADDRESS(11+(MATCH(RIGHT(Table245[[#This Row],[spawner_sku]],LEN(Table245[[#This Row],[spawner_sku]])-FIND("/",Table245[[#This Row],[spawner_sku]])),Table1[Entity Prefab],0)),10,1,1,"Entities"))</f>
        <v>25</v>
      </c>
      <c r="G565" s="74">
        <f ca="1">ROUND((Table245[[#This Row],[XP]]*Table245[[#This Row],[entity_spawned (AVG)]])*(Table245[[#This Row],[activating_chance]]/100),0)</f>
        <v>25</v>
      </c>
      <c r="H565" s="71" t="str">
        <f ca="1">INDIRECT(ADDRESS(11+(MATCH(RIGHT(Table245[[#This Row],[spawner_sku]],LEN(Table245[[#This Row],[spawner_sku]])-FIND("/",Table245[[#This Row],[spawner_sku]])),Table28[Entity Prefab],0)),24,1,1,"Entities"))</f>
        <v>no</v>
      </c>
      <c r="I565" s="71">
        <v>1</v>
      </c>
      <c r="J565" s="71">
        <v>1</v>
      </c>
      <c r="K565" s="71" t="b">
        <v>0</v>
      </c>
      <c r="CL565" t="s">
        <v>242</v>
      </c>
      <c r="CM565">
        <v>1</v>
      </c>
      <c r="CN565">
        <v>150</v>
      </c>
      <c r="CO565">
        <v>50</v>
      </c>
      <c r="CP565" s="74">
        <f ca="1">INDIRECT(ADDRESS(11+(MATCH(RIGHT(Table11[[#This Row],[spawner_sku]],LEN(Table11[[#This Row],[spawner_sku]])-FIND("/",Table11[[#This Row],[spawner_sku]])),Table1[Entity Prefab],0)),10,1,1,"Entities"))</f>
        <v>25</v>
      </c>
      <c r="CQ565">
        <f ca="1">ROUND((Table11[[#This Row],[XP]]*Table11[[#This Row],[entity_spawned (AVG)]])*(Table11[[#This Row],[activating_chance]]/100),0)</f>
        <v>13</v>
      </c>
      <c r="CR565" s="144" t="str">
        <f ca="1">INDIRECT(ADDRESS(11+(MATCH(RIGHT(Table11[[#This Row],[spawner_sku]],LEN(Table11[[#This Row],[spawner_sku]])-FIND("/",Table11[[#This Row],[spawner_sku]])),Table28[Entity Prefab],0)),25,1,1,"Entities"))</f>
        <v>no</v>
      </c>
      <c r="CS565" s="71">
        <v>1</v>
      </c>
      <c r="CT565" s="71">
        <v>1</v>
      </c>
      <c r="CU565" s="71" t="b">
        <v>0</v>
      </c>
      <c r="DS565" t="s">
        <v>377</v>
      </c>
      <c r="DT565">
        <v>3.5</v>
      </c>
      <c r="DU565">
        <v>120</v>
      </c>
      <c r="DV565">
        <v>100</v>
      </c>
      <c r="DW565" s="74">
        <f ca="1">INDIRECT(ADDRESS(11+(MATCH(RIGHT(Table14[[#This Row],[spawner_sku]],LEN(Table14[[#This Row],[spawner_sku]])-FIND("/",Table14[[#This Row],[spawner_sku]])),Table1[Entity Prefab],0)),10,1,1,"Entities"))</f>
        <v>25</v>
      </c>
      <c r="DX565" s="74">
        <f ca="1">ROUND((Table14[[#This Row],[XP]]*Table14[[#This Row],[entity_spawned (AVG)]])*(Table14[[#This Row],[activating_chance]]/100),0)</f>
        <v>88</v>
      </c>
      <c r="DY565" s="144" t="str">
        <f ca="1">INDIRECT(ADDRESS(11+(MATCH(RIGHT(Table14[[#This Row],[spawner_sku]],LEN(Table14[[#This Row],[spawner_sku]])-FIND("/",Table14[[#This Row],[spawner_sku]])),Table28[Entity Prefab],0)),25,1,1,"Entities"))</f>
        <v>no</v>
      </c>
      <c r="DZ565" s="71">
        <v>3</v>
      </c>
      <c r="EA565" s="71">
        <v>4</v>
      </c>
      <c r="EB565" s="71" t="b">
        <v>0</v>
      </c>
      <c r="EC565" s="71"/>
    </row>
    <row r="566" spans="2:133" x14ac:dyDescent="0.25">
      <c r="B566" s="72" t="s">
        <v>242</v>
      </c>
      <c r="C566">
        <v>1</v>
      </c>
      <c r="D566">
        <v>170</v>
      </c>
      <c r="E566">
        <v>60</v>
      </c>
      <c r="F566" s="74">
        <f ca="1">INDIRECT(ADDRESS(11+(MATCH(RIGHT(Table245[[#This Row],[spawner_sku]],LEN(Table245[[#This Row],[spawner_sku]])-FIND("/",Table245[[#This Row],[spawner_sku]])),Table1[Entity Prefab],0)),10,1,1,"Entities"))</f>
        <v>25</v>
      </c>
      <c r="G566" s="74">
        <f ca="1">ROUND((Table245[[#This Row],[XP]]*Table245[[#This Row],[entity_spawned (AVG)]])*(Table245[[#This Row],[activating_chance]]/100),0)</f>
        <v>15</v>
      </c>
      <c r="H566" s="71" t="str">
        <f ca="1">INDIRECT(ADDRESS(11+(MATCH(RIGHT(Table245[[#This Row],[spawner_sku]],LEN(Table245[[#This Row],[spawner_sku]])-FIND("/",Table245[[#This Row],[spawner_sku]])),Table28[Entity Prefab],0)),24,1,1,"Entities"))</f>
        <v>no</v>
      </c>
      <c r="I566" s="71">
        <v>1</v>
      </c>
      <c r="J566" s="71">
        <v>1</v>
      </c>
      <c r="K566" s="71" t="b">
        <v>0</v>
      </c>
      <c r="CL566" t="s">
        <v>242</v>
      </c>
      <c r="CM566">
        <v>1</v>
      </c>
      <c r="CN566">
        <v>80</v>
      </c>
      <c r="CO566">
        <v>100</v>
      </c>
      <c r="CP566" s="74">
        <f ca="1">INDIRECT(ADDRESS(11+(MATCH(RIGHT(Table11[[#This Row],[spawner_sku]],LEN(Table11[[#This Row],[spawner_sku]])-FIND("/",Table11[[#This Row],[spawner_sku]])),Table1[Entity Prefab],0)),10,1,1,"Entities"))</f>
        <v>25</v>
      </c>
      <c r="CQ566">
        <f ca="1">ROUND((Table11[[#This Row],[XP]]*Table11[[#This Row],[entity_spawned (AVG)]])*(Table11[[#This Row],[activating_chance]]/100),0)</f>
        <v>25</v>
      </c>
      <c r="CR566" s="144" t="str">
        <f ca="1">INDIRECT(ADDRESS(11+(MATCH(RIGHT(Table11[[#This Row],[spawner_sku]],LEN(Table11[[#This Row],[spawner_sku]])-FIND("/",Table11[[#This Row],[spawner_sku]])),Table28[Entity Prefab],0)),25,1,1,"Entities"))</f>
        <v>no</v>
      </c>
      <c r="CS566" s="71">
        <v>1</v>
      </c>
      <c r="CT566" s="71">
        <v>1</v>
      </c>
      <c r="CU566" s="71" t="b">
        <v>0</v>
      </c>
      <c r="DS566" t="s">
        <v>377</v>
      </c>
      <c r="DT566">
        <v>5</v>
      </c>
      <c r="DU566">
        <v>70</v>
      </c>
      <c r="DV566">
        <v>100</v>
      </c>
      <c r="DW566" s="74">
        <f ca="1">INDIRECT(ADDRESS(11+(MATCH(RIGHT(Table14[[#This Row],[spawner_sku]],LEN(Table14[[#This Row],[spawner_sku]])-FIND("/",Table14[[#This Row],[spawner_sku]])),Table1[Entity Prefab],0)),10,1,1,"Entities"))</f>
        <v>25</v>
      </c>
      <c r="DX566" s="74">
        <f ca="1">ROUND((Table14[[#This Row],[XP]]*Table14[[#This Row],[entity_spawned (AVG)]])*(Table14[[#This Row],[activating_chance]]/100),0)</f>
        <v>125</v>
      </c>
      <c r="DY566" s="144" t="str">
        <f ca="1">INDIRECT(ADDRESS(11+(MATCH(RIGHT(Table14[[#This Row],[spawner_sku]],LEN(Table14[[#This Row],[spawner_sku]])-FIND("/",Table14[[#This Row],[spawner_sku]])),Table28[Entity Prefab],0)),25,1,1,"Entities"))</f>
        <v>no</v>
      </c>
      <c r="DZ566" s="71">
        <v>5</v>
      </c>
      <c r="EA566" s="71">
        <v>5</v>
      </c>
      <c r="EB566" s="71" t="b">
        <v>1</v>
      </c>
      <c r="EC566" s="71"/>
    </row>
    <row r="567" spans="2:133" x14ac:dyDescent="0.25">
      <c r="B567" s="72" t="s">
        <v>242</v>
      </c>
      <c r="C567">
        <v>1</v>
      </c>
      <c r="D567">
        <v>140</v>
      </c>
      <c r="E567">
        <v>100</v>
      </c>
      <c r="F567" s="74">
        <f ca="1">INDIRECT(ADDRESS(11+(MATCH(RIGHT(Table245[[#This Row],[spawner_sku]],LEN(Table245[[#This Row],[spawner_sku]])-FIND("/",Table245[[#This Row],[spawner_sku]])),Table1[Entity Prefab],0)),10,1,1,"Entities"))</f>
        <v>25</v>
      </c>
      <c r="G567" s="74">
        <f ca="1">ROUND((Table245[[#This Row],[XP]]*Table245[[#This Row],[entity_spawned (AVG)]])*(Table245[[#This Row],[activating_chance]]/100),0)</f>
        <v>25</v>
      </c>
      <c r="H567" s="71" t="str">
        <f ca="1">INDIRECT(ADDRESS(11+(MATCH(RIGHT(Table245[[#This Row],[spawner_sku]],LEN(Table245[[#This Row],[spawner_sku]])-FIND("/",Table245[[#This Row],[spawner_sku]])),Table28[Entity Prefab],0)),24,1,1,"Entities"))</f>
        <v>no</v>
      </c>
      <c r="I567" s="71">
        <v>1</v>
      </c>
      <c r="J567" s="71">
        <v>1</v>
      </c>
      <c r="K567" s="71" t="b">
        <v>0</v>
      </c>
      <c r="CL567" t="s">
        <v>242</v>
      </c>
      <c r="CM567">
        <v>1</v>
      </c>
      <c r="CN567">
        <v>135</v>
      </c>
      <c r="CO567">
        <v>30</v>
      </c>
      <c r="CP567" s="74">
        <f ca="1">INDIRECT(ADDRESS(11+(MATCH(RIGHT(Table11[[#This Row],[spawner_sku]],LEN(Table11[[#This Row],[spawner_sku]])-FIND("/",Table11[[#This Row],[spawner_sku]])),Table1[Entity Prefab],0)),10,1,1,"Entities"))</f>
        <v>25</v>
      </c>
      <c r="CQ567">
        <f ca="1">ROUND((Table11[[#This Row],[XP]]*Table11[[#This Row],[entity_spawned (AVG)]])*(Table11[[#This Row],[activating_chance]]/100),0)</f>
        <v>8</v>
      </c>
      <c r="CR567" s="144" t="str">
        <f ca="1">INDIRECT(ADDRESS(11+(MATCH(RIGHT(Table11[[#This Row],[spawner_sku]],LEN(Table11[[#This Row],[spawner_sku]])-FIND("/",Table11[[#This Row],[spawner_sku]])),Table28[Entity Prefab],0)),25,1,1,"Entities"))</f>
        <v>no</v>
      </c>
      <c r="CS567" s="71">
        <v>1</v>
      </c>
      <c r="CT567" s="71">
        <v>1</v>
      </c>
      <c r="CU567" s="71" t="b">
        <v>0</v>
      </c>
      <c r="DS567" t="s">
        <v>377</v>
      </c>
      <c r="DT567">
        <v>1.5</v>
      </c>
      <c r="DU567">
        <v>90</v>
      </c>
      <c r="DV567">
        <v>100</v>
      </c>
      <c r="DW567" s="74">
        <f ca="1">INDIRECT(ADDRESS(11+(MATCH(RIGHT(Table14[[#This Row],[spawner_sku]],LEN(Table14[[#This Row],[spawner_sku]])-FIND("/",Table14[[#This Row],[spawner_sku]])),Table1[Entity Prefab],0)),10,1,1,"Entities"))</f>
        <v>25</v>
      </c>
      <c r="DX567" s="74">
        <f ca="1">ROUND((Table14[[#This Row],[XP]]*Table14[[#This Row],[entity_spawned (AVG)]])*(Table14[[#This Row],[activating_chance]]/100),0)</f>
        <v>38</v>
      </c>
      <c r="DY567" s="144" t="str">
        <f ca="1">INDIRECT(ADDRESS(11+(MATCH(RIGHT(Table14[[#This Row],[spawner_sku]],LEN(Table14[[#This Row],[spawner_sku]])-FIND("/",Table14[[#This Row],[spawner_sku]])),Table28[Entity Prefab],0)),25,1,1,"Entities"))</f>
        <v>no</v>
      </c>
      <c r="DZ567" s="71">
        <v>1</v>
      </c>
      <c r="EA567" s="71">
        <v>2</v>
      </c>
      <c r="EB567" s="71" t="b">
        <v>0</v>
      </c>
      <c r="EC567" s="71"/>
    </row>
    <row r="568" spans="2:133" x14ac:dyDescent="0.25">
      <c r="B568" s="72" t="s">
        <v>242</v>
      </c>
      <c r="C568">
        <v>1</v>
      </c>
      <c r="D568">
        <v>160</v>
      </c>
      <c r="E568">
        <v>100</v>
      </c>
      <c r="F568" s="74">
        <f ca="1">INDIRECT(ADDRESS(11+(MATCH(RIGHT(Table245[[#This Row],[spawner_sku]],LEN(Table245[[#This Row],[spawner_sku]])-FIND("/",Table245[[#This Row],[spawner_sku]])),Table1[Entity Prefab],0)),10,1,1,"Entities"))</f>
        <v>25</v>
      </c>
      <c r="G568" s="74">
        <f ca="1">ROUND((Table245[[#This Row],[XP]]*Table245[[#This Row],[entity_spawned (AVG)]])*(Table245[[#This Row],[activating_chance]]/100),0)</f>
        <v>25</v>
      </c>
      <c r="H568" s="71" t="str">
        <f ca="1">INDIRECT(ADDRESS(11+(MATCH(RIGHT(Table245[[#This Row],[spawner_sku]],LEN(Table245[[#This Row],[spawner_sku]])-FIND("/",Table245[[#This Row],[spawner_sku]])),Table28[Entity Prefab],0)),24,1,1,"Entities"))</f>
        <v>no</v>
      </c>
      <c r="I568" s="71">
        <v>1</v>
      </c>
      <c r="J568" s="71">
        <v>1</v>
      </c>
      <c r="K568" s="71" t="b">
        <v>0</v>
      </c>
      <c r="CL568" t="s">
        <v>242</v>
      </c>
      <c r="CM568">
        <v>1</v>
      </c>
      <c r="CN568">
        <v>150</v>
      </c>
      <c r="CO568">
        <v>60</v>
      </c>
      <c r="CP568" s="74">
        <f ca="1">INDIRECT(ADDRESS(11+(MATCH(RIGHT(Table11[[#This Row],[spawner_sku]],LEN(Table11[[#This Row],[spawner_sku]])-FIND("/",Table11[[#This Row],[spawner_sku]])),Table1[Entity Prefab],0)),10,1,1,"Entities"))</f>
        <v>25</v>
      </c>
      <c r="CQ568">
        <f ca="1">ROUND((Table11[[#This Row],[XP]]*Table11[[#This Row],[entity_spawned (AVG)]])*(Table11[[#This Row],[activating_chance]]/100),0)</f>
        <v>15</v>
      </c>
      <c r="CR568" s="144" t="str">
        <f ca="1">INDIRECT(ADDRESS(11+(MATCH(RIGHT(Table11[[#This Row],[spawner_sku]],LEN(Table11[[#This Row],[spawner_sku]])-FIND("/",Table11[[#This Row],[spawner_sku]])),Table28[Entity Prefab],0)),25,1,1,"Entities"))</f>
        <v>no</v>
      </c>
      <c r="CS568" s="71">
        <v>1</v>
      </c>
      <c r="CT568" s="71">
        <v>1</v>
      </c>
      <c r="CU568" s="71" t="b">
        <v>0</v>
      </c>
      <c r="DS568" t="s">
        <v>377</v>
      </c>
      <c r="DT568">
        <v>3</v>
      </c>
      <c r="DU568">
        <v>100</v>
      </c>
      <c r="DV568">
        <v>100</v>
      </c>
      <c r="DW568" s="74">
        <f ca="1">INDIRECT(ADDRESS(11+(MATCH(RIGHT(Table14[[#This Row],[spawner_sku]],LEN(Table14[[#This Row],[spawner_sku]])-FIND("/",Table14[[#This Row],[spawner_sku]])),Table1[Entity Prefab],0)),10,1,1,"Entities"))</f>
        <v>25</v>
      </c>
      <c r="DX568" s="74">
        <f ca="1">ROUND((Table14[[#This Row],[XP]]*Table14[[#This Row],[entity_spawned (AVG)]])*(Table14[[#This Row],[activating_chance]]/100),0)</f>
        <v>75</v>
      </c>
      <c r="DY568" s="144" t="str">
        <f ca="1">INDIRECT(ADDRESS(11+(MATCH(RIGHT(Table14[[#This Row],[spawner_sku]],LEN(Table14[[#This Row],[spawner_sku]])-FIND("/",Table14[[#This Row],[spawner_sku]])),Table28[Entity Prefab],0)),25,1,1,"Entities"))</f>
        <v>no</v>
      </c>
      <c r="DZ568" s="71">
        <v>3</v>
      </c>
      <c r="EA568" s="71">
        <v>3</v>
      </c>
      <c r="EB568" s="71" t="b">
        <v>0</v>
      </c>
      <c r="EC568" s="71"/>
    </row>
    <row r="569" spans="2:133" x14ac:dyDescent="0.25">
      <c r="B569" s="72" t="s">
        <v>242</v>
      </c>
      <c r="C569">
        <v>1</v>
      </c>
      <c r="D569">
        <v>170</v>
      </c>
      <c r="E569">
        <v>100</v>
      </c>
      <c r="F569" s="74">
        <f ca="1">INDIRECT(ADDRESS(11+(MATCH(RIGHT(Table245[[#This Row],[spawner_sku]],LEN(Table245[[#This Row],[spawner_sku]])-FIND("/",Table245[[#This Row],[spawner_sku]])),Table1[Entity Prefab],0)),10,1,1,"Entities"))</f>
        <v>25</v>
      </c>
      <c r="G569" s="74">
        <f ca="1">ROUND((Table245[[#This Row],[XP]]*Table245[[#This Row],[entity_spawned (AVG)]])*(Table245[[#This Row],[activating_chance]]/100),0)</f>
        <v>25</v>
      </c>
      <c r="H569" s="71" t="str">
        <f ca="1">INDIRECT(ADDRESS(11+(MATCH(RIGHT(Table245[[#This Row],[spawner_sku]],LEN(Table245[[#This Row],[spawner_sku]])-FIND("/",Table245[[#This Row],[spawner_sku]])),Table28[Entity Prefab],0)),24,1,1,"Entities"))</f>
        <v>no</v>
      </c>
      <c r="I569" s="71">
        <v>1</v>
      </c>
      <c r="J569" s="71">
        <v>1</v>
      </c>
      <c r="K569" s="71" t="b">
        <v>0</v>
      </c>
      <c r="CL569" t="s">
        <v>242</v>
      </c>
      <c r="CM569">
        <v>1</v>
      </c>
      <c r="CN569">
        <v>80</v>
      </c>
      <c r="CO569">
        <v>100</v>
      </c>
      <c r="CP569" s="74">
        <f ca="1">INDIRECT(ADDRESS(11+(MATCH(RIGHT(Table11[[#This Row],[spawner_sku]],LEN(Table11[[#This Row],[spawner_sku]])-FIND("/",Table11[[#This Row],[spawner_sku]])),Table1[Entity Prefab],0)),10,1,1,"Entities"))</f>
        <v>25</v>
      </c>
      <c r="CQ569">
        <f ca="1">ROUND((Table11[[#This Row],[XP]]*Table11[[#This Row],[entity_spawned (AVG)]])*(Table11[[#This Row],[activating_chance]]/100),0)</f>
        <v>25</v>
      </c>
      <c r="CR569" s="144" t="str">
        <f ca="1">INDIRECT(ADDRESS(11+(MATCH(RIGHT(Table11[[#This Row],[spawner_sku]],LEN(Table11[[#This Row],[spawner_sku]])-FIND("/",Table11[[#This Row],[spawner_sku]])),Table28[Entity Prefab],0)),25,1,1,"Entities"))</f>
        <v>no</v>
      </c>
      <c r="CS569" s="71">
        <v>1</v>
      </c>
      <c r="CT569" s="71">
        <v>1</v>
      </c>
      <c r="CU569" s="71" t="b">
        <v>0</v>
      </c>
      <c r="DS569" t="s">
        <v>377</v>
      </c>
      <c r="DT569">
        <v>2</v>
      </c>
      <c r="DU569">
        <v>70</v>
      </c>
      <c r="DV569">
        <v>100</v>
      </c>
      <c r="DW569" s="74">
        <f ca="1">INDIRECT(ADDRESS(11+(MATCH(RIGHT(Table14[[#This Row],[spawner_sku]],LEN(Table14[[#This Row],[spawner_sku]])-FIND("/",Table14[[#This Row],[spawner_sku]])),Table1[Entity Prefab],0)),10,1,1,"Entities"))</f>
        <v>25</v>
      </c>
      <c r="DX569" s="74">
        <f ca="1">ROUND((Table14[[#This Row],[XP]]*Table14[[#This Row],[entity_spawned (AVG)]])*(Table14[[#This Row],[activating_chance]]/100),0)</f>
        <v>50</v>
      </c>
      <c r="DY569" s="144" t="str">
        <f ca="1">INDIRECT(ADDRESS(11+(MATCH(RIGHT(Table14[[#This Row],[spawner_sku]],LEN(Table14[[#This Row],[spawner_sku]])-FIND("/",Table14[[#This Row],[spawner_sku]])),Table28[Entity Prefab],0)),25,1,1,"Entities"))</f>
        <v>no</v>
      </c>
      <c r="DZ569" s="71">
        <v>2</v>
      </c>
      <c r="EA569" s="71">
        <v>2</v>
      </c>
      <c r="EB569" s="71" t="b">
        <v>0</v>
      </c>
      <c r="EC569" s="71"/>
    </row>
    <row r="570" spans="2:133" x14ac:dyDescent="0.25">
      <c r="B570" s="72" t="s">
        <v>242</v>
      </c>
      <c r="C570">
        <v>1</v>
      </c>
      <c r="D570">
        <v>150</v>
      </c>
      <c r="E570">
        <v>80</v>
      </c>
      <c r="F570" s="74">
        <f ca="1">INDIRECT(ADDRESS(11+(MATCH(RIGHT(Table245[[#This Row],[spawner_sku]],LEN(Table245[[#This Row],[spawner_sku]])-FIND("/",Table245[[#This Row],[spawner_sku]])),Table1[Entity Prefab],0)),10,1,1,"Entities"))</f>
        <v>25</v>
      </c>
      <c r="G570" s="74">
        <f ca="1">ROUND((Table245[[#This Row],[XP]]*Table245[[#This Row],[entity_spawned (AVG)]])*(Table245[[#This Row],[activating_chance]]/100),0)</f>
        <v>20</v>
      </c>
      <c r="H570" s="71" t="str">
        <f ca="1">INDIRECT(ADDRESS(11+(MATCH(RIGHT(Table245[[#This Row],[spawner_sku]],LEN(Table245[[#This Row],[spawner_sku]])-FIND("/",Table245[[#This Row],[spawner_sku]])),Table28[Entity Prefab],0)),24,1,1,"Entities"))</f>
        <v>no</v>
      </c>
      <c r="I570" s="71">
        <v>1</v>
      </c>
      <c r="J570" s="71">
        <v>1</v>
      </c>
      <c r="K570" s="71" t="b">
        <v>0</v>
      </c>
      <c r="CL570" t="s">
        <v>242</v>
      </c>
      <c r="CM570">
        <v>1</v>
      </c>
      <c r="CN570">
        <v>150</v>
      </c>
      <c r="CO570">
        <v>50</v>
      </c>
      <c r="CP570" s="74">
        <f ca="1">INDIRECT(ADDRESS(11+(MATCH(RIGHT(Table11[[#This Row],[spawner_sku]],LEN(Table11[[#This Row],[spawner_sku]])-FIND("/",Table11[[#This Row],[spawner_sku]])),Table1[Entity Prefab],0)),10,1,1,"Entities"))</f>
        <v>25</v>
      </c>
      <c r="CQ570">
        <f ca="1">ROUND((Table11[[#This Row],[XP]]*Table11[[#This Row],[entity_spawned (AVG)]])*(Table11[[#This Row],[activating_chance]]/100),0)</f>
        <v>13</v>
      </c>
      <c r="CR570" s="144" t="str">
        <f ca="1">INDIRECT(ADDRESS(11+(MATCH(RIGHT(Table11[[#This Row],[spawner_sku]],LEN(Table11[[#This Row],[spawner_sku]])-FIND("/",Table11[[#This Row],[spawner_sku]])),Table28[Entity Prefab],0)),25,1,1,"Entities"))</f>
        <v>no</v>
      </c>
      <c r="CS570" s="71">
        <v>1</v>
      </c>
      <c r="CT570" s="71">
        <v>1</v>
      </c>
      <c r="CU570" s="71" t="b">
        <v>0</v>
      </c>
      <c r="DS570" t="s">
        <v>377</v>
      </c>
      <c r="DT570">
        <v>3.5</v>
      </c>
      <c r="DU570">
        <v>100</v>
      </c>
      <c r="DV570">
        <v>100</v>
      </c>
      <c r="DW570" s="74">
        <f ca="1">INDIRECT(ADDRESS(11+(MATCH(RIGHT(Table14[[#This Row],[spawner_sku]],LEN(Table14[[#This Row],[spawner_sku]])-FIND("/",Table14[[#This Row],[spawner_sku]])),Table1[Entity Prefab],0)),10,1,1,"Entities"))</f>
        <v>25</v>
      </c>
      <c r="DX570" s="74">
        <f ca="1">ROUND((Table14[[#This Row],[XP]]*Table14[[#This Row],[entity_spawned (AVG)]])*(Table14[[#This Row],[activating_chance]]/100),0)</f>
        <v>88</v>
      </c>
      <c r="DY570" s="144" t="str">
        <f ca="1">INDIRECT(ADDRESS(11+(MATCH(RIGHT(Table14[[#This Row],[spawner_sku]],LEN(Table14[[#This Row],[spawner_sku]])-FIND("/",Table14[[#This Row],[spawner_sku]])),Table28[Entity Prefab],0)),25,1,1,"Entities"))</f>
        <v>no</v>
      </c>
      <c r="DZ570" s="71">
        <v>3</v>
      </c>
      <c r="EA570" s="71">
        <v>4</v>
      </c>
      <c r="EB570" s="71" t="b">
        <v>0</v>
      </c>
      <c r="EC570" s="71"/>
    </row>
    <row r="571" spans="2:133" x14ac:dyDescent="0.25">
      <c r="B571" s="72" t="s">
        <v>242</v>
      </c>
      <c r="C571">
        <v>1</v>
      </c>
      <c r="D571">
        <v>140</v>
      </c>
      <c r="E571">
        <v>60</v>
      </c>
      <c r="F571" s="74">
        <f ca="1">INDIRECT(ADDRESS(11+(MATCH(RIGHT(Table245[[#This Row],[spawner_sku]],LEN(Table245[[#This Row],[spawner_sku]])-FIND("/",Table245[[#This Row],[spawner_sku]])),Table1[Entity Prefab],0)),10,1,1,"Entities"))</f>
        <v>25</v>
      </c>
      <c r="G571" s="74">
        <f ca="1">ROUND((Table245[[#This Row],[XP]]*Table245[[#This Row],[entity_spawned (AVG)]])*(Table245[[#This Row],[activating_chance]]/100),0)</f>
        <v>15</v>
      </c>
      <c r="H571" s="71" t="str">
        <f ca="1">INDIRECT(ADDRESS(11+(MATCH(RIGHT(Table245[[#This Row],[spawner_sku]],LEN(Table245[[#This Row],[spawner_sku]])-FIND("/",Table245[[#This Row],[spawner_sku]])),Table28[Entity Prefab],0)),24,1,1,"Entities"))</f>
        <v>no</v>
      </c>
      <c r="I571" s="71">
        <v>1</v>
      </c>
      <c r="J571" s="71">
        <v>1</v>
      </c>
      <c r="K571" s="71" t="b">
        <v>0</v>
      </c>
      <c r="CL571" t="s">
        <v>242</v>
      </c>
      <c r="CM571">
        <v>1</v>
      </c>
      <c r="CN571">
        <v>150</v>
      </c>
      <c r="CO571">
        <v>100</v>
      </c>
      <c r="CP571" s="74">
        <f ca="1">INDIRECT(ADDRESS(11+(MATCH(RIGHT(Table11[[#This Row],[spawner_sku]],LEN(Table11[[#This Row],[spawner_sku]])-FIND("/",Table11[[#This Row],[spawner_sku]])),Table1[Entity Prefab],0)),10,1,1,"Entities"))</f>
        <v>25</v>
      </c>
      <c r="CQ571">
        <f ca="1">ROUND((Table11[[#This Row],[XP]]*Table11[[#This Row],[entity_spawned (AVG)]])*(Table11[[#This Row],[activating_chance]]/100),0)</f>
        <v>25</v>
      </c>
      <c r="CR571" s="144" t="str">
        <f ca="1">INDIRECT(ADDRESS(11+(MATCH(RIGHT(Table11[[#This Row],[spawner_sku]],LEN(Table11[[#This Row],[spawner_sku]])-FIND("/",Table11[[#This Row],[spawner_sku]])),Table28[Entity Prefab],0)),25,1,1,"Entities"))</f>
        <v>no</v>
      </c>
      <c r="CS571" s="71">
        <v>1</v>
      </c>
      <c r="CT571" s="71">
        <v>1</v>
      </c>
      <c r="CU571" s="71" t="b">
        <v>0</v>
      </c>
      <c r="DS571" t="s">
        <v>377</v>
      </c>
      <c r="DT571">
        <v>3</v>
      </c>
      <c r="DU571">
        <v>90</v>
      </c>
      <c r="DV571">
        <v>50</v>
      </c>
      <c r="DW571" s="74">
        <f ca="1">INDIRECT(ADDRESS(11+(MATCH(RIGHT(Table14[[#This Row],[spawner_sku]],LEN(Table14[[#This Row],[spawner_sku]])-FIND("/",Table14[[#This Row],[spawner_sku]])),Table1[Entity Prefab],0)),10,1,1,"Entities"))</f>
        <v>25</v>
      </c>
      <c r="DX571" s="74">
        <f ca="1">ROUND((Table14[[#This Row],[XP]]*Table14[[#This Row],[entity_spawned (AVG)]])*(Table14[[#This Row],[activating_chance]]/100),0)</f>
        <v>38</v>
      </c>
      <c r="DY571" s="144" t="str">
        <f ca="1">INDIRECT(ADDRESS(11+(MATCH(RIGHT(Table14[[#This Row],[spawner_sku]],LEN(Table14[[#This Row],[spawner_sku]])-FIND("/",Table14[[#This Row],[spawner_sku]])),Table28[Entity Prefab],0)),25,1,1,"Entities"))</f>
        <v>no</v>
      </c>
      <c r="DZ571" s="71">
        <v>3</v>
      </c>
      <c r="EA571" s="71">
        <v>3</v>
      </c>
      <c r="EB571" s="71" t="b">
        <v>0</v>
      </c>
      <c r="EC571" s="71"/>
    </row>
    <row r="572" spans="2:133" x14ac:dyDescent="0.25">
      <c r="B572" s="72" t="s">
        <v>242</v>
      </c>
      <c r="C572">
        <v>3</v>
      </c>
      <c r="D572">
        <v>165</v>
      </c>
      <c r="E572">
        <v>100</v>
      </c>
      <c r="F572" s="74">
        <f ca="1">INDIRECT(ADDRESS(11+(MATCH(RIGHT(Table245[[#This Row],[spawner_sku]],LEN(Table245[[#This Row],[spawner_sku]])-FIND("/",Table245[[#This Row],[spawner_sku]])),Table1[Entity Prefab],0)),10,1,1,"Entities"))</f>
        <v>25</v>
      </c>
      <c r="G572" s="74">
        <f ca="1">ROUND((Table245[[#This Row],[XP]]*Table245[[#This Row],[entity_spawned (AVG)]])*(Table245[[#This Row],[activating_chance]]/100),0)</f>
        <v>75</v>
      </c>
      <c r="H572" s="71" t="str">
        <f ca="1">INDIRECT(ADDRESS(11+(MATCH(RIGHT(Table245[[#This Row],[spawner_sku]],LEN(Table245[[#This Row],[spawner_sku]])-FIND("/",Table245[[#This Row],[spawner_sku]])),Table28[Entity Prefab],0)),24,1,1,"Entities"))</f>
        <v>no</v>
      </c>
      <c r="I572" s="71">
        <v>2</v>
      </c>
      <c r="J572" s="71">
        <v>4</v>
      </c>
      <c r="K572" s="71" t="b">
        <v>0</v>
      </c>
      <c r="CL572" t="s">
        <v>242</v>
      </c>
      <c r="CM572">
        <v>1</v>
      </c>
      <c r="CN572">
        <v>180</v>
      </c>
      <c r="CO572">
        <v>100</v>
      </c>
      <c r="CP572" s="74">
        <f ca="1">INDIRECT(ADDRESS(11+(MATCH(RIGHT(Table11[[#This Row],[spawner_sku]],LEN(Table11[[#This Row],[spawner_sku]])-FIND("/",Table11[[#This Row],[spawner_sku]])),Table1[Entity Prefab],0)),10,1,1,"Entities"))</f>
        <v>25</v>
      </c>
      <c r="CQ572">
        <f ca="1">ROUND((Table11[[#This Row],[XP]]*Table11[[#This Row],[entity_spawned (AVG)]])*(Table11[[#This Row],[activating_chance]]/100),0)</f>
        <v>25</v>
      </c>
      <c r="CR572" s="144" t="str">
        <f ca="1">INDIRECT(ADDRESS(11+(MATCH(RIGHT(Table11[[#This Row],[spawner_sku]],LEN(Table11[[#This Row],[spawner_sku]])-FIND("/",Table11[[#This Row],[spawner_sku]])),Table28[Entity Prefab],0)),25,1,1,"Entities"))</f>
        <v>no</v>
      </c>
      <c r="CS572" s="71">
        <v>1</v>
      </c>
      <c r="CT572" s="71">
        <v>1</v>
      </c>
      <c r="CU572" s="71" t="b">
        <v>0</v>
      </c>
      <c r="DS572" t="s">
        <v>377</v>
      </c>
      <c r="DT572">
        <v>6.5</v>
      </c>
      <c r="DU572">
        <v>100</v>
      </c>
      <c r="DV572">
        <v>100</v>
      </c>
      <c r="DW572" s="74">
        <f ca="1">INDIRECT(ADDRESS(11+(MATCH(RIGHT(Table14[[#This Row],[spawner_sku]],LEN(Table14[[#This Row],[spawner_sku]])-FIND("/",Table14[[#This Row],[spawner_sku]])),Table1[Entity Prefab],0)),10,1,1,"Entities"))</f>
        <v>25</v>
      </c>
      <c r="DX572" s="74">
        <f ca="1">ROUND((Table14[[#This Row],[XP]]*Table14[[#This Row],[entity_spawned (AVG)]])*(Table14[[#This Row],[activating_chance]]/100),0)</f>
        <v>163</v>
      </c>
      <c r="DY572" s="144" t="str">
        <f ca="1">INDIRECT(ADDRESS(11+(MATCH(RIGHT(Table14[[#This Row],[spawner_sku]],LEN(Table14[[#This Row],[spawner_sku]])-FIND("/",Table14[[#This Row],[spawner_sku]])),Table28[Entity Prefab],0)),25,1,1,"Entities"))</f>
        <v>no</v>
      </c>
      <c r="DZ572" s="71">
        <v>5</v>
      </c>
      <c r="EA572" s="71">
        <v>8</v>
      </c>
      <c r="EB572" s="71" t="b">
        <v>1</v>
      </c>
      <c r="EC572" s="71"/>
    </row>
    <row r="573" spans="2:133" x14ac:dyDescent="0.25">
      <c r="B573" s="72" t="s">
        <v>242</v>
      </c>
      <c r="C573">
        <v>1</v>
      </c>
      <c r="D573">
        <v>190</v>
      </c>
      <c r="E573">
        <v>100</v>
      </c>
      <c r="F573" s="74">
        <f ca="1">INDIRECT(ADDRESS(11+(MATCH(RIGHT(Table245[[#This Row],[spawner_sku]],LEN(Table245[[#This Row],[spawner_sku]])-FIND("/",Table245[[#This Row],[spawner_sku]])),Table1[Entity Prefab],0)),10,1,1,"Entities"))</f>
        <v>25</v>
      </c>
      <c r="G573" s="74">
        <f ca="1">ROUND((Table245[[#This Row],[XP]]*Table245[[#This Row],[entity_spawned (AVG)]])*(Table245[[#This Row],[activating_chance]]/100),0)</f>
        <v>25</v>
      </c>
      <c r="H573" s="71" t="str">
        <f ca="1">INDIRECT(ADDRESS(11+(MATCH(RIGHT(Table245[[#This Row],[spawner_sku]],LEN(Table245[[#This Row],[spawner_sku]])-FIND("/",Table245[[#This Row],[spawner_sku]])),Table28[Entity Prefab],0)),24,1,1,"Entities"))</f>
        <v>no</v>
      </c>
      <c r="I573" s="71">
        <v>1</v>
      </c>
      <c r="J573" s="71">
        <v>1</v>
      </c>
      <c r="K573" s="71" t="b">
        <v>0</v>
      </c>
      <c r="CL573" t="s">
        <v>242</v>
      </c>
      <c r="CM573">
        <v>1</v>
      </c>
      <c r="CN573">
        <v>150</v>
      </c>
      <c r="CO573">
        <v>60</v>
      </c>
      <c r="CP573" s="74">
        <f ca="1">INDIRECT(ADDRESS(11+(MATCH(RIGHT(Table11[[#This Row],[spawner_sku]],LEN(Table11[[#This Row],[spawner_sku]])-FIND("/",Table11[[#This Row],[spawner_sku]])),Table1[Entity Prefab],0)),10,1,1,"Entities"))</f>
        <v>25</v>
      </c>
      <c r="CQ573">
        <f ca="1">ROUND((Table11[[#This Row],[XP]]*Table11[[#This Row],[entity_spawned (AVG)]])*(Table11[[#This Row],[activating_chance]]/100),0)</f>
        <v>15</v>
      </c>
      <c r="CR573" s="144" t="str">
        <f ca="1">INDIRECT(ADDRESS(11+(MATCH(RIGHT(Table11[[#This Row],[spawner_sku]],LEN(Table11[[#This Row],[spawner_sku]])-FIND("/",Table11[[#This Row],[spawner_sku]])),Table28[Entity Prefab],0)),25,1,1,"Entities"))</f>
        <v>no</v>
      </c>
      <c r="CS573" s="71">
        <v>1</v>
      </c>
      <c r="CT573" s="71">
        <v>1</v>
      </c>
      <c r="CU573" s="71" t="b">
        <v>0</v>
      </c>
      <c r="DS573" t="s">
        <v>377</v>
      </c>
      <c r="DT573">
        <v>1</v>
      </c>
      <c r="DU573">
        <v>100</v>
      </c>
      <c r="DV573">
        <v>50</v>
      </c>
      <c r="DW573" s="74">
        <f ca="1">INDIRECT(ADDRESS(11+(MATCH(RIGHT(Table14[[#This Row],[spawner_sku]],LEN(Table14[[#This Row],[spawner_sku]])-FIND("/",Table14[[#This Row],[spawner_sku]])),Table1[Entity Prefab],0)),10,1,1,"Entities"))</f>
        <v>25</v>
      </c>
      <c r="DX573" s="74">
        <f ca="1">ROUND((Table14[[#This Row],[XP]]*Table14[[#This Row],[entity_spawned (AVG)]])*(Table14[[#This Row],[activating_chance]]/100),0)</f>
        <v>13</v>
      </c>
      <c r="DY573" s="144" t="str">
        <f ca="1">INDIRECT(ADDRESS(11+(MATCH(RIGHT(Table14[[#This Row],[spawner_sku]],LEN(Table14[[#This Row],[spawner_sku]])-FIND("/",Table14[[#This Row],[spawner_sku]])),Table28[Entity Prefab],0)),25,1,1,"Entities"))</f>
        <v>no</v>
      </c>
      <c r="DZ573" s="71">
        <v>1</v>
      </c>
      <c r="EA573" s="71">
        <v>1</v>
      </c>
      <c r="EB573" s="71" t="b">
        <v>0</v>
      </c>
      <c r="EC573" s="71"/>
    </row>
    <row r="574" spans="2:133" x14ac:dyDescent="0.25">
      <c r="B574" s="72" t="s">
        <v>242</v>
      </c>
      <c r="C574">
        <v>1</v>
      </c>
      <c r="D574">
        <v>170</v>
      </c>
      <c r="E574">
        <v>80</v>
      </c>
      <c r="F574" s="74">
        <f ca="1">INDIRECT(ADDRESS(11+(MATCH(RIGHT(Table245[[#This Row],[spawner_sku]],LEN(Table245[[#This Row],[spawner_sku]])-FIND("/",Table245[[#This Row],[spawner_sku]])),Table1[Entity Prefab],0)),10,1,1,"Entities"))</f>
        <v>25</v>
      </c>
      <c r="G574" s="74">
        <f ca="1">ROUND((Table245[[#This Row],[XP]]*Table245[[#This Row],[entity_spawned (AVG)]])*(Table245[[#This Row],[activating_chance]]/100),0)</f>
        <v>20</v>
      </c>
      <c r="H574" s="71" t="str">
        <f ca="1">INDIRECT(ADDRESS(11+(MATCH(RIGHT(Table245[[#This Row],[spawner_sku]],LEN(Table245[[#This Row],[spawner_sku]])-FIND("/",Table245[[#This Row],[spawner_sku]])),Table28[Entity Prefab],0)),24,1,1,"Entities"))</f>
        <v>no</v>
      </c>
      <c r="I574" s="71">
        <v>1</v>
      </c>
      <c r="J574" s="71">
        <v>1</v>
      </c>
      <c r="K574" s="71" t="b">
        <v>0</v>
      </c>
      <c r="CL574" t="s">
        <v>243</v>
      </c>
      <c r="CM574">
        <v>1</v>
      </c>
      <c r="CN574">
        <v>150</v>
      </c>
      <c r="CO574">
        <v>100</v>
      </c>
      <c r="CP574" s="74">
        <f ca="1">INDIRECT(ADDRESS(11+(MATCH(RIGHT(Table11[[#This Row],[spawner_sku]],LEN(Table11[[#This Row],[spawner_sku]])-FIND("/",Table11[[#This Row],[spawner_sku]])),Table1[Entity Prefab],0)),10,1,1,"Entities"))</f>
        <v>25</v>
      </c>
      <c r="CQ574">
        <f ca="1">ROUND((Table11[[#This Row],[XP]]*Table11[[#This Row],[entity_spawned (AVG)]])*(Table11[[#This Row],[activating_chance]]/100),0)</f>
        <v>25</v>
      </c>
      <c r="CR574" s="144" t="str">
        <f ca="1">INDIRECT(ADDRESS(11+(MATCH(RIGHT(Table11[[#This Row],[spawner_sku]],LEN(Table11[[#This Row],[spawner_sku]])-FIND("/",Table11[[#This Row],[spawner_sku]])),Table28[Entity Prefab],0)),25,1,1,"Entities"))</f>
        <v>no</v>
      </c>
      <c r="CS574" s="71">
        <v>1</v>
      </c>
      <c r="CT574" s="71">
        <v>1</v>
      </c>
      <c r="CU574" s="71" t="b">
        <v>0</v>
      </c>
      <c r="DS574" t="s">
        <v>377</v>
      </c>
      <c r="DT574">
        <v>2.5</v>
      </c>
      <c r="DU574">
        <v>100</v>
      </c>
      <c r="DV574">
        <v>100</v>
      </c>
      <c r="DW574" s="74">
        <f ca="1">INDIRECT(ADDRESS(11+(MATCH(RIGHT(Table14[[#This Row],[spawner_sku]],LEN(Table14[[#This Row],[spawner_sku]])-FIND("/",Table14[[#This Row],[spawner_sku]])),Table1[Entity Prefab],0)),10,1,1,"Entities"))</f>
        <v>25</v>
      </c>
      <c r="DX574" s="74">
        <f ca="1">ROUND((Table14[[#This Row],[XP]]*Table14[[#This Row],[entity_spawned (AVG)]])*(Table14[[#This Row],[activating_chance]]/100),0)</f>
        <v>63</v>
      </c>
      <c r="DY574" s="144" t="str">
        <f ca="1">INDIRECT(ADDRESS(11+(MATCH(RIGHT(Table14[[#This Row],[spawner_sku]],LEN(Table14[[#This Row],[spawner_sku]])-FIND("/",Table14[[#This Row],[spawner_sku]])),Table28[Entity Prefab],0)),25,1,1,"Entities"))</f>
        <v>no</v>
      </c>
      <c r="DZ574" s="71">
        <v>2</v>
      </c>
      <c r="EA574" s="71">
        <v>3</v>
      </c>
      <c r="EB574" s="71" t="b">
        <v>0</v>
      </c>
      <c r="EC574" s="71"/>
    </row>
    <row r="575" spans="2:133" x14ac:dyDescent="0.25">
      <c r="B575" s="72" t="s">
        <v>242</v>
      </c>
      <c r="C575">
        <v>1</v>
      </c>
      <c r="D575">
        <v>160</v>
      </c>
      <c r="E575">
        <v>100</v>
      </c>
      <c r="F575" s="74">
        <f ca="1">INDIRECT(ADDRESS(11+(MATCH(RIGHT(Table245[[#This Row],[spawner_sku]],LEN(Table245[[#This Row],[spawner_sku]])-FIND("/",Table245[[#This Row],[spawner_sku]])),Table1[Entity Prefab],0)),10,1,1,"Entities"))</f>
        <v>25</v>
      </c>
      <c r="G575" s="74">
        <f ca="1">ROUND((Table245[[#This Row],[XP]]*Table245[[#This Row],[entity_spawned (AVG)]])*(Table245[[#This Row],[activating_chance]]/100),0)</f>
        <v>25</v>
      </c>
      <c r="H575" s="71" t="str">
        <f ca="1">INDIRECT(ADDRESS(11+(MATCH(RIGHT(Table245[[#This Row],[spawner_sku]],LEN(Table245[[#This Row],[spawner_sku]])-FIND("/",Table245[[#This Row],[spawner_sku]])),Table28[Entity Prefab],0)),24,1,1,"Entities"))</f>
        <v>no</v>
      </c>
      <c r="I575" s="71">
        <v>1</v>
      </c>
      <c r="J575" s="71">
        <v>1</v>
      </c>
      <c r="K575" s="71" t="b">
        <v>0</v>
      </c>
      <c r="CL575" t="s">
        <v>243</v>
      </c>
      <c r="CM575">
        <v>1</v>
      </c>
      <c r="CN575">
        <v>150</v>
      </c>
      <c r="CO575">
        <v>100</v>
      </c>
      <c r="CP575" s="74">
        <f ca="1">INDIRECT(ADDRESS(11+(MATCH(RIGHT(Table11[[#This Row],[spawner_sku]],LEN(Table11[[#This Row],[spawner_sku]])-FIND("/",Table11[[#This Row],[spawner_sku]])),Table1[Entity Prefab],0)),10,1,1,"Entities"))</f>
        <v>25</v>
      </c>
      <c r="CQ575">
        <f ca="1">ROUND((Table11[[#This Row],[XP]]*Table11[[#This Row],[entity_spawned (AVG)]])*(Table11[[#This Row],[activating_chance]]/100),0)</f>
        <v>25</v>
      </c>
      <c r="CR575" s="144" t="str">
        <f ca="1">INDIRECT(ADDRESS(11+(MATCH(RIGHT(Table11[[#This Row],[spawner_sku]],LEN(Table11[[#This Row],[spawner_sku]])-FIND("/",Table11[[#This Row],[spawner_sku]])),Table28[Entity Prefab],0)),25,1,1,"Entities"))</f>
        <v>no</v>
      </c>
      <c r="CS575" s="71">
        <v>1</v>
      </c>
      <c r="CT575" s="71">
        <v>1</v>
      </c>
      <c r="CU575" s="71" t="b">
        <v>0</v>
      </c>
      <c r="DS575" t="s">
        <v>377</v>
      </c>
      <c r="DT575">
        <v>2.5</v>
      </c>
      <c r="DU575">
        <v>90</v>
      </c>
      <c r="DV575">
        <v>100</v>
      </c>
      <c r="DW575" s="74">
        <f ca="1">INDIRECT(ADDRESS(11+(MATCH(RIGHT(Table14[[#This Row],[spawner_sku]],LEN(Table14[[#This Row],[spawner_sku]])-FIND("/",Table14[[#This Row],[spawner_sku]])),Table1[Entity Prefab],0)),10,1,1,"Entities"))</f>
        <v>25</v>
      </c>
      <c r="DX575" s="74">
        <f ca="1">ROUND((Table14[[#This Row],[XP]]*Table14[[#This Row],[entity_spawned (AVG)]])*(Table14[[#This Row],[activating_chance]]/100),0)</f>
        <v>63</v>
      </c>
      <c r="DY575" s="144" t="str">
        <f ca="1">INDIRECT(ADDRESS(11+(MATCH(RIGHT(Table14[[#This Row],[spawner_sku]],LEN(Table14[[#This Row],[spawner_sku]])-FIND("/",Table14[[#This Row],[spawner_sku]])),Table28[Entity Prefab],0)),25,1,1,"Entities"))</f>
        <v>no</v>
      </c>
      <c r="DZ575" s="71">
        <v>2</v>
      </c>
      <c r="EA575" s="71">
        <v>3</v>
      </c>
      <c r="EB575" s="71" t="b">
        <v>0</v>
      </c>
      <c r="EC575" s="71"/>
    </row>
    <row r="576" spans="2:133" x14ac:dyDescent="0.25">
      <c r="B576" s="72" t="s">
        <v>242</v>
      </c>
      <c r="C576">
        <v>1</v>
      </c>
      <c r="D576">
        <v>170</v>
      </c>
      <c r="E576">
        <v>100</v>
      </c>
      <c r="F576" s="74">
        <f ca="1">INDIRECT(ADDRESS(11+(MATCH(RIGHT(Table245[[#This Row],[spawner_sku]],LEN(Table245[[#This Row],[spawner_sku]])-FIND("/",Table245[[#This Row],[spawner_sku]])),Table1[Entity Prefab],0)),10,1,1,"Entities"))</f>
        <v>25</v>
      </c>
      <c r="G576" s="74">
        <f ca="1">ROUND((Table245[[#This Row],[XP]]*Table245[[#This Row],[entity_spawned (AVG)]])*(Table245[[#This Row],[activating_chance]]/100),0)</f>
        <v>25</v>
      </c>
      <c r="H576" s="71" t="str">
        <f ca="1">INDIRECT(ADDRESS(11+(MATCH(RIGHT(Table245[[#This Row],[spawner_sku]],LEN(Table245[[#This Row],[spawner_sku]])-FIND("/",Table245[[#This Row],[spawner_sku]])),Table28[Entity Prefab],0)),24,1,1,"Entities"))</f>
        <v>no</v>
      </c>
      <c r="I576" s="71">
        <v>1</v>
      </c>
      <c r="J576" s="71">
        <v>1</v>
      </c>
      <c r="K576" s="71" t="b">
        <v>0</v>
      </c>
      <c r="CL576" t="s">
        <v>243</v>
      </c>
      <c r="CM576">
        <v>3</v>
      </c>
      <c r="CN576">
        <v>100</v>
      </c>
      <c r="CO576">
        <v>100</v>
      </c>
      <c r="CP576" s="74">
        <f ca="1">INDIRECT(ADDRESS(11+(MATCH(RIGHT(Table11[[#This Row],[spawner_sku]],LEN(Table11[[#This Row],[spawner_sku]])-FIND("/",Table11[[#This Row],[spawner_sku]])),Table1[Entity Prefab],0)),10,1,1,"Entities"))</f>
        <v>25</v>
      </c>
      <c r="CQ576">
        <f ca="1">ROUND((Table11[[#This Row],[XP]]*Table11[[#This Row],[entity_spawned (AVG)]])*(Table11[[#This Row],[activating_chance]]/100),0)</f>
        <v>75</v>
      </c>
      <c r="CR576" s="144" t="str">
        <f ca="1">INDIRECT(ADDRESS(11+(MATCH(RIGHT(Table11[[#This Row],[spawner_sku]],LEN(Table11[[#This Row],[spawner_sku]])-FIND("/",Table11[[#This Row],[spawner_sku]])),Table28[Entity Prefab],0)),25,1,1,"Entities"))</f>
        <v>no</v>
      </c>
      <c r="CS576" s="71">
        <v>3</v>
      </c>
      <c r="CT576" s="71">
        <v>3</v>
      </c>
      <c r="CU576" s="71" t="b">
        <v>0</v>
      </c>
      <c r="DS576" t="s">
        <v>377</v>
      </c>
      <c r="DT576">
        <v>1.5</v>
      </c>
      <c r="DU576">
        <v>90</v>
      </c>
      <c r="DV576">
        <v>100</v>
      </c>
      <c r="DW576" s="74">
        <f ca="1">INDIRECT(ADDRESS(11+(MATCH(RIGHT(Table14[[#This Row],[spawner_sku]],LEN(Table14[[#This Row],[spawner_sku]])-FIND("/",Table14[[#This Row],[spawner_sku]])),Table1[Entity Prefab],0)),10,1,1,"Entities"))</f>
        <v>25</v>
      </c>
      <c r="DX576" s="74">
        <f ca="1">ROUND((Table14[[#This Row],[XP]]*Table14[[#This Row],[entity_spawned (AVG)]])*(Table14[[#This Row],[activating_chance]]/100),0)</f>
        <v>38</v>
      </c>
      <c r="DY576" s="144" t="str">
        <f ca="1">INDIRECT(ADDRESS(11+(MATCH(RIGHT(Table14[[#This Row],[spawner_sku]],LEN(Table14[[#This Row],[spawner_sku]])-FIND("/",Table14[[#This Row],[spawner_sku]])),Table28[Entity Prefab],0)),25,1,1,"Entities"))</f>
        <v>no</v>
      </c>
      <c r="DZ576" s="71">
        <v>1</v>
      </c>
      <c r="EA576" s="71">
        <v>2</v>
      </c>
      <c r="EB576" s="71" t="b">
        <v>0</v>
      </c>
      <c r="EC576" s="71"/>
    </row>
    <row r="577" spans="2:133" x14ac:dyDescent="0.25">
      <c r="B577" s="72" t="s">
        <v>242</v>
      </c>
      <c r="C577">
        <v>1</v>
      </c>
      <c r="D577">
        <v>190</v>
      </c>
      <c r="E577">
        <v>100</v>
      </c>
      <c r="F577" s="74">
        <f ca="1">INDIRECT(ADDRESS(11+(MATCH(RIGHT(Table245[[#This Row],[spawner_sku]],LEN(Table245[[#This Row],[spawner_sku]])-FIND("/",Table245[[#This Row],[spawner_sku]])),Table1[Entity Prefab],0)),10,1,1,"Entities"))</f>
        <v>25</v>
      </c>
      <c r="G577" s="74">
        <f ca="1">ROUND((Table245[[#This Row],[XP]]*Table245[[#This Row],[entity_spawned (AVG)]])*(Table245[[#This Row],[activating_chance]]/100),0)</f>
        <v>25</v>
      </c>
      <c r="H577" s="71" t="str">
        <f ca="1">INDIRECT(ADDRESS(11+(MATCH(RIGHT(Table245[[#This Row],[spawner_sku]],LEN(Table245[[#This Row],[spawner_sku]])-FIND("/",Table245[[#This Row],[spawner_sku]])),Table28[Entity Prefab],0)),24,1,1,"Entities"))</f>
        <v>no</v>
      </c>
      <c r="I577" s="71">
        <v>1</v>
      </c>
      <c r="J577" s="71">
        <v>1</v>
      </c>
      <c r="K577" s="71" t="b">
        <v>0</v>
      </c>
      <c r="CL577" t="s">
        <v>243</v>
      </c>
      <c r="CM577">
        <v>1</v>
      </c>
      <c r="CN577">
        <v>150</v>
      </c>
      <c r="CO577">
        <v>100</v>
      </c>
      <c r="CP577" s="74">
        <f ca="1">INDIRECT(ADDRESS(11+(MATCH(RIGHT(Table11[[#This Row],[spawner_sku]],LEN(Table11[[#This Row],[spawner_sku]])-FIND("/",Table11[[#This Row],[spawner_sku]])),Table1[Entity Prefab],0)),10,1,1,"Entities"))</f>
        <v>25</v>
      </c>
      <c r="CQ577">
        <f ca="1">ROUND((Table11[[#This Row],[XP]]*Table11[[#This Row],[entity_spawned (AVG)]])*(Table11[[#This Row],[activating_chance]]/100),0)</f>
        <v>25</v>
      </c>
      <c r="CR577" s="144" t="str">
        <f ca="1">INDIRECT(ADDRESS(11+(MATCH(RIGHT(Table11[[#This Row],[spawner_sku]],LEN(Table11[[#This Row],[spawner_sku]])-FIND("/",Table11[[#This Row],[spawner_sku]])),Table28[Entity Prefab],0)),25,1,1,"Entities"))</f>
        <v>no</v>
      </c>
      <c r="CS577" s="71">
        <v>1</v>
      </c>
      <c r="CT577" s="71">
        <v>1</v>
      </c>
      <c r="CU577" s="71" t="b">
        <v>0</v>
      </c>
      <c r="DS577" t="s">
        <v>377</v>
      </c>
      <c r="DT577">
        <v>3.5</v>
      </c>
      <c r="DU577">
        <v>100</v>
      </c>
      <c r="DV577">
        <v>100</v>
      </c>
      <c r="DW577" s="74">
        <f ca="1">INDIRECT(ADDRESS(11+(MATCH(RIGHT(Table14[[#This Row],[spawner_sku]],LEN(Table14[[#This Row],[spawner_sku]])-FIND("/",Table14[[#This Row],[spawner_sku]])),Table1[Entity Prefab],0)),10,1,1,"Entities"))</f>
        <v>25</v>
      </c>
      <c r="DX577" s="74">
        <f ca="1">ROUND((Table14[[#This Row],[XP]]*Table14[[#This Row],[entity_spawned (AVG)]])*(Table14[[#This Row],[activating_chance]]/100),0)</f>
        <v>88</v>
      </c>
      <c r="DY577" s="144" t="str">
        <f ca="1">INDIRECT(ADDRESS(11+(MATCH(RIGHT(Table14[[#This Row],[spawner_sku]],LEN(Table14[[#This Row],[spawner_sku]])-FIND("/",Table14[[#This Row],[spawner_sku]])),Table28[Entity Prefab],0)),25,1,1,"Entities"))</f>
        <v>no</v>
      </c>
      <c r="DZ577" s="71">
        <v>3</v>
      </c>
      <c r="EA577" s="71">
        <v>4</v>
      </c>
      <c r="EB577" s="71" t="b">
        <v>0</v>
      </c>
      <c r="EC577" s="71"/>
    </row>
    <row r="578" spans="2:133" x14ac:dyDescent="0.25">
      <c r="B578" s="72" t="s">
        <v>242</v>
      </c>
      <c r="C578">
        <v>2.5</v>
      </c>
      <c r="D578">
        <v>170</v>
      </c>
      <c r="E578">
        <v>80</v>
      </c>
      <c r="F578" s="74">
        <f ca="1">INDIRECT(ADDRESS(11+(MATCH(RIGHT(Table245[[#This Row],[spawner_sku]],LEN(Table245[[#This Row],[spawner_sku]])-FIND("/",Table245[[#This Row],[spawner_sku]])),Table1[Entity Prefab],0)),10,1,1,"Entities"))</f>
        <v>25</v>
      </c>
      <c r="G578" s="74">
        <f ca="1">ROUND((Table245[[#This Row],[XP]]*Table245[[#This Row],[entity_spawned (AVG)]])*(Table245[[#This Row],[activating_chance]]/100),0)</f>
        <v>50</v>
      </c>
      <c r="H578" s="71" t="str">
        <f ca="1">INDIRECT(ADDRESS(11+(MATCH(RIGHT(Table245[[#This Row],[spawner_sku]],LEN(Table245[[#This Row],[spawner_sku]])-FIND("/",Table245[[#This Row],[spawner_sku]])),Table28[Entity Prefab],0)),24,1,1,"Entities"))</f>
        <v>no</v>
      </c>
      <c r="I578" s="71">
        <v>2</v>
      </c>
      <c r="J578" s="71">
        <v>3</v>
      </c>
      <c r="K578" s="71" t="b">
        <v>0</v>
      </c>
      <c r="CL578" t="s">
        <v>243</v>
      </c>
      <c r="CM578">
        <v>1</v>
      </c>
      <c r="CN578">
        <v>160</v>
      </c>
      <c r="CO578">
        <v>100</v>
      </c>
      <c r="CP578" s="74">
        <f ca="1">INDIRECT(ADDRESS(11+(MATCH(RIGHT(Table11[[#This Row],[spawner_sku]],LEN(Table11[[#This Row],[spawner_sku]])-FIND("/",Table11[[#This Row],[spawner_sku]])),Table1[Entity Prefab],0)),10,1,1,"Entities"))</f>
        <v>25</v>
      </c>
      <c r="CQ578">
        <f ca="1">ROUND((Table11[[#This Row],[XP]]*Table11[[#This Row],[entity_spawned (AVG)]])*(Table11[[#This Row],[activating_chance]]/100),0)</f>
        <v>25</v>
      </c>
      <c r="CR578" s="144" t="str">
        <f ca="1">INDIRECT(ADDRESS(11+(MATCH(RIGHT(Table11[[#This Row],[spawner_sku]],LEN(Table11[[#This Row],[spawner_sku]])-FIND("/",Table11[[#This Row],[spawner_sku]])),Table28[Entity Prefab],0)),25,1,1,"Entities"))</f>
        <v>no</v>
      </c>
      <c r="CS578" s="71">
        <v>1</v>
      </c>
      <c r="CT578" s="71">
        <v>1</v>
      </c>
      <c r="CU578" s="71" t="b">
        <v>0</v>
      </c>
      <c r="DS578" t="s">
        <v>377</v>
      </c>
      <c r="DT578">
        <v>6.5</v>
      </c>
      <c r="DU578">
        <v>100</v>
      </c>
      <c r="DV578">
        <v>100</v>
      </c>
      <c r="DW578" s="74">
        <f ca="1">INDIRECT(ADDRESS(11+(MATCH(RIGHT(Table14[[#This Row],[spawner_sku]],LEN(Table14[[#This Row],[spawner_sku]])-FIND("/",Table14[[#This Row],[spawner_sku]])),Table1[Entity Prefab],0)),10,1,1,"Entities"))</f>
        <v>25</v>
      </c>
      <c r="DX578" s="74">
        <f ca="1">ROUND((Table14[[#This Row],[XP]]*Table14[[#This Row],[entity_spawned (AVG)]])*(Table14[[#This Row],[activating_chance]]/100),0)</f>
        <v>163</v>
      </c>
      <c r="DY578" s="144" t="str">
        <f ca="1">INDIRECT(ADDRESS(11+(MATCH(RIGHT(Table14[[#This Row],[spawner_sku]],LEN(Table14[[#This Row],[spawner_sku]])-FIND("/",Table14[[#This Row],[spawner_sku]])),Table28[Entity Prefab],0)),25,1,1,"Entities"))</f>
        <v>no</v>
      </c>
      <c r="DZ578" s="71">
        <v>5</v>
      </c>
      <c r="EA578" s="71">
        <v>8</v>
      </c>
      <c r="EB578" s="71" t="b">
        <v>1</v>
      </c>
      <c r="EC578" s="71"/>
    </row>
    <row r="579" spans="2:133" x14ac:dyDescent="0.25">
      <c r="B579" s="72" t="s">
        <v>242</v>
      </c>
      <c r="C579">
        <v>1</v>
      </c>
      <c r="D579">
        <v>130</v>
      </c>
      <c r="E579">
        <v>100</v>
      </c>
      <c r="F579" s="74">
        <f ca="1">INDIRECT(ADDRESS(11+(MATCH(RIGHT(Table245[[#This Row],[spawner_sku]],LEN(Table245[[#This Row],[spawner_sku]])-FIND("/",Table245[[#This Row],[spawner_sku]])),Table1[Entity Prefab],0)),10,1,1,"Entities"))</f>
        <v>25</v>
      </c>
      <c r="G579" s="74">
        <f ca="1">ROUND((Table245[[#This Row],[XP]]*Table245[[#This Row],[entity_spawned (AVG)]])*(Table245[[#This Row],[activating_chance]]/100),0)</f>
        <v>25</v>
      </c>
      <c r="H579" s="71" t="str">
        <f ca="1">INDIRECT(ADDRESS(11+(MATCH(RIGHT(Table245[[#This Row],[spawner_sku]],LEN(Table245[[#This Row],[spawner_sku]])-FIND("/",Table245[[#This Row],[spawner_sku]])),Table28[Entity Prefab],0)),24,1,1,"Entities"))</f>
        <v>no</v>
      </c>
      <c r="I579" s="71">
        <v>1</v>
      </c>
      <c r="J579" s="71">
        <v>1</v>
      </c>
      <c r="K579" s="71" t="b">
        <v>0</v>
      </c>
      <c r="CL579" t="s">
        <v>243</v>
      </c>
      <c r="CM579">
        <v>1</v>
      </c>
      <c r="CN579">
        <v>150</v>
      </c>
      <c r="CO579">
        <v>50</v>
      </c>
      <c r="CP579" s="74">
        <f ca="1">INDIRECT(ADDRESS(11+(MATCH(RIGHT(Table11[[#This Row],[spawner_sku]],LEN(Table11[[#This Row],[spawner_sku]])-FIND("/",Table11[[#This Row],[spawner_sku]])),Table1[Entity Prefab],0)),10,1,1,"Entities"))</f>
        <v>25</v>
      </c>
      <c r="CQ579">
        <f ca="1">ROUND((Table11[[#This Row],[XP]]*Table11[[#This Row],[entity_spawned (AVG)]])*(Table11[[#This Row],[activating_chance]]/100),0)</f>
        <v>13</v>
      </c>
      <c r="CR579" s="144" t="str">
        <f ca="1">INDIRECT(ADDRESS(11+(MATCH(RIGHT(Table11[[#This Row],[spawner_sku]],LEN(Table11[[#This Row],[spawner_sku]])-FIND("/",Table11[[#This Row],[spawner_sku]])),Table28[Entity Prefab],0)),25,1,1,"Entities"))</f>
        <v>no</v>
      </c>
      <c r="CS579" s="71">
        <v>1</v>
      </c>
      <c r="CT579" s="71">
        <v>1</v>
      </c>
      <c r="CU579" s="71" t="b">
        <v>0</v>
      </c>
      <c r="DS579" t="s">
        <v>377</v>
      </c>
      <c r="DT579">
        <v>1</v>
      </c>
      <c r="DU579">
        <v>100</v>
      </c>
      <c r="DV579">
        <v>50</v>
      </c>
      <c r="DW579" s="74">
        <f ca="1">INDIRECT(ADDRESS(11+(MATCH(RIGHT(Table14[[#This Row],[spawner_sku]],LEN(Table14[[#This Row],[spawner_sku]])-FIND("/",Table14[[#This Row],[spawner_sku]])),Table1[Entity Prefab],0)),10,1,1,"Entities"))</f>
        <v>25</v>
      </c>
      <c r="DX579" s="74">
        <f ca="1">ROUND((Table14[[#This Row],[XP]]*Table14[[#This Row],[entity_spawned (AVG)]])*(Table14[[#This Row],[activating_chance]]/100),0)</f>
        <v>13</v>
      </c>
      <c r="DY579" s="144" t="str">
        <f ca="1">INDIRECT(ADDRESS(11+(MATCH(RIGHT(Table14[[#This Row],[spawner_sku]],LEN(Table14[[#This Row],[spawner_sku]])-FIND("/",Table14[[#This Row],[spawner_sku]])),Table28[Entity Prefab],0)),25,1,1,"Entities"))</f>
        <v>no</v>
      </c>
      <c r="DZ579" s="71">
        <v>1</v>
      </c>
      <c r="EA579" s="71">
        <v>1</v>
      </c>
      <c r="EB579" s="71" t="b">
        <v>0</v>
      </c>
      <c r="EC579" s="71"/>
    </row>
    <row r="580" spans="2:133" x14ac:dyDescent="0.25">
      <c r="B580" s="72" t="s">
        <v>242</v>
      </c>
      <c r="C580">
        <v>2.5</v>
      </c>
      <c r="D580">
        <v>190</v>
      </c>
      <c r="E580">
        <v>100</v>
      </c>
      <c r="F580" s="74">
        <f ca="1">INDIRECT(ADDRESS(11+(MATCH(RIGHT(Table245[[#This Row],[spawner_sku]],LEN(Table245[[#This Row],[spawner_sku]])-FIND("/",Table245[[#This Row],[spawner_sku]])),Table1[Entity Prefab],0)),10,1,1,"Entities"))</f>
        <v>25</v>
      </c>
      <c r="G580" s="74">
        <f ca="1">ROUND((Table245[[#This Row],[XP]]*Table245[[#This Row],[entity_spawned (AVG)]])*(Table245[[#This Row],[activating_chance]]/100),0)</f>
        <v>63</v>
      </c>
      <c r="H580" s="71" t="str">
        <f ca="1">INDIRECT(ADDRESS(11+(MATCH(RIGHT(Table245[[#This Row],[spawner_sku]],LEN(Table245[[#This Row],[spawner_sku]])-FIND("/",Table245[[#This Row],[spawner_sku]])),Table28[Entity Prefab],0)),24,1,1,"Entities"))</f>
        <v>no</v>
      </c>
      <c r="I580" s="71">
        <v>2</v>
      </c>
      <c r="J580" s="71">
        <v>3</v>
      </c>
      <c r="K580" s="71" t="b">
        <v>0</v>
      </c>
      <c r="CL580" t="s">
        <v>243</v>
      </c>
      <c r="CM580">
        <v>1</v>
      </c>
      <c r="CN580">
        <v>150</v>
      </c>
      <c r="CO580">
        <v>100</v>
      </c>
      <c r="CP580" s="74">
        <f ca="1">INDIRECT(ADDRESS(11+(MATCH(RIGHT(Table11[[#This Row],[spawner_sku]],LEN(Table11[[#This Row],[spawner_sku]])-FIND("/",Table11[[#This Row],[spawner_sku]])),Table1[Entity Prefab],0)),10,1,1,"Entities"))</f>
        <v>25</v>
      </c>
      <c r="CQ580">
        <f ca="1">ROUND((Table11[[#This Row],[XP]]*Table11[[#This Row],[entity_spawned (AVG)]])*(Table11[[#This Row],[activating_chance]]/100),0)</f>
        <v>25</v>
      </c>
      <c r="CR580" s="144" t="str">
        <f ca="1">INDIRECT(ADDRESS(11+(MATCH(RIGHT(Table11[[#This Row],[spawner_sku]],LEN(Table11[[#This Row],[spawner_sku]])-FIND("/",Table11[[#This Row],[spawner_sku]])),Table28[Entity Prefab],0)),25,1,1,"Entities"))</f>
        <v>no</v>
      </c>
      <c r="CS580" s="71">
        <v>1</v>
      </c>
      <c r="CT580" s="71">
        <v>1</v>
      </c>
      <c r="CU580" s="71" t="b">
        <v>0</v>
      </c>
      <c r="DS580" t="s">
        <v>377</v>
      </c>
      <c r="DT580">
        <v>3.5</v>
      </c>
      <c r="DU580">
        <v>80</v>
      </c>
      <c r="DV580">
        <v>80</v>
      </c>
      <c r="DW580" s="74">
        <f ca="1">INDIRECT(ADDRESS(11+(MATCH(RIGHT(Table14[[#This Row],[spawner_sku]],LEN(Table14[[#This Row],[spawner_sku]])-FIND("/",Table14[[#This Row],[spawner_sku]])),Table1[Entity Prefab],0)),10,1,1,"Entities"))</f>
        <v>25</v>
      </c>
      <c r="DX580" s="74">
        <f ca="1">ROUND((Table14[[#This Row],[XP]]*Table14[[#This Row],[entity_spawned (AVG)]])*(Table14[[#This Row],[activating_chance]]/100),0)</f>
        <v>70</v>
      </c>
      <c r="DY580" s="144" t="str">
        <f ca="1">INDIRECT(ADDRESS(11+(MATCH(RIGHT(Table14[[#This Row],[spawner_sku]],LEN(Table14[[#This Row],[spawner_sku]])-FIND("/",Table14[[#This Row],[spawner_sku]])),Table28[Entity Prefab],0)),25,1,1,"Entities"))</f>
        <v>no</v>
      </c>
      <c r="DZ580" s="71">
        <v>3</v>
      </c>
      <c r="EA580" s="71">
        <v>4</v>
      </c>
      <c r="EB580" s="71" t="b">
        <v>0</v>
      </c>
      <c r="EC580" s="71"/>
    </row>
    <row r="581" spans="2:133" x14ac:dyDescent="0.25">
      <c r="B581" s="72" t="s">
        <v>242</v>
      </c>
      <c r="C581">
        <v>1</v>
      </c>
      <c r="D581">
        <v>140</v>
      </c>
      <c r="E581">
        <v>90</v>
      </c>
      <c r="F581" s="74">
        <f ca="1">INDIRECT(ADDRESS(11+(MATCH(RIGHT(Table245[[#This Row],[spawner_sku]],LEN(Table245[[#This Row],[spawner_sku]])-FIND("/",Table245[[#This Row],[spawner_sku]])),Table1[Entity Prefab],0)),10,1,1,"Entities"))</f>
        <v>25</v>
      </c>
      <c r="G581" s="74">
        <f ca="1">ROUND((Table245[[#This Row],[XP]]*Table245[[#This Row],[entity_spawned (AVG)]])*(Table245[[#This Row],[activating_chance]]/100),0)</f>
        <v>23</v>
      </c>
      <c r="H581" s="71" t="str">
        <f ca="1">INDIRECT(ADDRESS(11+(MATCH(RIGHT(Table245[[#This Row],[spawner_sku]],LEN(Table245[[#This Row],[spawner_sku]])-FIND("/",Table245[[#This Row],[spawner_sku]])),Table28[Entity Prefab],0)),24,1,1,"Entities"))</f>
        <v>no</v>
      </c>
      <c r="I581" s="71">
        <v>1</v>
      </c>
      <c r="J581" s="71">
        <v>1</v>
      </c>
      <c r="K581" s="71" t="b">
        <v>0</v>
      </c>
      <c r="CL581" t="s">
        <v>244</v>
      </c>
      <c r="CM581">
        <v>1</v>
      </c>
      <c r="CN581">
        <v>120</v>
      </c>
      <c r="CO581">
        <v>100</v>
      </c>
      <c r="CP581" s="74">
        <f ca="1">INDIRECT(ADDRESS(11+(MATCH(RIGHT(Table11[[#This Row],[spawner_sku]],LEN(Table11[[#This Row],[spawner_sku]])-FIND("/",Table11[[#This Row],[spawner_sku]])),Table1[Entity Prefab],0)),10,1,1,"Entities"))</f>
        <v>50</v>
      </c>
      <c r="CQ581">
        <f ca="1">ROUND((Table11[[#This Row],[XP]]*Table11[[#This Row],[entity_spawned (AVG)]])*(Table11[[#This Row],[activating_chance]]/100),0)</f>
        <v>50</v>
      </c>
      <c r="CR581" s="144" t="str">
        <f ca="1">INDIRECT(ADDRESS(11+(MATCH(RIGHT(Table11[[#This Row],[spawner_sku]],LEN(Table11[[#This Row],[spawner_sku]])-FIND("/",Table11[[#This Row],[spawner_sku]])),Table28[Entity Prefab],0)),25,1,1,"Entities"))</f>
        <v>no</v>
      </c>
      <c r="CS581" s="71">
        <v>1</v>
      </c>
      <c r="CT581" s="71">
        <v>1</v>
      </c>
      <c r="CU581" s="71" t="b">
        <v>0</v>
      </c>
      <c r="DS581" t="s">
        <v>377</v>
      </c>
      <c r="DT581">
        <v>3</v>
      </c>
      <c r="DU581">
        <v>100</v>
      </c>
      <c r="DV581">
        <v>100</v>
      </c>
      <c r="DW581" s="74">
        <f ca="1">INDIRECT(ADDRESS(11+(MATCH(RIGHT(Table14[[#This Row],[spawner_sku]],LEN(Table14[[#This Row],[spawner_sku]])-FIND("/",Table14[[#This Row],[spawner_sku]])),Table1[Entity Prefab],0)),10,1,1,"Entities"))</f>
        <v>25</v>
      </c>
      <c r="DX581" s="74">
        <f ca="1">ROUND((Table14[[#This Row],[XP]]*Table14[[#This Row],[entity_spawned (AVG)]])*(Table14[[#This Row],[activating_chance]]/100),0)</f>
        <v>75</v>
      </c>
      <c r="DY581" s="144" t="str">
        <f ca="1">INDIRECT(ADDRESS(11+(MATCH(RIGHT(Table14[[#This Row],[spawner_sku]],LEN(Table14[[#This Row],[spawner_sku]])-FIND("/",Table14[[#This Row],[spawner_sku]])),Table28[Entity Prefab],0)),25,1,1,"Entities"))</f>
        <v>no</v>
      </c>
      <c r="DZ581" s="71">
        <v>2</v>
      </c>
      <c r="EA581" s="71">
        <v>4</v>
      </c>
      <c r="EB581" s="71" t="b">
        <v>0</v>
      </c>
      <c r="EC581" s="71"/>
    </row>
    <row r="582" spans="2:133" x14ac:dyDescent="0.25">
      <c r="B582" s="72" t="s">
        <v>242</v>
      </c>
      <c r="C582">
        <v>1</v>
      </c>
      <c r="D582">
        <v>170</v>
      </c>
      <c r="E582">
        <v>100</v>
      </c>
      <c r="F582" s="74">
        <f ca="1">INDIRECT(ADDRESS(11+(MATCH(RIGHT(Table245[[#This Row],[spawner_sku]],LEN(Table245[[#This Row],[spawner_sku]])-FIND("/",Table245[[#This Row],[spawner_sku]])),Table1[Entity Prefab],0)),10,1,1,"Entities"))</f>
        <v>25</v>
      </c>
      <c r="G582" s="74">
        <f ca="1">ROUND((Table245[[#This Row],[XP]]*Table245[[#This Row],[entity_spawned (AVG)]])*(Table245[[#This Row],[activating_chance]]/100),0)</f>
        <v>25</v>
      </c>
      <c r="H582" s="71" t="str">
        <f ca="1">INDIRECT(ADDRESS(11+(MATCH(RIGHT(Table245[[#This Row],[spawner_sku]],LEN(Table245[[#This Row],[spawner_sku]])-FIND("/",Table245[[#This Row],[spawner_sku]])),Table28[Entity Prefab],0)),24,1,1,"Entities"))</f>
        <v>no</v>
      </c>
      <c r="I582" s="71">
        <v>1</v>
      </c>
      <c r="J582" s="71">
        <v>1</v>
      </c>
      <c r="K582" s="71" t="b">
        <v>0</v>
      </c>
      <c r="CL582" t="s">
        <v>244</v>
      </c>
      <c r="CM582">
        <v>1</v>
      </c>
      <c r="CN582">
        <v>120</v>
      </c>
      <c r="CO582">
        <v>80</v>
      </c>
      <c r="CP582" s="74">
        <f ca="1">INDIRECT(ADDRESS(11+(MATCH(RIGHT(Table11[[#This Row],[spawner_sku]],LEN(Table11[[#This Row],[spawner_sku]])-FIND("/",Table11[[#This Row],[spawner_sku]])),Table1[Entity Prefab],0)),10,1,1,"Entities"))</f>
        <v>50</v>
      </c>
      <c r="CQ582">
        <f ca="1">ROUND((Table11[[#This Row],[XP]]*Table11[[#This Row],[entity_spawned (AVG)]])*(Table11[[#This Row],[activating_chance]]/100),0)</f>
        <v>40</v>
      </c>
      <c r="CR582" s="144" t="str">
        <f ca="1">INDIRECT(ADDRESS(11+(MATCH(RIGHT(Table11[[#This Row],[spawner_sku]],LEN(Table11[[#This Row],[spawner_sku]])-FIND("/",Table11[[#This Row],[spawner_sku]])),Table28[Entity Prefab],0)),25,1,1,"Entities"))</f>
        <v>no</v>
      </c>
      <c r="CS582" s="71">
        <v>1</v>
      </c>
      <c r="CT582" s="71">
        <v>1</v>
      </c>
      <c r="CU582" s="71" t="b">
        <v>0</v>
      </c>
      <c r="DS582" t="s">
        <v>426</v>
      </c>
      <c r="DT582">
        <v>1.5</v>
      </c>
      <c r="DU582">
        <v>120</v>
      </c>
      <c r="DV582">
        <v>80</v>
      </c>
      <c r="DW582" s="74">
        <f ca="1">INDIRECT(ADDRESS(11+(MATCH(RIGHT(Table14[[#This Row],[spawner_sku]],LEN(Table14[[#This Row],[spawner_sku]])-FIND("/",Table14[[#This Row],[spawner_sku]])),Table1[Entity Prefab],0)),10,1,1,"Entities"))</f>
        <v>25</v>
      </c>
      <c r="DX582" s="74">
        <f ca="1">ROUND((Table14[[#This Row],[XP]]*Table14[[#This Row],[entity_spawned (AVG)]])*(Table14[[#This Row],[activating_chance]]/100),0)</f>
        <v>30</v>
      </c>
      <c r="DY582" s="144" t="str">
        <f ca="1">INDIRECT(ADDRESS(11+(MATCH(RIGHT(Table14[[#This Row],[spawner_sku]],LEN(Table14[[#This Row],[spawner_sku]])-FIND("/",Table14[[#This Row],[spawner_sku]])),Table28[Entity Prefab],0)),25,1,1,"Entities"))</f>
        <v>no</v>
      </c>
      <c r="DZ582" s="71">
        <v>1</v>
      </c>
      <c r="EA582" s="71">
        <v>2</v>
      </c>
      <c r="EB582" s="71" t="b">
        <v>0</v>
      </c>
      <c r="EC582" s="71"/>
    </row>
    <row r="583" spans="2:133" x14ac:dyDescent="0.25">
      <c r="B583" s="72" t="s">
        <v>242</v>
      </c>
      <c r="C583">
        <v>1</v>
      </c>
      <c r="D583">
        <v>140</v>
      </c>
      <c r="E583">
        <v>100</v>
      </c>
      <c r="F583" s="74">
        <f ca="1">INDIRECT(ADDRESS(11+(MATCH(RIGHT(Table245[[#This Row],[spawner_sku]],LEN(Table245[[#This Row],[spawner_sku]])-FIND("/",Table245[[#This Row],[spawner_sku]])),Table1[Entity Prefab],0)),10,1,1,"Entities"))</f>
        <v>25</v>
      </c>
      <c r="G583" s="74">
        <f ca="1">ROUND((Table245[[#This Row],[XP]]*Table245[[#This Row],[entity_spawned (AVG)]])*(Table245[[#This Row],[activating_chance]]/100),0)</f>
        <v>25</v>
      </c>
      <c r="H583" s="71" t="str">
        <f ca="1">INDIRECT(ADDRESS(11+(MATCH(RIGHT(Table245[[#This Row],[spawner_sku]],LEN(Table245[[#This Row],[spawner_sku]])-FIND("/",Table245[[#This Row],[spawner_sku]])),Table28[Entity Prefab],0)),24,1,1,"Entities"))</f>
        <v>no</v>
      </c>
      <c r="I583" s="71">
        <v>1</v>
      </c>
      <c r="J583" s="71">
        <v>1</v>
      </c>
      <c r="K583" s="71" t="b">
        <v>0</v>
      </c>
      <c r="CL583" t="s">
        <v>244</v>
      </c>
      <c r="CM583">
        <v>1</v>
      </c>
      <c r="CN583">
        <v>120</v>
      </c>
      <c r="CO583">
        <v>30</v>
      </c>
      <c r="CP583" s="74">
        <f ca="1">INDIRECT(ADDRESS(11+(MATCH(RIGHT(Table11[[#This Row],[spawner_sku]],LEN(Table11[[#This Row],[spawner_sku]])-FIND("/",Table11[[#This Row],[spawner_sku]])),Table1[Entity Prefab],0)),10,1,1,"Entities"))</f>
        <v>50</v>
      </c>
      <c r="CQ583">
        <f ca="1">ROUND((Table11[[#This Row],[XP]]*Table11[[#This Row],[entity_spawned (AVG)]])*(Table11[[#This Row],[activating_chance]]/100),0)</f>
        <v>15</v>
      </c>
      <c r="CR583" s="144" t="str">
        <f ca="1">INDIRECT(ADDRESS(11+(MATCH(RIGHT(Table11[[#This Row],[spawner_sku]],LEN(Table11[[#This Row],[spawner_sku]])-FIND("/",Table11[[#This Row],[spawner_sku]])),Table28[Entity Prefab],0)),25,1,1,"Entities"))</f>
        <v>no</v>
      </c>
      <c r="CS583" s="71">
        <v>1</v>
      </c>
      <c r="CT583" s="71">
        <v>1</v>
      </c>
      <c r="CU583" s="71" t="b">
        <v>0</v>
      </c>
      <c r="DS583" t="s">
        <v>426</v>
      </c>
      <c r="DT583">
        <v>2</v>
      </c>
      <c r="DU583">
        <v>120</v>
      </c>
      <c r="DV583">
        <v>100</v>
      </c>
      <c r="DW583" s="74">
        <f ca="1">INDIRECT(ADDRESS(11+(MATCH(RIGHT(Table14[[#This Row],[spawner_sku]],LEN(Table14[[#This Row],[spawner_sku]])-FIND("/",Table14[[#This Row],[spawner_sku]])),Table1[Entity Prefab],0)),10,1,1,"Entities"))</f>
        <v>25</v>
      </c>
      <c r="DX583" s="74">
        <f ca="1">ROUND((Table14[[#This Row],[XP]]*Table14[[#This Row],[entity_spawned (AVG)]])*(Table14[[#This Row],[activating_chance]]/100),0)</f>
        <v>50</v>
      </c>
      <c r="DY583" s="144" t="str">
        <f ca="1">INDIRECT(ADDRESS(11+(MATCH(RIGHT(Table14[[#This Row],[spawner_sku]],LEN(Table14[[#This Row],[spawner_sku]])-FIND("/",Table14[[#This Row],[spawner_sku]])),Table28[Entity Prefab],0)),25,1,1,"Entities"))</f>
        <v>no</v>
      </c>
      <c r="DZ583" s="71">
        <v>2</v>
      </c>
      <c r="EA583" s="71">
        <v>2</v>
      </c>
      <c r="EB583" s="71" t="b">
        <v>0</v>
      </c>
      <c r="EC583" s="71"/>
    </row>
    <row r="584" spans="2:133" x14ac:dyDescent="0.25">
      <c r="B584" s="72" t="s">
        <v>242</v>
      </c>
      <c r="C584">
        <v>1</v>
      </c>
      <c r="D584">
        <v>170</v>
      </c>
      <c r="E584">
        <v>100</v>
      </c>
      <c r="F584" s="74">
        <f ca="1">INDIRECT(ADDRESS(11+(MATCH(RIGHT(Table245[[#This Row],[spawner_sku]],LEN(Table245[[#This Row],[spawner_sku]])-FIND("/",Table245[[#This Row],[spawner_sku]])),Table1[Entity Prefab],0)),10,1,1,"Entities"))</f>
        <v>25</v>
      </c>
      <c r="G584" s="74">
        <f ca="1">ROUND((Table245[[#This Row],[XP]]*Table245[[#This Row],[entity_spawned (AVG)]])*(Table245[[#This Row],[activating_chance]]/100),0)</f>
        <v>25</v>
      </c>
      <c r="H584" s="71" t="str">
        <f ca="1">INDIRECT(ADDRESS(11+(MATCH(RIGHT(Table245[[#This Row],[spawner_sku]],LEN(Table245[[#This Row],[spawner_sku]])-FIND("/",Table245[[#This Row],[spawner_sku]])),Table28[Entity Prefab],0)),24,1,1,"Entities"))</f>
        <v>no</v>
      </c>
      <c r="I584" s="71">
        <v>1</v>
      </c>
      <c r="J584" s="71">
        <v>1</v>
      </c>
      <c r="K584" s="71" t="b">
        <v>0</v>
      </c>
      <c r="CL584" t="s">
        <v>244</v>
      </c>
      <c r="CM584">
        <v>1</v>
      </c>
      <c r="CN584">
        <v>120</v>
      </c>
      <c r="CO584">
        <v>80</v>
      </c>
      <c r="CP584" s="74">
        <f ca="1">INDIRECT(ADDRESS(11+(MATCH(RIGHT(Table11[[#This Row],[spawner_sku]],LEN(Table11[[#This Row],[spawner_sku]])-FIND("/",Table11[[#This Row],[spawner_sku]])),Table1[Entity Prefab],0)),10,1,1,"Entities"))</f>
        <v>50</v>
      </c>
      <c r="CQ584">
        <f ca="1">ROUND((Table11[[#This Row],[XP]]*Table11[[#This Row],[entity_spawned (AVG)]])*(Table11[[#This Row],[activating_chance]]/100),0)</f>
        <v>40</v>
      </c>
      <c r="CR584" s="144" t="str">
        <f ca="1">INDIRECT(ADDRESS(11+(MATCH(RIGHT(Table11[[#This Row],[spawner_sku]],LEN(Table11[[#This Row],[spawner_sku]])-FIND("/",Table11[[#This Row],[spawner_sku]])),Table28[Entity Prefab],0)),25,1,1,"Entities"))</f>
        <v>no</v>
      </c>
      <c r="CS584" s="71">
        <v>1</v>
      </c>
      <c r="CT584" s="71">
        <v>1</v>
      </c>
      <c r="CU584" s="71" t="b">
        <v>0</v>
      </c>
      <c r="DS584" t="s">
        <v>240</v>
      </c>
      <c r="DT584">
        <v>1</v>
      </c>
      <c r="DU584">
        <v>170</v>
      </c>
      <c r="DV584">
        <v>100</v>
      </c>
      <c r="DW584" s="74">
        <f ca="1">INDIRECT(ADDRESS(11+(MATCH(RIGHT(Table14[[#This Row],[spawner_sku]],LEN(Table14[[#This Row],[spawner_sku]])-FIND("/",Table14[[#This Row],[spawner_sku]])),Table1[Entity Prefab],0)),10,1,1,"Entities"))</f>
        <v>70</v>
      </c>
      <c r="DX584" s="74">
        <f ca="1">ROUND((Table14[[#This Row],[XP]]*Table14[[#This Row],[entity_spawned (AVG)]])*(Table14[[#This Row],[activating_chance]]/100),0)</f>
        <v>70</v>
      </c>
      <c r="DY584" s="144" t="str">
        <f ca="1">INDIRECT(ADDRESS(11+(MATCH(RIGHT(Table14[[#This Row],[spawner_sku]],LEN(Table14[[#This Row],[spawner_sku]])-FIND("/",Table14[[#This Row],[spawner_sku]])),Table28[Entity Prefab],0)),25,1,1,"Entities"))</f>
        <v>yes</v>
      </c>
      <c r="DZ584" s="71">
        <v>1</v>
      </c>
      <c r="EA584" s="71">
        <v>1</v>
      </c>
      <c r="EB584" s="71" t="b">
        <v>0</v>
      </c>
      <c r="EC584" s="71"/>
    </row>
    <row r="585" spans="2:133" x14ac:dyDescent="0.25">
      <c r="B585" s="72" t="s">
        <v>242</v>
      </c>
      <c r="C585">
        <v>1</v>
      </c>
      <c r="D585">
        <v>190</v>
      </c>
      <c r="E585">
        <v>80</v>
      </c>
      <c r="F585" s="74">
        <f ca="1">INDIRECT(ADDRESS(11+(MATCH(RIGHT(Table245[[#This Row],[spawner_sku]],LEN(Table245[[#This Row],[spawner_sku]])-FIND("/",Table245[[#This Row],[spawner_sku]])),Table1[Entity Prefab],0)),10,1,1,"Entities"))</f>
        <v>25</v>
      </c>
      <c r="G585" s="74">
        <f ca="1">ROUND((Table245[[#This Row],[XP]]*Table245[[#This Row],[entity_spawned (AVG)]])*(Table245[[#This Row],[activating_chance]]/100),0)</f>
        <v>20</v>
      </c>
      <c r="H585" s="71" t="str">
        <f ca="1">INDIRECT(ADDRESS(11+(MATCH(RIGHT(Table245[[#This Row],[spawner_sku]],LEN(Table245[[#This Row],[spawner_sku]])-FIND("/",Table245[[#This Row],[spawner_sku]])),Table28[Entity Prefab],0)),24,1,1,"Entities"))</f>
        <v>no</v>
      </c>
      <c r="I585" s="71">
        <v>1</v>
      </c>
      <c r="J585" s="71">
        <v>1</v>
      </c>
      <c r="K585" s="71" t="b">
        <v>0</v>
      </c>
      <c r="CL585" t="s">
        <v>244</v>
      </c>
      <c r="CM585">
        <v>1</v>
      </c>
      <c r="CN585">
        <v>120</v>
      </c>
      <c r="CO585">
        <v>60</v>
      </c>
      <c r="CP585" s="74">
        <f ca="1">INDIRECT(ADDRESS(11+(MATCH(RIGHT(Table11[[#This Row],[spawner_sku]],LEN(Table11[[#This Row],[spawner_sku]])-FIND("/",Table11[[#This Row],[spawner_sku]])),Table1[Entity Prefab],0)),10,1,1,"Entities"))</f>
        <v>50</v>
      </c>
      <c r="CQ585">
        <f ca="1">ROUND((Table11[[#This Row],[XP]]*Table11[[#This Row],[entity_spawned (AVG)]])*(Table11[[#This Row],[activating_chance]]/100),0)</f>
        <v>30</v>
      </c>
      <c r="CR585" s="144" t="str">
        <f ca="1">INDIRECT(ADDRESS(11+(MATCH(RIGHT(Table11[[#This Row],[spawner_sku]],LEN(Table11[[#This Row],[spawner_sku]])-FIND("/",Table11[[#This Row],[spawner_sku]])),Table28[Entity Prefab],0)),25,1,1,"Entities"))</f>
        <v>no</v>
      </c>
      <c r="CS585" s="71">
        <v>1</v>
      </c>
      <c r="CT585" s="71">
        <v>1</v>
      </c>
      <c r="CU585" s="71" t="b">
        <v>0</v>
      </c>
      <c r="DS585" t="s">
        <v>240</v>
      </c>
      <c r="DT585">
        <v>1</v>
      </c>
      <c r="DU585">
        <v>170</v>
      </c>
      <c r="DV585">
        <v>100</v>
      </c>
      <c r="DW585" s="74">
        <f ca="1">INDIRECT(ADDRESS(11+(MATCH(RIGHT(Table14[[#This Row],[spawner_sku]],LEN(Table14[[#This Row],[spawner_sku]])-FIND("/",Table14[[#This Row],[spawner_sku]])),Table1[Entity Prefab],0)),10,1,1,"Entities"))</f>
        <v>70</v>
      </c>
      <c r="DX585" s="74">
        <f ca="1">ROUND((Table14[[#This Row],[XP]]*Table14[[#This Row],[entity_spawned (AVG)]])*(Table14[[#This Row],[activating_chance]]/100),0)</f>
        <v>70</v>
      </c>
      <c r="DY585" s="144" t="str">
        <f ca="1">INDIRECT(ADDRESS(11+(MATCH(RIGHT(Table14[[#This Row],[spawner_sku]],LEN(Table14[[#This Row],[spawner_sku]])-FIND("/",Table14[[#This Row],[spawner_sku]])),Table28[Entity Prefab],0)),25,1,1,"Entities"))</f>
        <v>yes</v>
      </c>
      <c r="DZ585" s="71">
        <v>1</v>
      </c>
      <c r="EA585" s="71">
        <v>1</v>
      </c>
      <c r="EB585" s="71" t="b">
        <v>0</v>
      </c>
      <c r="EC585" s="71"/>
    </row>
    <row r="586" spans="2:133" x14ac:dyDescent="0.25">
      <c r="B586" s="72" t="s">
        <v>242</v>
      </c>
      <c r="C586">
        <v>1</v>
      </c>
      <c r="D586">
        <v>190</v>
      </c>
      <c r="E586">
        <v>30</v>
      </c>
      <c r="F586" s="74">
        <f ca="1">INDIRECT(ADDRESS(11+(MATCH(RIGHT(Table245[[#This Row],[spawner_sku]],LEN(Table245[[#This Row],[spawner_sku]])-FIND("/",Table245[[#This Row],[spawner_sku]])),Table1[Entity Prefab],0)),10,1,1,"Entities"))</f>
        <v>25</v>
      </c>
      <c r="G586" s="74">
        <f ca="1">ROUND((Table245[[#This Row],[XP]]*Table245[[#This Row],[entity_spawned (AVG)]])*(Table245[[#This Row],[activating_chance]]/100),0)</f>
        <v>8</v>
      </c>
      <c r="H586" s="71" t="str">
        <f ca="1">INDIRECT(ADDRESS(11+(MATCH(RIGHT(Table245[[#This Row],[spawner_sku]],LEN(Table245[[#This Row],[spawner_sku]])-FIND("/",Table245[[#This Row],[spawner_sku]])),Table28[Entity Prefab],0)),24,1,1,"Entities"))</f>
        <v>no</v>
      </c>
      <c r="I586" s="71">
        <v>1</v>
      </c>
      <c r="J586" s="71">
        <v>1</v>
      </c>
      <c r="K586" s="71" t="b">
        <v>0</v>
      </c>
      <c r="CL586" t="s">
        <v>244</v>
      </c>
      <c r="CM586">
        <v>1</v>
      </c>
      <c r="CN586">
        <v>120</v>
      </c>
      <c r="CO586">
        <v>100</v>
      </c>
      <c r="CP586" s="74">
        <f ca="1">INDIRECT(ADDRESS(11+(MATCH(RIGHT(Table11[[#This Row],[spawner_sku]],LEN(Table11[[#This Row],[spawner_sku]])-FIND("/",Table11[[#This Row],[spawner_sku]])),Table1[Entity Prefab],0)),10,1,1,"Entities"))</f>
        <v>50</v>
      </c>
      <c r="CQ586">
        <f ca="1">ROUND((Table11[[#This Row],[XP]]*Table11[[#This Row],[entity_spawned (AVG)]])*(Table11[[#This Row],[activating_chance]]/100),0)</f>
        <v>50</v>
      </c>
      <c r="CR586" s="144" t="str">
        <f ca="1">INDIRECT(ADDRESS(11+(MATCH(RIGHT(Table11[[#This Row],[spawner_sku]],LEN(Table11[[#This Row],[spawner_sku]])-FIND("/",Table11[[#This Row],[spawner_sku]])),Table28[Entity Prefab],0)),25,1,1,"Entities"))</f>
        <v>no</v>
      </c>
      <c r="CS586" s="71">
        <v>1</v>
      </c>
      <c r="CT586" s="71">
        <v>1</v>
      </c>
      <c r="CU586" s="71" t="b">
        <v>0</v>
      </c>
      <c r="DS586" t="s">
        <v>240</v>
      </c>
      <c r="DT586">
        <v>1</v>
      </c>
      <c r="DU586">
        <v>170</v>
      </c>
      <c r="DV586">
        <v>100</v>
      </c>
      <c r="DW586" s="74">
        <f ca="1">INDIRECT(ADDRESS(11+(MATCH(RIGHT(Table14[[#This Row],[spawner_sku]],LEN(Table14[[#This Row],[spawner_sku]])-FIND("/",Table14[[#This Row],[spawner_sku]])),Table1[Entity Prefab],0)),10,1,1,"Entities"))</f>
        <v>70</v>
      </c>
      <c r="DX586" s="74">
        <f ca="1">ROUND((Table14[[#This Row],[XP]]*Table14[[#This Row],[entity_spawned (AVG)]])*(Table14[[#This Row],[activating_chance]]/100),0)</f>
        <v>70</v>
      </c>
      <c r="DY586" s="144" t="str">
        <f ca="1">INDIRECT(ADDRESS(11+(MATCH(RIGHT(Table14[[#This Row],[spawner_sku]],LEN(Table14[[#This Row],[spawner_sku]])-FIND("/",Table14[[#This Row],[spawner_sku]])),Table28[Entity Prefab],0)),25,1,1,"Entities"))</f>
        <v>yes</v>
      </c>
      <c r="DZ586" s="71">
        <v>1</v>
      </c>
      <c r="EA586" s="71">
        <v>1</v>
      </c>
      <c r="EB586" s="71" t="b">
        <v>0</v>
      </c>
      <c r="EC586" s="71"/>
    </row>
    <row r="587" spans="2:133" x14ac:dyDescent="0.25">
      <c r="B587" s="72" t="s">
        <v>242</v>
      </c>
      <c r="C587">
        <v>1</v>
      </c>
      <c r="D587">
        <v>170</v>
      </c>
      <c r="E587">
        <v>60</v>
      </c>
      <c r="F587" s="74">
        <f ca="1">INDIRECT(ADDRESS(11+(MATCH(RIGHT(Table245[[#This Row],[spawner_sku]],LEN(Table245[[#This Row],[spawner_sku]])-FIND("/",Table245[[#This Row],[spawner_sku]])),Table1[Entity Prefab],0)),10,1,1,"Entities"))</f>
        <v>25</v>
      </c>
      <c r="G587" s="74">
        <f ca="1">ROUND((Table245[[#This Row],[XP]]*Table245[[#This Row],[entity_spawned (AVG)]])*(Table245[[#This Row],[activating_chance]]/100),0)</f>
        <v>15</v>
      </c>
      <c r="H587" s="71" t="str">
        <f ca="1">INDIRECT(ADDRESS(11+(MATCH(RIGHT(Table245[[#This Row],[spawner_sku]],LEN(Table245[[#This Row],[spawner_sku]])-FIND("/",Table245[[#This Row],[spawner_sku]])),Table28[Entity Prefab],0)),24,1,1,"Entities"))</f>
        <v>no</v>
      </c>
      <c r="I587" s="71">
        <v>1</v>
      </c>
      <c r="J587" s="71">
        <v>1</v>
      </c>
      <c r="K587" s="71" t="b">
        <v>0</v>
      </c>
      <c r="CL587" t="s">
        <v>244</v>
      </c>
      <c r="CM587">
        <v>1</v>
      </c>
      <c r="CN587">
        <v>120</v>
      </c>
      <c r="CO587">
        <v>100</v>
      </c>
      <c r="CP587" s="74">
        <f ca="1">INDIRECT(ADDRESS(11+(MATCH(RIGHT(Table11[[#This Row],[spawner_sku]],LEN(Table11[[#This Row],[spawner_sku]])-FIND("/",Table11[[#This Row],[spawner_sku]])),Table1[Entity Prefab],0)),10,1,1,"Entities"))</f>
        <v>50</v>
      </c>
      <c r="CQ587">
        <f ca="1">ROUND((Table11[[#This Row],[XP]]*Table11[[#This Row],[entity_spawned (AVG)]])*(Table11[[#This Row],[activating_chance]]/100),0)</f>
        <v>50</v>
      </c>
      <c r="CR587" s="144" t="str">
        <f ca="1">INDIRECT(ADDRESS(11+(MATCH(RIGHT(Table11[[#This Row],[spawner_sku]],LEN(Table11[[#This Row],[spawner_sku]])-FIND("/",Table11[[#This Row],[spawner_sku]])),Table28[Entity Prefab],0)),25,1,1,"Entities"))</f>
        <v>no</v>
      </c>
      <c r="CS587" s="71">
        <v>1</v>
      </c>
      <c r="CT587" s="71">
        <v>1</v>
      </c>
      <c r="CU587" s="71" t="b">
        <v>0</v>
      </c>
      <c r="DS587" t="s">
        <v>240</v>
      </c>
      <c r="DT587">
        <v>1</v>
      </c>
      <c r="DU587">
        <v>170</v>
      </c>
      <c r="DV587">
        <v>100</v>
      </c>
      <c r="DW587" s="74">
        <f ca="1">INDIRECT(ADDRESS(11+(MATCH(RIGHT(Table14[[#This Row],[spawner_sku]],LEN(Table14[[#This Row],[spawner_sku]])-FIND("/",Table14[[#This Row],[spawner_sku]])),Table1[Entity Prefab],0)),10,1,1,"Entities"))</f>
        <v>70</v>
      </c>
      <c r="DX587" s="74">
        <f ca="1">ROUND((Table14[[#This Row],[XP]]*Table14[[#This Row],[entity_spawned (AVG)]])*(Table14[[#This Row],[activating_chance]]/100),0)</f>
        <v>70</v>
      </c>
      <c r="DY587" s="144" t="str">
        <f ca="1">INDIRECT(ADDRESS(11+(MATCH(RIGHT(Table14[[#This Row],[spawner_sku]],LEN(Table14[[#This Row],[spawner_sku]])-FIND("/",Table14[[#This Row],[spawner_sku]])),Table28[Entity Prefab],0)),25,1,1,"Entities"))</f>
        <v>yes</v>
      </c>
      <c r="DZ587" s="71">
        <v>1</v>
      </c>
      <c r="EA587" s="71">
        <v>1</v>
      </c>
      <c r="EB587" s="71" t="b">
        <v>0</v>
      </c>
      <c r="EC587" s="71"/>
    </row>
    <row r="588" spans="2:133" x14ac:dyDescent="0.25">
      <c r="B588" s="72" t="s">
        <v>242</v>
      </c>
      <c r="C588">
        <v>1</v>
      </c>
      <c r="D588">
        <v>170</v>
      </c>
      <c r="E588">
        <v>55</v>
      </c>
      <c r="F588" s="74">
        <f ca="1">INDIRECT(ADDRESS(11+(MATCH(RIGHT(Table245[[#This Row],[spawner_sku]],LEN(Table245[[#This Row],[spawner_sku]])-FIND("/",Table245[[#This Row],[spawner_sku]])),Table1[Entity Prefab],0)),10,1,1,"Entities"))</f>
        <v>25</v>
      </c>
      <c r="G588" s="74">
        <f ca="1">ROUND((Table245[[#This Row],[XP]]*Table245[[#This Row],[entity_spawned (AVG)]])*(Table245[[#This Row],[activating_chance]]/100),0)</f>
        <v>14</v>
      </c>
      <c r="H588" s="71" t="str">
        <f ca="1">INDIRECT(ADDRESS(11+(MATCH(RIGHT(Table245[[#This Row],[spawner_sku]],LEN(Table245[[#This Row],[spawner_sku]])-FIND("/",Table245[[#This Row],[spawner_sku]])),Table28[Entity Prefab],0)),24,1,1,"Entities"))</f>
        <v>no</v>
      </c>
      <c r="I588" s="71">
        <v>1</v>
      </c>
      <c r="J588" s="71">
        <v>1</v>
      </c>
      <c r="K588" s="71" t="b">
        <v>0</v>
      </c>
      <c r="CL588" t="s">
        <v>244</v>
      </c>
      <c r="CM588">
        <v>1</v>
      </c>
      <c r="CN588">
        <v>120</v>
      </c>
      <c r="CO588">
        <v>100</v>
      </c>
      <c r="CP588" s="74">
        <f ca="1">INDIRECT(ADDRESS(11+(MATCH(RIGHT(Table11[[#This Row],[spawner_sku]],LEN(Table11[[#This Row],[spawner_sku]])-FIND("/",Table11[[#This Row],[spawner_sku]])),Table1[Entity Prefab],0)),10,1,1,"Entities"))</f>
        <v>50</v>
      </c>
      <c r="CQ588">
        <f ca="1">ROUND((Table11[[#This Row],[XP]]*Table11[[#This Row],[entity_spawned (AVG)]])*(Table11[[#This Row],[activating_chance]]/100),0)</f>
        <v>50</v>
      </c>
      <c r="CR588" s="144" t="str">
        <f ca="1">INDIRECT(ADDRESS(11+(MATCH(RIGHT(Table11[[#This Row],[spawner_sku]],LEN(Table11[[#This Row],[spawner_sku]])-FIND("/",Table11[[#This Row],[spawner_sku]])),Table28[Entity Prefab],0)),25,1,1,"Entities"))</f>
        <v>no</v>
      </c>
      <c r="CS588" s="71">
        <v>1</v>
      </c>
      <c r="CT588" s="71">
        <v>1</v>
      </c>
      <c r="CU588" s="71" t="b">
        <v>0</v>
      </c>
      <c r="DS588" t="s">
        <v>240</v>
      </c>
      <c r="DT588">
        <v>1</v>
      </c>
      <c r="DU588">
        <v>170</v>
      </c>
      <c r="DV588">
        <v>80</v>
      </c>
      <c r="DW588" s="74">
        <f ca="1">INDIRECT(ADDRESS(11+(MATCH(RIGHT(Table14[[#This Row],[spawner_sku]],LEN(Table14[[#This Row],[spawner_sku]])-FIND("/",Table14[[#This Row],[spawner_sku]])),Table1[Entity Prefab],0)),10,1,1,"Entities"))</f>
        <v>70</v>
      </c>
      <c r="DX588" s="74">
        <f ca="1">ROUND((Table14[[#This Row],[XP]]*Table14[[#This Row],[entity_spawned (AVG)]])*(Table14[[#This Row],[activating_chance]]/100),0)</f>
        <v>56</v>
      </c>
      <c r="DY588" s="144" t="str">
        <f ca="1">INDIRECT(ADDRESS(11+(MATCH(RIGHT(Table14[[#This Row],[spawner_sku]],LEN(Table14[[#This Row],[spawner_sku]])-FIND("/",Table14[[#This Row],[spawner_sku]])),Table28[Entity Prefab],0)),25,1,1,"Entities"))</f>
        <v>yes</v>
      </c>
      <c r="DZ588" s="71">
        <v>1</v>
      </c>
      <c r="EA588" s="71">
        <v>1</v>
      </c>
      <c r="EB588" s="71" t="b">
        <v>0</v>
      </c>
      <c r="EC588" s="71"/>
    </row>
    <row r="589" spans="2:133" x14ac:dyDescent="0.25">
      <c r="B589" s="72" t="s">
        <v>242</v>
      </c>
      <c r="C589">
        <v>1</v>
      </c>
      <c r="D589">
        <v>170</v>
      </c>
      <c r="E589">
        <v>100</v>
      </c>
      <c r="F589" s="74">
        <f ca="1">INDIRECT(ADDRESS(11+(MATCH(RIGHT(Table245[[#This Row],[spawner_sku]],LEN(Table245[[#This Row],[spawner_sku]])-FIND("/",Table245[[#This Row],[spawner_sku]])),Table1[Entity Prefab],0)),10,1,1,"Entities"))</f>
        <v>25</v>
      </c>
      <c r="G589" s="74">
        <f ca="1">ROUND((Table245[[#This Row],[XP]]*Table245[[#This Row],[entity_spawned (AVG)]])*(Table245[[#This Row],[activating_chance]]/100),0)</f>
        <v>25</v>
      </c>
      <c r="H589" s="71" t="str">
        <f ca="1">INDIRECT(ADDRESS(11+(MATCH(RIGHT(Table245[[#This Row],[spawner_sku]],LEN(Table245[[#This Row],[spawner_sku]])-FIND("/",Table245[[#This Row],[spawner_sku]])),Table28[Entity Prefab],0)),24,1,1,"Entities"))</f>
        <v>no</v>
      </c>
      <c r="I589" s="71">
        <v>1</v>
      </c>
      <c r="J589" s="71">
        <v>1</v>
      </c>
      <c r="K589" s="71" t="b">
        <v>0</v>
      </c>
      <c r="CL589" t="s">
        <v>244</v>
      </c>
      <c r="CM589">
        <v>1</v>
      </c>
      <c r="CN589">
        <v>120</v>
      </c>
      <c r="CO589">
        <v>80</v>
      </c>
      <c r="CP589" s="74">
        <f ca="1">INDIRECT(ADDRESS(11+(MATCH(RIGHT(Table11[[#This Row],[spawner_sku]],LEN(Table11[[#This Row],[spawner_sku]])-FIND("/",Table11[[#This Row],[spawner_sku]])),Table1[Entity Prefab],0)),10,1,1,"Entities"))</f>
        <v>50</v>
      </c>
      <c r="CQ589">
        <f ca="1">ROUND((Table11[[#This Row],[XP]]*Table11[[#This Row],[entity_spawned (AVG)]])*(Table11[[#This Row],[activating_chance]]/100),0)</f>
        <v>40</v>
      </c>
      <c r="CR589" s="144" t="str">
        <f ca="1">INDIRECT(ADDRESS(11+(MATCH(RIGHT(Table11[[#This Row],[spawner_sku]],LEN(Table11[[#This Row],[spawner_sku]])-FIND("/",Table11[[#This Row],[spawner_sku]])),Table28[Entity Prefab],0)),25,1,1,"Entities"))</f>
        <v>no</v>
      </c>
      <c r="CS589" s="71">
        <v>1</v>
      </c>
      <c r="CT589" s="71">
        <v>1</v>
      </c>
      <c r="CU589" s="71" t="b">
        <v>0</v>
      </c>
      <c r="DS589" t="s">
        <v>241</v>
      </c>
      <c r="DT589">
        <v>1</v>
      </c>
      <c r="DU589">
        <v>100</v>
      </c>
      <c r="DV589">
        <v>30</v>
      </c>
      <c r="DW589" s="74">
        <f ca="1">INDIRECT(ADDRESS(11+(MATCH(RIGHT(Table14[[#This Row],[spawner_sku]],LEN(Table14[[#This Row],[spawner_sku]])-FIND("/",Table14[[#This Row],[spawner_sku]])),Table1[Entity Prefab],0)),10,1,1,"Entities"))</f>
        <v>70</v>
      </c>
      <c r="DX589" s="74">
        <f ca="1">ROUND((Table14[[#This Row],[XP]]*Table14[[#This Row],[entity_spawned (AVG)]])*(Table14[[#This Row],[activating_chance]]/100),0)</f>
        <v>21</v>
      </c>
      <c r="DY589" s="144" t="str">
        <f ca="1">INDIRECT(ADDRESS(11+(MATCH(RIGHT(Table14[[#This Row],[spawner_sku]],LEN(Table14[[#This Row],[spawner_sku]])-FIND("/",Table14[[#This Row],[spawner_sku]])),Table28[Entity Prefab],0)),25,1,1,"Entities"))</f>
        <v>yes</v>
      </c>
      <c r="DZ589" s="71">
        <v>1</v>
      </c>
      <c r="EA589" s="71">
        <v>1</v>
      </c>
      <c r="EB589" s="71" t="b">
        <v>0</v>
      </c>
      <c r="EC589" s="71"/>
    </row>
    <row r="590" spans="2:133" x14ac:dyDescent="0.25">
      <c r="B590" s="72" t="s">
        <v>242</v>
      </c>
      <c r="C590">
        <v>1</v>
      </c>
      <c r="D590">
        <v>190</v>
      </c>
      <c r="E590">
        <v>100</v>
      </c>
      <c r="F590" s="74">
        <f ca="1">INDIRECT(ADDRESS(11+(MATCH(RIGHT(Table245[[#This Row],[spawner_sku]],LEN(Table245[[#This Row],[spawner_sku]])-FIND("/",Table245[[#This Row],[spawner_sku]])),Table1[Entity Prefab],0)),10,1,1,"Entities"))</f>
        <v>25</v>
      </c>
      <c r="G590" s="74">
        <f ca="1">ROUND((Table245[[#This Row],[XP]]*Table245[[#This Row],[entity_spawned (AVG)]])*(Table245[[#This Row],[activating_chance]]/100),0)</f>
        <v>25</v>
      </c>
      <c r="H590" s="71" t="str">
        <f ca="1">INDIRECT(ADDRESS(11+(MATCH(RIGHT(Table245[[#This Row],[spawner_sku]],LEN(Table245[[#This Row],[spawner_sku]])-FIND("/",Table245[[#This Row],[spawner_sku]])),Table28[Entity Prefab],0)),24,1,1,"Entities"))</f>
        <v>no</v>
      </c>
      <c r="I590" s="71">
        <v>1</v>
      </c>
      <c r="J590" s="71">
        <v>1</v>
      </c>
      <c r="K590" s="71" t="b">
        <v>0</v>
      </c>
      <c r="CL590" t="s">
        <v>244</v>
      </c>
      <c r="CM590">
        <v>1</v>
      </c>
      <c r="CN590">
        <v>120</v>
      </c>
      <c r="CO590">
        <v>10</v>
      </c>
      <c r="CP590" s="74">
        <f ca="1">INDIRECT(ADDRESS(11+(MATCH(RIGHT(Table11[[#This Row],[spawner_sku]],LEN(Table11[[#This Row],[spawner_sku]])-FIND("/",Table11[[#This Row],[spawner_sku]])),Table1[Entity Prefab],0)),10,1,1,"Entities"))</f>
        <v>50</v>
      </c>
      <c r="CQ590">
        <f ca="1">ROUND((Table11[[#This Row],[XP]]*Table11[[#This Row],[entity_spawned (AVG)]])*(Table11[[#This Row],[activating_chance]]/100),0)</f>
        <v>5</v>
      </c>
      <c r="CR590" s="144" t="str">
        <f ca="1">INDIRECT(ADDRESS(11+(MATCH(RIGHT(Table11[[#This Row],[spawner_sku]],LEN(Table11[[#This Row],[spawner_sku]])-FIND("/",Table11[[#This Row],[spawner_sku]])),Table28[Entity Prefab],0)),25,1,1,"Entities"))</f>
        <v>no</v>
      </c>
      <c r="CS590" s="71">
        <v>1</v>
      </c>
      <c r="CT590" s="71">
        <v>1</v>
      </c>
      <c r="CU590" s="71" t="b">
        <v>0</v>
      </c>
      <c r="DS590" t="s">
        <v>241</v>
      </c>
      <c r="DT590">
        <v>1</v>
      </c>
      <c r="DU590">
        <v>120</v>
      </c>
      <c r="DV590">
        <v>100</v>
      </c>
      <c r="DW590" s="74">
        <f ca="1">INDIRECT(ADDRESS(11+(MATCH(RIGHT(Table14[[#This Row],[spawner_sku]],LEN(Table14[[#This Row],[spawner_sku]])-FIND("/",Table14[[#This Row],[spawner_sku]])),Table1[Entity Prefab],0)),10,1,1,"Entities"))</f>
        <v>70</v>
      </c>
      <c r="DX590" s="74">
        <f ca="1">ROUND((Table14[[#This Row],[XP]]*Table14[[#This Row],[entity_spawned (AVG)]])*(Table14[[#This Row],[activating_chance]]/100),0)</f>
        <v>70</v>
      </c>
      <c r="DY590" s="144" t="str">
        <f ca="1">INDIRECT(ADDRESS(11+(MATCH(RIGHT(Table14[[#This Row],[spawner_sku]],LEN(Table14[[#This Row],[spawner_sku]])-FIND("/",Table14[[#This Row],[spawner_sku]])),Table28[Entity Prefab],0)),25,1,1,"Entities"))</f>
        <v>yes</v>
      </c>
      <c r="DZ590" s="71">
        <v>1</v>
      </c>
      <c r="EA590" s="71">
        <v>1</v>
      </c>
      <c r="EB590" s="71" t="b">
        <v>0</v>
      </c>
      <c r="EC590" s="71"/>
    </row>
    <row r="591" spans="2:133" x14ac:dyDescent="0.25">
      <c r="B591" s="72" t="s">
        <v>242</v>
      </c>
      <c r="C591">
        <v>1</v>
      </c>
      <c r="D591">
        <v>170</v>
      </c>
      <c r="E591">
        <v>65</v>
      </c>
      <c r="F591" s="74">
        <f ca="1">INDIRECT(ADDRESS(11+(MATCH(RIGHT(Table245[[#This Row],[spawner_sku]],LEN(Table245[[#This Row],[spawner_sku]])-FIND("/",Table245[[#This Row],[spawner_sku]])),Table1[Entity Prefab],0)),10,1,1,"Entities"))</f>
        <v>25</v>
      </c>
      <c r="G591" s="74">
        <f ca="1">ROUND((Table245[[#This Row],[XP]]*Table245[[#This Row],[entity_spawned (AVG)]])*(Table245[[#This Row],[activating_chance]]/100),0)</f>
        <v>16</v>
      </c>
      <c r="H591" s="71" t="str">
        <f ca="1">INDIRECT(ADDRESS(11+(MATCH(RIGHT(Table245[[#This Row],[spawner_sku]],LEN(Table245[[#This Row],[spawner_sku]])-FIND("/",Table245[[#This Row],[spawner_sku]])),Table28[Entity Prefab],0)),24,1,1,"Entities"))</f>
        <v>no</v>
      </c>
      <c r="I591" s="71">
        <v>1</v>
      </c>
      <c r="J591" s="71">
        <v>1</v>
      </c>
      <c r="K591" s="71" t="b">
        <v>0</v>
      </c>
      <c r="CL591" t="s">
        <v>244</v>
      </c>
      <c r="CM591">
        <v>1</v>
      </c>
      <c r="CN591">
        <v>120</v>
      </c>
      <c r="CO591">
        <v>80</v>
      </c>
      <c r="CP591" s="74">
        <f ca="1">INDIRECT(ADDRESS(11+(MATCH(RIGHT(Table11[[#This Row],[spawner_sku]],LEN(Table11[[#This Row],[spawner_sku]])-FIND("/",Table11[[#This Row],[spawner_sku]])),Table1[Entity Prefab],0)),10,1,1,"Entities"))</f>
        <v>50</v>
      </c>
      <c r="CQ591">
        <f ca="1">ROUND((Table11[[#This Row],[XP]]*Table11[[#This Row],[entity_spawned (AVG)]])*(Table11[[#This Row],[activating_chance]]/100),0)</f>
        <v>40</v>
      </c>
      <c r="CR591" s="144" t="str">
        <f ca="1">INDIRECT(ADDRESS(11+(MATCH(RIGHT(Table11[[#This Row],[spawner_sku]],LEN(Table11[[#This Row],[spawner_sku]])-FIND("/",Table11[[#This Row],[spawner_sku]])),Table28[Entity Prefab],0)),25,1,1,"Entities"))</f>
        <v>no</v>
      </c>
      <c r="CS591" s="71">
        <v>1</v>
      </c>
      <c r="CT591" s="71">
        <v>1</v>
      </c>
      <c r="CU591" s="71" t="b">
        <v>0</v>
      </c>
      <c r="DS591" t="s">
        <v>242</v>
      </c>
      <c r="DT591">
        <v>1</v>
      </c>
      <c r="DU591">
        <v>100</v>
      </c>
      <c r="DV591">
        <v>80</v>
      </c>
      <c r="DW591" s="74">
        <f ca="1">INDIRECT(ADDRESS(11+(MATCH(RIGHT(Table14[[#This Row],[spawner_sku]],LEN(Table14[[#This Row],[spawner_sku]])-FIND("/",Table14[[#This Row],[spawner_sku]])),Table1[Entity Prefab],0)),10,1,1,"Entities"))</f>
        <v>25</v>
      </c>
      <c r="DX591" s="74">
        <f ca="1">ROUND((Table14[[#This Row],[XP]]*Table14[[#This Row],[entity_spawned (AVG)]])*(Table14[[#This Row],[activating_chance]]/100),0)</f>
        <v>20</v>
      </c>
      <c r="DY591" s="144" t="str">
        <f ca="1">INDIRECT(ADDRESS(11+(MATCH(RIGHT(Table14[[#This Row],[spawner_sku]],LEN(Table14[[#This Row],[spawner_sku]])-FIND("/",Table14[[#This Row],[spawner_sku]])),Table28[Entity Prefab],0)),25,1,1,"Entities"))</f>
        <v>no</v>
      </c>
      <c r="DZ591" s="71">
        <v>1</v>
      </c>
      <c r="EA591" s="71">
        <v>1</v>
      </c>
      <c r="EB591" s="71" t="b">
        <v>0</v>
      </c>
      <c r="EC591" s="71"/>
    </row>
    <row r="592" spans="2:133" x14ac:dyDescent="0.25">
      <c r="B592" s="72" t="s">
        <v>242</v>
      </c>
      <c r="C592">
        <v>1</v>
      </c>
      <c r="D592">
        <v>160</v>
      </c>
      <c r="E592">
        <v>100</v>
      </c>
      <c r="F592" s="74">
        <f ca="1">INDIRECT(ADDRESS(11+(MATCH(RIGHT(Table245[[#This Row],[spawner_sku]],LEN(Table245[[#This Row],[spawner_sku]])-FIND("/",Table245[[#This Row],[spawner_sku]])),Table1[Entity Prefab],0)),10,1,1,"Entities"))</f>
        <v>25</v>
      </c>
      <c r="G592" s="74">
        <f ca="1">ROUND((Table245[[#This Row],[XP]]*Table245[[#This Row],[entity_spawned (AVG)]])*(Table245[[#This Row],[activating_chance]]/100),0)</f>
        <v>25</v>
      </c>
      <c r="H592" s="71" t="str">
        <f ca="1">INDIRECT(ADDRESS(11+(MATCH(RIGHT(Table245[[#This Row],[spawner_sku]],LEN(Table245[[#This Row],[spawner_sku]])-FIND("/",Table245[[#This Row],[spawner_sku]])),Table28[Entity Prefab],0)),24,1,1,"Entities"))</f>
        <v>no</v>
      </c>
      <c r="I592" s="71">
        <v>1</v>
      </c>
      <c r="J592" s="71">
        <v>1</v>
      </c>
      <c r="K592" s="71" t="b">
        <v>0</v>
      </c>
      <c r="CL592" t="s">
        <v>244</v>
      </c>
      <c r="CM592">
        <v>1</v>
      </c>
      <c r="CN592">
        <v>120</v>
      </c>
      <c r="CO592">
        <v>100</v>
      </c>
      <c r="CP592" s="74">
        <f ca="1">INDIRECT(ADDRESS(11+(MATCH(RIGHT(Table11[[#This Row],[spawner_sku]],LEN(Table11[[#This Row],[spawner_sku]])-FIND("/",Table11[[#This Row],[spawner_sku]])),Table1[Entity Prefab],0)),10,1,1,"Entities"))</f>
        <v>50</v>
      </c>
      <c r="CQ592">
        <f ca="1">ROUND((Table11[[#This Row],[XP]]*Table11[[#This Row],[entity_spawned (AVG)]])*(Table11[[#This Row],[activating_chance]]/100),0)</f>
        <v>50</v>
      </c>
      <c r="CR592" s="144" t="str">
        <f ca="1">INDIRECT(ADDRESS(11+(MATCH(RIGHT(Table11[[#This Row],[spawner_sku]],LEN(Table11[[#This Row],[spawner_sku]])-FIND("/",Table11[[#This Row],[spawner_sku]])),Table28[Entity Prefab],0)),25,1,1,"Entities"))</f>
        <v>no</v>
      </c>
      <c r="CS592" s="71">
        <v>1</v>
      </c>
      <c r="CT592" s="71">
        <v>1</v>
      </c>
      <c r="CU592" s="71" t="b">
        <v>0</v>
      </c>
      <c r="DS592" t="s">
        <v>242</v>
      </c>
      <c r="DT592">
        <v>1.5</v>
      </c>
      <c r="DU592">
        <v>150</v>
      </c>
      <c r="DV592">
        <v>100</v>
      </c>
      <c r="DW592" s="74">
        <f ca="1">INDIRECT(ADDRESS(11+(MATCH(RIGHT(Table14[[#This Row],[spawner_sku]],LEN(Table14[[#This Row],[spawner_sku]])-FIND("/",Table14[[#This Row],[spawner_sku]])),Table1[Entity Prefab],0)),10,1,1,"Entities"))</f>
        <v>25</v>
      </c>
      <c r="DX592" s="74">
        <f ca="1">ROUND((Table14[[#This Row],[XP]]*Table14[[#This Row],[entity_spawned (AVG)]])*(Table14[[#This Row],[activating_chance]]/100),0)</f>
        <v>38</v>
      </c>
      <c r="DY592" s="144" t="str">
        <f ca="1">INDIRECT(ADDRESS(11+(MATCH(RIGHT(Table14[[#This Row],[spawner_sku]],LEN(Table14[[#This Row],[spawner_sku]])-FIND("/",Table14[[#This Row],[spawner_sku]])),Table28[Entity Prefab],0)),25,1,1,"Entities"))</f>
        <v>no</v>
      </c>
      <c r="DZ592" s="71">
        <v>1</v>
      </c>
      <c r="EA592" s="71">
        <v>2</v>
      </c>
      <c r="EB592" s="71" t="b">
        <v>0</v>
      </c>
      <c r="EC592" s="71"/>
    </row>
    <row r="593" spans="2:133" x14ac:dyDescent="0.25">
      <c r="B593" s="72" t="s">
        <v>242</v>
      </c>
      <c r="C593">
        <v>1</v>
      </c>
      <c r="D593">
        <v>170</v>
      </c>
      <c r="E593">
        <v>100</v>
      </c>
      <c r="F593" s="74">
        <f ca="1">INDIRECT(ADDRESS(11+(MATCH(RIGHT(Table245[[#This Row],[spawner_sku]],LEN(Table245[[#This Row],[spawner_sku]])-FIND("/",Table245[[#This Row],[spawner_sku]])),Table1[Entity Prefab],0)),10,1,1,"Entities"))</f>
        <v>25</v>
      </c>
      <c r="G593" s="74">
        <f ca="1">ROUND((Table245[[#This Row],[XP]]*Table245[[#This Row],[entity_spawned (AVG)]])*(Table245[[#This Row],[activating_chance]]/100),0)</f>
        <v>25</v>
      </c>
      <c r="H593" s="71" t="str">
        <f ca="1">INDIRECT(ADDRESS(11+(MATCH(RIGHT(Table245[[#This Row],[spawner_sku]],LEN(Table245[[#This Row],[spawner_sku]])-FIND("/",Table245[[#This Row],[spawner_sku]])),Table28[Entity Prefab],0)),24,1,1,"Entities"))</f>
        <v>no</v>
      </c>
      <c r="I593" s="71">
        <v>1</v>
      </c>
      <c r="J593" s="71">
        <v>1</v>
      </c>
      <c r="K593" s="71" t="b">
        <v>0</v>
      </c>
      <c r="CL593" t="s">
        <v>244</v>
      </c>
      <c r="CM593">
        <v>1</v>
      </c>
      <c r="CN593">
        <v>120</v>
      </c>
      <c r="CO593">
        <v>100</v>
      </c>
      <c r="CP593" s="74">
        <f ca="1">INDIRECT(ADDRESS(11+(MATCH(RIGHT(Table11[[#This Row],[spawner_sku]],LEN(Table11[[#This Row],[spawner_sku]])-FIND("/",Table11[[#This Row],[spawner_sku]])),Table1[Entity Prefab],0)),10,1,1,"Entities"))</f>
        <v>50</v>
      </c>
      <c r="CQ593">
        <f ca="1">ROUND((Table11[[#This Row],[XP]]*Table11[[#This Row],[entity_spawned (AVG)]])*(Table11[[#This Row],[activating_chance]]/100),0)</f>
        <v>50</v>
      </c>
      <c r="CR593" s="144" t="str">
        <f ca="1">INDIRECT(ADDRESS(11+(MATCH(RIGHT(Table11[[#This Row],[spawner_sku]],LEN(Table11[[#This Row],[spawner_sku]])-FIND("/",Table11[[#This Row],[spawner_sku]])),Table28[Entity Prefab],0)),25,1,1,"Entities"))</f>
        <v>no</v>
      </c>
      <c r="CS593" s="71">
        <v>1</v>
      </c>
      <c r="CT593" s="71">
        <v>1</v>
      </c>
      <c r="CU593" s="71" t="b">
        <v>0</v>
      </c>
      <c r="DS593" t="s">
        <v>242</v>
      </c>
      <c r="DT593">
        <v>1</v>
      </c>
      <c r="DU593">
        <v>150</v>
      </c>
      <c r="DV593">
        <v>50</v>
      </c>
      <c r="DW593" s="74">
        <f ca="1">INDIRECT(ADDRESS(11+(MATCH(RIGHT(Table14[[#This Row],[spawner_sku]],LEN(Table14[[#This Row],[spawner_sku]])-FIND("/",Table14[[#This Row],[spawner_sku]])),Table1[Entity Prefab],0)),10,1,1,"Entities"))</f>
        <v>25</v>
      </c>
      <c r="DX593" s="74">
        <f ca="1">ROUND((Table14[[#This Row],[XP]]*Table14[[#This Row],[entity_spawned (AVG)]])*(Table14[[#This Row],[activating_chance]]/100),0)</f>
        <v>13</v>
      </c>
      <c r="DY593" s="144" t="str">
        <f ca="1">INDIRECT(ADDRESS(11+(MATCH(RIGHT(Table14[[#This Row],[spawner_sku]],LEN(Table14[[#This Row],[spawner_sku]])-FIND("/",Table14[[#This Row],[spawner_sku]])),Table28[Entity Prefab],0)),25,1,1,"Entities"))</f>
        <v>no</v>
      </c>
      <c r="DZ593" s="71">
        <v>1</v>
      </c>
      <c r="EA593" s="71">
        <v>1</v>
      </c>
      <c r="EB593" s="71" t="b">
        <v>0</v>
      </c>
      <c r="EC593" s="71"/>
    </row>
    <row r="594" spans="2:133" x14ac:dyDescent="0.25">
      <c r="B594" s="72" t="s">
        <v>242</v>
      </c>
      <c r="C594">
        <v>1</v>
      </c>
      <c r="D594">
        <v>170</v>
      </c>
      <c r="E594">
        <v>80</v>
      </c>
      <c r="F594" s="74">
        <f ca="1">INDIRECT(ADDRESS(11+(MATCH(RIGHT(Table245[[#This Row],[spawner_sku]],LEN(Table245[[#This Row],[spawner_sku]])-FIND("/",Table245[[#This Row],[spawner_sku]])),Table1[Entity Prefab],0)),10,1,1,"Entities"))</f>
        <v>25</v>
      </c>
      <c r="G594" s="74">
        <f ca="1">ROUND((Table245[[#This Row],[XP]]*Table245[[#This Row],[entity_spawned (AVG)]])*(Table245[[#This Row],[activating_chance]]/100),0)</f>
        <v>20</v>
      </c>
      <c r="H594" s="71" t="str">
        <f ca="1">INDIRECT(ADDRESS(11+(MATCH(RIGHT(Table245[[#This Row],[spawner_sku]],LEN(Table245[[#This Row],[spawner_sku]])-FIND("/",Table245[[#This Row],[spawner_sku]])),Table28[Entity Prefab],0)),24,1,1,"Entities"))</f>
        <v>no</v>
      </c>
      <c r="I594" s="71">
        <v>1</v>
      </c>
      <c r="J594" s="71">
        <v>1</v>
      </c>
      <c r="K594" s="71" t="b">
        <v>0</v>
      </c>
      <c r="CL594" t="s">
        <v>244</v>
      </c>
      <c r="CM594">
        <v>1</v>
      </c>
      <c r="CN594">
        <v>120</v>
      </c>
      <c r="CO594">
        <v>30</v>
      </c>
      <c r="CP594" s="74">
        <f ca="1">INDIRECT(ADDRESS(11+(MATCH(RIGHT(Table11[[#This Row],[spawner_sku]],LEN(Table11[[#This Row],[spawner_sku]])-FIND("/",Table11[[#This Row],[spawner_sku]])),Table1[Entity Prefab],0)),10,1,1,"Entities"))</f>
        <v>50</v>
      </c>
      <c r="CQ594">
        <f ca="1">ROUND((Table11[[#This Row],[XP]]*Table11[[#This Row],[entity_spawned (AVG)]])*(Table11[[#This Row],[activating_chance]]/100),0)</f>
        <v>15</v>
      </c>
      <c r="CR594" s="144" t="str">
        <f ca="1">INDIRECT(ADDRESS(11+(MATCH(RIGHT(Table11[[#This Row],[spawner_sku]],LEN(Table11[[#This Row],[spawner_sku]])-FIND("/",Table11[[#This Row],[spawner_sku]])),Table28[Entity Prefab],0)),25,1,1,"Entities"))</f>
        <v>no</v>
      </c>
      <c r="CS594" s="71">
        <v>1</v>
      </c>
      <c r="CT594" s="71">
        <v>1</v>
      </c>
      <c r="CU594" s="71" t="b">
        <v>0</v>
      </c>
      <c r="DS594" t="s">
        <v>242</v>
      </c>
      <c r="DT594">
        <v>2</v>
      </c>
      <c r="DU594">
        <v>100</v>
      </c>
      <c r="DV594">
        <v>80</v>
      </c>
      <c r="DW594" s="74">
        <f ca="1">INDIRECT(ADDRESS(11+(MATCH(RIGHT(Table14[[#This Row],[spawner_sku]],LEN(Table14[[#This Row],[spawner_sku]])-FIND("/",Table14[[#This Row],[spawner_sku]])),Table1[Entity Prefab],0)),10,1,1,"Entities"))</f>
        <v>25</v>
      </c>
      <c r="DX594" s="74">
        <f ca="1">ROUND((Table14[[#This Row],[XP]]*Table14[[#This Row],[entity_spawned (AVG)]])*(Table14[[#This Row],[activating_chance]]/100),0)</f>
        <v>40</v>
      </c>
      <c r="DY594" s="144" t="str">
        <f ca="1">INDIRECT(ADDRESS(11+(MATCH(RIGHT(Table14[[#This Row],[spawner_sku]],LEN(Table14[[#This Row],[spawner_sku]])-FIND("/",Table14[[#This Row],[spawner_sku]])),Table28[Entity Prefab],0)),25,1,1,"Entities"))</f>
        <v>no</v>
      </c>
      <c r="DZ594" s="71">
        <v>2</v>
      </c>
      <c r="EA594" s="71">
        <v>2</v>
      </c>
      <c r="EB594" s="71" t="b">
        <v>0</v>
      </c>
      <c r="EC594" s="71"/>
    </row>
    <row r="595" spans="2:133" x14ac:dyDescent="0.25">
      <c r="B595" s="72" t="s">
        <v>242</v>
      </c>
      <c r="C595">
        <v>1</v>
      </c>
      <c r="D595">
        <v>170</v>
      </c>
      <c r="E595">
        <v>85</v>
      </c>
      <c r="F595" s="74">
        <f ca="1">INDIRECT(ADDRESS(11+(MATCH(RIGHT(Table245[[#This Row],[spawner_sku]],LEN(Table245[[#This Row],[spawner_sku]])-FIND("/",Table245[[#This Row],[spawner_sku]])),Table1[Entity Prefab],0)),10,1,1,"Entities"))</f>
        <v>25</v>
      </c>
      <c r="G595" s="74">
        <f ca="1">ROUND((Table245[[#This Row],[XP]]*Table245[[#This Row],[entity_spawned (AVG)]])*(Table245[[#This Row],[activating_chance]]/100),0)</f>
        <v>21</v>
      </c>
      <c r="H595" s="71" t="str">
        <f ca="1">INDIRECT(ADDRESS(11+(MATCH(RIGHT(Table245[[#This Row],[spawner_sku]],LEN(Table245[[#This Row],[spawner_sku]])-FIND("/",Table245[[#This Row],[spawner_sku]])),Table28[Entity Prefab],0)),24,1,1,"Entities"))</f>
        <v>no</v>
      </c>
      <c r="I595" s="71">
        <v>1</v>
      </c>
      <c r="J595" s="71">
        <v>1</v>
      </c>
      <c r="K595" s="71" t="b">
        <v>0</v>
      </c>
      <c r="CL595" t="s">
        <v>244</v>
      </c>
      <c r="CM595">
        <v>1</v>
      </c>
      <c r="CN595">
        <v>120</v>
      </c>
      <c r="CO595">
        <v>30</v>
      </c>
      <c r="CP595" s="74">
        <f ca="1">INDIRECT(ADDRESS(11+(MATCH(RIGHT(Table11[[#This Row],[spawner_sku]],LEN(Table11[[#This Row],[spawner_sku]])-FIND("/",Table11[[#This Row],[spawner_sku]])),Table1[Entity Prefab],0)),10,1,1,"Entities"))</f>
        <v>50</v>
      </c>
      <c r="CQ595">
        <f ca="1">ROUND((Table11[[#This Row],[XP]]*Table11[[#This Row],[entity_spawned (AVG)]])*(Table11[[#This Row],[activating_chance]]/100),0)</f>
        <v>15</v>
      </c>
      <c r="CR595" s="144" t="str">
        <f ca="1">INDIRECT(ADDRESS(11+(MATCH(RIGHT(Table11[[#This Row],[spawner_sku]],LEN(Table11[[#This Row],[spawner_sku]])-FIND("/",Table11[[#This Row],[spawner_sku]])),Table28[Entity Prefab],0)),25,1,1,"Entities"))</f>
        <v>no</v>
      </c>
      <c r="CS595" s="71">
        <v>1</v>
      </c>
      <c r="CT595" s="71">
        <v>1</v>
      </c>
      <c r="CU595" s="71" t="b">
        <v>0</v>
      </c>
      <c r="DS595" t="s">
        <v>242</v>
      </c>
      <c r="DT595">
        <v>1</v>
      </c>
      <c r="DU595">
        <v>90</v>
      </c>
      <c r="DV595">
        <v>80</v>
      </c>
      <c r="DW595" s="74">
        <f ca="1">INDIRECT(ADDRESS(11+(MATCH(RIGHT(Table14[[#This Row],[spawner_sku]],LEN(Table14[[#This Row],[spawner_sku]])-FIND("/",Table14[[#This Row],[spawner_sku]])),Table1[Entity Prefab],0)),10,1,1,"Entities"))</f>
        <v>25</v>
      </c>
      <c r="DX595" s="74">
        <f ca="1">ROUND((Table14[[#This Row],[XP]]*Table14[[#This Row],[entity_spawned (AVG)]])*(Table14[[#This Row],[activating_chance]]/100),0)</f>
        <v>20</v>
      </c>
      <c r="DY595" s="144" t="str">
        <f ca="1">INDIRECT(ADDRESS(11+(MATCH(RIGHT(Table14[[#This Row],[spawner_sku]],LEN(Table14[[#This Row],[spawner_sku]])-FIND("/",Table14[[#This Row],[spawner_sku]])),Table28[Entity Prefab],0)),25,1,1,"Entities"))</f>
        <v>no</v>
      </c>
      <c r="DZ595" s="71">
        <v>1</v>
      </c>
      <c r="EA595" s="71">
        <v>1</v>
      </c>
      <c r="EB595" s="71" t="b">
        <v>0</v>
      </c>
      <c r="EC595" s="71"/>
    </row>
    <row r="596" spans="2:133" x14ac:dyDescent="0.25">
      <c r="B596" s="72" t="s">
        <v>242</v>
      </c>
      <c r="C596">
        <v>1</v>
      </c>
      <c r="D596">
        <v>190</v>
      </c>
      <c r="E596">
        <v>100</v>
      </c>
      <c r="F596" s="74">
        <f ca="1">INDIRECT(ADDRESS(11+(MATCH(RIGHT(Table245[[#This Row],[spawner_sku]],LEN(Table245[[#This Row],[spawner_sku]])-FIND("/",Table245[[#This Row],[spawner_sku]])),Table1[Entity Prefab],0)),10,1,1,"Entities"))</f>
        <v>25</v>
      </c>
      <c r="G596" s="74">
        <f ca="1">ROUND((Table245[[#This Row],[XP]]*Table245[[#This Row],[entity_spawned (AVG)]])*(Table245[[#This Row],[activating_chance]]/100),0)</f>
        <v>25</v>
      </c>
      <c r="H596" s="71" t="str">
        <f ca="1">INDIRECT(ADDRESS(11+(MATCH(RIGHT(Table245[[#This Row],[spawner_sku]],LEN(Table245[[#This Row],[spawner_sku]])-FIND("/",Table245[[#This Row],[spawner_sku]])),Table28[Entity Prefab],0)),24,1,1,"Entities"))</f>
        <v>no</v>
      </c>
      <c r="I596" s="71">
        <v>1</v>
      </c>
      <c r="J596" s="71">
        <v>1</v>
      </c>
      <c r="K596" s="71" t="b">
        <v>0</v>
      </c>
      <c r="CL596" t="s">
        <v>375</v>
      </c>
      <c r="CM596">
        <v>1</v>
      </c>
      <c r="CN596">
        <v>220</v>
      </c>
      <c r="CO596">
        <v>100</v>
      </c>
      <c r="CP596" s="74">
        <f ca="1">INDIRECT(ADDRESS(11+(MATCH(RIGHT(Table11[[#This Row],[spawner_sku]],LEN(Table11[[#This Row],[spawner_sku]])-FIND("/",Table11[[#This Row],[spawner_sku]])),Table1[Entity Prefab],0)),10,1,1,"Entities"))</f>
        <v>50</v>
      </c>
      <c r="CQ596">
        <f ca="1">ROUND((Table11[[#This Row],[XP]]*Table11[[#This Row],[entity_spawned (AVG)]])*(Table11[[#This Row],[activating_chance]]/100),0)</f>
        <v>50</v>
      </c>
      <c r="CR596" s="144" t="str">
        <f ca="1">INDIRECT(ADDRESS(11+(MATCH(RIGHT(Table11[[#This Row],[spawner_sku]],LEN(Table11[[#This Row],[spawner_sku]])-FIND("/",Table11[[#This Row],[spawner_sku]])),Table28[Entity Prefab],0)),25,1,1,"Entities"))</f>
        <v>no</v>
      </c>
      <c r="CS596" s="71">
        <v>1</v>
      </c>
      <c r="CT596" s="71">
        <v>1</v>
      </c>
      <c r="CU596" s="71" t="b">
        <v>0</v>
      </c>
      <c r="DS596" t="s">
        <v>242</v>
      </c>
      <c r="DT596">
        <v>1</v>
      </c>
      <c r="DU596">
        <v>100</v>
      </c>
      <c r="DV596">
        <v>100</v>
      </c>
      <c r="DW596" s="74">
        <f ca="1">INDIRECT(ADDRESS(11+(MATCH(RIGHT(Table14[[#This Row],[spawner_sku]],LEN(Table14[[#This Row],[spawner_sku]])-FIND("/",Table14[[#This Row],[spawner_sku]])),Table1[Entity Prefab],0)),10,1,1,"Entities"))</f>
        <v>25</v>
      </c>
      <c r="DX596" s="74">
        <f ca="1">ROUND((Table14[[#This Row],[XP]]*Table14[[#This Row],[entity_spawned (AVG)]])*(Table14[[#This Row],[activating_chance]]/100),0)</f>
        <v>25</v>
      </c>
      <c r="DY596" s="144" t="str">
        <f ca="1">INDIRECT(ADDRESS(11+(MATCH(RIGHT(Table14[[#This Row],[spawner_sku]],LEN(Table14[[#This Row],[spawner_sku]])-FIND("/",Table14[[#This Row],[spawner_sku]])),Table28[Entity Prefab],0)),25,1,1,"Entities"))</f>
        <v>no</v>
      </c>
      <c r="DZ596" s="71">
        <v>1</v>
      </c>
      <c r="EA596" s="71">
        <v>1</v>
      </c>
      <c r="EB596" s="71" t="b">
        <v>0</v>
      </c>
      <c r="EC596" s="71"/>
    </row>
    <row r="597" spans="2:133" x14ac:dyDescent="0.25">
      <c r="B597" s="72" t="s">
        <v>242</v>
      </c>
      <c r="C597">
        <v>2</v>
      </c>
      <c r="D597">
        <v>205</v>
      </c>
      <c r="E597">
        <v>95</v>
      </c>
      <c r="F597" s="74">
        <f ca="1">INDIRECT(ADDRESS(11+(MATCH(RIGHT(Table245[[#This Row],[spawner_sku]],LEN(Table245[[#This Row],[spawner_sku]])-FIND("/",Table245[[#This Row],[spawner_sku]])),Table1[Entity Prefab],0)),10,1,1,"Entities"))</f>
        <v>25</v>
      </c>
      <c r="G597" s="74">
        <f ca="1">ROUND((Table245[[#This Row],[XP]]*Table245[[#This Row],[entity_spawned (AVG)]])*(Table245[[#This Row],[activating_chance]]/100),0)</f>
        <v>48</v>
      </c>
      <c r="H597" s="71" t="str">
        <f ca="1">INDIRECT(ADDRESS(11+(MATCH(RIGHT(Table245[[#This Row],[spawner_sku]],LEN(Table245[[#This Row],[spawner_sku]])-FIND("/",Table245[[#This Row],[spawner_sku]])),Table28[Entity Prefab],0)),24,1,1,"Entities"))</f>
        <v>no</v>
      </c>
      <c r="I597" s="71">
        <v>2</v>
      </c>
      <c r="J597" s="71">
        <v>2</v>
      </c>
      <c r="K597" s="71" t="b">
        <v>0</v>
      </c>
      <c r="CL597" t="s">
        <v>375</v>
      </c>
      <c r="CM597">
        <v>1</v>
      </c>
      <c r="CN597">
        <v>220</v>
      </c>
      <c r="CO597">
        <v>100</v>
      </c>
      <c r="CP597" s="74">
        <f ca="1">INDIRECT(ADDRESS(11+(MATCH(RIGHT(Table11[[#This Row],[spawner_sku]],LEN(Table11[[#This Row],[spawner_sku]])-FIND("/",Table11[[#This Row],[spawner_sku]])),Table1[Entity Prefab],0)),10,1,1,"Entities"))</f>
        <v>50</v>
      </c>
      <c r="CQ597">
        <f ca="1">ROUND((Table11[[#This Row],[XP]]*Table11[[#This Row],[entity_spawned (AVG)]])*(Table11[[#This Row],[activating_chance]]/100),0)</f>
        <v>50</v>
      </c>
      <c r="CR597" s="144" t="str">
        <f ca="1">INDIRECT(ADDRESS(11+(MATCH(RIGHT(Table11[[#This Row],[spawner_sku]],LEN(Table11[[#This Row],[spawner_sku]])-FIND("/",Table11[[#This Row],[spawner_sku]])),Table28[Entity Prefab],0)),25,1,1,"Entities"))</f>
        <v>no</v>
      </c>
      <c r="CS597" s="71">
        <v>1</v>
      </c>
      <c r="CT597" s="71">
        <v>1</v>
      </c>
      <c r="CU597" s="71" t="b">
        <v>0</v>
      </c>
      <c r="DS597" t="s">
        <v>242</v>
      </c>
      <c r="DT597">
        <v>1.5</v>
      </c>
      <c r="DU597">
        <v>150</v>
      </c>
      <c r="DV597">
        <v>100</v>
      </c>
      <c r="DW597" s="74">
        <f ca="1">INDIRECT(ADDRESS(11+(MATCH(RIGHT(Table14[[#This Row],[spawner_sku]],LEN(Table14[[#This Row],[spawner_sku]])-FIND("/",Table14[[#This Row],[spawner_sku]])),Table1[Entity Prefab],0)),10,1,1,"Entities"))</f>
        <v>25</v>
      </c>
      <c r="DX597" s="74">
        <f ca="1">ROUND((Table14[[#This Row],[XP]]*Table14[[#This Row],[entity_spawned (AVG)]])*(Table14[[#This Row],[activating_chance]]/100),0)</f>
        <v>38</v>
      </c>
      <c r="DY597" s="144" t="str">
        <f ca="1">INDIRECT(ADDRESS(11+(MATCH(RIGHT(Table14[[#This Row],[spawner_sku]],LEN(Table14[[#This Row],[spawner_sku]])-FIND("/",Table14[[#This Row],[spawner_sku]])),Table28[Entity Prefab],0)),25,1,1,"Entities"))</f>
        <v>no</v>
      </c>
      <c r="DZ597" s="71">
        <v>1</v>
      </c>
      <c r="EA597" s="71">
        <v>2</v>
      </c>
      <c r="EB597" s="71" t="b">
        <v>0</v>
      </c>
      <c r="EC597" s="71"/>
    </row>
    <row r="598" spans="2:133" x14ac:dyDescent="0.25">
      <c r="B598" s="72" t="s">
        <v>242</v>
      </c>
      <c r="C598">
        <v>1</v>
      </c>
      <c r="D598">
        <v>170</v>
      </c>
      <c r="E598">
        <v>100</v>
      </c>
      <c r="F598" s="74">
        <f ca="1">INDIRECT(ADDRESS(11+(MATCH(RIGHT(Table245[[#This Row],[spawner_sku]],LEN(Table245[[#This Row],[spawner_sku]])-FIND("/",Table245[[#This Row],[spawner_sku]])),Table1[Entity Prefab],0)),10,1,1,"Entities"))</f>
        <v>25</v>
      </c>
      <c r="G598" s="74">
        <f ca="1">ROUND((Table245[[#This Row],[XP]]*Table245[[#This Row],[entity_spawned (AVG)]])*(Table245[[#This Row],[activating_chance]]/100),0)</f>
        <v>25</v>
      </c>
      <c r="H598" s="71" t="str">
        <f ca="1">INDIRECT(ADDRESS(11+(MATCH(RIGHT(Table245[[#This Row],[spawner_sku]],LEN(Table245[[#This Row],[spawner_sku]])-FIND("/",Table245[[#This Row],[spawner_sku]])),Table28[Entity Prefab],0)),24,1,1,"Entities"))</f>
        <v>no</v>
      </c>
      <c r="I598" s="71">
        <v>1</v>
      </c>
      <c r="J598" s="71">
        <v>1</v>
      </c>
      <c r="K598" s="71" t="b">
        <v>0</v>
      </c>
      <c r="CL598" t="s">
        <v>375</v>
      </c>
      <c r="CM598">
        <v>1</v>
      </c>
      <c r="CN598">
        <v>220</v>
      </c>
      <c r="CO598">
        <v>100</v>
      </c>
      <c r="CP598" s="74">
        <f ca="1">INDIRECT(ADDRESS(11+(MATCH(RIGHT(Table11[[#This Row],[spawner_sku]],LEN(Table11[[#This Row],[spawner_sku]])-FIND("/",Table11[[#This Row],[spawner_sku]])),Table1[Entity Prefab],0)),10,1,1,"Entities"))</f>
        <v>50</v>
      </c>
      <c r="CQ598">
        <f ca="1">ROUND((Table11[[#This Row],[XP]]*Table11[[#This Row],[entity_spawned (AVG)]])*(Table11[[#This Row],[activating_chance]]/100),0)</f>
        <v>50</v>
      </c>
      <c r="CR598" s="144" t="str">
        <f ca="1">INDIRECT(ADDRESS(11+(MATCH(RIGHT(Table11[[#This Row],[spawner_sku]],LEN(Table11[[#This Row],[spawner_sku]])-FIND("/",Table11[[#This Row],[spawner_sku]])),Table28[Entity Prefab],0)),25,1,1,"Entities"))</f>
        <v>no</v>
      </c>
      <c r="CS598" s="71">
        <v>1</v>
      </c>
      <c r="CT598" s="71">
        <v>1</v>
      </c>
      <c r="CU598" s="71" t="b">
        <v>0</v>
      </c>
      <c r="DS598" t="s">
        <v>242</v>
      </c>
      <c r="DT598">
        <v>1</v>
      </c>
      <c r="DU598">
        <v>100</v>
      </c>
      <c r="DV598">
        <v>100</v>
      </c>
      <c r="DW598" s="74">
        <f ca="1">INDIRECT(ADDRESS(11+(MATCH(RIGHT(Table14[[#This Row],[spawner_sku]],LEN(Table14[[#This Row],[spawner_sku]])-FIND("/",Table14[[#This Row],[spawner_sku]])),Table1[Entity Prefab],0)),10,1,1,"Entities"))</f>
        <v>25</v>
      </c>
      <c r="DX598" s="74">
        <f ca="1">ROUND((Table14[[#This Row],[XP]]*Table14[[#This Row],[entity_spawned (AVG)]])*(Table14[[#This Row],[activating_chance]]/100),0)</f>
        <v>25</v>
      </c>
      <c r="DY598" s="144" t="str">
        <f ca="1">INDIRECT(ADDRESS(11+(MATCH(RIGHT(Table14[[#This Row],[spawner_sku]],LEN(Table14[[#This Row],[spawner_sku]])-FIND("/",Table14[[#This Row],[spawner_sku]])),Table28[Entity Prefab],0)),25,1,1,"Entities"))</f>
        <v>no</v>
      </c>
      <c r="DZ598" s="71">
        <v>1</v>
      </c>
      <c r="EA598" s="71">
        <v>1</v>
      </c>
      <c r="EB598" s="71" t="b">
        <v>0</v>
      </c>
      <c r="EC598" s="71"/>
    </row>
    <row r="599" spans="2:133" x14ac:dyDescent="0.25">
      <c r="B599" s="72" t="s">
        <v>242</v>
      </c>
      <c r="C599">
        <v>1</v>
      </c>
      <c r="D599">
        <v>170</v>
      </c>
      <c r="E599">
        <v>40</v>
      </c>
      <c r="F599" s="74">
        <f ca="1">INDIRECT(ADDRESS(11+(MATCH(RIGHT(Table245[[#This Row],[spawner_sku]],LEN(Table245[[#This Row],[spawner_sku]])-FIND("/",Table245[[#This Row],[spawner_sku]])),Table1[Entity Prefab],0)),10,1,1,"Entities"))</f>
        <v>25</v>
      </c>
      <c r="G599" s="74">
        <f ca="1">ROUND((Table245[[#This Row],[XP]]*Table245[[#This Row],[entity_spawned (AVG)]])*(Table245[[#This Row],[activating_chance]]/100),0)</f>
        <v>10</v>
      </c>
      <c r="H599" s="71" t="str">
        <f ca="1">INDIRECT(ADDRESS(11+(MATCH(RIGHT(Table245[[#This Row],[spawner_sku]],LEN(Table245[[#This Row],[spawner_sku]])-FIND("/",Table245[[#This Row],[spawner_sku]])),Table28[Entity Prefab],0)),24,1,1,"Entities"))</f>
        <v>no</v>
      </c>
      <c r="I599" s="71">
        <v>1</v>
      </c>
      <c r="J599" s="71">
        <v>1</v>
      </c>
      <c r="K599" s="71" t="b">
        <v>0</v>
      </c>
      <c r="CL599" t="s">
        <v>322</v>
      </c>
      <c r="CM599">
        <v>1</v>
      </c>
      <c r="CN599">
        <v>120</v>
      </c>
      <c r="CO599">
        <v>100</v>
      </c>
      <c r="CP599" s="74">
        <f ca="1">INDIRECT(ADDRESS(11+(MATCH(RIGHT(Table11[[#This Row],[spawner_sku]],LEN(Table11[[#This Row],[spawner_sku]])-FIND("/",Table11[[#This Row],[spawner_sku]])),Table1[Entity Prefab],0)),10,1,1,"Entities"))</f>
        <v>50</v>
      </c>
      <c r="CQ599">
        <f ca="1">ROUND((Table11[[#This Row],[XP]]*Table11[[#This Row],[entity_spawned (AVG)]])*(Table11[[#This Row],[activating_chance]]/100),0)</f>
        <v>50</v>
      </c>
      <c r="CR599" s="144" t="str">
        <f ca="1">INDIRECT(ADDRESS(11+(MATCH(RIGHT(Table11[[#This Row],[spawner_sku]],LEN(Table11[[#This Row],[spawner_sku]])-FIND("/",Table11[[#This Row],[spawner_sku]])),Table28[Entity Prefab],0)),25,1,1,"Entities"))</f>
        <v>no</v>
      </c>
      <c r="CS599" s="71">
        <v>1</v>
      </c>
      <c r="CT599" s="71">
        <v>1</v>
      </c>
      <c r="CU599" s="71" t="b">
        <v>0</v>
      </c>
      <c r="DS599" t="s">
        <v>242</v>
      </c>
      <c r="DT599">
        <v>1</v>
      </c>
      <c r="DU599">
        <v>100</v>
      </c>
      <c r="DV599">
        <v>100</v>
      </c>
      <c r="DW599" s="74">
        <f ca="1">INDIRECT(ADDRESS(11+(MATCH(RIGHT(Table14[[#This Row],[spawner_sku]],LEN(Table14[[#This Row],[spawner_sku]])-FIND("/",Table14[[#This Row],[spawner_sku]])),Table1[Entity Prefab],0)),10,1,1,"Entities"))</f>
        <v>25</v>
      </c>
      <c r="DX599" s="74">
        <f ca="1">ROUND((Table14[[#This Row],[XP]]*Table14[[#This Row],[entity_spawned (AVG)]])*(Table14[[#This Row],[activating_chance]]/100),0)</f>
        <v>25</v>
      </c>
      <c r="DY599" s="144" t="str">
        <f ca="1">INDIRECT(ADDRESS(11+(MATCH(RIGHT(Table14[[#This Row],[spawner_sku]],LEN(Table14[[#This Row],[spawner_sku]])-FIND("/",Table14[[#This Row],[spawner_sku]])),Table28[Entity Prefab],0)),25,1,1,"Entities"))</f>
        <v>no</v>
      </c>
      <c r="DZ599" s="71">
        <v>1</v>
      </c>
      <c r="EA599" s="71">
        <v>1</v>
      </c>
      <c r="EB599" s="71" t="b">
        <v>0</v>
      </c>
      <c r="EC599" s="71"/>
    </row>
    <row r="600" spans="2:133" x14ac:dyDescent="0.25">
      <c r="B600" s="72" t="s">
        <v>242</v>
      </c>
      <c r="C600">
        <v>1</v>
      </c>
      <c r="D600">
        <v>170</v>
      </c>
      <c r="E600">
        <v>100</v>
      </c>
      <c r="F600" s="74">
        <f ca="1">INDIRECT(ADDRESS(11+(MATCH(RIGHT(Table245[[#This Row],[spawner_sku]],LEN(Table245[[#This Row],[spawner_sku]])-FIND("/",Table245[[#This Row],[spawner_sku]])),Table1[Entity Prefab],0)),10,1,1,"Entities"))</f>
        <v>25</v>
      </c>
      <c r="G600" s="74">
        <f ca="1">ROUND((Table245[[#This Row],[XP]]*Table245[[#This Row],[entity_spawned (AVG)]])*(Table245[[#This Row],[activating_chance]]/100),0)</f>
        <v>25</v>
      </c>
      <c r="H600" s="71" t="str">
        <f ca="1">INDIRECT(ADDRESS(11+(MATCH(RIGHT(Table245[[#This Row],[spawner_sku]],LEN(Table245[[#This Row],[spawner_sku]])-FIND("/",Table245[[#This Row],[spawner_sku]])),Table28[Entity Prefab],0)),24,1,1,"Entities"))</f>
        <v>no</v>
      </c>
      <c r="I600" s="71">
        <v>1</v>
      </c>
      <c r="J600" s="71">
        <v>1</v>
      </c>
      <c r="K600" s="71" t="b">
        <v>0</v>
      </c>
      <c r="CL600" t="s">
        <v>322</v>
      </c>
      <c r="CM600">
        <v>1</v>
      </c>
      <c r="CN600">
        <v>120</v>
      </c>
      <c r="CO600">
        <v>100</v>
      </c>
      <c r="CP600" s="74">
        <f ca="1">INDIRECT(ADDRESS(11+(MATCH(RIGHT(Table11[[#This Row],[spawner_sku]],LEN(Table11[[#This Row],[spawner_sku]])-FIND("/",Table11[[#This Row],[spawner_sku]])),Table1[Entity Prefab],0)),10,1,1,"Entities"))</f>
        <v>50</v>
      </c>
      <c r="CQ600">
        <f ca="1">ROUND((Table11[[#This Row],[XP]]*Table11[[#This Row],[entity_spawned (AVG)]])*(Table11[[#This Row],[activating_chance]]/100),0)</f>
        <v>50</v>
      </c>
      <c r="CR600" s="144" t="str">
        <f ca="1">INDIRECT(ADDRESS(11+(MATCH(RIGHT(Table11[[#This Row],[spawner_sku]],LEN(Table11[[#This Row],[spawner_sku]])-FIND("/",Table11[[#This Row],[spawner_sku]])),Table28[Entity Prefab],0)),25,1,1,"Entities"))</f>
        <v>no</v>
      </c>
      <c r="CS600" s="71">
        <v>1</v>
      </c>
      <c r="CT600" s="71">
        <v>1</v>
      </c>
      <c r="CU600" s="71" t="b">
        <v>0</v>
      </c>
      <c r="DS600" t="s">
        <v>242</v>
      </c>
      <c r="DT600">
        <v>1</v>
      </c>
      <c r="DU600">
        <v>100</v>
      </c>
      <c r="DV600">
        <v>100</v>
      </c>
      <c r="DW600" s="74">
        <f ca="1">INDIRECT(ADDRESS(11+(MATCH(RIGHT(Table14[[#This Row],[spawner_sku]],LEN(Table14[[#This Row],[spawner_sku]])-FIND("/",Table14[[#This Row],[spawner_sku]])),Table1[Entity Prefab],0)),10,1,1,"Entities"))</f>
        <v>25</v>
      </c>
      <c r="DX600" s="74">
        <f ca="1">ROUND((Table14[[#This Row],[XP]]*Table14[[#This Row],[entity_spawned (AVG)]])*(Table14[[#This Row],[activating_chance]]/100),0)</f>
        <v>25</v>
      </c>
      <c r="DY600" s="144" t="str">
        <f ca="1">INDIRECT(ADDRESS(11+(MATCH(RIGHT(Table14[[#This Row],[spawner_sku]],LEN(Table14[[#This Row],[spawner_sku]])-FIND("/",Table14[[#This Row],[spawner_sku]])),Table28[Entity Prefab],0)),25,1,1,"Entities"))</f>
        <v>no</v>
      </c>
      <c r="DZ600" s="71">
        <v>1</v>
      </c>
      <c r="EA600" s="71">
        <v>1</v>
      </c>
      <c r="EB600" s="71" t="b">
        <v>0</v>
      </c>
      <c r="EC600" s="71"/>
    </row>
    <row r="601" spans="2:133" x14ac:dyDescent="0.25">
      <c r="B601" s="72" t="s">
        <v>242</v>
      </c>
      <c r="C601">
        <v>1</v>
      </c>
      <c r="D601">
        <v>190</v>
      </c>
      <c r="E601">
        <v>80</v>
      </c>
      <c r="F601" s="74">
        <f ca="1">INDIRECT(ADDRESS(11+(MATCH(RIGHT(Table245[[#This Row],[spawner_sku]],LEN(Table245[[#This Row],[spawner_sku]])-FIND("/",Table245[[#This Row],[spawner_sku]])),Table1[Entity Prefab],0)),10,1,1,"Entities"))</f>
        <v>25</v>
      </c>
      <c r="G601" s="74">
        <f ca="1">ROUND((Table245[[#This Row],[XP]]*Table245[[#This Row],[entity_spawned (AVG)]])*(Table245[[#This Row],[activating_chance]]/100),0)</f>
        <v>20</v>
      </c>
      <c r="H601" s="71" t="str">
        <f ca="1">INDIRECT(ADDRESS(11+(MATCH(RIGHT(Table245[[#This Row],[spawner_sku]],LEN(Table245[[#This Row],[spawner_sku]])-FIND("/",Table245[[#This Row],[spawner_sku]])),Table28[Entity Prefab],0)),24,1,1,"Entities"))</f>
        <v>no</v>
      </c>
      <c r="I601" s="71">
        <v>1</v>
      </c>
      <c r="J601" s="71">
        <v>1</v>
      </c>
      <c r="K601" s="71" t="b">
        <v>0</v>
      </c>
      <c r="CL601" t="s">
        <v>322</v>
      </c>
      <c r="CM601">
        <v>1</v>
      </c>
      <c r="CN601">
        <v>120</v>
      </c>
      <c r="CO601">
        <v>100</v>
      </c>
      <c r="CP601" s="74">
        <f ca="1">INDIRECT(ADDRESS(11+(MATCH(RIGHT(Table11[[#This Row],[spawner_sku]],LEN(Table11[[#This Row],[spawner_sku]])-FIND("/",Table11[[#This Row],[spawner_sku]])),Table1[Entity Prefab],0)),10,1,1,"Entities"))</f>
        <v>50</v>
      </c>
      <c r="CQ601">
        <f ca="1">ROUND((Table11[[#This Row],[XP]]*Table11[[#This Row],[entity_spawned (AVG)]])*(Table11[[#This Row],[activating_chance]]/100),0)</f>
        <v>50</v>
      </c>
      <c r="CR601" s="144" t="str">
        <f ca="1">INDIRECT(ADDRESS(11+(MATCH(RIGHT(Table11[[#This Row],[spawner_sku]],LEN(Table11[[#This Row],[spawner_sku]])-FIND("/",Table11[[#This Row],[spawner_sku]])),Table28[Entity Prefab],0)),25,1,1,"Entities"))</f>
        <v>no</v>
      </c>
      <c r="CS601" s="71">
        <v>1</v>
      </c>
      <c r="CT601" s="71">
        <v>1</v>
      </c>
      <c r="CU601" s="71" t="b">
        <v>0</v>
      </c>
      <c r="DS601" t="s">
        <v>242</v>
      </c>
      <c r="DT601">
        <v>1.5</v>
      </c>
      <c r="DU601">
        <v>150</v>
      </c>
      <c r="DV601">
        <v>100</v>
      </c>
      <c r="DW601" s="74">
        <f ca="1">INDIRECT(ADDRESS(11+(MATCH(RIGHT(Table14[[#This Row],[spawner_sku]],LEN(Table14[[#This Row],[spawner_sku]])-FIND("/",Table14[[#This Row],[spawner_sku]])),Table1[Entity Prefab],0)),10,1,1,"Entities"))</f>
        <v>25</v>
      </c>
      <c r="DX601" s="74">
        <f ca="1">ROUND((Table14[[#This Row],[XP]]*Table14[[#This Row],[entity_spawned (AVG)]])*(Table14[[#This Row],[activating_chance]]/100),0)</f>
        <v>38</v>
      </c>
      <c r="DY601" s="144" t="str">
        <f ca="1">INDIRECT(ADDRESS(11+(MATCH(RIGHT(Table14[[#This Row],[spawner_sku]],LEN(Table14[[#This Row],[spawner_sku]])-FIND("/",Table14[[#This Row],[spawner_sku]])),Table28[Entity Prefab],0)),25,1,1,"Entities"))</f>
        <v>no</v>
      </c>
      <c r="DZ601" s="71">
        <v>1</v>
      </c>
      <c r="EA601" s="71">
        <v>2</v>
      </c>
      <c r="EB601" s="71" t="b">
        <v>0</v>
      </c>
      <c r="EC601" s="71"/>
    </row>
    <row r="602" spans="2:133" x14ac:dyDescent="0.25">
      <c r="B602" s="72" t="s">
        <v>242</v>
      </c>
      <c r="C602">
        <v>1</v>
      </c>
      <c r="D602">
        <v>190</v>
      </c>
      <c r="E602">
        <v>100</v>
      </c>
      <c r="F602" s="74">
        <f ca="1">INDIRECT(ADDRESS(11+(MATCH(RIGHT(Table245[[#This Row],[spawner_sku]],LEN(Table245[[#This Row],[spawner_sku]])-FIND("/",Table245[[#This Row],[spawner_sku]])),Table1[Entity Prefab],0)),10,1,1,"Entities"))</f>
        <v>25</v>
      </c>
      <c r="G602" s="74">
        <f ca="1">ROUND((Table245[[#This Row],[XP]]*Table245[[#This Row],[entity_spawned (AVG)]])*(Table245[[#This Row],[activating_chance]]/100),0)</f>
        <v>25</v>
      </c>
      <c r="H602" s="71" t="str">
        <f ca="1">INDIRECT(ADDRESS(11+(MATCH(RIGHT(Table245[[#This Row],[spawner_sku]],LEN(Table245[[#This Row],[spawner_sku]])-FIND("/",Table245[[#This Row],[spawner_sku]])),Table28[Entity Prefab],0)),24,1,1,"Entities"))</f>
        <v>no</v>
      </c>
      <c r="I602" s="71">
        <v>1</v>
      </c>
      <c r="J602" s="71">
        <v>1</v>
      </c>
      <c r="K602" s="71" t="b">
        <v>0</v>
      </c>
      <c r="CL602" t="s">
        <v>322</v>
      </c>
      <c r="CM602">
        <v>1</v>
      </c>
      <c r="CN602">
        <v>120</v>
      </c>
      <c r="CO602">
        <v>50</v>
      </c>
      <c r="CP602" s="74">
        <f ca="1">INDIRECT(ADDRESS(11+(MATCH(RIGHT(Table11[[#This Row],[spawner_sku]],LEN(Table11[[#This Row],[spawner_sku]])-FIND("/",Table11[[#This Row],[spawner_sku]])),Table1[Entity Prefab],0)),10,1,1,"Entities"))</f>
        <v>50</v>
      </c>
      <c r="CQ602">
        <f ca="1">ROUND((Table11[[#This Row],[XP]]*Table11[[#This Row],[entity_spawned (AVG)]])*(Table11[[#This Row],[activating_chance]]/100),0)</f>
        <v>25</v>
      </c>
      <c r="CR602" s="144" t="str">
        <f ca="1">INDIRECT(ADDRESS(11+(MATCH(RIGHT(Table11[[#This Row],[spawner_sku]],LEN(Table11[[#This Row],[spawner_sku]])-FIND("/",Table11[[#This Row],[spawner_sku]])),Table28[Entity Prefab],0)),25,1,1,"Entities"))</f>
        <v>no</v>
      </c>
      <c r="CS602" s="71">
        <v>1</v>
      </c>
      <c r="CT602" s="71">
        <v>1</v>
      </c>
      <c r="CU602" s="71" t="b">
        <v>0</v>
      </c>
      <c r="DS602" t="s">
        <v>242</v>
      </c>
      <c r="DT602">
        <v>1</v>
      </c>
      <c r="DU602">
        <v>150</v>
      </c>
      <c r="DV602">
        <v>80</v>
      </c>
      <c r="DW602" s="74">
        <f ca="1">INDIRECT(ADDRESS(11+(MATCH(RIGHT(Table14[[#This Row],[spawner_sku]],LEN(Table14[[#This Row],[spawner_sku]])-FIND("/",Table14[[#This Row],[spawner_sku]])),Table1[Entity Prefab],0)),10,1,1,"Entities"))</f>
        <v>25</v>
      </c>
      <c r="DX602" s="74">
        <f ca="1">ROUND((Table14[[#This Row],[XP]]*Table14[[#This Row],[entity_spawned (AVG)]])*(Table14[[#This Row],[activating_chance]]/100),0)</f>
        <v>20</v>
      </c>
      <c r="DY602" s="144" t="str">
        <f ca="1">INDIRECT(ADDRESS(11+(MATCH(RIGHT(Table14[[#This Row],[spawner_sku]],LEN(Table14[[#This Row],[spawner_sku]])-FIND("/",Table14[[#This Row],[spawner_sku]])),Table28[Entity Prefab],0)),25,1,1,"Entities"))</f>
        <v>no</v>
      </c>
      <c r="DZ602" s="71">
        <v>1</v>
      </c>
      <c r="EA602" s="71">
        <v>1</v>
      </c>
      <c r="EB602" s="71" t="b">
        <v>0</v>
      </c>
      <c r="EC602" s="71"/>
    </row>
    <row r="603" spans="2:133" x14ac:dyDescent="0.25">
      <c r="B603" s="72" t="s">
        <v>242</v>
      </c>
      <c r="C603">
        <v>1</v>
      </c>
      <c r="D603">
        <v>170</v>
      </c>
      <c r="E603">
        <v>100</v>
      </c>
      <c r="F603" s="74">
        <f ca="1">INDIRECT(ADDRESS(11+(MATCH(RIGHT(Table245[[#This Row],[spawner_sku]],LEN(Table245[[#This Row],[spawner_sku]])-FIND("/",Table245[[#This Row],[spawner_sku]])),Table1[Entity Prefab],0)),10,1,1,"Entities"))</f>
        <v>25</v>
      </c>
      <c r="G603" s="74">
        <f ca="1">ROUND((Table245[[#This Row],[XP]]*Table245[[#This Row],[entity_spawned (AVG)]])*(Table245[[#This Row],[activating_chance]]/100),0)</f>
        <v>25</v>
      </c>
      <c r="H603" s="71" t="str">
        <f ca="1">INDIRECT(ADDRESS(11+(MATCH(RIGHT(Table245[[#This Row],[spawner_sku]],LEN(Table245[[#This Row],[spawner_sku]])-FIND("/",Table245[[#This Row],[spawner_sku]])),Table28[Entity Prefab],0)),24,1,1,"Entities"))</f>
        <v>no</v>
      </c>
      <c r="I603" s="71">
        <v>1</v>
      </c>
      <c r="J603" s="71">
        <v>1</v>
      </c>
      <c r="K603" s="71" t="b">
        <v>0</v>
      </c>
      <c r="CL603" t="s">
        <v>322</v>
      </c>
      <c r="CM603">
        <v>1</v>
      </c>
      <c r="CN603">
        <v>120</v>
      </c>
      <c r="CO603">
        <v>60</v>
      </c>
      <c r="CP603" s="74">
        <f ca="1">INDIRECT(ADDRESS(11+(MATCH(RIGHT(Table11[[#This Row],[spawner_sku]],LEN(Table11[[#This Row],[spawner_sku]])-FIND("/",Table11[[#This Row],[spawner_sku]])),Table1[Entity Prefab],0)),10,1,1,"Entities"))</f>
        <v>50</v>
      </c>
      <c r="CQ603">
        <f ca="1">ROUND((Table11[[#This Row],[XP]]*Table11[[#This Row],[entity_spawned (AVG)]])*(Table11[[#This Row],[activating_chance]]/100),0)</f>
        <v>30</v>
      </c>
      <c r="CR603" s="144" t="str">
        <f ca="1">INDIRECT(ADDRESS(11+(MATCH(RIGHT(Table11[[#This Row],[spawner_sku]],LEN(Table11[[#This Row],[spawner_sku]])-FIND("/",Table11[[#This Row],[spawner_sku]])),Table28[Entity Prefab],0)),25,1,1,"Entities"))</f>
        <v>no</v>
      </c>
      <c r="CS603" s="71">
        <v>1</v>
      </c>
      <c r="CT603" s="71">
        <v>1</v>
      </c>
      <c r="CU603" s="71" t="b">
        <v>0</v>
      </c>
      <c r="DS603" t="s">
        <v>242</v>
      </c>
      <c r="DT603">
        <v>1</v>
      </c>
      <c r="DU603">
        <v>100</v>
      </c>
      <c r="DV603">
        <v>80</v>
      </c>
      <c r="DW603" s="74">
        <f ca="1">INDIRECT(ADDRESS(11+(MATCH(RIGHT(Table14[[#This Row],[spawner_sku]],LEN(Table14[[#This Row],[spawner_sku]])-FIND("/",Table14[[#This Row],[spawner_sku]])),Table1[Entity Prefab],0)),10,1,1,"Entities"))</f>
        <v>25</v>
      </c>
      <c r="DX603" s="74">
        <f ca="1">ROUND((Table14[[#This Row],[XP]]*Table14[[#This Row],[entity_spawned (AVG)]])*(Table14[[#This Row],[activating_chance]]/100),0)</f>
        <v>20</v>
      </c>
      <c r="DY603" s="144" t="str">
        <f ca="1">INDIRECT(ADDRESS(11+(MATCH(RIGHT(Table14[[#This Row],[spawner_sku]],LEN(Table14[[#This Row],[spawner_sku]])-FIND("/",Table14[[#This Row],[spawner_sku]])),Table28[Entity Prefab],0)),25,1,1,"Entities"))</f>
        <v>no</v>
      </c>
      <c r="DZ603" s="71">
        <v>1</v>
      </c>
      <c r="EA603" s="71">
        <v>1</v>
      </c>
      <c r="EB603" s="71" t="b">
        <v>0</v>
      </c>
      <c r="EC603" s="71"/>
    </row>
    <row r="604" spans="2:133" x14ac:dyDescent="0.25">
      <c r="B604" s="72" t="s">
        <v>242</v>
      </c>
      <c r="C604">
        <v>1</v>
      </c>
      <c r="D604">
        <v>190</v>
      </c>
      <c r="E604">
        <v>100</v>
      </c>
      <c r="F604" s="74">
        <f ca="1">INDIRECT(ADDRESS(11+(MATCH(RIGHT(Table245[[#This Row],[spawner_sku]],LEN(Table245[[#This Row],[spawner_sku]])-FIND("/",Table245[[#This Row],[spawner_sku]])),Table1[Entity Prefab],0)),10,1,1,"Entities"))</f>
        <v>25</v>
      </c>
      <c r="G604" s="74">
        <f ca="1">ROUND((Table245[[#This Row],[XP]]*Table245[[#This Row],[entity_spawned (AVG)]])*(Table245[[#This Row],[activating_chance]]/100),0)</f>
        <v>25</v>
      </c>
      <c r="H604" s="71" t="str">
        <f ca="1">INDIRECT(ADDRESS(11+(MATCH(RIGHT(Table245[[#This Row],[spawner_sku]],LEN(Table245[[#This Row],[spawner_sku]])-FIND("/",Table245[[#This Row],[spawner_sku]])),Table28[Entity Prefab],0)),24,1,1,"Entities"))</f>
        <v>no</v>
      </c>
      <c r="I604" s="71">
        <v>1</v>
      </c>
      <c r="J604" s="71">
        <v>1</v>
      </c>
      <c r="K604" s="71" t="b">
        <v>0</v>
      </c>
      <c r="CL604" t="s">
        <v>322</v>
      </c>
      <c r="CM604">
        <v>1</v>
      </c>
      <c r="CN604">
        <v>120</v>
      </c>
      <c r="CO604">
        <v>20</v>
      </c>
      <c r="CP604" s="74">
        <f ca="1">INDIRECT(ADDRESS(11+(MATCH(RIGHT(Table11[[#This Row],[spawner_sku]],LEN(Table11[[#This Row],[spawner_sku]])-FIND("/",Table11[[#This Row],[spawner_sku]])),Table1[Entity Prefab],0)),10,1,1,"Entities"))</f>
        <v>50</v>
      </c>
      <c r="CQ604">
        <f ca="1">ROUND((Table11[[#This Row],[XP]]*Table11[[#This Row],[entity_spawned (AVG)]])*(Table11[[#This Row],[activating_chance]]/100),0)</f>
        <v>10</v>
      </c>
      <c r="CR604" s="144" t="str">
        <f ca="1">INDIRECT(ADDRESS(11+(MATCH(RIGHT(Table11[[#This Row],[spawner_sku]],LEN(Table11[[#This Row],[spawner_sku]])-FIND("/",Table11[[#This Row],[spawner_sku]])),Table28[Entity Prefab],0)),25,1,1,"Entities"))</f>
        <v>no</v>
      </c>
      <c r="CS604" s="71">
        <v>1</v>
      </c>
      <c r="CT604" s="71">
        <v>1</v>
      </c>
      <c r="CU604" s="71" t="b">
        <v>0</v>
      </c>
      <c r="DS604" t="s">
        <v>242</v>
      </c>
      <c r="DT604">
        <v>1</v>
      </c>
      <c r="DU604">
        <v>100</v>
      </c>
      <c r="DV604">
        <v>80</v>
      </c>
      <c r="DW604" s="74">
        <f ca="1">INDIRECT(ADDRESS(11+(MATCH(RIGHT(Table14[[#This Row],[spawner_sku]],LEN(Table14[[#This Row],[spawner_sku]])-FIND("/",Table14[[#This Row],[spawner_sku]])),Table1[Entity Prefab],0)),10,1,1,"Entities"))</f>
        <v>25</v>
      </c>
      <c r="DX604" s="74">
        <f ca="1">ROUND((Table14[[#This Row],[XP]]*Table14[[#This Row],[entity_spawned (AVG)]])*(Table14[[#This Row],[activating_chance]]/100),0)</f>
        <v>20</v>
      </c>
      <c r="DY604" s="144" t="str">
        <f ca="1">INDIRECT(ADDRESS(11+(MATCH(RIGHT(Table14[[#This Row],[spawner_sku]],LEN(Table14[[#This Row],[spawner_sku]])-FIND("/",Table14[[#This Row],[spawner_sku]])),Table28[Entity Prefab],0)),25,1,1,"Entities"))</f>
        <v>no</v>
      </c>
      <c r="DZ604" s="71">
        <v>1</v>
      </c>
      <c r="EA604" s="71">
        <v>1</v>
      </c>
      <c r="EB604" s="71" t="b">
        <v>0</v>
      </c>
      <c r="EC604" s="71"/>
    </row>
    <row r="605" spans="2:133" x14ac:dyDescent="0.25">
      <c r="B605" s="72" t="s">
        <v>242</v>
      </c>
      <c r="C605">
        <v>1</v>
      </c>
      <c r="D605">
        <v>140</v>
      </c>
      <c r="E605">
        <v>100</v>
      </c>
      <c r="F605" s="74">
        <f ca="1">INDIRECT(ADDRESS(11+(MATCH(RIGHT(Table245[[#This Row],[spawner_sku]],LEN(Table245[[#This Row],[spawner_sku]])-FIND("/",Table245[[#This Row],[spawner_sku]])),Table1[Entity Prefab],0)),10,1,1,"Entities"))</f>
        <v>25</v>
      </c>
      <c r="G605" s="74">
        <f ca="1">ROUND((Table245[[#This Row],[XP]]*Table245[[#This Row],[entity_spawned (AVG)]])*(Table245[[#This Row],[activating_chance]]/100),0)</f>
        <v>25</v>
      </c>
      <c r="H605" s="71" t="str">
        <f ca="1">INDIRECT(ADDRESS(11+(MATCH(RIGHT(Table245[[#This Row],[spawner_sku]],LEN(Table245[[#This Row],[spawner_sku]])-FIND("/",Table245[[#This Row],[spawner_sku]])),Table28[Entity Prefab],0)),24,1,1,"Entities"))</f>
        <v>no</v>
      </c>
      <c r="I605" s="71">
        <v>1</v>
      </c>
      <c r="J605" s="71">
        <v>1</v>
      </c>
      <c r="K605" s="71" t="b">
        <v>0</v>
      </c>
      <c r="CL605" t="s">
        <v>322</v>
      </c>
      <c r="CM605">
        <v>1</v>
      </c>
      <c r="CN605">
        <v>120</v>
      </c>
      <c r="CO605">
        <v>80</v>
      </c>
      <c r="CP605" s="74">
        <f ca="1">INDIRECT(ADDRESS(11+(MATCH(RIGHT(Table11[[#This Row],[spawner_sku]],LEN(Table11[[#This Row],[spawner_sku]])-FIND("/",Table11[[#This Row],[spawner_sku]])),Table1[Entity Prefab],0)),10,1,1,"Entities"))</f>
        <v>50</v>
      </c>
      <c r="CQ605">
        <f ca="1">ROUND((Table11[[#This Row],[XP]]*Table11[[#This Row],[entity_spawned (AVG)]])*(Table11[[#This Row],[activating_chance]]/100),0)</f>
        <v>40</v>
      </c>
      <c r="CR605" s="144" t="str">
        <f ca="1">INDIRECT(ADDRESS(11+(MATCH(RIGHT(Table11[[#This Row],[spawner_sku]],LEN(Table11[[#This Row],[spawner_sku]])-FIND("/",Table11[[#This Row],[spawner_sku]])),Table28[Entity Prefab],0)),25,1,1,"Entities"))</f>
        <v>no</v>
      </c>
      <c r="CS605" s="71">
        <v>1</v>
      </c>
      <c r="CT605" s="71">
        <v>1</v>
      </c>
      <c r="CU605" s="71" t="b">
        <v>0</v>
      </c>
      <c r="DS605" t="s">
        <v>242</v>
      </c>
      <c r="DT605">
        <v>1</v>
      </c>
      <c r="DU605">
        <v>100</v>
      </c>
      <c r="DV605">
        <v>80</v>
      </c>
      <c r="DW605" s="74">
        <f ca="1">INDIRECT(ADDRESS(11+(MATCH(RIGHT(Table14[[#This Row],[spawner_sku]],LEN(Table14[[#This Row],[spawner_sku]])-FIND("/",Table14[[#This Row],[spawner_sku]])),Table1[Entity Prefab],0)),10,1,1,"Entities"))</f>
        <v>25</v>
      </c>
      <c r="DX605" s="74">
        <f ca="1">ROUND((Table14[[#This Row],[XP]]*Table14[[#This Row],[entity_spawned (AVG)]])*(Table14[[#This Row],[activating_chance]]/100),0)</f>
        <v>20</v>
      </c>
      <c r="DY605" s="144" t="str">
        <f ca="1">INDIRECT(ADDRESS(11+(MATCH(RIGHT(Table14[[#This Row],[spawner_sku]],LEN(Table14[[#This Row],[spawner_sku]])-FIND("/",Table14[[#This Row],[spawner_sku]])),Table28[Entity Prefab],0)),25,1,1,"Entities"))</f>
        <v>no</v>
      </c>
      <c r="DZ605" s="71">
        <v>1</v>
      </c>
      <c r="EA605" s="71">
        <v>1</v>
      </c>
      <c r="EB605" s="71" t="b">
        <v>0</v>
      </c>
      <c r="EC605" s="71"/>
    </row>
    <row r="606" spans="2:133" x14ac:dyDescent="0.25">
      <c r="B606" s="72" t="s">
        <v>242</v>
      </c>
      <c r="C606">
        <v>1</v>
      </c>
      <c r="D606">
        <v>170</v>
      </c>
      <c r="E606">
        <v>60</v>
      </c>
      <c r="F606" s="74">
        <f ca="1">INDIRECT(ADDRESS(11+(MATCH(RIGHT(Table245[[#This Row],[spawner_sku]],LEN(Table245[[#This Row],[spawner_sku]])-FIND("/",Table245[[#This Row],[spawner_sku]])),Table1[Entity Prefab],0)),10,1,1,"Entities"))</f>
        <v>25</v>
      </c>
      <c r="G606" s="74">
        <f ca="1">ROUND((Table245[[#This Row],[XP]]*Table245[[#This Row],[entity_spawned (AVG)]])*(Table245[[#This Row],[activating_chance]]/100),0)</f>
        <v>15</v>
      </c>
      <c r="H606" s="71" t="str">
        <f ca="1">INDIRECT(ADDRESS(11+(MATCH(RIGHT(Table245[[#This Row],[spawner_sku]],LEN(Table245[[#This Row],[spawner_sku]])-FIND("/",Table245[[#This Row],[spawner_sku]])),Table28[Entity Prefab],0)),24,1,1,"Entities"))</f>
        <v>no</v>
      </c>
      <c r="I606" s="71">
        <v>1</v>
      </c>
      <c r="J606" s="71">
        <v>1</v>
      </c>
      <c r="K606" s="71" t="b">
        <v>0</v>
      </c>
      <c r="CL606" t="s">
        <v>322</v>
      </c>
      <c r="CM606">
        <v>1</v>
      </c>
      <c r="CN606">
        <v>120</v>
      </c>
      <c r="CO606">
        <v>100</v>
      </c>
      <c r="CP606" s="74">
        <f ca="1">INDIRECT(ADDRESS(11+(MATCH(RIGHT(Table11[[#This Row],[spawner_sku]],LEN(Table11[[#This Row],[spawner_sku]])-FIND("/",Table11[[#This Row],[spawner_sku]])),Table1[Entity Prefab],0)),10,1,1,"Entities"))</f>
        <v>50</v>
      </c>
      <c r="CQ606">
        <f ca="1">ROUND((Table11[[#This Row],[XP]]*Table11[[#This Row],[entity_spawned (AVG)]])*(Table11[[#This Row],[activating_chance]]/100),0)</f>
        <v>50</v>
      </c>
      <c r="CR606" s="144" t="str">
        <f ca="1">INDIRECT(ADDRESS(11+(MATCH(RIGHT(Table11[[#This Row],[spawner_sku]],LEN(Table11[[#This Row],[spawner_sku]])-FIND("/",Table11[[#This Row],[spawner_sku]])),Table28[Entity Prefab],0)),25,1,1,"Entities"))</f>
        <v>no</v>
      </c>
      <c r="CS606" s="71">
        <v>1</v>
      </c>
      <c r="CT606" s="71">
        <v>1</v>
      </c>
      <c r="CU606" s="71" t="b">
        <v>0</v>
      </c>
      <c r="DS606" t="s">
        <v>242</v>
      </c>
      <c r="DT606">
        <v>1</v>
      </c>
      <c r="DU606">
        <v>80</v>
      </c>
      <c r="DV606">
        <v>100</v>
      </c>
      <c r="DW606" s="74">
        <f ca="1">INDIRECT(ADDRESS(11+(MATCH(RIGHT(Table14[[#This Row],[spawner_sku]],LEN(Table14[[#This Row],[spawner_sku]])-FIND("/",Table14[[#This Row],[spawner_sku]])),Table1[Entity Prefab],0)),10,1,1,"Entities"))</f>
        <v>25</v>
      </c>
      <c r="DX606" s="74">
        <f ca="1">ROUND((Table14[[#This Row],[XP]]*Table14[[#This Row],[entity_spawned (AVG)]])*(Table14[[#This Row],[activating_chance]]/100),0)</f>
        <v>25</v>
      </c>
      <c r="DY606" s="144" t="str">
        <f ca="1">INDIRECT(ADDRESS(11+(MATCH(RIGHT(Table14[[#This Row],[spawner_sku]],LEN(Table14[[#This Row],[spawner_sku]])-FIND("/",Table14[[#This Row],[spawner_sku]])),Table28[Entity Prefab],0)),25,1,1,"Entities"))</f>
        <v>no</v>
      </c>
      <c r="DZ606" s="71">
        <v>1</v>
      </c>
      <c r="EA606" s="71">
        <v>1</v>
      </c>
      <c r="EB606" s="71" t="b">
        <v>0</v>
      </c>
      <c r="EC606" s="71"/>
    </row>
    <row r="607" spans="2:133" x14ac:dyDescent="0.25">
      <c r="B607" s="72" t="s">
        <v>242</v>
      </c>
      <c r="C607">
        <v>1</v>
      </c>
      <c r="D607">
        <v>170</v>
      </c>
      <c r="E607">
        <v>60</v>
      </c>
      <c r="F607" s="74">
        <f ca="1">INDIRECT(ADDRESS(11+(MATCH(RIGHT(Table245[[#This Row],[spawner_sku]],LEN(Table245[[#This Row],[spawner_sku]])-FIND("/",Table245[[#This Row],[spawner_sku]])),Table1[Entity Prefab],0)),10,1,1,"Entities"))</f>
        <v>25</v>
      </c>
      <c r="G607" s="74">
        <f ca="1">ROUND((Table245[[#This Row],[XP]]*Table245[[#This Row],[entity_spawned (AVG)]])*(Table245[[#This Row],[activating_chance]]/100),0)</f>
        <v>15</v>
      </c>
      <c r="H607" s="71" t="str">
        <f ca="1">INDIRECT(ADDRESS(11+(MATCH(RIGHT(Table245[[#This Row],[spawner_sku]],LEN(Table245[[#This Row],[spawner_sku]])-FIND("/",Table245[[#This Row],[spawner_sku]])),Table28[Entity Prefab],0)),24,1,1,"Entities"))</f>
        <v>no</v>
      </c>
      <c r="I607" s="71">
        <v>1</v>
      </c>
      <c r="J607" s="71">
        <v>1</v>
      </c>
      <c r="K607" s="71" t="b">
        <v>0</v>
      </c>
      <c r="CL607" t="s">
        <v>322</v>
      </c>
      <c r="CM607">
        <v>1</v>
      </c>
      <c r="CN607">
        <v>120</v>
      </c>
      <c r="CO607">
        <v>50</v>
      </c>
      <c r="CP607" s="74">
        <f ca="1">INDIRECT(ADDRESS(11+(MATCH(RIGHT(Table11[[#This Row],[spawner_sku]],LEN(Table11[[#This Row],[spawner_sku]])-FIND("/",Table11[[#This Row],[spawner_sku]])),Table1[Entity Prefab],0)),10,1,1,"Entities"))</f>
        <v>50</v>
      </c>
      <c r="CQ607">
        <f ca="1">ROUND((Table11[[#This Row],[XP]]*Table11[[#This Row],[entity_spawned (AVG)]])*(Table11[[#This Row],[activating_chance]]/100),0)</f>
        <v>25</v>
      </c>
      <c r="CR607" s="144" t="str">
        <f ca="1">INDIRECT(ADDRESS(11+(MATCH(RIGHT(Table11[[#This Row],[spawner_sku]],LEN(Table11[[#This Row],[spawner_sku]])-FIND("/",Table11[[#This Row],[spawner_sku]])),Table28[Entity Prefab],0)),25,1,1,"Entities"))</f>
        <v>no</v>
      </c>
      <c r="CS607" s="71">
        <v>1</v>
      </c>
      <c r="CT607" s="71">
        <v>1</v>
      </c>
      <c r="CU607" s="71" t="b">
        <v>0</v>
      </c>
      <c r="DS607" t="s">
        <v>242</v>
      </c>
      <c r="DT607">
        <v>1</v>
      </c>
      <c r="DU607">
        <v>90</v>
      </c>
      <c r="DV607">
        <v>100</v>
      </c>
      <c r="DW607" s="74">
        <f ca="1">INDIRECT(ADDRESS(11+(MATCH(RIGHT(Table14[[#This Row],[spawner_sku]],LEN(Table14[[#This Row],[spawner_sku]])-FIND("/",Table14[[#This Row],[spawner_sku]])),Table1[Entity Prefab],0)),10,1,1,"Entities"))</f>
        <v>25</v>
      </c>
      <c r="DX607" s="74">
        <f ca="1">ROUND((Table14[[#This Row],[XP]]*Table14[[#This Row],[entity_spawned (AVG)]])*(Table14[[#This Row],[activating_chance]]/100),0)</f>
        <v>25</v>
      </c>
      <c r="DY607" s="144" t="str">
        <f ca="1">INDIRECT(ADDRESS(11+(MATCH(RIGHT(Table14[[#This Row],[spawner_sku]],LEN(Table14[[#This Row],[spawner_sku]])-FIND("/",Table14[[#This Row],[spawner_sku]])),Table28[Entity Prefab],0)),25,1,1,"Entities"))</f>
        <v>no</v>
      </c>
      <c r="DZ607" s="71">
        <v>1</v>
      </c>
      <c r="EA607" s="71">
        <v>1</v>
      </c>
      <c r="EB607" s="71" t="b">
        <v>0</v>
      </c>
      <c r="EC607" s="71"/>
    </row>
    <row r="608" spans="2:133" x14ac:dyDescent="0.25">
      <c r="B608" s="72" t="s">
        <v>242</v>
      </c>
      <c r="C608">
        <v>1</v>
      </c>
      <c r="D608">
        <v>130</v>
      </c>
      <c r="E608">
        <v>85</v>
      </c>
      <c r="F608" s="74">
        <f ca="1">INDIRECT(ADDRESS(11+(MATCH(RIGHT(Table245[[#This Row],[spawner_sku]],LEN(Table245[[#This Row],[spawner_sku]])-FIND("/",Table245[[#This Row],[spawner_sku]])),Table1[Entity Prefab],0)),10,1,1,"Entities"))</f>
        <v>25</v>
      </c>
      <c r="G608" s="74">
        <f ca="1">ROUND((Table245[[#This Row],[XP]]*Table245[[#This Row],[entity_spawned (AVG)]])*(Table245[[#This Row],[activating_chance]]/100),0)</f>
        <v>21</v>
      </c>
      <c r="H608" s="71" t="str">
        <f ca="1">INDIRECT(ADDRESS(11+(MATCH(RIGHT(Table245[[#This Row],[spawner_sku]],LEN(Table245[[#This Row],[spawner_sku]])-FIND("/",Table245[[#This Row],[spawner_sku]])),Table28[Entity Prefab],0)),24,1,1,"Entities"))</f>
        <v>no</v>
      </c>
      <c r="I608" s="71">
        <v>1</v>
      </c>
      <c r="J608" s="71">
        <v>1</v>
      </c>
      <c r="K608" s="71" t="b">
        <v>0</v>
      </c>
      <c r="CL608" t="s">
        <v>322</v>
      </c>
      <c r="CM608">
        <v>1</v>
      </c>
      <c r="CN608">
        <v>120</v>
      </c>
      <c r="CO608">
        <v>80</v>
      </c>
      <c r="CP608" s="74">
        <f ca="1">INDIRECT(ADDRESS(11+(MATCH(RIGHT(Table11[[#This Row],[spawner_sku]],LEN(Table11[[#This Row],[spawner_sku]])-FIND("/",Table11[[#This Row],[spawner_sku]])),Table1[Entity Prefab],0)),10,1,1,"Entities"))</f>
        <v>50</v>
      </c>
      <c r="CQ608">
        <f ca="1">ROUND((Table11[[#This Row],[XP]]*Table11[[#This Row],[entity_spawned (AVG)]])*(Table11[[#This Row],[activating_chance]]/100),0)</f>
        <v>40</v>
      </c>
      <c r="CR608" s="144" t="str">
        <f ca="1">INDIRECT(ADDRESS(11+(MATCH(RIGHT(Table11[[#This Row],[spawner_sku]],LEN(Table11[[#This Row],[spawner_sku]])-FIND("/",Table11[[#This Row],[spawner_sku]])),Table28[Entity Prefab],0)),25,1,1,"Entities"))</f>
        <v>no</v>
      </c>
      <c r="CS608" s="71">
        <v>1</v>
      </c>
      <c r="CT608" s="71">
        <v>1</v>
      </c>
      <c r="CU608" s="71" t="b">
        <v>0</v>
      </c>
      <c r="DS608" t="s">
        <v>242</v>
      </c>
      <c r="DT608">
        <v>1</v>
      </c>
      <c r="DU608">
        <v>100</v>
      </c>
      <c r="DV608">
        <v>100</v>
      </c>
      <c r="DW608" s="74">
        <f ca="1">INDIRECT(ADDRESS(11+(MATCH(RIGHT(Table14[[#This Row],[spawner_sku]],LEN(Table14[[#This Row],[spawner_sku]])-FIND("/",Table14[[#This Row],[spawner_sku]])),Table1[Entity Prefab],0)),10,1,1,"Entities"))</f>
        <v>25</v>
      </c>
      <c r="DX608" s="74">
        <f ca="1">ROUND((Table14[[#This Row],[XP]]*Table14[[#This Row],[entity_spawned (AVG)]])*(Table14[[#This Row],[activating_chance]]/100),0)</f>
        <v>25</v>
      </c>
      <c r="DY608" s="144" t="str">
        <f ca="1">INDIRECT(ADDRESS(11+(MATCH(RIGHT(Table14[[#This Row],[spawner_sku]],LEN(Table14[[#This Row],[spawner_sku]])-FIND("/",Table14[[#This Row],[spawner_sku]])),Table28[Entity Prefab],0)),25,1,1,"Entities"))</f>
        <v>no</v>
      </c>
      <c r="DZ608" s="71">
        <v>1</v>
      </c>
      <c r="EA608" s="71">
        <v>1</v>
      </c>
      <c r="EB608" s="71" t="b">
        <v>0</v>
      </c>
      <c r="EC608" s="71"/>
    </row>
    <row r="609" spans="2:133" x14ac:dyDescent="0.25">
      <c r="B609" s="72" t="s">
        <v>242</v>
      </c>
      <c r="C609">
        <v>1</v>
      </c>
      <c r="D609">
        <v>190</v>
      </c>
      <c r="E609">
        <v>80</v>
      </c>
      <c r="F609" s="74">
        <f ca="1">INDIRECT(ADDRESS(11+(MATCH(RIGHT(Table245[[#This Row],[spawner_sku]],LEN(Table245[[#This Row],[spawner_sku]])-FIND("/",Table245[[#This Row],[spawner_sku]])),Table1[Entity Prefab],0)),10,1,1,"Entities"))</f>
        <v>25</v>
      </c>
      <c r="G609" s="74">
        <f ca="1">ROUND((Table245[[#This Row],[XP]]*Table245[[#This Row],[entity_spawned (AVG)]])*(Table245[[#This Row],[activating_chance]]/100),0)</f>
        <v>20</v>
      </c>
      <c r="H609" s="71" t="str">
        <f ca="1">INDIRECT(ADDRESS(11+(MATCH(RIGHT(Table245[[#This Row],[spawner_sku]],LEN(Table245[[#This Row],[spawner_sku]])-FIND("/",Table245[[#This Row],[spawner_sku]])),Table28[Entity Prefab],0)),24,1,1,"Entities"))</f>
        <v>no</v>
      </c>
      <c r="I609" s="71">
        <v>1</v>
      </c>
      <c r="J609" s="71">
        <v>1</v>
      </c>
      <c r="K609" s="71" t="b">
        <v>0</v>
      </c>
      <c r="CL609" t="s">
        <v>322</v>
      </c>
      <c r="CM609">
        <v>1</v>
      </c>
      <c r="CN609">
        <v>120</v>
      </c>
      <c r="CO609">
        <v>100</v>
      </c>
      <c r="CP609" s="74">
        <f ca="1">INDIRECT(ADDRESS(11+(MATCH(RIGHT(Table11[[#This Row],[spawner_sku]],LEN(Table11[[#This Row],[spawner_sku]])-FIND("/",Table11[[#This Row],[spawner_sku]])),Table1[Entity Prefab],0)),10,1,1,"Entities"))</f>
        <v>50</v>
      </c>
      <c r="CQ609">
        <f ca="1">ROUND((Table11[[#This Row],[XP]]*Table11[[#This Row],[entity_spawned (AVG)]])*(Table11[[#This Row],[activating_chance]]/100),0)</f>
        <v>50</v>
      </c>
      <c r="CR609" s="144" t="str">
        <f ca="1">INDIRECT(ADDRESS(11+(MATCH(RIGHT(Table11[[#This Row],[spawner_sku]],LEN(Table11[[#This Row],[spawner_sku]])-FIND("/",Table11[[#This Row],[spawner_sku]])),Table28[Entity Prefab],0)),25,1,1,"Entities"))</f>
        <v>no</v>
      </c>
      <c r="CS609" s="71">
        <v>1</v>
      </c>
      <c r="CT609" s="71">
        <v>1</v>
      </c>
      <c r="CU609" s="71" t="b">
        <v>0</v>
      </c>
      <c r="DS609" t="s">
        <v>242</v>
      </c>
      <c r="DT609">
        <v>1</v>
      </c>
      <c r="DU609">
        <v>120</v>
      </c>
      <c r="DV609">
        <v>100</v>
      </c>
      <c r="DW609" s="74">
        <f ca="1">INDIRECT(ADDRESS(11+(MATCH(RIGHT(Table14[[#This Row],[spawner_sku]],LEN(Table14[[#This Row],[spawner_sku]])-FIND("/",Table14[[#This Row],[spawner_sku]])),Table1[Entity Prefab],0)),10,1,1,"Entities"))</f>
        <v>25</v>
      </c>
      <c r="DX609" s="74">
        <f ca="1">ROUND((Table14[[#This Row],[XP]]*Table14[[#This Row],[entity_spawned (AVG)]])*(Table14[[#This Row],[activating_chance]]/100),0)</f>
        <v>25</v>
      </c>
      <c r="DY609" s="144" t="str">
        <f ca="1">INDIRECT(ADDRESS(11+(MATCH(RIGHT(Table14[[#This Row],[spawner_sku]],LEN(Table14[[#This Row],[spawner_sku]])-FIND("/",Table14[[#This Row],[spawner_sku]])),Table28[Entity Prefab],0)),25,1,1,"Entities"))</f>
        <v>no</v>
      </c>
      <c r="DZ609" s="71">
        <v>1</v>
      </c>
      <c r="EA609" s="71">
        <v>1</v>
      </c>
      <c r="EB609" s="71" t="b">
        <v>0</v>
      </c>
      <c r="EC609" s="71"/>
    </row>
    <row r="610" spans="2:133" x14ac:dyDescent="0.25">
      <c r="B610" s="72" t="s">
        <v>242</v>
      </c>
      <c r="C610">
        <v>1</v>
      </c>
      <c r="D610">
        <v>170</v>
      </c>
      <c r="E610">
        <v>100</v>
      </c>
      <c r="F610" s="74">
        <f ca="1">INDIRECT(ADDRESS(11+(MATCH(RIGHT(Table245[[#This Row],[spawner_sku]],LEN(Table245[[#This Row],[spawner_sku]])-FIND("/",Table245[[#This Row],[spawner_sku]])),Table1[Entity Prefab],0)),10,1,1,"Entities"))</f>
        <v>25</v>
      </c>
      <c r="G610" s="74">
        <f ca="1">ROUND((Table245[[#This Row],[XP]]*Table245[[#This Row],[entity_spawned (AVG)]])*(Table245[[#This Row],[activating_chance]]/100),0)</f>
        <v>25</v>
      </c>
      <c r="H610" s="71" t="str">
        <f ca="1">INDIRECT(ADDRESS(11+(MATCH(RIGHT(Table245[[#This Row],[spawner_sku]],LEN(Table245[[#This Row],[spawner_sku]])-FIND("/",Table245[[#This Row],[spawner_sku]])),Table28[Entity Prefab],0)),24,1,1,"Entities"))</f>
        <v>no</v>
      </c>
      <c r="I610" s="71">
        <v>1</v>
      </c>
      <c r="J610" s="71">
        <v>1</v>
      </c>
      <c r="K610" s="71" t="b">
        <v>0</v>
      </c>
      <c r="CL610" t="s">
        <v>322</v>
      </c>
      <c r="CM610">
        <v>1</v>
      </c>
      <c r="CN610">
        <v>120</v>
      </c>
      <c r="CO610">
        <v>100</v>
      </c>
      <c r="CP610" s="74">
        <f ca="1">INDIRECT(ADDRESS(11+(MATCH(RIGHT(Table11[[#This Row],[spawner_sku]],LEN(Table11[[#This Row],[spawner_sku]])-FIND("/",Table11[[#This Row],[spawner_sku]])),Table1[Entity Prefab],0)),10,1,1,"Entities"))</f>
        <v>50</v>
      </c>
      <c r="CQ610">
        <f ca="1">ROUND((Table11[[#This Row],[XP]]*Table11[[#This Row],[entity_spawned (AVG)]])*(Table11[[#This Row],[activating_chance]]/100),0)</f>
        <v>50</v>
      </c>
      <c r="CR610" s="144" t="str">
        <f ca="1">INDIRECT(ADDRESS(11+(MATCH(RIGHT(Table11[[#This Row],[spawner_sku]],LEN(Table11[[#This Row],[spawner_sku]])-FIND("/",Table11[[#This Row],[spawner_sku]])),Table28[Entity Prefab],0)),25,1,1,"Entities"))</f>
        <v>no</v>
      </c>
      <c r="CS610" s="71">
        <v>1</v>
      </c>
      <c r="CT610" s="71">
        <v>1</v>
      </c>
      <c r="CU610" s="71" t="b">
        <v>0</v>
      </c>
      <c r="DS610" t="s">
        <v>242</v>
      </c>
      <c r="DT610">
        <v>1</v>
      </c>
      <c r="DU610">
        <v>150</v>
      </c>
      <c r="DV610">
        <v>80</v>
      </c>
      <c r="DW610" s="74">
        <f ca="1">INDIRECT(ADDRESS(11+(MATCH(RIGHT(Table14[[#This Row],[spawner_sku]],LEN(Table14[[#This Row],[spawner_sku]])-FIND("/",Table14[[#This Row],[spawner_sku]])),Table1[Entity Prefab],0)),10,1,1,"Entities"))</f>
        <v>25</v>
      </c>
      <c r="DX610" s="74">
        <f ca="1">ROUND((Table14[[#This Row],[XP]]*Table14[[#This Row],[entity_spawned (AVG)]])*(Table14[[#This Row],[activating_chance]]/100),0)</f>
        <v>20</v>
      </c>
      <c r="DY610" s="144" t="str">
        <f ca="1">INDIRECT(ADDRESS(11+(MATCH(RIGHT(Table14[[#This Row],[spawner_sku]],LEN(Table14[[#This Row],[spawner_sku]])-FIND("/",Table14[[#This Row],[spawner_sku]])),Table28[Entity Prefab],0)),25,1,1,"Entities"))</f>
        <v>no</v>
      </c>
      <c r="DZ610" s="71">
        <v>1</v>
      </c>
      <c r="EA610" s="71">
        <v>1</v>
      </c>
      <c r="EB610" s="71" t="b">
        <v>0</v>
      </c>
      <c r="EC610" s="71"/>
    </row>
    <row r="611" spans="2:133" x14ac:dyDescent="0.25">
      <c r="B611" s="72" t="s">
        <v>242</v>
      </c>
      <c r="C611">
        <v>1</v>
      </c>
      <c r="D611">
        <v>150</v>
      </c>
      <c r="E611">
        <v>40</v>
      </c>
      <c r="F611" s="74">
        <f ca="1">INDIRECT(ADDRESS(11+(MATCH(RIGHT(Table245[[#This Row],[spawner_sku]],LEN(Table245[[#This Row],[spawner_sku]])-FIND("/",Table245[[#This Row],[spawner_sku]])),Table1[Entity Prefab],0)),10,1,1,"Entities"))</f>
        <v>25</v>
      </c>
      <c r="G611" s="74">
        <f ca="1">ROUND((Table245[[#This Row],[XP]]*Table245[[#This Row],[entity_spawned (AVG)]])*(Table245[[#This Row],[activating_chance]]/100),0)</f>
        <v>10</v>
      </c>
      <c r="H611" s="71" t="str">
        <f ca="1">INDIRECT(ADDRESS(11+(MATCH(RIGHT(Table245[[#This Row],[spawner_sku]],LEN(Table245[[#This Row],[spawner_sku]])-FIND("/",Table245[[#This Row],[spawner_sku]])),Table28[Entity Prefab],0)),24,1,1,"Entities"))</f>
        <v>no</v>
      </c>
      <c r="I611" s="71">
        <v>1</v>
      </c>
      <c r="J611" s="71">
        <v>1</v>
      </c>
      <c r="K611" s="71" t="b">
        <v>0</v>
      </c>
      <c r="CL611" t="s">
        <v>322</v>
      </c>
      <c r="CM611">
        <v>1</v>
      </c>
      <c r="CN611">
        <v>120</v>
      </c>
      <c r="CO611">
        <v>60</v>
      </c>
      <c r="CP611" s="74">
        <f ca="1">INDIRECT(ADDRESS(11+(MATCH(RIGHT(Table11[[#This Row],[spawner_sku]],LEN(Table11[[#This Row],[spawner_sku]])-FIND("/",Table11[[#This Row],[spawner_sku]])),Table1[Entity Prefab],0)),10,1,1,"Entities"))</f>
        <v>50</v>
      </c>
      <c r="CQ611">
        <f ca="1">ROUND((Table11[[#This Row],[XP]]*Table11[[#This Row],[entity_spawned (AVG)]])*(Table11[[#This Row],[activating_chance]]/100),0)</f>
        <v>30</v>
      </c>
      <c r="CR611" s="144" t="str">
        <f ca="1">INDIRECT(ADDRESS(11+(MATCH(RIGHT(Table11[[#This Row],[spawner_sku]],LEN(Table11[[#This Row],[spawner_sku]])-FIND("/",Table11[[#This Row],[spawner_sku]])),Table28[Entity Prefab],0)),25,1,1,"Entities"))</f>
        <v>no</v>
      </c>
      <c r="CS611" s="71">
        <v>1</v>
      </c>
      <c r="CT611" s="71">
        <v>1</v>
      </c>
      <c r="CU611" s="71" t="b">
        <v>0</v>
      </c>
      <c r="DS611" t="s">
        <v>242</v>
      </c>
      <c r="DT611">
        <v>1.5</v>
      </c>
      <c r="DU611">
        <v>150</v>
      </c>
      <c r="DV611">
        <v>100</v>
      </c>
      <c r="DW611" s="74">
        <f ca="1">INDIRECT(ADDRESS(11+(MATCH(RIGHT(Table14[[#This Row],[spawner_sku]],LEN(Table14[[#This Row],[spawner_sku]])-FIND("/",Table14[[#This Row],[spawner_sku]])),Table1[Entity Prefab],0)),10,1,1,"Entities"))</f>
        <v>25</v>
      </c>
      <c r="DX611" s="74">
        <f ca="1">ROUND((Table14[[#This Row],[XP]]*Table14[[#This Row],[entity_spawned (AVG)]])*(Table14[[#This Row],[activating_chance]]/100),0)</f>
        <v>38</v>
      </c>
      <c r="DY611" s="144" t="str">
        <f ca="1">INDIRECT(ADDRESS(11+(MATCH(RIGHT(Table14[[#This Row],[spawner_sku]],LEN(Table14[[#This Row],[spawner_sku]])-FIND("/",Table14[[#This Row],[spawner_sku]])),Table28[Entity Prefab],0)),25,1,1,"Entities"))</f>
        <v>no</v>
      </c>
      <c r="DZ611" s="71">
        <v>1</v>
      </c>
      <c r="EA611" s="71">
        <v>2</v>
      </c>
      <c r="EB611" s="71" t="b">
        <v>0</v>
      </c>
      <c r="EC611" s="71"/>
    </row>
    <row r="612" spans="2:133" x14ac:dyDescent="0.25">
      <c r="B612" s="72" t="s">
        <v>242</v>
      </c>
      <c r="C612">
        <v>1</v>
      </c>
      <c r="D612">
        <v>140</v>
      </c>
      <c r="E612">
        <v>100</v>
      </c>
      <c r="F612" s="74">
        <f ca="1">INDIRECT(ADDRESS(11+(MATCH(RIGHT(Table245[[#This Row],[spawner_sku]],LEN(Table245[[#This Row],[spawner_sku]])-FIND("/",Table245[[#This Row],[spawner_sku]])),Table1[Entity Prefab],0)),10,1,1,"Entities"))</f>
        <v>25</v>
      </c>
      <c r="G612" s="74">
        <f ca="1">ROUND((Table245[[#This Row],[XP]]*Table245[[#This Row],[entity_spawned (AVG)]])*(Table245[[#This Row],[activating_chance]]/100),0)</f>
        <v>25</v>
      </c>
      <c r="H612" s="71" t="str">
        <f ca="1">INDIRECT(ADDRESS(11+(MATCH(RIGHT(Table245[[#This Row],[spawner_sku]],LEN(Table245[[#This Row],[spawner_sku]])-FIND("/",Table245[[#This Row],[spawner_sku]])),Table28[Entity Prefab],0)),24,1,1,"Entities"))</f>
        <v>no</v>
      </c>
      <c r="I612" s="71">
        <v>1</v>
      </c>
      <c r="J612" s="71">
        <v>1</v>
      </c>
      <c r="K612" s="71" t="b">
        <v>0</v>
      </c>
      <c r="CL612" t="s">
        <v>322</v>
      </c>
      <c r="CM612">
        <v>1</v>
      </c>
      <c r="CN612">
        <v>110</v>
      </c>
      <c r="CO612">
        <v>20</v>
      </c>
      <c r="CP612" s="74">
        <f ca="1">INDIRECT(ADDRESS(11+(MATCH(RIGHT(Table11[[#This Row],[spawner_sku]],LEN(Table11[[#This Row],[spawner_sku]])-FIND("/",Table11[[#This Row],[spawner_sku]])),Table1[Entity Prefab],0)),10,1,1,"Entities"))</f>
        <v>50</v>
      </c>
      <c r="CQ612">
        <f ca="1">ROUND((Table11[[#This Row],[XP]]*Table11[[#This Row],[entity_spawned (AVG)]])*(Table11[[#This Row],[activating_chance]]/100),0)</f>
        <v>10</v>
      </c>
      <c r="CR612" s="144" t="str">
        <f ca="1">INDIRECT(ADDRESS(11+(MATCH(RIGHT(Table11[[#This Row],[spawner_sku]],LEN(Table11[[#This Row],[spawner_sku]])-FIND("/",Table11[[#This Row],[spawner_sku]])),Table28[Entity Prefab],0)),25,1,1,"Entities"))</f>
        <v>no</v>
      </c>
      <c r="CS612" s="71">
        <v>1</v>
      </c>
      <c r="CT612" s="71">
        <v>1</v>
      </c>
      <c r="CU612" s="71" t="b">
        <v>0</v>
      </c>
      <c r="DS612" t="s">
        <v>242</v>
      </c>
      <c r="DT612">
        <v>1</v>
      </c>
      <c r="DU612">
        <v>100</v>
      </c>
      <c r="DV612">
        <v>100</v>
      </c>
      <c r="DW612" s="74">
        <f ca="1">INDIRECT(ADDRESS(11+(MATCH(RIGHT(Table14[[#This Row],[spawner_sku]],LEN(Table14[[#This Row],[spawner_sku]])-FIND("/",Table14[[#This Row],[spawner_sku]])),Table1[Entity Prefab],0)),10,1,1,"Entities"))</f>
        <v>25</v>
      </c>
      <c r="DX612" s="74">
        <f ca="1">ROUND((Table14[[#This Row],[XP]]*Table14[[#This Row],[entity_spawned (AVG)]])*(Table14[[#This Row],[activating_chance]]/100),0)</f>
        <v>25</v>
      </c>
      <c r="DY612" s="144" t="str">
        <f ca="1">INDIRECT(ADDRESS(11+(MATCH(RIGHT(Table14[[#This Row],[spawner_sku]],LEN(Table14[[#This Row],[spawner_sku]])-FIND("/",Table14[[#This Row],[spawner_sku]])),Table28[Entity Prefab],0)),25,1,1,"Entities"))</f>
        <v>no</v>
      </c>
      <c r="DZ612" s="71">
        <v>1</v>
      </c>
      <c r="EA612" s="71">
        <v>1</v>
      </c>
      <c r="EB612" s="71" t="b">
        <v>0</v>
      </c>
      <c r="EC612" s="71"/>
    </row>
    <row r="613" spans="2:133" x14ac:dyDescent="0.25">
      <c r="B613" s="72" t="s">
        <v>242</v>
      </c>
      <c r="C613">
        <v>1</v>
      </c>
      <c r="D613">
        <v>140</v>
      </c>
      <c r="E613">
        <v>100</v>
      </c>
      <c r="F613" s="74">
        <f ca="1">INDIRECT(ADDRESS(11+(MATCH(RIGHT(Table245[[#This Row],[spawner_sku]],LEN(Table245[[#This Row],[spawner_sku]])-FIND("/",Table245[[#This Row],[spawner_sku]])),Table1[Entity Prefab],0)),10,1,1,"Entities"))</f>
        <v>25</v>
      </c>
      <c r="G613" s="74">
        <f ca="1">ROUND((Table245[[#This Row],[XP]]*Table245[[#This Row],[entity_spawned (AVG)]])*(Table245[[#This Row],[activating_chance]]/100),0)</f>
        <v>25</v>
      </c>
      <c r="H613" s="71" t="str">
        <f ca="1">INDIRECT(ADDRESS(11+(MATCH(RIGHT(Table245[[#This Row],[spawner_sku]],LEN(Table245[[#This Row],[spawner_sku]])-FIND("/",Table245[[#This Row],[spawner_sku]])),Table28[Entity Prefab],0)),24,1,1,"Entities"))</f>
        <v>no</v>
      </c>
      <c r="I613" s="71">
        <v>1</v>
      </c>
      <c r="J613" s="71">
        <v>1</v>
      </c>
      <c r="K613" s="71" t="b">
        <v>0</v>
      </c>
      <c r="CL613" t="s">
        <v>322</v>
      </c>
      <c r="CM613">
        <v>1</v>
      </c>
      <c r="CN613">
        <v>120</v>
      </c>
      <c r="CO613">
        <v>80</v>
      </c>
      <c r="CP613" s="74">
        <f ca="1">INDIRECT(ADDRESS(11+(MATCH(RIGHT(Table11[[#This Row],[spawner_sku]],LEN(Table11[[#This Row],[spawner_sku]])-FIND("/",Table11[[#This Row],[spawner_sku]])),Table1[Entity Prefab],0)),10,1,1,"Entities"))</f>
        <v>50</v>
      </c>
      <c r="CQ613">
        <f ca="1">ROUND((Table11[[#This Row],[XP]]*Table11[[#This Row],[entity_spawned (AVG)]])*(Table11[[#This Row],[activating_chance]]/100),0)</f>
        <v>40</v>
      </c>
      <c r="CR613" s="144" t="str">
        <f ca="1">INDIRECT(ADDRESS(11+(MATCH(RIGHT(Table11[[#This Row],[spawner_sku]],LEN(Table11[[#This Row],[spawner_sku]])-FIND("/",Table11[[#This Row],[spawner_sku]])),Table28[Entity Prefab],0)),25,1,1,"Entities"))</f>
        <v>no</v>
      </c>
      <c r="CS613" s="71">
        <v>1</v>
      </c>
      <c r="CT613" s="71">
        <v>1</v>
      </c>
      <c r="CU613" s="71" t="b">
        <v>0</v>
      </c>
      <c r="DS613" t="s">
        <v>242</v>
      </c>
      <c r="DT613">
        <v>1</v>
      </c>
      <c r="DU613">
        <v>150</v>
      </c>
      <c r="DV613">
        <v>100</v>
      </c>
      <c r="DW613" s="74">
        <f ca="1">INDIRECT(ADDRESS(11+(MATCH(RIGHT(Table14[[#This Row],[spawner_sku]],LEN(Table14[[#This Row],[spawner_sku]])-FIND("/",Table14[[#This Row],[spawner_sku]])),Table1[Entity Prefab],0)),10,1,1,"Entities"))</f>
        <v>25</v>
      </c>
      <c r="DX613" s="74">
        <f ca="1">ROUND((Table14[[#This Row],[XP]]*Table14[[#This Row],[entity_spawned (AVG)]])*(Table14[[#This Row],[activating_chance]]/100),0)</f>
        <v>25</v>
      </c>
      <c r="DY613" s="144" t="str">
        <f ca="1">INDIRECT(ADDRESS(11+(MATCH(RIGHT(Table14[[#This Row],[spawner_sku]],LEN(Table14[[#This Row],[spawner_sku]])-FIND("/",Table14[[#This Row],[spawner_sku]])),Table28[Entity Prefab],0)),25,1,1,"Entities"))</f>
        <v>no</v>
      </c>
      <c r="DZ613" s="71">
        <v>1</v>
      </c>
      <c r="EA613" s="71">
        <v>1</v>
      </c>
      <c r="EB613" s="71" t="b">
        <v>0</v>
      </c>
      <c r="EC613" s="71"/>
    </row>
    <row r="614" spans="2:133" x14ac:dyDescent="0.25">
      <c r="B614" s="72" t="s">
        <v>242</v>
      </c>
      <c r="C614">
        <v>1</v>
      </c>
      <c r="D614">
        <v>140</v>
      </c>
      <c r="E614">
        <v>100</v>
      </c>
      <c r="F614" s="74">
        <f ca="1">INDIRECT(ADDRESS(11+(MATCH(RIGHT(Table245[[#This Row],[spawner_sku]],LEN(Table245[[#This Row],[spawner_sku]])-FIND("/",Table245[[#This Row],[spawner_sku]])),Table1[Entity Prefab],0)),10,1,1,"Entities"))</f>
        <v>25</v>
      </c>
      <c r="G614" s="74">
        <f ca="1">ROUND((Table245[[#This Row],[XP]]*Table245[[#This Row],[entity_spawned (AVG)]])*(Table245[[#This Row],[activating_chance]]/100),0)</f>
        <v>25</v>
      </c>
      <c r="H614" s="71" t="str">
        <f ca="1">INDIRECT(ADDRESS(11+(MATCH(RIGHT(Table245[[#This Row],[spawner_sku]],LEN(Table245[[#This Row],[spawner_sku]])-FIND("/",Table245[[#This Row],[spawner_sku]])),Table28[Entity Prefab],0)),24,1,1,"Entities"))</f>
        <v>no</v>
      </c>
      <c r="I614" s="71">
        <v>1</v>
      </c>
      <c r="J614" s="71">
        <v>1</v>
      </c>
      <c r="K614" s="71" t="b">
        <v>0</v>
      </c>
      <c r="CL614" t="s">
        <v>322</v>
      </c>
      <c r="CM614">
        <v>1</v>
      </c>
      <c r="CN614">
        <v>120</v>
      </c>
      <c r="CO614">
        <v>80</v>
      </c>
      <c r="CP614" s="74">
        <f ca="1">INDIRECT(ADDRESS(11+(MATCH(RIGHT(Table11[[#This Row],[spawner_sku]],LEN(Table11[[#This Row],[spawner_sku]])-FIND("/",Table11[[#This Row],[spawner_sku]])),Table1[Entity Prefab],0)),10,1,1,"Entities"))</f>
        <v>50</v>
      </c>
      <c r="CQ614">
        <f ca="1">ROUND((Table11[[#This Row],[XP]]*Table11[[#This Row],[entity_spawned (AVG)]])*(Table11[[#This Row],[activating_chance]]/100),0)</f>
        <v>40</v>
      </c>
      <c r="CR614" s="144" t="str">
        <f ca="1">INDIRECT(ADDRESS(11+(MATCH(RIGHT(Table11[[#This Row],[spawner_sku]],LEN(Table11[[#This Row],[spawner_sku]])-FIND("/",Table11[[#This Row],[spawner_sku]])),Table28[Entity Prefab],0)),25,1,1,"Entities"))</f>
        <v>no</v>
      </c>
      <c r="CS614" s="71">
        <v>1</v>
      </c>
      <c r="CT614" s="71">
        <v>1</v>
      </c>
      <c r="CU614" s="71" t="b">
        <v>0</v>
      </c>
      <c r="DS614" t="s">
        <v>242</v>
      </c>
      <c r="DT614">
        <v>1</v>
      </c>
      <c r="DU614">
        <v>150</v>
      </c>
      <c r="DV614">
        <v>100</v>
      </c>
      <c r="DW614" s="74">
        <f ca="1">INDIRECT(ADDRESS(11+(MATCH(RIGHT(Table14[[#This Row],[spawner_sku]],LEN(Table14[[#This Row],[spawner_sku]])-FIND("/",Table14[[#This Row],[spawner_sku]])),Table1[Entity Prefab],0)),10,1,1,"Entities"))</f>
        <v>25</v>
      </c>
      <c r="DX614" s="74">
        <f ca="1">ROUND((Table14[[#This Row],[XP]]*Table14[[#This Row],[entity_spawned (AVG)]])*(Table14[[#This Row],[activating_chance]]/100),0)</f>
        <v>25</v>
      </c>
      <c r="DY614" s="144" t="str">
        <f ca="1">INDIRECT(ADDRESS(11+(MATCH(RIGHT(Table14[[#This Row],[spawner_sku]],LEN(Table14[[#This Row],[spawner_sku]])-FIND("/",Table14[[#This Row],[spawner_sku]])),Table28[Entity Prefab],0)),25,1,1,"Entities"))</f>
        <v>no</v>
      </c>
      <c r="DZ614" s="71">
        <v>1</v>
      </c>
      <c r="EA614" s="71">
        <v>1</v>
      </c>
      <c r="EB614" s="71" t="b">
        <v>0</v>
      </c>
      <c r="EC614" s="71"/>
    </row>
    <row r="615" spans="2:133" x14ac:dyDescent="0.25">
      <c r="B615" s="72" t="s">
        <v>242</v>
      </c>
      <c r="C615">
        <v>1</v>
      </c>
      <c r="D615">
        <v>170</v>
      </c>
      <c r="E615">
        <v>80</v>
      </c>
      <c r="F615" s="74">
        <f ca="1">INDIRECT(ADDRESS(11+(MATCH(RIGHT(Table245[[#This Row],[spawner_sku]],LEN(Table245[[#This Row],[spawner_sku]])-FIND("/",Table245[[#This Row],[spawner_sku]])),Table1[Entity Prefab],0)),10,1,1,"Entities"))</f>
        <v>25</v>
      </c>
      <c r="G615" s="74">
        <f ca="1">ROUND((Table245[[#This Row],[XP]]*Table245[[#This Row],[entity_spawned (AVG)]])*(Table245[[#This Row],[activating_chance]]/100),0)</f>
        <v>20</v>
      </c>
      <c r="H615" s="71" t="str">
        <f ca="1">INDIRECT(ADDRESS(11+(MATCH(RIGHT(Table245[[#This Row],[spawner_sku]],LEN(Table245[[#This Row],[spawner_sku]])-FIND("/",Table245[[#This Row],[spawner_sku]])),Table28[Entity Prefab],0)),24,1,1,"Entities"))</f>
        <v>no</v>
      </c>
      <c r="I615" s="71">
        <v>1</v>
      </c>
      <c r="J615" s="71">
        <v>1</v>
      </c>
      <c r="K615" s="71" t="b">
        <v>0</v>
      </c>
      <c r="CL615" t="s">
        <v>322</v>
      </c>
      <c r="CM615">
        <v>1</v>
      </c>
      <c r="CN615">
        <v>120</v>
      </c>
      <c r="CO615">
        <v>50</v>
      </c>
      <c r="CP615" s="74">
        <f ca="1">INDIRECT(ADDRESS(11+(MATCH(RIGHT(Table11[[#This Row],[spawner_sku]],LEN(Table11[[#This Row],[spawner_sku]])-FIND("/",Table11[[#This Row],[spawner_sku]])),Table1[Entity Prefab],0)),10,1,1,"Entities"))</f>
        <v>50</v>
      </c>
      <c r="CQ615">
        <f ca="1">ROUND((Table11[[#This Row],[XP]]*Table11[[#This Row],[entity_spawned (AVG)]])*(Table11[[#This Row],[activating_chance]]/100),0)</f>
        <v>25</v>
      </c>
      <c r="CR615" s="144" t="str">
        <f ca="1">INDIRECT(ADDRESS(11+(MATCH(RIGHT(Table11[[#This Row],[spawner_sku]],LEN(Table11[[#This Row],[spawner_sku]])-FIND("/",Table11[[#This Row],[spawner_sku]])),Table28[Entity Prefab],0)),25,1,1,"Entities"))</f>
        <v>no</v>
      </c>
      <c r="CS615" s="71">
        <v>1</v>
      </c>
      <c r="CT615" s="71">
        <v>1</v>
      </c>
      <c r="CU615" s="71" t="b">
        <v>0</v>
      </c>
      <c r="DS615" t="s">
        <v>242</v>
      </c>
      <c r="DT615">
        <v>1</v>
      </c>
      <c r="DU615">
        <v>100</v>
      </c>
      <c r="DV615">
        <v>100</v>
      </c>
      <c r="DW615" s="74">
        <f ca="1">INDIRECT(ADDRESS(11+(MATCH(RIGHT(Table14[[#This Row],[spawner_sku]],LEN(Table14[[#This Row],[spawner_sku]])-FIND("/",Table14[[#This Row],[spawner_sku]])),Table1[Entity Prefab],0)),10,1,1,"Entities"))</f>
        <v>25</v>
      </c>
      <c r="DX615" s="74">
        <f ca="1">ROUND((Table14[[#This Row],[XP]]*Table14[[#This Row],[entity_spawned (AVG)]])*(Table14[[#This Row],[activating_chance]]/100),0)</f>
        <v>25</v>
      </c>
      <c r="DY615" s="144" t="str">
        <f ca="1">INDIRECT(ADDRESS(11+(MATCH(RIGHT(Table14[[#This Row],[spawner_sku]],LEN(Table14[[#This Row],[spawner_sku]])-FIND("/",Table14[[#This Row],[spawner_sku]])),Table28[Entity Prefab],0)),25,1,1,"Entities"))</f>
        <v>no</v>
      </c>
      <c r="DZ615" s="71">
        <v>1</v>
      </c>
      <c r="EA615" s="71">
        <v>1</v>
      </c>
      <c r="EB615" s="71" t="b">
        <v>0</v>
      </c>
      <c r="EC615" s="71"/>
    </row>
    <row r="616" spans="2:133" x14ac:dyDescent="0.25">
      <c r="B616" s="72" t="s">
        <v>242</v>
      </c>
      <c r="C616">
        <v>1</v>
      </c>
      <c r="D616">
        <v>140</v>
      </c>
      <c r="E616">
        <v>100</v>
      </c>
      <c r="F616" s="74">
        <f ca="1">INDIRECT(ADDRESS(11+(MATCH(RIGHT(Table245[[#This Row],[spawner_sku]],LEN(Table245[[#This Row],[spawner_sku]])-FIND("/",Table245[[#This Row],[spawner_sku]])),Table1[Entity Prefab],0)),10,1,1,"Entities"))</f>
        <v>25</v>
      </c>
      <c r="G616" s="74">
        <f ca="1">ROUND((Table245[[#This Row],[XP]]*Table245[[#This Row],[entity_spawned (AVG)]])*(Table245[[#This Row],[activating_chance]]/100),0)</f>
        <v>25</v>
      </c>
      <c r="H616" s="71" t="str">
        <f ca="1">INDIRECT(ADDRESS(11+(MATCH(RIGHT(Table245[[#This Row],[spawner_sku]],LEN(Table245[[#This Row],[spawner_sku]])-FIND("/",Table245[[#This Row],[spawner_sku]])),Table28[Entity Prefab],0)),24,1,1,"Entities"))</f>
        <v>no</v>
      </c>
      <c r="I616" s="71">
        <v>1</v>
      </c>
      <c r="J616" s="71">
        <v>1</v>
      </c>
      <c r="K616" s="71" t="b">
        <v>0</v>
      </c>
      <c r="CL616" t="s">
        <v>322</v>
      </c>
      <c r="CM616">
        <v>1</v>
      </c>
      <c r="CN616">
        <v>120</v>
      </c>
      <c r="CO616">
        <v>100</v>
      </c>
      <c r="CP616" s="74">
        <f ca="1">INDIRECT(ADDRESS(11+(MATCH(RIGHT(Table11[[#This Row],[spawner_sku]],LEN(Table11[[#This Row],[spawner_sku]])-FIND("/",Table11[[#This Row],[spawner_sku]])),Table1[Entity Prefab],0)),10,1,1,"Entities"))</f>
        <v>50</v>
      </c>
      <c r="CQ616">
        <f ca="1">ROUND((Table11[[#This Row],[XP]]*Table11[[#This Row],[entity_spawned (AVG)]])*(Table11[[#This Row],[activating_chance]]/100),0)</f>
        <v>50</v>
      </c>
      <c r="CR616" s="144" t="str">
        <f ca="1">INDIRECT(ADDRESS(11+(MATCH(RIGHT(Table11[[#This Row],[spawner_sku]],LEN(Table11[[#This Row],[spawner_sku]])-FIND("/",Table11[[#This Row],[spawner_sku]])),Table28[Entity Prefab],0)),25,1,1,"Entities"))</f>
        <v>no</v>
      </c>
      <c r="CS616" s="71">
        <v>1</v>
      </c>
      <c r="CT616" s="71">
        <v>1</v>
      </c>
      <c r="CU616" s="71" t="b">
        <v>0</v>
      </c>
      <c r="DS616" t="s">
        <v>242</v>
      </c>
      <c r="DT616">
        <v>1.5</v>
      </c>
      <c r="DU616">
        <v>100</v>
      </c>
      <c r="DV616">
        <v>100</v>
      </c>
      <c r="DW616" s="74">
        <f ca="1">INDIRECT(ADDRESS(11+(MATCH(RIGHT(Table14[[#This Row],[spawner_sku]],LEN(Table14[[#This Row],[spawner_sku]])-FIND("/",Table14[[#This Row],[spawner_sku]])),Table1[Entity Prefab],0)),10,1,1,"Entities"))</f>
        <v>25</v>
      </c>
      <c r="DX616" s="74">
        <f ca="1">ROUND((Table14[[#This Row],[XP]]*Table14[[#This Row],[entity_spawned (AVG)]])*(Table14[[#This Row],[activating_chance]]/100),0)</f>
        <v>38</v>
      </c>
      <c r="DY616" s="144" t="str">
        <f ca="1">INDIRECT(ADDRESS(11+(MATCH(RIGHT(Table14[[#This Row],[spawner_sku]],LEN(Table14[[#This Row],[spawner_sku]])-FIND("/",Table14[[#This Row],[spawner_sku]])),Table28[Entity Prefab],0)),25,1,1,"Entities"))</f>
        <v>no</v>
      </c>
      <c r="DZ616" s="71">
        <v>1</v>
      </c>
      <c r="EA616" s="71">
        <v>2</v>
      </c>
      <c r="EB616" s="71" t="b">
        <v>0</v>
      </c>
      <c r="EC616" s="71"/>
    </row>
    <row r="617" spans="2:133" x14ac:dyDescent="0.25">
      <c r="B617" s="72" t="s">
        <v>243</v>
      </c>
      <c r="C617">
        <v>1</v>
      </c>
      <c r="D617">
        <v>160</v>
      </c>
      <c r="E617">
        <v>100</v>
      </c>
      <c r="F617" s="74">
        <f ca="1">INDIRECT(ADDRESS(11+(MATCH(RIGHT(Table245[[#This Row],[spawner_sku]],LEN(Table245[[#This Row],[spawner_sku]])-FIND("/",Table245[[#This Row],[spawner_sku]])),Table1[Entity Prefab],0)),10,1,1,"Entities"))</f>
        <v>25</v>
      </c>
      <c r="G617" s="74">
        <f ca="1">ROUND((Table245[[#This Row],[XP]]*Table245[[#This Row],[entity_spawned (AVG)]])*(Table245[[#This Row],[activating_chance]]/100),0)</f>
        <v>25</v>
      </c>
      <c r="H617" s="71" t="str">
        <f ca="1">INDIRECT(ADDRESS(11+(MATCH(RIGHT(Table245[[#This Row],[spawner_sku]],LEN(Table245[[#This Row],[spawner_sku]])-FIND("/",Table245[[#This Row],[spawner_sku]])),Table28[Entity Prefab],0)),24,1,1,"Entities"))</f>
        <v>no</v>
      </c>
      <c r="I617" s="71">
        <v>1</v>
      </c>
      <c r="J617" s="71">
        <v>1</v>
      </c>
      <c r="K617" s="71" t="b">
        <v>0</v>
      </c>
      <c r="CL617" t="s">
        <v>322</v>
      </c>
      <c r="CM617">
        <v>1</v>
      </c>
      <c r="CN617">
        <v>120</v>
      </c>
      <c r="CO617">
        <v>100</v>
      </c>
      <c r="CP617" s="74">
        <f ca="1">INDIRECT(ADDRESS(11+(MATCH(RIGHT(Table11[[#This Row],[spawner_sku]],LEN(Table11[[#This Row],[spawner_sku]])-FIND("/",Table11[[#This Row],[spawner_sku]])),Table1[Entity Prefab],0)),10,1,1,"Entities"))</f>
        <v>50</v>
      </c>
      <c r="CQ617">
        <f ca="1">ROUND((Table11[[#This Row],[XP]]*Table11[[#This Row],[entity_spawned (AVG)]])*(Table11[[#This Row],[activating_chance]]/100),0)</f>
        <v>50</v>
      </c>
      <c r="CR617" s="144" t="str">
        <f ca="1">INDIRECT(ADDRESS(11+(MATCH(RIGHT(Table11[[#This Row],[spawner_sku]],LEN(Table11[[#This Row],[spawner_sku]])-FIND("/",Table11[[#This Row],[spawner_sku]])),Table28[Entity Prefab],0)),25,1,1,"Entities"))</f>
        <v>no</v>
      </c>
      <c r="CS617" s="71">
        <v>1</v>
      </c>
      <c r="CT617" s="71">
        <v>1</v>
      </c>
      <c r="CU617" s="71" t="b">
        <v>0</v>
      </c>
      <c r="DS617" t="s">
        <v>242</v>
      </c>
      <c r="DT617">
        <v>1</v>
      </c>
      <c r="DU617">
        <v>150</v>
      </c>
      <c r="DV617">
        <v>100</v>
      </c>
      <c r="DW617" s="74">
        <f ca="1">INDIRECT(ADDRESS(11+(MATCH(RIGHT(Table14[[#This Row],[spawner_sku]],LEN(Table14[[#This Row],[spawner_sku]])-FIND("/",Table14[[#This Row],[spawner_sku]])),Table1[Entity Prefab],0)),10,1,1,"Entities"))</f>
        <v>25</v>
      </c>
      <c r="DX617" s="74">
        <f ca="1">ROUND((Table14[[#This Row],[XP]]*Table14[[#This Row],[entity_spawned (AVG)]])*(Table14[[#This Row],[activating_chance]]/100),0)</f>
        <v>25</v>
      </c>
      <c r="DY617" s="144" t="str">
        <f ca="1">INDIRECT(ADDRESS(11+(MATCH(RIGHT(Table14[[#This Row],[spawner_sku]],LEN(Table14[[#This Row],[spawner_sku]])-FIND("/",Table14[[#This Row],[spawner_sku]])),Table28[Entity Prefab],0)),25,1,1,"Entities"))</f>
        <v>no</v>
      </c>
      <c r="DZ617" s="71">
        <v>1</v>
      </c>
      <c r="EA617" s="71">
        <v>1</v>
      </c>
      <c r="EB617" s="71" t="b">
        <v>0</v>
      </c>
      <c r="EC617" s="71"/>
    </row>
    <row r="618" spans="2:133" x14ac:dyDescent="0.25">
      <c r="B618" s="72" t="s">
        <v>243</v>
      </c>
      <c r="C618">
        <v>1</v>
      </c>
      <c r="D618">
        <v>170</v>
      </c>
      <c r="E618">
        <v>100</v>
      </c>
      <c r="F618" s="74">
        <f ca="1">INDIRECT(ADDRESS(11+(MATCH(RIGHT(Table245[[#This Row],[spawner_sku]],LEN(Table245[[#This Row],[spawner_sku]])-FIND("/",Table245[[#This Row],[spawner_sku]])),Table1[Entity Prefab],0)),10,1,1,"Entities"))</f>
        <v>25</v>
      </c>
      <c r="G618" s="74">
        <f ca="1">ROUND((Table245[[#This Row],[XP]]*Table245[[#This Row],[entity_spawned (AVG)]])*(Table245[[#This Row],[activating_chance]]/100),0)</f>
        <v>25</v>
      </c>
      <c r="H618" s="71" t="str">
        <f ca="1">INDIRECT(ADDRESS(11+(MATCH(RIGHT(Table245[[#This Row],[spawner_sku]],LEN(Table245[[#This Row],[spawner_sku]])-FIND("/",Table245[[#This Row],[spawner_sku]])),Table28[Entity Prefab],0)),24,1,1,"Entities"))</f>
        <v>no</v>
      </c>
      <c r="I618" s="71">
        <v>1</v>
      </c>
      <c r="J618" s="71">
        <v>1</v>
      </c>
      <c r="K618" s="71" t="b">
        <v>0</v>
      </c>
      <c r="CL618" t="s">
        <v>3812</v>
      </c>
      <c r="CM618">
        <v>1</v>
      </c>
      <c r="CN618">
        <v>120</v>
      </c>
      <c r="CO618">
        <v>100</v>
      </c>
      <c r="CP618" s="74">
        <f ca="1">INDIRECT(ADDRESS(11+(MATCH(RIGHT(Table11[[#This Row],[spawner_sku]],LEN(Table11[[#This Row],[spawner_sku]])-FIND("/",Table11[[#This Row],[spawner_sku]])),Table1[Entity Prefab],0)),10,1,1,"Entities"))</f>
        <v>0</v>
      </c>
      <c r="CQ618">
        <f ca="1">ROUND((Table11[[#This Row],[XP]]*Table11[[#This Row],[entity_spawned (AVG)]])*(Table11[[#This Row],[activating_chance]]/100),0)</f>
        <v>0</v>
      </c>
      <c r="CR618" s="144" t="str">
        <f ca="1">INDIRECT(ADDRESS(11+(MATCH(RIGHT(Table11[[#This Row],[spawner_sku]],LEN(Table11[[#This Row],[spawner_sku]])-FIND("/",Table11[[#This Row],[spawner_sku]])),Table28[Entity Prefab],0)),25,1,1,"Entities"))</f>
        <v>no</v>
      </c>
      <c r="CS618" s="71">
        <v>1</v>
      </c>
      <c r="CT618" s="71">
        <v>1</v>
      </c>
      <c r="CU618" s="71" t="b">
        <v>0</v>
      </c>
      <c r="DS618" t="s">
        <v>242</v>
      </c>
      <c r="DT618">
        <v>1</v>
      </c>
      <c r="DU618">
        <v>100</v>
      </c>
      <c r="DV618">
        <v>80</v>
      </c>
      <c r="DW618" s="74">
        <f ca="1">INDIRECT(ADDRESS(11+(MATCH(RIGHT(Table14[[#This Row],[spawner_sku]],LEN(Table14[[#This Row],[spawner_sku]])-FIND("/",Table14[[#This Row],[spawner_sku]])),Table1[Entity Prefab],0)),10,1,1,"Entities"))</f>
        <v>25</v>
      </c>
      <c r="DX618" s="74">
        <f ca="1">ROUND((Table14[[#This Row],[XP]]*Table14[[#This Row],[entity_spawned (AVG)]])*(Table14[[#This Row],[activating_chance]]/100),0)</f>
        <v>20</v>
      </c>
      <c r="DY618" s="144" t="str">
        <f ca="1">INDIRECT(ADDRESS(11+(MATCH(RIGHT(Table14[[#This Row],[spawner_sku]],LEN(Table14[[#This Row],[spawner_sku]])-FIND("/",Table14[[#This Row],[spawner_sku]])),Table28[Entity Prefab],0)),25,1,1,"Entities"))</f>
        <v>no</v>
      </c>
      <c r="DZ618" s="71">
        <v>1</v>
      </c>
      <c r="EA618" s="71">
        <v>1</v>
      </c>
      <c r="EB618" s="71" t="b">
        <v>0</v>
      </c>
      <c r="EC618" s="71"/>
    </row>
    <row r="619" spans="2:133" x14ac:dyDescent="0.25">
      <c r="B619" s="72" t="s">
        <v>244</v>
      </c>
      <c r="C619">
        <v>1</v>
      </c>
      <c r="D619">
        <v>250</v>
      </c>
      <c r="E619">
        <v>90</v>
      </c>
      <c r="F619" s="74">
        <f ca="1">INDIRECT(ADDRESS(11+(MATCH(RIGHT(Table245[[#This Row],[spawner_sku]],LEN(Table245[[#This Row],[spawner_sku]])-FIND("/",Table245[[#This Row],[spawner_sku]])),Table1[Entity Prefab],0)),10,1,1,"Entities"))</f>
        <v>50</v>
      </c>
      <c r="G619" s="74">
        <f ca="1">ROUND((Table245[[#This Row],[XP]]*Table245[[#This Row],[entity_spawned (AVG)]])*(Table245[[#This Row],[activating_chance]]/100),0)</f>
        <v>45</v>
      </c>
      <c r="H619" s="71" t="str">
        <f ca="1">INDIRECT(ADDRESS(11+(MATCH(RIGHT(Table245[[#This Row],[spawner_sku]],LEN(Table245[[#This Row],[spawner_sku]])-FIND("/",Table245[[#This Row],[spawner_sku]])),Table28[Entity Prefab],0)),24,1,1,"Entities"))</f>
        <v>no</v>
      </c>
      <c r="I619" s="71">
        <v>1</v>
      </c>
      <c r="J619" s="71">
        <v>1</v>
      </c>
      <c r="K619" s="71" t="b">
        <v>0</v>
      </c>
      <c r="CL619" t="s">
        <v>3812</v>
      </c>
      <c r="CM619">
        <v>1</v>
      </c>
      <c r="CN619">
        <v>120</v>
      </c>
      <c r="CO619">
        <v>100</v>
      </c>
      <c r="CP619" s="74">
        <f ca="1">INDIRECT(ADDRESS(11+(MATCH(RIGHT(Table11[[#This Row],[spawner_sku]],LEN(Table11[[#This Row],[spawner_sku]])-FIND("/",Table11[[#This Row],[spawner_sku]])),Table1[Entity Prefab],0)),10,1,1,"Entities"))</f>
        <v>0</v>
      </c>
      <c r="CQ619">
        <f ca="1">ROUND((Table11[[#This Row],[XP]]*Table11[[#This Row],[entity_spawned (AVG)]])*(Table11[[#This Row],[activating_chance]]/100),0)</f>
        <v>0</v>
      </c>
      <c r="CR619" s="144" t="str">
        <f ca="1">INDIRECT(ADDRESS(11+(MATCH(RIGHT(Table11[[#This Row],[spawner_sku]],LEN(Table11[[#This Row],[spawner_sku]])-FIND("/",Table11[[#This Row],[spawner_sku]])),Table28[Entity Prefab],0)),25,1,1,"Entities"))</f>
        <v>no</v>
      </c>
      <c r="CS619" s="71">
        <v>1</v>
      </c>
      <c r="CT619" s="71">
        <v>1</v>
      </c>
      <c r="CU619" s="71" t="b">
        <v>0</v>
      </c>
      <c r="DS619" t="s">
        <v>242</v>
      </c>
      <c r="DT619">
        <v>1</v>
      </c>
      <c r="DU619">
        <v>90</v>
      </c>
      <c r="DV619">
        <v>100</v>
      </c>
      <c r="DW619" s="74">
        <f ca="1">INDIRECT(ADDRESS(11+(MATCH(RIGHT(Table14[[#This Row],[spawner_sku]],LEN(Table14[[#This Row],[spawner_sku]])-FIND("/",Table14[[#This Row],[spawner_sku]])),Table1[Entity Prefab],0)),10,1,1,"Entities"))</f>
        <v>25</v>
      </c>
      <c r="DX619" s="74">
        <f ca="1">ROUND((Table14[[#This Row],[XP]]*Table14[[#This Row],[entity_spawned (AVG)]])*(Table14[[#This Row],[activating_chance]]/100),0)</f>
        <v>25</v>
      </c>
      <c r="DY619" s="144" t="str">
        <f ca="1">INDIRECT(ADDRESS(11+(MATCH(RIGHT(Table14[[#This Row],[spawner_sku]],LEN(Table14[[#This Row],[spawner_sku]])-FIND("/",Table14[[#This Row],[spawner_sku]])),Table28[Entity Prefab],0)),25,1,1,"Entities"))</f>
        <v>no</v>
      </c>
      <c r="DZ619" s="71">
        <v>1</v>
      </c>
      <c r="EA619" s="71">
        <v>1</v>
      </c>
      <c r="EB619" s="71" t="b">
        <v>0</v>
      </c>
      <c r="EC619" s="71"/>
    </row>
    <row r="620" spans="2:133" x14ac:dyDescent="0.25">
      <c r="B620" s="72" t="s">
        <v>244</v>
      </c>
      <c r="C620">
        <v>1</v>
      </c>
      <c r="D620">
        <v>240</v>
      </c>
      <c r="E620">
        <v>100</v>
      </c>
      <c r="F620" s="74">
        <f ca="1">INDIRECT(ADDRESS(11+(MATCH(RIGHT(Table245[[#This Row],[spawner_sku]],LEN(Table245[[#This Row],[spawner_sku]])-FIND("/",Table245[[#This Row],[spawner_sku]])),Table1[Entity Prefab],0)),10,1,1,"Entities"))</f>
        <v>50</v>
      </c>
      <c r="G620" s="74">
        <f ca="1">ROUND((Table245[[#This Row],[XP]]*Table245[[#This Row],[entity_spawned (AVG)]])*(Table245[[#This Row],[activating_chance]]/100),0)</f>
        <v>50</v>
      </c>
      <c r="H620" s="71" t="str">
        <f ca="1">INDIRECT(ADDRESS(11+(MATCH(RIGHT(Table245[[#This Row],[spawner_sku]],LEN(Table245[[#This Row],[spawner_sku]])-FIND("/",Table245[[#This Row],[spawner_sku]])),Table28[Entity Prefab],0)),24,1,1,"Entities"))</f>
        <v>no</v>
      </c>
      <c r="I620" s="71">
        <v>1</v>
      </c>
      <c r="J620" s="71">
        <v>1</v>
      </c>
      <c r="K620" s="71" t="b">
        <v>0</v>
      </c>
      <c r="CL620" t="s">
        <v>3812</v>
      </c>
      <c r="CM620">
        <v>1</v>
      </c>
      <c r="CN620">
        <v>120</v>
      </c>
      <c r="CO620">
        <v>80</v>
      </c>
      <c r="CP620" s="74">
        <f ca="1">INDIRECT(ADDRESS(11+(MATCH(RIGHT(Table11[[#This Row],[spawner_sku]],LEN(Table11[[#This Row],[spawner_sku]])-FIND("/",Table11[[#This Row],[spawner_sku]])),Table1[Entity Prefab],0)),10,1,1,"Entities"))</f>
        <v>0</v>
      </c>
      <c r="CQ620">
        <f ca="1">ROUND((Table11[[#This Row],[XP]]*Table11[[#This Row],[entity_spawned (AVG)]])*(Table11[[#This Row],[activating_chance]]/100),0)</f>
        <v>0</v>
      </c>
      <c r="CR620" s="144" t="str">
        <f ca="1">INDIRECT(ADDRESS(11+(MATCH(RIGHT(Table11[[#This Row],[spawner_sku]],LEN(Table11[[#This Row],[spawner_sku]])-FIND("/",Table11[[#This Row],[spawner_sku]])),Table28[Entity Prefab],0)),25,1,1,"Entities"))</f>
        <v>no</v>
      </c>
      <c r="CS620" s="71">
        <v>1</v>
      </c>
      <c r="CT620" s="71">
        <v>1</v>
      </c>
      <c r="CU620" s="71" t="b">
        <v>0</v>
      </c>
      <c r="DS620" t="s">
        <v>242</v>
      </c>
      <c r="DT620">
        <v>1</v>
      </c>
      <c r="DU620">
        <v>100</v>
      </c>
      <c r="DV620">
        <v>100</v>
      </c>
      <c r="DW620" s="74">
        <f ca="1">INDIRECT(ADDRESS(11+(MATCH(RIGHT(Table14[[#This Row],[spawner_sku]],LEN(Table14[[#This Row],[spawner_sku]])-FIND("/",Table14[[#This Row],[spawner_sku]])),Table1[Entity Prefab],0)),10,1,1,"Entities"))</f>
        <v>25</v>
      </c>
      <c r="DX620" s="74">
        <f ca="1">ROUND((Table14[[#This Row],[XP]]*Table14[[#This Row],[entity_spawned (AVG)]])*(Table14[[#This Row],[activating_chance]]/100),0)</f>
        <v>25</v>
      </c>
      <c r="DY620" s="144" t="str">
        <f ca="1">INDIRECT(ADDRESS(11+(MATCH(RIGHT(Table14[[#This Row],[spawner_sku]],LEN(Table14[[#This Row],[spawner_sku]])-FIND("/",Table14[[#This Row],[spawner_sku]])),Table28[Entity Prefab],0)),25,1,1,"Entities"))</f>
        <v>no</v>
      </c>
      <c r="DZ620" s="71">
        <v>1</v>
      </c>
      <c r="EA620" s="71">
        <v>1</v>
      </c>
      <c r="EB620" s="71" t="b">
        <v>0</v>
      </c>
      <c r="EC620" s="71"/>
    </row>
    <row r="621" spans="2:133" x14ac:dyDescent="0.25">
      <c r="B621" s="72" t="s">
        <v>244</v>
      </c>
      <c r="C621">
        <v>1</v>
      </c>
      <c r="D621">
        <v>250</v>
      </c>
      <c r="E621">
        <v>30</v>
      </c>
      <c r="F621" s="74">
        <f ca="1">INDIRECT(ADDRESS(11+(MATCH(RIGHT(Table245[[#This Row],[spawner_sku]],LEN(Table245[[#This Row],[spawner_sku]])-FIND("/",Table245[[#This Row],[spawner_sku]])),Table1[Entity Prefab],0)),10,1,1,"Entities"))</f>
        <v>50</v>
      </c>
      <c r="G621" s="74">
        <f ca="1">ROUND((Table245[[#This Row],[XP]]*Table245[[#This Row],[entity_spawned (AVG)]])*(Table245[[#This Row],[activating_chance]]/100),0)</f>
        <v>15</v>
      </c>
      <c r="H621" s="71" t="str">
        <f ca="1">INDIRECT(ADDRESS(11+(MATCH(RIGHT(Table245[[#This Row],[spawner_sku]],LEN(Table245[[#This Row],[spawner_sku]])-FIND("/",Table245[[#This Row],[spawner_sku]])),Table28[Entity Prefab],0)),24,1,1,"Entities"))</f>
        <v>no</v>
      </c>
      <c r="I621" s="71">
        <v>1</v>
      </c>
      <c r="J621" s="71">
        <v>1</v>
      </c>
      <c r="K621" s="71" t="b">
        <v>0</v>
      </c>
      <c r="CL621" t="s">
        <v>3812</v>
      </c>
      <c r="CM621">
        <v>1</v>
      </c>
      <c r="CN621">
        <v>120</v>
      </c>
      <c r="CO621">
        <v>100</v>
      </c>
      <c r="CP621" s="74">
        <f ca="1">INDIRECT(ADDRESS(11+(MATCH(RIGHT(Table11[[#This Row],[spawner_sku]],LEN(Table11[[#This Row],[spawner_sku]])-FIND("/",Table11[[#This Row],[spawner_sku]])),Table1[Entity Prefab],0)),10,1,1,"Entities"))</f>
        <v>0</v>
      </c>
      <c r="CQ621">
        <f ca="1">ROUND((Table11[[#This Row],[XP]]*Table11[[#This Row],[entity_spawned (AVG)]])*(Table11[[#This Row],[activating_chance]]/100),0)</f>
        <v>0</v>
      </c>
      <c r="CR621" s="144" t="str">
        <f ca="1">INDIRECT(ADDRESS(11+(MATCH(RIGHT(Table11[[#This Row],[spawner_sku]],LEN(Table11[[#This Row],[spawner_sku]])-FIND("/",Table11[[#This Row],[spawner_sku]])),Table28[Entity Prefab],0)),25,1,1,"Entities"))</f>
        <v>no</v>
      </c>
      <c r="CS621" s="71">
        <v>1</v>
      </c>
      <c r="CT621" s="71">
        <v>1</v>
      </c>
      <c r="CU621" s="71" t="b">
        <v>0</v>
      </c>
      <c r="DS621" t="s">
        <v>242</v>
      </c>
      <c r="DT621">
        <v>1</v>
      </c>
      <c r="DU621">
        <v>150</v>
      </c>
      <c r="DV621">
        <v>100</v>
      </c>
      <c r="DW621" s="74">
        <f ca="1">INDIRECT(ADDRESS(11+(MATCH(RIGHT(Table14[[#This Row],[spawner_sku]],LEN(Table14[[#This Row],[spawner_sku]])-FIND("/",Table14[[#This Row],[spawner_sku]])),Table1[Entity Prefab],0)),10,1,1,"Entities"))</f>
        <v>25</v>
      </c>
      <c r="DX621" s="74">
        <f ca="1">ROUND((Table14[[#This Row],[XP]]*Table14[[#This Row],[entity_spawned (AVG)]])*(Table14[[#This Row],[activating_chance]]/100),0)</f>
        <v>25</v>
      </c>
      <c r="DY621" s="144" t="str">
        <f ca="1">INDIRECT(ADDRESS(11+(MATCH(RIGHT(Table14[[#This Row],[spawner_sku]],LEN(Table14[[#This Row],[spawner_sku]])-FIND("/",Table14[[#This Row],[spawner_sku]])),Table28[Entity Prefab],0)),25,1,1,"Entities"))</f>
        <v>no</v>
      </c>
      <c r="DZ621" s="71">
        <v>1</v>
      </c>
      <c r="EA621" s="71">
        <v>1</v>
      </c>
      <c r="EB621" s="71" t="b">
        <v>0</v>
      </c>
      <c r="EC621" s="71"/>
    </row>
    <row r="622" spans="2:133" x14ac:dyDescent="0.25">
      <c r="B622" s="72" t="s">
        <v>244</v>
      </c>
      <c r="C622">
        <v>1</v>
      </c>
      <c r="D622">
        <v>220</v>
      </c>
      <c r="E622">
        <v>100</v>
      </c>
      <c r="F622" s="74">
        <f ca="1">INDIRECT(ADDRESS(11+(MATCH(RIGHT(Table245[[#This Row],[spawner_sku]],LEN(Table245[[#This Row],[spawner_sku]])-FIND("/",Table245[[#This Row],[spawner_sku]])),Table1[Entity Prefab],0)),10,1,1,"Entities"))</f>
        <v>50</v>
      </c>
      <c r="G622" s="74">
        <f ca="1">ROUND((Table245[[#This Row],[XP]]*Table245[[#This Row],[entity_spawned (AVG)]])*(Table245[[#This Row],[activating_chance]]/100),0)</f>
        <v>50</v>
      </c>
      <c r="H622" s="71" t="str">
        <f ca="1">INDIRECT(ADDRESS(11+(MATCH(RIGHT(Table245[[#This Row],[spawner_sku]],LEN(Table245[[#This Row],[spawner_sku]])-FIND("/",Table245[[#This Row],[spawner_sku]])),Table28[Entity Prefab],0)),24,1,1,"Entities"))</f>
        <v>no</v>
      </c>
      <c r="I622" s="71">
        <v>1</v>
      </c>
      <c r="J622" s="71">
        <v>1</v>
      </c>
      <c r="K622" s="71" t="b">
        <v>0</v>
      </c>
      <c r="CL622" t="s">
        <v>3812</v>
      </c>
      <c r="CM622">
        <v>1</v>
      </c>
      <c r="CN622">
        <v>220</v>
      </c>
      <c r="CO622">
        <v>100</v>
      </c>
      <c r="CP622" s="74">
        <f ca="1">INDIRECT(ADDRESS(11+(MATCH(RIGHT(Table11[[#This Row],[spawner_sku]],LEN(Table11[[#This Row],[spawner_sku]])-FIND("/",Table11[[#This Row],[spawner_sku]])),Table1[Entity Prefab],0)),10,1,1,"Entities"))</f>
        <v>0</v>
      </c>
      <c r="CQ622">
        <f ca="1">ROUND((Table11[[#This Row],[XP]]*Table11[[#This Row],[entity_spawned (AVG)]])*(Table11[[#This Row],[activating_chance]]/100),0)</f>
        <v>0</v>
      </c>
      <c r="CR622" s="144" t="str">
        <f ca="1">INDIRECT(ADDRESS(11+(MATCH(RIGHT(Table11[[#This Row],[spawner_sku]],LEN(Table11[[#This Row],[spawner_sku]])-FIND("/",Table11[[#This Row],[spawner_sku]])),Table28[Entity Prefab],0)),25,1,1,"Entities"))</f>
        <v>no</v>
      </c>
      <c r="CS622" s="71">
        <v>1</v>
      </c>
      <c r="CT622" s="71">
        <v>1</v>
      </c>
      <c r="CU622" s="71" t="b">
        <v>0</v>
      </c>
      <c r="DS622" t="s">
        <v>242</v>
      </c>
      <c r="DT622">
        <v>1</v>
      </c>
      <c r="DU622">
        <v>100</v>
      </c>
      <c r="DV622">
        <v>80</v>
      </c>
      <c r="DW622" s="74">
        <f ca="1">INDIRECT(ADDRESS(11+(MATCH(RIGHT(Table14[[#This Row],[spawner_sku]],LEN(Table14[[#This Row],[spawner_sku]])-FIND("/",Table14[[#This Row],[spawner_sku]])),Table1[Entity Prefab],0)),10,1,1,"Entities"))</f>
        <v>25</v>
      </c>
      <c r="DX622" s="74">
        <f ca="1">ROUND((Table14[[#This Row],[XP]]*Table14[[#This Row],[entity_spawned (AVG)]])*(Table14[[#This Row],[activating_chance]]/100),0)</f>
        <v>20</v>
      </c>
      <c r="DY622" s="144" t="str">
        <f ca="1">INDIRECT(ADDRESS(11+(MATCH(RIGHT(Table14[[#This Row],[spawner_sku]],LEN(Table14[[#This Row],[spawner_sku]])-FIND("/",Table14[[#This Row],[spawner_sku]])),Table28[Entity Prefab],0)),25,1,1,"Entities"))</f>
        <v>no</v>
      </c>
      <c r="DZ622" s="71">
        <v>1</v>
      </c>
      <c r="EA622" s="71">
        <v>1</v>
      </c>
      <c r="EB622" s="71" t="b">
        <v>0</v>
      </c>
      <c r="EC622" s="71"/>
    </row>
    <row r="623" spans="2:133" x14ac:dyDescent="0.25">
      <c r="B623" s="72" t="s">
        <v>244</v>
      </c>
      <c r="C623">
        <v>1</v>
      </c>
      <c r="D623">
        <v>240</v>
      </c>
      <c r="E623">
        <v>30</v>
      </c>
      <c r="F623" s="74">
        <f ca="1">INDIRECT(ADDRESS(11+(MATCH(RIGHT(Table245[[#This Row],[spawner_sku]],LEN(Table245[[#This Row],[spawner_sku]])-FIND("/",Table245[[#This Row],[spawner_sku]])),Table1[Entity Prefab],0)),10,1,1,"Entities"))</f>
        <v>50</v>
      </c>
      <c r="G623" s="74">
        <f ca="1">ROUND((Table245[[#This Row],[XP]]*Table245[[#This Row],[entity_spawned (AVG)]])*(Table245[[#This Row],[activating_chance]]/100),0)</f>
        <v>15</v>
      </c>
      <c r="H623" s="71" t="str">
        <f ca="1">INDIRECT(ADDRESS(11+(MATCH(RIGHT(Table245[[#This Row],[spawner_sku]],LEN(Table245[[#This Row],[spawner_sku]])-FIND("/",Table245[[#This Row],[spawner_sku]])),Table28[Entity Prefab],0)),24,1,1,"Entities"))</f>
        <v>no</v>
      </c>
      <c r="I623" s="71">
        <v>1</v>
      </c>
      <c r="J623" s="71">
        <v>1</v>
      </c>
      <c r="K623" s="71" t="b">
        <v>0</v>
      </c>
      <c r="CL623" t="s">
        <v>3812</v>
      </c>
      <c r="CM623">
        <v>1</v>
      </c>
      <c r="CN623">
        <v>120</v>
      </c>
      <c r="CO623">
        <v>100</v>
      </c>
      <c r="CP623" s="74">
        <f ca="1">INDIRECT(ADDRESS(11+(MATCH(RIGHT(Table11[[#This Row],[spawner_sku]],LEN(Table11[[#This Row],[spawner_sku]])-FIND("/",Table11[[#This Row],[spawner_sku]])),Table1[Entity Prefab],0)),10,1,1,"Entities"))</f>
        <v>0</v>
      </c>
      <c r="CQ623">
        <f ca="1">ROUND((Table11[[#This Row],[XP]]*Table11[[#This Row],[entity_spawned (AVG)]])*(Table11[[#This Row],[activating_chance]]/100),0)</f>
        <v>0</v>
      </c>
      <c r="CR623" s="144" t="str">
        <f ca="1">INDIRECT(ADDRESS(11+(MATCH(RIGHT(Table11[[#This Row],[spawner_sku]],LEN(Table11[[#This Row],[spawner_sku]])-FIND("/",Table11[[#This Row],[spawner_sku]])),Table28[Entity Prefab],0)),25,1,1,"Entities"))</f>
        <v>no</v>
      </c>
      <c r="CS623" s="71">
        <v>1</v>
      </c>
      <c r="CT623" s="71">
        <v>1</v>
      </c>
      <c r="CU623" s="71" t="b">
        <v>0</v>
      </c>
      <c r="DS623" t="s">
        <v>242</v>
      </c>
      <c r="DT623">
        <v>1</v>
      </c>
      <c r="DU623">
        <v>100</v>
      </c>
      <c r="DV623">
        <v>100</v>
      </c>
      <c r="DW623" s="74">
        <f ca="1">INDIRECT(ADDRESS(11+(MATCH(RIGHT(Table14[[#This Row],[spawner_sku]],LEN(Table14[[#This Row],[spawner_sku]])-FIND("/",Table14[[#This Row],[spawner_sku]])),Table1[Entity Prefab],0)),10,1,1,"Entities"))</f>
        <v>25</v>
      </c>
      <c r="DX623" s="74">
        <f ca="1">ROUND((Table14[[#This Row],[XP]]*Table14[[#This Row],[entity_spawned (AVG)]])*(Table14[[#This Row],[activating_chance]]/100),0)</f>
        <v>25</v>
      </c>
      <c r="DY623" s="144" t="str">
        <f ca="1">INDIRECT(ADDRESS(11+(MATCH(RIGHT(Table14[[#This Row],[spawner_sku]],LEN(Table14[[#This Row],[spawner_sku]])-FIND("/",Table14[[#This Row],[spawner_sku]])),Table28[Entity Prefab],0)),25,1,1,"Entities"))</f>
        <v>no</v>
      </c>
      <c r="DZ623" s="71">
        <v>1</v>
      </c>
      <c r="EA623" s="71">
        <v>1</v>
      </c>
      <c r="EB623" s="71" t="b">
        <v>0</v>
      </c>
      <c r="EC623" s="71"/>
    </row>
    <row r="624" spans="2:133" x14ac:dyDescent="0.25">
      <c r="B624" s="72" t="s">
        <v>244</v>
      </c>
      <c r="C624">
        <v>1</v>
      </c>
      <c r="D624">
        <v>90</v>
      </c>
      <c r="E624">
        <v>100</v>
      </c>
      <c r="F624" s="74">
        <f ca="1">INDIRECT(ADDRESS(11+(MATCH(RIGHT(Table245[[#This Row],[spawner_sku]],LEN(Table245[[#This Row],[spawner_sku]])-FIND("/",Table245[[#This Row],[spawner_sku]])),Table1[Entity Prefab],0)),10,1,1,"Entities"))</f>
        <v>50</v>
      </c>
      <c r="G624" s="74">
        <f ca="1">ROUND((Table245[[#This Row],[XP]]*Table245[[#This Row],[entity_spawned (AVG)]])*(Table245[[#This Row],[activating_chance]]/100),0)</f>
        <v>50</v>
      </c>
      <c r="H624" s="71" t="str">
        <f ca="1">INDIRECT(ADDRESS(11+(MATCH(RIGHT(Table245[[#This Row],[spawner_sku]],LEN(Table245[[#This Row],[spawner_sku]])-FIND("/",Table245[[#This Row],[spawner_sku]])),Table28[Entity Prefab],0)),24,1,1,"Entities"))</f>
        <v>no</v>
      </c>
      <c r="I624" s="71">
        <v>1</v>
      </c>
      <c r="J624" s="71">
        <v>1</v>
      </c>
      <c r="K624" s="71" t="b">
        <v>0</v>
      </c>
      <c r="CL624" t="s">
        <v>3812</v>
      </c>
      <c r="CM624">
        <v>1</v>
      </c>
      <c r="CN624">
        <v>120</v>
      </c>
      <c r="CO624">
        <v>100</v>
      </c>
      <c r="CP624" s="74">
        <f ca="1">INDIRECT(ADDRESS(11+(MATCH(RIGHT(Table11[[#This Row],[spawner_sku]],LEN(Table11[[#This Row],[spawner_sku]])-FIND("/",Table11[[#This Row],[spawner_sku]])),Table1[Entity Prefab],0)),10,1,1,"Entities"))</f>
        <v>0</v>
      </c>
      <c r="CQ624">
        <f ca="1">ROUND((Table11[[#This Row],[XP]]*Table11[[#This Row],[entity_spawned (AVG)]])*(Table11[[#This Row],[activating_chance]]/100),0)</f>
        <v>0</v>
      </c>
      <c r="CR624" s="144" t="str">
        <f ca="1">INDIRECT(ADDRESS(11+(MATCH(RIGHT(Table11[[#This Row],[spawner_sku]],LEN(Table11[[#This Row],[spawner_sku]])-FIND("/",Table11[[#This Row],[spawner_sku]])),Table28[Entity Prefab],0)),25,1,1,"Entities"))</f>
        <v>no</v>
      </c>
      <c r="CS624" s="71">
        <v>1</v>
      </c>
      <c r="CT624" s="71">
        <v>1</v>
      </c>
      <c r="CU624" s="71" t="b">
        <v>0</v>
      </c>
      <c r="DS624" t="s">
        <v>242</v>
      </c>
      <c r="DT624">
        <v>1</v>
      </c>
      <c r="DU624">
        <v>150</v>
      </c>
      <c r="DV624">
        <v>80</v>
      </c>
      <c r="DW624" s="74">
        <f ca="1">INDIRECT(ADDRESS(11+(MATCH(RIGHT(Table14[[#This Row],[spawner_sku]],LEN(Table14[[#This Row],[spawner_sku]])-FIND("/",Table14[[#This Row],[spawner_sku]])),Table1[Entity Prefab],0)),10,1,1,"Entities"))</f>
        <v>25</v>
      </c>
      <c r="DX624" s="74">
        <f ca="1">ROUND((Table14[[#This Row],[XP]]*Table14[[#This Row],[entity_spawned (AVG)]])*(Table14[[#This Row],[activating_chance]]/100),0)</f>
        <v>20</v>
      </c>
      <c r="DY624" s="144" t="str">
        <f ca="1">INDIRECT(ADDRESS(11+(MATCH(RIGHT(Table14[[#This Row],[spawner_sku]],LEN(Table14[[#This Row],[spawner_sku]])-FIND("/",Table14[[#This Row],[spawner_sku]])),Table28[Entity Prefab],0)),25,1,1,"Entities"))</f>
        <v>no</v>
      </c>
      <c r="DZ624" s="71">
        <v>1</v>
      </c>
      <c r="EA624" s="71">
        <v>1</v>
      </c>
      <c r="EB624" s="71" t="b">
        <v>0</v>
      </c>
      <c r="EC624" s="71"/>
    </row>
    <row r="625" spans="2:133" x14ac:dyDescent="0.25">
      <c r="B625" s="72" t="s">
        <v>244</v>
      </c>
      <c r="C625">
        <v>1</v>
      </c>
      <c r="D625">
        <v>240</v>
      </c>
      <c r="E625">
        <v>100</v>
      </c>
      <c r="F625" s="74">
        <f ca="1">INDIRECT(ADDRESS(11+(MATCH(RIGHT(Table245[[#This Row],[spawner_sku]],LEN(Table245[[#This Row],[spawner_sku]])-FIND("/",Table245[[#This Row],[spawner_sku]])),Table1[Entity Prefab],0)),10,1,1,"Entities"))</f>
        <v>50</v>
      </c>
      <c r="G625" s="74">
        <f ca="1">ROUND((Table245[[#This Row],[XP]]*Table245[[#This Row],[entity_spawned (AVG)]])*(Table245[[#This Row],[activating_chance]]/100),0)</f>
        <v>50</v>
      </c>
      <c r="H625" s="71" t="str">
        <f ca="1">INDIRECT(ADDRESS(11+(MATCH(RIGHT(Table245[[#This Row],[spawner_sku]],LEN(Table245[[#This Row],[spawner_sku]])-FIND("/",Table245[[#This Row],[spawner_sku]])),Table28[Entity Prefab],0)),24,1,1,"Entities"))</f>
        <v>no</v>
      </c>
      <c r="I625" s="71">
        <v>1</v>
      </c>
      <c r="J625" s="71">
        <v>1</v>
      </c>
      <c r="K625" s="71" t="b">
        <v>0</v>
      </c>
      <c r="CL625" t="s">
        <v>3812</v>
      </c>
      <c r="CM625">
        <v>1</v>
      </c>
      <c r="CN625">
        <v>120</v>
      </c>
      <c r="CO625">
        <v>100</v>
      </c>
      <c r="CP625" s="74">
        <f ca="1">INDIRECT(ADDRESS(11+(MATCH(RIGHT(Table11[[#This Row],[spawner_sku]],LEN(Table11[[#This Row],[spawner_sku]])-FIND("/",Table11[[#This Row],[spawner_sku]])),Table1[Entity Prefab],0)),10,1,1,"Entities"))</f>
        <v>0</v>
      </c>
      <c r="CQ625">
        <f ca="1">ROUND((Table11[[#This Row],[XP]]*Table11[[#This Row],[entity_spawned (AVG)]])*(Table11[[#This Row],[activating_chance]]/100),0)</f>
        <v>0</v>
      </c>
      <c r="CR625" s="144" t="str">
        <f ca="1">INDIRECT(ADDRESS(11+(MATCH(RIGHT(Table11[[#This Row],[spawner_sku]],LEN(Table11[[#This Row],[spawner_sku]])-FIND("/",Table11[[#This Row],[spawner_sku]])),Table28[Entity Prefab],0)),25,1,1,"Entities"))</f>
        <v>no</v>
      </c>
      <c r="CS625" s="71">
        <v>1</v>
      </c>
      <c r="CT625" s="71">
        <v>1</v>
      </c>
      <c r="CU625" s="71" t="b">
        <v>0</v>
      </c>
      <c r="DS625" t="s">
        <v>242</v>
      </c>
      <c r="DT625">
        <v>1</v>
      </c>
      <c r="DU625">
        <v>100</v>
      </c>
      <c r="DV625">
        <v>100</v>
      </c>
      <c r="DW625" s="74">
        <f ca="1">INDIRECT(ADDRESS(11+(MATCH(RIGHT(Table14[[#This Row],[spawner_sku]],LEN(Table14[[#This Row],[spawner_sku]])-FIND("/",Table14[[#This Row],[spawner_sku]])),Table1[Entity Prefab],0)),10,1,1,"Entities"))</f>
        <v>25</v>
      </c>
      <c r="DX625" s="74">
        <f ca="1">ROUND((Table14[[#This Row],[XP]]*Table14[[#This Row],[entity_spawned (AVG)]])*(Table14[[#This Row],[activating_chance]]/100),0)</f>
        <v>25</v>
      </c>
      <c r="DY625" s="144" t="str">
        <f ca="1">INDIRECT(ADDRESS(11+(MATCH(RIGHT(Table14[[#This Row],[spawner_sku]],LEN(Table14[[#This Row],[spawner_sku]])-FIND("/",Table14[[#This Row],[spawner_sku]])),Table28[Entity Prefab],0)),25,1,1,"Entities"))</f>
        <v>no</v>
      </c>
      <c r="DZ625" s="71">
        <v>1</v>
      </c>
      <c r="EA625" s="71">
        <v>1</v>
      </c>
      <c r="EB625" s="71" t="b">
        <v>0</v>
      </c>
      <c r="EC625" s="71"/>
    </row>
    <row r="626" spans="2:133" x14ac:dyDescent="0.25">
      <c r="B626" s="72" t="s">
        <v>244</v>
      </c>
      <c r="C626">
        <v>1</v>
      </c>
      <c r="D626">
        <v>230</v>
      </c>
      <c r="E626">
        <v>100</v>
      </c>
      <c r="F626" s="74">
        <f ca="1">INDIRECT(ADDRESS(11+(MATCH(RIGHT(Table245[[#This Row],[spawner_sku]],LEN(Table245[[#This Row],[spawner_sku]])-FIND("/",Table245[[#This Row],[spawner_sku]])),Table1[Entity Prefab],0)),10,1,1,"Entities"))</f>
        <v>50</v>
      </c>
      <c r="G626" s="74">
        <f ca="1">ROUND((Table245[[#This Row],[XP]]*Table245[[#This Row],[entity_spawned (AVG)]])*(Table245[[#This Row],[activating_chance]]/100),0)</f>
        <v>50</v>
      </c>
      <c r="H626" s="71" t="str">
        <f ca="1">INDIRECT(ADDRESS(11+(MATCH(RIGHT(Table245[[#This Row],[spawner_sku]],LEN(Table245[[#This Row],[spawner_sku]])-FIND("/",Table245[[#This Row],[spawner_sku]])),Table28[Entity Prefab],0)),24,1,1,"Entities"))</f>
        <v>no</v>
      </c>
      <c r="I626" s="71">
        <v>1</v>
      </c>
      <c r="J626" s="71">
        <v>1</v>
      </c>
      <c r="K626" s="71" t="b">
        <v>0</v>
      </c>
      <c r="CL626" t="s">
        <v>3812</v>
      </c>
      <c r="CM626">
        <v>1</v>
      </c>
      <c r="CN626">
        <v>120</v>
      </c>
      <c r="CO626">
        <v>50</v>
      </c>
      <c r="CP626" s="74">
        <f ca="1">INDIRECT(ADDRESS(11+(MATCH(RIGHT(Table11[[#This Row],[spawner_sku]],LEN(Table11[[#This Row],[spawner_sku]])-FIND("/",Table11[[#This Row],[spawner_sku]])),Table1[Entity Prefab],0)),10,1,1,"Entities"))</f>
        <v>0</v>
      </c>
      <c r="CQ626">
        <f ca="1">ROUND((Table11[[#This Row],[XP]]*Table11[[#This Row],[entity_spawned (AVG)]])*(Table11[[#This Row],[activating_chance]]/100),0)</f>
        <v>0</v>
      </c>
      <c r="CR626" s="144" t="str">
        <f ca="1">INDIRECT(ADDRESS(11+(MATCH(RIGHT(Table11[[#This Row],[spawner_sku]],LEN(Table11[[#This Row],[spawner_sku]])-FIND("/",Table11[[#This Row],[spawner_sku]])),Table28[Entity Prefab],0)),25,1,1,"Entities"))</f>
        <v>no</v>
      </c>
      <c r="CS626" s="71">
        <v>1</v>
      </c>
      <c r="CT626" s="71">
        <v>1</v>
      </c>
      <c r="CU626" s="71" t="b">
        <v>0</v>
      </c>
      <c r="DS626" t="s">
        <v>242</v>
      </c>
      <c r="DT626">
        <v>1.5</v>
      </c>
      <c r="DU626">
        <v>150</v>
      </c>
      <c r="DV626">
        <v>100</v>
      </c>
      <c r="DW626" s="74">
        <f ca="1">INDIRECT(ADDRESS(11+(MATCH(RIGHT(Table14[[#This Row],[spawner_sku]],LEN(Table14[[#This Row],[spawner_sku]])-FIND("/",Table14[[#This Row],[spawner_sku]])),Table1[Entity Prefab],0)),10,1,1,"Entities"))</f>
        <v>25</v>
      </c>
      <c r="DX626" s="74">
        <f ca="1">ROUND((Table14[[#This Row],[XP]]*Table14[[#This Row],[entity_spawned (AVG)]])*(Table14[[#This Row],[activating_chance]]/100),0)</f>
        <v>38</v>
      </c>
      <c r="DY626" s="144" t="str">
        <f ca="1">INDIRECT(ADDRESS(11+(MATCH(RIGHT(Table14[[#This Row],[spawner_sku]],LEN(Table14[[#This Row],[spawner_sku]])-FIND("/",Table14[[#This Row],[spawner_sku]])),Table28[Entity Prefab],0)),25,1,1,"Entities"))</f>
        <v>no</v>
      </c>
      <c r="DZ626" s="71">
        <v>1</v>
      </c>
      <c r="EA626" s="71">
        <v>2</v>
      </c>
      <c r="EB626" s="71" t="b">
        <v>0</v>
      </c>
      <c r="EC626" s="71"/>
    </row>
    <row r="627" spans="2:133" x14ac:dyDescent="0.25">
      <c r="B627" s="72" t="s">
        <v>375</v>
      </c>
      <c r="C627">
        <v>1</v>
      </c>
      <c r="D627">
        <v>220</v>
      </c>
      <c r="E627">
        <v>100</v>
      </c>
      <c r="F627" s="74">
        <f ca="1">INDIRECT(ADDRESS(11+(MATCH(RIGHT(Table245[[#This Row],[spawner_sku]],LEN(Table245[[#This Row],[spawner_sku]])-FIND("/",Table245[[#This Row],[spawner_sku]])),Table1[Entity Prefab],0)),10,1,1,"Entities"))</f>
        <v>50</v>
      </c>
      <c r="G627" s="74">
        <f ca="1">ROUND((Table245[[#This Row],[XP]]*Table245[[#This Row],[entity_spawned (AVG)]])*(Table245[[#This Row],[activating_chance]]/100),0)</f>
        <v>50</v>
      </c>
      <c r="H627" s="71" t="str">
        <f ca="1">INDIRECT(ADDRESS(11+(MATCH(RIGHT(Table245[[#This Row],[spawner_sku]],LEN(Table245[[#This Row],[spawner_sku]])-FIND("/",Table245[[#This Row],[spawner_sku]])),Table28[Entity Prefab],0)),24,1,1,"Entities"))</f>
        <v>no</v>
      </c>
      <c r="I627" s="71">
        <v>1</v>
      </c>
      <c r="J627" s="71">
        <v>1</v>
      </c>
      <c r="K627" s="71" t="b">
        <v>0</v>
      </c>
      <c r="CL627" t="s">
        <v>3812</v>
      </c>
      <c r="CM627">
        <v>1</v>
      </c>
      <c r="CN627">
        <v>120</v>
      </c>
      <c r="CO627">
        <v>30</v>
      </c>
      <c r="CP627" s="74">
        <f ca="1">INDIRECT(ADDRESS(11+(MATCH(RIGHT(Table11[[#This Row],[spawner_sku]],LEN(Table11[[#This Row],[spawner_sku]])-FIND("/",Table11[[#This Row],[spawner_sku]])),Table1[Entity Prefab],0)),10,1,1,"Entities"))</f>
        <v>0</v>
      </c>
      <c r="CQ627">
        <f ca="1">ROUND((Table11[[#This Row],[XP]]*Table11[[#This Row],[entity_spawned (AVG)]])*(Table11[[#This Row],[activating_chance]]/100),0)</f>
        <v>0</v>
      </c>
      <c r="CR627" s="144" t="str">
        <f ca="1">INDIRECT(ADDRESS(11+(MATCH(RIGHT(Table11[[#This Row],[spawner_sku]],LEN(Table11[[#This Row],[spawner_sku]])-FIND("/",Table11[[#This Row],[spawner_sku]])),Table28[Entity Prefab],0)),25,1,1,"Entities"))</f>
        <v>no</v>
      </c>
      <c r="CS627" s="71">
        <v>1</v>
      </c>
      <c r="CT627" s="71">
        <v>1</v>
      </c>
      <c r="CU627" s="71" t="b">
        <v>0</v>
      </c>
      <c r="DS627" t="s">
        <v>242</v>
      </c>
      <c r="DT627">
        <v>1</v>
      </c>
      <c r="DU627">
        <v>80</v>
      </c>
      <c r="DV627">
        <v>100</v>
      </c>
      <c r="DW627" s="74">
        <f ca="1">INDIRECT(ADDRESS(11+(MATCH(RIGHT(Table14[[#This Row],[spawner_sku]],LEN(Table14[[#This Row],[spawner_sku]])-FIND("/",Table14[[#This Row],[spawner_sku]])),Table1[Entity Prefab],0)),10,1,1,"Entities"))</f>
        <v>25</v>
      </c>
      <c r="DX627" s="74">
        <f ca="1">ROUND((Table14[[#This Row],[XP]]*Table14[[#This Row],[entity_spawned (AVG)]])*(Table14[[#This Row],[activating_chance]]/100),0)</f>
        <v>25</v>
      </c>
      <c r="DY627" s="144" t="str">
        <f ca="1">INDIRECT(ADDRESS(11+(MATCH(RIGHT(Table14[[#This Row],[spawner_sku]],LEN(Table14[[#This Row],[spawner_sku]])-FIND("/",Table14[[#This Row],[spawner_sku]])),Table28[Entity Prefab],0)),25,1,1,"Entities"))</f>
        <v>no</v>
      </c>
      <c r="DZ627" s="71">
        <v>1</v>
      </c>
      <c r="EA627" s="71">
        <v>1</v>
      </c>
      <c r="EB627" s="71" t="b">
        <v>0</v>
      </c>
      <c r="EC627" s="71"/>
    </row>
    <row r="628" spans="2:133" x14ac:dyDescent="0.25">
      <c r="B628" s="72" t="s">
        <v>375</v>
      </c>
      <c r="C628">
        <v>1</v>
      </c>
      <c r="D628">
        <v>220</v>
      </c>
      <c r="E628">
        <v>100</v>
      </c>
      <c r="F628" s="74">
        <f ca="1">INDIRECT(ADDRESS(11+(MATCH(RIGHT(Table245[[#This Row],[spawner_sku]],LEN(Table245[[#This Row],[spawner_sku]])-FIND("/",Table245[[#This Row],[spawner_sku]])),Table1[Entity Prefab],0)),10,1,1,"Entities"))</f>
        <v>50</v>
      </c>
      <c r="G628" s="74">
        <f ca="1">ROUND((Table245[[#This Row],[XP]]*Table245[[#This Row],[entity_spawned (AVG)]])*(Table245[[#This Row],[activating_chance]]/100),0)</f>
        <v>50</v>
      </c>
      <c r="H628" s="71" t="str">
        <f ca="1">INDIRECT(ADDRESS(11+(MATCH(RIGHT(Table245[[#This Row],[spawner_sku]],LEN(Table245[[#This Row],[spawner_sku]])-FIND("/",Table245[[#This Row],[spawner_sku]])),Table28[Entity Prefab],0)),24,1,1,"Entities"))</f>
        <v>no</v>
      </c>
      <c r="I628" s="71">
        <v>1</v>
      </c>
      <c r="J628" s="71">
        <v>1</v>
      </c>
      <c r="K628" s="71" t="b">
        <v>0</v>
      </c>
      <c r="CL628" t="s">
        <v>3812</v>
      </c>
      <c r="CM628">
        <v>1</v>
      </c>
      <c r="CN628">
        <v>120</v>
      </c>
      <c r="CO628">
        <v>10</v>
      </c>
      <c r="CP628" s="74">
        <f ca="1">INDIRECT(ADDRESS(11+(MATCH(RIGHT(Table11[[#This Row],[spawner_sku]],LEN(Table11[[#This Row],[spawner_sku]])-FIND("/",Table11[[#This Row],[spawner_sku]])),Table1[Entity Prefab],0)),10,1,1,"Entities"))</f>
        <v>0</v>
      </c>
      <c r="CQ628">
        <f ca="1">ROUND((Table11[[#This Row],[XP]]*Table11[[#This Row],[entity_spawned (AVG)]])*(Table11[[#This Row],[activating_chance]]/100),0)</f>
        <v>0</v>
      </c>
      <c r="CR628" s="144" t="str">
        <f ca="1">INDIRECT(ADDRESS(11+(MATCH(RIGHT(Table11[[#This Row],[spawner_sku]],LEN(Table11[[#This Row],[spawner_sku]])-FIND("/",Table11[[#This Row],[spawner_sku]])),Table28[Entity Prefab],0)),25,1,1,"Entities"))</f>
        <v>no</v>
      </c>
      <c r="CS628" s="71">
        <v>1</v>
      </c>
      <c r="CT628" s="71">
        <v>1</v>
      </c>
      <c r="CU628" s="71" t="b">
        <v>0</v>
      </c>
      <c r="DS628" t="s">
        <v>242</v>
      </c>
      <c r="DT628">
        <v>1</v>
      </c>
      <c r="DU628">
        <v>100</v>
      </c>
      <c r="DV628">
        <v>30</v>
      </c>
      <c r="DW628" s="74">
        <f ca="1">INDIRECT(ADDRESS(11+(MATCH(RIGHT(Table14[[#This Row],[spawner_sku]],LEN(Table14[[#This Row],[spawner_sku]])-FIND("/",Table14[[#This Row],[spawner_sku]])),Table1[Entity Prefab],0)),10,1,1,"Entities"))</f>
        <v>25</v>
      </c>
      <c r="DX628" s="74">
        <f ca="1">ROUND((Table14[[#This Row],[XP]]*Table14[[#This Row],[entity_spawned (AVG)]])*(Table14[[#This Row],[activating_chance]]/100),0)</f>
        <v>8</v>
      </c>
      <c r="DY628" s="144" t="str">
        <f ca="1">INDIRECT(ADDRESS(11+(MATCH(RIGHT(Table14[[#This Row],[spawner_sku]],LEN(Table14[[#This Row],[spawner_sku]])-FIND("/",Table14[[#This Row],[spawner_sku]])),Table28[Entity Prefab],0)),25,1,1,"Entities"))</f>
        <v>no</v>
      </c>
      <c r="DZ628" s="71">
        <v>1</v>
      </c>
      <c r="EA628" s="71">
        <v>1</v>
      </c>
      <c r="EB628" s="71" t="b">
        <v>0</v>
      </c>
      <c r="EC628" s="71"/>
    </row>
    <row r="629" spans="2:133" x14ac:dyDescent="0.25">
      <c r="B629" s="72" t="s">
        <v>375</v>
      </c>
      <c r="C629">
        <v>1</v>
      </c>
      <c r="D629">
        <v>220</v>
      </c>
      <c r="E629">
        <v>100</v>
      </c>
      <c r="F629" s="74">
        <f ca="1">INDIRECT(ADDRESS(11+(MATCH(RIGHT(Table245[[#This Row],[spawner_sku]],LEN(Table245[[#This Row],[spawner_sku]])-FIND("/",Table245[[#This Row],[spawner_sku]])),Table1[Entity Prefab],0)),10,1,1,"Entities"))</f>
        <v>50</v>
      </c>
      <c r="G629" s="74">
        <f ca="1">ROUND((Table245[[#This Row],[XP]]*Table245[[#This Row],[entity_spawned (AVG)]])*(Table245[[#This Row],[activating_chance]]/100),0)</f>
        <v>50</v>
      </c>
      <c r="H629" s="71" t="str">
        <f ca="1">INDIRECT(ADDRESS(11+(MATCH(RIGHT(Table245[[#This Row],[spawner_sku]],LEN(Table245[[#This Row],[spawner_sku]])-FIND("/",Table245[[#This Row],[spawner_sku]])),Table28[Entity Prefab],0)),24,1,1,"Entities"))</f>
        <v>no</v>
      </c>
      <c r="I629" s="71">
        <v>1</v>
      </c>
      <c r="J629" s="71">
        <v>1</v>
      </c>
      <c r="K629" s="71" t="b">
        <v>0</v>
      </c>
      <c r="CL629" t="s">
        <v>366</v>
      </c>
      <c r="CM629">
        <v>3</v>
      </c>
      <c r="CN629">
        <v>100</v>
      </c>
      <c r="CO629">
        <v>100</v>
      </c>
      <c r="CP629" s="74">
        <f ca="1">INDIRECT(ADDRESS(11+(MATCH(RIGHT(Table11[[#This Row],[spawner_sku]],LEN(Table11[[#This Row],[spawner_sku]])-FIND("/",Table11[[#This Row],[spawner_sku]])),Table1[Entity Prefab],0)),10,1,1,"Entities"))</f>
        <v>25</v>
      </c>
      <c r="CQ629">
        <f ca="1">ROUND((Table11[[#This Row],[XP]]*Table11[[#This Row],[entity_spawned (AVG)]])*(Table11[[#This Row],[activating_chance]]/100),0)</f>
        <v>75</v>
      </c>
      <c r="CR629" s="144" t="str">
        <f ca="1">INDIRECT(ADDRESS(11+(MATCH(RIGHT(Table11[[#This Row],[spawner_sku]],LEN(Table11[[#This Row],[spawner_sku]])-FIND("/",Table11[[#This Row],[spawner_sku]])),Table28[Entity Prefab],0)),25,1,1,"Entities"))</f>
        <v>no</v>
      </c>
      <c r="CS629" s="71">
        <v>3</v>
      </c>
      <c r="CT629" s="71">
        <v>3</v>
      </c>
      <c r="CU629" s="71" t="b">
        <v>0</v>
      </c>
      <c r="DS629" t="s">
        <v>242</v>
      </c>
      <c r="DT629">
        <v>1</v>
      </c>
      <c r="DU629">
        <v>120</v>
      </c>
      <c r="DV629">
        <v>80</v>
      </c>
      <c r="DW629" s="74">
        <f ca="1">INDIRECT(ADDRESS(11+(MATCH(RIGHT(Table14[[#This Row],[spawner_sku]],LEN(Table14[[#This Row],[spawner_sku]])-FIND("/",Table14[[#This Row],[spawner_sku]])),Table1[Entity Prefab],0)),10,1,1,"Entities"))</f>
        <v>25</v>
      </c>
      <c r="DX629" s="74">
        <f ca="1">ROUND((Table14[[#This Row],[XP]]*Table14[[#This Row],[entity_spawned (AVG)]])*(Table14[[#This Row],[activating_chance]]/100),0)</f>
        <v>20</v>
      </c>
      <c r="DY629" s="144" t="str">
        <f ca="1">INDIRECT(ADDRESS(11+(MATCH(RIGHT(Table14[[#This Row],[spawner_sku]],LEN(Table14[[#This Row],[spawner_sku]])-FIND("/",Table14[[#This Row],[spawner_sku]])),Table28[Entity Prefab],0)),25,1,1,"Entities"))</f>
        <v>no</v>
      </c>
      <c r="DZ629" s="71">
        <v>1</v>
      </c>
      <c r="EA629" s="71">
        <v>1</v>
      </c>
      <c r="EB629" s="71" t="b">
        <v>0</v>
      </c>
      <c r="EC629" s="71"/>
    </row>
    <row r="630" spans="2:133" x14ac:dyDescent="0.25">
      <c r="B630" s="72" t="s">
        <v>375</v>
      </c>
      <c r="C630">
        <v>1</v>
      </c>
      <c r="D630">
        <v>220</v>
      </c>
      <c r="E630">
        <v>100</v>
      </c>
      <c r="F630" s="74">
        <f ca="1">INDIRECT(ADDRESS(11+(MATCH(RIGHT(Table245[[#This Row],[spawner_sku]],LEN(Table245[[#This Row],[spawner_sku]])-FIND("/",Table245[[#This Row],[spawner_sku]])),Table1[Entity Prefab],0)),10,1,1,"Entities"))</f>
        <v>50</v>
      </c>
      <c r="G630" s="74">
        <f ca="1">ROUND((Table245[[#This Row],[XP]]*Table245[[#This Row],[entity_spawned (AVG)]])*(Table245[[#This Row],[activating_chance]]/100),0)</f>
        <v>50</v>
      </c>
      <c r="H630" s="71" t="str">
        <f ca="1">INDIRECT(ADDRESS(11+(MATCH(RIGHT(Table245[[#This Row],[spawner_sku]],LEN(Table245[[#This Row],[spawner_sku]])-FIND("/",Table245[[#This Row],[spawner_sku]])),Table28[Entity Prefab],0)),24,1,1,"Entities"))</f>
        <v>no</v>
      </c>
      <c r="I630" s="71">
        <v>1</v>
      </c>
      <c r="J630" s="71">
        <v>1</v>
      </c>
      <c r="K630" s="71" t="b">
        <v>0</v>
      </c>
      <c r="CL630" t="s">
        <v>366</v>
      </c>
      <c r="CM630">
        <v>3</v>
      </c>
      <c r="CN630">
        <v>100</v>
      </c>
      <c r="CO630">
        <v>100</v>
      </c>
      <c r="CP630" s="74">
        <f ca="1">INDIRECT(ADDRESS(11+(MATCH(RIGHT(Table11[[#This Row],[spawner_sku]],LEN(Table11[[#This Row],[spawner_sku]])-FIND("/",Table11[[#This Row],[spawner_sku]])),Table1[Entity Prefab],0)),10,1,1,"Entities"))</f>
        <v>25</v>
      </c>
      <c r="CQ630">
        <f ca="1">ROUND((Table11[[#This Row],[XP]]*Table11[[#This Row],[entity_spawned (AVG)]])*(Table11[[#This Row],[activating_chance]]/100),0)</f>
        <v>75</v>
      </c>
      <c r="CR630" s="144" t="str">
        <f ca="1">INDIRECT(ADDRESS(11+(MATCH(RIGHT(Table11[[#This Row],[spawner_sku]],LEN(Table11[[#This Row],[spawner_sku]])-FIND("/",Table11[[#This Row],[spawner_sku]])),Table28[Entity Prefab],0)),25,1,1,"Entities"))</f>
        <v>no</v>
      </c>
      <c r="CS630" s="71">
        <v>3</v>
      </c>
      <c r="CT630" s="71">
        <v>3</v>
      </c>
      <c r="CU630" s="71" t="b">
        <v>0</v>
      </c>
      <c r="DS630" t="s">
        <v>242</v>
      </c>
      <c r="DT630">
        <v>1.5</v>
      </c>
      <c r="DU630">
        <v>150</v>
      </c>
      <c r="DV630">
        <v>100</v>
      </c>
      <c r="DW630" s="74">
        <f ca="1">INDIRECT(ADDRESS(11+(MATCH(RIGHT(Table14[[#This Row],[spawner_sku]],LEN(Table14[[#This Row],[spawner_sku]])-FIND("/",Table14[[#This Row],[spawner_sku]])),Table1[Entity Prefab],0)),10,1,1,"Entities"))</f>
        <v>25</v>
      </c>
      <c r="DX630" s="74">
        <f ca="1">ROUND((Table14[[#This Row],[XP]]*Table14[[#This Row],[entity_spawned (AVG)]])*(Table14[[#This Row],[activating_chance]]/100),0)</f>
        <v>38</v>
      </c>
      <c r="DY630" s="144" t="str">
        <f ca="1">INDIRECT(ADDRESS(11+(MATCH(RIGHT(Table14[[#This Row],[spawner_sku]],LEN(Table14[[#This Row],[spawner_sku]])-FIND("/",Table14[[#This Row],[spawner_sku]])),Table28[Entity Prefab],0)),25,1,1,"Entities"))</f>
        <v>no</v>
      </c>
      <c r="DZ630" s="71">
        <v>1</v>
      </c>
      <c r="EA630" s="71">
        <v>2</v>
      </c>
      <c r="EB630" s="71" t="b">
        <v>0</v>
      </c>
      <c r="EC630" s="71"/>
    </row>
    <row r="631" spans="2:133" x14ac:dyDescent="0.25">
      <c r="B631" s="72" t="s">
        <v>375</v>
      </c>
      <c r="C631">
        <v>1</v>
      </c>
      <c r="D631">
        <v>180</v>
      </c>
      <c r="E631">
        <v>100</v>
      </c>
      <c r="F631" s="74">
        <f ca="1">INDIRECT(ADDRESS(11+(MATCH(RIGHT(Table245[[#This Row],[spawner_sku]],LEN(Table245[[#This Row],[spawner_sku]])-FIND("/",Table245[[#This Row],[spawner_sku]])),Table1[Entity Prefab],0)),10,1,1,"Entities"))</f>
        <v>50</v>
      </c>
      <c r="G631" s="74">
        <f ca="1">ROUND((Table245[[#This Row],[XP]]*Table245[[#This Row],[entity_spawned (AVG)]])*(Table245[[#This Row],[activating_chance]]/100),0)</f>
        <v>50</v>
      </c>
      <c r="H631" s="71" t="str">
        <f ca="1">INDIRECT(ADDRESS(11+(MATCH(RIGHT(Table245[[#This Row],[spawner_sku]],LEN(Table245[[#This Row],[spawner_sku]])-FIND("/",Table245[[#This Row],[spawner_sku]])),Table28[Entity Prefab],0)),24,1,1,"Entities"))</f>
        <v>no</v>
      </c>
      <c r="I631" s="71">
        <v>1</v>
      </c>
      <c r="J631" s="71">
        <v>1</v>
      </c>
      <c r="K631" s="71" t="b">
        <v>0</v>
      </c>
      <c r="CL631" t="s">
        <v>8010</v>
      </c>
      <c r="CM631">
        <v>1</v>
      </c>
      <c r="CN631">
        <v>150</v>
      </c>
      <c r="CO631">
        <v>100</v>
      </c>
      <c r="CP631" s="74">
        <f ca="1">INDIRECT(ADDRESS(11+(MATCH(RIGHT(Table11[[#This Row],[spawner_sku]],LEN(Table11[[#This Row],[spawner_sku]])-FIND("/",Table11[[#This Row],[spawner_sku]])),Table1[Entity Prefab],0)),10,1,1,"Entities"))</f>
        <v>50</v>
      </c>
      <c r="CQ631">
        <f ca="1">ROUND((Table11[[#This Row],[XP]]*Table11[[#This Row],[entity_spawned (AVG)]])*(Table11[[#This Row],[activating_chance]]/100),0)</f>
        <v>50</v>
      </c>
      <c r="CR631" s="144" t="str">
        <f ca="1">INDIRECT(ADDRESS(11+(MATCH(RIGHT(Table11[[#This Row],[spawner_sku]],LEN(Table11[[#This Row],[spawner_sku]])-FIND("/",Table11[[#This Row],[spawner_sku]])),Table28[Entity Prefab],0)),25,1,1,"Entities"))</f>
        <v>no</v>
      </c>
      <c r="CS631" s="71">
        <v>1</v>
      </c>
      <c r="CT631" s="71">
        <v>1</v>
      </c>
      <c r="CU631" s="71" t="b">
        <v>0</v>
      </c>
      <c r="DS631" t="s">
        <v>242</v>
      </c>
      <c r="DT631">
        <v>1</v>
      </c>
      <c r="DU631">
        <v>150</v>
      </c>
      <c r="DV631">
        <v>80</v>
      </c>
      <c r="DW631" s="74">
        <f ca="1">INDIRECT(ADDRESS(11+(MATCH(RIGHT(Table14[[#This Row],[spawner_sku]],LEN(Table14[[#This Row],[spawner_sku]])-FIND("/",Table14[[#This Row],[spawner_sku]])),Table1[Entity Prefab],0)),10,1,1,"Entities"))</f>
        <v>25</v>
      </c>
      <c r="DX631" s="74">
        <f ca="1">ROUND((Table14[[#This Row],[XP]]*Table14[[#This Row],[entity_spawned (AVG)]])*(Table14[[#This Row],[activating_chance]]/100),0)</f>
        <v>20</v>
      </c>
      <c r="DY631" s="144" t="str">
        <f ca="1">INDIRECT(ADDRESS(11+(MATCH(RIGHT(Table14[[#This Row],[spawner_sku]],LEN(Table14[[#This Row],[spawner_sku]])-FIND("/",Table14[[#This Row],[spawner_sku]])),Table28[Entity Prefab],0)),25,1,1,"Entities"))</f>
        <v>no</v>
      </c>
      <c r="DZ631" s="71">
        <v>1</v>
      </c>
      <c r="EA631" s="71">
        <v>1</v>
      </c>
      <c r="EB631" s="71" t="b">
        <v>0</v>
      </c>
      <c r="EC631" s="71"/>
    </row>
    <row r="632" spans="2:133" x14ac:dyDescent="0.25">
      <c r="B632" s="72" t="s">
        <v>375</v>
      </c>
      <c r="C632">
        <v>1</v>
      </c>
      <c r="D632">
        <v>220</v>
      </c>
      <c r="E632">
        <v>100</v>
      </c>
      <c r="F632" s="74">
        <f ca="1">INDIRECT(ADDRESS(11+(MATCH(RIGHT(Table245[[#This Row],[spawner_sku]],LEN(Table245[[#This Row],[spawner_sku]])-FIND("/",Table245[[#This Row],[spawner_sku]])),Table1[Entity Prefab],0)),10,1,1,"Entities"))</f>
        <v>50</v>
      </c>
      <c r="G632" s="74">
        <f ca="1">ROUND((Table245[[#This Row],[XP]]*Table245[[#This Row],[entity_spawned (AVG)]])*(Table245[[#This Row],[activating_chance]]/100),0)</f>
        <v>50</v>
      </c>
      <c r="H632" s="71" t="str">
        <f ca="1">INDIRECT(ADDRESS(11+(MATCH(RIGHT(Table245[[#This Row],[spawner_sku]],LEN(Table245[[#This Row],[spawner_sku]])-FIND("/",Table245[[#This Row],[spawner_sku]])),Table28[Entity Prefab],0)),24,1,1,"Entities"))</f>
        <v>no</v>
      </c>
      <c r="I632" s="71">
        <v>1</v>
      </c>
      <c r="J632" s="71">
        <v>1</v>
      </c>
      <c r="K632" s="71" t="b">
        <v>0</v>
      </c>
      <c r="CL632" t="s">
        <v>8010</v>
      </c>
      <c r="CM632">
        <v>1</v>
      </c>
      <c r="CN632">
        <v>150</v>
      </c>
      <c r="CO632">
        <v>100</v>
      </c>
      <c r="CP632" s="74">
        <f ca="1">INDIRECT(ADDRESS(11+(MATCH(RIGHT(Table11[[#This Row],[spawner_sku]],LEN(Table11[[#This Row],[spawner_sku]])-FIND("/",Table11[[#This Row],[spawner_sku]])),Table1[Entity Prefab],0)),10,1,1,"Entities"))</f>
        <v>50</v>
      </c>
      <c r="CQ632">
        <f ca="1">ROUND((Table11[[#This Row],[XP]]*Table11[[#This Row],[entity_spawned (AVG)]])*(Table11[[#This Row],[activating_chance]]/100),0)</f>
        <v>50</v>
      </c>
      <c r="CR632" s="144" t="str">
        <f ca="1">INDIRECT(ADDRESS(11+(MATCH(RIGHT(Table11[[#This Row],[spawner_sku]],LEN(Table11[[#This Row],[spawner_sku]])-FIND("/",Table11[[#This Row],[spawner_sku]])),Table28[Entity Prefab],0)),25,1,1,"Entities"))</f>
        <v>no</v>
      </c>
      <c r="CS632" s="71">
        <v>1</v>
      </c>
      <c r="CT632" s="71">
        <v>1</v>
      </c>
      <c r="CU632" s="71" t="b">
        <v>0</v>
      </c>
      <c r="DS632" t="s">
        <v>243</v>
      </c>
      <c r="DT632">
        <v>2</v>
      </c>
      <c r="DU632">
        <v>100</v>
      </c>
      <c r="DV632">
        <v>100</v>
      </c>
      <c r="DW632" s="74">
        <f ca="1">INDIRECT(ADDRESS(11+(MATCH(RIGHT(Table14[[#This Row],[spawner_sku]],LEN(Table14[[#This Row],[spawner_sku]])-FIND("/",Table14[[#This Row],[spawner_sku]])),Table1[Entity Prefab],0)),10,1,1,"Entities"))</f>
        <v>25</v>
      </c>
      <c r="DX632" s="74">
        <f ca="1">ROUND((Table14[[#This Row],[XP]]*Table14[[#This Row],[entity_spawned (AVG)]])*(Table14[[#This Row],[activating_chance]]/100),0)</f>
        <v>50</v>
      </c>
      <c r="DY632" s="144" t="str">
        <f ca="1">INDIRECT(ADDRESS(11+(MATCH(RIGHT(Table14[[#This Row],[spawner_sku]],LEN(Table14[[#This Row],[spawner_sku]])-FIND("/",Table14[[#This Row],[spawner_sku]])),Table28[Entity Prefab],0)),25,1,1,"Entities"))</f>
        <v>no</v>
      </c>
      <c r="DZ632" s="71">
        <v>2</v>
      </c>
      <c r="EA632" s="71">
        <v>2</v>
      </c>
      <c r="EB632" s="71" t="b">
        <v>0</v>
      </c>
      <c r="EC632" s="71"/>
    </row>
    <row r="633" spans="2:133" x14ac:dyDescent="0.25">
      <c r="B633" s="72" t="s">
        <v>375</v>
      </c>
      <c r="C633">
        <v>1</v>
      </c>
      <c r="D633">
        <v>240</v>
      </c>
      <c r="E633">
        <v>100</v>
      </c>
      <c r="F633" s="74">
        <f ca="1">INDIRECT(ADDRESS(11+(MATCH(RIGHT(Table245[[#This Row],[spawner_sku]],LEN(Table245[[#This Row],[spawner_sku]])-FIND("/",Table245[[#This Row],[spawner_sku]])),Table1[Entity Prefab],0)),10,1,1,"Entities"))</f>
        <v>50</v>
      </c>
      <c r="G633" s="74">
        <f ca="1">ROUND((Table245[[#This Row],[XP]]*Table245[[#This Row],[entity_spawned (AVG)]])*(Table245[[#This Row],[activating_chance]]/100),0)</f>
        <v>50</v>
      </c>
      <c r="H633" s="71" t="str">
        <f ca="1">INDIRECT(ADDRESS(11+(MATCH(RIGHT(Table245[[#This Row],[spawner_sku]],LEN(Table245[[#This Row],[spawner_sku]])-FIND("/",Table245[[#This Row],[spawner_sku]])),Table28[Entity Prefab],0)),24,1,1,"Entities"))</f>
        <v>no</v>
      </c>
      <c r="I633" s="71">
        <v>1</v>
      </c>
      <c r="J633" s="71">
        <v>1</v>
      </c>
      <c r="K633" s="71" t="b">
        <v>0</v>
      </c>
      <c r="CL633" t="s">
        <v>8010</v>
      </c>
      <c r="CM633">
        <v>1</v>
      </c>
      <c r="CN633">
        <v>150</v>
      </c>
      <c r="CO633">
        <v>100</v>
      </c>
      <c r="CP633" s="74">
        <f ca="1">INDIRECT(ADDRESS(11+(MATCH(RIGHT(Table11[[#This Row],[spawner_sku]],LEN(Table11[[#This Row],[spawner_sku]])-FIND("/",Table11[[#This Row],[spawner_sku]])),Table1[Entity Prefab],0)),10,1,1,"Entities"))</f>
        <v>50</v>
      </c>
      <c r="CQ633">
        <f ca="1">ROUND((Table11[[#This Row],[XP]]*Table11[[#This Row],[entity_spawned (AVG)]])*(Table11[[#This Row],[activating_chance]]/100),0)</f>
        <v>50</v>
      </c>
      <c r="CR633" s="144" t="str">
        <f ca="1">INDIRECT(ADDRESS(11+(MATCH(RIGHT(Table11[[#This Row],[spawner_sku]],LEN(Table11[[#This Row],[spawner_sku]])-FIND("/",Table11[[#This Row],[spawner_sku]])),Table28[Entity Prefab],0)),25,1,1,"Entities"))</f>
        <v>no</v>
      </c>
      <c r="CS633" s="71">
        <v>1</v>
      </c>
      <c r="CT633" s="71">
        <v>1</v>
      </c>
      <c r="CU633" s="71" t="b">
        <v>0</v>
      </c>
      <c r="DS633" t="s">
        <v>243</v>
      </c>
      <c r="DT633">
        <v>1</v>
      </c>
      <c r="DU633">
        <v>150</v>
      </c>
      <c r="DV633">
        <v>100</v>
      </c>
      <c r="DW633" s="74">
        <f ca="1">INDIRECT(ADDRESS(11+(MATCH(RIGHT(Table14[[#This Row],[spawner_sku]],LEN(Table14[[#This Row],[spawner_sku]])-FIND("/",Table14[[#This Row],[spawner_sku]])),Table1[Entity Prefab],0)),10,1,1,"Entities"))</f>
        <v>25</v>
      </c>
      <c r="DX633" s="74">
        <f ca="1">ROUND((Table14[[#This Row],[XP]]*Table14[[#This Row],[entity_spawned (AVG)]])*(Table14[[#This Row],[activating_chance]]/100),0)</f>
        <v>25</v>
      </c>
      <c r="DY633" s="144" t="str">
        <f ca="1">INDIRECT(ADDRESS(11+(MATCH(RIGHT(Table14[[#This Row],[spawner_sku]],LEN(Table14[[#This Row],[spawner_sku]])-FIND("/",Table14[[#This Row],[spawner_sku]])),Table28[Entity Prefab],0)),25,1,1,"Entities"))</f>
        <v>no</v>
      </c>
      <c r="DZ633" s="71">
        <v>1</v>
      </c>
      <c r="EA633" s="71">
        <v>1</v>
      </c>
      <c r="EB633" s="71" t="b">
        <v>0</v>
      </c>
      <c r="EC633" s="71"/>
    </row>
    <row r="634" spans="2:133" x14ac:dyDescent="0.25">
      <c r="B634" s="72" t="s">
        <v>322</v>
      </c>
      <c r="C634">
        <v>1</v>
      </c>
      <c r="D634">
        <v>250</v>
      </c>
      <c r="E634">
        <v>100</v>
      </c>
      <c r="F634" s="74">
        <f ca="1">INDIRECT(ADDRESS(11+(MATCH(RIGHT(Table245[[#This Row],[spawner_sku]],LEN(Table245[[#This Row],[spawner_sku]])-FIND("/",Table245[[#This Row],[spawner_sku]])),Table1[Entity Prefab],0)),10,1,1,"Entities"))</f>
        <v>50</v>
      </c>
      <c r="G634" s="74">
        <f ca="1">ROUND((Table245[[#This Row],[XP]]*Table245[[#This Row],[entity_spawned (AVG)]])*(Table245[[#This Row],[activating_chance]]/100),0)</f>
        <v>50</v>
      </c>
      <c r="H634" s="71" t="str">
        <f ca="1">INDIRECT(ADDRESS(11+(MATCH(RIGHT(Table245[[#This Row],[spawner_sku]],LEN(Table245[[#This Row],[spawner_sku]])-FIND("/",Table245[[#This Row],[spawner_sku]])),Table28[Entity Prefab],0)),24,1,1,"Entities"))</f>
        <v>no</v>
      </c>
      <c r="I634" s="71">
        <v>1</v>
      </c>
      <c r="J634" s="71">
        <v>1</v>
      </c>
      <c r="K634" s="71" t="b">
        <v>0</v>
      </c>
      <c r="DS634" t="s">
        <v>243</v>
      </c>
      <c r="DT634">
        <v>1</v>
      </c>
      <c r="DU634">
        <v>150</v>
      </c>
      <c r="DV634">
        <v>100</v>
      </c>
      <c r="DW634" s="74">
        <f ca="1">INDIRECT(ADDRESS(11+(MATCH(RIGHT(Table14[[#This Row],[spawner_sku]],LEN(Table14[[#This Row],[spawner_sku]])-FIND("/",Table14[[#This Row],[spawner_sku]])),Table1[Entity Prefab],0)),10,1,1,"Entities"))</f>
        <v>25</v>
      </c>
      <c r="DX634" s="74">
        <f ca="1">ROUND((Table14[[#This Row],[XP]]*Table14[[#This Row],[entity_spawned (AVG)]])*(Table14[[#This Row],[activating_chance]]/100),0)</f>
        <v>25</v>
      </c>
      <c r="DY634" s="144" t="str">
        <f ca="1">INDIRECT(ADDRESS(11+(MATCH(RIGHT(Table14[[#This Row],[spawner_sku]],LEN(Table14[[#This Row],[spawner_sku]])-FIND("/",Table14[[#This Row],[spawner_sku]])),Table28[Entity Prefab],0)),25,1,1,"Entities"))</f>
        <v>no</v>
      </c>
      <c r="DZ634" s="71">
        <v>1</v>
      </c>
      <c r="EA634" s="71">
        <v>1</v>
      </c>
      <c r="EB634" s="71" t="b">
        <v>0</v>
      </c>
      <c r="EC634" s="71"/>
    </row>
    <row r="635" spans="2:133" x14ac:dyDescent="0.25">
      <c r="B635" s="72" t="s">
        <v>322</v>
      </c>
      <c r="C635">
        <v>1</v>
      </c>
      <c r="D635">
        <v>240</v>
      </c>
      <c r="E635">
        <v>100</v>
      </c>
      <c r="F635" s="74">
        <f ca="1">INDIRECT(ADDRESS(11+(MATCH(RIGHT(Table245[[#This Row],[spawner_sku]],LEN(Table245[[#This Row],[spawner_sku]])-FIND("/",Table245[[#This Row],[spawner_sku]])),Table1[Entity Prefab],0)),10,1,1,"Entities"))</f>
        <v>50</v>
      </c>
      <c r="G635" s="74">
        <f ca="1">ROUND((Table245[[#This Row],[XP]]*Table245[[#This Row],[entity_spawned (AVG)]])*(Table245[[#This Row],[activating_chance]]/100),0)</f>
        <v>50</v>
      </c>
      <c r="H635" s="71" t="str">
        <f ca="1">INDIRECT(ADDRESS(11+(MATCH(RIGHT(Table245[[#This Row],[spawner_sku]],LEN(Table245[[#This Row],[spawner_sku]])-FIND("/",Table245[[#This Row],[spawner_sku]])),Table28[Entity Prefab],0)),24,1,1,"Entities"))</f>
        <v>no</v>
      </c>
      <c r="I635" s="71">
        <v>1</v>
      </c>
      <c r="J635" s="71">
        <v>1</v>
      </c>
      <c r="K635" s="71" t="b">
        <v>0</v>
      </c>
      <c r="DS635" t="s">
        <v>243</v>
      </c>
      <c r="DT635">
        <v>1</v>
      </c>
      <c r="DU635">
        <v>150</v>
      </c>
      <c r="DV635">
        <v>80</v>
      </c>
      <c r="DW635" s="74">
        <f ca="1">INDIRECT(ADDRESS(11+(MATCH(RIGHT(Table14[[#This Row],[spawner_sku]],LEN(Table14[[#This Row],[spawner_sku]])-FIND("/",Table14[[#This Row],[spawner_sku]])),Table1[Entity Prefab],0)),10,1,1,"Entities"))</f>
        <v>25</v>
      </c>
      <c r="DX635" s="74">
        <f ca="1">ROUND((Table14[[#This Row],[XP]]*Table14[[#This Row],[entity_spawned (AVG)]])*(Table14[[#This Row],[activating_chance]]/100),0)</f>
        <v>20</v>
      </c>
      <c r="DY635" s="144" t="str">
        <f ca="1">INDIRECT(ADDRESS(11+(MATCH(RIGHT(Table14[[#This Row],[spawner_sku]],LEN(Table14[[#This Row],[spawner_sku]])-FIND("/",Table14[[#This Row],[spawner_sku]])),Table28[Entity Prefab],0)),25,1,1,"Entities"))</f>
        <v>no</v>
      </c>
      <c r="DZ635" s="71">
        <v>1</v>
      </c>
      <c r="EA635" s="71">
        <v>1</v>
      </c>
      <c r="EB635" s="71" t="b">
        <v>0</v>
      </c>
      <c r="EC635" s="71"/>
    </row>
    <row r="636" spans="2:133" x14ac:dyDescent="0.25">
      <c r="B636" s="72" t="s">
        <v>430</v>
      </c>
      <c r="C636">
        <v>1</v>
      </c>
      <c r="D636">
        <v>180</v>
      </c>
      <c r="E636">
        <v>100</v>
      </c>
      <c r="F636" s="74">
        <f ca="1">INDIRECT(ADDRESS(11+(MATCH(RIGHT(Table245[[#This Row],[spawner_sku]],LEN(Table245[[#This Row],[spawner_sku]])-FIND("/",Table245[[#This Row],[spawner_sku]])),Table1[Entity Prefab],0)),10,1,1,"Entities"))</f>
        <v>50</v>
      </c>
      <c r="G636" s="74">
        <f ca="1">ROUND((Table245[[#This Row],[XP]]*Table245[[#This Row],[entity_spawned (AVG)]])*(Table245[[#This Row],[activating_chance]]/100),0)</f>
        <v>50</v>
      </c>
      <c r="H636" s="71" t="str">
        <f ca="1">INDIRECT(ADDRESS(11+(MATCH(RIGHT(Table245[[#This Row],[spawner_sku]],LEN(Table245[[#This Row],[spawner_sku]])-FIND("/",Table245[[#This Row],[spawner_sku]])),Table28[Entity Prefab],0)),24,1,1,"Entities"))</f>
        <v>no</v>
      </c>
      <c r="I636" s="71">
        <v>1</v>
      </c>
      <c r="J636" s="71">
        <v>1</v>
      </c>
      <c r="K636" s="71" t="b">
        <v>0</v>
      </c>
      <c r="DS636" t="s">
        <v>243</v>
      </c>
      <c r="DT636">
        <v>1</v>
      </c>
      <c r="DU636">
        <v>90</v>
      </c>
      <c r="DV636">
        <v>80</v>
      </c>
      <c r="DW636" s="74">
        <f ca="1">INDIRECT(ADDRESS(11+(MATCH(RIGHT(Table14[[#This Row],[spawner_sku]],LEN(Table14[[#This Row],[spawner_sku]])-FIND("/",Table14[[#This Row],[spawner_sku]])),Table1[Entity Prefab],0)),10,1,1,"Entities"))</f>
        <v>25</v>
      </c>
      <c r="DX636" s="74">
        <f ca="1">ROUND((Table14[[#This Row],[XP]]*Table14[[#This Row],[entity_spawned (AVG)]])*(Table14[[#This Row],[activating_chance]]/100),0)</f>
        <v>20</v>
      </c>
      <c r="DY636" s="144" t="str">
        <f ca="1">INDIRECT(ADDRESS(11+(MATCH(RIGHT(Table14[[#This Row],[spawner_sku]],LEN(Table14[[#This Row],[spawner_sku]])-FIND("/",Table14[[#This Row],[spawner_sku]])),Table28[Entity Prefab],0)),25,1,1,"Entities"))</f>
        <v>no</v>
      </c>
      <c r="DZ636" s="71">
        <v>1</v>
      </c>
      <c r="EA636" s="71">
        <v>1</v>
      </c>
      <c r="EB636" s="71" t="b">
        <v>0</v>
      </c>
      <c r="EC636" s="71"/>
    </row>
    <row r="637" spans="2:133" x14ac:dyDescent="0.25">
      <c r="B637" s="72" t="s">
        <v>431</v>
      </c>
      <c r="C637">
        <v>1</v>
      </c>
      <c r="D637">
        <v>220</v>
      </c>
      <c r="E637">
        <v>100</v>
      </c>
      <c r="F637" s="74">
        <f ca="1">INDIRECT(ADDRESS(11+(MATCH(RIGHT(Table245[[#This Row],[spawner_sku]],LEN(Table245[[#This Row],[spawner_sku]])-FIND("/",Table245[[#This Row],[spawner_sku]])),Table1[Entity Prefab],0)),10,1,1,"Entities"))</f>
        <v>0</v>
      </c>
      <c r="G637" s="74">
        <f ca="1">ROUND((Table245[[#This Row],[XP]]*Table245[[#This Row],[entity_spawned (AVG)]])*(Table245[[#This Row],[activating_chance]]/100),0)</f>
        <v>0</v>
      </c>
      <c r="H637" s="71" t="str">
        <f ca="1">INDIRECT(ADDRESS(11+(MATCH(RIGHT(Table245[[#This Row],[spawner_sku]],LEN(Table245[[#This Row],[spawner_sku]])-FIND("/",Table245[[#This Row],[spawner_sku]])),Table28[Entity Prefab],0)),24,1,1,"Entities"))</f>
        <v>no</v>
      </c>
      <c r="I637" s="71">
        <v>1</v>
      </c>
      <c r="J637" s="71">
        <v>1</v>
      </c>
      <c r="K637" s="71" t="b">
        <v>0</v>
      </c>
      <c r="DS637" t="s">
        <v>243</v>
      </c>
      <c r="DT637">
        <v>1</v>
      </c>
      <c r="DU637">
        <v>100</v>
      </c>
      <c r="DV637">
        <v>100</v>
      </c>
      <c r="DW637" s="74">
        <f ca="1">INDIRECT(ADDRESS(11+(MATCH(RIGHT(Table14[[#This Row],[spawner_sku]],LEN(Table14[[#This Row],[spawner_sku]])-FIND("/",Table14[[#This Row],[spawner_sku]])),Table1[Entity Prefab],0)),10,1,1,"Entities"))</f>
        <v>25</v>
      </c>
      <c r="DX637" s="74">
        <f ca="1">ROUND((Table14[[#This Row],[XP]]*Table14[[#This Row],[entity_spawned (AVG)]])*(Table14[[#This Row],[activating_chance]]/100),0)</f>
        <v>25</v>
      </c>
      <c r="DY637" s="144" t="str">
        <f ca="1">INDIRECT(ADDRESS(11+(MATCH(RIGHT(Table14[[#This Row],[spawner_sku]],LEN(Table14[[#This Row],[spawner_sku]])-FIND("/",Table14[[#This Row],[spawner_sku]])),Table28[Entity Prefab],0)),25,1,1,"Entities"))</f>
        <v>no</v>
      </c>
      <c r="DZ637" s="71">
        <v>1</v>
      </c>
      <c r="EA637" s="71">
        <v>1</v>
      </c>
      <c r="EB637" s="71" t="b">
        <v>0</v>
      </c>
      <c r="EC637" s="71"/>
    </row>
    <row r="638" spans="2:133" x14ac:dyDescent="0.25">
      <c r="B638" s="72" t="s">
        <v>431</v>
      </c>
      <c r="C638">
        <v>1</v>
      </c>
      <c r="D638">
        <v>220</v>
      </c>
      <c r="E638">
        <v>100</v>
      </c>
      <c r="F638" s="74">
        <f ca="1">INDIRECT(ADDRESS(11+(MATCH(RIGHT(Table245[[#This Row],[spawner_sku]],LEN(Table245[[#This Row],[spawner_sku]])-FIND("/",Table245[[#This Row],[spawner_sku]])),Table1[Entity Prefab],0)),10,1,1,"Entities"))</f>
        <v>0</v>
      </c>
      <c r="G638" s="74">
        <f ca="1">ROUND((Table245[[#This Row],[XP]]*Table245[[#This Row],[entity_spawned (AVG)]])*(Table245[[#This Row],[activating_chance]]/100),0)</f>
        <v>0</v>
      </c>
      <c r="H638" s="71" t="str">
        <f ca="1">INDIRECT(ADDRESS(11+(MATCH(RIGHT(Table245[[#This Row],[spawner_sku]],LEN(Table245[[#This Row],[spawner_sku]])-FIND("/",Table245[[#This Row],[spawner_sku]])),Table28[Entity Prefab],0)),24,1,1,"Entities"))</f>
        <v>no</v>
      </c>
      <c r="I638" s="71">
        <v>1</v>
      </c>
      <c r="J638" s="71">
        <v>1</v>
      </c>
      <c r="K638" s="71" t="b">
        <v>0</v>
      </c>
      <c r="DS638" t="s">
        <v>243</v>
      </c>
      <c r="DT638">
        <v>1</v>
      </c>
      <c r="DU638">
        <v>150</v>
      </c>
      <c r="DV638">
        <v>100</v>
      </c>
      <c r="DW638" s="74">
        <f ca="1">INDIRECT(ADDRESS(11+(MATCH(RIGHT(Table14[[#This Row],[spawner_sku]],LEN(Table14[[#This Row],[spawner_sku]])-FIND("/",Table14[[#This Row],[spawner_sku]])),Table1[Entity Prefab],0)),10,1,1,"Entities"))</f>
        <v>25</v>
      </c>
      <c r="DX638" s="74">
        <f ca="1">ROUND((Table14[[#This Row],[XP]]*Table14[[#This Row],[entity_spawned (AVG)]])*(Table14[[#This Row],[activating_chance]]/100),0)</f>
        <v>25</v>
      </c>
      <c r="DY638" s="144" t="str">
        <f ca="1">INDIRECT(ADDRESS(11+(MATCH(RIGHT(Table14[[#This Row],[spawner_sku]],LEN(Table14[[#This Row],[spawner_sku]])-FIND("/",Table14[[#This Row],[spawner_sku]])),Table28[Entity Prefab],0)),25,1,1,"Entities"))</f>
        <v>no</v>
      </c>
      <c r="DZ638" s="71">
        <v>1</v>
      </c>
      <c r="EA638" s="71">
        <v>1</v>
      </c>
      <c r="EB638" s="71" t="b">
        <v>0</v>
      </c>
      <c r="EC638" s="71"/>
    </row>
    <row r="639" spans="2:133" x14ac:dyDescent="0.25">
      <c r="B639" s="72" t="s">
        <v>431</v>
      </c>
      <c r="C639">
        <v>1</v>
      </c>
      <c r="D639">
        <v>220</v>
      </c>
      <c r="E639">
        <v>100</v>
      </c>
      <c r="F639" s="74">
        <f ca="1">INDIRECT(ADDRESS(11+(MATCH(RIGHT(Table245[[#This Row],[spawner_sku]],LEN(Table245[[#This Row],[spawner_sku]])-FIND("/",Table245[[#This Row],[spawner_sku]])),Table1[Entity Prefab],0)),10,1,1,"Entities"))</f>
        <v>0</v>
      </c>
      <c r="G639" s="74">
        <f ca="1">ROUND((Table245[[#This Row],[XP]]*Table245[[#This Row],[entity_spawned (AVG)]])*(Table245[[#This Row],[activating_chance]]/100),0)</f>
        <v>0</v>
      </c>
      <c r="H639" s="71" t="str">
        <f ca="1">INDIRECT(ADDRESS(11+(MATCH(RIGHT(Table245[[#This Row],[spawner_sku]],LEN(Table245[[#This Row],[spawner_sku]])-FIND("/",Table245[[#This Row],[spawner_sku]])),Table28[Entity Prefab],0)),24,1,1,"Entities"))</f>
        <v>no</v>
      </c>
      <c r="I639" s="71">
        <v>1</v>
      </c>
      <c r="J639" s="71">
        <v>1</v>
      </c>
      <c r="K639" s="71" t="b">
        <v>0</v>
      </c>
      <c r="DS639" t="s">
        <v>243</v>
      </c>
      <c r="DT639">
        <v>1</v>
      </c>
      <c r="DU639">
        <v>100</v>
      </c>
      <c r="DV639">
        <v>100</v>
      </c>
      <c r="DW639" s="74">
        <f ca="1">INDIRECT(ADDRESS(11+(MATCH(RIGHT(Table14[[#This Row],[spawner_sku]],LEN(Table14[[#This Row],[spawner_sku]])-FIND("/",Table14[[#This Row],[spawner_sku]])),Table1[Entity Prefab],0)),10,1,1,"Entities"))</f>
        <v>25</v>
      </c>
      <c r="DX639" s="74">
        <f ca="1">ROUND((Table14[[#This Row],[XP]]*Table14[[#This Row],[entity_spawned (AVG)]])*(Table14[[#This Row],[activating_chance]]/100),0)</f>
        <v>25</v>
      </c>
      <c r="DY639" s="144" t="str">
        <f ca="1">INDIRECT(ADDRESS(11+(MATCH(RIGHT(Table14[[#This Row],[spawner_sku]],LEN(Table14[[#This Row],[spawner_sku]])-FIND("/",Table14[[#This Row],[spawner_sku]])),Table28[Entity Prefab],0)),25,1,1,"Entities"))</f>
        <v>no</v>
      </c>
      <c r="DZ639" s="71">
        <v>1</v>
      </c>
      <c r="EA639" s="71">
        <v>1</v>
      </c>
      <c r="EB639" s="71" t="b">
        <v>0</v>
      </c>
      <c r="EC639" s="71"/>
    </row>
    <row r="640" spans="2:133" x14ac:dyDescent="0.25">
      <c r="B640" s="72" t="s">
        <v>431</v>
      </c>
      <c r="C640">
        <v>1</v>
      </c>
      <c r="D640">
        <v>220</v>
      </c>
      <c r="E640">
        <v>100</v>
      </c>
      <c r="F640" s="74">
        <f ca="1">INDIRECT(ADDRESS(11+(MATCH(RIGHT(Table245[[#This Row],[spawner_sku]],LEN(Table245[[#This Row],[spawner_sku]])-FIND("/",Table245[[#This Row],[spawner_sku]])),Table1[Entity Prefab],0)),10,1,1,"Entities"))</f>
        <v>0</v>
      </c>
      <c r="G640" s="74">
        <f ca="1">ROUND((Table245[[#This Row],[XP]]*Table245[[#This Row],[entity_spawned (AVG)]])*(Table245[[#This Row],[activating_chance]]/100),0)</f>
        <v>0</v>
      </c>
      <c r="H640" s="71" t="str">
        <f ca="1">INDIRECT(ADDRESS(11+(MATCH(RIGHT(Table245[[#This Row],[spawner_sku]],LEN(Table245[[#This Row],[spawner_sku]])-FIND("/",Table245[[#This Row],[spawner_sku]])),Table28[Entity Prefab],0)),24,1,1,"Entities"))</f>
        <v>no</v>
      </c>
      <c r="I640" s="71">
        <v>1</v>
      </c>
      <c r="J640" s="71">
        <v>1</v>
      </c>
      <c r="K640" s="71" t="b">
        <v>0</v>
      </c>
      <c r="DS640" t="s">
        <v>243</v>
      </c>
      <c r="DT640">
        <v>1</v>
      </c>
      <c r="DU640">
        <v>100</v>
      </c>
      <c r="DV640">
        <v>100</v>
      </c>
      <c r="DW640" s="74">
        <f ca="1">INDIRECT(ADDRESS(11+(MATCH(RIGHT(Table14[[#This Row],[spawner_sku]],LEN(Table14[[#This Row],[spawner_sku]])-FIND("/",Table14[[#This Row],[spawner_sku]])),Table1[Entity Prefab],0)),10,1,1,"Entities"))</f>
        <v>25</v>
      </c>
      <c r="DX640" s="74">
        <f ca="1">ROUND((Table14[[#This Row],[XP]]*Table14[[#This Row],[entity_spawned (AVG)]])*(Table14[[#This Row],[activating_chance]]/100),0)</f>
        <v>25</v>
      </c>
      <c r="DY640" s="144" t="str">
        <f ca="1">INDIRECT(ADDRESS(11+(MATCH(RIGHT(Table14[[#This Row],[spawner_sku]],LEN(Table14[[#This Row],[spawner_sku]])-FIND("/",Table14[[#This Row],[spawner_sku]])),Table28[Entity Prefab],0)),25,1,1,"Entities"))</f>
        <v>no</v>
      </c>
      <c r="DZ640" s="71">
        <v>1</v>
      </c>
      <c r="EA640" s="71">
        <v>1</v>
      </c>
      <c r="EB640" s="71" t="b">
        <v>0</v>
      </c>
      <c r="EC640" s="71"/>
    </row>
    <row r="641" spans="2:133" x14ac:dyDescent="0.25">
      <c r="B641" s="72" t="s">
        <v>431</v>
      </c>
      <c r="C641">
        <v>1</v>
      </c>
      <c r="D641">
        <v>220</v>
      </c>
      <c r="E641">
        <v>100</v>
      </c>
      <c r="F641" s="74">
        <f ca="1">INDIRECT(ADDRESS(11+(MATCH(RIGHT(Table245[[#This Row],[spawner_sku]],LEN(Table245[[#This Row],[spawner_sku]])-FIND("/",Table245[[#This Row],[spawner_sku]])),Table1[Entity Prefab],0)),10,1,1,"Entities"))</f>
        <v>0</v>
      </c>
      <c r="G641" s="74">
        <f ca="1">ROUND((Table245[[#This Row],[XP]]*Table245[[#This Row],[entity_spawned (AVG)]])*(Table245[[#This Row],[activating_chance]]/100),0)</f>
        <v>0</v>
      </c>
      <c r="H641" s="71" t="str">
        <f ca="1">INDIRECT(ADDRESS(11+(MATCH(RIGHT(Table245[[#This Row],[spawner_sku]],LEN(Table245[[#This Row],[spawner_sku]])-FIND("/",Table245[[#This Row],[spawner_sku]])),Table28[Entity Prefab],0)),24,1,1,"Entities"))</f>
        <v>no</v>
      </c>
      <c r="I641" s="71">
        <v>1</v>
      </c>
      <c r="J641" s="71">
        <v>1</v>
      </c>
      <c r="K641" s="71" t="b">
        <v>0</v>
      </c>
      <c r="DS641" t="s">
        <v>243</v>
      </c>
      <c r="DT641">
        <v>1</v>
      </c>
      <c r="DU641">
        <v>150</v>
      </c>
      <c r="DV641">
        <v>100</v>
      </c>
      <c r="DW641" s="74">
        <f ca="1">INDIRECT(ADDRESS(11+(MATCH(RIGHT(Table14[[#This Row],[spawner_sku]],LEN(Table14[[#This Row],[spawner_sku]])-FIND("/",Table14[[#This Row],[spawner_sku]])),Table1[Entity Prefab],0)),10,1,1,"Entities"))</f>
        <v>25</v>
      </c>
      <c r="DX641" s="74">
        <f ca="1">ROUND((Table14[[#This Row],[XP]]*Table14[[#This Row],[entity_spawned (AVG)]])*(Table14[[#This Row],[activating_chance]]/100),0)</f>
        <v>25</v>
      </c>
      <c r="DY641" s="144" t="str">
        <f ca="1">INDIRECT(ADDRESS(11+(MATCH(RIGHT(Table14[[#This Row],[spawner_sku]],LEN(Table14[[#This Row],[spawner_sku]])-FIND("/",Table14[[#This Row],[spawner_sku]])),Table28[Entity Prefab],0)),25,1,1,"Entities"))</f>
        <v>no</v>
      </c>
      <c r="DZ641" s="71">
        <v>1</v>
      </c>
      <c r="EA641" s="71">
        <v>1</v>
      </c>
      <c r="EB641" s="71" t="b">
        <v>0</v>
      </c>
      <c r="EC641" s="71"/>
    </row>
    <row r="642" spans="2:133" x14ac:dyDescent="0.25">
      <c r="B642" s="72" t="s">
        <v>485</v>
      </c>
      <c r="C642">
        <v>1</v>
      </c>
      <c r="D642">
        <v>220</v>
      </c>
      <c r="E642">
        <v>100</v>
      </c>
      <c r="F642" s="74">
        <f ca="1">INDIRECT(ADDRESS(11+(MATCH(RIGHT(Table245[[#This Row],[spawner_sku]],LEN(Table245[[#This Row],[spawner_sku]])-FIND("/",Table245[[#This Row],[spawner_sku]])),Table1[Entity Prefab],0)),10,1,1,"Entities"))</f>
        <v>0</v>
      </c>
      <c r="G642" s="74">
        <f ca="1">ROUND((Table245[[#This Row],[XP]]*Table245[[#This Row],[entity_spawned (AVG)]])*(Table245[[#This Row],[activating_chance]]/100),0)</f>
        <v>0</v>
      </c>
      <c r="H642" s="71" t="str">
        <f ca="1">INDIRECT(ADDRESS(11+(MATCH(RIGHT(Table245[[#This Row],[spawner_sku]],LEN(Table245[[#This Row],[spawner_sku]])-FIND("/",Table245[[#This Row],[spawner_sku]])),Table28[Entity Prefab],0)),24,1,1,"Entities"))</f>
        <v>no</v>
      </c>
      <c r="I642" s="71">
        <v>1</v>
      </c>
      <c r="J642" s="71">
        <v>1</v>
      </c>
      <c r="K642" s="71" t="b">
        <v>0</v>
      </c>
      <c r="DS642" t="s">
        <v>243</v>
      </c>
      <c r="DT642">
        <v>1</v>
      </c>
      <c r="DU642">
        <v>150</v>
      </c>
      <c r="DV642">
        <v>100</v>
      </c>
      <c r="DW642" s="74">
        <f ca="1">INDIRECT(ADDRESS(11+(MATCH(RIGHT(Table14[[#This Row],[spawner_sku]],LEN(Table14[[#This Row],[spawner_sku]])-FIND("/",Table14[[#This Row],[spawner_sku]])),Table1[Entity Prefab],0)),10,1,1,"Entities"))</f>
        <v>25</v>
      </c>
      <c r="DX642" s="74">
        <f ca="1">ROUND((Table14[[#This Row],[XP]]*Table14[[#This Row],[entity_spawned (AVG)]])*(Table14[[#This Row],[activating_chance]]/100),0)</f>
        <v>25</v>
      </c>
      <c r="DY642" s="144" t="str">
        <f ca="1">INDIRECT(ADDRESS(11+(MATCH(RIGHT(Table14[[#This Row],[spawner_sku]],LEN(Table14[[#This Row],[spawner_sku]])-FIND("/",Table14[[#This Row],[spawner_sku]])),Table28[Entity Prefab],0)),25,1,1,"Entities"))</f>
        <v>no</v>
      </c>
      <c r="DZ642" s="71">
        <v>1</v>
      </c>
      <c r="EA642" s="71">
        <v>1</v>
      </c>
      <c r="EB642" s="71" t="b">
        <v>0</v>
      </c>
      <c r="EC642" s="71"/>
    </row>
    <row r="643" spans="2:133" x14ac:dyDescent="0.25">
      <c r="B643" s="72" t="s">
        <v>485</v>
      </c>
      <c r="C643">
        <v>1</v>
      </c>
      <c r="D643">
        <v>220</v>
      </c>
      <c r="E643">
        <v>100</v>
      </c>
      <c r="F643" s="74">
        <f ca="1">INDIRECT(ADDRESS(11+(MATCH(RIGHT(Table245[[#This Row],[spawner_sku]],LEN(Table245[[#This Row],[spawner_sku]])-FIND("/",Table245[[#This Row],[spawner_sku]])),Table1[Entity Prefab],0)),10,1,1,"Entities"))</f>
        <v>0</v>
      </c>
      <c r="G643" s="74">
        <f ca="1">ROUND((Table245[[#This Row],[XP]]*Table245[[#This Row],[entity_spawned (AVG)]])*(Table245[[#This Row],[activating_chance]]/100),0)</f>
        <v>0</v>
      </c>
      <c r="H643" s="71" t="str">
        <f ca="1">INDIRECT(ADDRESS(11+(MATCH(RIGHT(Table245[[#This Row],[spawner_sku]],LEN(Table245[[#This Row],[spawner_sku]])-FIND("/",Table245[[#This Row],[spawner_sku]])),Table28[Entity Prefab],0)),24,1,1,"Entities"))</f>
        <v>no</v>
      </c>
      <c r="I643" s="71">
        <v>1</v>
      </c>
      <c r="J643" s="71">
        <v>1</v>
      </c>
      <c r="K643" s="71" t="b">
        <v>0</v>
      </c>
      <c r="DS643" t="s">
        <v>243</v>
      </c>
      <c r="DT643">
        <v>1</v>
      </c>
      <c r="DU643">
        <v>150</v>
      </c>
      <c r="DV643">
        <v>80</v>
      </c>
      <c r="DW643" s="74">
        <f ca="1">INDIRECT(ADDRESS(11+(MATCH(RIGHT(Table14[[#This Row],[spawner_sku]],LEN(Table14[[#This Row],[spawner_sku]])-FIND("/",Table14[[#This Row],[spawner_sku]])),Table1[Entity Prefab],0)),10,1,1,"Entities"))</f>
        <v>25</v>
      </c>
      <c r="DX643" s="74">
        <f ca="1">ROUND((Table14[[#This Row],[XP]]*Table14[[#This Row],[entity_spawned (AVG)]])*(Table14[[#This Row],[activating_chance]]/100),0)</f>
        <v>20</v>
      </c>
      <c r="DY643" s="144" t="str">
        <f ca="1">INDIRECT(ADDRESS(11+(MATCH(RIGHT(Table14[[#This Row],[spawner_sku]],LEN(Table14[[#This Row],[spawner_sku]])-FIND("/",Table14[[#This Row],[spawner_sku]])),Table28[Entity Prefab],0)),25,1,1,"Entities"))</f>
        <v>no</v>
      </c>
      <c r="DZ643" s="71">
        <v>1</v>
      </c>
      <c r="EA643" s="71">
        <v>1</v>
      </c>
      <c r="EB643" s="71" t="b">
        <v>0</v>
      </c>
      <c r="EC643" s="71"/>
    </row>
    <row r="644" spans="2:133" x14ac:dyDescent="0.25">
      <c r="B644" s="72" t="s">
        <v>485</v>
      </c>
      <c r="C644">
        <v>1</v>
      </c>
      <c r="D644">
        <v>220</v>
      </c>
      <c r="E644">
        <v>100</v>
      </c>
      <c r="F644" s="74">
        <f ca="1">INDIRECT(ADDRESS(11+(MATCH(RIGHT(Table245[[#This Row],[spawner_sku]],LEN(Table245[[#This Row],[spawner_sku]])-FIND("/",Table245[[#This Row],[spawner_sku]])),Table1[Entity Prefab],0)),10,1,1,"Entities"))</f>
        <v>0</v>
      </c>
      <c r="G644" s="74">
        <f ca="1">ROUND((Table245[[#This Row],[XP]]*Table245[[#This Row],[entity_spawned (AVG)]])*(Table245[[#This Row],[activating_chance]]/100),0)</f>
        <v>0</v>
      </c>
      <c r="H644" s="71" t="str">
        <f ca="1">INDIRECT(ADDRESS(11+(MATCH(RIGHT(Table245[[#This Row],[spawner_sku]],LEN(Table245[[#This Row],[spawner_sku]])-FIND("/",Table245[[#This Row],[spawner_sku]])),Table28[Entity Prefab],0)),24,1,1,"Entities"))</f>
        <v>no</v>
      </c>
      <c r="I644" s="71">
        <v>1</v>
      </c>
      <c r="J644" s="71">
        <v>1</v>
      </c>
      <c r="K644" s="71" t="b">
        <v>0</v>
      </c>
      <c r="DS644" t="s">
        <v>243</v>
      </c>
      <c r="DT644">
        <v>1</v>
      </c>
      <c r="DU644">
        <v>150</v>
      </c>
      <c r="DV644">
        <v>80</v>
      </c>
      <c r="DW644" s="74">
        <f ca="1">INDIRECT(ADDRESS(11+(MATCH(RIGHT(Table14[[#This Row],[spawner_sku]],LEN(Table14[[#This Row],[spawner_sku]])-FIND("/",Table14[[#This Row],[spawner_sku]])),Table1[Entity Prefab],0)),10,1,1,"Entities"))</f>
        <v>25</v>
      </c>
      <c r="DX644" s="74">
        <f ca="1">ROUND((Table14[[#This Row],[XP]]*Table14[[#This Row],[entity_spawned (AVG)]])*(Table14[[#This Row],[activating_chance]]/100),0)</f>
        <v>20</v>
      </c>
      <c r="DY644" s="144" t="str">
        <f ca="1">INDIRECT(ADDRESS(11+(MATCH(RIGHT(Table14[[#This Row],[spawner_sku]],LEN(Table14[[#This Row],[spawner_sku]])-FIND("/",Table14[[#This Row],[spawner_sku]])),Table28[Entity Prefab],0)),25,1,1,"Entities"))</f>
        <v>no</v>
      </c>
      <c r="DZ644" s="71">
        <v>1</v>
      </c>
      <c r="EA644" s="71">
        <v>1</v>
      </c>
      <c r="EB644" s="71" t="b">
        <v>0</v>
      </c>
      <c r="EC644" s="71"/>
    </row>
    <row r="645" spans="2:133" x14ac:dyDescent="0.25">
      <c r="B645" s="72" t="s">
        <v>485</v>
      </c>
      <c r="C645">
        <v>1</v>
      </c>
      <c r="D645">
        <v>220</v>
      </c>
      <c r="E645">
        <v>100</v>
      </c>
      <c r="F645" s="74">
        <f ca="1">INDIRECT(ADDRESS(11+(MATCH(RIGHT(Table245[[#This Row],[spawner_sku]],LEN(Table245[[#This Row],[spawner_sku]])-FIND("/",Table245[[#This Row],[spawner_sku]])),Table1[Entity Prefab],0)),10,1,1,"Entities"))</f>
        <v>0</v>
      </c>
      <c r="G645" s="74">
        <f ca="1">ROUND((Table245[[#This Row],[XP]]*Table245[[#This Row],[entity_spawned (AVG)]])*(Table245[[#This Row],[activating_chance]]/100),0)</f>
        <v>0</v>
      </c>
      <c r="H645" s="71" t="str">
        <f ca="1">INDIRECT(ADDRESS(11+(MATCH(RIGHT(Table245[[#This Row],[spawner_sku]],LEN(Table245[[#This Row],[spawner_sku]])-FIND("/",Table245[[#This Row],[spawner_sku]])),Table28[Entity Prefab],0)),24,1,1,"Entities"))</f>
        <v>no</v>
      </c>
      <c r="I645" s="71">
        <v>1</v>
      </c>
      <c r="J645" s="71">
        <v>1</v>
      </c>
      <c r="K645" s="71" t="b">
        <v>0</v>
      </c>
      <c r="DS645" t="s">
        <v>243</v>
      </c>
      <c r="DT645">
        <v>1</v>
      </c>
      <c r="DU645">
        <v>90</v>
      </c>
      <c r="DV645">
        <v>100</v>
      </c>
      <c r="DW645" s="74">
        <f ca="1">INDIRECT(ADDRESS(11+(MATCH(RIGHT(Table14[[#This Row],[spawner_sku]],LEN(Table14[[#This Row],[spawner_sku]])-FIND("/",Table14[[#This Row],[spawner_sku]])),Table1[Entity Prefab],0)),10,1,1,"Entities"))</f>
        <v>25</v>
      </c>
      <c r="DX645" s="74">
        <f ca="1">ROUND((Table14[[#This Row],[XP]]*Table14[[#This Row],[entity_spawned (AVG)]])*(Table14[[#This Row],[activating_chance]]/100),0)</f>
        <v>25</v>
      </c>
      <c r="DY645" s="144" t="str">
        <f ca="1">INDIRECT(ADDRESS(11+(MATCH(RIGHT(Table14[[#This Row],[spawner_sku]],LEN(Table14[[#This Row],[spawner_sku]])-FIND("/",Table14[[#This Row],[spawner_sku]])),Table28[Entity Prefab],0)),25,1,1,"Entities"))</f>
        <v>no</v>
      </c>
      <c r="DZ645" s="71">
        <v>1</v>
      </c>
      <c r="EA645" s="71">
        <v>1</v>
      </c>
      <c r="EB645" s="71" t="b">
        <v>0</v>
      </c>
      <c r="EC645" s="71"/>
    </row>
    <row r="646" spans="2:133" x14ac:dyDescent="0.25">
      <c r="B646" s="72" t="s">
        <v>485</v>
      </c>
      <c r="C646">
        <v>1</v>
      </c>
      <c r="D646">
        <v>220</v>
      </c>
      <c r="E646">
        <v>100</v>
      </c>
      <c r="F646" s="74">
        <f ca="1">INDIRECT(ADDRESS(11+(MATCH(RIGHT(Table245[[#This Row],[spawner_sku]],LEN(Table245[[#This Row],[spawner_sku]])-FIND("/",Table245[[#This Row],[spawner_sku]])),Table1[Entity Prefab],0)),10,1,1,"Entities"))</f>
        <v>0</v>
      </c>
      <c r="G646" s="74">
        <f ca="1">ROUND((Table245[[#This Row],[XP]]*Table245[[#This Row],[entity_spawned (AVG)]])*(Table245[[#This Row],[activating_chance]]/100),0)</f>
        <v>0</v>
      </c>
      <c r="H646" s="71" t="str">
        <f ca="1">INDIRECT(ADDRESS(11+(MATCH(RIGHT(Table245[[#This Row],[spawner_sku]],LEN(Table245[[#This Row],[spawner_sku]])-FIND("/",Table245[[#This Row],[spawner_sku]])),Table28[Entity Prefab],0)),24,1,1,"Entities"))</f>
        <v>no</v>
      </c>
      <c r="I646" s="71">
        <v>1</v>
      </c>
      <c r="J646" s="71">
        <v>1</v>
      </c>
      <c r="K646" s="71" t="b">
        <v>0</v>
      </c>
      <c r="DS646" t="s">
        <v>243</v>
      </c>
      <c r="DT646">
        <v>1</v>
      </c>
      <c r="DU646">
        <v>150</v>
      </c>
      <c r="DV646">
        <v>100</v>
      </c>
      <c r="DW646" s="74">
        <f ca="1">INDIRECT(ADDRESS(11+(MATCH(RIGHT(Table14[[#This Row],[spawner_sku]],LEN(Table14[[#This Row],[spawner_sku]])-FIND("/",Table14[[#This Row],[spawner_sku]])),Table1[Entity Prefab],0)),10,1,1,"Entities"))</f>
        <v>25</v>
      </c>
      <c r="DX646" s="74">
        <f ca="1">ROUND((Table14[[#This Row],[XP]]*Table14[[#This Row],[entity_spawned (AVG)]])*(Table14[[#This Row],[activating_chance]]/100),0)</f>
        <v>25</v>
      </c>
      <c r="DY646" s="144" t="str">
        <f ca="1">INDIRECT(ADDRESS(11+(MATCH(RIGHT(Table14[[#This Row],[spawner_sku]],LEN(Table14[[#This Row],[spawner_sku]])-FIND("/",Table14[[#This Row],[spawner_sku]])),Table28[Entity Prefab],0)),25,1,1,"Entities"))</f>
        <v>no</v>
      </c>
      <c r="DZ646" s="71">
        <v>1</v>
      </c>
      <c r="EA646" s="71">
        <v>1</v>
      </c>
      <c r="EB646" s="71" t="b">
        <v>0</v>
      </c>
      <c r="EC646" s="71"/>
    </row>
    <row r="647" spans="2:133" x14ac:dyDescent="0.25">
      <c r="B647" s="72" t="s">
        <v>485</v>
      </c>
      <c r="C647">
        <v>1</v>
      </c>
      <c r="D647">
        <v>220</v>
      </c>
      <c r="E647">
        <v>100</v>
      </c>
      <c r="F647" s="74">
        <f ca="1">INDIRECT(ADDRESS(11+(MATCH(RIGHT(Table245[[#This Row],[spawner_sku]],LEN(Table245[[#This Row],[spawner_sku]])-FIND("/",Table245[[#This Row],[spawner_sku]])),Table1[Entity Prefab],0)),10,1,1,"Entities"))</f>
        <v>0</v>
      </c>
      <c r="G647" s="74">
        <f ca="1">ROUND((Table245[[#This Row],[XP]]*Table245[[#This Row],[entity_spawned (AVG)]])*(Table245[[#This Row],[activating_chance]]/100),0)</f>
        <v>0</v>
      </c>
      <c r="H647" s="71" t="str">
        <f ca="1">INDIRECT(ADDRESS(11+(MATCH(RIGHT(Table245[[#This Row],[spawner_sku]],LEN(Table245[[#This Row],[spawner_sku]])-FIND("/",Table245[[#This Row],[spawner_sku]])),Table28[Entity Prefab],0)),24,1,1,"Entities"))</f>
        <v>no</v>
      </c>
      <c r="I647" s="71">
        <v>1</v>
      </c>
      <c r="J647" s="71">
        <v>1</v>
      </c>
      <c r="K647" s="71" t="b">
        <v>0</v>
      </c>
      <c r="DS647" t="s">
        <v>243</v>
      </c>
      <c r="DT647">
        <v>1</v>
      </c>
      <c r="DU647">
        <v>150</v>
      </c>
      <c r="DV647">
        <v>80</v>
      </c>
      <c r="DW647" s="74">
        <f ca="1">INDIRECT(ADDRESS(11+(MATCH(RIGHT(Table14[[#This Row],[spawner_sku]],LEN(Table14[[#This Row],[spawner_sku]])-FIND("/",Table14[[#This Row],[spawner_sku]])),Table1[Entity Prefab],0)),10,1,1,"Entities"))</f>
        <v>25</v>
      </c>
      <c r="DX647" s="74">
        <f ca="1">ROUND((Table14[[#This Row],[XP]]*Table14[[#This Row],[entity_spawned (AVG)]])*(Table14[[#This Row],[activating_chance]]/100),0)</f>
        <v>20</v>
      </c>
      <c r="DY647" s="144" t="str">
        <f ca="1">INDIRECT(ADDRESS(11+(MATCH(RIGHT(Table14[[#This Row],[spawner_sku]],LEN(Table14[[#This Row],[spawner_sku]])-FIND("/",Table14[[#This Row],[spawner_sku]])),Table28[Entity Prefab],0)),25,1,1,"Entities"))</f>
        <v>no</v>
      </c>
      <c r="DZ647" s="71">
        <v>1</v>
      </c>
      <c r="EA647" s="71">
        <v>1</v>
      </c>
      <c r="EB647" s="71" t="b">
        <v>0</v>
      </c>
      <c r="EC647" s="71"/>
    </row>
    <row r="648" spans="2:133" x14ac:dyDescent="0.25">
      <c r="B648" s="72" t="s">
        <v>485</v>
      </c>
      <c r="C648">
        <v>1</v>
      </c>
      <c r="D648">
        <v>220</v>
      </c>
      <c r="E648">
        <v>100</v>
      </c>
      <c r="F648" s="74">
        <f ca="1">INDIRECT(ADDRESS(11+(MATCH(RIGHT(Table245[[#This Row],[spawner_sku]],LEN(Table245[[#This Row],[spawner_sku]])-FIND("/",Table245[[#This Row],[spawner_sku]])),Table1[Entity Prefab],0)),10,1,1,"Entities"))</f>
        <v>0</v>
      </c>
      <c r="G648" s="74">
        <f ca="1">ROUND((Table245[[#This Row],[XP]]*Table245[[#This Row],[entity_spawned (AVG)]])*(Table245[[#This Row],[activating_chance]]/100),0)</f>
        <v>0</v>
      </c>
      <c r="H648" s="71" t="str">
        <f ca="1">INDIRECT(ADDRESS(11+(MATCH(RIGHT(Table245[[#This Row],[spawner_sku]],LEN(Table245[[#This Row],[spawner_sku]])-FIND("/",Table245[[#This Row],[spawner_sku]])),Table28[Entity Prefab],0)),24,1,1,"Entities"))</f>
        <v>no</v>
      </c>
      <c r="I648" s="71">
        <v>1</v>
      </c>
      <c r="J648" s="71">
        <v>1</v>
      </c>
      <c r="K648" s="71" t="b">
        <v>0</v>
      </c>
      <c r="DS648" t="s">
        <v>243</v>
      </c>
      <c r="DT648">
        <v>1</v>
      </c>
      <c r="DU648">
        <v>90</v>
      </c>
      <c r="DV648">
        <v>100</v>
      </c>
      <c r="DW648" s="74">
        <f ca="1">INDIRECT(ADDRESS(11+(MATCH(RIGHT(Table14[[#This Row],[spawner_sku]],LEN(Table14[[#This Row],[spawner_sku]])-FIND("/",Table14[[#This Row],[spawner_sku]])),Table1[Entity Prefab],0)),10,1,1,"Entities"))</f>
        <v>25</v>
      </c>
      <c r="DX648" s="74">
        <f ca="1">ROUND((Table14[[#This Row],[XP]]*Table14[[#This Row],[entity_spawned (AVG)]])*(Table14[[#This Row],[activating_chance]]/100),0)</f>
        <v>25</v>
      </c>
      <c r="DY648" s="144" t="str">
        <f ca="1">INDIRECT(ADDRESS(11+(MATCH(RIGHT(Table14[[#This Row],[spawner_sku]],LEN(Table14[[#This Row],[spawner_sku]])-FIND("/",Table14[[#This Row],[spawner_sku]])),Table28[Entity Prefab],0)),25,1,1,"Entities"))</f>
        <v>no</v>
      </c>
      <c r="DZ648" s="71">
        <v>1</v>
      </c>
      <c r="EA648" s="71">
        <v>1</v>
      </c>
      <c r="EB648" s="71" t="b">
        <v>0</v>
      </c>
      <c r="EC648" s="71"/>
    </row>
    <row r="649" spans="2:133" x14ac:dyDescent="0.25">
      <c r="DS649" t="s">
        <v>3824</v>
      </c>
      <c r="DT649">
        <v>1</v>
      </c>
      <c r="DU649">
        <v>60</v>
      </c>
      <c r="DV649">
        <v>60</v>
      </c>
      <c r="DW649" s="74">
        <f ca="1">INDIRECT(ADDRESS(11+(MATCH(RIGHT(Table14[[#This Row],[spawner_sku]],LEN(Table14[[#This Row],[spawner_sku]])-FIND("/",Table14[[#This Row],[spawner_sku]])),Table1[Entity Prefab],0)),10,1,1,"Entities"))</f>
        <v>105</v>
      </c>
      <c r="DX649" s="74">
        <f ca="1">ROUND((Table14[[#This Row],[XP]]*Table14[[#This Row],[entity_spawned (AVG)]])*(Table14[[#This Row],[activating_chance]]/100),0)</f>
        <v>63</v>
      </c>
      <c r="DY649" s="144" t="str">
        <f ca="1">INDIRECT(ADDRESS(11+(MATCH(RIGHT(Table14[[#This Row],[spawner_sku]],LEN(Table14[[#This Row],[spawner_sku]])-FIND("/",Table14[[#This Row],[spawner_sku]])),Table28[Entity Prefab],0)),25,1,1,"Entities"))</f>
        <v>yes</v>
      </c>
      <c r="DZ649" s="71">
        <v>1</v>
      </c>
      <c r="EA649" s="71">
        <v>1</v>
      </c>
      <c r="EB649" s="71" t="b">
        <v>0</v>
      </c>
      <c r="EC649" s="71"/>
    </row>
    <row r="650" spans="2:133" x14ac:dyDescent="0.25">
      <c r="DS650" t="s">
        <v>3824</v>
      </c>
      <c r="DT650">
        <v>1</v>
      </c>
      <c r="DU650">
        <v>180</v>
      </c>
      <c r="DV650">
        <v>100</v>
      </c>
      <c r="DW650" s="74">
        <f ca="1">INDIRECT(ADDRESS(11+(MATCH(RIGHT(Table14[[#This Row],[spawner_sku]],LEN(Table14[[#This Row],[spawner_sku]])-FIND("/",Table14[[#This Row],[spawner_sku]])),Table1[Entity Prefab],0)),10,1,1,"Entities"))</f>
        <v>105</v>
      </c>
      <c r="DX650" s="74">
        <f ca="1">ROUND((Table14[[#This Row],[XP]]*Table14[[#This Row],[entity_spawned (AVG)]])*(Table14[[#This Row],[activating_chance]]/100),0)</f>
        <v>105</v>
      </c>
      <c r="DY650" s="144" t="str">
        <f ca="1">INDIRECT(ADDRESS(11+(MATCH(RIGHT(Table14[[#This Row],[spawner_sku]],LEN(Table14[[#This Row],[spawner_sku]])-FIND("/",Table14[[#This Row],[spawner_sku]])),Table28[Entity Prefab],0)),25,1,1,"Entities"))</f>
        <v>yes</v>
      </c>
      <c r="DZ650" s="71">
        <v>1</v>
      </c>
      <c r="EA650" s="71">
        <v>1</v>
      </c>
      <c r="EB650" s="71" t="b">
        <v>0</v>
      </c>
      <c r="EC650" s="71"/>
    </row>
    <row r="651" spans="2:133" x14ac:dyDescent="0.25">
      <c r="DS651" t="s">
        <v>3824</v>
      </c>
      <c r="DT651">
        <v>1</v>
      </c>
      <c r="DU651">
        <v>140</v>
      </c>
      <c r="DV651">
        <v>100</v>
      </c>
      <c r="DW651" s="74">
        <f ca="1">INDIRECT(ADDRESS(11+(MATCH(RIGHT(Table14[[#This Row],[spawner_sku]],LEN(Table14[[#This Row],[spawner_sku]])-FIND("/",Table14[[#This Row],[spawner_sku]])),Table1[Entity Prefab],0)),10,1,1,"Entities"))</f>
        <v>105</v>
      </c>
      <c r="DX651" s="74">
        <f ca="1">ROUND((Table14[[#This Row],[XP]]*Table14[[#This Row],[entity_spawned (AVG)]])*(Table14[[#This Row],[activating_chance]]/100),0)</f>
        <v>105</v>
      </c>
      <c r="DY651" s="144" t="str">
        <f ca="1">INDIRECT(ADDRESS(11+(MATCH(RIGHT(Table14[[#This Row],[spawner_sku]],LEN(Table14[[#This Row],[spawner_sku]])-FIND("/",Table14[[#This Row],[spawner_sku]])),Table28[Entity Prefab],0)),25,1,1,"Entities"))</f>
        <v>yes</v>
      </c>
      <c r="DZ651" s="71">
        <v>1</v>
      </c>
      <c r="EA651" s="71">
        <v>1</v>
      </c>
      <c r="EB651" s="71" t="b">
        <v>0</v>
      </c>
      <c r="EC651" s="71"/>
    </row>
    <row r="652" spans="2:133" x14ac:dyDescent="0.25">
      <c r="DS652" t="s">
        <v>3824</v>
      </c>
      <c r="DT652">
        <v>1</v>
      </c>
      <c r="DU652">
        <v>100</v>
      </c>
      <c r="DV652">
        <v>100</v>
      </c>
      <c r="DW652" s="74">
        <f ca="1">INDIRECT(ADDRESS(11+(MATCH(RIGHT(Table14[[#This Row],[spawner_sku]],LEN(Table14[[#This Row],[spawner_sku]])-FIND("/",Table14[[#This Row],[spawner_sku]])),Table1[Entity Prefab],0)),10,1,1,"Entities"))</f>
        <v>105</v>
      </c>
      <c r="DX652" s="74">
        <f ca="1">ROUND((Table14[[#This Row],[XP]]*Table14[[#This Row],[entity_spawned (AVG)]])*(Table14[[#This Row],[activating_chance]]/100),0)</f>
        <v>105</v>
      </c>
      <c r="DY652" s="144" t="str">
        <f ca="1">INDIRECT(ADDRESS(11+(MATCH(RIGHT(Table14[[#This Row],[spawner_sku]],LEN(Table14[[#This Row],[spawner_sku]])-FIND("/",Table14[[#This Row],[spawner_sku]])),Table28[Entity Prefab],0)),25,1,1,"Entities"))</f>
        <v>yes</v>
      </c>
      <c r="DZ652" s="71">
        <v>1</v>
      </c>
      <c r="EA652" s="71">
        <v>1</v>
      </c>
      <c r="EB652" s="71" t="b">
        <v>0</v>
      </c>
      <c r="EC652" s="71"/>
    </row>
    <row r="653" spans="2:133" x14ac:dyDescent="0.25">
      <c r="DS653" t="s">
        <v>3824</v>
      </c>
      <c r="DT653">
        <v>1</v>
      </c>
      <c r="DU653">
        <v>100</v>
      </c>
      <c r="DV653">
        <v>100</v>
      </c>
      <c r="DW653" s="74">
        <f ca="1">INDIRECT(ADDRESS(11+(MATCH(RIGHT(Table14[[#This Row],[spawner_sku]],LEN(Table14[[#This Row],[spawner_sku]])-FIND("/",Table14[[#This Row],[spawner_sku]])),Table1[Entity Prefab],0)),10,1,1,"Entities"))</f>
        <v>105</v>
      </c>
      <c r="DX653" s="74">
        <f ca="1">ROUND((Table14[[#This Row],[XP]]*Table14[[#This Row],[entity_spawned (AVG)]])*(Table14[[#This Row],[activating_chance]]/100),0)</f>
        <v>105</v>
      </c>
      <c r="DY653" s="144" t="str">
        <f ca="1">INDIRECT(ADDRESS(11+(MATCH(RIGHT(Table14[[#This Row],[spawner_sku]],LEN(Table14[[#This Row],[spawner_sku]])-FIND("/",Table14[[#This Row],[spawner_sku]])),Table28[Entity Prefab],0)),25,1,1,"Entities"))</f>
        <v>yes</v>
      </c>
      <c r="DZ653" s="71">
        <v>1</v>
      </c>
      <c r="EA653" s="71">
        <v>1</v>
      </c>
      <c r="EB653" s="71" t="b">
        <v>0</v>
      </c>
      <c r="EC653" s="71"/>
    </row>
    <row r="654" spans="2:133" x14ac:dyDescent="0.25">
      <c r="DS654" t="s">
        <v>3824</v>
      </c>
      <c r="DT654">
        <v>1</v>
      </c>
      <c r="DU654">
        <v>140</v>
      </c>
      <c r="DV654">
        <v>100</v>
      </c>
      <c r="DW654" s="74">
        <f ca="1">INDIRECT(ADDRESS(11+(MATCH(RIGHT(Table14[[#This Row],[spawner_sku]],LEN(Table14[[#This Row],[spawner_sku]])-FIND("/",Table14[[#This Row],[spawner_sku]])),Table1[Entity Prefab],0)),10,1,1,"Entities"))</f>
        <v>105</v>
      </c>
      <c r="DX654" s="74">
        <f ca="1">ROUND((Table14[[#This Row],[XP]]*Table14[[#This Row],[entity_spawned (AVG)]])*(Table14[[#This Row],[activating_chance]]/100),0)</f>
        <v>105</v>
      </c>
      <c r="DY654" s="144" t="str">
        <f ca="1">INDIRECT(ADDRESS(11+(MATCH(RIGHT(Table14[[#This Row],[spawner_sku]],LEN(Table14[[#This Row],[spawner_sku]])-FIND("/",Table14[[#This Row],[spawner_sku]])),Table28[Entity Prefab],0)),25,1,1,"Entities"))</f>
        <v>yes</v>
      </c>
      <c r="DZ654" s="71">
        <v>1</v>
      </c>
      <c r="EA654" s="71">
        <v>1</v>
      </c>
      <c r="EB654" s="71" t="b">
        <v>0</v>
      </c>
      <c r="EC654" s="71"/>
    </row>
    <row r="655" spans="2:133" x14ac:dyDescent="0.25">
      <c r="DS655" t="s">
        <v>3824</v>
      </c>
      <c r="DT655">
        <v>1</v>
      </c>
      <c r="DU655">
        <v>100</v>
      </c>
      <c r="DV655">
        <v>100</v>
      </c>
      <c r="DW655" s="74">
        <f ca="1">INDIRECT(ADDRESS(11+(MATCH(RIGHT(Table14[[#This Row],[spawner_sku]],LEN(Table14[[#This Row],[spawner_sku]])-FIND("/",Table14[[#This Row],[spawner_sku]])),Table1[Entity Prefab],0)),10,1,1,"Entities"))</f>
        <v>105</v>
      </c>
      <c r="DX655" s="74">
        <f ca="1">ROUND((Table14[[#This Row],[XP]]*Table14[[#This Row],[entity_spawned (AVG)]])*(Table14[[#This Row],[activating_chance]]/100),0)</f>
        <v>105</v>
      </c>
      <c r="DY655" s="144" t="str">
        <f ca="1">INDIRECT(ADDRESS(11+(MATCH(RIGHT(Table14[[#This Row],[spawner_sku]],LEN(Table14[[#This Row],[spawner_sku]])-FIND("/",Table14[[#This Row],[spawner_sku]])),Table28[Entity Prefab],0)),25,1,1,"Entities"))</f>
        <v>yes</v>
      </c>
      <c r="DZ655" s="71">
        <v>1</v>
      </c>
      <c r="EA655" s="71">
        <v>1</v>
      </c>
      <c r="EB655" s="71" t="b">
        <v>0</v>
      </c>
      <c r="EC655" s="71"/>
    </row>
    <row r="656" spans="2:133" x14ac:dyDescent="0.25">
      <c r="DS656" t="s">
        <v>3824</v>
      </c>
      <c r="DT656">
        <v>1</v>
      </c>
      <c r="DU656">
        <v>140</v>
      </c>
      <c r="DV656">
        <v>100</v>
      </c>
      <c r="DW656" s="74">
        <f ca="1">INDIRECT(ADDRESS(11+(MATCH(RIGHT(Table14[[#This Row],[spawner_sku]],LEN(Table14[[#This Row],[spawner_sku]])-FIND("/",Table14[[#This Row],[spawner_sku]])),Table1[Entity Prefab],0)),10,1,1,"Entities"))</f>
        <v>105</v>
      </c>
      <c r="DX656" s="74">
        <f ca="1">ROUND((Table14[[#This Row],[XP]]*Table14[[#This Row],[entity_spawned (AVG)]])*(Table14[[#This Row],[activating_chance]]/100),0)</f>
        <v>105</v>
      </c>
      <c r="DY656" s="144" t="str">
        <f ca="1">INDIRECT(ADDRESS(11+(MATCH(RIGHT(Table14[[#This Row],[spawner_sku]],LEN(Table14[[#This Row],[spawner_sku]])-FIND("/",Table14[[#This Row],[spawner_sku]])),Table28[Entity Prefab],0)),25,1,1,"Entities"))</f>
        <v>yes</v>
      </c>
      <c r="DZ656" s="71">
        <v>1</v>
      </c>
      <c r="EA656" s="71">
        <v>1</v>
      </c>
      <c r="EB656" s="71" t="b">
        <v>0</v>
      </c>
      <c r="EC656" s="71"/>
    </row>
    <row r="657" spans="123:133" x14ac:dyDescent="0.25">
      <c r="DS657" t="s">
        <v>3824</v>
      </c>
      <c r="DT657">
        <v>1</v>
      </c>
      <c r="DU657">
        <v>100</v>
      </c>
      <c r="DV657">
        <v>100</v>
      </c>
      <c r="DW657" s="74">
        <f ca="1">INDIRECT(ADDRESS(11+(MATCH(RIGHT(Table14[[#This Row],[spawner_sku]],LEN(Table14[[#This Row],[spawner_sku]])-FIND("/",Table14[[#This Row],[spawner_sku]])),Table1[Entity Prefab],0)),10,1,1,"Entities"))</f>
        <v>105</v>
      </c>
      <c r="DX657" s="74">
        <f ca="1">ROUND((Table14[[#This Row],[XP]]*Table14[[#This Row],[entity_spawned (AVG)]])*(Table14[[#This Row],[activating_chance]]/100),0)</f>
        <v>105</v>
      </c>
      <c r="DY657" s="144" t="str">
        <f ca="1">INDIRECT(ADDRESS(11+(MATCH(RIGHT(Table14[[#This Row],[spawner_sku]],LEN(Table14[[#This Row],[spawner_sku]])-FIND("/",Table14[[#This Row],[spawner_sku]])),Table28[Entity Prefab],0)),25,1,1,"Entities"))</f>
        <v>yes</v>
      </c>
      <c r="DZ657" s="71">
        <v>1</v>
      </c>
      <c r="EA657" s="71">
        <v>1</v>
      </c>
      <c r="EB657" s="71" t="b">
        <v>0</v>
      </c>
      <c r="EC657" s="71"/>
    </row>
    <row r="658" spans="123:133" x14ac:dyDescent="0.25">
      <c r="DS658" t="s">
        <v>3824</v>
      </c>
      <c r="DT658">
        <v>1</v>
      </c>
      <c r="DU658">
        <v>180</v>
      </c>
      <c r="DV658">
        <v>50</v>
      </c>
      <c r="DW658" s="74">
        <f ca="1">INDIRECT(ADDRESS(11+(MATCH(RIGHT(Table14[[#This Row],[spawner_sku]],LEN(Table14[[#This Row],[spawner_sku]])-FIND("/",Table14[[#This Row],[spawner_sku]])),Table1[Entity Prefab],0)),10,1,1,"Entities"))</f>
        <v>105</v>
      </c>
      <c r="DX658" s="74">
        <f ca="1">ROUND((Table14[[#This Row],[XP]]*Table14[[#This Row],[entity_spawned (AVG)]])*(Table14[[#This Row],[activating_chance]]/100),0)</f>
        <v>53</v>
      </c>
      <c r="DY658" s="144" t="str">
        <f ca="1">INDIRECT(ADDRESS(11+(MATCH(RIGHT(Table14[[#This Row],[spawner_sku]],LEN(Table14[[#This Row],[spawner_sku]])-FIND("/",Table14[[#This Row],[spawner_sku]])),Table28[Entity Prefab],0)),25,1,1,"Entities"))</f>
        <v>yes</v>
      </c>
      <c r="DZ658" s="71">
        <v>1</v>
      </c>
      <c r="EA658" s="71">
        <v>1</v>
      </c>
      <c r="EB658" s="71" t="b">
        <v>0</v>
      </c>
      <c r="EC658" s="71"/>
    </row>
    <row r="659" spans="123:133" x14ac:dyDescent="0.25">
      <c r="DS659" t="s">
        <v>3824</v>
      </c>
      <c r="DT659">
        <v>1</v>
      </c>
      <c r="DU659">
        <v>90</v>
      </c>
      <c r="DV659">
        <v>40</v>
      </c>
      <c r="DW659" s="74">
        <f ca="1">INDIRECT(ADDRESS(11+(MATCH(RIGHT(Table14[[#This Row],[spawner_sku]],LEN(Table14[[#This Row],[spawner_sku]])-FIND("/",Table14[[#This Row],[spawner_sku]])),Table1[Entity Prefab],0)),10,1,1,"Entities"))</f>
        <v>105</v>
      </c>
      <c r="DX659" s="74">
        <f ca="1">ROUND((Table14[[#This Row],[XP]]*Table14[[#This Row],[entity_spawned (AVG)]])*(Table14[[#This Row],[activating_chance]]/100),0)</f>
        <v>42</v>
      </c>
      <c r="DY659" s="144" t="str">
        <f ca="1">INDIRECT(ADDRESS(11+(MATCH(RIGHT(Table14[[#This Row],[spawner_sku]],LEN(Table14[[#This Row],[spawner_sku]])-FIND("/",Table14[[#This Row],[spawner_sku]])),Table28[Entity Prefab],0)),25,1,1,"Entities"))</f>
        <v>yes</v>
      </c>
      <c r="DZ659" s="71">
        <v>1</v>
      </c>
      <c r="EA659" s="71">
        <v>1</v>
      </c>
      <c r="EB659" s="71" t="b">
        <v>0</v>
      </c>
      <c r="EC659" s="71"/>
    </row>
    <row r="660" spans="123:133" x14ac:dyDescent="0.25">
      <c r="DS660" t="s">
        <v>3824</v>
      </c>
      <c r="DT660">
        <v>1</v>
      </c>
      <c r="DU660">
        <v>100</v>
      </c>
      <c r="DV660">
        <v>100</v>
      </c>
      <c r="DW660" s="74">
        <f ca="1">INDIRECT(ADDRESS(11+(MATCH(RIGHT(Table14[[#This Row],[spawner_sku]],LEN(Table14[[#This Row],[spawner_sku]])-FIND("/",Table14[[#This Row],[spawner_sku]])),Table1[Entity Prefab],0)),10,1,1,"Entities"))</f>
        <v>105</v>
      </c>
      <c r="DX660" s="74">
        <f ca="1">ROUND((Table14[[#This Row],[XP]]*Table14[[#This Row],[entity_spawned (AVG)]])*(Table14[[#This Row],[activating_chance]]/100),0)</f>
        <v>105</v>
      </c>
      <c r="DY660" s="144" t="str">
        <f ca="1">INDIRECT(ADDRESS(11+(MATCH(RIGHT(Table14[[#This Row],[spawner_sku]],LEN(Table14[[#This Row],[spawner_sku]])-FIND("/",Table14[[#This Row],[spawner_sku]])),Table28[Entity Prefab],0)),25,1,1,"Entities"))</f>
        <v>yes</v>
      </c>
      <c r="DZ660" s="71">
        <v>1</v>
      </c>
      <c r="EA660" s="71">
        <v>1</v>
      </c>
      <c r="EB660" s="71" t="b">
        <v>0</v>
      </c>
      <c r="EC660" s="71"/>
    </row>
    <row r="661" spans="123:133" x14ac:dyDescent="0.25">
      <c r="DS661" t="s">
        <v>3824</v>
      </c>
      <c r="DT661">
        <v>1.5</v>
      </c>
      <c r="DU661">
        <v>100</v>
      </c>
      <c r="DV661">
        <v>100</v>
      </c>
      <c r="DW661" s="74">
        <f ca="1">INDIRECT(ADDRESS(11+(MATCH(RIGHT(Table14[[#This Row],[spawner_sku]],LEN(Table14[[#This Row],[spawner_sku]])-FIND("/",Table14[[#This Row],[spawner_sku]])),Table1[Entity Prefab],0)),10,1,1,"Entities"))</f>
        <v>105</v>
      </c>
      <c r="DX661" s="74">
        <f ca="1">ROUND((Table14[[#This Row],[XP]]*Table14[[#This Row],[entity_spawned (AVG)]])*(Table14[[#This Row],[activating_chance]]/100),0)</f>
        <v>158</v>
      </c>
      <c r="DY661" s="144" t="str">
        <f ca="1">INDIRECT(ADDRESS(11+(MATCH(RIGHT(Table14[[#This Row],[spawner_sku]],LEN(Table14[[#This Row],[spawner_sku]])-FIND("/",Table14[[#This Row],[spawner_sku]])),Table28[Entity Prefab],0)),25,1,1,"Entities"))</f>
        <v>yes</v>
      </c>
      <c r="DZ661" s="71">
        <v>1</v>
      </c>
      <c r="EA661" s="71">
        <v>2</v>
      </c>
      <c r="EB661" s="71" t="b">
        <v>0</v>
      </c>
      <c r="EC661" s="71"/>
    </row>
    <row r="662" spans="123:133" x14ac:dyDescent="0.25">
      <c r="DS662" t="s">
        <v>3824</v>
      </c>
      <c r="DT662">
        <v>1</v>
      </c>
      <c r="DU662">
        <v>100</v>
      </c>
      <c r="DV662">
        <v>100</v>
      </c>
      <c r="DW662" s="74">
        <f ca="1">INDIRECT(ADDRESS(11+(MATCH(RIGHT(Table14[[#This Row],[spawner_sku]],LEN(Table14[[#This Row],[spawner_sku]])-FIND("/",Table14[[#This Row],[spawner_sku]])),Table1[Entity Prefab],0)),10,1,1,"Entities"))</f>
        <v>105</v>
      </c>
      <c r="DX662" s="74">
        <f ca="1">ROUND((Table14[[#This Row],[XP]]*Table14[[#This Row],[entity_spawned (AVG)]])*(Table14[[#This Row],[activating_chance]]/100),0)</f>
        <v>105</v>
      </c>
      <c r="DY662" s="144" t="str">
        <f ca="1">INDIRECT(ADDRESS(11+(MATCH(RIGHT(Table14[[#This Row],[spawner_sku]],LEN(Table14[[#This Row],[spawner_sku]])-FIND("/",Table14[[#This Row],[spawner_sku]])),Table28[Entity Prefab],0)),25,1,1,"Entities"))</f>
        <v>yes</v>
      </c>
      <c r="DZ662" s="71">
        <v>1</v>
      </c>
      <c r="EA662" s="71">
        <v>1</v>
      </c>
      <c r="EB662" s="71" t="b">
        <v>0</v>
      </c>
      <c r="EC662" s="71"/>
    </row>
    <row r="663" spans="123:133" x14ac:dyDescent="0.25">
      <c r="DS663" t="s">
        <v>3824</v>
      </c>
      <c r="DT663">
        <v>1</v>
      </c>
      <c r="DU663">
        <v>90</v>
      </c>
      <c r="DV663">
        <v>100</v>
      </c>
      <c r="DW663" s="74">
        <f ca="1">INDIRECT(ADDRESS(11+(MATCH(RIGHT(Table14[[#This Row],[spawner_sku]],LEN(Table14[[#This Row],[spawner_sku]])-FIND("/",Table14[[#This Row],[spawner_sku]])),Table1[Entity Prefab],0)),10,1,1,"Entities"))</f>
        <v>105</v>
      </c>
      <c r="DX663" s="74">
        <f ca="1">ROUND((Table14[[#This Row],[XP]]*Table14[[#This Row],[entity_spawned (AVG)]])*(Table14[[#This Row],[activating_chance]]/100),0)</f>
        <v>105</v>
      </c>
      <c r="DY663" s="144" t="str">
        <f ca="1">INDIRECT(ADDRESS(11+(MATCH(RIGHT(Table14[[#This Row],[spawner_sku]],LEN(Table14[[#This Row],[spawner_sku]])-FIND("/",Table14[[#This Row],[spawner_sku]])),Table28[Entity Prefab],0)),25,1,1,"Entities"))</f>
        <v>yes</v>
      </c>
      <c r="DZ663" s="71">
        <v>1</v>
      </c>
      <c r="EA663" s="71">
        <v>1</v>
      </c>
      <c r="EB663" s="71" t="b">
        <v>0</v>
      </c>
      <c r="EC663" s="71"/>
    </row>
    <row r="664" spans="123:133" x14ac:dyDescent="0.25">
      <c r="DS664" t="s">
        <v>3824</v>
      </c>
      <c r="DT664">
        <v>1</v>
      </c>
      <c r="DU664">
        <v>100</v>
      </c>
      <c r="DV664">
        <v>100</v>
      </c>
      <c r="DW664" s="74">
        <f ca="1">INDIRECT(ADDRESS(11+(MATCH(RIGHT(Table14[[#This Row],[spawner_sku]],LEN(Table14[[#This Row],[spawner_sku]])-FIND("/",Table14[[#This Row],[spawner_sku]])),Table1[Entity Prefab],0)),10,1,1,"Entities"))</f>
        <v>105</v>
      </c>
      <c r="DX664" s="74">
        <f ca="1">ROUND((Table14[[#This Row],[XP]]*Table14[[#This Row],[entity_spawned (AVG)]])*(Table14[[#This Row],[activating_chance]]/100),0)</f>
        <v>105</v>
      </c>
      <c r="DY664" s="144" t="str">
        <f ca="1">INDIRECT(ADDRESS(11+(MATCH(RIGHT(Table14[[#This Row],[spawner_sku]],LEN(Table14[[#This Row],[spawner_sku]])-FIND("/",Table14[[#This Row],[spawner_sku]])),Table28[Entity Prefab],0)),25,1,1,"Entities"))</f>
        <v>yes</v>
      </c>
      <c r="DZ664" s="71">
        <v>1</v>
      </c>
      <c r="EA664" s="71">
        <v>1</v>
      </c>
      <c r="EB664" s="71" t="b">
        <v>0</v>
      </c>
      <c r="EC664" s="71"/>
    </row>
    <row r="665" spans="123:133" x14ac:dyDescent="0.25">
      <c r="DS665" t="s">
        <v>3824</v>
      </c>
      <c r="DT665">
        <v>1</v>
      </c>
      <c r="DU665">
        <v>100</v>
      </c>
      <c r="DV665">
        <v>100</v>
      </c>
      <c r="DW665" s="74">
        <f ca="1">INDIRECT(ADDRESS(11+(MATCH(RIGHT(Table14[[#This Row],[spawner_sku]],LEN(Table14[[#This Row],[spawner_sku]])-FIND("/",Table14[[#This Row],[spawner_sku]])),Table1[Entity Prefab],0)),10,1,1,"Entities"))</f>
        <v>105</v>
      </c>
      <c r="DX665" s="74">
        <f ca="1">ROUND((Table14[[#This Row],[XP]]*Table14[[#This Row],[entity_spawned (AVG)]])*(Table14[[#This Row],[activating_chance]]/100),0)</f>
        <v>105</v>
      </c>
      <c r="DY665" s="144" t="str">
        <f ca="1">INDIRECT(ADDRESS(11+(MATCH(RIGHT(Table14[[#This Row],[spawner_sku]],LEN(Table14[[#This Row],[spawner_sku]])-FIND("/",Table14[[#This Row],[spawner_sku]])),Table28[Entity Prefab],0)),25,1,1,"Entities"))</f>
        <v>yes</v>
      </c>
      <c r="DZ665" s="71">
        <v>1</v>
      </c>
      <c r="EA665" s="71">
        <v>1</v>
      </c>
      <c r="EB665" s="71" t="b">
        <v>0</v>
      </c>
      <c r="EC665" s="71"/>
    </row>
    <row r="666" spans="123:133" x14ac:dyDescent="0.25">
      <c r="DS666" t="s">
        <v>3824</v>
      </c>
      <c r="DT666">
        <v>1</v>
      </c>
      <c r="DU666">
        <v>180</v>
      </c>
      <c r="DV666">
        <v>100</v>
      </c>
      <c r="DW666" s="74">
        <f ca="1">INDIRECT(ADDRESS(11+(MATCH(RIGHT(Table14[[#This Row],[spawner_sku]],LEN(Table14[[#This Row],[spawner_sku]])-FIND("/",Table14[[#This Row],[spawner_sku]])),Table1[Entity Prefab],0)),10,1,1,"Entities"))</f>
        <v>105</v>
      </c>
      <c r="DX666" s="74">
        <f ca="1">ROUND((Table14[[#This Row],[XP]]*Table14[[#This Row],[entity_spawned (AVG)]])*(Table14[[#This Row],[activating_chance]]/100),0)</f>
        <v>105</v>
      </c>
      <c r="DY666" s="144" t="str">
        <f ca="1">INDIRECT(ADDRESS(11+(MATCH(RIGHT(Table14[[#This Row],[spawner_sku]],LEN(Table14[[#This Row],[spawner_sku]])-FIND("/",Table14[[#This Row],[spawner_sku]])),Table28[Entity Prefab],0)),25,1,1,"Entities"))</f>
        <v>yes</v>
      </c>
      <c r="DZ666" s="71">
        <v>1</v>
      </c>
      <c r="EA666" s="71">
        <v>1</v>
      </c>
      <c r="EB666" s="71" t="b">
        <v>0</v>
      </c>
      <c r="EC666" s="71"/>
    </row>
    <row r="667" spans="123:133" x14ac:dyDescent="0.25">
      <c r="DS667" t="s">
        <v>3824</v>
      </c>
      <c r="DT667">
        <v>1</v>
      </c>
      <c r="DU667">
        <v>100</v>
      </c>
      <c r="DV667">
        <v>100</v>
      </c>
      <c r="DW667" s="74">
        <f ca="1">INDIRECT(ADDRESS(11+(MATCH(RIGHT(Table14[[#This Row],[spawner_sku]],LEN(Table14[[#This Row],[spawner_sku]])-FIND("/",Table14[[#This Row],[spawner_sku]])),Table1[Entity Prefab],0)),10,1,1,"Entities"))</f>
        <v>105</v>
      </c>
      <c r="DX667" s="74">
        <f ca="1">ROUND((Table14[[#This Row],[XP]]*Table14[[#This Row],[entity_spawned (AVG)]])*(Table14[[#This Row],[activating_chance]]/100),0)</f>
        <v>105</v>
      </c>
      <c r="DY667" s="144" t="str">
        <f ca="1">INDIRECT(ADDRESS(11+(MATCH(RIGHT(Table14[[#This Row],[spawner_sku]],LEN(Table14[[#This Row],[spawner_sku]])-FIND("/",Table14[[#This Row],[spawner_sku]])),Table28[Entity Prefab],0)),25,1,1,"Entities"))</f>
        <v>yes</v>
      </c>
      <c r="DZ667" s="71">
        <v>1</v>
      </c>
      <c r="EA667" s="71">
        <v>1</v>
      </c>
      <c r="EB667" s="71" t="b">
        <v>0</v>
      </c>
      <c r="EC667" s="71"/>
    </row>
    <row r="668" spans="123:133" x14ac:dyDescent="0.25">
      <c r="DS668" t="s">
        <v>3824</v>
      </c>
      <c r="DT668">
        <v>1</v>
      </c>
      <c r="DU668">
        <v>100</v>
      </c>
      <c r="DV668">
        <v>100</v>
      </c>
      <c r="DW668" s="74">
        <f ca="1">INDIRECT(ADDRESS(11+(MATCH(RIGHT(Table14[[#This Row],[spawner_sku]],LEN(Table14[[#This Row],[spawner_sku]])-FIND("/",Table14[[#This Row],[spawner_sku]])),Table1[Entity Prefab],0)),10,1,1,"Entities"))</f>
        <v>105</v>
      </c>
      <c r="DX668" s="74">
        <f ca="1">ROUND((Table14[[#This Row],[XP]]*Table14[[#This Row],[entity_spawned (AVG)]])*(Table14[[#This Row],[activating_chance]]/100),0)</f>
        <v>105</v>
      </c>
      <c r="DY668" s="144" t="str">
        <f ca="1">INDIRECT(ADDRESS(11+(MATCH(RIGHT(Table14[[#This Row],[spawner_sku]],LEN(Table14[[#This Row],[spawner_sku]])-FIND("/",Table14[[#This Row],[spawner_sku]])),Table28[Entity Prefab],0)),25,1,1,"Entities"))</f>
        <v>yes</v>
      </c>
      <c r="DZ668" s="71">
        <v>1</v>
      </c>
      <c r="EA668" s="71">
        <v>1</v>
      </c>
      <c r="EB668" s="71" t="b">
        <v>0</v>
      </c>
      <c r="EC668" s="71"/>
    </row>
    <row r="669" spans="123:133" x14ac:dyDescent="0.25">
      <c r="DS669" t="s">
        <v>3824</v>
      </c>
      <c r="DT669">
        <v>1</v>
      </c>
      <c r="DU669">
        <v>140</v>
      </c>
      <c r="DV669">
        <v>100</v>
      </c>
      <c r="DW669" s="74">
        <f ca="1">INDIRECT(ADDRESS(11+(MATCH(RIGHT(Table14[[#This Row],[spawner_sku]],LEN(Table14[[#This Row],[spawner_sku]])-FIND("/",Table14[[#This Row],[spawner_sku]])),Table1[Entity Prefab],0)),10,1,1,"Entities"))</f>
        <v>105</v>
      </c>
      <c r="DX669" s="74">
        <f ca="1">ROUND((Table14[[#This Row],[XP]]*Table14[[#This Row],[entity_spawned (AVG)]])*(Table14[[#This Row],[activating_chance]]/100),0)</f>
        <v>105</v>
      </c>
      <c r="DY669" s="144" t="str">
        <f ca="1">INDIRECT(ADDRESS(11+(MATCH(RIGHT(Table14[[#This Row],[spawner_sku]],LEN(Table14[[#This Row],[spawner_sku]])-FIND("/",Table14[[#This Row],[spawner_sku]])),Table28[Entity Prefab],0)),25,1,1,"Entities"))</f>
        <v>yes</v>
      </c>
      <c r="DZ669" s="71">
        <v>1</v>
      </c>
      <c r="EA669" s="71">
        <v>1</v>
      </c>
      <c r="EB669" s="71" t="b">
        <v>0</v>
      </c>
      <c r="EC669" s="71"/>
    </row>
    <row r="670" spans="123:133" x14ac:dyDescent="0.25">
      <c r="DS670" t="s">
        <v>3824</v>
      </c>
      <c r="DT670">
        <v>1</v>
      </c>
      <c r="DU670">
        <v>100</v>
      </c>
      <c r="DV670">
        <v>100</v>
      </c>
      <c r="DW670" s="74">
        <f ca="1">INDIRECT(ADDRESS(11+(MATCH(RIGHT(Table14[[#This Row],[spawner_sku]],LEN(Table14[[#This Row],[spawner_sku]])-FIND("/",Table14[[#This Row],[spawner_sku]])),Table1[Entity Prefab],0)),10,1,1,"Entities"))</f>
        <v>105</v>
      </c>
      <c r="DX670" s="74">
        <f ca="1">ROUND((Table14[[#This Row],[XP]]*Table14[[#This Row],[entity_spawned (AVG)]])*(Table14[[#This Row],[activating_chance]]/100),0)</f>
        <v>105</v>
      </c>
      <c r="DY670" s="144" t="str">
        <f ca="1">INDIRECT(ADDRESS(11+(MATCH(RIGHT(Table14[[#This Row],[spawner_sku]],LEN(Table14[[#This Row],[spawner_sku]])-FIND("/",Table14[[#This Row],[spawner_sku]])),Table28[Entity Prefab],0)),25,1,1,"Entities"))</f>
        <v>yes</v>
      </c>
      <c r="DZ670" s="71">
        <v>1</v>
      </c>
      <c r="EA670" s="71">
        <v>1</v>
      </c>
      <c r="EB670" s="71" t="b">
        <v>0</v>
      </c>
      <c r="EC670" s="71"/>
    </row>
    <row r="671" spans="123:133" x14ac:dyDescent="0.25">
      <c r="DS671" t="s">
        <v>3824</v>
      </c>
      <c r="DT671">
        <v>1</v>
      </c>
      <c r="DU671">
        <v>90</v>
      </c>
      <c r="DV671">
        <v>40</v>
      </c>
      <c r="DW671" s="74">
        <f ca="1">INDIRECT(ADDRESS(11+(MATCH(RIGHT(Table14[[#This Row],[spawner_sku]],LEN(Table14[[#This Row],[spawner_sku]])-FIND("/",Table14[[#This Row],[spawner_sku]])),Table1[Entity Prefab],0)),10,1,1,"Entities"))</f>
        <v>105</v>
      </c>
      <c r="DX671" s="74">
        <f ca="1">ROUND((Table14[[#This Row],[XP]]*Table14[[#This Row],[entity_spawned (AVG)]])*(Table14[[#This Row],[activating_chance]]/100),0)</f>
        <v>42</v>
      </c>
      <c r="DY671" s="144" t="str">
        <f ca="1">INDIRECT(ADDRESS(11+(MATCH(RIGHT(Table14[[#This Row],[spawner_sku]],LEN(Table14[[#This Row],[spawner_sku]])-FIND("/",Table14[[#This Row],[spawner_sku]])),Table28[Entity Prefab],0)),25,1,1,"Entities"))</f>
        <v>yes</v>
      </c>
      <c r="DZ671" s="71">
        <v>1</v>
      </c>
      <c r="EA671" s="71">
        <v>1</v>
      </c>
      <c r="EB671" s="71" t="b">
        <v>0</v>
      </c>
      <c r="EC671" s="71"/>
    </row>
    <row r="672" spans="123:133" x14ac:dyDescent="0.25">
      <c r="DS672" t="s">
        <v>3824</v>
      </c>
      <c r="DT672">
        <v>1</v>
      </c>
      <c r="DU672">
        <v>100</v>
      </c>
      <c r="DV672">
        <v>50</v>
      </c>
      <c r="DW672" s="74">
        <f ca="1">INDIRECT(ADDRESS(11+(MATCH(RIGHT(Table14[[#This Row],[spawner_sku]],LEN(Table14[[#This Row],[spawner_sku]])-FIND("/",Table14[[#This Row],[spawner_sku]])),Table1[Entity Prefab],0)),10,1,1,"Entities"))</f>
        <v>105</v>
      </c>
      <c r="DX672" s="74">
        <f ca="1">ROUND((Table14[[#This Row],[XP]]*Table14[[#This Row],[entity_spawned (AVG)]])*(Table14[[#This Row],[activating_chance]]/100),0)</f>
        <v>53</v>
      </c>
      <c r="DY672" s="144" t="str">
        <f ca="1">INDIRECT(ADDRESS(11+(MATCH(RIGHT(Table14[[#This Row],[spawner_sku]],LEN(Table14[[#This Row],[spawner_sku]])-FIND("/",Table14[[#This Row],[spawner_sku]])),Table28[Entity Prefab],0)),25,1,1,"Entities"))</f>
        <v>yes</v>
      </c>
      <c r="DZ672" s="71">
        <v>1</v>
      </c>
      <c r="EA672" s="71">
        <v>1</v>
      </c>
      <c r="EB672" s="71" t="b">
        <v>0</v>
      </c>
      <c r="EC672" s="71"/>
    </row>
    <row r="673" spans="123:133" x14ac:dyDescent="0.25">
      <c r="DS673" t="s">
        <v>3824</v>
      </c>
      <c r="DT673">
        <v>1</v>
      </c>
      <c r="DU673">
        <v>60</v>
      </c>
      <c r="DV673">
        <v>100</v>
      </c>
      <c r="DW673" s="74">
        <f ca="1">INDIRECT(ADDRESS(11+(MATCH(RIGHT(Table14[[#This Row],[spawner_sku]],LEN(Table14[[#This Row],[spawner_sku]])-FIND("/",Table14[[#This Row],[spawner_sku]])),Table1[Entity Prefab],0)),10,1,1,"Entities"))</f>
        <v>105</v>
      </c>
      <c r="DX673" s="74">
        <f ca="1">ROUND((Table14[[#This Row],[XP]]*Table14[[#This Row],[entity_spawned (AVG)]])*(Table14[[#This Row],[activating_chance]]/100),0)</f>
        <v>105</v>
      </c>
      <c r="DY673" s="144" t="str">
        <f ca="1">INDIRECT(ADDRESS(11+(MATCH(RIGHT(Table14[[#This Row],[spawner_sku]],LEN(Table14[[#This Row],[spawner_sku]])-FIND("/",Table14[[#This Row],[spawner_sku]])),Table28[Entity Prefab],0)),25,1,1,"Entities"))</f>
        <v>yes</v>
      </c>
      <c r="DZ673" s="71">
        <v>1</v>
      </c>
      <c r="EA673" s="71">
        <v>1</v>
      </c>
      <c r="EB673" s="71" t="b">
        <v>0</v>
      </c>
      <c r="EC673" s="71"/>
    </row>
    <row r="674" spans="123:133" x14ac:dyDescent="0.25">
      <c r="DS674" t="s">
        <v>3824</v>
      </c>
      <c r="DT674">
        <v>1</v>
      </c>
      <c r="DU674">
        <v>150</v>
      </c>
      <c r="DV674">
        <v>100</v>
      </c>
      <c r="DW674" s="74">
        <f ca="1">INDIRECT(ADDRESS(11+(MATCH(RIGHT(Table14[[#This Row],[spawner_sku]],LEN(Table14[[#This Row],[spawner_sku]])-FIND("/",Table14[[#This Row],[spawner_sku]])),Table1[Entity Prefab],0)),10,1,1,"Entities"))</f>
        <v>105</v>
      </c>
      <c r="DX674" s="74">
        <f ca="1">ROUND((Table14[[#This Row],[XP]]*Table14[[#This Row],[entity_spawned (AVG)]])*(Table14[[#This Row],[activating_chance]]/100),0)</f>
        <v>105</v>
      </c>
      <c r="DY674" s="144" t="str">
        <f ca="1">INDIRECT(ADDRESS(11+(MATCH(RIGHT(Table14[[#This Row],[spawner_sku]],LEN(Table14[[#This Row],[spawner_sku]])-FIND("/",Table14[[#This Row],[spawner_sku]])),Table28[Entity Prefab],0)),25,1,1,"Entities"))</f>
        <v>yes</v>
      </c>
      <c r="DZ674" s="71">
        <v>1</v>
      </c>
      <c r="EA674" s="71">
        <v>1</v>
      </c>
      <c r="EB674" s="71" t="b">
        <v>0</v>
      </c>
      <c r="EC674" s="71"/>
    </row>
    <row r="675" spans="123:133" x14ac:dyDescent="0.25">
      <c r="DS675" t="s">
        <v>3824</v>
      </c>
      <c r="DT675">
        <v>1</v>
      </c>
      <c r="DU675">
        <v>100</v>
      </c>
      <c r="DV675">
        <v>100</v>
      </c>
      <c r="DW675" s="74">
        <f ca="1">INDIRECT(ADDRESS(11+(MATCH(RIGHT(Table14[[#This Row],[spawner_sku]],LEN(Table14[[#This Row],[spawner_sku]])-FIND("/",Table14[[#This Row],[spawner_sku]])),Table1[Entity Prefab],0)),10,1,1,"Entities"))</f>
        <v>105</v>
      </c>
      <c r="DX675" s="74">
        <f ca="1">ROUND((Table14[[#This Row],[XP]]*Table14[[#This Row],[entity_spawned (AVG)]])*(Table14[[#This Row],[activating_chance]]/100),0)</f>
        <v>105</v>
      </c>
      <c r="DY675" s="144" t="str">
        <f ca="1">INDIRECT(ADDRESS(11+(MATCH(RIGHT(Table14[[#This Row],[spawner_sku]],LEN(Table14[[#This Row],[spawner_sku]])-FIND("/",Table14[[#This Row],[spawner_sku]])),Table28[Entity Prefab],0)),25,1,1,"Entities"))</f>
        <v>yes</v>
      </c>
      <c r="DZ675" s="71">
        <v>1</v>
      </c>
      <c r="EA675" s="71">
        <v>1</v>
      </c>
      <c r="EB675" s="71" t="b">
        <v>0</v>
      </c>
      <c r="EC675" s="71"/>
    </row>
    <row r="676" spans="123:133" x14ac:dyDescent="0.25">
      <c r="DS676" t="s">
        <v>3824</v>
      </c>
      <c r="DT676">
        <v>1</v>
      </c>
      <c r="DU676">
        <v>90</v>
      </c>
      <c r="DV676">
        <v>100</v>
      </c>
      <c r="DW676" s="74">
        <f ca="1">INDIRECT(ADDRESS(11+(MATCH(RIGHT(Table14[[#This Row],[spawner_sku]],LEN(Table14[[#This Row],[spawner_sku]])-FIND("/",Table14[[#This Row],[spawner_sku]])),Table1[Entity Prefab],0)),10,1,1,"Entities"))</f>
        <v>105</v>
      </c>
      <c r="DX676" s="74">
        <f ca="1">ROUND((Table14[[#This Row],[XP]]*Table14[[#This Row],[entity_spawned (AVG)]])*(Table14[[#This Row],[activating_chance]]/100),0)</f>
        <v>105</v>
      </c>
      <c r="DY676" s="144" t="str">
        <f ca="1">INDIRECT(ADDRESS(11+(MATCH(RIGHT(Table14[[#This Row],[spawner_sku]],LEN(Table14[[#This Row],[spawner_sku]])-FIND("/",Table14[[#This Row],[spawner_sku]])),Table28[Entity Prefab],0)),25,1,1,"Entities"))</f>
        <v>yes</v>
      </c>
      <c r="DZ676" s="71">
        <v>1</v>
      </c>
      <c r="EA676" s="71">
        <v>1</v>
      </c>
      <c r="EB676" s="71" t="b">
        <v>0</v>
      </c>
      <c r="EC676" s="71"/>
    </row>
    <row r="677" spans="123:133" x14ac:dyDescent="0.25">
      <c r="DS677" t="s">
        <v>3824</v>
      </c>
      <c r="DT677">
        <v>1</v>
      </c>
      <c r="DU677">
        <v>180</v>
      </c>
      <c r="DV677">
        <v>100</v>
      </c>
      <c r="DW677" s="74">
        <f ca="1">INDIRECT(ADDRESS(11+(MATCH(RIGHT(Table14[[#This Row],[spawner_sku]],LEN(Table14[[#This Row],[spawner_sku]])-FIND("/",Table14[[#This Row],[spawner_sku]])),Table1[Entity Prefab],0)),10,1,1,"Entities"))</f>
        <v>105</v>
      </c>
      <c r="DX677" s="74">
        <f ca="1">ROUND((Table14[[#This Row],[XP]]*Table14[[#This Row],[entity_spawned (AVG)]])*(Table14[[#This Row],[activating_chance]]/100),0)</f>
        <v>105</v>
      </c>
      <c r="DY677" s="144" t="str">
        <f ca="1">INDIRECT(ADDRESS(11+(MATCH(RIGHT(Table14[[#This Row],[spawner_sku]],LEN(Table14[[#This Row],[spawner_sku]])-FIND("/",Table14[[#This Row],[spawner_sku]])),Table28[Entity Prefab],0)),25,1,1,"Entities"))</f>
        <v>yes</v>
      </c>
      <c r="DZ677" s="71">
        <v>1</v>
      </c>
      <c r="EA677" s="71">
        <v>1</v>
      </c>
      <c r="EB677" s="71" t="b">
        <v>0</v>
      </c>
      <c r="EC677" s="71"/>
    </row>
    <row r="678" spans="123:133" x14ac:dyDescent="0.25">
      <c r="DS678" t="s">
        <v>3824</v>
      </c>
      <c r="DT678">
        <v>1</v>
      </c>
      <c r="DU678">
        <v>140</v>
      </c>
      <c r="DV678">
        <v>50</v>
      </c>
      <c r="DW678" s="74">
        <f ca="1">INDIRECT(ADDRESS(11+(MATCH(RIGHT(Table14[[#This Row],[spawner_sku]],LEN(Table14[[#This Row],[spawner_sku]])-FIND("/",Table14[[#This Row],[spawner_sku]])),Table1[Entity Prefab],0)),10,1,1,"Entities"))</f>
        <v>105</v>
      </c>
      <c r="DX678" s="74">
        <f ca="1">ROUND((Table14[[#This Row],[XP]]*Table14[[#This Row],[entity_spawned (AVG)]])*(Table14[[#This Row],[activating_chance]]/100),0)</f>
        <v>53</v>
      </c>
      <c r="DY678" s="144" t="str">
        <f ca="1">INDIRECT(ADDRESS(11+(MATCH(RIGHT(Table14[[#This Row],[spawner_sku]],LEN(Table14[[#This Row],[spawner_sku]])-FIND("/",Table14[[#This Row],[spawner_sku]])),Table28[Entity Prefab],0)),25,1,1,"Entities"))</f>
        <v>yes</v>
      </c>
      <c r="DZ678" s="71">
        <v>1</v>
      </c>
      <c r="EA678" s="71">
        <v>1</v>
      </c>
      <c r="EB678" s="71" t="b">
        <v>0</v>
      </c>
      <c r="EC678" s="71"/>
    </row>
    <row r="679" spans="123:133" x14ac:dyDescent="0.25">
      <c r="DS679" t="s">
        <v>3824</v>
      </c>
      <c r="DT679">
        <v>1</v>
      </c>
      <c r="DU679">
        <v>100</v>
      </c>
      <c r="DV679">
        <v>100</v>
      </c>
      <c r="DW679" s="74">
        <f ca="1">INDIRECT(ADDRESS(11+(MATCH(RIGHT(Table14[[#This Row],[spawner_sku]],LEN(Table14[[#This Row],[spawner_sku]])-FIND("/",Table14[[#This Row],[spawner_sku]])),Table1[Entity Prefab],0)),10,1,1,"Entities"))</f>
        <v>105</v>
      </c>
      <c r="DX679" s="74">
        <f ca="1">ROUND((Table14[[#This Row],[XP]]*Table14[[#This Row],[entity_spawned (AVG)]])*(Table14[[#This Row],[activating_chance]]/100),0)</f>
        <v>105</v>
      </c>
      <c r="DY679" s="144" t="str">
        <f ca="1">INDIRECT(ADDRESS(11+(MATCH(RIGHT(Table14[[#This Row],[spawner_sku]],LEN(Table14[[#This Row],[spawner_sku]])-FIND("/",Table14[[#This Row],[spawner_sku]])),Table28[Entity Prefab],0)),25,1,1,"Entities"))</f>
        <v>yes</v>
      </c>
      <c r="DZ679" s="71">
        <v>1</v>
      </c>
      <c r="EA679" s="71">
        <v>1</v>
      </c>
      <c r="EB679" s="71" t="b">
        <v>0</v>
      </c>
      <c r="EC679" s="71"/>
    </row>
    <row r="680" spans="123:133" x14ac:dyDescent="0.25">
      <c r="DS680" t="s">
        <v>3824</v>
      </c>
      <c r="DT680">
        <v>1</v>
      </c>
      <c r="DU680">
        <v>140</v>
      </c>
      <c r="DV680">
        <v>100</v>
      </c>
      <c r="DW680" s="74">
        <f ca="1">INDIRECT(ADDRESS(11+(MATCH(RIGHT(Table14[[#This Row],[spawner_sku]],LEN(Table14[[#This Row],[spawner_sku]])-FIND("/",Table14[[#This Row],[spawner_sku]])),Table1[Entity Prefab],0)),10,1,1,"Entities"))</f>
        <v>105</v>
      </c>
      <c r="DX680" s="74">
        <f ca="1">ROUND((Table14[[#This Row],[XP]]*Table14[[#This Row],[entity_spawned (AVG)]])*(Table14[[#This Row],[activating_chance]]/100),0)</f>
        <v>105</v>
      </c>
      <c r="DY680" s="144" t="str">
        <f ca="1">INDIRECT(ADDRESS(11+(MATCH(RIGHT(Table14[[#This Row],[spawner_sku]],LEN(Table14[[#This Row],[spawner_sku]])-FIND("/",Table14[[#This Row],[spawner_sku]])),Table28[Entity Prefab],0)),25,1,1,"Entities"))</f>
        <v>yes</v>
      </c>
      <c r="DZ680" s="71">
        <v>1</v>
      </c>
      <c r="EA680" s="71">
        <v>1</v>
      </c>
      <c r="EB680" s="71" t="b">
        <v>0</v>
      </c>
      <c r="EC680" s="71"/>
    </row>
    <row r="681" spans="123:133" x14ac:dyDescent="0.25">
      <c r="DS681" t="s">
        <v>3824</v>
      </c>
      <c r="DT681">
        <v>1</v>
      </c>
      <c r="DU681">
        <v>140</v>
      </c>
      <c r="DV681">
        <v>100</v>
      </c>
      <c r="DW681" s="74">
        <f ca="1">INDIRECT(ADDRESS(11+(MATCH(RIGHT(Table14[[#This Row],[spawner_sku]],LEN(Table14[[#This Row],[spawner_sku]])-FIND("/",Table14[[#This Row],[spawner_sku]])),Table1[Entity Prefab],0)),10,1,1,"Entities"))</f>
        <v>105</v>
      </c>
      <c r="DX681" s="74">
        <f ca="1">ROUND((Table14[[#This Row],[XP]]*Table14[[#This Row],[entity_spawned (AVG)]])*(Table14[[#This Row],[activating_chance]]/100),0)</f>
        <v>105</v>
      </c>
      <c r="DY681" s="144" t="str">
        <f ca="1">INDIRECT(ADDRESS(11+(MATCH(RIGHT(Table14[[#This Row],[spawner_sku]],LEN(Table14[[#This Row],[spawner_sku]])-FIND("/",Table14[[#This Row],[spawner_sku]])),Table28[Entity Prefab],0)),25,1,1,"Entities"))</f>
        <v>yes</v>
      </c>
      <c r="DZ681" s="71">
        <v>1</v>
      </c>
      <c r="EA681" s="71">
        <v>1</v>
      </c>
      <c r="EB681" s="71" t="b">
        <v>0</v>
      </c>
      <c r="EC681" s="71"/>
    </row>
    <row r="682" spans="123:133" x14ac:dyDescent="0.25">
      <c r="DS682" t="s">
        <v>3824</v>
      </c>
      <c r="DT682">
        <v>1</v>
      </c>
      <c r="DU682">
        <v>140</v>
      </c>
      <c r="DV682">
        <v>50</v>
      </c>
      <c r="DW682" s="74">
        <f ca="1">INDIRECT(ADDRESS(11+(MATCH(RIGHT(Table14[[#This Row],[spawner_sku]],LEN(Table14[[#This Row],[spawner_sku]])-FIND("/",Table14[[#This Row],[spawner_sku]])),Table1[Entity Prefab],0)),10,1,1,"Entities"))</f>
        <v>105</v>
      </c>
      <c r="DX682" s="74">
        <f ca="1">ROUND((Table14[[#This Row],[XP]]*Table14[[#This Row],[entity_spawned (AVG)]])*(Table14[[#This Row],[activating_chance]]/100),0)</f>
        <v>53</v>
      </c>
      <c r="DY682" s="144" t="str">
        <f ca="1">INDIRECT(ADDRESS(11+(MATCH(RIGHT(Table14[[#This Row],[spawner_sku]],LEN(Table14[[#This Row],[spawner_sku]])-FIND("/",Table14[[#This Row],[spawner_sku]])),Table28[Entity Prefab],0)),25,1,1,"Entities"))</f>
        <v>yes</v>
      </c>
      <c r="DZ682" s="71">
        <v>1</v>
      </c>
      <c r="EA682" s="71">
        <v>1</v>
      </c>
      <c r="EB682" s="71" t="b">
        <v>0</v>
      </c>
      <c r="EC682" s="71"/>
    </row>
    <row r="683" spans="123:133" x14ac:dyDescent="0.25">
      <c r="DS683" t="s">
        <v>3825</v>
      </c>
      <c r="DT683">
        <v>2</v>
      </c>
      <c r="DU683">
        <v>120</v>
      </c>
      <c r="DV683">
        <v>100</v>
      </c>
      <c r="DW683" s="74">
        <f ca="1">INDIRECT(ADDRESS(11+(MATCH(RIGHT(Table14[[#This Row],[spawner_sku]],LEN(Table14[[#This Row],[spawner_sku]])-FIND("/",Table14[[#This Row],[spawner_sku]])),Table1[Entity Prefab],0)),10,1,1,"Entities"))</f>
        <v>45</v>
      </c>
      <c r="DX683" s="74">
        <f ca="1">ROUND((Table14[[#This Row],[XP]]*Table14[[#This Row],[entity_spawned (AVG)]])*(Table14[[#This Row],[activating_chance]]/100),0)</f>
        <v>90</v>
      </c>
      <c r="DY683" s="144" t="str">
        <f ca="1">INDIRECT(ADDRESS(11+(MATCH(RIGHT(Table14[[#This Row],[spawner_sku]],LEN(Table14[[#This Row],[spawner_sku]])-FIND("/",Table14[[#This Row],[spawner_sku]])),Table28[Entity Prefab],0)),25,1,1,"Entities"))</f>
        <v>no</v>
      </c>
      <c r="DZ683" s="71">
        <v>2</v>
      </c>
      <c r="EA683" s="71">
        <v>2</v>
      </c>
      <c r="EB683" s="71" t="b">
        <v>0</v>
      </c>
      <c r="EC683" s="71"/>
    </row>
    <row r="684" spans="123:133" x14ac:dyDescent="0.25">
      <c r="DS684" t="s">
        <v>3825</v>
      </c>
      <c r="DT684">
        <v>2</v>
      </c>
      <c r="DU684">
        <v>90</v>
      </c>
      <c r="DV684">
        <v>100</v>
      </c>
      <c r="DW684" s="74">
        <f ca="1">INDIRECT(ADDRESS(11+(MATCH(RIGHT(Table14[[#This Row],[spawner_sku]],LEN(Table14[[#This Row],[spawner_sku]])-FIND("/",Table14[[#This Row],[spawner_sku]])),Table1[Entity Prefab],0)),10,1,1,"Entities"))</f>
        <v>45</v>
      </c>
      <c r="DX684" s="74">
        <f ca="1">ROUND((Table14[[#This Row],[XP]]*Table14[[#This Row],[entity_spawned (AVG)]])*(Table14[[#This Row],[activating_chance]]/100),0)</f>
        <v>90</v>
      </c>
      <c r="DY684" s="144" t="str">
        <f ca="1">INDIRECT(ADDRESS(11+(MATCH(RIGHT(Table14[[#This Row],[spawner_sku]],LEN(Table14[[#This Row],[spawner_sku]])-FIND("/",Table14[[#This Row],[spawner_sku]])),Table28[Entity Prefab],0)),25,1,1,"Entities"))</f>
        <v>no</v>
      </c>
      <c r="DZ684" s="71">
        <v>2</v>
      </c>
      <c r="EA684" s="71">
        <v>2</v>
      </c>
      <c r="EB684" s="71" t="b">
        <v>0</v>
      </c>
      <c r="EC684" s="71"/>
    </row>
    <row r="685" spans="123:133" x14ac:dyDescent="0.25">
      <c r="DS685" t="s">
        <v>3825</v>
      </c>
      <c r="DT685">
        <v>2</v>
      </c>
      <c r="DU685">
        <v>100</v>
      </c>
      <c r="DV685">
        <v>100</v>
      </c>
      <c r="DW685" s="74">
        <f ca="1">INDIRECT(ADDRESS(11+(MATCH(RIGHT(Table14[[#This Row],[spawner_sku]],LEN(Table14[[#This Row],[spawner_sku]])-FIND("/",Table14[[#This Row],[spawner_sku]])),Table1[Entity Prefab],0)),10,1,1,"Entities"))</f>
        <v>45</v>
      </c>
      <c r="DX685" s="74">
        <f ca="1">ROUND((Table14[[#This Row],[XP]]*Table14[[#This Row],[entity_spawned (AVG)]])*(Table14[[#This Row],[activating_chance]]/100),0)</f>
        <v>90</v>
      </c>
      <c r="DY685" s="144" t="str">
        <f ca="1">INDIRECT(ADDRESS(11+(MATCH(RIGHT(Table14[[#This Row],[spawner_sku]],LEN(Table14[[#This Row],[spawner_sku]])-FIND("/",Table14[[#This Row],[spawner_sku]])),Table28[Entity Prefab],0)),25,1,1,"Entities"))</f>
        <v>no</v>
      </c>
      <c r="DZ685" s="71">
        <v>2</v>
      </c>
      <c r="EA685" s="71">
        <v>2</v>
      </c>
      <c r="EB685" s="71" t="b">
        <v>0</v>
      </c>
      <c r="EC685" s="71"/>
    </row>
    <row r="686" spans="123:133" x14ac:dyDescent="0.25">
      <c r="DS686" t="s">
        <v>3825</v>
      </c>
      <c r="DT686">
        <v>1</v>
      </c>
      <c r="DU686">
        <v>100</v>
      </c>
      <c r="DV686">
        <v>100</v>
      </c>
      <c r="DW686" s="74">
        <f ca="1">INDIRECT(ADDRESS(11+(MATCH(RIGHT(Table14[[#This Row],[spawner_sku]],LEN(Table14[[#This Row],[spawner_sku]])-FIND("/",Table14[[#This Row],[spawner_sku]])),Table1[Entity Prefab],0)),10,1,1,"Entities"))</f>
        <v>45</v>
      </c>
      <c r="DX686" s="74">
        <f ca="1">ROUND((Table14[[#This Row],[XP]]*Table14[[#This Row],[entity_spawned (AVG)]])*(Table14[[#This Row],[activating_chance]]/100),0)</f>
        <v>45</v>
      </c>
      <c r="DY686" s="144" t="str">
        <f ca="1">INDIRECT(ADDRESS(11+(MATCH(RIGHT(Table14[[#This Row],[spawner_sku]],LEN(Table14[[#This Row],[spawner_sku]])-FIND("/",Table14[[#This Row],[spawner_sku]])),Table28[Entity Prefab],0)),25,1,1,"Entities"))</f>
        <v>no</v>
      </c>
      <c r="DZ686" s="71">
        <v>1</v>
      </c>
      <c r="EA686" s="71">
        <v>1</v>
      </c>
      <c r="EB686" s="71" t="b">
        <v>0</v>
      </c>
      <c r="EC686" s="71"/>
    </row>
    <row r="687" spans="123:133" x14ac:dyDescent="0.25">
      <c r="DS687" t="s">
        <v>3825</v>
      </c>
      <c r="DT687">
        <v>1.5</v>
      </c>
      <c r="DU687">
        <v>120</v>
      </c>
      <c r="DV687">
        <v>100</v>
      </c>
      <c r="DW687" s="74">
        <f ca="1">INDIRECT(ADDRESS(11+(MATCH(RIGHT(Table14[[#This Row],[spawner_sku]],LEN(Table14[[#This Row],[spawner_sku]])-FIND("/",Table14[[#This Row],[spawner_sku]])),Table1[Entity Prefab],0)),10,1,1,"Entities"))</f>
        <v>45</v>
      </c>
      <c r="DX687" s="74">
        <f ca="1">ROUND((Table14[[#This Row],[XP]]*Table14[[#This Row],[entity_spawned (AVG)]])*(Table14[[#This Row],[activating_chance]]/100),0)</f>
        <v>68</v>
      </c>
      <c r="DY687" s="144" t="str">
        <f ca="1">INDIRECT(ADDRESS(11+(MATCH(RIGHT(Table14[[#This Row],[spawner_sku]],LEN(Table14[[#This Row],[spawner_sku]])-FIND("/",Table14[[#This Row],[spawner_sku]])),Table28[Entity Prefab],0)),25,1,1,"Entities"))</f>
        <v>no</v>
      </c>
      <c r="DZ687" s="71">
        <v>1</v>
      </c>
      <c r="EA687" s="71">
        <v>2</v>
      </c>
      <c r="EB687" s="71" t="b">
        <v>0</v>
      </c>
      <c r="EC687" s="71"/>
    </row>
    <row r="688" spans="123:133" x14ac:dyDescent="0.25">
      <c r="DS688" t="s">
        <v>3825</v>
      </c>
      <c r="DT688">
        <v>1</v>
      </c>
      <c r="DU688">
        <v>100</v>
      </c>
      <c r="DV688">
        <v>80</v>
      </c>
      <c r="DW688" s="74">
        <f ca="1">INDIRECT(ADDRESS(11+(MATCH(RIGHT(Table14[[#This Row],[spawner_sku]],LEN(Table14[[#This Row],[spawner_sku]])-FIND("/",Table14[[#This Row],[spawner_sku]])),Table1[Entity Prefab],0)),10,1,1,"Entities"))</f>
        <v>45</v>
      </c>
      <c r="DX688" s="74">
        <f ca="1">ROUND((Table14[[#This Row],[XP]]*Table14[[#This Row],[entity_spawned (AVG)]])*(Table14[[#This Row],[activating_chance]]/100),0)</f>
        <v>36</v>
      </c>
      <c r="DY688" s="144" t="str">
        <f ca="1">INDIRECT(ADDRESS(11+(MATCH(RIGHT(Table14[[#This Row],[spawner_sku]],LEN(Table14[[#This Row],[spawner_sku]])-FIND("/",Table14[[#This Row],[spawner_sku]])),Table28[Entity Prefab],0)),25,1,1,"Entities"))</f>
        <v>no</v>
      </c>
      <c r="DZ688" s="71">
        <v>1</v>
      </c>
      <c r="EA688" s="71">
        <v>1</v>
      </c>
      <c r="EB688" s="71" t="b">
        <v>0</v>
      </c>
      <c r="EC688" s="71"/>
    </row>
    <row r="689" spans="123:133" x14ac:dyDescent="0.25">
      <c r="DS689" t="s">
        <v>3825</v>
      </c>
      <c r="DT689">
        <v>2</v>
      </c>
      <c r="DU689">
        <v>100</v>
      </c>
      <c r="DV689">
        <v>30</v>
      </c>
      <c r="DW689" s="74">
        <f ca="1">INDIRECT(ADDRESS(11+(MATCH(RIGHT(Table14[[#This Row],[spawner_sku]],LEN(Table14[[#This Row],[spawner_sku]])-FIND("/",Table14[[#This Row],[spawner_sku]])),Table1[Entity Prefab],0)),10,1,1,"Entities"))</f>
        <v>45</v>
      </c>
      <c r="DX689" s="74">
        <f ca="1">ROUND((Table14[[#This Row],[XP]]*Table14[[#This Row],[entity_spawned (AVG)]])*(Table14[[#This Row],[activating_chance]]/100),0)</f>
        <v>27</v>
      </c>
      <c r="DY689" s="144" t="str">
        <f ca="1">INDIRECT(ADDRESS(11+(MATCH(RIGHT(Table14[[#This Row],[spawner_sku]],LEN(Table14[[#This Row],[spawner_sku]])-FIND("/",Table14[[#This Row],[spawner_sku]])),Table28[Entity Prefab],0)),25,1,1,"Entities"))</f>
        <v>no</v>
      </c>
      <c r="DZ689" s="71">
        <v>2</v>
      </c>
      <c r="EA689" s="71">
        <v>2</v>
      </c>
      <c r="EB689" s="71" t="b">
        <v>0</v>
      </c>
      <c r="EC689" s="71"/>
    </row>
    <row r="690" spans="123:133" x14ac:dyDescent="0.25">
      <c r="DS690" t="s">
        <v>3825</v>
      </c>
      <c r="DT690">
        <v>2</v>
      </c>
      <c r="DU690">
        <v>100</v>
      </c>
      <c r="DV690">
        <v>100</v>
      </c>
      <c r="DW690" s="74">
        <f ca="1">INDIRECT(ADDRESS(11+(MATCH(RIGHT(Table14[[#This Row],[spawner_sku]],LEN(Table14[[#This Row],[spawner_sku]])-FIND("/",Table14[[#This Row],[spawner_sku]])),Table1[Entity Prefab],0)),10,1,1,"Entities"))</f>
        <v>45</v>
      </c>
      <c r="DX690" s="74">
        <f ca="1">ROUND((Table14[[#This Row],[XP]]*Table14[[#This Row],[entity_spawned (AVG)]])*(Table14[[#This Row],[activating_chance]]/100),0)</f>
        <v>90</v>
      </c>
      <c r="DY690" s="144" t="str">
        <f ca="1">INDIRECT(ADDRESS(11+(MATCH(RIGHT(Table14[[#This Row],[spawner_sku]],LEN(Table14[[#This Row],[spawner_sku]])-FIND("/",Table14[[#This Row],[spawner_sku]])),Table28[Entity Prefab],0)),25,1,1,"Entities"))</f>
        <v>no</v>
      </c>
      <c r="DZ690" s="71">
        <v>2</v>
      </c>
      <c r="EA690" s="71">
        <v>2</v>
      </c>
      <c r="EB690" s="71" t="b">
        <v>0</v>
      </c>
      <c r="EC690" s="71"/>
    </row>
    <row r="691" spans="123:133" x14ac:dyDescent="0.25">
      <c r="DS691" t="s">
        <v>3825</v>
      </c>
      <c r="DT691">
        <v>1</v>
      </c>
      <c r="DU691">
        <v>100</v>
      </c>
      <c r="DV691">
        <v>100</v>
      </c>
      <c r="DW691" s="74">
        <f ca="1">INDIRECT(ADDRESS(11+(MATCH(RIGHT(Table14[[#This Row],[spawner_sku]],LEN(Table14[[#This Row],[spawner_sku]])-FIND("/",Table14[[#This Row],[spawner_sku]])),Table1[Entity Prefab],0)),10,1,1,"Entities"))</f>
        <v>45</v>
      </c>
      <c r="DX691" s="74">
        <f ca="1">ROUND((Table14[[#This Row],[XP]]*Table14[[#This Row],[entity_spawned (AVG)]])*(Table14[[#This Row],[activating_chance]]/100),0)</f>
        <v>45</v>
      </c>
      <c r="DY691" s="144" t="str">
        <f ca="1">INDIRECT(ADDRESS(11+(MATCH(RIGHT(Table14[[#This Row],[spawner_sku]],LEN(Table14[[#This Row],[spawner_sku]])-FIND("/",Table14[[#This Row],[spawner_sku]])),Table28[Entity Prefab],0)),25,1,1,"Entities"))</f>
        <v>no</v>
      </c>
      <c r="DZ691" s="71">
        <v>1</v>
      </c>
      <c r="EA691" s="71">
        <v>1</v>
      </c>
      <c r="EB691" s="71" t="b">
        <v>0</v>
      </c>
      <c r="EC691" s="71"/>
    </row>
    <row r="692" spans="123:133" x14ac:dyDescent="0.25">
      <c r="DS692" t="s">
        <v>3825</v>
      </c>
      <c r="DT692">
        <v>2.5</v>
      </c>
      <c r="DU692">
        <v>120</v>
      </c>
      <c r="DV692">
        <v>50</v>
      </c>
      <c r="DW692" s="74">
        <f ca="1">INDIRECT(ADDRESS(11+(MATCH(RIGHT(Table14[[#This Row],[spawner_sku]],LEN(Table14[[#This Row],[spawner_sku]])-FIND("/",Table14[[#This Row],[spawner_sku]])),Table1[Entity Prefab],0)),10,1,1,"Entities"))</f>
        <v>45</v>
      </c>
      <c r="DX692" s="74">
        <f ca="1">ROUND((Table14[[#This Row],[XP]]*Table14[[#This Row],[entity_spawned (AVG)]])*(Table14[[#This Row],[activating_chance]]/100),0)</f>
        <v>56</v>
      </c>
      <c r="DY692" s="144" t="str">
        <f ca="1">INDIRECT(ADDRESS(11+(MATCH(RIGHT(Table14[[#This Row],[spawner_sku]],LEN(Table14[[#This Row],[spawner_sku]])-FIND("/",Table14[[#This Row],[spawner_sku]])),Table28[Entity Prefab],0)),25,1,1,"Entities"))</f>
        <v>no</v>
      </c>
      <c r="DZ692" s="71">
        <v>2</v>
      </c>
      <c r="EA692" s="71">
        <v>3</v>
      </c>
      <c r="EB692" s="71" t="b">
        <v>0</v>
      </c>
      <c r="EC692" s="71"/>
    </row>
    <row r="693" spans="123:133" x14ac:dyDescent="0.25">
      <c r="DS693" t="s">
        <v>3825</v>
      </c>
      <c r="DT693">
        <v>2.5</v>
      </c>
      <c r="DU693">
        <v>100</v>
      </c>
      <c r="DV693">
        <v>80</v>
      </c>
      <c r="DW693" s="74">
        <f ca="1">INDIRECT(ADDRESS(11+(MATCH(RIGHT(Table14[[#This Row],[spawner_sku]],LEN(Table14[[#This Row],[spawner_sku]])-FIND("/",Table14[[#This Row],[spawner_sku]])),Table1[Entity Prefab],0)),10,1,1,"Entities"))</f>
        <v>45</v>
      </c>
      <c r="DX693" s="74">
        <f ca="1">ROUND((Table14[[#This Row],[XP]]*Table14[[#This Row],[entity_spawned (AVG)]])*(Table14[[#This Row],[activating_chance]]/100),0)</f>
        <v>90</v>
      </c>
      <c r="DY693" s="144" t="str">
        <f ca="1">INDIRECT(ADDRESS(11+(MATCH(RIGHT(Table14[[#This Row],[spawner_sku]],LEN(Table14[[#This Row],[spawner_sku]])-FIND("/",Table14[[#This Row],[spawner_sku]])),Table28[Entity Prefab],0)),25,1,1,"Entities"))</f>
        <v>no</v>
      </c>
      <c r="DZ693" s="71">
        <v>2</v>
      </c>
      <c r="EA693" s="71">
        <v>3</v>
      </c>
      <c r="EB693" s="71" t="b">
        <v>0</v>
      </c>
      <c r="EC693" s="71"/>
    </row>
    <row r="694" spans="123:133" x14ac:dyDescent="0.25">
      <c r="DS694" t="s">
        <v>3825</v>
      </c>
      <c r="DT694">
        <v>1</v>
      </c>
      <c r="DU694">
        <v>120</v>
      </c>
      <c r="DV694">
        <v>70</v>
      </c>
      <c r="DW694" s="74">
        <f ca="1">INDIRECT(ADDRESS(11+(MATCH(RIGHT(Table14[[#This Row],[spawner_sku]],LEN(Table14[[#This Row],[spawner_sku]])-FIND("/",Table14[[#This Row],[spawner_sku]])),Table1[Entity Prefab],0)),10,1,1,"Entities"))</f>
        <v>45</v>
      </c>
      <c r="DX694" s="74">
        <f ca="1">ROUND((Table14[[#This Row],[XP]]*Table14[[#This Row],[entity_spawned (AVG)]])*(Table14[[#This Row],[activating_chance]]/100),0)</f>
        <v>32</v>
      </c>
      <c r="DY694" s="144" t="str">
        <f ca="1">INDIRECT(ADDRESS(11+(MATCH(RIGHT(Table14[[#This Row],[spawner_sku]],LEN(Table14[[#This Row],[spawner_sku]])-FIND("/",Table14[[#This Row],[spawner_sku]])),Table28[Entity Prefab],0)),25,1,1,"Entities"))</f>
        <v>no</v>
      </c>
      <c r="DZ694" s="71">
        <v>1</v>
      </c>
      <c r="EA694" s="71">
        <v>1</v>
      </c>
      <c r="EB694" s="71" t="b">
        <v>0</v>
      </c>
      <c r="EC694" s="71"/>
    </row>
    <row r="695" spans="123:133" x14ac:dyDescent="0.25">
      <c r="DS695" t="s">
        <v>3825</v>
      </c>
      <c r="DT695">
        <v>1.5</v>
      </c>
      <c r="DU695">
        <v>120</v>
      </c>
      <c r="DV695">
        <v>100</v>
      </c>
      <c r="DW695" s="74">
        <f ca="1">INDIRECT(ADDRESS(11+(MATCH(RIGHT(Table14[[#This Row],[spawner_sku]],LEN(Table14[[#This Row],[spawner_sku]])-FIND("/",Table14[[#This Row],[spawner_sku]])),Table1[Entity Prefab],0)),10,1,1,"Entities"))</f>
        <v>45</v>
      </c>
      <c r="DX695" s="74">
        <f ca="1">ROUND((Table14[[#This Row],[XP]]*Table14[[#This Row],[entity_spawned (AVG)]])*(Table14[[#This Row],[activating_chance]]/100),0)</f>
        <v>68</v>
      </c>
      <c r="DY695" s="144" t="str">
        <f ca="1">INDIRECT(ADDRESS(11+(MATCH(RIGHT(Table14[[#This Row],[spawner_sku]],LEN(Table14[[#This Row],[spawner_sku]])-FIND("/",Table14[[#This Row],[spawner_sku]])),Table28[Entity Prefab],0)),25,1,1,"Entities"))</f>
        <v>no</v>
      </c>
      <c r="DZ695" s="71">
        <v>1</v>
      </c>
      <c r="EA695" s="71">
        <v>2</v>
      </c>
      <c r="EB695" s="71" t="b">
        <v>0</v>
      </c>
      <c r="EC695" s="71"/>
    </row>
    <row r="696" spans="123:133" x14ac:dyDescent="0.25">
      <c r="DS696" t="s">
        <v>3825</v>
      </c>
      <c r="DT696">
        <v>1</v>
      </c>
      <c r="DU696">
        <v>120</v>
      </c>
      <c r="DV696">
        <v>80</v>
      </c>
      <c r="DW696" s="74">
        <f ca="1">INDIRECT(ADDRESS(11+(MATCH(RIGHT(Table14[[#This Row],[spawner_sku]],LEN(Table14[[#This Row],[spawner_sku]])-FIND("/",Table14[[#This Row],[spawner_sku]])),Table1[Entity Prefab],0)),10,1,1,"Entities"))</f>
        <v>45</v>
      </c>
      <c r="DX696" s="74">
        <f ca="1">ROUND((Table14[[#This Row],[XP]]*Table14[[#This Row],[entity_spawned (AVG)]])*(Table14[[#This Row],[activating_chance]]/100),0)</f>
        <v>36</v>
      </c>
      <c r="DY696" s="144" t="str">
        <f ca="1">INDIRECT(ADDRESS(11+(MATCH(RIGHT(Table14[[#This Row],[spawner_sku]],LEN(Table14[[#This Row],[spawner_sku]])-FIND("/",Table14[[#This Row],[spawner_sku]])),Table28[Entity Prefab],0)),25,1,1,"Entities"))</f>
        <v>no</v>
      </c>
      <c r="DZ696" s="71">
        <v>1</v>
      </c>
      <c r="EA696" s="71">
        <v>1</v>
      </c>
      <c r="EB696" s="71" t="b">
        <v>0</v>
      </c>
      <c r="EC696" s="71"/>
    </row>
    <row r="697" spans="123:133" x14ac:dyDescent="0.25">
      <c r="DS697" t="s">
        <v>3825</v>
      </c>
      <c r="DT697">
        <v>1.5</v>
      </c>
      <c r="DU697">
        <v>100</v>
      </c>
      <c r="DV697">
        <v>100</v>
      </c>
      <c r="DW697" s="74">
        <f ca="1">INDIRECT(ADDRESS(11+(MATCH(RIGHT(Table14[[#This Row],[spawner_sku]],LEN(Table14[[#This Row],[spawner_sku]])-FIND("/",Table14[[#This Row],[spawner_sku]])),Table1[Entity Prefab],0)),10,1,1,"Entities"))</f>
        <v>45</v>
      </c>
      <c r="DX697" s="74">
        <f ca="1">ROUND((Table14[[#This Row],[XP]]*Table14[[#This Row],[entity_spawned (AVG)]])*(Table14[[#This Row],[activating_chance]]/100),0)</f>
        <v>68</v>
      </c>
      <c r="DY697" s="144" t="str">
        <f ca="1">INDIRECT(ADDRESS(11+(MATCH(RIGHT(Table14[[#This Row],[spawner_sku]],LEN(Table14[[#This Row],[spawner_sku]])-FIND("/",Table14[[#This Row],[spawner_sku]])),Table28[Entity Prefab],0)),25,1,1,"Entities"))</f>
        <v>no</v>
      </c>
      <c r="DZ697" s="71">
        <v>1</v>
      </c>
      <c r="EA697" s="71">
        <v>2</v>
      </c>
      <c r="EB697" s="71" t="b">
        <v>0</v>
      </c>
      <c r="EC697" s="71"/>
    </row>
    <row r="698" spans="123:133" x14ac:dyDescent="0.25">
      <c r="DS698" t="s">
        <v>3825</v>
      </c>
      <c r="DT698">
        <v>3</v>
      </c>
      <c r="DU698">
        <v>100</v>
      </c>
      <c r="DV698">
        <v>60</v>
      </c>
      <c r="DW698" s="74">
        <f ca="1">INDIRECT(ADDRESS(11+(MATCH(RIGHT(Table14[[#This Row],[spawner_sku]],LEN(Table14[[#This Row],[spawner_sku]])-FIND("/",Table14[[#This Row],[spawner_sku]])),Table1[Entity Prefab],0)),10,1,1,"Entities"))</f>
        <v>45</v>
      </c>
      <c r="DX698" s="74">
        <f ca="1">ROUND((Table14[[#This Row],[XP]]*Table14[[#This Row],[entity_spawned (AVG)]])*(Table14[[#This Row],[activating_chance]]/100),0)</f>
        <v>81</v>
      </c>
      <c r="DY698" s="144" t="str">
        <f ca="1">INDIRECT(ADDRESS(11+(MATCH(RIGHT(Table14[[#This Row],[spawner_sku]],LEN(Table14[[#This Row],[spawner_sku]])-FIND("/",Table14[[#This Row],[spawner_sku]])),Table28[Entity Prefab],0)),25,1,1,"Entities"))</f>
        <v>no</v>
      </c>
      <c r="DZ698" s="71">
        <v>3</v>
      </c>
      <c r="EA698" s="71">
        <v>3</v>
      </c>
      <c r="EB698" s="71" t="b">
        <v>0</v>
      </c>
      <c r="EC698" s="71"/>
    </row>
    <row r="699" spans="123:133" x14ac:dyDescent="0.25">
      <c r="DS699" t="s">
        <v>3825</v>
      </c>
      <c r="DT699">
        <v>2.5</v>
      </c>
      <c r="DU699">
        <v>100</v>
      </c>
      <c r="DV699">
        <v>100</v>
      </c>
      <c r="DW699" s="74">
        <f ca="1">INDIRECT(ADDRESS(11+(MATCH(RIGHT(Table14[[#This Row],[spawner_sku]],LEN(Table14[[#This Row],[spawner_sku]])-FIND("/",Table14[[#This Row],[spawner_sku]])),Table1[Entity Prefab],0)),10,1,1,"Entities"))</f>
        <v>45</v>
      </c>
      <c r="DX699" s="74">
        <f ca="1">ROUND((Table14[[#This Row],[XP]]*Table14[[#This Row],[entity_spawned (AVG)]])*(Table14[[#This Row],[activating_chance]]/100),0)</f>
        <v>113</v>
      </c>
      <c r="DY699" s="144" t="str">
        <f ca="1">INDIRECT(ADDRESS(11+(MATCH(RIGHT(Table14[[#This Row],[spawner_sku]],LEN(Table14[[#This Row],[spawner_sku]])-FIND("/",Table14[[#This Row],[spawner_sku]])),Table28[Entity Prefab],0)),25,1,1,"Entities"))</f>
        <v>no</v>
      </c>
      <c r="DZ699" s="71">
        <v>2</v>
      </c>
      <c r="EA699" s="71">
        <v>3</v>
      </c>
      <c r="EB699" s="71" t="b">
        <v>0</v>
      </c>
      <c r="EC699" s="71"/>
    </row>
    <row r="700" spans="123:133" x14ac:dyDescent="0.25">
      <c r="DS700" t="s">
        <v>3825</v>
      </c>
      <c r="DT700">
        <v>1.5</v>
      </c>
      <c r="DU700">
        <v>120</v>
      </c>
      <c r="DV700">
        <v>100</v>
      </c>
      <c r="DW700" s="74">
        <f ca="1">INDIRECT(ADDRESS(11+(MATCH(RIGHT(Table14[[#This Row],[spawner_sku]],LEN(Table14[[#This Row],[spawner_sku]])-FIND("/",Table14[[#This Row],[spawner_sku]])),Table1[Entity Prefab],0)),10,1,1,"Entities"))</f>
        <v>45</v>
      </c>
      <c r="DX700" s="74">
        <f ca="1">ROUND((Table14[[#This Row],[XP]]*Table14[[#This Row],[entity_spawned (AVG)]])*(Table14[[#This Row],[activating_chance]]/100),0)</f>
        <v>68</v>
      </c>
      <c r="DY700" s="144" t="str">
        <f ca="1">INDIRECT(ADDRESS(11+(MATCH(RIGHT(Table14[[#This Row],[spawner_sku]],LEN(Table14[[#This Row],[spawner_sku]])-FIND("/",Table14[[#This Row],[spawner_sku]])),Table28[Entity Prefab],0)),25,1,1,"Entities"))</f>
        <v>no</v>
      </c>
      <c r="DZ700" s="71">
        <v>1</v>
      </c>
      <c r="EA700" s="71">
        <v>2</v>
      </c>
      <c r="EB700" s="71" t="b">
        <v>0</v>
      </c>
      <c r="EC700" s="71"/>
    </row>
    <row r="701" spans="123:133" x14ac:dyDescent="0.25">
      <c r="DS701" t="s">
        <v>3825</v>
      </c>
      <c r="DT701">
        <v>1</v>
      </c>
      <c r="DU701">
        <v>120</v>
      </c>
      <c r="DV701">
        <v>100</v>
      </c>
      <c r="DW701" s="74">
        <f ca="1">INDIRECT(ADDRESS(11+(MATCH(RIGHT(Table14[[#This Row],[spawner_sku]],LEN(Table14[[#This Row],[spawner_sku]])-FIND("/",Table14[[#This Row],[spawner_sku]])),Table1[Entity Prefab],0)),10,1,1,"Entities"))</f>
        <v>45</v>
      </c>
      <c r="DX701" s="74">
        <f ca="1">ROUND((Table14[[#This Row],[XP]]*Table14[[#This Row],[entity_spawned (AVG)]])*(Table14[[#This Row],[activating_chance]]/100),0)</f>
        <v>45</v>
      </c>
      <c r="DY701" s="144" t="str">
        <f ca="1">INDIRECT(ADDRESS(11+(MATCH(RIGHT(Table14[[#This Row],[spawner_sku]],LEN(Table14[[#This Row],[spawner_sku]])-FIND("/",Table14[[#This Row],[spawner_sku]])),Table28[Entity Prefab],0)),25,1,1,"Entities"))</f>
        <v>no</v>
      </c>
      <c r="DZ701" s="71">
        <v>1</v>
      </c>
      <c r="EA701" s="71">
        <v>1</v>
      </c>
      <c r="EB701" s="71" t="b">
        <v>0</v>
      </c>
      <c r="EC701" s="71"/>
    </row>
    <row r="702" spans="123:133" x14ac:dyDescent="0.25">
      <c r="DS702" t="s">
        <v>3825</v>
      </c>
      <c r="DT702">
        <v>1.5</v>
      </c>
      <c r="DU702">
        <v>120</v>
      </c>
      <c r="DV702">
        <v>100</v>
      </c>
      <c r="DW702" s="74">
        <f ca="1">INDIRECT(ADDRESS(11+(MATCH(RIGHT(Table14[[#This Row],[spawner_sku]],LEN(Table14[[#This Row],[spawner_sku]])-FIND("/",Table14[[#This Row],[spawner_sku]])),Table1[Entity Prefab],0)),10,1,1,"Entities"))</f>
        <v>45</v>
      </c>
      <c r="DX702" s="74">
        <f ca="1">ROUND((Table14[[#This Row],[XP]]*Table14[[#This Row],[entity_spawned (AVG)]])*(Table14[[#This Row],[activating_chance]]/100),0)</f>
        <v>68</v>
      </c>
      <c r="DY702" s="144" t="str">
        <f ca="1">INDIRECT(ADDRESS(11+(MATCH(RIGHT(Table14[[#This Row],[spawner_sku]],LEN(Table14[[#This Row],[spawner_sku]])-FIND("/",Table14[[#This Row],[spawner_sku]])),Table28[Entity Prefab],0)),25,1,1,"Entities"))</f>
        <v>no</v>
      </c>
      <c r="DZ702" s="71">
        <v>1</v>
      </c>
      <c r="EA702" s="71">
        <v>2</v>
      </c>
      <c r="EB702" s="71" t="b">
        <v>0</v>
      </c>
      <c r="EC702" s="71"/>
    </row>
    <row r="703" spans="123:133" x14ac:dyDescent="0.25">
      <c r="DS703" t="s">
        <v>3825</v>
      </c>
      <c r="DT703">
        <v>1.5</v>
      </c>
      <c r="DU703">
        <v>140</v>
      </c>
      <c r="DV703">
        <v>100</v>
      </c>
      <c r="DW703" s="74">
        <f ca="1">INDIRECT(ADDRESS(11+(MATCH(RIGHT(Table14[[#This Row],[spawner_sku]],LEN(Table14[[#This Row],[spawner_sku]])-FIND("/",Table14[[#This Row],[spawner_sku]])),Table1[Entity Prefab],0)),10,1,1,"Entities"))</f>
        <v>45</v>
      </c>
      <c r="DX703" s="74">
        <f ca="1">ROUND((Table14[[#This Row],[XP]]*Table14[[#This Row],[entity_spawned (AVG)]])*(Table14[[#This Row],[activating_chance]]/100),0)</f>
        <v>68</v>
      </c>
      <c r="DY703" s="144" t="str">
        <f ca="1">INDIRECT(ADDRESS(11+(MATCH(RIGHT(Table14[[#This Row],[spawner_sku]],LEN(Table14[[#This Row],[spawner_sku]])-FIND("/",Table14[[#This Row],[spawner_sku]])),Table28[Entity Prefab],0)),25,1,1,"Entities"))</f>
        <v>no</v>
      </c>
      <c r="DZ703" s="71">
        <v>1</v>
      </c>
      <c r="EA703" s="71">
        <v>2</v>
      </c>
      <c r="EB703" s="71" t="b">
        <v>0</v>
      </c>
      <c r="EC703" s="71"/>
    </row>
    <row r="704" spans="123:133" x14ac:dyDescent="0.25">
      <c r="DS704" t="s">
        <v>3825</v>
      </c>
      <c r="DT704">
        <v>1</v>
      </c>
      <c r="DU704">
        <v>100</v>
      </c>
      <c r="DV704">
        <v>100</v>
      </c>
      <c r="DW704" s="74">
        <f ca="1">INDIRECT(ADDRESS(11+(MATCH(RIGHT(Table14[[#This Row],[spawner_sku]],LEN(Table14[[#This Row],[spawner_sku]])-FIND("/",Table14[[#This Row],[spawner_sku]])),Table1[Entity Prefab],0)),10,1,1,"Entities"))</f>
        <v>45</v>
      </c>
      <c r="DX704" s="74">
        <f ca="1">ROUND((Table14[[#This Row],[XP]]*Table14[[#This Row],[entity_spawned (AVG)]])*(Table14[[#This Row],[activating_chance]]/100),0)</f>
        <v>45</v>
      </c>
      <c r="DY704" s="144" t="str">
        <f ca="1">INDIRECT(ADDRESS(11+(MATCH(RIGHT(Table14[[#This Row],[spawner_sku]],LEN(Table14[[#This Row],[spawner_sku]])-FIND("/",Table14[[#This Row],[spawner_sku]])),Table28[Entity Prefab],0)),25,1,1,"Entities"))</f>
        <v>no</v>
      </c>
      <c r="DZ704" s="71">
        <v>1</v>
      </c>
      <c r="EA704" s="71">
        <v>1</v>
      </c>
      <c r="EB704" s="71" t="b">
        <v>0</v>
      </c>
      <c r="EC704" s="71"/>
    </row>
    <row r="705" spans="123:133" x14ac:dyDescent="0.25">
      <c r="DS705" t="s">
        <v>3825</v>
      </c>
      <c r="DT705">
        <v>2</v>
      </c>
      <c r="DU705">
        <v>100</v>
      </c>
      <c r="DV705">
        <v>100</v>
      </c>
      <c r="DW705" s="74">
        <f ca="1">INDIRECT(ADDRESS(11+(MATCH(RIGHT(Table14[[#This Row],[spawner_sku]],LEN(Table14[[#This Row],[spawner_sku]])-FIND("/",Table14[[#This Row],[spawner_sku]])),Table1[Entity Prefab],0)),10,1,1,"Entities"))</f>
        <v>45</v>
      </c>
      <c r="DX705" s="74">
        <f ca="1">ROUND((Table14[[#This Row],[XP]]*Table14[[#This Row],[entity_spawned (AVG)]])*(Table14[[#This Row],[activating_chance]]/100),0)</f>
        <v>90</v>
      </c>
      <c r="DY705" s="144" t="str">
        <f ca="1">INDIRECT(ADDRESS(11+(MATCH(RIGHT(Table14[[#This Row],[spawner_sku]],LEN(Table14[[#This Row],[spawner_sku]])-FIND("/",Table14[[#This Row],[spawner_sku]])),Table28[Entity Prefab],0)),25,1,1,"Entities"))</f>
        <v>no</v>
      </c>
      <c r="DZ705" s="71">
        <v>2</v>
      </c>
      <c r="EA705" s="71">
        <v>2</v>
      </c>
      <c r="EB705" s="71" t="b">
        <v>0</v>
      </c>
      <c r="EC705" s="71"/>
    </row>
    <row r="706" spans="123:133" x14ac:dyDescent="0.25">
      <c r="DS706" t="s">
        <v>3825</v>
      </c>
      <c r="DT706">
        <v>2</v>
      </c>
      <c r="DU706">
        <v>120</v>
      </c>
      <c r="DV706">
        <v>100</v>
      </c>
      <c r="DW706" s="74">
        <f ca="1">INDIRECT(ADDRESS(11+(MATCH(RIGHT(Table14[[#This Row],[spawner_sku]],LEN(Table14[[#This Row],[spawner_sku]])-FIND("/",Table14[[#This Row],[spawner_sku]])),Table1[Entity Prefab],0)),10,1,1,"Entities"))</f>
        <v>45</v>
      </c>
      <c r="DX706" s="74">
        <f ca="1">ROUND((Table14[[#This Row],[XP]]*Table14[[#This Row],[entity_spawned (AVG)]])*(Table14[[#This Row],[activating_chance]]/100),0)</f>
        <v>90</v>
      </c>
      <c r="DY706" s="144" t="str">
        <f ca="1">INDIRECT(ADDRESS(11+(MATCH(RIGHT(Table14[[#This Row],[spawner_sku]],LEN(Table14[[#This Row],[spawner_sku]])-FIND("/",Table14[[#This Row],[spawner_sku]])),Table28[Entity Prefab],0)),25,1,1,"Entities"))</f>
        <v>no</v>
      </c>
      <c r="DZ706" s="71">
        <v>2</v>
      </c>
      <c r="EA706" s="71">
        <v>2</v>
      </c>
      <c r="EB706" s="71" t="b">
        <v>0</v>
      </c>
      <c r="EC706" s="71"/>
    </row>
    <row r="707" spans="123:133" x14ac:dyDescent="0.25">
      <c r="DS707" t="s">
        <v>3825</v>
      </c>
      <c r="DT707">
        <v>2</v>
      </c>
      <c r="DU707">
        <v>100</v>
      </c>
      <c r="DV707">
        <v>100</v>
      </c>
      <c r="DW707" s="74">
        <f ca="1">INDIRECT(ADDRESS(11+(MATCH(RIGHT(Table14[[#This Row],[spawner_sku]],LEN(Table14[[#This Row],[spawner_sku]])-FIND("/",Table14[[#This Row],[spawner_sku]])),Table1[Entity Prefab],0)),10,1,1,"Entities"))</f>
        <v>45</v>
      </c>
      <c r="DX707" s="74">
        <f ca="1">ROUND((Table14[[#This Row],[XP]]*Table14[[#This Row],[entity_spawned (AVG)]])*(Table14[[#This Row],[activating_chance]]/100),0)</f>
        <v>90</v>
      </c>
      <c r="DY707" s="144" t="str">
        <f ca="1">INDIRECT(ADDRESS(11+(MATCH(RIGHT(Table14[[#This Row],[spawner_sku]],LEN(Table14[[#This Row],[spawner_sku]])-FIND("/",Table14[[#This Row],[spawner_sku]])),Table28[Entity Prefab],0)),25,1,1,"Entities"))</f>
        <v>no</v>
      </c>
      <c r="DZ707" s="71">
        <v>2</v>
      </c>
      <c r="EA707" s="71">
        <v>2</v>
      </c>
      <c r="EB707" s="71" t="b">
        <v>0</v>
      </c>
      <c r="EC707" s="71"/>
    </row>
    <row r="708" spans="123:133" x14ac:dyDescent="0.25">
      <c r="DS708" t="s">
        <v>3825</v>
      </c>
      <c r="DT708">
        <v>2</v>
      </c>
      <c r="DU708">
        <v>90</v>
      </c>
      <c r="DV708">
        <v>100</v>
      </c>
      <c r="DW708" s="74">
        <f ca="1">INDIRECT(ADDRESS(11+(MATCH(RIGHT(Table14[[#This Row],[spawner_sku]],LEN(Table14[[#This Row],[spawner_sku]])-FIND("/",Table14[[#This Row],[spawner_sku]])),Table1[Entity Prefab],0)),10,1,1,"Entities"))</f>
        <v>45</v>
      </c>
      <c r="DX708" s="74">
        <f ca="1">ROUND((Table14[[#This Row],[XP]]*Table14[[#This Row],[entity_spawned (AVG)]])*(Table14[[#This Row],[activating_chance]]/100),0)</f>
        <v>90</v>
      </c>
      <c r="DY708" s="144" t="str">
        <f ca="1">INDIRECT(ADDRESS(11+(MATCH(RIGHT(Table14[[#This Row],[spawner_sku]],LEN(Table14[[#This Row],[spawner_sku]])-FIND("/",Table14[[#This Row],[spawner_sku]])),Table28[Entity Prefab],0)),25,1,1,"Entities"))</f>
        <v>no</v>
      </c>
      <c r="DZ708" s="71">
        <v>2</v>
      </c>
      <c r="EA708" s="71">
        <v>2</v>
      </c>
      <c r="EB708" s="71" t="b">
        <v>0</v>
      </c>
      <c r="EC708" s="71"/>
    </row>
    <row r="709" spans="123:133" x14ac:dyDescent="0.25">
      <c r="DS709" t="s">
        <v>3825</v>
      </c>
      <c r="DT709">
        <v>1.5</v>
      </c>
      <c r="DU709">
        <v>80</v>
      </c>
      <c r="DV709">
        <v>100</v>
      </c>
      <c r="DW709" s="74">
        <f ca="1">INDIRECT(ADDRESS(11+(MATCH(RIGHT(Table14[[#This Row],[spawner_sku]],LEN(Table14[[#This Row],[spawner_sku]])-FIND("/",Table14[[#This Row],[spawner_sku]])),Table1[Entity Prefab],0)),10,1,1,"Entities"))</f>
        <v>45</v>
      </c>
      <c r="DX709" s="74">
        <f ca="1">ROUND((Table14[[#This Row],[XP]]*Table14[[#This Row],[entity_spawned (AVG)]])*(Table14[[#This Row],[activating_chance]]/100),0)</f>
        <v>68</v>
      </c>
      <c r="DY709" s="144" t="str">
        <f ca="1">INDIRECT(ADDRESS(11+(MATCH(RIGHT(Table14[[#This Row],[spawner_sku]],LEN(Table14[[#This Row],[spawner_sku]])-FIND("/",Table14[[#This Row],[spawner_sku]])),Table28[Entity Prefab],0)),25,1,1,"Entities"))</f>
        <v>no</v>
      </c>
      <c r="DZ709" s="71">
        <v>1</v>
      </c>
      <c r="EA709" s="71">
        <v>2</v>
      </c>
      <c r="EB709" s="71" t="b">
        <v>0</v>
      </c>
      <c r="EC709" s="71"/>
    </row>
    <row r="710" spans="123:133" x14ac:dyDescent="0.25">
      <c r="DS710" t="s">
        <v>3825</v>
      </c>
      <c r="DT710">
        <v>1</v>
      </c>
      <c r="DU710">
        <v>80</v>
      </c>
      <c r="DV710">
        <v>80</v>
      </c>
      <c r="DW710" s="74">
        <f ca="1">INDIRECT(ADDRESS(11+(MATCH(RIGHT(Table14[[#This Row],[spawner_sku]],LEN(Table14[[#This Row],[spawner_sku]])-FIND("/",Table14[[#This Row],[spawner_sku]])),Table1[Entity Prefab],0)),10,1,1,"Entities"))</f>
        <v>45</v>
      </c>
      <c r="DX710" s="74">
        <f ca="1">ROUND((Table14[[#This Row],[XP]]*Table14[[#This Row],[entity_spawned (AVG)]])*(Table14[[#This Row],[activating_chance]]/100),0)</f>
        <v>36</v>
      </c>
      <c r="DY710" s="144" t="str">
        <f ca="1">INDIRECT(ADDRESS(11+(MATCH(RIGHT(Table14[[#This Row],[spawner_sku]],LEN(Table14[[#This Row],[spawner_sku]])-FIND("/",Table14[[#This Row],[spawner_sku]])),Table28[Entity Prefab],0)),25,1,1,"Entities"))</f>
        <v>no</v>
      </c>
      <c r="DZ710" s="71">
        <v>1</v>
      </c>
      <c r="EA710" s="71">
        <v>1</v>
      </c>
      <c r="EB710" s="71" t="b">
        <v>0</v>
      </c>
      <c r="EC710" s="71"/>
    </row>
    <row r="711" spans="123:133" x14ac:dyDescent="0.25">
      <c r="DS711" t="s">
        <v>3825</v>
      </c>
      <c r="DT711">
        <v>2</v>
      </c>
      <c r="DU711">
        <v>120</v>
      </c>
      <c r="DV711">
        <v>100</v>
      </c>
      <c r="DW711" s="74">
        <f ca="1">INDIRECT(ADDRESS(11+(MATCH(RIGHT(Table14[[#This Row],[spawner_sku]],LEN(Table14[[#This Row],[spawner_sku]])-FIND("/",Table14[[#This Row],[spawner_sku]])),Table1[Entity Prefab],0)),10,1,1,"Entities"))</f>
        <v>45</v>
      </c>
      <c r="DX711" s="74">
        <f ca="1">ROUND((Table14[[#This Row],[XP]]*Table14[[#This Row],[entity_spawned (AVG)]])*(Table14[[#This Row],[activating_chance]]/100),0)</f>
        <v>90</v>
      </c>
      <c r="DY711" s="144" t="str">
        <f ca="1">INDIRECT(ADDRESS(11+(MATCH(RIGHT(Table14[[#This Row],[spawner_sku]],LEN(Table14[[#This Row],[spawner_sku]])-FIND("/",Table14[[#This Row],[spawner_sku]])),Table28[Entity Prefab],0)),25,1,1,"Entities"))</f>
        <v>no</v>
      </c>
      <c r="DZ711" s="71">
        <v>2</v>
      </c>
      <c r="EA711" s="71">
        <v>2</v>
      </c>
      <c r="EB711" s="71" t="b">
        <v>0</v>
      </c>
      <c r="EC711" s="71"/>
    </row>
    <row r="712" spans="123:133" x14ac:dyDescent="0.25">
      <c r="DS712" t="s">
        <v>3825</v>
      </c>
      <c r="DT712">
        <v>1</v>
      </c>
      <c r="DU712">
        <v>120</v>
      </c>
      <c r="DV712">
        <v>100</v>
      </c>
      <c r="DW712" s="74">
        <f ca="1">INDIRECT(ADDRESS(11+(MATCH(RIGHT(Table14[[#This Row],[spawner_sku]],LEN(Table14[[#This Row],[spawner_sku]])-FIND("/",Table14[[#This Row],[spawner_sku]])),Table1[Entity Prefab],0)),10,1,1,"Entities"))</f>
        <v>45</v>
      </c>
      <c r="DX712" s="74">
        <f ca="1">ROUND((Table14[[#This Row],[XP]]*Table14[[#This Row],[entity_spawned (AVG)]])*(Table14[[#This Row],[activating_chance]]/100),0)</f>
        <v>45</v>
      </c>
      <c r="DY712" s="144" t="str">
        <f ca="1">INDIRECT(ADDRESS(11+(MATCH(RIGHT(Table14[[#This Row],[spawner_sku]],LEN(Table14[[#This Row],[spawner_sku]])-FIND("/",Table14[[#This Row],[spawner_sku]])),Table28[Entity Prefab],0)),25,1,1,"Entities"))</f>
        <v>no</v>
      </c>
      <c r="DZ712" s="71">
        <v>1</v>
      </c>
      <c r="EA712" s="71">
        <v>1</v>
      </c>
      <c r="EB712" s="71" t="b">
        <v>0</v>
      </c>
      <c r="EC712" s="71"/>
    </row>
    <row r="713" spans="123:133" x14ac:dyDescent="0.25">
      <c r="DS713" t="s">
        <v>3825</v>
      </c>
      <c r="DT713">
        <v>2.5</v>
      </c>
      <c r="DU713">
        <v>100</v>
      </c>
      <c r="DV713">
        <v>100</v>
      </c>
      <c r="DW713" s="74">
        <f ca="1">INDIRECT(ADDRESS(11+(MATCH(RIGHT(Table14[[#This Row],[spawner_sku]],LEN(Table14[[#This Row],[spawner_sku]])-FIND("/",Table14[[#This Row],[spawner_sku]])),Table1[Entity Prefab],0)),10,1,1,"Entities"))</f>
        <v>45</v>
      </c>
      <c r="DX713" s="74">
        <f ca="1">ROUND((Table14[[#This Row],[XP]]*Table14[[#This Row],[entity_spawned (AVG)]])*(Table14[[#This Row],[activating_chance]]/100),0)</f>
        <v>113</v>
      </c>
      <c r="DY713" s="144" t="str">
        <f ca="1">INDIRECT(ADDRESS(11+(MATCH(RIGHT(Table14[[#This Row],[spawner_sku]],LEN(Table14[[#This Row],[spawner_sku]])-FIND("/",Table14[[#This Row],[spawner_sku]])),Table28[Entity Prefab],0)),25,1,1,"Entities"))</f>
        <v>no</v>
      </c>
      <c r="DZ713" s="71">
        <v>2</v>
      </c>
      <c r="EA713" s="71">
        <v>3</v>
      </c>
      <c r="EB713" s="71" t="b">
        <v>0</v>
      </c>
      <c r="EC713" s="71"/>
    </row>
    <row r="714" spans="123:133" x14ac:dyDescent="0.25">
      <c r="DS714" t="s">
        <v>3825</v>
      </c>
      <c r="DT714">
        <v>1.5</v>
      </c>
      <c r="DU714">
        <v>100</v>
      </c>
      <c r="DV714">
        <v>100</v>
      </c>
      <c r="DW714" s="74">
        <f ca="1">INDIRECT(ADDRESS(11+(MATCH(RIGHT(Table14[[#This Row],[spawner_sku]],LEN(Table14[[#This Row],[spawner_sku]])-FIND("/",Table14[[#This Row],[spawner_sku]])),Table1[Entity Prefab],0)),10,1,1,"Entities"))</f>
        <v>45</v>
      </c>
      <c r="DX714" s="74">
        <f ca="1">ROUND((Table14[[#This Row],[XP]]*Table14[[#This Row],[entity_spawned (AVG)]])*(Table14[[#This Row],[activating_chance]]/100),0)</f>
        <v>68</v>
      </c>
      <c r="DY714" s="144" t="str">
        <f ca="1">INDIRECT(ADDRESS(11+(MATCH(RIGHT(Table14[[#This Row],[spawner_sku]],LEN(Table14[[#This Row],[spawner_sku]])-FIND("/",Table14[[#This Row],[spawner_sku]])),Table28[Entity Prefab],0)),25,1,1,"Entities"))</f>
        <v>no</v>
      </c>
      <c r="DZ714" s="71">
        <v>1</v>
      </c>
      <c r="EA714" s="71">
        <v>2</v>
      </c>
      <c r="EB714" s="71" t="b">
        <v>0</v>
      </c>
      <c r="EC714" s="71"/>
    </row>
    <row r="715" spans="123:133" x14ac:dyDescent="0.25">
      <c r="DS715" t="s">
        <v>3825</v>
      </c>
      <c r="DT715">
        <v>1.5</v>
      </c>
      <c r="DU715">
        <v>100</v>
      </c>
      <c r="DV715">
        <v>100</v>
      </c>
      <c r="DW715" s="74">
        <f ca="1">INDIRECT(ADDRESS(11+(MATCH(RIGHT(Table14[[#This Row],[spawner_sku]],LEN(Table14[[#This Row],[spawner_sku]])-FIND("/",Table14[[#This Row],[spawner_sku]])),Table1[Entity Prefab],0)),10,1,1,"Entities"))</f>
        <v>45</v>
      </c>
      <c r="DX715" s="74">
        <f ca="1">ROUND((Table14[[#This Row],[XP]]*Table14[[#This Row],[entity_spawned (AVG)]])*(Table14[[#This Row],[activating_chance]]/100),0)</f>
        <v>68</v>
      </c>
      <c r="DY715" s="144" t="str">
        <f ca="1">INDIRECT(ADDRESS(11+(MATCH(RIGHT(Table14[[#This Row],[spawner_sku]],LEN(Table14[[#This Row],[spawner_sku]])-FIND("/",Table14[[#This Row],[spawner_sku]])),Table28[Entity Prefab],0)),25,1,1,"Entities"))</f>
        <v>no</v>
      </c>
      <c r="DZ715" s="71">
        <v>1</v>
      </c>
      <c r="EA715" s="71">
        <v>2</v>
      </c>
      <c r="EB715" s="71" t="b">
        <v>0</v>
      </c>
      <c r="EC715" s="71"/>
    </row>
    <row r="716" spans="123:133" x14ac:dyDescent="0.25">
      <c r="DS716" t="s">
        <v>3825</v>
      </c>
      <c r="DT716">
        <v>1.5</v>
      </c>
      <c r="DU716">
        <v>120</v>
      </c>
      <c r="DV716">
        <v>100</v>
      </c>
      <c r="DW716" s="74">
        <f ca="1">INDIRECT(ADDRESS(11+(MATCH(RIGHT(Table14[[#This Row],[spawner_sku]],LEN(Table14[[#This Row],[spawner_sku]])-FIND("/",Table14[[#This Row],[spawner_sku]])),Table1[Entity Prefab],0)),10,1,1,"Entities"))</f>
        <v>45</v>
      </c>
      <c r="DX716" s="74">
        <f ca="1">ROUND((Table14[[#This Row],[XP]]*Table14[[#This Row],[entity_spawned (AVG)]])*(Table14[[#This Row],[activating_chance]]/100),0)</f>
        <v>68</v>
      </c>
      <c r="DY716" s="144" t="str">
        <f ca="1">INDIRECT(ADDRESS(11+(MATCH(RIGHT(Table14[[#This Row],[spawner_sku]],LEN(Table14[[#This Row],[spawner_sku]])-FIND("/",Table14[[#This Row],[spawner_sku]])),Table28[Entity Prefab],0)),25,1,1,"Entities"))</f>
        <v>no</v>
      </c>
      <c r="DZ716" s="71">
        <v>1</v>
      </c>
      <c r="EA716" s="71">
        <v>2</v>
      </c>
      <c r="EB716" s="71" t="b">
        <v>0</v>
      </c>
      <c r="EC716" s="71"/>
    </row>
    <row r="717" spans="123:133" x14ac:dyDescent="0.25">
      <c r="DS717" t="s">
        <v>3825</v>
      </c>
      <c r="DT717">
        <v>1</v>
      </c>
      <c r="DU717">
        <v>100</v>
      </c>
      <c r="DV717">
        <v>100</v>
      </c>
      <c r="DW717" s="74">
        <f ca="1">INDIRECT(ADDRESS(11+(MATCH(RIGHT(Table14[[#This Row],[spawner_sku]],LEN(Table14[[#This Row],[spawner_sku]])-FIND("/",Table14[[#This Row],[spawner_sku]])),Table1[Entity Prefab],0)),10,1,1,"Entities"))</f>
        <v>45</v>
      </c>
      <c r="DX717" s="74">
        <f ca="1">ROUND((Table14[[#This Row],[XP]]*Table14[[#This Row],[entity_spawned (AVG)]])*(Table14[[#This Row],[activating_chance]]/100),0)</f>
        <v>45</v>
      </c>
      <c r="DY717" s="144" t="str">
        <f ca="1">INDIRECT(ADDRESS(11+(MATCH(RIGHT(Table14[[#This Row],[spawner_sku]],LEN(Table14[[#This Row],[spawner_sku]])-FIND("/",Table14[[#This Row],[spawner_sku]])),Table28[Entity Prefab],0)),25,1,1,"Entities"))</f>
        <v>no</v>
      </c>
      <c r="DZ717" s="71">
        <v>1</v>
      </c>
      <c r="EA717" s="71">
        <v>1</v>
      </c>
      <c r="EB717" s="71" t="b">
        <v>0</v>
      </c>
      <c r="EC717" s="71"/>
    </row>
    <row r="718" spans="123:133" x14ac:dyDescent="0.25">
      <c r="DS718" t="s">
        <v>3825</v>
      </c>
      <c r="DT718">
        <v>1.5</v>
      </c>
      <c r="DU718">
        <v>100</v>
      </c>
      <c r="DV718">
        <v>80</v>
      </c>
      <c r="DW718" s="74">
        <f ca="1">INDIRECT(ADDRESS(11+(MATCH(RIGHT(Table14[[#This Row],[spawner_sku]],LEN(Table14[[#This Row],[spawner_sku]])-FIND("/",Table14[[#This Row],[spawner_sku]])),Table1[Entity Prefab],0)),10,1,1,"Entities"))</f>
        <v>45</v>
      </c>
      <c r="DX718" s="74">
        <f ca="1">ROUND((Table14[[#This Row],[XP]]*Table14[[#This Row],[entity_spawned (AVG)]])*(Table14[[#This Row],[activating_chance]]/100),0)</f>
        <v>54</v>
      </c>
      <c r="DY718" s="144" t="str">
        <f ca="1">INDIRECT(ADDRESS(11+(MATCH(RIGHT(Table14[[#This Row],[spawner_sku]],LEN(Table14[[#This Row],[spawner_sku]])-FIND("/",Table14[[#This Row],[spawner_sku]])),Table28[Entity Prefab],0)),25,1,1,"Entities"))</f>
        <v>no</v>
      </c>
      <c r="DZ718" s="71">
        <v>1</v>
      </c>
      <c r="EA718" s="71">
        <v>2</v>
      </c>
      <c r="EB718" s="71" t="b">
        <v>0</v>
      </c>
      <c r="EC718" s="71"/>
    </row>
    <row r="719" spans="123:133" x14ac:dyDescent="0.25">
      <c r="DS719" t="s">
        <v>3825</v>
      </c>
      <c r="DT719">
        <v>1</v>
      </c>
      <c r="DU719">
        <v>120</v>
      </c>
      <c r="DV719">
        <v>100</v>
      </c>
      <c r="DW719" s="74">
        <f ca="1">INDIRECT(ADDRESS(11+(MATCH(RIGHT(Table14[[#This Row],[spawner_sku]],LEN(Table14[[#This Row],[spawner_sku]])-FIND("/",Table14[[#This Row],[spawner_sku]])),Table1[Entity Prefab],0)),10,1,1,"Entities"))</f>
        <v>45</v>
      </c>
      <c r="DX719" s="74">
        <f ca="1">ROUND((Table14[[#This Row],[XP]]*Table14[[#This Row],[entity_spawned (AVG)]])*(Table14[[#This Row],[activating_chance]]/100),0)</f>
        <v>45</v>
      </c>
      <c r="DY719" s="144" t="str">
        <f ca="1">INDIRECT(ADDRESS(11+(MATCH(RIGHT(Table14[[#This Row],[spawner_sku]],LEN(Table14[[#This Row],[spawner_sku]])-FIND("/",Table14[[#This Row],[spawner_sku]])),Table28[Entity Prefab],0)),25,1,1,"Entities"))</f>
        <v>no</v>
      </c>
      <c r="DZ719" s="71">
        <v>1</v>
      </c>
      <c r="EA719" s="71">
        <v>1</v>
      </c>
      <c r="EB719" s="71" t="b">
        <v>0</v>
      </c>
      <c r="EC719" s="71"/>
    </row>
    <row r="720" spans="123:133" x14ac:dyDescent="0.25">
      <c r="DS720" t="s">
        <v>3825</v>
      </c>
      <c r="DT720">
        <v>1</v>
      </c>
      <c r="DU720">
        <v>120</v>
      </c>
      <c r="DV720">
        <v>80</v>
      </c>
      <c r="DW720" s="74">
        <f ca="1">INDIRECT(ADDRESS(11+(MATCH(RIGHT(Table14[[#This Row],[spawner_sku]],LEN(Table14[[#This Row],[spawner_sku]])-FIND("/",Table14[[#This Row],[spawner_sku]])),Table1[Entity Prefab],0)),10,1,1,"Entities"))</f>
        <v>45</v>
      </c>
      <c r="DX720" s="74">
        <f ca="1">ROUND((Table14[[#This Row],[XP]]*Table14[[#This Row],[entity_spawned (AVG)]])*(Table14[[#This Row],[activating_chance]]/100),0)</f>
        <v>36</v>
      </c>
      <c r="DY720" s="144" t="str">
        <f ca="1">INDIRECT(ADDRESS(11+(MATCH(RIGHT(Table14[[#This Row],[spawner_sku]],LEN(Table14[[#This Row],[spawner_sku]])-FIND("/",Table14[[#This Row],[spawner_sku]])),Table28[Entity Prefab],0)),25,1,1,"Entities"))</f>
        <v>no</v>
      </c>
      <c r="DZ720" s="71">
        <v>1</v>
      </c>
      <c r="EA720" s="71">
        <v>1</v>
      </c>
      <c r="EB720" s="71" t="b">
        <v>0</v>
      </c>
      <c r="EC720" s="71"/>
    </row>
    <row r="721" spans="123:133" x14ac:dyDescent="0.25">
      <c r="DS721" t="s">
        <v>3825</v>
      </c>
      <c r="DT721">
        <v>2</v>
      </c>
      <c r="DU721">
        <v>100</v>
      </c>
      <c r="DV721">
        <v>30</v>
      </c>
      <c r="DW721" s="74">
        <f ca="1">INDIRECT(ADDRESS(11+(MATCH(RIGHT(Table14[[#This Row],[spawner_sku]],LEN(Table14[[#This Row],[spawner_sku]])-FIND("/",Table14[[#This Row],[spawner_sku]])),Table1[Entity Prefab],0)),10,1,1,"Entities"))</f>
        <v>45</v>
      </c>
      <c r="DX721" s="74">
        <f ca="1">ROUND((Table14[[#This Row],[XP]]*Table14[[#This Row],[entity_spawned (AVG)]])*(Table14[[#This Row],[activating_chance]]/100),0)</f>
        <v>27</v>
      </c>
      <c r="DY721" s="144" t="str">
        <f ca="1">INDIRECT(ADDRESS(11+(MATCH(RIGHT(Table14[[#This Row],[spawner_sku]],LEN(Table14[[#This Row],[spawner_sku]])-FIND("/",Table14[[#This Row],[spawner_sku]])),Table28[Entity Prefab],0)),25,1,1,"Entities"))</f>
        <v>no</v>
      </c>
      <c r="DZ721" s="71">
        <v>2</v>
      </c>
      <c r="EA721" s="71">
        <v>2</v>
      </c>
      <c r="EB721" s="71" t="b">
        <v>0</v>
      </c>
      <c r="EC721" s="71"/>
    </row>
    <row r="722" spans="123:133" x14ac:dyDescent="0.25">
      <c r="DS722" t="s">
        <v>3825</v>
      </c>
      <c r="DT722">
        <v>2</v>
      </c>
      <c r="DU722">
        <v>120</v>
      </c>
      <c r="DV722">
        <v>80</v>
      </c>
      <c r="DW722" s="74">
        <f ca="1">INDIRECT(ADDRESS(11+(MATCH(RIGHT(Table14[[#This Row],[spawner_sku]],LEN(Table14[[#This Row],[spawner_sku]])-FIND("/",Table14[[#This Row],[spawner_sku]])),Table1[Entity Prefab],0)),10,1,1,"Entities"))</f>
        <v>45</v>
      </c>
      <c r="DX722" s="74">
        <f ca="1">ROUND((Table14[[#This Row],[XP]]*Table14[[#This Row],[entity_spawned (AVG)]])*(Table14[[#This Row],[activating_chance]]/100),0)</f>
        <v>72</v>
      </c>
      <c r="DY722" s="144" t="str">
        <f ca="1">INDIRECT(ADDRESS(11+(MATCH(RIGHT(Table14[[#This Row],[spawner_sku]],LEN(Table14[[#This Row],[spawner_sku]])-FIND("/",Table14[[#This Row],[spawner_sku]])),Table28[Entity Prefab],0)),25,1,1,"Entities"))</f>
        <v>no</v>
      </c>
      <c r="DZ722" s="71">
        <v>2</v>
      </c>
      <c r="EA722" s="71">
        <v>2</v>
      </c>
      <c r="EB722" s="71" t="b">
        <v>0</v>
      </c>
      <c r="EC722" s="71"/>
    </row>
    <row r="723" spans="123:133" x14ac:dyDescent="0.25">
      <c r="DS723" t="s">
        <v>3825</v>
      </c>
      <c r="DT723">
        <v>2</v>
      </c>
      <c r="DU723">
        <v>100</v>
      </c>
      <c r="DV723">
        <v>100</v>
      </c>
      <c r="DW723" s="74">
        <f ca="1">INDIRECT(ADDRESS(11+(MATCH(RIGHT(Table14[[#This Row],[spawner_sku]],LEN(Table14[[#This Row],[spawner_sku]])-FIND("/",Table14[[#This Row],[spawner_sku]])),Table1[Entity Prefab],0)),10,1,1,"Entities"))</f>
        <v>45</v>
      </c>
      <c r="DX723" s="74">
        <f ca="1">ROUND((Table14[[#This Row],[XP]]*Table14[[#This Row],[entity_spawned (AVG)]])*(Table14[[#This Row],[activating_chance]]/100),0)</f>
        <v>90</v>
      </c>
      <c r="DY723" s="144" t="str">
        <f ca="1">INDIRECT(ADDRESS(11+(MATCH(RIGHT(Table14[[#This Row],[spawner_sku]],LEN(Table14[[#This Row],[spawner_sku]])-FIND("/",Table14[[#This Row],[spawner_sku]])),Table28[Entity Prefab],0)),25,1,1,"Entities"))</f>
        <v>no</v>
      </c>
      <c r="DZ723" s="71">
        <v>2</v>
      </c>
      <c r="EA723" s="71">
        <v>2</v>
      </c>
      <c r="EB723" s="71" t="b">
        <v>0</v>
      </c>
      <c r="EC723" s="71"/>
    </row>
    <row r="724" spans="123:133" x14ac:dyDescent="0.25">
      <c r="DS724" t="s">
        <v>3825</v>
      </c>
      <c r="DT724">
        <v>2.5</v>
      </c>
      <c r="DU724">
        <v>150</v>
      </c>
      <c r="DV724">
        <v>100</v>
      </c>
      <c r="DW724" s="74">
        <f ca="1">INDIRECT(ADDRESS(11+(MATCH(RIGHT(Table14[[#This Row],[spawner_sku]],LEN(Table14[[#This Row],[spawner_sku]])-FIND("/",Table14[[#This Row],[spawner_sku]])),Table1[Entity Prefab],0)),10,1,1,"Entities"))</f>
        <v>45</v>
      </c>
      <c r="DX724" s="74">
        <f ca="1">ROUND((Table14[[#This Row],[XP]]*Table14[[#This Row],[entity_spawned (AVG)]])*(Table14[[#This Row],[activating_chance]]/100),0)</f>
        <v>113</v>
      </c>
      <c r="DY724" s="144" t="str">
        <f ca="1">INDIRECT(ADDRESS(11+(MATCH(RIGHT(Table14[[#This Row],[spawner_sku]],LEN(Table14[[#This Row],[spawner_sku]])-FIND("/",Table14[[#This Row],[spawner_sku]])),Table28[Entity Prefab],0)),25,1,1,"Entities"))</f>
        <v>no</v>
      </c>
      <c r="DZ724" s="71">
        <v>2</v>
      </c>
      <c r="EA724" s="71">
        <v>3</v>
      </c>
      <c r="EB724" s="71" t="b">
        <v>0</v>
      </c>
      <c r="EC724" s="71"/>
    </row>
    <row r="725" spans="123:133" x14ac:dyDescent="0.25">
      <c r="DS725" t="s">
        <v>3825</v>
      </c>
      <c r="DT725">
        <v>1</v>
      </c>
      <c r="DU725">
        <v>120</v>
      </c>
      <c r="DV725">
        <v>100</v>
      </c>
      <c r="DW725" s="74">
        <f ca="1">INDIRECT(ADDRESS(11+(MATCH(RIGHT(Table14[[#This Row],[spawner_sku]],LEN(Table14[[#This Row],[spawner_sku]])-FIND("/",Table14[[#This Row],[spawner_sku]])),Table1[Entity Prefab],0)),10,1,1,"Entities"))</f>
        <v>45</v>
      </c>
      <c r="DX725" s="74">
        <f ca="1">ROUND((Table14[[#This Row],[XP]]*Table14[[#This Row],[entity_spawned (AVG)]])*(Table14[[#This Row],[activating_chance]]/100),0)</f>
        <v>45</v>
      </c>
      <c r="DY725" s="144" t="str">
        <f ca="1">INDIRECT(ADDRESS(11+(MATCH(RIGHT(Table14[[#This Row],[spawner_sku]],LEN(Table14[[#This Row],[spawner_sku]])-FIND("/",Table14[[#This Row],[spawner_sku]])),Table28[Entity Prefab],0)),25,1,1,"Entities"))</f>
        <v>no</v>
      </c>
      <c r="DZ725" s="71">
        <v>1</v>
      </c>
      <c r="EA725" s="71">
        <v>1</v>
      </c>
      <c r="EB725" s="71" t="b">
        <v>0</v>
      </c>
      <c r="EC725" s="71"/>
    </row>
    <row r="726" spans="123:133" x14ac:dyDescent="0.25">
      <c r="DS726" t="s">
        <v>3825</v>
      </c>
      <c r="DT726">
        <v>1</v>
      </c>
      <c r="DU726">
        <v>100</v>
      </c>
      <c r="DV726">
        <v>100</v>
      </c>
      <c r="DW726" s="74">
        <f ca="1">INDIRECT(ADDRESS(11+(MATCH(RIGHT(Table14[[#This Row],[spawner_sku]],LEN(Table14[[#This Row],[spawner_sku]])-FIND("/",Table14[[#This Row],[spawner_sku]])),Table1[Entity Prefab],0)),10,1,1,"Entities"))</f>
        <v>45</v>
      </c>
      <c r="DX726" s="74">
        <f ca="1">ROUND((Table14[[#This Row],[XP]]*Table14[[#This Row],[entity_spawned (AVG)]])*(Table14[[#This Row],[activating_chance]]/100),0)</f>
        <v>45</v>
      </c>
      <c r="DY726" s="144" t="str">
        <f ca="1">INDIRECT(ADDRESS(11+(MATCH(RIGHT(Table14[[#This Row],[spawner_sku]],LEN(Table14[[#This Row],[spawner_sku]])-FIND("/",Table14[[#This Row],[spawner_sku]])),Table28[Entity Prefab],0)),25,1,1,"Entities"))</f>
        <v>no</v>
      </c>
      <c r="DZ726" s="71">
        <v>1</v>
      </c>
      <c r="EA726" s="71">
        <v>1</v>
      </c>
      <c r="EB726" s="71" t="b">
        <v>0</v>
      </c>
      <c r="EC726" s="71"/>
    </row>
    <row r="727" spans="123:133" x14ac:dyDescent="0.25">
      <c r="DS727" t="s">
        <v>3825</v>
      </c>
      <c r="DT727">
        <v>1</v>
      </c>
      <c r="DU727">
        <v>100</v>
      </c>
      <c r="DV727">
        <v>50</v>
      </c>
      <c r="DW727" s="74">
        <f ca="1">INDIRECT(ADDRESS(11+(MATCH(RIGHT(Table14[[#This Row],[spawner_sku]],LEN(Table14[[#This Row],[spawner_sku]])-FIND("/",Table14[[#This Row],[spawner_sku]])),Table1[Entity Prefab],0)),10,1,1,"Entities"))</f>
        <v>45</v>
      </c>
      <c r="DX727" s="74">
        <f ca="1">ROUND((Table14[[#This Row],[XP]]*Table14[[#This Row],[entity_spawned (AVG)]])*(Table14[[#This Row],[activating_chance]]/100),0)</f>
        <v>23</v>
      </c>
      <c r="DY727" s="144" t="str">
        <f ca="1">INDIRECT(ADDRESS(11+(MATCH(RIGHT(Table14[[#This Row],[spawner_sku]],LEN(Table14[[#This Row],[spawner_sku]])-FIND("/",Table14[[#This Row],[spawner_sku]])),Table28[Entity Prefab],0)),25,1,1,"Entities"))</f>
        <v>no</v>
      </c>
      <c r="DZ727" s="71">
        <v>1</v>
      </c>
      <c r="EA727" s="71">
        <v>1</v>
      </c>
      <c r="EB727" s="71" t="b">
        <v>0</v>
      </c>
      <c r="EC727" s="71"/>
    </row>
    <row r="728" spans="123:133" x14ac:dyDescent="0.25">
      <c r="DS728" t="s">
        <v>3825</v>
      </c>
      <c r="DT728">
        <v>2</v>
      </c>
      <c r="DU728">
        <v>120</v>
      </c>
      <c r="DV728">
        <v>100</v>
      </c>
      <c r="DW728" s="74">
        <f ca="1">INDIRECT(ADDRESS(11+(MATCH(RIGHT(Table14[[#This Row],[spawner_sku]],LEN(Table14[[#This Row],[spawner_sku]])-FIND("/",Table14[[#This Row],[spawner_sku]])),Table1[Entity Prefab],0)),10,1,1,"Entities"))</f>
        <v>45</v>
      </c>
      <c r="DX728" s="74">
        <f ca="1">ROUND((Table14[[#This Row],[XP]]*Table14[[#This Row],[entity_spawned (AVG)]])*(Table14[[#This Row],[activating_chance]]/100),0)</f>
        <v>90</v>
      </c>
      <c r="DY728" s="144" t="str">
        <f ca="1">INDIRECT(ADDRESS(11+(MATCH(RIGHT(Table14[[#This Row],[spawner_sku]],LEN(Table14[[#This Row],[spawner_sku]])-FIND("/",Table14[[#This Row],[spawner_sku]])),Table28[Entity Prefab],0)),25,1,1,"Entities"))</f>
        <v>no</v>
      </c>
      <c r="DZ728" s="71">
        <v>2</v>
      </c>
      <c r="EA728" s="71">
        <v>2</v>
      </c>
      <c r="EB728" s="71" t="b">
        <v>0</v>
      </c>
      <c r="EC728" s="71"/>
    </row>
    <row r="729" spans="123:133" x14ac:dyDescent="0.25">
      <c r="DS729" t="s">
        <v>3825</v>
      </c>
      <c r="DT729">
        <v>1.5</v>
      </c>
      <c r="DU729">
        <v>120</v>
      </c>
      <c r="DV729">
        <v>100</v>
      </c>
      <c r="DW729" s="74">
        <f ca="1">INDIRECT(ADDRESS(11+(MATCH(RIGHT(Table14[[#This Row],[spawner_sku]],LEN(Table14[[#This Row],[spawner_sku]])-FIND("/",Table14[[#This Row],[spawner_sku]])),Table1[Entity Prefab],0)),10,1,1,"Entities"))</f>
        <v>45</v>
      </c>
      <c r="DX729" s="74">
        <f ca="1">ROUND((Table14[[#This Row],[XP]]*Table14[[#This Row],[entity_spawned (AVG)]])*(Table14[[#This Row],[activating_chance]]/100),0)</f>
        <v>68</v>
      </c>
      <c r="DY729" s="144" t="str">
        <f ca="1">INDIRECT(ADDRESS(11+(MATCH(RIGHT(Table14[[#This Row],[spawner_sku]],LEN(Table14[[#This Row],[spawner_sku]])-FIND("/",Table14[[#This Row],[spawner_sku]])),Table28[Entity Prefab],0)),25,1,1,"Entities"))</f>
        <v>no</v>
      </c>
      <c r="DZ729" s="71">
        <v>1</v>
      </c>
      <c r="EA729" s="71">
        <v>2</v>
      </c>
      <c r="EB729" s="71" t="b">
        <v>0</v>
      </c>
      <c r="EC729" s="71"/>
    </row>
    <row r="730" spans="123:133" x14ac:dyDescent="0.25">
      <c r="DS730" t="s">
        <v>3825</v>
      </c>
      <c r="DT730">
        <v>1</v>
      </c>
      <c r="DU730">
        <v>100</v>
      </c>
      <c r="DV730">
        <v>50</v>
      </c>
      <c r="DW730" s="74">
        <f ca="1">INDIRECT(ADDRESS(11+(MATCH(RIGHT(Table14[[#This Row],[spawner_sku]],LEN(Table14[[#This Row],[spawner_sku]])-FIND("/",Table14[[#This Row],[spawner_sku]])),Table1[Entity Prefab],0)),10,1,1,"Entities"))</f>
        <v>45</v>
      </c>
      <c r="DX730" s="74">
        <f ca="1">ROUND((Table14[[#This Row],[XP]]*Table14[[#This Row],[entity_spawned (AVG)]])*(Table14[[#This Row],[activating_chance]]/100),0)</f>
        <v>23</v>
      </c>
      <c r="DY730" s="144" t="str">
        <f ca="1">INDIRECT(ADDRESS(11+(MATCH(RIGHT(Table14[[#This Row],[spawner_sku]],LEN(Table14[[#This Row],[spawner_sku]])-FIND("/",Table14[[#This Row],[spawner_sku]])),Table28[Entity Prefab],0)),25,1,1,"Entities"))</f>
        <v>no</v>
      </c>
      <c r="DZ730" s="71">
        <v>1</v>
      </c>
      <c r="EA730" s="71">
        <v>1</v>
      </c>
      <c r="EB730" s="71" t="b">
        <v>0</v>
      </c>
      <c r="EC730" s="71"/>
    </row>
    <row r="731" spans="123:133" x14ac:dyDescent="0.25">
      <c r="DS731" t="s">
        <v>3825</v>
      </c>
      <c r="DT731">
        <v>1</v>
      </c>
      <c r="DU731">
        <v>120</v>
      </c>
      <c r="DV731">
        <v>100</v>
      </c>
      <c r="DW731" s="74">
        <f ca="1">INDIRECT(ADDRESS(11+(MATCH(RIGHT(Table14[[#This Row],[spawner_sku]],LEN(Table14[[#This Row],[spawner_sku]])-FIND("/",Table14[[#This Row],[spawner_sku]])),Table1[Entity Prefab],0)),10,1,1,"Entities"))</f>
        <v>45</v>
      </c>
      <c r="DX731" s="74">
        <f ca="1">ROUND((Table14[[#This Row],[XP]]*Table14[[#This Row],[entity_spawned (AVG)]])*(Table14[[#This Row],[activating_chance]]/100),0)</f>
        <v>45</v>
      </c>
      <c r="DY731" s="144" t="str">
        <f ca="1">INDIRECT(ADDRESS(11+(MATCH(RIGHT(Table14[[#This Row],[spawner_sku]],LEN(Table14[[#This Row],[spawner_sku]])-FIND("/",Table14[[#This Row],[spawner_sku]])),Table28[Entity Prefab],0)),25,1,1,"Entities"))</f>
        <v>no</v>
      </c>
      <c r="DZ731" s="71">
        <v>1</v>
      </c>
      <c r="EA731" s="71">
        <v>1</v>
      </c>
      <c r="EB731" s="71" t="b">
        <v>0</v>
      </c>
      <c r="EC731" s="71"/>
    </row>
    <row r="732" spans="123:133" x14ac:dyDescent="0.25">
      <c r="DS732" t="s">
        <v>3825</v>
      </c>
      <c r="DT732">
        <v>1</v>
      </c>
      <c r="DU732">
        <v>70</v>
      </c>
      <c r="DV732">
        <v>100</v>
      </c>
      <c r="DW732" s="74">
        <f ca="1">INDIRECT(ADDRESS(11+(MATCH(RIGHT(Table14[[#This Row],[spawner_sku]],LEN(Table14[[#This Row],[spawner_sku]])-FIND("/",Table14[[#This Row],[spawner_sku]])),Table1[Entity Prefab],0)),10,1,1,"Entities"))</f>
        <v>45</v>
      </c>
      <c r="DX732" s="74">
        <f ca="1">ROUND((Table14[[#This Row],[XP]]*Table14[[#This Row],[entity_spawned (AVG)]])*(Table14[[#This Row],[activating_chance]]/100),0)</f>
        <v>45</v>
      </c>
      <c r="DY732" s="144" t="str">
        <f ca="1">INDIRECT(ADDRESS(11+(MATCH(RIGHT(Table14[[#This Row],[spawner_sku]],LEN(Table14[[#This Row],[spawner_sku]])-FIND("/",Table14[[#This Row],[spawner_sku]])),Table28[Entity Prefab],0)),25,1,1,"Entities"))</f>
        <v>no</v>
      </c>
      <c r="DZ732" s="71">
        <v>1</v>
      </c>
      <c r="EA732" s="71">
        <v>1</v>
      </c>
      <c r="EB732" s="71" t="b">
        <v>0</v>
      </c>
      <c r="EC732" s="71"/>
    </row>
    <row r="733" spans="123:133" x14ac:dyDescent="0.25">
      <c r="DS733" t="s">
        <v>3825</v>
      </c>
      <c r="DT733">
        <v>1.5</v>
      </c>
      <c r="DU733">
        <v>120</v>
      </c>
      <c r="DV733">
        <v>100</v>
      </c>
      <c r="DW733" s="74">
        <f ca="1">INDIRECT(ADDRESS(11+(MATCH(RIGHT(Table14[[#This Row],[spawner_sku]],LEN(Table14[[#This Row],[spawner_sku]])-FIND("/",Table14[[#This Row],[spawner_sku]])),Table1[Entity Prefab],0)),10,1,1,"Entities"))</f>
        <v>45</v>
      </c>
      <c r="DX733" s="74">
        <f ca="1">ROUND((Table14[[#This Row],[XP]]*Table14[[#This Row],[entity_spawned (AVG)]])*(Table14[[#This Row],[activating_chance]]/100),0)</f>
        <v>68</v>
      </c>
      <c r="DY733" s="144" t="str">
        <f ca="1">INDIRECT(ADDRESS(11+(MATCH(RIGHT(Table14[[#This Row],[spawner_sku]],LEN(Table14[[#This Row],[spawner_sku]])-FIND("/",Table14[[#This Row],[spawner_sku]])),Table28[Entity Prefab],0)),25,1,1,"Entities"))</f>
        <v>no</v>
      </c>
      <c r="DZ733" s="71">
        <v>1</v>
      </c>
      <c r="EA733" s="71">
        <v>2</v>
      </c>
      <c r="EB733" s="71" t="b">
        <v>0</v>
      </c>
      <c r="EC733" s="71"/>
    </row>
    <row r="734" spans="123:133" x14ac:dyDescent="0.25">
      <c r="DS734" t="s">
        <v>3825</v>
      </c>
      <c r="DT734">
        <v>1</v>
      </c>
      <c r="DU734">
        <v>100</v>
      </c>
      <c r="DV734">
        <v>80</v>
      </c>
      <c r="DW734" s="74">
        <f ca="1">INDIRECT(ADDRESS(11+(MATCH(RIGHT(Table14[[#This Row],[spawner_sku]],LEN(Table14[[#This Row],[spawner_sku]])-FIND("/",Table14[[#This Row],[spawner_sku]])),Table1[Entity Prefab],0)),10,1,1,"Entities"))</f>
        <v>45</v>
      </c>
      <c r="DX734" s="74">
        <f ca="1">ROUND((Table14[[#This Row],[XP]]*Table14[[#This Row],[entity_spawned (AVG)]])*(Table14[[#This Row],[activating_chance]]/100),0)</f>
        <v>36</v>
      </c>
      <c r="DY734" s="144" t="str">
        <f ca="1">INDIRECT(ADDRESS(11+(MATCH(RIGHT(Table14[[#This Row],[spawner_sku]],LEN(Table14[[#This Row],[spawner_sku]])-FIND("/",Table14[[#This Row],[spawner_sku]])),Table28[Entity Prefab],0)),25,1,1,"Entities"))</f>
        <v>no</v>
      </c>
      <c r="DZ734" s="71">
        <v>1</v>
      </c>
      <c r="EA734" s="71">
        <v>1</v>
      </c>
      <c r="EB734" s="71" t="b">
        <v>0</v>
      </c>
      <c r="EC734" s="71"/>
    </row>
    <row r="735" spans="123:133" x14ac:dyDescent="0.25">
      <c r="DS735" t="s">
        <v>3825</v>
      </c>
      <c r="DT735">
        <v>1</v>
      </c>
      <c r="DU735">
        <v>100</v>
      </c>
      <c r="DV735">
        <v>100</v>
      </c>
      <c r="DW735" s="74">
        <f ca="1">INDIRECT(ADDRESS(11+(MATCH(RIGHT(Table14[[#This Row],[spawner_sku]],LEN(Table14[[#This Row],[spawner_sku]])-FIND("/",Table14[[#This Row],[spawner_sku]])),Table1[Entity Prefab],0)),10,1,1,"Entities"))</f>
        <v>45</v>
      </c>
      <c r="DX735" s="74">
        <f ca="1">ROUND((Table14[[#This Row],[XP]]*Table14[[#This Row],[entity_spawned (AVG)]])*(Table14[[#This Row],[activating_chance]]/100),0)</f>
        <v>45</v>
      </c>
      <c r="DY735" s="144" t="str">
        <f ca="1">INDIRECT(ADDRESS(11+(MATCH(RIGHT(Table14[[#This Row],[spawner_sku]],LEN(Table14[[#This Row],[spawner_sku]])-FIND("/",Table14[[#This Row],[spawner_sku]])),Table28[Entity Prefab],0)),25,1,1,"Entities"))</f>
        <v>no</v>
      </c>
      <c r="DZ735" s="71">
        <v>1</v>
      </c>
      <c r="EA735" s="71">
        <v>1</v>
      </c>
      <c r="EB735" s="71" t="b">
        <v>0</v>
      </c>
      <c r="EC735" s="71"/>
    </row>
    <row r="736" spans="123:133" x14ac:dyDescent="0.25">
      <c r="DS736" t="s">
        <v>3825</v>
      </c>
      <c r="DT736">
        <v>2.5</v>
      </c>
      <c r="DU736">
        <v>80</v>
      </c>
      <c r="DV736">
        <v>100</v>
      </c>
      <c r="DW736" s="74">
        <f ca="1">INDIRECT(ADDRESS(11+(MATCH(RIGHT(Table14[[#This Row],[spawner_sku]],LEN(Table14[[#This Row],[spawner_sku]])-FIND("/",Table14[[#This Row],[spawner_sku]])),Table1[Entity Prefab],0)),10,1,1,"Entities"))</f>
        <v>45</v>
      </c>
      <c r="DX736" s="74">
        <f ca="1">ROUND((Table14[[#This Row],[XP]]*Table14[[#This Row],[entity_spawned (AVG)]])*(Table14[[#This Row],[activating_chance]]/100),0)</f>
        <v>113</v>
      </c>
      <c r="DY736" s="144" t="str">
        <f ca="1">INDIRECT(ADDRESS(11+(MATCH(RIGHT(Table14[[#This Row],[spawner_sku]],LEN(Table14[[#This Row],[spawner_sku]])-FIND("/",Table14[[#This Row],[spawner_sku]])),Table28[Entity Prefab],0)),25,1,1,"Entities"))</f>
        <v>no</v>
      </c>
      <c r="DZ736" s="71">
        <v>2</v>
      </c>
      <c r="EA736" s="71">
        <v>3</v>
      </c>
      <c r="EB736" s="71" t="b">
        <v>0</v>
      </c>
      <c r="EC736" s="71"/>
    </row>
    <row r="737" spans="123:133" x14ac:dyDescent="0.25">
      <c r="DS737" t="s">
        <v>3825</v>
      </c>
      <c r="DT737">
        <v>1</v>
      </c>
      <c r="DU737">
        <v>110</v>
      </c>
      <c r="DV737">
        <v>100</v>
      </c>
      <c r="DW737" s="74">
        <f ca="1">INDIRECT(ADDRESS(11+(MATCH(RIGHT(Table14[[#This Row],[spawner_sku]],LEN(Table14[[#This Row],[spawner_sku]])-FIND("/",Table14[[#This Row],[spawner_sku]])),Table1[Entity Prefab],0)),10,1,1,"Entities"))</f>
        <v>45</v>
      </c>
      <c r="DX737" s="74">
        <f ca="1">ROUND((Table14[[#This Row],[XP]]*Table14[[#This Row],[entity_spawned (AVG)]])*(Table14[[#This Row],[activating_chance]]/100),0)</f>
        <v>45</v>
      </c>
      <c r="DY737" s="144" t="str">
        <f ca="1">INDIRECT(ADDRESS(11+(MATCH(RIGHT(Table14[[#This Row],[spawner_sku]],LEN(Table14[[#This Row],[spawner_sku]])-FIND("/",Table14[[#This Row],[spawner_sku]])),Table28[Entity Prefab],0)),25,1,1,"Entities"))</f>
        <v>no</v>
      </c>
      <c r="DZ737" s="71">
        <v>1</v>
      </c>
      <c r="EA737" s="71">
        <v>1</v>
      </c>
      <c r="EB737" s="71" t="b">
        <v>0</v>
      </c>
      <c r="EC737" s="71"/>
    </row>
    <row r="738" spans="123:133" x14ac:dyDescent="0.25">
      <c r="DS738" t="s">
        <v>3825</v>
      </c>
      <c r="DT738">
        <v>2</v>
      </c>
      <c r="DU738">
        <v>90</v>
      </c>
      <c r="DV738">
        <v>80</v>
      </c>
      <c r="DW738" s="74">
        <f ca="1">INDIRECT(ADDRESS(11+(MATCH(RIGHT(Table14[[#This Row],[spawner_sku]],LEN(Table14[[#This Row],[spawner_sku]])-FIND("/",Table14[[#This Row],[spawner_sku]])),Table1[Entity Prefab],0)),10,1,1,"Entities"))</f>
        <v>45</v>
      </c>
      <c r="DX738" s="74">
        <f ca="1">ROUND((Table14[[#This Row],[XP]]*Table14[[#This Row],[entity_spawned (AVG)]])*(Table14[[#This Row],[activating_chance]]/100),0)</f>
        <v>72</v>
      </c>
      <c r="DY738" s="144" t="str">
        <f ca="1">INDIRECT(ADDRESS(11+(MATCH(RIGHT(Table14[[#This Row],[spawner_sku]],LEN(Table14[[#This Row],[spawner_sku]])-FIND("/",Table14[[#This Row],[spawner_sku]])),Table28[Entity Prefab],0)),25,1,1,"Entities"))</f>
        <v>no</v>
      </c>
      <c r="DZ738" s="71">
        <v>2</v>
      </c>
      <c r="EA738" s="71">
        <v>2</v>
      </c>
      <c r="EB738" s="71" t="b">
        <v>0</v>
      </c>
      <c r="EC738" s="71"/>
    </row>
    <row r="739" spans="123:133" x14ac:dyDescent="0.25">
      <c r="DS739" t="s">
        <v>3825</v>
      </c>
      <c r="DT739">
        <v>2.5</v>
      </c>
      <c r="DU739">
        <v>100</v>
      </c>
      <c r="DV739">
        <v>100</v>
      </c>
      <c r="DW739" s="74">
        <f ca="1">INDIRECT(ADDRESS(11+(MATCH(RIGHT(Table14[[#This Row],[spawner_sku]],LEN(Table14[[#This Row],[spawner_sku]])-FIND("/",Table14[[#This Row],[spawner_sku]])),Table1[Entity Prefab],0)),10,1,1,"Entities"))</f>
        <v>45</v>
      </c>
      <c r="DX739" s="74">
        <f ca="1">ROUND((Table14[[#This Row],[XP]]*Table14[[#This Row],[entity_spawned (AVG)]])*(Table14[[#This Row],[activating_chance]]/100),0)</f>
        <v>113</v>
      </c>
      <c r="DY739" s="144" t="str">
        <f ca="1">INDIRECT(ADDRESS(11+(MATCH(RIGHT(Table14[[#This Row],[spawner_sku]],LEN(Table14[[#This Row],[spawner_sku]])-FIND("/",Table14[[#This Row],[spawner_sku]])),Table28[Entity Prefab],0)),25,1,1,"Entities"))</f>
        <v>no</v>
      </c>
      <c r="DZ739" s="71">
        <v>2</v>
      </c>
      <c r="EA739" s="71">
        <v>3</v>
      </c>
      <c r="EB739" s="71" t="b">
        <v>0</v>
      </c>
      <c r="EC739" s="71"/>
    </row>
    <row r="740" spans="123:133" x14ac:dyDescent="0.25">
      <c r="DS740" t="s">
        <v>3825</v>
      </c>
      <c r="DT740">
        <v>1.5</v>
      </c>
      <c r="DU740">
        <v>120</v>
      </c>
      <c r="DV740">
        <v>100</v>
      </c>
      <c r="DW740" s="74">
        <f ca="1">INDIRECT(ADDRESS(11+(MATCH(RIGHT(Table14[[#This Row],[spawner_sku]],LEN(Table14[[#This Row],[spawner_sku]])-FIND("/",Table14[[#This Row],[spawner_sku]])),Table1[Entity Prefab],0)),10,1,1,"Entities"))</f>
        <v>45</v>
      </c>
      <c r="DX740" s="74">
        <f ca="1">ROUND((Table14[[#This Row],[XP]]*Table14[[#This Row],[entity_spawned (AVG)]])*(Table14[[#This Row],[activating_chance]]/100),0)</f>
        <v>68</v>
      </c>
      <c r="DY740" s="144" t="str">
        <f ca="1">INDIRECT(ADDRESS(11+(MATCH(RIGHT(Table14[[#This Row],[spawner_sku]],LEN(Table14[[#This Row],[spawner_sku]])-FIND("/",Table14[[#This Row],[spawner_sku]])),Table28[Entity Prefab],0)),25,1,1,"Entities"))</f>
        <v>no</v>
      </c>
      <c r="DZ740" s="71">
        <v>1</v>
      </c>
      <c r="EA740" s="71">
        <v>2</v>
      </c>
      <c r="EB740" s="71" t="b">
        <v>0</v>
      </c>
      <c r="EC740" s="71"/>
    </row>
    <row r="741" spans="123:133" x14ac:dyDescent="0.25">
      <c r="DS741" t="s">
        <v>3825</v>
      </c>
      <c r="DT741">
        <v>2</v>
      </c>
      <c r="DU741">
        <v>120</v>
      </c>
      <c r="DV741">
        <v>100</v>
      </c>
      <c r="DW741" s="74">
        <f ca="1">INDIRECT(ADDRESS(11+(MATCH(RIGHT(Table14[[#This Row],[spawner_sku]],LEN(Table14[[#This Row],[spawner_sku]])-FIND("/",Table14[[#This Row],[spawner_sku]])),Table1[Entity Prefab],0)),10,1,1,"Entities"))</f>
        <v>45</v>
      </c>
      <c r="DX741" s="74">
        <f ca="1">ROUND((Table14[[#This Row],[XP]]*Table14[[#This Row],[entity_spawned (AVG)]])*(Table14[[#This Row],[activating_chance]]/100),0)</f>
        <v>90</v>
      </c>
      <c r="DY741" s="144" t="str">
        <f ca="1">INDIRECT(ADDRESS(11+(MATCH(RIGHT(Table14[[#This Row],[spawner_sku]],LEN(Table14[[#This Row],[spawner_sku]])-FIND("/",Table14[[#This Row],[spawner_sku]])),Table28[Entity Prefab],0)),25,1,1,"Entities"))</f>
        <v>no</v>
      </c>
      <c r="DZ741" s="71">
        <v>2</v>
      </c>
      <c r="EA741" s="71">
        <v>2</v>
      </c>
      <c r="EB741" s="71" t="b">
        <v>0</v>
      </c>
      <c r="EC741" s="71"/>
    </row>
    <row r="742" spans="123:133" x14ac:dyDescent="0.25">
      <c r="DS742" t="s">
        <v>3825</v>
      </c>
      <c r="DT742">
        <v>1.5</v>
      </c>
      <c r="DU742">
        <v>100</v>
      </c>
      <c r="DV742">
        <v>100</v>
      </c>
      <c r="DW742" s="74">
        <f ca="1">INDIRECT(ADDRESS(11+(MATCH(RIGHT(Table14[[#This Row],[spawner_sku]],LEN(Table14[[#This Row],[spawner_sku]])-FIND("/",Table14[[#This Row],[spawner_sku]])),Table1[Entity Prefab],0)),10,1,1,"Entities"))</f>
        <v>45</v>
      </c>
      <c r="DX742" s="74">
        <f ca="1">ROUND((Table14[[#This Row],[XP]]*Table14[[#This Row],[entity_spawned (AVG)]])*(Table14[[#This Row],[activating_chance]]/100),0)</f>
        <v>68</v>
      </c>
      <c r="DY742" s="144" t="str">
        <f ca="1">INDIRECT(ADDRESS(11+(MATCH(RIGHT(Table14[[#This Row],[spawner_sku]],LEN(Table14[[#This Row],[spawner_sku]])-FIND("/",Table14[[#This Row],[spawner_sku]])),Table28[Entity Prefab],0)),25,1,1,"Entities"))</f>
        <v>no</v>
      </c>
      <c r="DZ742" s="71">
        <v>1</v>
      </c>
      <c r="EA742" s="71">
        <v>2</v>
      </c>
      <c r="EB742" s="71" t="b">
        <v>0</v>
      </c>
      <c r="EC742" s="71"/>
    </row>
    <row r="743" spans="123:133" x14ac:dyDescent="0.25">
      <c r="DS743" t="s">
        <v>3825</v>
      </c>
      <c r="DT743">
        <v>1</v>
      </c>
      <c r="DU743">
        <v>100</v>
      </c>
      <c r="DV743">
        <v>100</v>
      </c>
      <c r="DW743" s="74">
        <f ca="1">INDIRECT(ADDRESS(11+(MATCH(RIGHT(Table14[[#This Row],[spawner_sku]],LEN(Table14[[#This Row],[spawner_sku]])-FIND("/",Table14[[#This Row],[spawner_sku]])),Table1[Entity Prefab],0)),10,1,1,"Entities"))</f>
        <v>45</v>
      </c>
      <c r="DX743" s="74">
        <f ca="1">ROUND((Table14[[#This Row],[XP]]*Table14[[#This Row],[entity_spawned (AVG)]])*(Table14[[#This Row],[activating_chance]]/100),0)</f>
        <v>45</v>
      </c>
      <c r="DY743" s="144" t="str">
        <f ca="1">INDIRECT(ADDRESS(11+(MATCH(RIGHT(Table14[[#This Row],[spawner_sku]],LEN(Table14[[#This Row],[spawner_sku]])-FIND("/",Table14[[#This Row],[spawner_sku]])),Table28[Entity Prefab],0)),25,1,1,"Entities"))</f>
        <v>no</v>
      </c>
      <c r="DZ743" s="71">
        <v>1</v>
      </c>
      <c r="EA743" s="71">
        <v>1</v>
      </c>
      <c r="EB743" s="71" t="b">
        <v>0</v>
      </c>
      <c r="EC743" s="71"/>
    </row>
    <row r="744" spans="123:133" x14ac:dyDescent="0.25">
      <c r="DS744" t="s">
        <v>3825</v>
      </c>
      <c r="DT744">
        <v>1.5</v>
      </c>
      <c r="DU744">
        <v>120</v>
      </c>
      <c r="DV744">
        <v>100</v>
      </c>
      <c r="DW744" s="74">
        <f ca="1">INDIRECT(ADDRESS(11+(MATCH(RIGHT(Table14[[#This Row],[spawner_sku]],LEN(Table14[[#This Row],[spawner_sku]])-FIND("/",Table14[[#This Row],[spawner_sku]])),Table1[Entity Prefab],0)),10,1,1,"Entities"))</f>
        <v>45</v>
      </c>
      <c r="DX744" s="74">
        <f ca="1">ROUND((Table14[[#This Row],[XP]]*Table14[[#This Row],[entity_spawned (AVG)]])*(Table14[[#This Row],[activating_chance]]/100),0)</f>
        <v>68</v>
      </c>
      <c r="DY744" s="144" t="str">
        <f ca="1">INDIRECT(ADDRESS(11+(MATCH(RIGHT(Table14[[#This Row],[spawner_sku]],LEN(Table14[[#This Row],[spawner_sku]])-FIND("/",Table14[[#This Row],[spawner_sku]])),Table28[Entity Prefab],0)),25,1,1,"Entities"))</f>
        <v>no</v>
      </c>
      <c r="DZ744" s="71">
        <v>1</v>
      </c>
      <c r="EA744" s="71">
        <v>2</v>
      </c>
      <c r="EB744" s="71" t="b">
        <v>0</v>
      </c>
      <c r="EC744" s="71"/>
    </row>
    <row r="745" spans="123:133" x14ac:dyDescent="0.25">
      <c r="DS745" t="s">
        <v>3825</v>
      </c>
      <c r="DT745">
        <v>2</v>
      </c>
      <c r="DU745">
        <v>120</v>
      </c>
      <c r="DV745">
        <v>100</v>
      </c>
      <c r="DW745" s="74">
        <f ca="1">INDIRECT(ADDRESS(11+(MATCH(RIGHT(Table14[[#This Row],[spawner_sku]],LEN(Table14[[#This Row],[spawner_sku]])-FIND("/",Table14[[#This Row],[spawner_sku]])),Table1[Entity Prefab],0)),10,1,1,"Entities"))</f>
        <v>45</v>
      </c>
      <c r="DX745" s="74">
        <f ca="1">ROUND((Table14[[#This Row],[XP]]*Table14[[#This Row],[entity_spawned (AVG)]])*(Table14[[#This Row],[activating_chance]]/100),0)</f>
        <v>90</v>
      </c>
      <c r="DY745" s="144" t="str">
        <f ca="1">INDIRECT(ADDRESS(11+(MATCH(RIGHT(Table14[[#This Row],[spawner_sku]],LEN(Table14[[#This Row],[spawner_sku]])-FIND("/",Table14[[#This Row],[spawner_sku]])),Table28[Entity Prefab],0)),25,1,1,"Entities"))</f>
        <v>no</v>
      </c>
      <c r="DZ745" s="71">
        <v>2</v>
      </c>
      <c r="EA745" s="71">
        <v>2</v>
      </c>
      <c r="EB745" s="71" t="b">
        <v>0</v>
      </c>
      <c r="EC745" s="71"/>
    </row>
    <row r="746" spans="123:133" x14ac:dyDescent="0.25">
      <c r="DS746" t="s">
        <v>3825</v>
      </c>
      <c r="DT746">
        <v>2</v>
      </c>
      <c r="DU746">
        <v>100</v>
      </c>
      <c r="DV746">
        <v>100</v>
      </c>
      <c r="DW746" s="74">
        <f ca="1">INDIRECT(ADDRESS(11+(MATCH(RIGHT(Table14[[#This Row],[spawner_sku]],LEN(Table14[[#This Row],[spawner_sku]])-FIND("/",Table14[[#This Row],[spawner_sku]])),Table1[Entity Prefab],0)),10,1,1,"Entities"))</f>
        <v>45</v>
      </c>
      <c r="DX746" s="74">
        <f ca="1">ROUND((Table14[[#This Row],[XP]]*Table14[[#This Row],[entity_spawned (AVG)]])*(Table14[[#This Row],[activating_chance]]/100),0)</f>
        <v>90</v>
      </c>
      <c r="DY746" s="144" t="str">
        <f ca="1">INDIRECT(ADDRESS(11+(MATCH(RIGHT(Table14[[#This Row],[spawner_sku]],LEN(Table14[[#This Row],[spawner_sku]])-FIND("/",Table14[[#This Row],[spawner_sku]])),Table28[Entity Prefab],0)),25,1,1,"Entities"))</f>
        <v>no</v>
      </c>
      <c r="DZ746" s="71">
        <v>2</v>
      </c>
      <c r="EA746" s="71">
        <v>2</v>
      </c>
      <c r="EB746" s="71" t="b">
        <v>0</v>
      </c>
      <c r="EC746" s="71"/>
    </row>
    <row r="747" spans="123:133" x14ac:dyDescent="0.25">
      <c r="DS747" t="s">
        <v>3825</v>
      </c>
      <c r="DT747">
        <v>1</v>
      </c>
      <c r="DU747">
        <v>90</v>
      </c>
      <c r="DV747">
        <v>80</v>
      </c>
      <c r="DW747" s="74">
        <f ca="1">INDIRECT(ADDRESS(11+(MATCH(RIGHT(Table14[[#This Row],[spawner_sku]],LEN(Table14[[#This Row],[spawner_sku]])-FIND("/",Table14[[#This Row],[spawner_sku]])),Table1[Entity Prefab],0)),10,1,1,"Entities"))</f>
        <v>45</v>
      </c>
      <c r="DX747" s="74">
        <f ca="1">ROUND((Table14[[#This Row],[XP]]*Table14[[#This Row],[entity_spawned (AVG)]])*(Table14[[#This Row],[activating_chance]]/100),0)</f>
        <v>36</v>
      </c>
      <c r="DY747" s="144" t="str">
        <f ca="1">INDIRECT(ADDRESS(11+(MATCH(RIGHT(Table14[[#This Row],[spawner_sku]],LEN(Table14[[#This Row],[spawner_sku]])-FIND("/",Table14[[#This Row],[spawner_sku]])),Table28[Entity Prefab],0)),25,1,1,"Entities"))</f>
        <v>no</v>
      </c>
      <c r="DZ747" s="71">
        <v>1</v>
      </c>
      <c r="EA747" s="71">
        <v>1</v>
      </c>
      <c r="EB747" s="71" t="b">
        <v>0</v>
      </c>
      <c r="EC747" s="71"/>
    </row>
    <row r="748" spans="123:133" x14ac:dyDescent="0.25">
      <c r="DS748" t="s">
        <v>3825</v>
      </c>
      <c r="DT748">
        <v>1.5</v>
      </c>
      <c r="DU748">
        <v>100</v>
      </c>
      <c r="DV748">
        <v>100</v>
      </c>
      <c r="DW748" s="74">
        <f ca="1">INDIRECT(ADDRESS(11+(MATCH(RIGHT(Table14[[#This Row],[spawner_sku]],LEN(Table14[[#This Row],[spawner_sku]])-FIND("/",Table14[[#This Row],[spawner_sku]])),Table1[Entity Prefab],0)),10,1,1,"Entities"))</f>
        <v>45</v>
      </c>
      <c r="DX748" s="74">
        <f ca="1">ROUND((Table14[[#This Row],[XP]]*Table14[[#This Row],[entity_spawned (AVG)]])*(Table14[[#This Row],[activating_chance]]/100),0)</f>
        <v>68</v>
      </c>
      <c r="DY748" s="144" t="str">
        <f ca="1">INDIRECT(ADDRESS(11+(MATCH(RIGHT(Table14[[#This Row],[spawner_sku]],LEN(Table14[[#This Row],[spawner_sku]])-FIND("/",Table14[[#This Row],[spawner_sku]])),Table28[Entity Prefab],0)),25,1,1,"Entities"))</f>
        <v>no</v>
      </c>
      <c r="DZ748" s="71">
        <v>1</v>
      </c>
      <c r="EA748" s="71">
        <v>2</v>
      </c>
      <c r="EB748" s="71" t="b">
        <v>0</v>
      </c>
      <c r="EC748" s="71"/>
    </row>
    <row r="749" spans="123:133" x14ac:dyDescent="0.25">
      <c r="DS749" t="s">
        <v>3825</v>
      </c>
      <c r="DT749">
        <v>1</v>
      </c>
      <c r="DU749">
        <v>120</v>
      </c>
      <c r="DV749">
        <v>80</v>
      </c>
      <c r="DW749" s="74">
        <f ca="1">INDIRECT(ADDRESS(11+(MATCH(RIGHT(Table14[[#This Row],[spawner_sku]],LEN(Table14[[#This Row],[spawner_sku]])-FIND("/",Table14[[#This Row],[spawner_sku]])),Table1[Entity Prefab],0)),10,1,1,"Entities"))</f>
        <v>45</v>
      </c>
      <c r="DX749" s="74">
        <f ca="1">ROUND((Table14[[#This Row],[XP]]*Table14[[#This Row],[entity_spawned (AVG)]])*(Table14[[#This Row],[activating_chance]]/100),0)</f>
        <v>36</v>
      </c>
      <c r="DY749" s="144" t="str">
        <f ca="1">INDIRECT(ADDRESS(11+(MATCH(RIGHT(Table14[[#This Row],[spawner_sku]],LEN(Table14[[#This Row],[spawner_sku]])-FIND("/",Table14[[#This Row],[spawner_sku]])),Table28[Entity Prefab],0)),25,1,1,"Entities"))</f>
        <v>no</v>
      </c>
      <c r="DZ749" s="71">
        <v>1</v>
      </c>
      <c r="EA749" s="71">
        <v>1</v>
      </c>
      <c r="EB749" s="71" t="b">
        <v>0</v>
      </c>
      <c r="EC749" s="71"/>
    </row>
    <row r="750" spans="123:133" x14ac:dyDescent="0.25">
      <c r="DS750" t="s">
        <v>3825</v>
      </c>
      <c r="DT750">
        <v>1</v>
      </c>
      <c r="DU750">
        <v>120</v>
      </c>
      <c r="DV750">
        <v>80</v>
      </c>
      <c r="DW750" s="74">
        <f ca="1">INDIRECT(ADDRESS(11+(MATCH(RIGHT(Table14[[#This Row],[spawner_sku]],LEN(Table14[[#This Row],[spawner_sku]])-FIND("/",Table14[[#This Row],[spawner_sku]])),Table1[Entity Prefab],0)),10,1,1,"Entities"))</f>
        <v>45</v>
      </c>
      <c r="DX750" s="74">
        <f ca="1">ROUND((Table14[[#This Row],[XP]]*Table14[[#This Row],[entity_spawned (AVG)]])*(Table14[[#This Row],[activating_chance]]/100),0)</f>
        <v>36</v>
      </c>
      <c r="DY750" s="144" t="str">
        <f ca="1">INDIRECT(ADDRESS(11+(MATCH(RIGHT(Table14[[#This Row],[spawner_sku]],LEN(Table14[[#This Row],[spawner_sku]])-FIND("/",Table14[[#This Row],[spawner_sku]])),Table28[Entity Prefab],0)),25,1,1,"Entities"))</f>
        <v>no</v>
      </c>
      <c r="DZ750" s="71">
        <v>1</v>
      </c>
      <c r="EA750" s="71">
        <v>1</v>
      </c>
      <c r="EB750" s="71" t="b">
        <v>0</v>
      </c>
      <c r="EC750" s="71"/>
    </row>
    <row r="751" spans="123:133" x14ac:dyDescent="0.25">
      <c r="DS751" t="s">
        <v>3825</v>
      </c>
      <c r="DT751">
        <v>2</v>
      </c>
      <c r="DU751">
        <v>120</v>
      </c>
      <c r="DV751">
        <v>100</v>
      </c>
      <c r="DW751" s="74">
        <f ca="1">INDIRECT(ADDRESS(11+(MATCH(RIGHT(Table14[[#This Row],[spawner_sku]],LEN(Table14[[#This Row],[spawner_sku]])-FIND("/",Table14[[#This Row],[spawner_sku]])),Table1[Entity Prefab],0)),10,1,1,"Entities"))</f>
        <v>45</v>
      </c>
      <c r="DX751" s="74">
        <f ca="1">ROUND((Table14[[#This Row],[XP]]*Table14[[#This Row],[entity_spawned (AVG)]])*(Table14[[#This Row],[activating_chance]]/100),0)</f>
        <v>90</v>
      </c>
      <c r="DY751" s="144" t="str">
        <f ca="1">INDIRECT(ADDRESS(11+(MATCH(RIGHT(Table14[[#This Row],[spawner_sku]],LEN(Table14[[#This Row],[spawner_sku]])-FIND("/",Table14[[#This Row],[spawner_sku]])),Table28[Entity Prefab],0)),25,1,1,"Entities"))</f>
        <v>no</v>
      </c>
      <c r="DZ751" s="71">
        <v>2</v>
      </c>
      <c r="EA751" s="71">
        <v>2</v>
      </c>
      <c r="EB751" s="71" t="b">
        <v>0</v>
      </c>
      <c r="EC751" s="71"/>
    </row>
    <row r="752" spans="123:133" x14ac:dyDescent="0.25">
      <c r="DS752" t="s">
        <v>3825</v>
      </c>
      <c r="DT752">
        <v>1</v>
      </c>
      <c r="DU752">
        <v>120</v>
      </c>
      <c r="DV752">
        <v>100</v>
      </c>
      <c r="DW752" s="74">
        <f ca="1">INDIRECT(ADDRESS(11+(MATCH(RIGHT(Table14[[#This Row],[spawner_sku]],LEN(Table14[[#This Row],[spawner_sku]])-FIND("/",Table14[[#This Row],[spawner_sku]])),Table1[Entity Prefab],0)),10,1,1,"Entities"))</f>
        <v>45</v>
      </c>
      <c r="DX752" s="74">
        <f ca="1">ROUND((Table14[[#This Row],[XP]]*Table14[[#This Row],[entity_spawned (AVG)]])*(Table14[[#This Row],[activating_chance]]/100),0)</f>
        <v>45</v>
      </c>
      <c r="DY752" s="144" t="str">
        <f ca="1">INDIRECT(ADDRESS(11+(MATCH(RIGHT(Table14[[#This Row],[spawner_sku]],LEN(Table14[[#This Row],[spawner_sku]])-FIND("/",Table14[[#This Row],[spawner_sku]])),Table28[Entity Prefab],0)),25,1,1,"Entities"))</f>
        <v>no</v>
      </c>
      <c r="DZ752" s="71">
        <v>1</v>
      </c>
      <c r="EA752" s="71">
        <v>1</v>
      </c>
      <c r="EB752" s="71" t="b">
        <v>0</v>
      </c>
      <c r="EC752" s="71"/>
    </row>
    <row r="753" spans="123:133" x14ac:dyDescent="0.25">
      <c r="DS753" t="s">
        <v>3825</v>
      </c>
      <c r="DT753">
        <v>1</v>
      </c>
      <c r="DU753">
        <v>120</v>
      </c>
      <c r="DV753">
        <v>100</v>
      </c>
      <c r="DW753" s="74">
        <f ca="1">INDIRECT(ADDRESS(11+(MATCH(RIGHT(Table14[[#This Row],[spawner_sku]],LEN(Table14[[#This Row],[spawner_sku]])-FIND("/",Table14[[#This Row],[spawner_sku]])),Table1[Entity Prefab],0)),10,1,1,"Entities"))</f>
        <v>45</v>
      </c>
      <c r="DX753" s="74">
        <f ca="1">ROUND((Table14[[#This Row],[XP]]*Table14[[#This Row],[entity_spawned (AVG)]])*(Table14[[#This Row],[activating_chance]]/100),0)</f>
        <v>45</v>
      </c>
      <c r="DY753" s="144" t="str">
        <f ca="1">INDIRECT(ADDRESS(11+(MATCH(RIGHT(Table14[[#This Row],[spawner_sku]],LEN(Table14[[#This Row],[spawner_sku]])-FIND("/",Table14[[#This Row],[spawner_sku]])),Table28[Entity Prefab],0)),25,1,1,"Entities"))</f>
        <v>no</v>
      </c>
      <c r="DZ753" s="71">
        <v>1</v>
      </c>
      <c r="EA753" s="71">
        <v>1</v>
      </c>
      <c r="EB753" s="71" t="b">
        <v>0</v>
      </c>
      <c r="EC753" s="71"/>
    </row>
    <row r="754" spans="123:133" x14ac:dyDescent="0.25">
      <c r="DS754" t="s">
        <v>3825</v>
      </c>
      <c r="DT754">
        <v>2</v>
      </c>
      <c r="DU754">
        <v>100</v>
      </c>
      <c r="DV754">
        <v>100</v>
      </c>
      <c r="DW754" s="74">
        <f ca="1">INDIRECT(ADDRESS(11+(MATCH(RIGHT(Table14[[#This Row],[spawner_sku]],LEN(Table14[[#This Row],[spawner_sku]])-FIND("/",Table14[[#This Row],[spawner_sku]])),Table1[Entity Prefab],0)),10,1,1,"Entities"))</f>
        <v>45</v>
      </c>
      <c r="DX754" s="74">
        <f ca="1">ROUND((Table14[[#This Row],[XP]]*Table14[[#This Row],[entity_spawned (AVG)]])*(Table14[[#This Row],[activating_chance]]/100),0)</f>
        <v>90</v>
      </c>
      <c r="DY754" s="144" t="str">
        <f ca="1">INDIRECT(ADDRESS(11+(MATCH(RIGHT(Table14[[#This Row],[spawner_sku]],LEN(Table14[[#This Row],[spawner_sku]])-FIND("/",Table14[[#This Row],[spawner_sku]])),Table28[Entity Prefab],0)),25,1,1,"Entities"))</f>
        <v>no</v>
      </c>
      <c r="DZ754" s="71">
        <v>2</v>
      </c>
      <c r="EA754" s="71">
        <v>2</v>
      </c>
      <c r="EB754" s="71" t="b">
        <v>0</v>
      </c>
      <c r="EC754" s="71"/>
    </row>
    <row r="755" spans="123:133" x14ac:dyDescent="0.25">
      <c r="DS755" t="s">
        <v>3825</v>
      </c>
      <c r="DT755">
        <v>1.5</v>
      </c>
      <c r="DU755">
        <v>100</v>
      </c>
      <c r="DV755">
        <v>80</v>
      </c>
      <c r="DW755" s="74">
        <f ca="1">INDIRECT(ADDRESS(11+(MATCH(RIGHT(Table14[[#This Row],[spawner_sku]],LEN(Table14[[#This Row],[spawner_sku]])-FIND("/",Table14[[#This Row],[spawner_sku]])),Table1[Entity Prefab],0)),10,1,1,"Entities"))</f>
        <v>45</v>
      </c>
      <c r="DX755" s="74">
        <f ca="1">ROUND((Table14[[#This Row],[XP]]*Table14[[#This Row],[entity_spawned (AVG)]])*(Table14[[#This Row],[activating_chance]]/100),0)</f>
        <v>54</v>
      </c>
      <c r="DY755" s="144" t="str">
        <f ca="1">INDIRECT(ADDRESS(11+(MATCH(RIGHT(Table14[[#This Row],[spawner_sku]],LEN(Table14[[#This Row],[spawner_sku]])-FIND("/",Table14[[#This Row],[spawner_sku]])),Table28[Entity Prefab],0)),25,1,1,"Entities"))</f>
        <v>no</v>
      </c>
      <c r="DZ755" s="71">
        <v>1</v>
      </c>
      <c r="EA755" s="71">
        <v>2</v>
      </c>
      <c r="EB755" s="71" t="b">
        <v>0</v>
      </c>
      <c r="EC755" s="71"/>
    </row>
    <row r="756" spans="123:133" x14ac:dyDescent="0.25">
      <c r="DS756" t="s">
        <v>486</v>
      </c>
      <c r="DT756">
        <v>1</v>
      </c>
      <c r="DU756">
        <v>300</v>
      </c>
      <c r="DV756">
        <v>100</v>
      </c>
      <c r="DW756" s="74">
        <f ca="1">INDIRECT(ADDRESS(11+(MATCH(RIGHT(Table14[[#This Row],[spawner_sku]],LEN(Table14[[#This Row],[spawner_sku]])-FIND("/",Table14[[#This Row],[spawner_sku]])),Table1[Entity Prefab],0)),10,1,1,"Entities"))</f>
        <v>83</v>
      </c>
      <c r="DX756" s="74">
        <f ca="1">ROUND((Table14[[#This Row],[XP]]*Table14[[#This Row],[entity_spawned (AVG)]])*(Table14[[#This Row],[activating_chance]]/100),0)</f>
        <v>83</v>
      </c>
      <c r="DY756" s="144" t="str">
        <f ca="1">INDIRECT(ADDRESS(11+(MATCH(RIGHT(Table14[[#This Row],[spawner_sku]],LEN(Table14[[#This Row],[spawner_sku]])-FIND("/",Table14[[#This Row],[spawner_sku]])),Table28[Entity Prefab],0)),25,1,1,"Entities"))</f>
        <v>yes</v>
      </c>
      <c r="DZ756" s="71">
        <v>1</v>
      </c>
      <c r="EA756" s="71">
        <v>1</v>
      </c>
      <c r="EB756" s="71" t="b">
        <v>0</v>
      </c>
      <c r="EC756" s="71"/>
    </row>
    <row r="757" spans="123:133" x14ac:dyDescent="0.25">
      <c r="DS757" t="s">
        <v>486</v>
      </c>
      <c r="DT757">
        <v>1</v>
      </c>
      <c r="DU757">
        <v>300</v>
      </c>
      <c r="DV757">
        <v>100</v>
      </c>
      <c r="DW757" s="74">
        <f ca="1">INDIRECT(ADDRESS(11+(MATCH(RIGHT(Table14[[#This Row],[spawner_sku]],LEN(Table14[[#This Row],[spawner_sku]])-FIND("/",Table14[[#This Row],[spawner_sku]])),Table1[Entity Prefab],0)),10,1,1,"Entities"))</f>
        <v>83</v>
      </c>
      <c r="DX757" s="74">
        <f ca="1">ROUND((Table14[[#This Row],[XP]]*Table14[[#This Row],[entity_spawned (AVG)]])*(Table14[[#This Row],[activating_chance]]/100),0)</f>
        <v>83</v>
      </c>
      <c r="DY757" s="144" t="str">
        <f ca="1">INDIRECT(ADDRESS(11+(MATCH(RIGHT(Table14[[#This Row],[spawner_sku]],LEN(Table14[[#This Row],[spawner_sku]])-FIND("/",Table14[[#This Row],[spawner_sku]])),Table28[Entity Prefab],0)),25,1,1,"Entities"))</f>
        <v>yes</v>
      </c>
      <c r="DZ757" s="71">
        <v>1</v>
      </c>
      <c r="EA757" s="71">
        <v>1</v>
      </c>
      <c r="EB757" s="71" t="b">
        <v>0</v>
      </c>
      <c r="EC757" s="71"/>
    </row>
    <row r="758" spans="123:133" x14ac:dyDescent="0.25">
      <c r="EC758" s="71"/>
    </row>
    <row r="759" spans="123:133" x14ac:dyDescent="0.25">
      <c r="EC759" s="71"/>
    </row>
    <row r="760" spans="123:133" x14ac:dyDescent="0.25">
      <c r="EC760" s="71"/>
    </row>
    <row r="761" spans="123:133" x14ac:dyDescent="0.25">
      <c r="EC761" s="71"/>
    </row>
    <row r="762" spans="123:133" x14ac:dyDescent="0.25">
      <c r="EC762" s="71"/>
    </row>
    <row r="763" spans="123:133" x14ac:dyDescent="0.25">
      <c r="EC763" s="71"/>
    </row>
    <row r="764" spans="123:133" x14ac:dyDescent="0.25">
      <c r="EC764" s="71"/>
    </row>
    <row r="765" spans="123:133" x14ac:dyDescent="0.25">
      <c r="EC765" s="71"/>
    </row>
    <row r="766" spans="123:133" x14ac:dyDescent="0.25">
      <c r="EC766" s="71"/>
    </row>
    <row r="767" spans="123:133" x14ac:dyDescent="0.25">
      <c r="EC767" s="71"/>
    </row>
    <row r="768" spans="123:133" x14ac:dyDescent="0.25">
      <c r="EC768" s="71"/>
    </row>
    <row r="769" spans="133:133" x14ac:dyDescent="0.25">
      <c r="EC769" s="71"/>
    </row>
    <row r="770" spans="133:133" x14ac:dyDescent="0.25">
      <c r="EC770" s="71"/>
    </row>
    <row r="771" spans="133:133" x14ac:dyDescent="0.25">
      <c r="EC771" s="71"/>
    </row>
    <row r="772" spans="133:133" x14ac:dyDescent="0.25">
      <c r="EC772" s="71"/>
    </row>
    <row r="773" spans="133:133" x14ac:dyDescent="0.25">
      <c r="EC773" s="71"/>
    </row>
    <row r="774" spans="133:133" x14ac:dyDescent="0.25">
      <c r="EC774" s="71"/>
    </row>
    <row r="775" spans="133:133" x14ac:dyDescent="0.25">
      <c r="EC775" s="71"/>
    </row>
    <row r="776" spans="133:133" x14ac:dyDescent="0.25">
      <c r="EC776" s="71"/>
    </row>
    <row r="777" spans="133:133" x14ac:dyDescent="0.25">
      <c r="EC777" s="71"/>
    </row>
    <row r="778" spans="133:133" x14ac:dyDescent="0.25">
      <c r="EC778" s="71"/>
    </row>
    <row r="779" spans="133:133" x14ac:dyDescent="0.25">
      <c r="EC779" s="71"/>
    </row>
    <row r="780" spans="133:133" x14ac:dyDescent="0.25">
      <c r="EC780" s="71"/>
    </row>
    <row r="781" spans="133:133" x14ac:dyDescent="0.25">
      <c r="EC781" s="71"/>
    </row>
    <row r="782" spans="133:133" x14ac:dyDescent="0.25">
      <c r="EC782" s="71"/>
    </row>
    <row r="783" spans="133:133" x14ac:dyDescent="0.25">
      <c r="EC783" s="71"/>
    </row>
    <row r="784" spans="133:133" x14ac:dyDescent="0.25">
      <c r="EC784" s="71"/>
    </row>
    <row r="785" spans="133:133" x14ac:dyDescent="0.25">
      <c r="EC785" s="71"/>
    </row>
    <row r="786" spans="133:133" x14ac:dyDescent="0.25">
      <c r="EC786" s="71"/>
    </row>
    <row r="787" spans="133:133" x14ac:dyDescent="0.25">
      <c r="EC787" s="71"/>
    </row>
    <row r="788" spans="133:133" x14ac:dyDescent="0.25">
      <c r="EC788" s="71"/>
    </row>
    <row r="789" spans="133:133" x14ac:dyDescent="0.25">
      <c r="EC789" s="71"/>
    </row>
    <row r="790" spans="133:133" x14ac:dyDescent="0.25">
      <c r="EC790" s="71"/>
    </row>
    <row r="791" spans="133:133" x14ac:dyDescent="0.25">
      <c r="EC791" s="71"/>
    </row>
    <row r="792" spans="133:133" x14ac:dyDescent="0.25">
      <c r="EC792" s="71"/>
    </row>
    <row r="793" spans="133:133" x14ac:dyDescent="0.25">
      <c r="EC793" s="71"/>
    </row>
    <row r="794" spans="133:133" x14ac:dyDescent="0.25">
      <c r="EC794" s="71"/>
    </row>
    <row r="795" spans="133:133" x14ac:dyDescent="0.25">
      <c r="EC795" s="71"/>
    </row>
    <row r="796" spans="133:133" x14ac:dyDescent="0.25">
      <c r="EC796" s="71"/>
    </row>
    <row r="797" spans="133:133" x14ac:dyDescent="0.25">
      <c r="EC797" s="71"/>
    </row>
    <row r="798" spans="133:133" x14ac:dyDescent="0.25">
      <c r="EC798" s="71"/>
    </row>
    <row r="799" spans="133:133" x14ac:dyDescent="0.25">
      <c r="EC799" s="71"/>
    </row>
    <row r="800" spans="133:133" x14ac:dyDescent="0.25">
      <c r="EC800" s="71"/>
    </row>
    <row r="801" spans="133:133" x14ac:dyDescent="0.25">
      <c r="EC801" s="71"/>
    </row>
    <row r="802" spans="133:133" x14ac:dyDescent="0.25">
      <c r="EC802" s="71"/>
    </row>
    <row r="803" spans="133:133" x14ac:dyDescent="0.25">
      <c r="EC803" s="71"/>
    </row>
    <row r="804" spans="133:133" x14ac:dyDescent="0.25">
      <c r="EC804" s="71"/>
    </row>
    <row r="805" spans="133:133" x14ac:dyDescent="0.25">
      <c r="EC805" s="71"/>
    </row>
    <row r="806" spans="133:133" x14ac:dyDescent="0.25">
      <c r="EC806" s="71"/>
    </row>
    <row r="807" spans="133:133" x14ac:dyDescent="0.25">
      <c r="EC807" s="71"/>
    </row>
    <row r="808" spans="133:133" x14ac:dyDescent="0.25">
      <c r="EC808" s="71"/>
    </row>
    <row r="809" spans="133:133" x14ac:dyDescent="0.25">
      <c r="EC809" s="71"/>
    </row>
    <row r="810" spans="133:133" x14ac:dyDescent="0.25">
      <c r="EC810" s="71"/>
    </row>
    <row r="811" spans="133:133" x14ac:dyDescent="0.25">
      <c r="EC811" s="71"/>
    </row>
    <row r="812" spans="133:133" x14ac:dyDescent="0.25">
      <c r="EC812" s="71"/>
    </row>
    <row r="813" spans="133:133" x14ac:dyDescent="0.25">
      <c r="EC813" s="71"/>
    </row>
    <row r="814" spans="133:133" x14ac:dyDescent="0.25">
      <c r="EC814" s="71"/>
    </row>
    <row r="815" spans="133:133" x14ac:dyDescent="0.25">
      <c r="EC815" s="71"/>
    </row>
    <row r="816" spans="133:133" x14ac:dyDescent="0.25">
      <c r="EC816" s="71"/>
    </row>
    <row r="817" spans="133:133" x14ac:dyDescent="0.25">
      <c r="EC817" s="71"/>
    </row>
    <row r="818" spans="133:133" x14ac:dyDescent="0.25">
      <c r="EC818" s="71"/>
    </row>
    <row r="819" spans="133:133" x14ac:dyDescent="0.25">
      <c r="EC819" s="71"/>
    </row>
    <row r="820" spans="133:133" x14ac:dyDescent="0.25">
      <c r="EC820" s="71"/>
    </row>
    <row r="821" spans="133:133" x14ac:dyDescent="0.25">
      <c r="EC821" s="71"/>
    </row>
    <row r="822" spans="133:133" x14ac:dyDescent="0.25">
      <c r="EC822" s="71"/>
    </row>
    <row r="823" spans="133:133" x14ac:dyDescent="0.25">
      <c r="EC823" s="71"/>
    </row>
    <row r="824" spans="133:133" x14ac:dyDescent="0.25">
      <c r="EC824" s="71"/>
    </row>
    <row r="825" spans="133:133" x14ac:dyDescent="0.25">
      <c r="EC825" s="71"/>
    </row>
    <row r="826" spans="133:133" x14ac:dyDescent="0.25">
      <c r="EC826" s="71"/>
    </row>
    <row r="827" spans="133:133" x14ac:dyDescent="0.25">
      <c r="EC827" s="71"/>
    </row>
    <row r="828" spans="133:133" x14ac:dyDescent="0.25">
      <c r="EC828" s="71"/>
    </row>
    <row r="829" spans="133:133" x14ac:dyDescent="0.25">
      <c r="EC829" s="71"/>
    </row>
    <row r="830" spans="133:133" x14ac:dyDescent="0.25">
      <c r="EC830" s="71"/>
    </row>
    <row r="831" spans="133:133" x14ac:dyDescent="0.25">
      <c r="EC831" s="71"/>
    </row>
    <row r="832" spans="133:133" x14ac:dyDescent="0.25">
      <c r="EC832" s="71"/>
    </row>
    <row r="833" spans="133:133" x14ac:dyDescent="0.25">
      <c r="EC833" s="71"/>
    </row>
    <row r="834" spans="133:133" x14ac:dyDescent="0.25">
      <c r="EC834" s="71"/>
    </row>
    <row r="835" spans="133:133" x14ac:dyDescent="0.25">
      <c r="EC835" s="71"/>
    </row>
    <row r="836" spans="133:133" x14ac:dyDescent="0.25">
      <c r="EC836" s="71"/>
    </row>
    <row r="837" spans="133:133" x14ac:dyDescent="0.25">
      <c r="EC837" s="71"/>
    </row>
    <row r="838" spans="133:133" x14ac:dyDescent="0.25">
      <c r="EC838" s="71"/>
    </row>
    <row r="839" spans="133:133" x14ac:dyDescent="0.25">
      <c r="EC839" s="71"/>
    </row>
    <row r="840" spans="133:133" x14ac:dyDescent="0.25">
      <c r="EC840" s="71"/>
    </row>
    <row r="841" spans="133:133" x14ac:dyDescent="0.25">
      <c r="EC841" s="71"/>
    </row>
    <row r="842" spans="133:133" x14ac:dyDescent="0.25">
      <c r="EC842" s="71"/>
    </row>
    <row r="843" spans="133:133" x14ac:dyDescent="0.25">
      <c r="EC843" s="71"/>
    </row>
    <row r="844" spans="133:133" x14ac:dyDescent="0.25">
      <c r="EC844" s="71"/>
    </row>
    <row r="845" spans="133:133" x14ac:dyDescent="0.25">
      <c r="EC845" s="71"/>
    </row>
    <row r="846" spans="133:133" x14ac:dyDescent="0.25">
      <c r="EC846" s="71"/>
    </row>
    <row r="847" spans="133:133" x14ac:dyDescent="0.25">
      <c r="EC847" s="71"/>
    </row>
    <row r="848" spans="133:133" x14ac:dyDescent="0.25">
      <c r="EC848" s="71"/>
    </row>
    <row r="849" spans="133:133" x14ac:dyDescent="0.25">
      <c r="EC849" s="71"/>
    </row>
    <row r="850" spans="133:133" x14ac:dyDescent="0.25">
      <c r="EC850" s="71"/>
    </row>
    <row r="851" spans="133:133" x14ac:dyDescent="0.25">
      <c r="EC851" s="71"/>
    </row>
    <row r="852" spans="133:133" x14ac:dyDescent="0.25">
      <c r="EC852" s="71"/>
    </row>
    <row r="853" spans="133:133" x14ac:dyDescent="0.25">
      <c r="EC853" s="71"/>
    </row>
    <row r="854" spans="133:133" x14ac:dyDescent="0.25">
      <c r="EC854" s="71"/>
    </row>
    <row r="855" spans="133:133" x14ac:dyDescent="0.25">
      <c r="EC855" s="71"/>
    </row>
    <row r="856" spans="133:133" x14ac:dyDescent="0.25">
      <c r="EC856" s="71"/>
    </row>
    <row r="857" spans="133:133" x14ac:dyDescent="0.25">
      <c r="EC857" s="71"/>
    </row>
    <row r="858" spans="133:133" x14ac:dyDescent="0.25">
      <c r="EC858" s="71"/>
    </row>
    <row r="859" spans="133:133" x14ac:dyDescent="0.25">
      <c r="EC859" s="71"/>
    </row>
    <row r="860" spans="133:133" x14ac:dyDescent="0.25">
      <c r="EC860" s="71"/>
    </row>
    <row r="861" spans="133:133" x14ac:dyDescent="0.25">
      <c r="EC861" s="71"/>
    </row>
    <row r="862" spans="133:133" x14ac:dyDescent="0.25">
      <c r="EC862" s="71"/>
    </row>
    <row r="863" spans="133:133" x14ac:dyDescent="0.25">
      <c r="EC863" s="71"/>
    </row>
    <row r="864" spans="133:133" x14ac:dyDescent="0.25">
      <c r="EC864" s="71"/>
    </row>
    <row r="865" spans="133:133" x14ac:dyDescent="0.25">
      <c r="EC865" s="71"/>
    </row>
    <row r="866" spans="133:133" x14ac:dyDescent="0.25">
      <c r="EC866" s="71"/>
    </row>
  </sheetData>
  <conditionalFormatting sqref="EV22:EV337 FG22:FG243 FR22:FR176 GC22:GC227 GN22:GN154 I22:I648 AE22:AE94 AP22:AP408 BA22:BA175 BL22:BL247 BW22:BW452 CH22:CH377 T22:T257 CS22:CS633 DD22:DD248 DO22:DO333 EK22:EK160 DZ22:DZ757">
    <cfRule type="expression" dxfId="6" priority="140">
      <formula>OR(AND(I22&lt;5,J22&gt;4),I22&gt;J22)</formula>
    </cfRule>
  </conditionalFormatting>
  <conditionalFormatting sqref="EW22:EW337 FH22:FH243 FS22:FS176 GD22:GD227 GO22:GO154 J22:J648 AF22:AF94 AQ22:AQ408 BB22:BB175 BM22:BM247 BX22:BX452 CI22:CI377 U22:U257 CT22:CT633 DE22:DE248 DP22:DP333 EL22:EL160 EA22:EA757">
    <cfRule type="expression" dxfId="5" priority="138">
      <formula>OR(AND(I22&lt;5,J22&gt;4),I22&gt;J22)</formula>
    </cfRule>
  </conditionalFormatting>
  <conditionalFormatting sqref="EX22:EX337 FI22:FI243 FT22:FT176 GE22:GE227 GP22:GP154 K22:K648 AG22:AG94 AR22:AR408 BC22:BC175 BN22:BN247 BY22:BY452 CJ22:CJ377 V22:V257 CU22:CU633 DF22:DF248 DQ22:DQ333 EM22:EM160 EB22:EB757">
    <cfRule type="expression" dxfId="4" priority="39">
      <formula>OR(AND(K22=TRUE,J22&lt;5),AND(K22=FALSE,I22&gt;=5))</formula>
    </cfRule>
  </conditionalFormatting>
  <pageMargins left="0.7" right="0.7" top="0.75" bottom="0.75" header="0.3" footer="0.3"/>
  <pageSetup paperSize="9" orientation="portrait" r:id="rId1"/>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Y2570"/>
  <sheetViews>
    <sheetView topLeftCell="Z1" workbookViewId="0">
      <selection activeCell="AP8" sqref="AP8"/>
    </sheetView>
  </sheetViews>
  <sheetFormatPr defaultRowHeight="15" x14ac:dyDescent="0.25"/>
  <cols>
    <col min="1" max="1" width="21.7109375" customWidth="1"/>
    <col min="2" max="2" width="17.140625" customWidth="1"/>
    <col min="5" max="5" width="32.28515625" customWidth="1"/>
    <col min="6" max="6" width="11.85546875" customWidth="1"/>
    <col min="7" max="7" width="10.85546875" customWidth="1"/>
    <col min="9" max="9" width="14.5703125" customWidth="1"/>
    <col min="10" max="10" width="19.85546875" customWidth="1"/>
    <col min="11" max="11" width="12.28515625" customWidth="1"/>
    <col min="13" max="13" width="12.5703125" customWidth="1"/>
    <col min="14" max="14" width="16.28515625" customWidth="1"/>
    <col min="15" max="15" width="11.7109375" customWidth="1"/>
    <col min="18" max="18" width="9.140625" style="82"/>
    <col min="21" max="21" width="28" customWidth="1"/>
    <col min="22" max="24" width="10.85546875" customWidth="1"/>
    <col min="25" max="25" width="11.42578125" customWidth="1"/>
    <col min="26" max="26" width="22.42578125" customWidth="1"/>
    <col min="27" max="27" width="12.42578125" customWidth="1"/>
    <col min="30" max="30" width="15.7109375" customWidth="1"/>
    <col min="31" max="31" width="10.85546875" customWidth="1"/>
    <col min="34" max="34" width="9.140625" style="82"/>
    <col min="37" max="37" width="24.28515625" customWidth="1"/>
    <col min="38" max="38" width="9.85546875" customWidth="1"/>
    <col min="39" max="39" width="10.140625" customWidth="1"/>
    <col min="41" max="41" width="11.85546875" customWidth="1"/>
    <col min="42" max="42" width="22.42578125" customWidth="1"/>
    <col min="43" max="43" width="12.5703125" customWidth="1"/>
    <col min="46" max="46" width="16.5703125" customWidth="1"/>
    <col min="47" max="47" width="10.85546875" customWidth="1"/>
  </cols>
  <sheetData>
    <row r="1" spans="1:49" x14ac:dyDescent="0.25">
      <c r="B1" t="s">
        <v>4455</v>
      </c>
    </row>
    <row r="2" spans="1:49" x14ac:dyDescent="0.25">
      <c r="A2" s="155" t="s">
        <v>2711</v>
      </c>
      <c r="B2" s="155" t="s">
        <v>3855</v>
      </c>
      <c r="E2" s="81"/>
    </row>
    <row r="3" spans="1:49" x14ac:dyDescent="0.25">
      <c r="A3" s="154" t="s">
        <v>122</v>
      </c>
      <c r="B3" s="154">
        <v>3</v>
      </c>
    </row>
    <row r="4" spans="1:49" x14ac:dyDescent="0.25">
      <c r="A4" s="154" t="s">
        <v>2768</v>
      </c>
      <c r="B4" s="154">
        <v>1</v>
      </c>
      <c r="E4" t="s">
        <v>389</v>
      </c>
      <c r="U4" t="s">
        <v>389</v>
      </c>
      <c r="AK4" t="s">
        <v>389</v>
      </c>
    </row>
    <row r="5" spans="1:49" x14ac:dyDescent="0.25">
      <c r="A5" s="154" t="s">
        <v>548</v>
      </c>
      <c r="B5" s="154">
        <v>2</v>
      </c>
      <c r="E5" s="1" t="s">
        <v>4434</v>
      </c>
      <c r="K5" t="s">
        <v>395</v>
      </c>
      <c r="L5" s="78">
        <v>2500</v>
      </c>
      <c r="O5" t="s">
        <v>395</v>
      </c>
      <c r="P5" s="78">
        <v>30</v>
      </c>
      <c r="U5" s="1" t="s">
        <v>4435</v>
      </c>
      <c r="AA5" t="s">
        <v>395</v>
      </c>
      <c r="AB5" s="78">
        <v>2500</v>
      </c>
      <c r="AE5" t="s">
        <v>395</v>
      </c>
      <c r="AF5" s="78">
        <v>30</v>
      </c>
      <c r="AK5" s="1" t="s">
        <v>4436</v>
      </c>
      <c r="AQ5" t="s">
        <v>395</v>
      </c>
      <c r="AR5" s="78">
        <v>2500</v>
      </c>
      <c r="AU5" t="s">
        <v>395</v>
      </c>
      <c r="AV5" s="78">
        <v>30</v>
      </c>
    </row>
    <row r="6" spans="1:49" x14ac:dyDescent="0.25">
      <c r="E6" s="81" t="s">
        <v>7988</v>
      </c>
      <c r="I6" s="81" t="s">
        <v>4480</v>
      </c>
      <c r="K6" s="1" t="s">
        <v>385</v>
      </c>
      <c r="O6" s="1" t="s">
        <v>4433</v>
      </c>
      <c r="U6" s="81" t="s">
        <v>7988</v>
      </c>
      <c r="Y6" s="81" t="s">
        <v>4480</v>
      </c>
      <c r="AA6" s="1" t="s">
        <v>385</v>
      </c>
      <c r="AE6" s="1" t="s">
        <v>4433</v>
      </c>
      <c r="AK6" s="81" t="s">
        <v>7988</v>
      </c>
      <c r="AO6" s="81" t="s">
        <v>4480</v>
      </c>
      <c r="AQ6" s="1" t="s">
        <v>385</v>
      </c>
      <c r="AU6" s="1" t="s">
        <v>4433</v>
      </c>
    </row>
    <row r="7" spans="1:49" x14ac:dyDescent="0.25">
      <c r="E7" t="s">
        <v>384</v>
      </c>
      <c r="F7" t="s">
        <v>386</v>
      </c>
      <c r="G7" t="s">
        <v>387</v>
      </c>
      <c r="H7" t="s">
        <v>4432</v>
      </c>
      <c r="I7" t="s">
        <v>4478</v>
      </c>
      <c r="K7" s="71" t="s">
        <v>386</v>
      </c>
      <c r="L7" s="71" t="s">
        <v>387</v>
      </c>
      <c r="M7" s="71" t="s">
        <v>388</v>
      </c>
      <c r="O7" s="71" t="s">
        <v>386</v>
      </c>
      <c r="P7" s="71" t="s">
        <v>387</v>
      </c>
      <c r="Q7" s="71" t="s">
        <v>388</v>
      </c>
      <c r="U7" t="s">
        <v>384</v>
      </c>
      <c r="V7" t="s">
        <v>386</v>
      </c>
      <c r="W7" t="s">
        <v>387</v>
      </c>
      <c r="X7" t="s">
        <v>4432</v>
      </c>
      <c r="Y7" t="s">
        <v>4478</v>
      </c>
      <c r="AA7" s="71" t="s">
        <v>386</v>
      </c>
      <c r="AB7" s="71" t="s">
        <v>387</v>
      </c>
      <c r="AC7" s="71" t="s">
        <v>388</v>
      </c>
      <c r="AE7" s="71" t="s">
        <v>386</v>
      </c>
      <c r="AF7" s="71" t="s">
        <v>387</v>
      </c>
      <c r="AG7" s="71" t="s">
        <v>388</v>
      </c>
      <c r="AK7" s="90" t="s">
        <v>384</v>
      </c>
      <c r="AL7" s="90" t="s">
        <v>386</v>
      </c>
      <c r="AM7" s="90" t="s">
        <v>387</v>
      </c>
      <c r="AN7" s="175" t="s">
        <v>4432</v>
      </c>
      <c r="AO7" s="90" t="s">
        <v>4478</v>
      </c>
      <c r="AQ7" s="71" t="s">
        <v>386</v>
      </c>
      <c r="AR7" s="71" t="s">
        <v>387</v>
      </c>
      <c r="AS7" s="71" t="s">
        <v>388</v>
      </c>
      <c r="AU7" s="71" t="s">
        <v>386</v>
      </c>
      <c r="AV7" s="71" t="s">
        <v>387</v>
      </c>
      <c r="AW7" s="71" t="s">
        <v>388</v>
      </c>
    </row>
    <row r="8" spans="1:49" x14ac:dyDescent="0.25">
      <c r="E8" t="s">
        <v>280</v>
      </c>
      <c r="F8">
        <v>0</v>
      </c>
      <c r="G8">
        <v>0</v>
      </c>
      <c r="H8" t="s">
        <v>8</v>
      </c>
      <c r="I8" s="74" t="str">
        <f ca="1">IF(Table7[[#This Row],[Type]]="KILL",IF(_xlfn.NUMBERVALUE(RIGHT(Table7[[#This Row],[Min]],LEN(Table7[[#This Row],[Min]])-FIND("-",Table7[[#This Row],[Min]])))&gt;INDIRECT(ADDRESS(11+MATCH(LEFT(Table7[[#This Row],[Min]],FIND("-",Table7[[#This Row],[Min]])-1),Table1[Content Sku],0),16,1,1,"Entities")),"review","ok"),"ok")</f>
        <v>ok</v>
      </c>
      <c r="K8" s="71">
        <v>0</v>
      </c>
      <c r="L8" s="71">
        <v>0</v>
      </c>
      <c r="M8">
        <f>COUNTIF(Table7[Min],"="&amp;K8)</f>
        <v>2010</v>
      </c>
      <c r="O8">
        <v>0</v>
      </c>
      <c r="P8">
        <v>0</v>
      </c>
      <c r="Q8">
        <f>COUNTIF(Table7[Min],"="&amp;O8)</f>
        <v>2010</v>
      </c>
      <c r="U8" t="s">
        <v>392</v>
      </c>
      <c r="V8">
        <v>0</v>
      </c>
      <c r="W8">
        <v>0</v>
      </c>
      <c r="X8" t="s">
        <v>8</v>
      </c>
      <c r="Y8" s="74" t="str">
        <f ca="1">IF(Table15[[#This Row],[Type]]="KILL",IF(_xlfn.NUMBERVALUE(RIGHT(Table15[[#This Row],[Min]],LEN(Table15[[#This Row],[Min]])-FIND("-",Table15[[#This Row],[Min]])))&gt;INDIRECT(ADDRESS(11+MATCH(LEFT(Table15[[#This Row],[Min]],FIND("-",Table15[[#This Row],[Min]])-1),Table1[Content Sku],0),16,1,1,"Entities")),"review","ok"),"ok")</f>
        <v>ok</v>
      </c>
      <c r="AA8" s="71">
        <v>0</v>
      </c>
      <c r="AB8" s="71">
        <v>0</v>
      </c>
      <c r="AC8">
        <f>COUNTIF(Table15[Min],"="&amp;AA8)</f>
        <v>1660</v>
      </c>
      <c r="AE8">
        <v>0</v>
      </c>
      <c r="AF8">
        <v>0</v>
      </c>
      <c r="AG8">
        <f>COUNTIF(Table15[Min],"="&amp;AU8)</f>
        <v>1660</v>
      </c>
      <c r="AK8" t="s">
        <v>2662</v>
      </c>
      <c r="AL8">
        <v>0</v>
      </c>
      <c r="AM8">
        <v>0</v>
      </c>
      <c r="AN8" t="s">
        <v>8</v>
      </c>
      <c r="AO8" s="74" t="str">
        <f ca="1">IF(Table20[[#This Row],[Type]]="KILL",IF(_xlfn.NUMBERVALUE(RIGHT(Table20[[#This Row],[Min]],LEN(Table20[[#This Row],[Min]])-FIND("-",Table20[[#This Row],[Min]])))&gt;INDIRECT(ADDRESS(11+MATCH(LEFT(Table20[[#This Row],[Min]],FIND("-",Table20[[#This Row],[Min]])-1),Table1[Content Sku],0),18,1,1,"Entities")),"review","ok"),"ok")</f>
        <v>ok</v>
      </c>
      <c r="AQ8" s="71">
        <v>0</v>
      </c>
      <c r="AR8" s="71">
        <v>0</v>
      </c>
      <c r="AS8">
        <f>COUNTIF(Table20[Min],"="&amp;AQ8)</f>
        <v>937</v>
      </c>
      <c r="AU8">
        <v>0</v>
      </c>
      <c r="AV8">
        <v>0</v>
      </c>
      <c r="AW8">
        <f>COUNTIF(Table20[Min],"="&amp;AU8)</f>
        <v>937</v>
      </c>
    </row>
    <row r="9" spans="1:49" x14ac:dyDescent="0.25">
      <c r="E9" t="s">
        <v>95</v>
      </c>
      <c r="F9">
        <v>0</v>
      </c>
      <c r="G9">
        <v>0</v>
      </c>
      <c r="H9" t="s">
        <v>8</v>
      </c>
      <c r="I9" s="74" t="str">
        <f ca="1">IF(Table7[[#This Row],[Type]]="KILL",IF(_xlfn.NUMBERVALUE(RIGHT(Table7[[#This Row],[Min]],LEN(Table7[[#This Row],[Min]])-FIND("-",Table7[[#This Row],[Min]])))&gt;INDIRECT(ADDRESS(11+MATCH(LEFT(Table7[[#This Row],[Min]],FIND("-",Table7[[#This Row],[Min]])-1),Table1[Content Sku],0),16,1,1,"Entities")),"review","ok"),"ok")</f>
        <v>ok</v>
      </c>
      <c r="K9" s="71">
        <v>1</v>
      </c>
      <c r="L9" s="71">
        <f t="shared" ref="L9:L38" si="0">L8+$L$5</f>
        <v>2500</v>
      </c>
      <c r="M9">
        <f>COUNTIFS(Table7[Min],"&gt;="&amp;K9,Table7[Min],"&lt;="&amp;L9,Table7[Type],"=XP")</f>
        <v>27</v>
      </c>
      <c r="O9">
        <v>1</v>
      </c>
      <c r="P9">
        <f>P8+$P$5</f>
        <v>30</v>
      </c>
      <c r="Q9">
        <f>COUNTIFS(Table7[Min],"&gt;="&amp;O9,Table7[Min],"&lt;="&amp;P9,Table7[Type],"=TIME")</f>
        <v>1</v>
      </c>
      <c r="U9" t="s">
        <v>289</v>
      </c>
      <c r="V9">
        <v>0</v>
      </c>
      <c r="W9">
        <v>0</v>
      </c>
      <c r="X9" t="s">
        <v>8</v>
      </c>
      <c r="Y9" s="74" t="str">
        <f ca="1">IF(Table15[[#This Row],[Type]]="KILL",IF(_xlfn.NUMBERVALUE(RIGHT(Table15[[#This Row],[Min]],LEN(Table15[[#This Row],[Min]])-FIND("-",Table15[[#This Row],[Min]])))&gt;INDIRECT(ADDRESS(11+MATCH(LEFT(Table15[[#This Row],[Min]],FIND("-",Table15[[#This Row],[Min]])-1),Table1[Content Sku],0),16,1,1,"Entities")),"review","ok"),"ok")</f>
        <v>ok</v>
      </c>
      <c r="AA9" s="71">
        <v>1</v>
      </c>
      <c r="AB9" s="71">
        <f t="shared" ref="AB9:AB38" si="1">AB8+$AB$5</f>
        <v>2500</v>
      </c>
      <c r="AC9">
        <f>COUNTIFS(Table15[Min],"&gt;="&amp;AA9,Table15[Min],"&lt;="&amp;AB9,Table15[Type],"=XP")</f>
        <v>0</v>
      </c>
      <c r="AE9">
        <v>1</v>
      </c>
      <c r="AF9">
        <f>AF8+$AF$5</f>
        <v>30</v>
      </c>
      <c r="AG9">
        <f>COUNTIFS(Table15[Min],"&gt;="&amp;AU9,Table15[Min],"&lt;="&amp;AV9,Table15[Type],"=TIME")</f>
        <v>0</v>
      </c>
      <c r="AK9" t="s">
        <v>315</v>
      </c>
      <c r="AL9">
        <v>0</v>
      </c>
      <c r="AM9">
        <v>0</v>
      </c>
      <c r="AN9" t="s">
        <v>8</v>
      </c>
      <c r="AO9" s="74" t="str">
        <f ca="1">IF(Table20[[#This Row],[Type]]="KILL",IF(_xlfn.NUMBERVALUE(RIGHT(Table20[[#This Row],[Min]],LEN(Table20[[#This Row],[Min]])-FIND("-",Table20[[#This Row],[Min]])))&gt;INDIRECT(ADDRESS(11+MATCH(LEFT(Table20[[#This Row],[Min]],FIND("-",Table20[[#This Row],[Min]])-1),Table1[Content Sku],0),18,1,1,"Entities")),"review","ok"),"ok")</f>
        <v>ok</v>
      </c>
      <c r="AQ9" s="71">
        <v>1</v>
      </c>
      <c r="AR9" s="71">
        <f t="shared" ref="AR9:AR38" si="2">AR8+$AB$5</f>
        <v>2500</v>
      </c>
      <c r="AS9">
        <f>COUNTIFS(Table20[Min],"&gt;="&amp;AQ9,Table20[Min],"&lt;="&amp;AR9,Table20[Type],"=XP")</f>
        <v>0</v>
      </c>
      <c r="AU9">
        <v>1</v>
      </c>
      <c r="AV9">
        <f>AV8+$AV$5</f>
        <v>30</v>
      </c>
      <c r="AW9">
        <f>COUNTIFS(Table20[Min],"&gt;="&amp;AU9,Table20[Min],"&lt;="&amp;AV9,Table20[Type],"=TIME")</f>
        <v>0</v>
      </c>
    </row>
    <row r="10" spans="1:49" x14ac:dyDescent="0.25">
      <c r="E10" t="s">
        <v>313</v>
      </c>
      <c r="F10">
        <v>0</v>
      </c>
      <c r="G10">
        <v>25000</v>
      </c>
      <c r="H10" t="s">
        <v>205</v>
      </c>
      <c r="I10" s="74" t="str">
        <f ca="1">IF(Table7[[#This Row],[Type]]="KILL",IF(_xlfn.NUMBERVALUE(RIGHT(Table7[[#This Row],[Min]],LEN(Table7[[#This Row],[Min]])-FIND("-",Table7[[#This Row],[Min]])))&gt;INDIRECT(ADDRESS(11+MATCH(LEFT(Table7[[#This Row],[Min]],FIND("-",Table7[[#This Row],[Min]])-1),Table1[Content Sku],0),16,1,1,"Entities")),"review","ok"),"ok")</f>
        <v>ok</v>
      </c>
      <c r="K10" s="71">
        <f t="shared" ref="K10:K38" si="3">K9+$L$5</f>
        <v>2501</v>
      </c>
      <c r="L10" s="71">
        <f t="shared" si="0"/>
        <v>5000</v>
      </c>
      <c r="M10">
        <f>COUNTIFS(Table7[Min],"&gt;="&amp;K10,Table7[Min],"&lt;="&amp;L10,Table7[Type],"=XP")</f>
        <v>97</v>
      </c>
      <c r="O10">
        <f>O9+$P$5</f>
        <v>31</v>
      </c>
      <c r="P10">
        <f t="shared" ref="P10:P38" si="4">P9+$P$5</f>
        <v>60</v>
      </c>
      <c r="Q10">
        <f>COUNTIFS(Table7[Min],"&gt;="&amp;O10,Table7[Min],"&lt;="&amp;P10,Table7[Type],"=TIME")</f>
        <v>2</v>
      </c>
      <c r="U10" t="s">
        <v>122</v>
      </c>
      <c r="V10">
        <v>0</v>
      </c>
      <c r="W10">
        <v>0</v>
      </c>
      <c r="X10" t="s">
        <v>8</v>
      </c>
      <c r="Y10" s="74" t="str">
        <f ca="1">IF(Table15[[#This Row],[Type]]="KILL",IF(_xlfn.NUMBERVALUE(RIGHT(Table15[[#This Row],[Min]],LEN(Table15[[#This Row],[Min]])-FIND("-",Table15[[#This Row],[Min]])))&gt;INDIRECT(ADDRESS(11+MATCH(LEFT(Table15[[#This Row],[Min]],FIND("-",Table15[[#This Row],[Min]])-1),Table1[Content Sku],0),16,1,1,"Entities")),"review","ok"),"ok")</f>
        <v>ok</v>
      </c>
      <c r="AA10" s="71">
        <f t="shared" ref="AA10:AA38" si="5">AA9+$AB$5</f>
        <v>2501</v>
      </c>
      <c r="AB10" s="71">
        <f t="shared" si="1"/>
        <v>5000</v>
      </c>
      <c r="AC10">
        <f>COUNTIFS(Table15[Min],"&gt;="&amp;AA10,Table15[Min],"&lt;="&amp;AB10,Table15[Type],"=XP")</f>
        <v>0</v>
      </c>
      <c r="AE10">
        <f>AE9+$AF$5</f>
        <v>31</v>
      </c>
      <c r="AF10">
        <f t="shared" ref="AF10:AF38" si="6">AF9+$AF$5</f>
        <v>60</v>
      </c>
      <c r="AG10">
        <f>COUNTIFS(Table15[Min],"&gt;="&amp;AU10,Table15[Min],"&lt;="&amp;AV10,Table15[Type],"=TIME")</f>
        <v>0</v>
      </c>
      <c r="AK10" t="s">
        <v>37</v>
      </c>
      <c r="AL10">
        <v>0</v>
      </c>
      <c r="AM10">
        <v>0</v>
      </c>
      <c r="AN10" t="s">
        <v>8</v>
      </c>
      <c r="AO10" s="74" t="str">
        <f ca="1">IF(Table20[[#This Row],[Type]]="KILL",IF(_xlfn.NUMBERVALUE(RIGHT(Table20[[#This Row],[Min]],LEN(Table20[[#This Row],[Min]])-FIND("-",Table20[[#This Row],[Min]])))&gt;INDIRECT(ADDRESS(11+MATCH(LEFT(Table20[[#This Row],[Min]],FIND("-",Table20[[#This Row],[Min]])-1),Table1[Content Sku],0),18,1,1,"Entities")),"review","ok"),"ok")</f>
        <v>ok</v>
      </c>
      <c r="AQ10" s="71">
        <f t="shared" ref="AQ10:AQ38" si="7">AQ9+$AB$5</f>
        <v>2501</v>
      </c>
      <c r="AR10" s="71">
        <f t="shared" si="2"/>
        <v>5000</v>
      </c>
      <c r="AS10">
        <f>COUNTIFS(Table20[Min],"&gt;="&amp;AQ10,Table20[Min],"&lt;="&amp;AR10,Table20[Type],"=XP")</f>
        <v>0</v>
      </c>
      <c r="AU10">
        <f>AU9+$AV$5</f>
        <v>31</v>
      </c>
      <c r="AV10">
        <f t="shared" ref="AV10:AV38" si="8">AV9+$AV$5</f>
        <v>60</v>
      </c>
      <c r="AW10">
        <f>COUNTIFS(Table20[Min],"&gt;="&amp;AU10,Table20[Min],"&lt;="&amp;AV10,Table20[Type],"=TIME")</f>
        <v>0</v>
      </c>
    </row>
    <row r="11" spans="1:49" x14ac:dyDescent="0.25">
      <c r="E11" t="s">
        <v>289</v>
      </c>
      <c r="F11">
        <v>0</v>
      </c>
      <c r="G11">
        <v>0</v>
      </c>
      <c r="H11" t="s">
        <v>8</v>
      </c>
      <c r="I11" s="74" t="str">
        <f ca="1">IF(Table7[[#This Row],[Type]]="KILL",IF(_xlfn.NUMBERVALUE(RIGHT(Table7[[#This Row],[Min]],LEN(Table7[[#This Row],[Min]])-FIND("-",Table7[[#This Row],[Min]])))&gt;INDIRECT(ADDRESS(11+MATCH(LEFT(Table7[[#This Row],[Min]],FIND("-",Table7[[#This Row],[Min]])-1),Table1[Content Sku],0),16,1,1,"Entities")),"review","ok"),"ok")</f>
        <v>ok</v>
      </c>
      <c r="K11" s="71">
        <f t="shared" si="3"/>
        <v>5001</v>
      </c>
      <c r="L11" s="71">
        <f t="shared" si="0"/>
        <v>7500</v>
      </c>
      <c r="M11">
        <f>COUNTIFS(Table7[Min],"&gt;="&amp;K11,Table7[Min],"&lt;="&amp;L11,Table7[Type],"=XP")</f>
        <v>61</v>
      </c>
      <c r="O11">
        <f t="shared" ref="O11:O38" si="9">O10+$P$5</f>
        <v>61</v>
      </c>
      <c r="P11">
        <f t="shared" si="4"/>
        <v>90</v>
      </c>
      <c r="Q11">
        <f>COUNTIFS(Table7[Min],"&gt;="&amp;O11,Table7[Min],"&lt;="&amp;P11,Table7[Type],"=TIME")</f>
        <v>5</v>
      </c>
      <c r="U11" t="s">
        <v>44</v>
      </c>
      <c r="V11">
        <v>45000</v>
      </c>
      <c r="W11">
        <v>0</v>
      </c>
      <c r="X11" t="s">
        <v>205</v>
      </c>
      <c r="Y11" s="74" t="str">
        <f ca="1">IF(Table15[[#This Row],[Type]]="KILL",IF(_xlfn.NUMBERVALUE(RIGHT(Table15[[#This Row],[Min]],LEN(Table15[[#This Row],[Min]])-FIND("-",Table15[[#This Row],[Min]])))&gt;INDIRECT(ADDRESS(11+MATCH(LEFT(Table15[[#This Row],[Min]],FIND("-",Table15[[#This Row],[Min]])-1),Table1[Content Sku],0),16,1,1,"Entities")),"review","ok"),"ok")</f>
        <v>ok</v>
      </c>
      <c r="AA11" s="71">
        <f t="shared" si="5"/>
        <v>5001</v>
      </c>
      <c r="AB11" s="71">
        <f t="shared" si="1"/>
        <v>7500</v>
      </c>
      <c r="AC11">
        <f>COUNTIFS(Table15[Min],"&gt;="&amp;AA11,Table15[Min],"&lt;="&amp;AB11,Table15[Type],"=XP")</f>
        <v>0</v>
      </c>
      <c r="AE11">
        <f t="shared" ref="AE11:AE38" si="10">AE10+$AF$5</f>
        <v>61</v>
      </c>
      <c r="AF11">
        <f t="shared" si="6"/>
        <v>90</v>
      </c>
      <c r="AG11">
        <f>COUNTIFS(Table15[Min],"&gt;="&amp;AU11,Table15[Min],"&lt;="&amp;AV11,Table15[Type],"=TIME")</f>
        <v>0</v>
      </c>
      <c r="AK11" t="s">
        <v>412</v>
      </c>
      <c r="AL11">
        <v>25000</v>
      </c>
      <c r="AM11">
        <v>0</v>
      </c>
      <c r="AN11" t="s">
        <v>205</v>
      </c>
      <c r="AO11" s="74" t="str">
        <f ca="1">IF(Table20[[#This Row],[Type]]="KILL",IF(_xlfn.NUMBERVALUE(RIGHT(Table20[[#This Row],[Min]],LEN(Table20[[#This Row],[Min]])-FIND("-",Table20[[#This Row],[Min]])))&gt;INDIRECT(ADDRESS(11+MATCH(LEFT(Table20[[#This Row],[Min]],FIND("-",Table20[[#This Row],[Min]])-1),Table1[Content Sku],0),18,1,1,"Entities")),"review","ok"),"ok")</f>
        <v>ok</v>
      </c>
      <c r="AQ11" s="71">
        <f t="shared" si="7"/>
        <v>5001</v>
      </c>
      <c r="AR11" s="71">
        <f t="shared" si="2"/>
        <v>7500</v>
      </c>
      <c r="AS11">
        <f>COUNTIFS(Table20[Min],"&gt;="&amp;AQ11,Table20[Min],"&lt;="&amp;AR11,Table20[Type],"=XP")</f>
        <v>0</v>
      </c>
      <c r="AU11">
        <f t="shared" ref="AU11:AU38" si="11">AU10+$AV$5</f>
        <v>61</v>
      </c>
      <c r="AV11">
        <f t="shared" si="8"/>
        <v>90</v>
      </c>
      <c r="AW11">
        <f>COUNTIFS(Table20[Min],"&gt;="&amp;AU11,Table20[Min],"&lt;="&amp;AV11,Table20[Type],"=TIME")</f>
        <v>0</v>
      </c>
    </row>
    <row r="12" spans="1:49" x14ac:dyDescent="0.25">
      <c r="E12" t="s">
        <v>37</v>
      </c>
      <c r="F12">
        <v>0</v>
      </c>
      <c r="G12">
        <v>0</v>
      </c>
      <c r="H12" t="s">
        <v>8</v>
      </c>
      <c r="I12" s="74" t="str">
        <f ca="1">IF(Table7[[#This Row],[Type]]="KILL",IF(_xlfn.NUMBERVALUE(RIGHT(Table7[[#This Row],[Min]],LEN(Table7[[#This Row],[Min]])-FIND("-",Table7[[#This Row],[Min]])))&gt;INDIRECT(ADDRESS(11+MATCH(LEFT(Table7[[#This Row],[Min]],FIND("-",Table7[[#This Row],[Min]])-1),Table1[Content Sku],0),16,1,1,"Entities")),"review","ok"),"ok")</f>
        <v>ok</v>
      </c>
      <c r="K12" s="71">
        <f t="shared" si="3"/>
        <v>7501</v>
      </c>
      <c r="L12" s="71">
        <f t="shared" si="0"/>
        <v>10000</v>
      </c>
      <c r="M12">
        <f>COUNTIFS(Table7[Min],"&gt;="&amp;K12,Table7[Min],"&lt;="&amp;L12,Table7[Type],"=XP")</f>
        <v>72</v>
      </c>
      <c r="O12">
        <f t="shared" si="9"/>
        <v>91</v>
      </c>
      <c r="P12">
        <f t="shared" si="4"/>
        <v>120</v>
      </c>
      <c r="Q12">
        <f>COUNTIFS(Table7[Min],"&gt;="&amp;O12,Table7[Min],"&lt;="&amp;P12,Table7[Type],"=TIME")</f>
        <v>6</v>
      </c>
      <c r="U12" t="s">
        <v>545</v>
      </c>
      <c r="V12">
        <v>0</v>
      </c>
      <c r="W12">
        <v>0</v>
      </c>
      <c r="X12" t="s">
        <v>8</v>
      </c>
      <c r="Y12" s="74" t="str">
        <f ca="1">IF(Table15[[#This Row],[Type]]="KILL",IF(_xlfn.NUMBERVALUE(RIGHT(Table15[[#This Row],[Min]],LEN(Table15[[#This Row],[Min]])-FIND("-",Table15[[#This Row],[Min]])))&gt;INDIRECT(ADDRESS(11+MATCH(LEFT(Table15[[#This Row],[Min]],FIND("-",Table15[[#This Row],[Min]])-1),Table1[Content Sku],0),16,1,1,"Entities")),"review","ok"),"ok")</f>
        <v>ok</v>
      </c>
      <c r="AA12" s="71">
        <f t="shared" si="5"/>
        <v>7501</v>
      </c>
      <c r="AB12" s="71">
        <f t="shared" si="1"/>
        <v>10000</v>
      </c>
      <c r="AC12">
        <f>COUNTIFS(Table15[Min],"&gt;="&amp;AA12,Table15[Min],"&lt;="&amp;AB12,Table15[Type],"=XP")</f>
        <v>3</v>
      </c>
      <c r="AE12">
        <f t="shared" si="10"/>
        <v>91</v>
      </c>
      <c r="AF12">
        <f t="shared" si="6"/>
        <v>120</v>
      </c>
      <c r="AG12">
        <f>COUNTIFS(Table15[Min],"&gt;="&amp;AU12,Table15[Min],"&lt;="&amp;AV12,Table15[Type],"=TIME")</f>
        <v>0</v>
      </c>
      <c r="AK12" t="s">
        <v>2663</v>
      </c>
      <c r="AL12">
        <v>0</v>
      </c>
      <c r="AM12">
        <v>0</v>
      </c>
      <c r="AN12" t="s">
        <v>8</v>
      </c>
      <c r="AO12" s="74" t="str">
        <f ca="1">IF(Table20[[#This Row],[Type]]="KILL",IF(_xlfn.NUMBERVALUE(RIGHT(Table20[[#This Row],[Min]],LEN(Table20[[#This Row],[Min]])-FIND("-",Table20[[#This Row],[Min]])))&gt;INDIRECT(ADDRESS(11+MATCH(LEFT(Table20[[#This Row],[Min]],FIND("-",Table20[[#This Row],[Min]])-1),Table1[Content Sku],0),18,1,1,"Entities")),"review","ok"),"ok")</f>
        <v>ok</v>
      </c>
      <c r="AQ12" s="71">
        <f t="shared" si="7"/>
        <v>7501</v>
      </c>
      <c r="AR12" s="71">
        <f t="shared" si="2"/>
        <v>10000</v>
      </c>
      <c r="AS12">
        <f>COUNTIFS(Table20[Min],"&gt;="&amp;AQ12,Table20[Min],"&lt;="&amp;AR12,Table20[Type],"=XP")</f>
        <v>0</v>
      </c>
      <c r="AU12">
        <f t="shared" si="11"/>
        <v>91</v>
      </c>
      <c r="AV12">
        <f t="shared" si="8"/>
        <v>120</v>
      </c>
      <c r="AW12">
        <f>COUNTIFS(Table20[Min],"&gt;="&amp;AU12,Table20[Min],"&lt;="&amp;AV12,Table20[Type],"=TIME")</f>
        <v>0</v>
      </c>
    </row>
    <row r="13" spans="1:49" x14ac:dyDescent="0.25">
      <c r="E13" t="s">
        <v>257</v>
      </c>
      <c r="F13">
        <v>19000</v>
      </c>
      <c r="G13">
        <v>0</v>
      </c>
      <c r="H13" t="s">
        <v>205</v>
      </c>
      <c r="I13" s="74" t="str">
        <f ca="1">IF(Table7[[#This Row],[Type]]="KILL",IF(_xlfn.NUMBERVALUE(RIGHT(Table7[[#This Row],[Min]],LEN(Table7[[#This Row],[Min]])-FIND("-",Table7[[#This Row],[Min]])))&gt;INDIRECT(ADDRESS(11+MATCH(LEFT(Table7[[#This Row],[Min]],FIND("-",Table7[[#This Row],[Min]])-1),Table1[Content Sku],0),16,1,1,"Entities")),"review","ok"),"ok")</f>
        <v>ok</v>
      </c>
      <c r="K13" s="71">
        <f t="shared" si="3"/>
        <v>10001</v>
      </c>
      <c r="L13" s="71">
        <f t="shared" si="0"/>
        <v>12500</v>
      </c>
      <c r="M13">
        <f>COUNTIFS(Table7[Min],"&gt;="&amp;K13,Table7[Min],"&lt;="&amp;L13,Table7[Type],"=XP")</f>
        <v>29</v>
      </c>
      <c r="O13">
        <f t="shared" si="9"/>
        <v>121</v>
      </c>
      <c r="P13">
        <f t="shared" si="4"/>
        <v>150</v>
      </c>
      <c r="Q13">
        <f>COUNTIFS(Table7[Min],"&gt;="&amp;O13,Table7[Min],"&lt;="&amp;P13,Table7[Type],"=TIME")</f>
        <v>1</v>
      </c>
      <c r="U13" t="s">
        <v>280</v>
      </c>
      <c r="V13">
        <v>0</v>
      </c>
      <c r="W13">
        <v>0</v>
      </c>
      <c r="X13" t="s">
        <v>8</v>
      </c>
      <c r="Y13" s="74" t="str">
        <f ca="1">IF(Table15[[#This Row],[Type]]="KILL",IF(_xlfn.NUMBERVALUE(RIGHT(Table15[[#This Row],[Min]],LEN(Table15[[#This Row],[Min]])-FIND("-",Table15[[#This Row],[Min]])))&gt;INDIRECT(ADDRESS(11+MATCH(LEFT(Table15[[#This Row],[Min]],FIND("-",Table15[[#This Row],[Min]])-1),Table1[Content Sku],0),16,1,1,"Entities")),"review","ok"),"ok")</f>
        <v>ok</v>
      </c>
      <c r="AA13" s="71">
        <f t="shared" si="5"/>
        <v>10001</v>
      </c>
      <c r="AB13" s="71">
        <f t="shared" si="1"/>
        <v>12500</v>
      </c>
      <c r="AC13">
        <f>COUNTIFS(Table15[Min],"&gt;="&amp;AA13,Table15[Min],"&lt;="&amp;AB13,Table15[Type],"=XP")</f>
        <v>4</v>
      </c>
      <c r="AE13">
        <f t="shared" si="10"/>
        <v>121</v>
      </c>
      <c r="AF13">
        <f t="shared" si="6"/>
        <v>150</v>
      </c>
      <c r="AG13">
        <f>COUNTIFS(Table15[Min],"&gt;="&amp;AU13,Table15[Min],"&lt;="&amp;AV13,Table15[Type],"=TIME")</f>
        <v>2</v>
      </c>
      <c r="AK13" t="s">
        <v>258</v>
      </c>
      <c r="AL13">
        <v>45000</v>
      </c>
      <c r="AM13">
        <v>0</v>
      </c>
      <c r="AN13" t="s">
        <v>205</v>
      </c>
      <c r="AO13" s="74" t="str">
        <f ca="1">IF(Table20[[#This Row],[Type]]="KILL",IF(_xlfn.NUMBERVALUE(RIGHT(Table20[[#This Row],[Min]],LEN(Table20[[#This Row],[Min]])-FIND("-",Table20[[#This Row],[Min]])))&gt;INDIRECT(ADDRESS(11+MATCH(LEFT(Table20[[#This Row],[Min]],FIND("-",Table20[[#This Row],[Min]])-1),Table1[Content Sku],0),18,1,1,"Entities")),"review","ok"),"ok")</f>
        <v>ok</v>
      </c>
      <c r="AQ13" s="71">
        <f t="shared" si="7"/>
        <v>10001</v>
      </c>
      <c r="AR13" s="71">
        <f t="shared" si="2"/>
        <v>12500</v>
      </c>
      <c r="AS13">
        <f>COUNTIFS(Table20[Min],"&gt;="&amp;AQ13,Table20[Min],"&lt;="&amp;AR13,Table20[Type],"=XP")</f>
        <v>1</v>
      </c>
      <c r="AU13">
        <f t="shared" si="11"/>
        <v>121</v>
      </c>
      <c r="AV13">
        <f t="shared" si="8"/>
        <v>150</v>
      </c>
      <c r="AW13">
        <f>COUNTIFS(Table20[Min],"&gt;="&amp;AU13,Table20[Min],"&lt;="&amp;AV13,Table20[Type],"=TIME")</f>
        <v>0</v>
      </c>
    </row>
    <row r="14" spans="1:49" x14ac:dyDescent="0.25">
      <c r="E14" t="s">
        <v>393</v>
      </c>
      <c r="F14">
        <v>0</v>
      </c>
      <c r="G14">
        <v>0</v>
      </c>
      <c r="H14" t="s">
        <v>8</v>
      </c>
      <c r="I14" s="74" t="str">
        <f ca="1">IF(Table7[[#This Row],[Type]]="KILL",IF(_xlfn.NUMBERVALUE(RIGHT(Table7[[#This Row],[Min]],LEN(Table7[[#This Row],[Min]])-FIND("-",Table7[[#This Row],[Min]])))&gt;INDIRECT(ADDRESS(11+MATCH(LEFT(Table7[[#This Row],[Min]],FIND("-",Table7[[#This Row],[Min]])-1),Table1[Content Sku],0),16,1,1,"Entities")),"review","ok"),"ok")</f>
        <v>ok</v>
      </c>
      <c r="K14" s="71">
        <f t="shared" si="3"/>
        <v>12501</v>
      </c>
      <c r="L14" s="71">
        <f t="shared" si="0"/>
        <v>15000</v>
      </c>
      <c r="M14">
        <f>COUNTIFS(Table7[Min],"&gt;="&amp;K14,Table7[Min],"&lt;="&amp;L14,Table7[Type],"=XP")</f>
        <v>24</v>
      </c>
      <c r="O14">
        <f t="shared" si="9"/>
        <v>151</v>
      </c>
      <c r="P14">
        <f t="shared" si="4"/>
        <v>180</v>
      </c>
      <c r="Q14">
        <f>COUNTIFS(Table7[Min],"&gt;="&amp;O14,Table7[Min],"&lt;="&amp;P14,Table7[Type],"=TIME")</f>
        <v>2</v>
      </c>
      <c r="U14" t="s">
        <v>1</v>
      </c>
      <c r="V14">
        <v>40000</v>
      </c>
      <c r="W14">
        <v>0</v>
      </c>
      <c r="X14" t="s">
        <v>205</v>
      </c>
      <c r="Y14" s="74" t="str">
        <f ca="1">IF(Table15[[#This Row],[Type]]="KILL",IF(_xlfn.NUMBERVALUE(RIGHT(Table15[[#This Row],[Min]],LEN(Table15[[#This Row],[Min]])-FIND("-",Table15[[#This Row],[Min]])))&gt;INDIRECT(ADDRESS(11+MATCH(LEFT(Table15[[#This Row],[Min]],FIND("-",Table15[[#This Row],[Min]])-1),Table1[Content Sku],0),16,1,1,"Entities")),"review","ok"),"ok")</f>
        <v>ok</v>
      </c>
      <c r="AA14" s="71">
        <f t="shared" si="5"/>
        <v>12501</v>
      </c>
      <c r="AB14" s="71">
        <f t="shared" si="1"/>
        <v>15000</v>
      </c>
      <c r="AC14">
        <f>COUNTIFS(Table15[Min],"&gt;="&amp;AA14,Table15[Min],"&lt;="&amp;AB14,Table15[Type],"=XP")</f>
        <v>27</v>
      </c>
      <c r="AE14">
        <f t="shared" si="10"/>
        <v>151</v>
      </c>
      <c r="AF14">
        <f t="shared" si="6"/>
        <v>180</v>
      </c>
      <c r="AG14">
        <f>COUNTIFS(Table15[Min],"&gt;="&amp;AU14,Table15[Min],"&lt;="&amp;AV14,Table15[Type],"=TIME")</f>
        <v>5</v>
      </c>
      <c r="AK14" t="s">
        <v>2664</v>
      </c>
      <c r="AL14">
        <v>0</v>
      </c>
      <c r="AM14">
        <v>0</v>
      </c>
      <c r="AN14" t="s">
        <v>8</v>
      </c>
      <c r="AO14" s="74" t="str">
        <f ca="1">IF(Table20[[#This Row],[Type]]="KILL",IF(_xlfn.NUMBERVALUE(RIGHT(Table20[[#This Row],[Min]],LEN(Table20[[#This Row],[Min]])-FIND("-",Table20[[#This Row],[Min]])))&gt;INDIRECT(ADDRESS(11+MATCH(LEFT(Table20[[#This Row],[Min]],FIND("-",Table20[[#This Row],[Min]])-1),Table1[Content Sku],0),18,1,1,"Entities")),"review","ok"),"ok")</f>
        <v>ok</v>
      </c>
      <c r="AQ14" s="71">
        <f t="shared" si="7"/>
        <v>12501</v>
      </c>
      <c r="AR14" s="71">
        <f t="shared" si="2"/>
        <v>15000</v>
      </c>
      <c r="AS14">
        <f>COUNTIFS(Table20[Min],"&gt;="&amp;AQ14,Table20[Min],"&lt;="&amp;AR14,Table20[Type],"=XP")</f>
        <v>2</v>
      </c>
      <c r="AU14">
        <f t="shared" si="11"/>
        <v>151</v>
      </c>
      <c r="AV14">
        <f t="shared" si="8"/>
        <v>180</v>
      </c>
      <c r="AW14">
        <f>COUNTIFS(Table20[Min],"&gt;="&amp;AU14,Table20[Min],"&lt;="&amp;AV14,Table20[Type],"=TIME")</f>
        <v>1</v>
      </c>
    </row>
    <row r="15" spans="1:49" x14ac:dyDescent="0.25">
      <c r="E15" t="s">
        <v>313</v>
      </c>
      <c r="F15">
        <v>0</v>
      </c>
      <c r="G15">
        <v>0</v>
      </c>
      <c r="H15" t="s">
        <v>8</v>
      </c>
      <c r="I15" s="74" t="str">
        <f ca="1">IF(Table7[[#This Row],[Type]]="KILL",IF(_xlfn.NUMBERVALUE(RIGHT(Table7[[#This Row],[Min]],LEN(Table7[[#This Row],[Min]])-FIND("-",Table7[[#This Row],[Min]])))&gt;INDIRECT(ADDRESS(11+MATCH(LEFT(Table7[[#This Row],[Min]],FIND("-",Table7[[#This Row],[Min]])-1),Table1[Content Sku],0),16,1,1,"Entities")),"review","ok"),"ok")</f>
        <v>ok</v>
      </c>
      <c r="K15" s="71">
        <f t="shared" si="3"/>
        <v>15001</v>
      </c>
      <c r="L15" s="71">
        <f t="shared" si="0"/>
        <v>17500</v>
      </c>
      <c r="M15">
        <f>COUNTIFS(Table7[Min],"&gt;="&amp;K15,Table7[Min],"&lt;="&amp;L15,Table7[Type],"=XP")</f>
        <v>35</v>
      </c>
      <c r="O15">
        <f t="shared" si="9"/>
        <v>181</v>
      </c>
      <c r="P15">
        <f t="shared" si="4"/>
        <v>210</v>
      </c>
      <c r="Q15">
        <f>COUNTIFS(Table7[Min],"&gt;="&amp;O15,Table7[Min],"&lt;="&amp;P15,Table7[Type],"=TIME")</f>
        <v>3</v>
      </c>
      <c r="U15" t="s">
        <v>254</v>
      </c>
      <c r="V15">
        <v>0</v>
      </c>
      <c r="W15">
        <v>0</v>
      </c>
      <c r="X15" t="s">
        <v>8</v>
      </c>
      <c r="Y15" s="74" t="str">
        <f ca="1">IF(Table15[[#This Row],[Type]]="KILL",IF(_xlfn.NUMBERVALUE(RIGHT(Table15[[#This Row],[Min]],LEN(Table15[[#This Row],[Min]])-FIND("-",Table15[[#This Row],[Min]])))&gt;INDIRECT(ADDRESS(11+MATCH(LEFT(Table15[[#This Row],[Min]],FIND("-",Table15[[#This Row],[Min]])-1),Table1[Content Sku],0),16,1,1,"Entities")),"review","ok"),"ok")</f>
        <v>ok</v>
      </c>
      <c r="AA15" s="71">
        <f t="shared" si="5"/>
        <v>15001</v>
      </c>
      <c r="AB15" s="71">
        <f t="shared" si="1"/>
        <v>17500</v>
      </c>
      <c r="AC15">
        <f>COUNTIFS(Table15[Min],"&gt;="&amp;AA15,Table15[Min],"&lt;="&amp;AB15,Table15[Type],"=XP")</f>
        <v>13</v>
      </c>
      <c r="AE15">
        <f t="shared" si="10"/>
        <v>181</v>
      </c>
      <c r="AF15">
        <f t="shared" si="6"/>
        <v>210</v>
      </c>
      <c r="AG15">
        <f>COUNTIFS(Table15[Min],"&gt;="&amp;AU15,Table15[Min],"&lt;="&amp;AV15,Table15[Type],"=TIME")</f>
        <v>9</v>
      </c>
      <c r="AK15" t="s">
        <v>95</v>
      </c>
      <c r="AL15">
        <v>0</v>
      </c>
      <c r="AM15">
        <v>27000</v>
      </c>
      <c r="AN15" t="s">
        <v>205</v>
      </c>
      <c r="AO15" s="74" t="str">
        <f ca="1">IF(Table20[[#This Row],[Type]]="KILL",IF(_xlfn.NUMBERVALUE(RIGHT(Table20[[#This Row],[Min]],LEN(Table20[[#This Row],[Min]])-FIND("-",Table20[[#This Row],[Min]])))&gt;INDIRECT(ADDRESS(11+MATCH(LEFT(Table20[[#This Row],[Min]],FIND("-",Table20[[#This Row],[Min]])-1),Table1[Content Sku],0),18,1,1,"Entities")),"review","ok"),"ok")</f>
        <v>ok</v>
      </c>
      <c r="AQ15" s="71">
        <f t="shared" si="7"/>
        <v>15001</v>
      </c>
      <c r="AR15" s="71">
        <f t="shared" si="2"/>
        <v>17500</v>
      </c>
      <c r="AS15">
        <f>COUNTIFS(Table20[Min],"&gt;="&amp;AQ15,Table20[Min],"&lt;="&amp;AR15,Table20[Type],"=XP")</f>
        <v>0</v>
      </c>
      <c r="AU15">
        <f t="shared" si="11"/>
        <v>181</v>
      </c>
      <c r="AV15">
        <f t="shared" si="8"/>
        <v>210</v>
      </c>
      <c r="AW15">
        <f>COUNTIFS(Table20[Min],"&gt;="&amp;AU15,Table20[Min],"&lt;="&amp;AV15,Table20[Type],"=TIME")</f>
        <v>0</v>
      </c>
    </row>
    <row r="16" spans="1:49" x14ac:dyDescent="0.25">
      <c r="E16" t="s">
        <v>39</v>
      </c>
      <c r="F16">
        <v>0</v>
      </c>
      <c r="G16">
        <v>0</v>
      </c>
      <c r="H16" t="s">
        <v>8</v>
      </c>
      <c r="I16" s="74" t="str">
        <f ca="1">IF(Table7[[#This Row],[Type]]="KILL",IF(_xlfn.NUMBERVALUE(RIGHT(Table7[[#This Row],[Min]],LEN(Table7[[#This Row],[Min]])-FIND("-",Table7[[#This Row],[Min]])))&gt;INDIRECT(ADDRESS(11+MATCH(LEFT(Table7[[#This Row],[Min]],FIND("-",Table7[[#This Row],[Min]])-1),Table1[Content Sku],0),16,1,1,"Entities")),"review","ok"),"ok")</f>
        <v>ok</v>
      </c>
      <c r="K16" s="71">
        <f t="shared" si="3"/>
        <v>17501</v>
      </c>
      <c r="L16" s="71">
        <f t="shared" si="0"/>
        <v>20000</v>
      </c>
      <c r="M16">
        <f>COUNTIFS(Table7[Min],"&gt;="&amp;K16,Table7[Min],"&lt;="&amp;L16,Table7[Type],"=XP")</f>
        <v>36</v>
      </c>
      <c r="O16">
        <f t="shared" si="9"/>
        <v>211</v>
      </c>
      <c r="P16">
        <f t="shared" si="4"/>
        <v>240</v>
      </c>
      <c r="Q16">
        <f>COUNTIFS(Table7[Min],"&gt;="&amp;O16,Table7[Min],"&lt;="&amp;P16,Table7[Type],"=TIME")</f>
        <v>3</v>
      </c>
      <c r="U16" t="s">
        <v>8103</v>
      </c>
      <c r="V16">
        <v>420</v>
      </c>
      <c r="W16">
        <v>0</v>
      </c>
      <c r="X16" t="s">
        <v>4431</v>
      </c>
      <c r="Y16" s="74" t="str">
        <f ca="1">IF(Table15[[#This Row],[Type]]="KILL",IF(_xlfn.NUMBERVALUE(RIGHT(Table15[[#This Row],[Min]],LEN(Table15[[#This Row],[Min]])-FIND("-",Table15[[#This Row],[Min]])))&gt;INDIRECT(ADDRESS(11+MATCH(LEFT(Table15[[#This Row],[Min]],FIND("-",Table15[[#This Row],[Min]])-1),Table1[Content Sku],0),16,1,1,"Entities")),"review","ok"),"ok")</f>
        <v>ok</v>
      </c>
      <c r="AA16" s="71">
        <f t="shared" si="5"/>
        <v>17501</v>
      </c>
      <c r="AB16" s="71">
        <f t="shared" si="1"/>
        <v>20000</v>
      </c>
      <c r="AC16">
        <f>COUNTIFS(Table15[Min],"&gt;="&amp;AA16,Table15[Min],"&lt;="&amp;AB16,Table15[Type],"=XP")</f>
        <v>48</v>
      </c>
      <c r="AE16">
        <f t="shared" si="10"/>
        <v>211</v>
      </c>
      <c r="AF16">
        <f t="shared" si="6"/>
        <v>240</v>
      </c>
      <c r="AG16">
        <f>COUNTIFS(Table15[Min],"&gt;="&amp;AU16,Table15[Min],"&lt;="&amp;AV16,Table15[Type],"=TIME")</f>
        <v>8</v>
      </c>
      <c r="AK16" t="s">
        <v>258</v>
      </c>
      <c r="AL16">
        <v>52000</v>
      </c>
      <c r="AM16">
        <v>0</v>
      </c>
      <c r="AN16" t="s">
        <v>205</v>
      </c>
      <c r="AO16" s="74" t="str">
        <f ca="1">IF(Table20[[#This Row],[Type]]="KILL",IF(_xlfn.NUMBERVALUE(RIGHT(Table20[[#This Row],[Min]],LEN(Table20[[#This Row],[Min]])-FIND("-",Table20[[#This Row],[Min]])))&gt;INDIRECT(ADDRESS(11+MATCH(LEFT(Table20[[#This Row],[Min]],FIND("-",Table20[[#This Row],[Min]])-1),Table1[Content Sku],0),18,1,1,"Entities")),"review","ok"),"ok")</f>
        <v>ok</v>
      </c>
      <c r="AQ16" s="71">
        <f t="shared" si="7"/>
        <v>17501</v>
      </c>
      <c r="AR16" s="71">
        <f t="shared" si="2"/>
        <v>20000</v>
      </c>
      <c r="AS16">
        <f>COUNTIFS(Table20[Min],"&gt;="&amp;AQ16,Table20[Min],"&lt;="&amp;AR16,Table20[Type],"=XP")</f>
        <v>9</v>
      </c>
      <c r="AU16">
        <f t="shared" si="11"/>
        <v>211</v>
      </c>
      <c r="AV16">
        <f t="shared" si="8"/>
        <v>240</v>
      </c>
      <c r="AW16">
        <f>COUNTIFS(Table20[Min],"&gt;="&amp;AU16,Table20[Min],"&lt;="&amp;AV16,Table20[Type],"=TIME")</f>
        <v>2</v>
      </c>
    </row>
    <row r="17" spans="5:49" x14ac:dyDescent="0.25">
      <c r="E17" t="s">
        <v>37</v>
      </c>
      <c r="F17">
        <v>0</v>
      </c>
      <c r="G17">
        <v>0</v>
      </c>
      <c r="H17" t="s">
        <v>8</v>
      </c>
      <c r="I17" s="74" t="str">
        <f ca="1">IF(Table7[[#This Row],[Type]]="KILL",IF(_xlfn.NUMBERVALUE(RIGHT(Table7[[#This Row],[Min]],LEN(Table7[[#This Row],[Min]])-FIND("-",Table7[[#This Row],[Min]])))&gt;INDIRECT(ADDRESS(11+MATCH(LEFT(Table7[[#This Row],[Min]],FIND("-",Table7[[#This Row],[Min]])-1),Table1[Content Sku],0),16,1,1,"Entities")),"review","ok"),"ok")</f>
        <v>ok</v>
      </c>
      <c r="K17" s="71">
        <f t="shared" si="3"/>
        <v>20001</v>
      </c>
      <c r="L17" s="71">
        <f t="shared" si="0"/>
        <v>22500</v>
      </c>
      <c r="M17">
        <f>COUNTIFS(Table7[Min],"&gt;="&amp;K17,Table7[Min],"&lt;="&amp;L17,Table7[Type],"=XP")</f>
        <v>11</v>
      </c>
      <c r="O17">
        <f t="shared" si="9"/>
        <v>241</v>
      </c>
      <c r="P17">
        <f t="shared" si="4"/>
        <v>270</v>
      </c>
      <c r="Q17">
        <f>COUNTIFS(Table7[Min],"&gt;="&amp;O17,Table7[Min],"&lt;="&amp;P17,Table7[Type],"=TIME")</f>
        <v>1</v>
      </c>
      <c r="U17" t="s">
        <v>392</v>
      </c>
      <c r="V17">
        <v>0</v>
      </c>
      <c r="W17">
        <v>17000</v>
      </c>
      <c r="X17" t="s">
        <v>205</v>
      </c>
      <c r="Y17" s="74" t="str">
        <f ca="1">IF(Table15[[#This Row],[Type]]="KILL",IF(_xlfn.NUMBERVALUE(RIGHT(Table15[[#This Row],[Min]],LEN(Table15[[#This Row],[Min]])-FIND("-",Table15[[#This Row],[Min]])))&gt;INDIRECT(ADDRESS(11+MATCH(LEFT(Table15[[#This Row],[Min]],FIND("-",Table15[[#This Row],[Min]])-1),Table1[Content Sku],0),16,1,1,"Entities")),"review","ok"),"ok")</f>
        <v>ok</v>
      </c>
      <c r="AA17" s="71">
        <f t="shared" si="5"/>
        <v>20001</v>
      </c>
      <c r="AB17" s="71">
        <f t="shared" si="1"/>
        <v>22500</v>
      </c>
      <c r="AC17">
        <f>COUNTIFS(Table15[Min],"&gt;="&amp;AA17,Table15[Min],"&lt;="&amp;AB17,Table15[Type],"=XP")</f>
        <v>20</v>
      </c>
      <c r="AE17">
        <f t="shared" si="10"/>
        <v>241</v>
      </c>
      <c r="AF17">
        <f t="shared" si="6"/>
        <v>270</v>
      </c>
      <c r="AG17">
        <f>COUNTIFS(Table15[Min],"&gt;="&amp;AU17,Table15[Min],"&lt;="&amp;AV17,Table15[Type],"=TIME")</f>
        <v>0</v>
      </c>
      <c r="AK17" t="s">
        <v>396</v>
      </c>
      <c r="AL17">
        <v>34000</v>
      </c>
      <c r="AM17">
        <v>0</v>
      </c>
      <c r="AN17" t="s">
        <v>205</v>
      </c>
      <c r="AO17" s="74" t="str">
        <f ca="1">IF(Table20[[#This Row],[Type]]="KILL",IF(_xlfn.NUMBERVALUE(RIGHT(Table20[[#This Row],[Min]],LEN(Table20[[#This Row],[Min]])-FIND("-",Table20[[#This Row],[Min]])))&gt;INDIRECT(ADDRESS(11+MATCH(LEFT(Table20[[#This Row],[Min]],FIND("-",Table20[[#This Row],[Min]])-1),Table1[Content Sku],0),18,1,1,"Entities")),"review","ok"),"ok")</f>
        <v>ok</v>
      </c>
      <c r="AQ17" s="71">
        <f t="shared" si="7"/>
        <v>20001</v>
      </c>
      <c r="AR17" s="71">
        <f t="shared" si="2"/>
        <v>22500</v>
      </c>
      <c r="AS17">
        <f>COUNTIFS(Table20[Min],"&gt;="&amp;AQ17,Table20[Min],"&lt;="&amp;AR17,Table20[Type],"=XP")</f>
        <v>0</v>
      </c>
      <c r="AU17">
        <f t="shared" si="11"/>
        <v>241</v>
      </c>
      <c r="AV17">
        <f t="shared" si="8"/>
        <v>270</v>
      </c>
      <c r="AW17">
        <f>COUNTIFS(Table20[Min],"&gt;="&amp;AU17,Table20[Min],"&lt;="&amp;AV17,Table20[Type],"=TIME")</f>
        <v>1</v>
      </c>
    </row>
    <row r="18" spans="5:49" x14ac:dyDescent="0.25">
      <c r="E18" t="s">
        <v>37</v>
      </c>
      <c r="F18">
        <v>0</v>
      </c>
      <c r="G18">
        <v>0</v>
      </c>
      <c r="H18" t="s">
        <v>8</v>
      </c>
      <c r="I18" s="74" t="str">
        <f ca="1">IF(Table7[[#This Row],[Type]]="KILL",IF(_xlfn.NUMBERVALUE(RIGHT(Table7[[#This Row],[Min]],LEN(Table7[[#This Row],[Min]])-FIND("-",Table7[[#This Row],[Min]])))&gt;INDIRECT(ADDRESS(11+MATCH(LEFT(Table7[[#This Row],[Min]],FIND("-",Table7[[#This Row],[Min]])-1),Table1[Content Sku],0),16,1,1,"Entities")),"review","ok"),"ok")</f>
        <v>ok</v>
      </c>
      <c r="K18" s="71">
        <f t="shared" si="3"/>
        <v>22501</v>
      </c>
      <c r="L18" s="71">
        <f t="shared" si="0"/>
        <v>25000</v>
      </c>
      <c r="M18">
        <f>COUNTIFS(Table7[Min],"&gt;="&amp;K18,Table7[Min],"&lt;="&amp;L18,Table7[Type],"=XP")</f>
        <v>28</v>
      </c>
      <c r="O18">
        <f t="shared" si="9"/>
        <v>271</v>
      </c>
      <c r="P18">
        <f t="shared" si="4"/>
        <v>300</v>
      </c>
      <c r="Q18">
        <f>COUNTIFS(Table7[Min],"&gt;="&amp;O18,Table7[Min],"&lt;="&amp;P18,Table7[Type],"=TIME")</f>
        <v>2</v>
      </c>
      <c r="U18" t="s">
        <v>8133</v>
      </c>
      <c r="V18">
        <v>0</v>
      </c>
      <c r="W18">
        <v>0</v>
      </c>
      <c r="X18" t="s">
        <v>8</v>
      </c>
      <c r="Y18" s="74" t="str">
        <f ca="1">IF(Table15[[#This Row],[Type]]="KILL",IF(_xlfn.NUMBERVALUE(RIGHT(Table15[[#This Row],[Min]],LEN(Table15[[#This Row],[Min]])-FIND("-",Table15[[#This Row],[Min]])))&gt;INDIRECT(ADDRESS(11+MATCH(LEFT(Table15[[#This Row],[Min]],FIND("-",Table15[[#This Row],[Min]])-1),Table1[Content Sku],0),16,1,1,"Entities")),"review","ok"),"ok")</f>
        <v>ok</v>
      </c>
      <c r="AA18" s="71">
        <f t="shared" si="5"/>
        <v>22501</v>
      </c>
      <c r="AB18" s="71">
        <f t="shared" si="1"/>
        <v>25000</v>
      </c>
      <c r="AC18">
        <f>COUNTIFS(Table15[Min],"&gt;="&amp;AA18,Table15[Min],"&lt;="&amp;AB18,Table15[Type],"=XP")</f>
        <v>34</v>
      </c>
      <c r="AE18">
        <f t="shared" si="10"/>
        <v>271</v>
      </c>
      <c r="AF18">
        <f t="shared" si="6"/>
        <v>300</v>
      </c>
      <c r="AG18">
        <f>COUNTIFS(Table15[Min],"&gt;="&amp;AU18,Table15[Min],"&lt;="&amp;AV18,Table15[Type],"=TIME")</f>
        <v>9</v>
      </c>
      <c r="AK18" t="s">
        <v>37</v>
      </c>
      <c r="AL18">
        <v>0</v>
      </c>
      <c r="AM18">
        <v>0</v>
      </c>
      <c r="AN18" t="s">
        <v>8</v>
      </c>
      <c r="AO18" s="74" t="str">
        <f ca="1">IF(Table20[[#This Row],[Type]]="KILL",IF(_xlfn.NUMBERVALUE(RIGHT(Table20[[#This Row],[Min]],LEN(Table20[[#This Row],[Min]])-FIND("-",Table20[[#This Row],[Min]])))&gt;INDIRECT(ADDRESS(11+MATCH(LEFT(Table20[[#This Row],[Min]],FIND("-",Table20[[#This Row],[Min]])-1),Table1[Content Sku],0),18,1,1,"Entities")),"review","ok"),"ok")</f>
        <v>ok</v>
      </c>
      <c r="AQ18" s="71">
        <f t="shared" si="7"/>
        <v>22501</v>
      </c>
      <c r="AR18" s="71">
        <f t="shared" si="2"/>
        <v>25000</v>
      </c>
      <c r="AS18">
        <f>COUNTIFS(Table20[Min],"&gt;="&amp;AQ18,Table20[Min],"&lt;="&amp;AR18,Table20[Type],"=XP")</f>
        <v>9</v>
      </c>
      <c r="AU18">
        <f t="shared" si="11"/>
        <v>271</v>
      </c>
      <c r="AV18">
        <f t="shared" si="8"/>
        <v>300</v>
      </c>
      <c r="AW18">
        <f>COUNTIFS(Table20[Min],"&gt;="&amp;AU18,Table20[Min],"&lt;="&amp;AV18,Table20[Type],"=TIME")</f>
        <v>0</v>
      </c>
    </row>
    <row r="19" spans="5:49" x14ac:dyDescent="0.25">
      <c r="E19" t="s">
        <v>346</v>
      </c>
      <c r="F19">
        <v>0</v>
      </c>
      <c r="G19">
        <v>0</v>
      </c>
      <c r="H19" t="s">
        <v>8</v>
      </c>
      <c r="I19" s="74" t="str">
        <f ca="1">IF(Table7[[#This Row],[Type]]="KILL",IF(_xlfn.NUMBERVALUE(RIGHT(Table7[[#This Row],[Min]],LEN(Table7[[#This Row],[Min]])-FIND("-",Table7[[#This Row],[Min]])))&gt;INDIRECT(ADDRESS(11+MATCH(LEFT(Table7[[#This Row],[Min]],FIND("-",Table7[[#This Row],[Min]])-1),Table1[Content Sku],0),16,1,1,"Entities")),"review","ok"),"ok")</f>
        <v>ok</v>
      </c>
      <c r="K19" s="71">
        <f t="shared" si="3"/>
        <v>25001</v>
      </c>
      <c r="L19" s="71">
        <f t="shared" si="0"/>
        <v>27500</v>
      </c>
      <c r="M19">
        <f>COUNTIFS(Table7[Min],"&gt;="&amp;K19,Table7[Min],"&lt;="&amp;L19,Table7[Type],"=XP")</f>
        <v>9</v>
      </c>
      <c r="O19">
        <f t="shared" si="9"/>
        <v>301</v>
      </c>
      <c r="P19">
        <f t="shared" si="4"/>
        <v>330</v>
      </c>
      <c r="Q19">
        <f>COUNTIFS(Table7[Min],"&gt;="&amp;O19,Table7[Min],"&lt;="&amp;P19,Table7[Type],"=TIME")</f>
        <v>1</v>
      </c>
      <c r="U19" t="s">
        <v>403</v>
      </c>
      <c r="V19">
        <v>0</v>
      </c>
      <c r="W19">
        <v>0</v>
      </c>
      <c r="X19" t="s">
        <v>8</v>
      </c>
      <c r="Y19" s="74" t="str">
        <f ca="1">IF(Table15[[#This Row],[Type]]="KILL",IF(_xlfn.NUMBERVALUE(RIGHT(Table15[[#This Row],[Min]],LEN(Table15[[#This Row],[Min]])-FIND("-",Table15[[#This Row],[Min]])))&gt;INDIRECT(ADDRESS(11+MATCH(LEFT(Table15[[#This Row],[Min]],FIND("-",Table15[[#This Row],[Min]])-1),Table1[Content Sku],0),16,1,1,"Entities")),"review","ok"),"ok")</f>
        <v>ok</v>
      </c>
      <c r="AA19" s="71">
        <f t="shared" si="5"/>
        <v>25001</v>
      </c>
      <c r="AB19" s="71">
        <f t="shared" si="1"/>
        <v>27500</v>
      </c>
      <c r="AC19">
        <f>COUNTIFS(Table15[Min],"&gt;="&amp;AA19,Table15[Min],"&lt;="&amp;AB19,Table15[Type],"=XP")</f>
        <v>13</v>
      </c>
      <c r="AE19">
        <f t="shared" si="10"/>
        <v>301</v>
      </c>
      <c r="AF19">
        <f t="shared" si="6"/>
        <v>330</v>
      </c>
      <c r="AG19">
        <f>COUNTIFS(Table15[Min],"&gt;="&amp;AU19,Table15[Min],"&lt;="&amp;AV19,Table15[Type],"=TIME")</f>
        <v>3</v>
      </c>
      <c r="AK19" t="s">
        <v>548</v>
      </c>
      <c r="AL19">
        <v>0</v>
      </c>
      <c r="AM19">
        <v>0</v>
      </c>
      <c r="AN19" t="s">
        <v>8</v>
      </c>
      <c r="AO19" s="74" t="str">
        <f ca="1">IF(Table20[[#This Row],[Type]]="KILL",IF(_xlfn.NUMBERVALUE(RIGHT(Table20[[#This Row],[Min]],LEN(Table20[[#This Row],[Min]])-FIND("-",Table20[[#This Row],[Min]])))&gt;INDIRECT(ADDRESS(11+MATCH(LEFT(Table20[[#This Row],[Min]],FIND("-",Table20[[#This Row],[Min]])-1),Table1[Content Sku],0),18,1,1,"Entities")),"review","ok"),"ok")</f>
        <v>ok</v>
      </c>
      <c r="AQ19" s="71">
        <f t="shared" si="7"/>
        <v>25001</v>
      </c>
      <c r="AR19" s="71">
        <f t="shared" si="2"/>
        <v>27500</v>
      </c>
      <c r="AS19">
        <f>COUNTIFS(Table20[Min],"&gt;="&amp;AQ19,Table20[Min],"&lt;="&amp;AR19,Table20[Type],"=XP")</f>
        <v>11</v>
      </c>
      <c r="AU19">
        <f t="shared" si="11"/>
        <v>301</v>
      </c>
      <c r="AV19">
        <f t="shared" si="8"/>
        <v>330</v>
      </c>
      <c r="AW19">
        <f>COUNTIFS(Table20[Min],"&gt;="&amp;AU19,Table20[Min],"&lt;="&amp;AV19,Table20[Type],"=TIME")</f>
        <v>0</v>
      </c>
    </row>
    <row r="20" spans="5:49" x14ac:dyDescent="0.25">
      <c r="E20" t="s">
        <v>313</v>
      </c>
      <c r="F20">
        <v>0</v>
      </c>
      <c r="G20">
        <v>0</v>
      </c>
      <c r="H20" t="s">
        <v>8</v>
      </c>
      <c r="I20" s="74" t="str">
        <f ca="1">IF(Table7[[#This Row],[Type]]="KILL",IF(_xlfn.NUMBERVALUE(RIGHT(Table7[[#This Row],[Min]],LEN(Table7[[#This Row],[Min]])-FIND("-",Table7[[#This Row],[Min]])))&gt;INDIRECT(ADDRESS(11+MATCH(LEFT(Table7[[#This Row],[Min]],FIND("-",Table7[[#This Row],[Min]])-1),Table1[Content Sku],0),16,1,1,"Entities")),"review","ok"),"ok")</f>
        <v>ok</v>
      </c>
      <c r="K20" s="71">
        <f t="shared" si="3"/>
        <v>27501</v>
      </c>
      <c r="L20" s="71">
        <f t="shared" si="0"/>
        <v>30000</v>
      </c>
      <c r="M20">
        <f>COUNTIFS(Table7[Min],"&gt;="&amp;K20,Table7[Min],"&lt;="&amp;L20,Table7[Type],"=XP")</f>
        <v>20</v>
      </c>
      <c r="O20">
        <f t="shared" si="9"/>
        <v>331</v>
      </c>
      <c r="P20">
        <f t="shared" si="4"/>
        <v>360</v>
      </c>
      <c r="Q20">
        <f>COUNTIFS(Table7[Min],"&gt;="&amp;O20,Table7[Min],"&lt;="&amp;P20,Table7[Type],"=TIME")</f>
        <v>1</v>
      </c>
      <c r="U20" t="s">
        <v>309</v>
      </c>
      <c r="V20">
        <v>0</v>
      </c>
      <c r="W20">
        <v>0</v>
      </c>
      <c r="X20" t="s">
        <v>8</v>
      </c>
      <c r="Y20" s="74" t="str">
        <f ca="1">IF(Table15[[#This Row],[Type]]="KILL",IF(_xlfn.NUMBERVALUE(RIGHT(Table15[[#This Row],[Min]],LEN(Table15[[#This Row],[Min]])-FIND("-",Table15[[#This Row],[Min]])))&gt;INDIRECT(ADDRESS(11+MATCH(LEFT(Table15[[#This Row],[Min]],FIND("-",Table15[[#This Row],[Min]])-1),Table1[Content Sku],0),16,1,1,"Entities")),"review","ok"),"ok")</f>
        <v>ok</v>
      </c>
      <c r="AA20" s="71">
        <f t="shared" si="5"/>
        <v>27501</v>
      </c>
      <c r="AB20" s="71">
        <f t="shared" si="1"/>
        <v>30000</v>
      </c>
      <c r="AC20">
        <f>COUNTIFS(Table15[Min],"&gt;="&amp;AA20,Table15[Min],"&lt;="&amp;AB20,Table15[Type],"=XP")</f>
        <v>38</v>
      </c>
      <c r="AE20">
        <f t="shared" si="10"/>
        <v>331</v>
      </c>
      <c r="AF20">
        <f t="shared" si="6"/>
        <v>360</v>
      </c>
      <c r="AG20">
        <f>COUNTIFS(Table15[Min],"&gt;="&amp;AU20,Table15[Min],"&lt;="&amp;AV20,Table15[Type],"=TIME")</f>
        <v>6</v>
      </c>
      <c r="AK20" t="s">
        <v>122</v>
      </c>
      <c r="AL20">
        <v>0</v>
      </c>
      <c r="AM20">
        <v>0</v>
      </c>
      <c r="AN20" t="s">
        <v>8</v>
      </c>
      <c r="AO20" s="74" t="str">
        <f ca="1">IF(Table20[[#This Row],[Type]]="KILL",IF(_xlfn.NUMBERVALUE(RIGHT(Table20[[#This Row],[Min]],LEN(Table20[[#This Row],[Min]])-FIND("-",Table20[[#This Row],[Min]])))&gt;INDIRECT(ADDRESS(11+MATCH(LEFT(Table20[[#This Row],[Min]],FIND("-",Table20[[#This Row],[Min]])-1),Table1[Content Sku],0),18,1,1,"Entities")),"review","ok"),"ok")</f>
        <v>ok</v>
      </c>
      <c r="AQ20" s="71">
        <f t="shared" si="7"/>
        <v>27501</v>
      </c>
      <c r="AR20" s="71">
        <f t="shared" si="2"/>
        <v>30000</v>
      </c>
      <c r="AS20">
        <f>COUNTIFS(Table20[Min],"&gt;="&amp;AQ20,Table20[Min],"&lt;="&amp;AR20,Table20[Type],"=XP")</f>
        <v>21</v>
      </c>
      <c r="AU20">
        <f t="shared" si="11"/>
        <v>331</v>
      </c>
      <c r="AV20">
        <f t="shared" si="8"/>
        <v>360</v>
      </c>
      <c r="AW20">
        <f>COUNTIFS(Table20[Min],"&gt;="&amp;AU20,Table20[Min],"&lt;="&amp;AV20,Table20[Type],"=TIME")</f>
        <v>0</v>
      </c>
    </row>
    <row r="21" spans="5:49" x14ac:dyDescent="0.25">
      <c r="E21" t="s">
        <v>289</v>
      </c>
      <c r="F21">
        <v>0</v>
      </c>
      <c r="G21">
        <v>0</v>
      </c>
      <c r="H21" t="s">
        <v>8</v>
      </c>
      <c r="I21" s="74" t="str">
        <f ca="1">IF(Table7[[#This Row],[Type]]="KILL",IF(_xlfn.NUMBERVALUE(RIGHT(Table7[[#This Row],[Min]],LEN(Table7[[#This Row],[Min]])-FIND("-",Table7[[#This Row],[Min]])))&gt;INDIRECT(ADDRESS(11+MATCH(LEFT(Table7[[#This Row],[Min]],FIND("-",Table7[[#This Row],[Min]])-1),Table1[Content Sku],0),16,1,1,"Entities")),"review","ok"),"ok")</f>
        <v>ok</v>
      </c>
      <c r="K21" s="71">
        <f t="shared" si="3"/>
        <v>30001</v>
      </c>
      <c r="L21" s="71">
        <f t="shared" si="0"/>
        <v>32500</v>
      </c>
      <c r="M21">
        <f>COUNTIFS(Table7[Min],"&gt;="&amp;K21,Table7[Min],"&lt;="&amp;L21,Table7[Type],"=XP")</f>
        <v>3</v>
      </c>
      <c r="O21">
        <f t="shared" si="9"/>
        <v>361</v>
      </c>
      <c r="P21">
        <f t="shared" si="4"/>
        <v>390</v>
      </c>
      <c r="Q21">
        <f>COUNTIFS(Table7[Min],"&gt;="&amp;O21,Table7[Min],"&lt;="&amp;P21,Table7[Type],"=TIME")</f>
        <v>0</v>
      </c>
      <c r="U21" t="s">
        <v>393</v>
      </c>
      <c r="V21">
        <v>0</v>
      </c>
      <c r="W21">
        <v>46000</v>
      </c>
      <c r="X21" t="s">
        <v>205</v>
      </c>
      <c r="Y21" s="74" t="str">
        <f ca="1">IF(Table15[[#This Row],[Type]]="KILL",IF(_xlfn.NUMBERVALUE(RIGHT(Table15[[#This Row],[Min]],LEN(Table15[[#This Row],[Min]])-FIND("-",Table15[[#This Row],[Min]])))&gt;INDIRECT(ADDRESS(11+MATCH(LEFT(Table15[[#This Row],[Min]],FIND("-",Table15[[#This Row],[Min]])-1),Table1[Content Sku],0),16,1,1,"Entities")),"review","ok"),"ok")</f>
        <v>ok</v>
      </c>
      <c r="AA21" s="71">
        <f t="shared" si="5"/>
        <v>30001</v>
      </c>
      <c r="AB21" s="71">
        <f t="shared" si="1"/>
        <v>32500</v>
      </c>
      <c r="AC21">
        <f>COUNTIFS(Table15[Min],"&gt;="&amp;AA21,Table15[Min],"&lt;="&amp;AB21,Table15[Type],"=XP")</f>
        <v>11</v>
      </c>
      <c r="AE21">
        <f t="shared" si="10"/>
        <v>361</v>
      </c>
      <c r="AF21">
        <f t="shared" si="6"/>
        <v>390</v>
      </c>
      <c r="AG21">
        <f>COUNTIFS(Table15[Min],"&gt;="&amp;AU21,Table15[Min],"&lt;="&amp;AV21,Table15[Type],"=TIME")</f>
        <v>2</v>
      </c>
      <c r="AK21" t="s">
        <v>37</v>
      </c>
      <c r="AL21">
        <v>0</v>
      </c>
      <c r="AM21">
        <v>0</v>
      </c>
      <c r="AN21" t="s">
        <v>8</v>
      </c>
      <c r="AO21" s="74" t="str">
        <f ca="1">IF(Table20[[#This Row],[Type]]="KILL",IF(_xlfn.NUMBERVALUE(RIGHT(Table20[[#This Row],[Min]],LEN(Table20[[#This Row],[Min]])-FIND("-",Table20[[#This Row],[Min]])))&gt;INDIRECT(ADDRESS(11+MATCH(LEFT(Table20[[#This Row],[Min]],FIND("-",Table20[[#This Row],[Min]])-1),Table1[Content Sku],0),18,1,1,"Entities")),"review","ok"),"ok")</f>
        <v>ok</v>
      </c>
      <c r="AQ21" s="71">
        <f t="shared" si="7"/>
        <v>30001</v>
      </c>
      <c r="AR21" s="71">
        <f t="shared" si="2"/>
        <v>32500</v>
      </c>
      <c r="AS21">
        <f>COUNTIFS(Table20[Min],"&gt;="&amp;AQ21,Table20[Min],"&lt;="&amp;AR21,Table20[Type],"=XP")</f>
        <v>13</v>
      </c>
      <c r="AU21">
        <f t="shared" si="11"/>
        <v>361</v>
      </c>
      <c r="AV21">
        <f t="shared" si="8"/>
        <v>390</v>
      </c>
      <c r="AW21">
        <f>COUNTIFS(Table20[Min],"&gt;="&amp;AU21,Table20[Min],"&lt;="&amp;AV21,Table20[Type],"=TIME")</f>
        <v>0</v>
      </c>
    </row>
    <row r="22" spans="5:49" x14ac:dyDescent="0.25">
      <c r="E22" t="s">
        <v>95</v>
      </c>
      <c r="F22">
        <v>0</v>
      </c>
      <c r="G22">
        <v>0</v>
      </c>
      <c r="H22" t="s">
        <v>8</v>
      </c>
      <c r="I22" s="74" t="str">
        <f ca="1">IF(Table7[[#This Row],[Type]]="KILL",IF(_xlfn.NUMBERVALUE(RIGHT(Table7[[#This Row],[Min]],LEN(Table7[[#This Row],[Min]])-FIND("-",Table7[[#This Row],[Min]])))&gt;INDIRECT(ADDRESS(11+MATCH(LEFT(Table7[[#This Row],[Min]],FIND("-",Table7[[#This Row],[Min]])-1),Table1[Content Sku],0),16,1,1,"Entities")),"review","ok"),"ok")</f>
        <v>ok</v>
      </c>
      <c r="K22" s="71">
        <f t="shared" si="3"/>
        <v>32501</v>
      </c>
      <c r="L22" s="71">
        <f t="shared" si="0"/>
        <v>35000</v>
      </c>
      <c r="M22">
        <f>COUNTIFS(Table7[Min],"&gt;="&amp;K22,Table7[Min],"&lt;="&amp;L22,Table7[Type],"=XP")</f>
        <v>15</v>
      </c>
      <c r="O22">
        <f t="shared" si="9"/>
        <v>391</v>
      </c>
      <c r="P22">
        <f t="shared" si="4"/>
        <v>420</v>
      </c>
      <c r="Q22">
        <f>COUNTIFS(Table7[Min],"&gt;="&amp;O22,Table7[Min],"&lt;="&amp;P22,Table7[Type],"=TIME")</f>
        <v>1</v>
      </c>
      <c r="U22" t="s">
        <v>122</v>
      </c>
      <c r="V22">
        <v>0</v>
      </c>
      <c r="W22">
        <v>0</v>
      </c>
      <c r="X22" t="s">
        <v>8</v>
      </c>
      <c r="Y22" s="74" t="str">
        <f ca="1">IF(Table15[[#This Row],[Type]]="KILL",IF(_xlfn.NUMBERVALUE(RIGHT(Table15[[#This Row],[Min]],LEN(Table15[[#This Row],[Min]])-FIND("-",Table15[[#This Row],[Min]])))&gt;INDIRECT(ADDRESS(11+MATCH(LEFT(Table15[[#This Row],[Min]],FIND("-",Table15[[#This Row],[Min]])-1),Table1[Content Sku],0),16,1,1,"Entities")),"review","ok"),"ok")</f>
        <v>ok</v>
      </c>
      <c r="AA22" s="71">
        <f t="shared" si="5"/>
        <v>32501</v>
      </c>
      <c r="AB22" s="71">
        <f t="shared" si="1"/>
        <v>35000</v>
      </c>
      <c r="AC22">
        <f>COUNTIFS(Table15[Min],"&gt;="&amp;AA22,Table15[Min],"&lt;="&amp;AB22,Table15[Type],"=XP")</f>
        <v>30</v>
      </c>
      <c r="AE22">
        <f t="shared" si="10"/>
        <v>391</v>
      </c>
      <c r="AF22">
        <f t="shared" si="6"/>
        <v>420</v>
      </c>
      <c r="AG22">
        <f>COUNTIFS(Table15[Min],"&gt;="&amp;AU22,Table15[Min],"&lt;="&amp;AV22,Table15[Type],"=TIME")</f>
        <v>3</v>
      </c>
      <c r="AK22" t="s">
        <v>2736</v>
      </c>
      <c r="AL22">
        <v>0</v>
      </c>
      <c r="AM22">
        <v>0</v>
      </c>
      <c r="AN22" t="s">
        <v>8</v>
      </c>
      <c r="AO22" s="74" t="str">
        <f ca="1">IF(Table20[[#This Row],[Type]]="KILL",IF(_xlfn.NUMBERVALUE(RIGHT(Table20[[#This Row],[Min]],LEN(Table20[[#This Row],[Min]])-FIND("-",Table20[[#This Row],[Min]])))&gt;INDIRECT(ADDRESS(11+MATCH(LEFT(Table20[[#This Row],[Min]],FIND("-",Table20[[#This Row],[Min]])-1),Table1[Content Sku],0),18,1,1,"Entities")),"review","ok"),"ok")</f>
        <v>ok</v>
      </c>
      <c r="AQ22" s="71">
        <f t="shared" si="7"/>
        <v>32501</v>
      </c>
      <c r="AR22" s="71">
        <f t="shared" si="2"/>
        <v>35000</v>
      </c>
      <c r="AS22">
        <f>COUNTIFS(Table20[Min],"&gt;="&amp;AQ22,Table20[Min],"&lt;="&amp;AR22,Table20[Type],"=XP")</f>
        <v>28</v>
      </c>
      <c r="AU22">
        <f t="shared" si="11"/>
        <v>391</v>
      </c>
      <c r="AV22">
        <f t="shared" si="8"/>
        <v>420</v>
      </c>
      <c r="AW22">
        <f>COUNTIFS(Table20[Min],"&gt;="&amp;AU22,Table20[Min],"&lt;="&amp;AV22,Table20[Type],"=TIME")</f>
        <v>0</v>
      </c>
    </row>
    <row r="23" spans="5:49" x14ac:dyDescent="0.25">
      <c r="E23" t="s">
        <v>95</v>
      </c>
      <c r="F23">
        <v>34000</v>
      </c>
      <c r="G23">
        <v>0</v>
      </c>
      <c r="H23" t="s">
        <v>205</v>
      </c>
      <c r="I23" s="74" t="str">
        <f ca="1">IF(Table7[[#This Row],[Type]]="KILL",IF(_xlfn.NUMBERVALUE(RIGHT(Table7[[#This Row],[Min]],LEN(Table7[[#This Row],[Min]])-FIND("-",Table7[[#This Row],[Min]])))&gt;INDIRECT(ADDRESS(11+MATCH(LEFT(Table7[[#This Row],[Min]],FIND("-",Table7[[#This Row],[Min]])-1),Table1[Content Sku],0),16,1,1,"Entities")),"review","ok"),"ok")</f>
        <v>ok</v>
      </c>
      <c r="K23" s="71">
        <f t="shared" si="3"/>
        <v>35001</v>
      </c>
      <c r="L23" s="71">
        <f t="shared" si="0"/>
        <v>37500</v>
      </c>
      <c r="M23">
        <f>COUNTIFS(Table7[Min],"&gt;="&amp;K23,Table7[Min],"&lt;="&amp;L23,Table7[Type],"=XP")</f>
        <v>6</v>
      </c>
      <c r="O23">
        <f t="shared" si="9"/>
        <v>421</v>
      </c>
      <c r="P23">
        <f t="shared" si="4"/>
        <v>450</v>
      </c>
      <c r="Q23">
        <f>COUNTIFS(Table7[Min],"&gt;="&amp;O23,Table7[Min],"&lt;="&amp;P23,Table7[Type],"=TIME")</f>
        <v>1</v>
      </c>
      <c r="U23" t="s">
        <v>2738</v>
      </c>
      <c r="V23">
        <v>0</v>
      </c>
      <c r="W23">
        <v>0</v>
      </c>
      <c r="X23" t="s">
        <v>8</v>
      </c>
      <c r="Y23" s="74" t="str">
        <f ca="1">IF(Table15[[#This Row],[Type]]="KILL",IF(_xlfn.NUMBERVALUE(RIGHT(Table15[[#This Row],[Min]],LEN(Table15[[#This Row],[Min]])-FIND("-",Table15[[#This Row],[Min]])))&gt;INDIRECT(ADDRESS(11+MATCH(LEFT(Table15[[#This Row],[Min]],FIND("-",Table15[[#This Row],[Min]])-1),Table1[Content Sku],0),16,1,1,"Entities")),"review","ok"),"ok")</f>
        <v>ok</v>
      </c>
      <c r="AA23" s="71">
        <f t="shared" si="5"/>
        <v>35001</v>
      </c>
      <c r="AB23" s="71">
        <f t="shared" si="1"/>
        <v>37500</v>
      </c>
      <c r="AC23">
        <f>COUNTIFS(Table15[Min],"&gt;="&amp;AA23,Table15[Min],"&lt;="&amp;AB23,Table15[Type],"=XP")</f>
        <v>13</v>
      </c>
      <c r="AE23">
        <f t="shared" si="10"/>
        <v>421</v>
      </c>
      <c r="AF23">
        <f t="shared" si="6"/>
        <v>450</v>
      </c>
      <c r="AG23">
        <f>COUNTIFS(Table15[Min],"&gt;="&amp;AU23,Table15[Min],"&lt;="&amp;AV23,Table15[Type],"=TIME")</f>
        <v>0</v>
      </c>
      <c r="AK23" t="s">
        <v>137</v>
      </c>
      <c r="AL23">
        <v>0</v>
      </c>
      <c r="AM23">
        <v>0</v>
      </c>
      <c r="AN23" t="s">
        <v>8</v>
      </c>
      <c r="AO23" s="74" t="str">
        <f ca="1">IF(Table20[[#This Row],[Type]]="KILL",IF(_xlfn.NUMBERVALUE(RIGHT(Table20[[#This Row],[Min]],LEN(Table20[[#This Row],[Min]])-FIND("-",Table20[[#This Row],[Min]])))&gt;INDIRECT(ADDRESS(11+MATCH(LEFT(Table20[[#This Row],[Min]],FIND("-",Table20[[#This Row],[Min]])-1),Table1[Content Sku],0),18,1,1,"Entities")),"review","ok"),"ok")</f>
        <v>ok</v>
      </c>
      <c r="AQ23" s="71">
        <f t="shared" si="7"/>
        <v>35001</v>
      </c>
      <c r="AR23" s="71">
        <f t="shared" si="2"/>
        <v>37500</v>
      </c>
      <c r="AS23">
        <f>COUNTIFS(Table20[Min],"&gt;="&amp;AQ23,Table20[Min],"&lt;="&amp;AR23,Table20[Type],"=XP")</f>
        <v>7</v>
      </c>
      <c r="AU23">
        <f t="shared" si="11"/>
        <v>421</v>
      </c>
      <c r="AV23">
        <f t="shared" si="8"/>
        <v>450</v>
      </c>
      <c r="AW23">
        <f>COUNTIFS(Table20[Min],"&gt;="&amp;AU23,Table20[Min],"&lt;="&amp;AV23,Table20[Type],"=TIME")</f>
        <v>0</v>
      </c>
    </row>
    <row r="24" spans="5:49" x14ac:dyDescent="0.25">
      <c r="E24" t="s">
        <v>36</v>
      </c>
      <c r="F24">
        <v>6500</v>
      </c>
      <c r="G24">
        <v>0</v>
      </c>
      <c r="H24" t="s">
        <v>205</v>
      </c>
      <c r="I24" s="74" t="str">
        <f ca="1">IF(Table7[[#This Row],[Type]]="KILL",IF(_xlfn.NUMBERVALUE(RIGHT(Table7[[#This Row],[Min]],LEN(Table7[[#This Row],[Min]])-FIND("-",Table7[[#This Row],[Min]])))&gt;INDIRECT(ADDRESS(11+MATCH(LEFT(Table7[[#This Row],[Min]],FIND("-",Table7[[#This Row],[Min]])-1),Table1[Content Sku],0),16,1,1,"Entities")),"review","ok"),"ok")</f>
        <v>ok</v>
      </c>
      <c r="K24" s="71">
        <f t="shared" si="3"/>
        <v>37501</v>
      </c>
      <c r="L24" s="71">
        <f t="shared" si="0"/>
        <v>40000</v>
      </c>
      <c r="M24">
        <f>COUNTIFS(Table7[Min],"&gt;="&amp;K24,Table7[Min],"&lt;="&amp;L24,Table7[Type],"=XP")</f>
        <v>9</v>
      </c>
      <c r="O24">
        <f t="shared" si="9"/>
        <v>451</v>
      </c>
      <c r="P24">
        <f t="shared" si="4"/>
        <v>480</v>
      </c>
      <c r="Q24">
        <f>COUNTIFS(Table7[Min],"&gt;="&amp;O24,Table7[Min],"&lt;="&amp;P24,Table7[Type],"=TIME")</f>
        <v>1</v>
      </c>
      <c r="U24" t="s">
        <v>391</v>
      </c>
      <c r="V24">
        <v>0</v>
      </c>
      <c r="W24">
        <v>0</v>
      </c>
      <c r="X24" t="s">
        <v>8</v>
      </c>
      <c r="Y24" s="74" t="str">
        <f ca="1">IF(Table15[[#This Row],[Type]]="KILL",IF(_xlfn.NUMBERVALUE(RIGHT(Table15[[#This Row],[Min]],LEN(Table15[[#This Row],[Min]])-FIND("-",Table15[[#This Row],[Min]])))&gt;INDIRECT(ADDRESS(11+MATCH(LEFT(Table15[[#This Row],[Min]],FIND("-",Table15[[#This Row],[Min]])-1),Table1[Content Sku],0),16,1,1,"Entities")),"review","ok"),"ok")</f>
        <v>ok</v>
      </c>
      <c r="AA24" s="71">
        <f t="shared" si="5"/>
        <v>37501</v>
      </c>
      <c r="AB24" s="71">
        <f t="shared" si="1"/>
        <v>40000</v>
      </c>
      <c r="AC24">
        <f>COUNTIFS(Table15[Min],"&gt;="&amp;AA24,Table15[Min],"&lt;="&amp;AB24,Table15[Type],"=XP")</f>
        <v>36</v>
      </c>
      <c r="AE24">
        <f t="shared" si="10"/>
        <v>451</v>
      </c>
      <c r="AF24">
        <f t="shared" si="6"/>
        <v>480</v>
      </c>
      <c r="AG24">
        <f>COUNTIFS(Table15[Min],"&gt;="&amp;AU24,Table15[Min],"&lt;="&amp;AV24,Table15[Type],"=TIME")</f>
        <v>0</v>
      </c>
      <c r="AK24" t="s">
        <v>2667</v>
      </c>
      <c r="AL24">
        <v>0</v>
      </c>
      <c r="AM24">
        <v>0</v>
      </c>
      <c r="AN24" t="s">
        <v>8</v>
      </c>
      <c r="AO24" s="74" t="str">
        <f ca="1">IF(Table20[[#This Row],[Type]]="KILL",IF(_xlfn.NUMBERVALUE(RIGHT(Table20[[#This Row],[Min]],LEN(Table20[[#This Row],[Min]])-FIND("-",Table20[[#This Row],[Min]])))&gt;INDIRECT(ADDRESS(11+MATCH(LEFT(Table20[[#This Row],[Min]],FIND("-",Table20[[#This Row],[Min]])-1),Table1[Content Sku],0),18,1,1,"Entities")),"review","ok"),"ok")</f>
        <v>ok</v>
      </c>
      <c r="AQ24" s="71">
        <f t="shared" si="7"/>
        <v>37501</v>
      </c>
      <c r="AR24" s="71">
        <f t="shared" si="2"/>
        <v>40000</v>
      </c>
      <c r="AS24">
        <f>COUNTIFS(Table20[Min],"&gt;="&amp;AQ24,Table20[Min],"&lt;="&amp;AR24,Table20[Type],"=XP")</f>
        <v>24</v>
      </c>
      <c r="AU24">
        <f t="shared" si="11"/>
        <v>451</v>
      </c>
      <c r="AV24">
        <f t="shared" si="8"/>
        <v>480</v>
      </c>
      <c r="AW24">
        <f>COUNTIFS(Table20[Min],"&gt;="&amp;AU24,Table20[Min],"&lt;="&amp;AV24,Table20[Type],"=TIME")</f>
        <v>0</v>
      </c>
    </row>
    <row r="25" spans="5:49" x14ac:dyDescent="0.25">
      <c r="E25" t="s">
        <v>254</v>
      </c>
      <c r="F25">
        <v>3700</v>
      </c>
      <c r="G25">
        <v>0</v>
      </c>
      <c r="H25" t="s">
        <v>205</v>
      </c>
      <c r="I25" s="74" t="str">
        <f ca="1">IF(Table7[[#This Row],[Type]]="KILL",IF(_xlfn.NUMBERVALUE(RIGHT(Table7[[#This Row],[Min]],LEN(Table7[[#This Row],[Min]])-FIND("-",Table7[[#This Row],[Min]])))&gt;INDIRECT(ADDRESS(11+MATCH(LEFT(Table7[[#This Row],[Min]],FIND("-",Table7[[#This Row],[Min]])-1),Table1[Content Sku],0),16,1,1,"Entities")),"review","ok"),"ok")</f>
        <v>ok</v>
      </c>
      <c r="K25" s="71">
        <f t="shared" si="3"/>
        <v>40001</v>
      </c>
      <c r="L25" s="71">
        <f t="shared" si="0"/>
        <v>42500</v>
      </c>
      <c r="M25">
        <f>COUNTIFS(Table7[Min],"&gt;="&amp;K25,Table7[Min],"&lt;="&amp;L25,Table7[Type],"=XP")</f>
        <v>1</v>
      </c>
      <c r="O25">
        <f t="shared" si="9"/>
        <v>481</v>
      </c>
      <c r="P25">
        <f t="shared" si="4"/>
        <v>510</v>
      </c>
      <c r="Q25">
        <f>COUNTIFS(Table7[Min],"&gt;="&amp;O25,Table7[Min],"&lt;="&amp;P25,Table7[Type],"=TIME")</f>
        <v>3</v>
      </c>
      <c r="U25" t="s">
        <v>289</v>
      </c>
      <c r="V25">
        <v>0</v>
      </c>
      <c r="W25">
        <v>0</v>
      </c>
      <c r="X25" t="s">
        <v>8</v>
      </c>
      <c r="Y25" s="74" t="str">
        <f ca="1">IF(Table15[[#This Row],[Type]]="KILL",IF(_xlfn.NUMBERVALUE(RIGHT(Table15[[#This Row],[Min]],LEN(Table15[[#This Row],[Min]])-FIND("-",Table15[[#This Row],[Min]])))&gt;INDIRECT(ADDRESS(11+MATCH(LEFT(Table15[[#This Row],[Min]],FIND("-",Table15[[#This Row],[Min]])-1),Table1[Content Sku],0),16,1,1,"Entities")),"review","ok"),"ok")</f>
        <v>ok</v>
      </c>
      <c r="AA25" s="71">
        <f t="shared" si="5"/>
        <v>40001</v>
      </c>
      <c r="AB25" s="71">
        <f t="shared" si="1"/>
        <v>42500</v>
      </c>
      <c r="AC25">
        <f>COUNTIFS(Table15[Min],"&gt;="&amp;AA25,Table15[Min],"&lt;="&amp;AB25,Table15[Type],"=XP")</f>
        <v>9</v>
      </c>
      <c r="AE25">
        <f t="shared" si="10"/>
        <v>481</v>
      </c>
      <c r="AF25">
        <f t="shared" si="6"/>
        <v>510</v>
      </c>
      <c r="AG25">
        <f>COUNTIFS(Table15[Min],"&gt;="&amp;AU25,Table15[Min],"&lt;="&amp;AV25,Table15[Type],"=TIME")</f>
        <v>1</v>
      </c>
      <c r="AK25" t="s">
        <v>95</v>
      </c>
      <c r="AL25">
        <v>32000</v>
      </c>
      <c r="AM25">
        <v>0</v>
      </c>
      <c r="AN25" t="s">
        <v>205</v>
      </c>
      <c r="AO25" s="74" t="str">
        <f ca="1">IF(Table20[[#This Row],[Type]]="KILL",IF(_xlfn.NUMBERVALUE(RIGHT(Table20[[#This Row],[Min]],LEN(Table20[[#This Row],[Min]])-FIND("-",Table20[[#This Row],[Min]])))&gt;INDIRECT(ADDRESS(11+MATCH(LEFT(Table20[[#This Row],[Min]],FIND("-",Table20[[#This Row],[Min]])-1),Table1[Content Sku],0),18,1,1,"Entities")),"review","ok"),"ok")</f>
        <v>ok</v>
      </c>
      <c r="AQ25" s="71">
        <f t="shared" si="7"/>
        <v>40001</v>
      </c>
      <c r="AR25" s="71">
        <f t="shared" si="2"/>
        <v>42500</v>
      </c>
      <c r="AS25">
        <f>COUNTIFS(Table20[Min],"&gt;="&amp;AQ25,Table20[Min],"&lt;="&amp;AR25,Table20[Type],"=XP")</f>
        <v>8</v>
      </c>
      <c r="AU25">
        <f t="shared" si="11"/>
        <v>481</v>
      </c>
      <c r="AV25">
        <f t="shared" si="8"/>
        <v>510</v>
      </c>
      <c r="AW25">
        <f>COUNTIFS(Table20[Min],"&gt;="&amp;AU25,Table20[Min],"&lt;="&amp;AV25,Table20[Type],"=TIME")</f>
        <v>3</v>
      </c>
    </row>
    <row r="26" spans="5:49" x14ac:dyDescent="0.25">
      <c r="E26" t="s">
        <v>313</v>
      </c>
      <c r="F26">
        <v>0</v>
      </c>
      <c r="G26">
        <v>0</v>
      </c>
      <c r="H26" t="s">
        <v>8</v>
      </c>
      <c r="I26" s="74" t="str">
        <f ca="1">IF(Table7[[#This Row],[Type]]="KILL",IF(_xlfn.NUMBERVALUE(RIGHT(Table7[[#This Row],[Min]],LEN(Table7[[#This Row],[Min]])-FIND("-",Table7[[#This Row],[Min]])))&gt;INDIRECT(ADDRESS(11+MATCH(LEFT(Table7[[#This Row],[Min]],FIND("-",Table7[[#This Row],[Min]])-1),Table1[Content Sku],0),16,1,1,"Entities")),"review","ok"),"ok")</f>
        <v>ok</v>
      </c>
      <c r="K26" s="71">
        <f t="shared" si="3"/>
        <v>42501</v>
      </c>
      <c r="L26" s="71">
        <f t="shared" si="0"/>
        <v>45000</v>
      </c>
      <c r="M26">
        <f>COUNTIFS(Table7[Min],"&gt;="&amp;K26,Table7[Min],"&lt;="&amp;L26,Table7[Type],"=XP")</f>
        <v>6</v>
      </c>
      <c r="O26">
        <f t="shared" si="9"/>
        <v>511</v>
      </c>
      <c r="P26">
        <f t="shared" si="4"/>
        <v>540</v>
      </c>
      <c r="Q26">
        <f>COUNTIFS(Table7[Min],"&gt;="&amp;O26,Table7[Min],"&lt;="&amp;P26,Table7[Type],"=TIME")</f>
        <v>0</v>
      </c>
      <c r="U26" t="s">
        <v>46</v>
      </c>
      <c r="V26">
        <v>0</v>
      </c>
      <c r="W26">
        <v>0</v>
      </c>
      <c r="X26" t="s">
        <v>8</v>
      </c>
      <c r="Y26" s="74" t="str">
        <f ca="1">IF(Table15[[#This Row],[Type]]="KILL",IF(_xlfn.NUMBERVALUE(RIGHT(Table15[[#This Row],[Min]],LEN(Table15[[#This Row],[Min]])-FIND("-",Table15[[#This Row],[Min]])))&gt;INDIRECT(ADDRESS(11+MATCH(LEFT(Table15[[#This Row],[Min]],FIND("-",Table15[[#This Row],[Min]])-1),Table1[Content Sku],0),16,1,1,"Entities")),"review","ok"),"ok")</f>
        <v>ok</v>
      </c>
      <c r="AA26" s="71">
        <f t="shared" si="5"/>
        <v>42501</v>
      </c>
      <c r="AB26" s="71">
        <f t="shared" si="1"/>
        <v>45000</v>
      </c>
      <c r="AC26">
        <f>COUNTIFS(Table15[Min],"&gt;="&amp;AA26,Table15[Min],"&lt;="&amp;AB26,Table15[Type],"=XP")</f>
        <v>19</v>
      </c>
      <c r="AE26">
        <f t="shared" si="10"/>
        <v>511</v>
      </c>
      <c r="AF26">
        <f t="shared" si="6"/>
        <v>540</v>
      </c>
      <c r="AG26">
        <f>COUNTIFS(Table15[Min],"&gt;="&amp;AU26,Table15[Min],"&lt;="&amp;AV26,Table15[Type],"=TIME")</f>
        <v>0</v>
      </c>
      <c r="AK26" t="s">
        <v>37</v>
      </c>
      <c r="AL26">
        <v>0</v>
      </c>
      <c r="AM26">
        <v>0</v>
      </c>
      <c r="AN26" t="s">
        <v>8</v>
      </c>
      <c r="AO26" s="74" t="str">
        <f ca="1">IF(Table20[[#This Row],[Type]]="KILL",IF(_xlfn.NUMBERVALUE(RIGHT(Table20[[#This Row],[Min]],LEN(Table20[[#This Row],[Min]])-FIND("-",Table20[[#This Row],[Min]])))&gt;INDIRECT(ADDRESS(11+MATCH(LEFT(Table20[[#This Row],[Min]],FIND("-",Table20[[#This Row],[Min]])-1),Table1[Content Sku],0),18,1,1,"Entities")),"review","ok"),"ok")</f>
        <v>ok</v>
      </c>
      <c r="AQ26" s="71">
        <f t="shared" si="7"/>
        <v>42501</v>
      </c>
      <c r="AR26" s="71">
        <f t="shared" si="2"/>
        <v>45000</v>
      </c>
      <c r="AS26">
        <f>COUNTIFS(Table20[Min],"&gt;="&amp;AQ26,Table20[Min],"&lt;="&amp;AR26,Table20[Type],"=XP")</f>
        <v>14</v>
      </c>
      <c r="AU26">
        <f t="shared" si="11"/>
        <v>511</v>
      </c>
      <c r="AV26">
        <f t="shared" si="8"/>
        <v>540</v>
      </c>
      <c r="AW26">
        <f>COUNTIFS(Table20[Min],"&gt;="&amp;AU26,Table20[Min],"&lt;="&amp;AV26,Table20[Type],"=TIME")</f>
        <v>0</v>
      </c>
    </row>
    <row r="27" spans="5:49" x14ac:dyDescent="0.25">
      <c r="E27" t="s">
        <v>311</v>
      </c>
      <c r="F27">
        <v>0</v>
      </c>
      <c r="G27">
        <v>0</v>
      </c>
      <c r="H27" t="s">
        <v>8</v>
      </c>
      <c r="I27" s="74" t="str">
        <f ca="1">IF(Table7[[#This Row],[Type]]="KILL",IF(_xlfn.NUMBERVALUE(RIGHT(Table7[[#This Row],[Min]],LEN(Table7[[#This Row],[Min]])-FIND("-",Table7[[#This Row],[Min]])))&gt;INDIRECT(ADDRESS(11+MATCH(LEFT(Table7[[#This Row],[Min]],FIND("-",Table7[[#This Row],[Min]])-1),Table1[Content Sku],0),16,1,1,"Entities")),"review","ok"),"ok")</f>
        <v>ok</v>
      </c>
      <c r="K27" s="71">
        <f t="shared" si="3"/>
        <v>45001</v>
      </c>
      <c r="L27" s="71">
        <f t="shared" si="0"/>
        <v>47500</v>
      </c>
      <c r="M27">
        <f>COUNTIFS(Table7[Min],"&gt;="&amp;K27,Table7[Min],"&lt;="&amp;L27,Table7[Type],"=XP")</f>
        <v>0</v>
      </c>
      <c r="O27">
        <f t="shared" si="9"/>
        <v>541</v>
      </c>
      <c r="P27">
        <f t="shared" si="4"/>
        <v>570</v>
      </c>
      <c r="Q27">
        <f>COUNTIFS(Table7[Min],"&gt;="&amp;O27,Table7[Min],"&lt;="&amp;P27,Table7[Type],"=TIME")</f>
        <v>0</v>
      </c>
      <c r="U27" t="s">
        <v>39</v>
      </c>
      <c r="V27">
        <v>15000</v>
      </c>
      <c r="W27">
        <v>28000</v>
      </c>
      <c r="X27" t="s">
        <v>205</v>
      </c>
      <c r="Y27" s="74" t="str">
        <f ca="1">IF(Table15[[#This Row],[Type]]="KILL",IF(_xlfn.NUMBERVALUE(RIGHT(Table15[[#This Row],[Min]],LEN(Table15[[#This Row],[Min]])-FIND("-",Table15[[#This Row],[Min]])))&gt;INDIRECT(ADDRESS(11+MATCH(LEFT(Table15[[#This Row],[Min]],FIND("-",Table15[[#This Row],[Min]])-1),Table1[Content Sku],0),16,1,1,"Entities")),"review","ok"),"ok")</f>
        <v>ok</v>
      </c>
      <c r="AA27" s="71">
        <f t="shared" si="5"/>
        <v>45001</v>
      </c>
      <c r="AB27" s="71">
        <f t="shared" si="1"/>
        <v>47500</v>
      </c>
      <c r="AC27">
        <f>COUNTIFS(Table15[Min],"&gt;="&amp;AA27,Table15[Min],"&lt;="&amp;AB27,Table15[Type],"=XP")</f>
        <v>7</v>
      </c>
      <c r="AE27">
        <f t="shared" si="10"/>
        <v>541</v>
      </c>
      <c r="AF27">
        <f t="shared" si="6"/>
        <v>570</v>
      </c>
      <c r="AG27">
        <f>COUNTIFS(Table15[Min],"&gt;="&amp;AU27,Table15[Min],"&lt;="&amp;AV27,Table15[Type],"=TIME")</f>
        <v>0</v>
      </c>
      <c r="AK27" t="s">
        <v>37</v>
      </c>
      <c r="AL27">
        <v>0</v>
      </c>
      <c r="AM27">
        <v>0</v>
      </c>
      <c r="AN27" t="s">
        <v>8</v>
      </c>
      <c r="AO27" s="74" t="str">
        <f ca="1">IF(Table20[[#This Row],[Type]]="KILL",IF(_xlfn.NUMBERVALUE(RIGHT(Table20[[#This Row],[Min]],LEN(Table20[[#This Row],[Min]])-FIND("-",Table20[[#This Row],[Min]])))&gt;INDIRECT(ADDRESS(11+MATCH(LEFT(Table20[[#This Row],[Min]],FIND("-",Table20[[#This Row],[Min]])-1),Table1[Content Sku],0),18,1,1,"Entities")),"review","ok"),"ok")</f>
        <v>ok</v>
      </c>
      <c r="AQ27" s="71">
        <f t="shared" si="7"/>
        <v>45001</v>
      </c>
      <c r="AR27" s="71">
        <f t="shared" si="2"/>
        <v>47500</v>
      </c>
      <c r="AS27">
        <f>COUNTIFS(Table20[Min],"&gt;="&amp;AQ27,Table20[Min],"&lt;="&amp;AR27,Table20[Type],"=XP")</f>
        <v>2</v>
      </c>
      <c r="AU27">
        <f t="shared" si="11"/>
        <v>541</v>
      </c>
      <c r="AV27">
        <f t="shared" si="8"/>
        <v>570</v>
      </c>
      <c r="AW27">
        <f>COUNTIFS(Table20[Min],"&gt;="&amp;AU27,Table20[Min],"&lt;="&amp;AV27,Table20[Type],"=TIME")</f>
        <v>0</v>
      </c>
    </row>
    <row r="28" spans="5:49" x14ac:dyDescent="0.25">
      <c r="E28" t="s">
        <v>306</v>
      </c>
      <c r="F28">
        <v>0</v>
      </c>
      <c r="G28">
        <v>0</v>
      </c>
      <c r="H28" t="s">
        <v>8</v>
      </c>
      <c r="I28" s="74" t="str">
        <f ca="1">IF(Table7[[#This Row],[Type]]="KILL",IF(_xlfn.NUMBERVALUE(RIGHT(Table7[[#This Row],[Min]],LEN(Table7[[#This Row],[Min]])-FIND("-",Table7[[#This Row],[Min]])))&gt;INDIRECT(ADDRESS(11+MATCH(LEFT(Table7[[#This Row],[Min]],FIND("-",Table7[[#This Row],[Min]])-1),Table1[Content Sku],0),16,1,1,"Entities")),"review","ok"),"ok")</f>
        <v>ok</v>
      </c>
      <c r="K28" s="71">
        <f t="shared" si="3"/>
        <v>47501</v>
      </c>
      <c r="L28" s="71">
        <f t="shared" si="0"/>
        <v>50000</v>
      </c>
      <c r="M28">
        <f>COUNTIFS(Table7[Min],"&gt;="&amp;K28,Table7[Min],"&lt;="&amp;L28,Table7[Type],"=XP")</f>
        <v>12</v>
      </c>
      <c r="O28">
        <f t="shared" si="9"/>
        <v>571</v>
      </c>
      <c r="P28">
        <f t="shared" si="4"/>
        <v>600</v>
      </c>
      <c r="Q28">
        <f>COUNTIFS(Table7[Min],"&gt;="&amp;O28,Table7[Min],"&lt;="&amp;P28,Table7[Type],"=TIME")</f>
        <v>0</v>
      </c>
      <c r="U28" t="s">
        <v>392</v>
      </c>
      <c r="V28">
        <v>0</v>
      </c>
      <c r="W28">
        <v>0</v>
      </c>
      <c r="X28" t="s">
        <v>8</v>
      </c>
      <c r="Y28" s="74" t="str">
        <f ca="1">IF(Table15[[#This Row],[Type]]="KILL",IF(_xlfn.NUMBERVALUE(RIGHT(Table15[[#This Row],[Min]],LEN(Table15[[#This Row],[Min]])-FIND("-",Table15[[#This Row],[Min]])))&gt;INDIRECT(ADDRESS(11+MATCH(LEFT(Table15[[#This Row],[Min]],FIND("-",Table15[[#This Row],[Min]])-1),Table1[Content Sku],0),16,1,1,"Entities")),"review","ok"),"ok")</f>
        <v>ok</v>
      </c>
      <c r="AA28" s="71">
        <f t="shared" si="5"/>
        <v>47501</v>
      </c>
      <c r="AB28" s="71">
        <f t="shared" si="1"/>
        <v>50000</v>
      </c>
      <c r="AC28">
        <f>COUNTIFS(Table15[Min],"&gt;="&amp;AA28,Table15[Min],"&lt;="&amp;AB28,Table15[Type],"=XP")</f>
        <v>12</v>
      </c>
      <c r="AE28">
        <f t="shared" si="10"/>
        <v>571</v>
      </c>
      <c r="AF28">
        <f t="shared" si="6"/>
        <v>600</v>
      </c>
      <c r="AG28">
        <f>COUNTIFS(Table15[Min],"&gt;="&amp;AU28,Table15[Min],"&lt;="&amp;AV28,Table15[Type],"=TIME")</f>
        <v>0</v>
      </c>
      <c r="AK28" t="s">
        <v>2677</v>
      </c>
      <c r="AL28">
        <v>0</v>
      </c>
      <c r="AM28">
        <v>0</v>
      </c>
      <c r="AN28" t="s">
        <v>8</v>
      </c>
      <c r="AO28" s="74" t="str">
        <f ca="1">IF(Table20[[#This Row],[Type]]="KILL",IF(_xlfn.NUMBERVALUE(RIGHT(Table20[[#This Row],[Min]],LEN(Table20[[#This Row],[Min]])-FIND("-",Table20[[#This Row],[Min]])))&gt;INDIRECT(ADDRESS(11+MATCH(LEFT(Table20[[#This Row],[Min]],FIND("-",Table20[[#This Row],[Min]])-1),Table1[Content Sku],0),18,1,1,"Entities")),"review","ok"),"ok")</f>
        <v>ok</v>
      </c>
      <c r="AQ28" s="71">
        <f t="shared" si="7"/>
        <v>47501</v>
      </c>
      <c r="AR28" s="71">
        <f t="shared" si="2"/>
        <v>50000</v>
      </c>
      <c r="AS28">
        <f>COUNTIFS(Table20[Min],"&gt;="&amp;AQ28,Table20[Min],"&lt;="&amp;AR28,Table20[Type],"=XP")</f>
        <v>8</v>
      </c>
      <c r="AU28">
        <f t="shared" si="11"/>
        <v>571</v>
      </c>
      <c r="AV28">
        <f t="shared" si="8"/>
        <v>600</v>
      </c>
      <c r="AW28">
        <f>COUNTIFS(Table20[Min],"&gt;="&amp;AU28,Table20[Min],"&lt;="&amp;AV28,Table20[Type],"=TIME")</f>
        <v>0</v>
      </c>
    </row>
    <row r="29" spans="5:49" x14ac:dyDescent="0.25">
      <c r="E29" t="s">
        <v>39</v>
      </c>
      <c r="F29">
        <v>10000</v>
      </c>
      <c r="G29">
        <v>0</v>
      </c>
      <c r="H29" t="s">
        <v>205</v>
      </c>
      <c r="I29" s="74" t="str">
        <f ca="1">IF(Table7[[#This Row],[Type]]="KILL",IF(_xlfn.NUMBERVALUE(RIGHT(Table7[[#This Row],[Min]],LEN(Table7[[#This Row],[Min]])-FIND("-",Table7[[#This Row],[Min]])))&gt;INDIRECT(ADDRESS(11+MATCH(LEFT(Table7[[#This Row],[Min]],FIND("-",Table7[[#This Row],[Min]])-1),Table1[Content Sku],0),16,1,1,"Entities")),"review","ok"),"ok")</f>
        <v>ok</v>
      </c>
      <c r="K29" s="71">
        <f t="shared" si="3"/>
        <v>50001</v>
      </c>
      <c r="L29" s="71">
        <f t="shared" si="0"/>
        <v>52500</v>
      </c>
      <c r="M29">
        <f>COUNTIFS(Table7[Min],"&gt;="&amp;K29,Table7[Min],"&lt;="&amp;L29,Table7[Type],"=XP")</f>
        <v>0</v>
      </c>
      <c r="O29">
        <f t="shared" si="9"/>
        <v>601</v>
      </c>
      <c r="P29">
        <f t="shared" si="4"/>
        <v>630</v>
      </c>
      <c r="Q29">
        <f>COUNTIFS(Table7[Min],"&gt;="&amp;O29,Table7[Min],"&lt;="&amp;P29,Table7[Type],"=TIME")</f>
        <v>0</v>
      </c>
      <c r="U29" t="s">
        <v>313</v>
      </c>
      <c r="V29">
        <v>0</v>
      </c>
      <c r="W29">
        <v>0</v>
      </c>
      <c r="X29" t="s">
        <v>8</v>
      </c>
      <c r="Y29" s="74" t="str">
        <f ca="1">IF(Table15[[#This Row],[Type]]="KILL",IF(_xlfn.NUMBERVALUE(RIGHT(Table15[[#This Row],[Min]],LEN(Table15[[#This Row],[Min]])-FIND("-",Table15[[#This Row],[Min]])))&gt;INDIRECT(ADDRESS(11+MATCH(LEFT(Table15[[#This Row],[Min]],FIND("-",Table15[[#This Row],[Min]])-1),Table1[Content Sku],0),16,1,1,"Entities")),"review","ok"),"ok")</f>
        <v>ok</v>
      </c>
      <c r="AA29" s="71">
        <f t="shared" si="5"/>
        <v>50001</v>
      </c>
      <c r="AB29" s="71">
        <f t="shared" si="1"/>
        <v>52500</v>
      </c>
      <c r="AC29">
        <f>COUNTIFS(Table15[Min],"&gt;="&amp;AA29,Table15[Min],"&lt;="&amp;AB29,Table15[Type],"=XP")</f>
        <v>1</v>
      </c>
      <c r="AE29">
        <f t="shared" si="10"/>
        <v>601</v>
      </c>
      <c r="AF29">
        <f t="shared" si="6"/>
        <v>630</v>
      </c>
      <c r="AG29">
        <f>COUNTIFS(Table15[Min],"&gt;="&amp;AU29,Table15[Min],"&lt;="&amp;AV29,Table15[Type],"=TIME")</f>
        <v>0</v>
      </c>
      <c r="AK29" t="s">
        <v>95</v>
      </c>
      <c r="AL29">
        <v>0</v>
      </c>
      <c r="AM29">
        <v>34000</v>
      </c>
      <c r="AN29" t="s">
        <v>205</v>
      </c>
      <c r="AO29" s="74" t="str">
        <f ca="1">IF(Table20[[#This Row],[Type]]="KILL",IF(_xlfn.NUMBERVALUE(RIGHT(Table20[[#This Row],[Min]],LEN(Table20[[#This Row],[Min]])-FIND("-",Table20[[#This Row],[Min]])))&gt;INDIRECT(ADDRESS(11+MATCH(LEFT(Table20[[#This Row],[Min]],FIND("-",Table20[[#This Row],[Min]])-1),Table1[Content Sku],0),18,1,1,"Entities")),"review","ok"),"ok")</f>
        <v>ok</v>
      </c>
      <c r="AQ29" s="71">
        <f t="shared" si="7"/>
        <v>50001</v>
      </c>
      <c r="AR29" s="71">
        <f t="shared" si="2"/>
        <v>52500</v>
      </c>
      <c r="AS29">
        <f>COUNTIFS(Table20[Min],"&gt;="&amp;AQ29,Table20[Min],"&lt;="&amp;AR29,Table20[Type],"=XP")</f>
        <v>1</v>
      </c>
      <c r="AU29">
        <f t="shared" si="11"/>
        <v>601</v>
      </c>
      <c r="AV29">
        <f t="shared" si="8"/>
        <v>630</v>
      </c>
      <c r="AW29">
        <f>COUNTIFS(Table20[Min],"&gt;="&amp;AU29,Table20[Min],"&lt;="&amp;AV29,Table20[Type],"=TIME")</f>
        <v>0</v>
      </c>
    </row>
    <row r="30" spans="5:49" x14ac:dyDescent="0.25">
      <c r="E30" t="s">
        <v>39</v>
      </c>
      <c r="F30">
        <v>0</v>
      </c>
      <c r="G30">
        <v>0</v>
      </c>
      <c r="H30" t="s">
        <v>8</v>
      </c>
      <c r="I30" s="74" t="str">
        <f ca="1">IF(Table7[[#This Row],[Type]]="KILL",IF(_xlfn.NUMBERVALUE(RIGHT(Table7[[#This Row],[Min]],LEN(Table7[[#This Row],[Min]])-FIND("-",Table7[[#This Row],[Min]])))&gt;INDIRECT(ADDRESS(11+MATCH(LEFT(Table7[[#This Row],[Min]],FIND("-",Table7[[#This Row],[Min]])-1),Table1[Content Sku],0),16,1,1,"Entities")),"review","ok"),"ok")</f>
        <v>ok</v>
      </c>
      <c r="K30" s="71">
        <f t="shared" si="3"/>
        <v>52501</v>
      </c>
      <c r="L30" s="71">
        <f t="shared" si="0"/>
        <v>55000</v>
      </c>
      <c r="M30">
        <f>COUNTIFS(Table7[Min],"&gt;="&amp;K30,Table7[Min],"&lt;="&amp;L30,Table7[Type],"=XP")</f>
        <v>3</v>
      </c>
      <c r="O30">
        <f t="shared" si="9"/>
        <v>631</v>
      </c>
      <c r="P30">
        <f t="shared" si="4"/>
        <v>660</v>
      </c>
      <c r="Q30">
        <f>COUNTIFS(Table7[Min],"&gt;="&amp;O30,Table7[Min],"&lt;="&amp;P30,Table7[Type],"=TIME")</f>
        <v>0</v>
      </c>
      <c r="U30" t="s">
        <v>392</v>
      </c>
      <c r="V30">
        <v>0</v>
      </c>
      <c r="W30">
        <v>0</v>
      </c>
      <c r="X30" t="s">
        <v>8</v>
      </c>
      <c r="Y30" s="74" t="str">
        <f ca="1">IF(Table15[[#This Row],[Type]]="KILL",IF(_xlfn.NUMBERVALUE(RIGHT(Table15[[#This Row],[Min]],LEN(Table15[[#This Row],[Min]])-FIND("-",Table15[[#This Row],[Min]])))&gt;INDIRECT(ADDRESS(11+MATCH(LEFT(Table15[[#This Row],[Min]],FIND("-",Table15[[#This Row],[Min]])-1),Table1[Content Sku],0),16,1,1,"Entities")),"review","ok"),"ok")</f>
        <v>ok</v>
      </c>
      <c r="AA30" s="71">
        <f t="shared" si="5"/>
        <v>52501</v>
      </c>
      <c r="AB30" s="71">
        <f t="shared" si="1"/>
        <v>55000</v>
      </c>
      <c r="AC30">
        <f>COUNTIFS(Table15[Min],"&gt;="&amp;AA30,Table15[Min],"&lt;="&amp;AB30,Table15[Type],"=XP")</f>
        <v>3</v>
      </c>
      <c r="AE30">
        <f t="shared" si="10"/>
        <v>631</v>
      </c>
      <c r="AF30">
        <f t="shared" si="6"/>
        <v>660</v>
      </c>
      <c r="AG30">
        <f>COUNTIFS(Table15[Min],"&gt;="&amp;AU30,Table15[Min],"&lt;="&amp;AV30,Table15[Type],"=TIME")</f>
        <v>0</v>
      </c>
      <c r="AK30" t="s">
        <v>553</v>
      </c>
      <c r="AL30">
        <v>0</v>
      </c>
      <c r="AM30">
        <v>0</v>
      </c>
      <c r="AN30" t="s">
        <v>8</v>
      </c>
      <c r="AO30" s="74" t="str">
        <f ca="1">IF(Table20[[#This Row],[Type]]="KILL",IF(_xlfn.NUMBERVALUE(RIGHT(Table20[[#This Row],[Min]],LEN(Table20[[#This Row],[Min]])-FIND("-",Table20[[#This Row],[Min]])))&gt;INDIRECT(ADDRESS(11+MATCH(LEFT(Table20[[#This Row],[Min]],FIND("-",Table20[[#This Row],[Min]])-1),Table1[Content Sku],0),18,1,1,"Entities")),"review","ok"),"ok")</f>
        <v>ok</v>
      </c>
      <c r="AQ30" s="71">
        <f t="shared" si="7"/>
        <v>52501</v>
      </c>
      <c r="AR30" s="71">
        <f t="shared" si="2"/>
        <v>55000</v>
      </c>
      <c r="AS30">
        <f>COUNTIFS(Table20[Min],"&gt;="&amp;AQ30,Table20[Min],"&lt;="&amp;AR30,Table20[Type],"=XP")</f>
        <v>1</v>
      </c>
      <c r="AU30">
        <f t="shared" si="11"/>
        <v>631</v>
      </c>
      <c r="AV30">
        <f t="shared" si="8"/>
        <v>660</v>
      </c>
      <c r="AW30">
        <f>COUNTIFS(Table20[Min],"&gt;="&amp;AU30,Table20[Min],"&lt;="&amp;AV30,Table20[Type],"=TIME")</f>
        <v>0</v>
      </c>
    </row>
    <row r="31" spans="5:49" x14ac:dyDescent="0.25">
      <c r="E31" t="s">
        <v>91</v>
      </c>
      <c r="F31">
        <v>0</v>
      </c>
      <c r="G31">
        <v>48000</v>
      </c>
      <c r="H31" t="s">
        <v>205</v>
      </c>
      <c r="I31" s="74" t="str">
        <f ca="1">IF(Table7[[#This Row],[Type]]="KILL",IF(_xlfn.NUMBERVALUE(RIGHT(Table7[[#This Row],[Min]],LEN(Table7[[#This Row],[Min]])-FIND("-",Table7[[#This Row],[Min]])))&gt;INDIRECT(ADDRESS(11+MATCH(LEFT(Table7[[#This Row],[Min]],FIND("-",Table7[[#This Row],[Min]])-1),Table1[Content Sku],0),16,1,1,"Entities")),"review","ok"),"ok")</f>
        <v>ok</v>
      </c>
      <c r="K31" s="71">
        <f t="shared" si="3"/>
        <v>55001</v>
      </c>
      <c r="L31" s="71">
        <f t="shared" si="0"/>
        <v>57500</v>
      </c>
      <c r="M31">
        <f>COUNTIFS(Table7[Min],"&gt;="&amp;K31,Table7[Min],"&lt;="&amp;L31,Table7[Type],"=XP")</f>
        <v>0</v>
      </c>
      <c r="O31">
        <f t="shared" si="9"/>
        <v>661</v>
      </c>
      <c r="P31">
        <f t="shared" si="4"/>
        <v>690</v>
      </c>
      <c r="Q31">
        <f>COUNTIFS(Table7[Min],"&gt;="&amp;O31,Table7[Min],"&lt;="&amp;P31,Table7[Type],"=TIME")</f>
        <v>0</v>
      </c>
      <c r="U31" t="s">
        <v>545</v>
      </c>
      <c r="V31">
        <v>0</v>
      </c>
      <c r="W31">
        <v>0</v>
      </c>
      <c r="X31" t="s">
        <v>8</v>
      </c>
      <c r="Y31" s="74" t="str">
        <f ca="1">IF(Table15[[#This Row],[Type]]="KILL",IF(_xlfn.NUMBERVALUE(RIGHT(Table15[[#This Row],[Min]],LEN(Table15[[#This Row],[Min]])-FIND("-",Table15[[#This Row],[Min]])))&gt;INDIRECT(ADDRESS(11+MATCH(LEFT(Table15[[#This Row],[Min]],FIND("-",Table15[[#This Row],[Min]])-1),Table1[Content Sku],0),16,1,1,"Entities")),"review","ok"),"ok")</f>
        <v>ok</v>
      </c>
      <c r="AA31" s="71">
        <f t="shared" si="5"/>
        <v>55001</v>
      </c>
      <c r="AB31" s="71">
        <f t="shared" si="1"/>
        <v>57500</v>
      </c>
      <c r="AC31">
        <f>COUNTIFS(Table15[Min],"&gt;="&amp;AA31,Table15[Min],"&lt;="&amp;AB31,Table15[Type],"=XP")</f>
        <v>2</v>
      </c>
      <c r="AE31">
        <f t="shared" si="10"/>
        <v>661</v>
      </c>
      <c r="AF31">
        <f t="shared" si="6"/>
        <v>690</v>
      </c>
      <c r="AG31">
        <f>COUNTIFS(Table15[Min],"&gt;="&amp;AU31,Table15[Min],"&lt;="&amp;AV31,Table15[Type],"=TIME")</f>
        <v>0</v>
      </c>
      <c r="AK31" t="s">
        <v>36</v>
      </c>
      <c r="AL31">
        <v>0</v>
      </c>
      <c r="AM31">
        <v>0</v>
      </c>
      <c r="AN31" t="s">
        <v>8</v>
      </c>
      <c r="AO31" s="74" t="str">
        <f ca="1">IF(Table20[[#This Row],[Type]]="KILL",IF(_xlfn.NUMBERVALUE(RIGHT(Table20[[#This Row],[Min]],LEN(Table20[[#This Row],[Min]])-FIND("-",Table20[[#This Row],[Min]])))&gt;INDIRECT(ADDRESS(11+MATCH(LEFT(Table20[[#This Row],[Min]],FIND("-",Table20[[#This Row],[Min]])-1),Table1[Content Sku],0),18,1,1,"Entities")),"review","ok"),"ok")</f>
        <v>ok</v>
      </c>
      <c r="AQ31" s="71">
        <f t="shared" si="7"/>
        <v>55001</v>
      </c>
      <c r="AR31" s="71">
        <f t="shared" si="2"/>
        <v>57500</v>
      </c>
      <c r="AS31">
        <f>COUNTIFS(Table20[Min],"&gt;="&amp;AQ31,Table20[Min],"&lt;="&amp;AR31,Table20[Type],"=XP")</f>
        <v>1</v>
      </c>
      <c r="AU31">
        <f t="shared" si="11"/>
        <v>661</v>
      </c>
      <c r="AV31">
        <f t="shared" si="8"/>
        <v>690</v>
      </c>
      <c r="AW31">
        <f>COUNTIFS(Table20[Min],"&gt;="&amp;AU31,Table20[Min],"&lt;="&amp;AV31,Table20[Type],"=TIME")</f>
        <v>0</v>
      </c>
    </row>
    <row r="32" spans="5:49" x14ac:dyDescent="0.25">
      <c r="E32" t="s">
        <v>313</v>
      </c>
      <c r="F32">
        <v>0</v>
      </c>
      <c r="G32">
        <v>0</v>
      </c>
      <c r="H32" t="s">
        <v>8</v>
      </c>
      <c r="I32" s="74" t="str">
        <f ca="1">IF(Table7[[#This Row],[Type]]="KILL",IF(_xlfn.NUMBERVALUE(RIGHT(Table7[[#This Row],[Min]],LEN(Table7[[#This Row],[Min]])-FIND("-",Table7[[#This Row],[Min]])))&gt;INDIRECT(ADDRESS(11+MATCH(LEFT(Table7[[#This Row],[Min]],FIND("-",Table7[[#This Row],[Min]])-1),Table1[Content Sku],0),16,1,1,"Entities")),"review","ok"),"ok")</f>
        <v>ok</v>
      </c>
      <c r="K32" s="71">
        <f t="shared" si="3"/>
        <v>57501</v>
      </c>
      <c r="L32" s="71">
        <f t="shared" si="0"/>
        <v>60000</v>
      </c>
      <c r="M32">
        <f>COUNTIFS(Table7[Min],"&gt;="&amp;K32,Table7[Min],"&lt;="&amp;L32,Table7[Type],"=XP")</f>
        <v>2</v>
      </c>
      <c r="O32">
        <f t="shared" si="9"/>
        <v>691</v>
      </c>
      <c r="P32">
        <f t="shared" si="4"/>
        <v>720</v>
      </c>
      <c r="Q32">
        <f>COUNTIFS(Table7[Min],"&gt;="&amp;O32,Table7[Min],"&lt;="&amp;P32,Table7[Type],"=TIME")</f>
        <v>0</v>
      </c>
      <c r="U32" t="s">
        <v>253</v>
      </c>
      <c r="V32">
        <v>0</v>
      </c>
      <c r="W32">
        <v>0</v>
      </c>
      <c r="X32" t="s">
        <v>8</v>
      </c>
      <c r="Y32" s="74" t="str">
        <f ca="1">IF(Table15[[#This Row],[Type]]="KILL",IF(_xlfn.NUMBERVALUE(RIGHT(Table15[[#This Row],[Min]],LEN(Table15[[#This Row],[Min]])-FIND("-",Table15[[#This Row],[Min]])))&gt;INDIRECT(ADDRESS(11+MATCH(LEFT(Table15[[#This Row],[Min]],FIND("-",Table15[[#This Row],[Min]])-1),Table1[Content Sku],0),16,1,1,"Entities")),"review","ok"),"ok")</f>
        <v>ok</v>
      </c>
      <c r="AA32" s="71">
        <f t="shared" si="5"/>
        <v>57501</v>
      </c>
      <c r="AB32" s="71">
        <f t="shared" si="1"/>
        <v>60000</v>
      </c>
      <c r="AC32">
        <f>COUNTIFS(Table15[Min],"&gt;="&amp;AA32,Table15[Min],"&lt;="&amp;AB32,Table15[Type],"=XP")</f>
        <v>8</v>
      </c>
      <c r="AE32">
        <f t="shared" si="10"/>
        <v>691</v>
      </c>
      <c r="AF32">
        <f t="shared" si="6"/>
        <v>720</v>
      </c>
      <c r="AG32">
        <f>COUNTIFS(Table15[Min],"&gt;="&amp;AU32,Table15[Min],"&lt;="&amp;AV32,Table15[Type],"=TIME")</f>
        <v>0</v>
      </c>
      <c r="AK32" t="s">
        <v>2662</v>
      </c>
      <c r="AL32">
        <v>0</v>
      </c>
      <c r="AM32">
        <v>0</v>
      </c>
      <c r="AN32" t="s">
        <v>8</v>
      </c>
      <c r="AO32" s="74" t="str">
        <f ca="1">IF(Table20[[#This Row],[Type]]="KILL",IF(_xlfn.NUMBERVALUE(RIGHT(Table20[[#This Row],[Min]],LEN(Table20[[#This Row],[Min]])-FIND("-",Table20[[#This Row],[Min]])))&gt;INDIRECT(ADDRESS(11+MATCH(LEFT(Table20[[#This Row],[Min]],FIND("-",Table20[[#This Row],[Min]])-1),Table1[Content Sku],0),18,1,1,"Entities")),"review","ok"),"ok")</f>
        <v>ok</v>
      </c>
      <c r="AQ32" s="71">
        <f t="shared" si="7"/>
        <v>57501</v>
      </c>
      <c r="AR32" s="71">
        <f t="shared" si="2"/>
        <v>60000</v>
      </c>
      <c r="AS32">
        <f>COUNTIFS(Table20[Min],"&gt;="&amp;AQ32,Table20[Min],"&lt;="&amp;AR32,Table20[Type],"=XP")</f>
        <v>2</v>
      </c>
      <c r="AU32">
        <f t="shared" si="11"/>
        <v>691</v>
      </c>
      <c r="AV32">
        <f t="shared" si="8"/>
        <v>720</v>
      </c>
      <c r="AW32">
        <f>COUNTIFS(Table20[Min],"&gt;="&amp;AU32,Table20[Min],"&lt;="&amp;AV32,Table20[Type],"=TIME")</f>
        <v>0</v>
      </c>
    </row>
    <row r="33" spans="5:49" x14ac:dyDescent="0.25">
      <c r="E33" t="s">
        <v>257</v>
      </c>
      <c r="F33">
        <v>0</v>
      </c>
      <c r="G33">
        <v>0</v>
      </c>
      <c r="H33" t="s">
        <v>8</v>
      </c>
      <c r="I33" s="74" t="str">
        <f ca="1">IF(Table7[[#This Row],[Type]]="KILL",IF(_xlfn.NUMBERVALUE(RIGHT(Table7[[#This Row],[Min]],LEN(Table7[[#This Row],[Min]])-FIND("-",Table7[[#This Row],[Min]])))&gt;INDIRECT(ADDRESS(11+MATCH(LEFT(Table7[[#This Row],[Min]],FIND("-",Table7[[#This Row],[Min]])-1),Table1[Content Sku],0),16,1,1,"Entities")),"review","ok"),"ok")</f>
        <v>ok</v>
      </c>
      <c r="K33" s="71">
        <f t="shared" si="3"/>
        <v>60001</v>
      </c>
      <c r="L33" s="71">
        <f t="shared" si="0"/>
        <v>62500</v>
      </c>
      <c r="M33">
        <f>COUNTIFS(Table7[Min],"&gt;="&amp;K33,Table7[Min],"&lt;="&amp;L33,Table7[Type],"=XP")</f>
        <v>0</v>
      </c>
      <c r="O33">
        <f t="shared" si="9"/>
        <v>721</v>
      </c>
      <c r="P33">
        <f t="shared" si="4"/>
        <v>750</v>
      </c>
      <c r="Q33">
        <f>COUNTIFS(Table7[Min],"&gt;="&amp;O33,Table7[Min],"&lt;="&amp;P33,Table7[Type],"=TIME")</f>
        <v>0</v>
      </c>
      <c r="U33" t="s">
        <v>545</v>
      </c>
      <c r="V33">
        <v>0</v>
      </c>
      <c r="W33">
        <v>0</v>
      </c>
      <c r="X33" t="s">
        <v>8</v>
      </c>
      <c r="Y33" s="74" t="str">
        <f ca="1">IF(Table15[[#This Row],[Type]]="KILL",IF(_xlfn.NUMBERVALUE(RIGHT(Table15[[#This Row],[Min]],LEN(Table15[[#This Row],[Min]])-FIND("-",Table15[[#This Row],[Min]])))&gt;INDIRECT(ADDRESS(11+MATCH(LEFT(Table15[[#This Row],[Min]],FIND("-",Table15[[#This Row],[Min]])-1),Table1[Content Sku],0),16,1,1,"Entities")),"review","ok"),"ok")</f>
        <v>ok</v>
      </c>
      <c r="AA33" s="71">
        <f t="shared" si="5"/>
        <v>60001</v>
      </c>
      <c r="AB33" s="71">
        <f t="shared" si="1"/>
        <v>62500</v>
      </c>
      <c r="AC33">
        <f>COUNTIFS(Table15[Min],"&gt;="&amp;AA33,Table15[Min],"&lt;="&amp;AB33,Table15[Type],"=XP")</f>
        <v>0</v>
      </c>
      <c r="AE33">
        <f t="shared" si="10"/>
        <v>721</v>
      </c>
      <c r="AF33">
        <f t="shared" si="6"/>
        <v>750</v>
      </c>
      <c r="AG33">
        <f>COUNTIFS(Table15[Min],"&gt;="&amp;AU33,Table15[Min],"&lt;="&amp;AV33,Table15[Type],"=TIME")</f>
        <v>0</v>
      </c>
      <c r="AK33" t="s">
        <v>2665</v>
      </c>
      <c r="AL33">
        <v>0</v>
      </c>
      <c r="AM33">
        <v>94000</v>
      </c>
      <c r="AN33" t="s">
        <v>205</v>
      </c>
      <c r="AO33" s="74" t="str">
        <f ca="1">IF(Table20[[#This Row],[Type]]="KILL",IF(_xlfn.NUMBERVALUE(RIGHT(Table20[[#This Row],[Min]],LEN(Table20[[#This Row],[Min]])-FIND("-",Table20[[#This Row],[Min]])))&gt;INDIRECT(ADDRESS(11+MATCH(LEFT(Table20[[#This Row],[Min]],FIND("-",Table20[[#This Row],[Min]])-1),Table1[Content Sku],0),18,1,1,"Entities")),"review","ok"),"ok")</f>
        <v>ok</v>
      </c>
      <c r="AQ33" s="71">
        <f t="shared" si="7"/>
        <v>60001</v>
      </c>
      <c r="AR33" s="71">
        <f t="shared" si="2"/>
        <v>62500</v>
      </c>
      <c r="AS33">
        <f>COUNTIFS(Table20[Min],"&gt;="&amp;AQ33,Table20[Min],"&lt;="&amp;AR33,Table20[Type],"=XP")</f>
        <v>1</v>
      </c>
      <c r="AU33">
        <f t="shared" si="11"/>
        <v>721</v>
      </c>
      <c r="AV33">
        <f t="shared" si="8"/>
        <v>750</v>
      </c>
      <c r="AW33">
        <f>COUNTIFS(Table20[Min],"&gt;="&amp;AU33,Table20[Min],"&lt;="&amp;AV33,Table20[Type],"=TIME")</f>
        <v>0</v>
      </c>
    </row>
    <row r="34" spans="5:49" x14ac:dyDescent="0.25">
      <c r="E34" t="s">
        <v>309</v>
      </c>
      <c r="F34">
        <v>0</v>
      </c>
      <c r="G34">
        <v>0</v>
      </c>
      <c r="H34" t="s">
        <v>8</v>
      </c>
      <c r="I34" s="74" t="str">
        <f ca="1">IF(Table7[[#This Row],[Type]]="KILL",IF(_xlfn.NUMBERVALUE(RIGHT(Table7[[#This Row],[Min]],LEN(Table7[[#This Row],[Min]])-FIND("-",Table7[[#This Row],[Min]])))&gt;INDIRECT(ADDRESS(11+MATCH(LEFT(Table7[[#This Row],[Min]],FIND("-",Table7[[#This Row],[Min]])-1),Table1[Content Sku],0),16,1,1,"Entities")),"review","ok"),"ok")</f>
        <v>ok</v>
      </c>
      <c r="K34" s="71">
        <f t="shared" si="3"/>
        <v>62501</v>
      </c>
      <c r="L34" s="71">
        <f t="shared" si="0"/>
        <v>65000</v>
      </c>
      <c r="M34">
        <f>COUNTIFS(Table7[Min],"&gt;="&amp;K34,Table7[Min],"&lt;="&amp;L34,Table7[Type],"=XP")</f>
        <v>1</v>
      </c>
      <c r="O34">
        <f t="shared" si="9"/>
        <v>751</v>
      </c>
      <c r="P34">
        <f t="shared" si="4"/>
        <v>780</v>
      </c>
      <c r="Q34">
        <f>COUNTIFS(Table7[Min],"&gt;="&amp;O34,Table7[Min],"&lt;="&amp;P34,Table7[Type],"=TIME")</f>
        <v>0</v>
      </c>
      <c r="T34" s="1"/>
      <c r="U34" t="s">
        <v>280</v>
      </c>
      <c r="V34">
        <v>0</v>
      </c>
      <c r="W34">
        <v>0</v>
      </c>
      <c r="X34" t="s">
        <v>8</v>
      </c>
      <c r="Y34" s="74" t="str">
        <f ca="1">IF(Table15[[#This Row],[Type]]="KILL",IF(_xlfn.NUMBERVALUE(RIGHT(Table15[[#This Row],[Min]],LEN(Table15[[#This Row],[Min]])-FIND("-",Table15[[#This Row],[Min]])))&gt;INDIRECT(ADDRESS(11+MATCH(LEFT(Table15[[#This Row],[Min]],FIND("-",Table15[[#This Row],[Min]])-1),Table1[Content Sku],0),16,1,1,"Entities")),"review","ok"),"ok")</f>
        <v>ok</v>
      </c>
      <c r="AA34" s="71">
        <f t="shared" si="5"/>
        <v>62501</v>
      </c>
      <c r="AB34" s="71">
        <f t="shared" si="1"/>
        <v>65000</v>
      </c>
      <c r="AC34">
        <f>COUNTIFS(Table15[Min],"&gt;="&amp;AA34,Table15[Min],"&lt;="&amp;AB34,Table15[Type],"=XP")</f>
        <v>1</v>
      </c>
      <c r="AE34">
        <f t="shared" si="10"/>
        <v>751</v>
      </c>
      <c r="AF34">
        <f t="shared" si="6"/>
        <v>780</v>
      </c>
      <c r="AG34">
        <f>COUNTIFS(Table15[Min],"&gt;="&amp;AU34,Table15[Min],"&lt;="&amp;AV34,Table15[Type],"=TIME")</f>
        <v>0</v>
      </c>
      <c r="AK34" t="s">
        <v>4430</v>
      </c>
      <c r="AL34">
        <v>0</v>
      </c>
      <c r="AM34">
        <v>0</v>
      </c>
      <c r="AN34" t="s">
        <v>8</v>
      </c>
      <c r="AO34" s="74" t="str">
        <f ca="1">IF(Table20[[#This Row],[Type]]="KILL",IF(_xlfn.NUMBERVALUE(RIGHT(Table20[[#This Row],[Min]],LEN(Table20[[#This Row],[Min]])-FIND("-",Table20[[#This Row],[Min]])))&gt;INDIRECT(ADDRESS(11+MATCH(LEFT(Table20[[#This Row],[Min]],FIND("-",Table20[[#This Row],[Min]])-1),Table1[Content Sku],0),18,1,1,"Entities")),"review","ok"),"ok")</f>
        <v>ok</v>
      </c>
      <c r="AQ34" s="71">
        <f t="shared" si="7"/>
        <v>62501</v>
      </c>
      <c r="AR34" s="71">
        <f t="shared" si="2"/>
        <v>65000</v>
      </c>
      <c r="AS34">
        <f>COUNTIFS(Table20[Min],"&gt;="&amp;AQ34,Table20[Min],"&lt;="&amp;AR34,Table20[Type],"=XP")</f>
        <v>1</v>
      </c>
      <c r="AU34">
        <f t="shared" si="11"/>
        <v>751</v>
      </c>
      <c r="AV34">
        <f t="shared" si="8"/>
        <v>780</v>
      </c>
      <c r="AW34">
        <f>COUNTIFS(Table20[Min],"&gt;="&amp;AU34,Table20[Min],"&lt;="&amp;AV34,Table20[Type],"=TIME")</f>
        <v>0</v>
      </c>
    </row>
    <row r="35" spans="5:49" x14ac:dyDescent="0.25">
      <c r="E35" t="s">
        <v>393</v>
      </c>
      <c r="F35">
        <v>0</v>
      </c>
      <c r="G35">
        <v>0</v>
      </c>
      <c r="H35" t="s">
        <v>8</v>
      </c>
      <c r="I35" s="74" t="str">
        <f ca="1">IF(Table7[[#This Row],[Type]]="KILL",IF(_xlfn.NUMBERVALUE(RIGHT(Table7[[#This Row],[Min]],LEN(Table7[[#This Row],[Min]])-FIND("-",Table7[[#This Row],[Min]])))&gt;INDIRECT(ADDRESS(11+MATCH(LEFT(Table7[[#This Row],[Min]],FIND("-",Table7[[#This Row],[Min]])-1),Table1[Content Sku],0),16,1,1,"Entities")),"review","ok"),"ok")</f>
        <v>ok</v>
      </c>
      <c r="K35" s="71">
        <f t="shared" si="3"/>
        <v>65001</v>
      </c>
      <c r="L35" s="71">
        <f t="shared" si="0"/>
        <v>67500</v>
      </c>
      <c r="M35">
        <f>COUNTIFS(Table7[Min],"&gt;="&amp;K35,Table7[Min],"&lt;="&amp;L35,Table7[Type],"=XP")</f>
        <v>1</v>
      </c>
      <c r="O35">
        <f t="shared" si="9"/>
        <v>781</v>
      </c>
      <c r="P35">
        <f t="shared" si="4"/>
        <v>810</v>
      </c>
      <c r="Q35">
        <f>COUNTIFS(Table7[Min],"&gt;="&amp;O35,Table7[Min],"&lt;="&amp;P35,Table7[Type],"=TIME")</f>
        <v>0</v>
      </c>
      <c r="U35" t="s">
        <v>2736</v>
      </c>
      <c r="V35">
        <v>0</v>
      </c>
      <c r="W35">
        <v>0</v>
      </c>
      <c r="X35" t="s">
        <v>8</v>
      </c>
      <c r="Y35" s="74" t="str">
        <f ca="1">IF(Table15[[#This Row],[Type]]="KILL",IF(_xlfn.NUMBERVALUE(RIGHT(Table15[[#This Row],[Min]],LEN(Table15[[#This Row],[Min]])-FIND("-",Table15[[#This Row],[Min]])))&gt;INDIRECT(ADDRESS(11+MATCH(LEFT(Table15[[#This Row],[Min]],FIND("-",Table15[[#This Row],[Min]])-1),Table1[Content Sku],0),16,1,1,"Entities")),"review","ok"),"ok")</f>
        <v>ok</v>
      </c>
      <c r="AA35" s="71">
        <f t="shared" si="5"/>
        <v>65001</v>
      </c>
      <c r="AB35" s="71">
        <f t="shared" si="1"/>
        <v>67500</v>
      </c>
      <c r="AC35">
        <f>COUNTIFS(Table15[Min],"&gt;="&amp;AA35,Table15[Min],"&lt;="&amp;AB35,Table15[Type],"=XP")</f>
        <v>0</v>
      </c>
      <c r="AE35">
        <f t="shared" si="10"/>
        <v>781</v>
      </c>
      <c r="AF35">
        <f t="shared" si="6"/>
        <v>810</v>
      </c>
      <c r="AG35">
        <f>COUNTIFS(Table15[Min],"&gt;="&amp;AU35,Table15[Min],"&lt;="&amp;AV35,Table15[Type],"=TIME")</f>
        <v>0</v>
      </c>
      <c r="AK35" t="s">
        <v>2741</v>
      </c>
      <c r="AL35">
        <v>0</v>
      </c>
      <c r="AM35">
        <v>0</v>
      </c>
      <c r="AN35" t="s">
        <v>8</v>
      </c>
      <c r="AO35" s="74" t="str">
        <f ca="1">IF(Table20[[#This Row],[Type]]="KILL",IF(_xlfn.NUMBERVALUE(RIGHT(Table20[[#This Row],[Min]],LEN(Table20[[#This Row],[Min]])-FIND("-",Table20[[#This Row],[Min]])))&gt;INDIRECT(ADDRESS(11+MATCH(LEFT(Table20[[#This Row],[Min]],FIND("-",Table20[[#This Row],[Min]])-1),Table1[Content Sku],0),18,1,1,"Entities")),"review","ok"),"ok")</f>
        <v>ok</v>
      </c>
      <c r="AQ35" s="71">
        <f t="shared" si="7"/>
        <v>65001</v>
      </c>
      <c r="AR35" s="71">
        <f t="shared" si="2"/>
        <v>67500</v>
      </c>
      <c r="AS35">
        <f>COUNTIFS(Table20[Min],"&gt;="&amp;AQ35,Table20[Min],"&lt;="&amp;AR35,Table20[Type],"=XP")</f>
        <v>1</v>
      </c>
      <c r="AU35">
        <f t="shared" si="11"/>
        <v>781</v>
      </c>
      <c r="AV35">
        <f t="shared" si="8"/>
        <v>810</v>
      </c>
      <c r="AW35">
        <f>COUNTIFS(Table20[Min],"&gt;="&amp;AU35,Table20[Min],"&lt;="&amp;AV35,Table20[Type],"=TIME")</f>
        <v>0</v>
      </c>
    </row>
    <row r="36" spans="5:49" x14ac:dyDescent="0.25">
      <c r="E36" t="s">
        <v>400</v>
      </c>
      <c r="F36">
        <v>0</v>
      </c>
      <c r="G36">
        <v>0</v>
      </c>
      <c r="H36" t="s">
        <v>8</v>
      </c>
      <c r="I36" s="74" t="str">
        <f ca="1">IF(Table7[[#This Row],[Type]]="KILL",IF(_xlfn.NUMBERVALUE(RIGHT(Table7[[#This Row],[Min]],LEN(Table7[[#This Row],[Min]])-FIND("-",Table7[[#This Row],[Min]])))&gt;INDIRECT(ADDRESS(11+MATCH(LEFT(Table7[[#This Row],[Min]],FIND("-",Table7[[#This Row],[Min]])-1),Table1[Content Sku],0),16,1,1,"Entities")),"review","ok"),"ok")</f>
        <v>ok</v>
      </c>
      <c r="K36" s="71">
        <f t="shared" si="3"/>
        <v>67501</v>
      </c>
      <c r="L36" s="71">
        <f t="shared" si="0"/>
        <v>70000</v>
      </c>
      <c r="M36">
        <f>COUNTIFS(Table7[Min],"&gt;="&amp;K36,Table7[Min],"&lt;="&amp;L36,Table7[Type],"=XP")</f>
        <v>0</v>
      </c>
      <c r="O36">
        <f t="shared" si="9"/>
        <v>811</v>
      </c>
      <c r="P36">
        <f t="shared" si="4"/>
        <v>840</v>
      </c>
      <c r="Q36">
        <f>COUNTIFS(Table7[Min],"&gt;="&amp;O36,Table7[Min],"&lt;="&amp;P36,Table7[Type],"=TIME")</f>
        <v>0</v>
      </c>
      <c r="U36" t="s">
        <v>21</v>
      </c>
      <c r="V36">
        <v>0</v>
      </c>
      <c r="W36">
        <v>46000</v>
      </c>
      <c r="X36" t="s">
        <v>205</v>
      </c>
      <c r="Y36" s="74" t="str">
        <f ca="1">IF(Table15[[#This Row],[Type]]="KILL",IF(_xlfn.NUMBERVALUE(RIGHT(Table15[[#This Row],[Min]],LEN(Table15[[#This Row],[Min]])-FIND("-",Table15[[#This Row],[Min]])))&gt;INDIRECT(ADDRESS(11+MATCH(LEFT(Table15[[#This Row],[Min]],FIND("-",Table15[[#This Row],[Min]])-1),Table1[Content Sku],0),16,1,1,"Entities")),"review","ok"),"ok")</f>
        <v>ok</v>
      </c>
      <c r="AA36" s="71">
        <f t="shared" si="5"/>
        <v>67501</v>
      </c>
      <c r="AB36" s="71">
        <f t="shared" si="1"/>
        <v>70000</v>
      </c>
      <c r="AC36">
        <f>COUNTIFS(Table15[Min],"&gt;="&amp;AA36,Table15[Min],"&lt;="&amp;AB36,Table15[Type],"=XP")</f>
        <v>2</v>
      </c>
      <c r="AE36">
        <f t="shared" si="10"/>
        <v>811</v>
      </c>
      <c r="AF36">
        <f t="shared" si="6"/>
        <v>840</v>
      </c>
      <c r="AG36">
        <f>COUNTIFS(Table15[Min],"&gt;="&amp;AU36,Table15[Min],"&lt;="&amp;AV36,Table15[Type],"=TIME")</f>
        <v>0</v>
      </c>
      <c r="AK36" t="s">
        <v>2666</v>
      </c>
      <c r="AL36">
        <v>0</v>
      </c>
      <c r="AM36">
        <v>40000</v>
      </c>
      <c r="AN36" t="s">
        <v>205</v>
      </c>
      <c r="AO36" s="74" t="str">
        <f ca="1">IF(Table20[[#This Row],[Type]]="KILL",IF(_xlfn.NUMBERVALUE(RIGHT(Table20[[#This Row],[Min]],LEN(Table20[[#This Row],[Min]])-FIND("-",Table20[[#This Row],[Min]])))&gt;INDIRECT(ADDRESS(11+MATCH(LEFT(Table20[[#This Row],[Min]],FIND("-",Table20[[#This Row],[Min]])-1),Table1[Content Sku],0),18,1,1,"Entities")),"review","ok"),"ok")</f>
        <v>ok</v>
      </c>
      <c r="AQ36" s="71">
        <f t="shared" si="7"/>
        <v>67501</v>
      </c>
      <c r="AR36" s="71">
        <f t="shared" si="2"/>
        <v>70000</v>
      </c>
      <c r="AS36">
        <f>COUNTIFS(Table20[Min],"&gt;="&amp;AQ36,Table20[Min],"&lt;="&amp;AR36,Table20[Type],"=XP")</f>
        <v>2</v>
      </c>
      <c r="AU36">
        <f t="shared" si="11"/>
        <v>811</v>
      </c>
      <c r="AV36">
        <f t="shared" si="8"/>
        <v>840</v>
      </c>
      <c r="AW36">
        <f>COUNTIFS(Table20[Min],"&gt;="&amp;AU36,Table20[Min],"&lt;="&amp;AV36,Table20[Type],"=TIME")</f>
        <v>0</v>
      </c>
    </row>
    <row r="37" spans="5:49" x14ac:dyDescent="0.25">
      <c r="E37" t="s">
        <v>315</v>
      </c>
      <c r="F37">
        <v>25000</v>
      </c>
      <c r="G37">
        <v>0</v>
      </c>
      <c r="H37" t="s">
        <v>205</v>
      </c>
      <c r="I37" s="74" t="str">
        <f ca="1">IF(Table7[[#This Row],[Type]]="KILL",IF(_xlfn.NUMBERVALUE(RIGHT(Table7[[#This Row],[Min]],LEN(Table7[[#This Row],[Min]])-FIND("-",Table7[[#This Row],[Min]])))&gt;INDIRECT(ADDRESS(11+MATCH(LEFT(Table7[[#This Row],[Min]],FIND("-",Table7[[#This Row],[Min]])-1),Table1[Content Sku],0),16,1,1,"Entities")),"review","ok"),"ok")</f>
        <v>ok</v>
      </c>
      <c r="K37" s="71">
        <f t="shared" si="3"/>
        <v>70001</v>
      </c>
      <c r="L37" s="71">
        <f t="shared" si="0"/>
        <v>72500</v>
      </c>
      <c r="M37">
        <f>COUNTIFS(Table7[Min],"&gt;="&amp;K37,Table7[Min],"&lt;="&amp;L37,Table7[Type],"=XP")</f>
        <v>0</v>
      </c>
      <c r="O37">
        <f t="shared" si="9"/>
        <v>841</v>
      </c>
      <c r="P37">
        <f t="shared" si="4"/>
        <v>870</v>
      </c>
      <c r="Q37">
        <f>COUNTIFS(Table7[Min],"&gt;="&amp;O37,Table7[Min],"&lt;="&amp;P37,Table7[Type],"=TIME")</f>
        <v>0</v>
      </c>
      <c r="U37" t="s">
        <v>313</v>
      </c>
      <c r="V37">
        <v>0</v>
      </c>
      <c r="W37">
        <v>0</v>
      </c>
      <c r="X37" t="s">
        <v>8</v>
      </c>
      <c r="Y37" s="74" t="str">
        <f ca="1">IF(Table15[[#This Row],[Type]]="KILL",IF(_xlfn.NUMBERVALUE(RIGHT(Table15[[#This Row],[Min]],LEN(Table15[[#This Row],[Min]])-FIND("-",Table15[[#This Row],[Min]])))&gt;INDIRECT(ADDRESS(11+MATCH(LEFT(Table15[[#This Row],[Min]],FIND("-",Table15[[#This Row],[Min]])-1),Table1[Content Sku],0),16,1,1,"Entities")),"review","ok"),"ok")</f>
        <v>ok</v>
      </c>
      <c r="AA37" s="71">
        <f t="shared" si="5"/>
        <v>70001</v>
      </c>
      <c r="AB37" s="71">
        <f t="shared" si="1"/>
        <v>72500</v>
      </c>
      <c r="AC37">
        <f>COUNTIFS(Table15[Min],"&gt;="&amp;AA37,Table15[Min],"&lt;="&amp;AB37,Table15[Type],"=XP")</f>
        <v>1</v>
      </c>
      <c r="AE37">
        <f t="shared" si="10"/>
        <v>841</v>
      </c>
      <c r="AF37">
        <f t="shared" si="6"/>
        <v>870</v>
      </c>
      <c r="AG37">
        <f>COUNTIFS(Table15[Min],"&gt;="&amp;AU37,Table15[Min],"&lt;="&amp;AV37,Table15[Type],"=TIME")</f>
        <v>0</v>
      </c>
      <c r="AK37" t="s">
        <v>40</v>
      </c>
      <c r="AL37">
        <v>0</v>
      </c>
      <c r="AM37">
        <v>28000</v>
      </c>
      <c r="AN37" t="s">
        <v>205</v>
      </c>
      <c r="AO37" s="74" t="str">
        <f ca="1">IF(Table20[[#This Row],[Type]]="KILL",IF(_xlfn.NUMBERVALUE(RIGHT(Table20[[#This Row],[Min]],LEN(Table20[[#This Row],[Min]])-FIND("-",Table20[[#This Row],[Min]])))&gt;INDIRECT(ADDRESS(11+MATCH(LEFT(Table20[[#This Row],[Min]],FIND("-",Table20[[#This Row],[Min]])-1),Table1[Content Sku],0),18,1,1,"Entities")),"review","ok"),"ok")</f>
        <v>ok</v>
      </c>
      <c r="AQ37" s="71">
        <f t="shared" si="7"/>
        <v>70001</v>
      </c>
      <c r="AR37" s="71">
        <f t="shared" si="2"/>
        <v>72500</v>
      </c>
      <c r="AS37">
        <f>COUNTIFS(Table20[Min],"&gt;="&amp;AQ37,Table20[Min],"&lt;="&amp;AR37,Table20[Type],"=XP")</f>
        <v>1</v>
      </c>
      <c r="AU37">
        <f t="shared" si="11"/>
        <v>841</v>
      </c>
      <c r="AV37">
        <f t="shared" si="8"/>
        <v>870</v>
      </c>
      <c r="AW37">
        <f>COUNTIFS(Table20[Min],"&gt;="&amp;AU37,Table20[Min],"&lt;="&amp;AV37,Table20[Type],"=TIME")</f>
        <v>0</v>
      </c>
    </row>
    <row r="38" spans="5:49" x14ac:dyDescent="0.25">
      <c r="E38" t="s">
        <v>44</v>
      </c>
      <c r="F38">
        <v>8000</v>
      </c>
      <c r="G38">
        <v>0</v>
      </c>
      <c r="H38" t="s">
        <v>205</v>
      </c>
      <c r="I38" s="74" t="str">
        <f ca="1">IF(Table7[[#This Row],[Type]]="KILL",IF(_xlfn.NUMBERVALUE(RIGHT(Table7[[#This Row],[Min]],LEN(Table7[[#This Row],[Min]])-FIND("-",Table7[[#This Row],[Min]])))&gt;INDIRECT(ADDRESS(11+MATCH(LEFT(Table7[[#This Row],[Min]],FIND("-",Table7[[#This Row],[Min]])-1),Table1[Content Sku],0),16,1,1,"Entities")),"review","ok"),"ok")</f>
        <v>ok</v>
      </c>
      <c r="K38" s="71">
        <f t="shared" si="3"/>
        <v>72501</v>
      </c>
      <c r="L38" s="71">
        <f t="shared" si="0"/>
        <v>75000</v>
      </c>
      <c r="M38">
        <f>COUNTIFS(Table7[Min],"&gt;="&amp;K38,Table7[Min],"&lt;="&amp;L38,Table7[Type],"=XP")</f>
        <v>1</v>
      </c>
      <c r="O38">
        <f t="shared" si="9"/>
        <v>871</v>
      </c>
      <c r="P38">
        <f t="shared" si="4"/>
        <v>900</v>
      </c>
      <c r="Q38">
        <f>COUNTIFS(Table7[Min],"&gt;="&amp;O38,Table7[Min],"&lt;="&amp;P38,Table7[Type],"=TIME")</f>
        <v>0</v>
      </c>
      <c r="U38" t="s">
        <v>460</v>
      </c>
      <c r="V38">
        <v>0</v>
      </c>
      <c r="W38">
        <v>0</v>
      </c>
      <c r="X38" t="s">
        <v>8</v>
      </c>
      <c r="Y38" s="74" t="str">
        <f ca="1">IF(Table15[[#This Row],[Type]]="KILL",IF(_xlfn.NUMBERVALUE(RIGHT(Table15[[#This Row],[Min]],LEN(Table15[[#This Row],[Min]])-FIND("-",Table15[[#This Row],[Min]])))&gt;INDIRECT(ADDRESS(11+MATCH(LEFT(Table15[[#This Row],[Min]],FIND("-",Table15[[#This Row],[Min]])-1),Table1[Content Sku],0),16,1,1,"Entities")),"review","ok"),"ok")</f>
        <v>ok</v>
      </c>
      <c r="AA38" s="71">
        <f t="shared" si="5"/>
        <v>72501</v>
      </c>
      <c r="AB38" s="71">
        <f t="shared" si="1"/>
        <v>75000</v>
      </c>
      <c r="AC38">
        <f>COUNTIFS(Table15[Min],"&gt;="&amp;AA38,Table15[Min],"&lt;="&amp;AB38,Table15[Type],"=XP")</f>
        <v>0</v>
      </c>
      <c r="AE38">
        <f t="shared" si="10"/>
        <v>871</v>
      </c>
      <c r="AF38">
        <f t="shared" si="6"/>
        <v>900</v>
      </c>
      <c r="AG38">
        <f>COUNTIFS(Table15[Min],"&gt;="&amp;AU38,Table15[Min],"&lt;="&amp;AV38,Table15[Type],"=TIME")</f>
        <v>0</v>
      </c>
      <c r="AK38" t="s">
        <v>398</v>
      </c>
      <c r="AL38">
        <v>0</v>
      </c>
      <c r="AM38">
        <v>0</v>
      </c>
      <c r="AN38" t="s">
        <v>8</v>
      </c>
      <c r="AO38" s="74" t="str">
        <f ca="1">IF(Table20[[#This Row],[Type]]="KILL",IF(_xlfn.NUMBERVALUE(RIGHT(Table20[[#This Row],[Min]],LEN(Table20[[#This Row],[Min]])-FIND("-",Table20[[#This Row],[Min]])))&gt;INDIRECT(ADDRESS(11+MATCH(LEFT(Table20[[#This Row],[Min]],FIND("-",Table20[[#This Row],[Min]])-1),Table1[Content Sku],0),18,1,1,"Entities")),"review","ok"),"ok")</f>
        <v>ok</v>
      </c>
      <c r="AQ38" s="71">
        <f t="shared" si="7"/>
        <v>72501</v>
      </c>
      <c r="AR38" s="71">
        <f t="shared" si="2"/>
        <v>75000</v>
      </c>
      <c r="AS38">
        <f>COUNTIFS(Table20[Min],"&gt;="&amp;AQ38,Table20[Min],"&lt;="&amp;AR38,Table20[Type],"=XP")</f>
        <v>1</v>
      </c>
      <c r="AU38">
        <f t="shared" si="11"/>
        <v>871</v>
      </c>
      <c r="AV38">
        <f t="shared" si="8"/>
        <v>900</v>
      </c>
      <c r="AW38">
        <f>COUNTIFS(Table20[Min],"&gt;="&amp;AU38,Table20[Min],"&lt;="&amp;AV38,Table20[Type],"=TIME")</f>
        <v>0</v>
      </c>
    </row>
    <row r="39" spans="5:49" x14ac:dyDescent="0.25">
      <c r="E39" t="s">
        <v>4430</v>
      </c>
      <c r="F39">
        <v>0</v>
      </c>
      <c r="G39">
        <v>0</v>
      </c>
      <c r="H39" t="s">
        <v>8</v>
      </c>
      <c r="I39" s="74" t="str">
        <f ca="1">IF(Table7[[#This Row],[Type]]="KILL",IF(_xlfn.NUMBERVALUE(RIGHT(Table7[[#This Row],[Min]],LEN(Table7[[#This Row],[Min]])-FIND("-",Table7[[#This Row],[Min]])))&gt;INDIRECT(ADDRESS(11+MATCH(LEFT(Table7[[#This Row],[Min]],FIND("-",Table7[[#This Row],[Min]])-1),Table1[Content Sku],0),16,1,1,"Entities")),"review","ok"),"ok")</f>
        <v>ok</v>
      </c>
      <c r="U39" t="s">
        <v>7991</v>
      </c>
      <c r="V39">
        <v>0</v>
      </c>
      <c r="W39">
        <v>0</v>
      </c>
      <c r="X39" t="s">
        <v>8</v>
      </c>
      <c r="Y39" s="74" t="str">
        <f ca="1">IF(Table15[[#This Row],[Type]]="KILL",IF(_xlfn.NUMBERVALUE(RIGHT(Table15[[#This Row],[Min]],LEN(Table15[[#This Row],[Min]])-FIND("-",Table15[[#This Row],[Min]])))&gt;INDIRECT(ADDRESS(11+MATCH(LEFT(Table15[[#This Row],[Min]],FIND("-",Table15[[#This Row],[Min]])-1),Table1[Content Sku],0),16,1,1,"Entities")),"review","ok"),"ok")</f>
        <v>ok</v>
      </c>
      <c r="AK39" t="s">
        <v>2673</v>
      </c>
      <c r="AL39">
        <v>0</v>
      </c>
      <c r="AM39">
        <v>78000</v>
      </c>
      <c r="AN39" t="s">
        <v>205</v>
      </c>
      <c r="AO39" s="74" t="str">
        <f ca="1">IF(Table20[[#This Row],[Type]]="KILL",IF(_xlfn.NUMBERVALUE(RIGHT(Table20[[#This Row],[Min]],LEN(Table20[[#This Row],[Min]])-FIND("-",Table20[[#This Row],[Min]])))&gt;INDIRECT(ADDRESS(11+MATCH(LEFT(Table20[[#This Row],[Min]],FIND("-",Table20[[#This Row],[Min]])-1),Table1[Content Sku],0),18,1,1,"Entities")),"review","ok"),"ok")</f>
        <v>ok</v>
      </c>
    </row>
    <row r="40" spans="5:49" x14ac:dyDescent="0.25">
      <c r="E40" t="s">
        <v>36</v>
      </c>
      <c r="F40">
        <v>0</v>
      </c>
      <c r="G40">
        <v>0</v>
      </c>
      <c r="H40" t="s">
        <v>8</v>
      </c>
      <c r="I40" s="74" t="str">
        <f ca="1">IF(Table7[[#This Row],[Type]]="KILL",IF(_xlfn.NUMBERVALUE(RIGHT(Table7[[#This Row],[Min]],LEN(Table7[[#This Row],[Min]])-FIND("-",Table7[[#This Row],[Min]])))&gt;INDIRECT(ADDRESS(11+MATCH(LEFT(Table7[[#This Row],[Min]],FIND("-",Table7[[#This Row],[Min]])-1),Table1[Content Sku],0),16,1,1,"Entities")),"review","ok"),"ok")</f>
        <v>ok</v>
      </c>
      <c r="J40" t="s">
        <v>2709</v>
      </c>
      <c r="U40" t="s">
        <v>122</v>
      </c>
      <c r="V40">
        <v>0</v>
      </c>
      <c r="W40">
        <v>0</v>
      </c>
      <c r="X40" t="s">
        <v>8</v>
      </c>
      <c r="Y40" s="74" t="str">
        <f ca="1">IF(Table15[[#This Row],[Type]]="KILL",IF(_xlfn.NUMBERVALUE(RIGHT(Table15[[#This Row],[Min]],LEN(Table15[[#This Row],[Min]])-FIND("-",Table15[[#This Row],[Min]])))&gt;INDIRECT(ADDRESS(11+MATCH(LEFT(Table15[[#This Row],[Min]],FIND("-",Table15[[#This Row],[Min]])-1),Table1[Content Sku],0),16,1,1,"Entities")),"review","ok"),"ok")</f>
        <v>ok</v>
      </c>
      <c r="Z40" s="91" t="s">
        <v>2709</v>
      </c>
      <c r="AK40" t="s">
        <v>398</v>
      </c>
      <c r="AL40">
        <v>0</v>
      </c>
      <c r="AM40">
        <v>0</v>
      </c>
      <c r="AN40" t="s">
        <v>8</v>
      </c>
      <c r="AO40" s="74" t="str">
        <f ca="1">IF(Table20[[#This Row],[Type]]="KILL",IF(_xlfn.NUMBERVALUE(RIGHT(Table20[[#This Row],[Min]],LEN(Table20[[#This Row],[Min]])-FIND("-",Table20[[#This Row],[Min]])))&gt;INDIRECT(ADDRESS(11+MATCH(LEFT(Table20[[#This Row],[Min]],FIND("-",Table20[[#This Row],[Min]])-1),Table1[Content Sku],0),18,1,1,"Entities")),"review","ok"),"ok")</f>
        <v>ok</v>
      </c>
      <c r="AP40" s="91" t="s">
        <v>2709</v>
      </c>
    </row>
    <row r="41" spans="5:49" x14ac:dyDescent="0.25">
      <c r="E41" t="s">
        <v>253</v>
      </c>
      <c r="F41">
        <v>0</v>
      </c>
      <c r="G41">
        <v>16000</v>
      </c>
      <c r="H41" t="s">
        <v>205</v>
      </c>
      <c r="I41" s="74" t="str">
        <f ca="1">IF(Table7[[#This Row],[Type]]="KILL",IF(_xlfn.NUMBERVALUE(RIGHT(Table7[[#This Row],[Min]],LEN(Table7[[#This Row],[Min]])-FIND("-",Table7[[#This Row],[Min]])))&gt;INDIRECT(ADDRESS(11+MATCH(LEFT(Table7[[#This Row],[Min]],FIND("-",Table7[[#This Row],[Min]])-1),Table1[Content Sku],0),16,1,1,"Entities")),"review","ok"),"ok")</f>
        <v>ok</v>
      </c>
      <c r="J41" t="s">
        <v>2711</v>
      </c>
      <c r="K41" t="s">
        <v>191</v>
      </c>
      <c r="L41" t="s">
        <v>2710</v>
      </c>
      <c r="N41" s="1" t="s">
        <v>2712</v>
      </c>
      <c r="O41" s="1">
        <f ca="1">SUM(Table34[COINS])</f>
        <v>319</v>
      </c>
      <c r="U41" t="s">
        <v>418</v>
      </c>
      <c r="V41">
        <v>0</v>
      </c>
      <c r="W41">
        <v>0</v>
      </c>
      <c r="X41" t="s">
        <v>8</v>
      </c>
      <c r="Y41" s="74" t="str">
        <f ca="1">IF(Table15[[#This Row],[Type]]="KILL",IF(_xlfn.NUMBERVALUE(RIGHT(Table15[[#This Row],[Min]],LEN(Table15[[#This Row],[Min]])-FIND("-",Table15[[#This Row],[Min]])))&gt;INDIRECT(ADDRESS(11+MATCH(LEFT(Table15[[#This Row],[Min]],FIND("-",Table15[[#This Row],[Min]])-1),Table1[Content Sku],0),16,1,1,"Entities")),"review","ok"),"ok")</f>
        <v>ok</v>
      </c>
      <c r="Z41" t="s">
        <v>2711</v>
      </c>
      <c r="AA41" t="s">
        <v>191</v>
      </c>
      <c r="AB41" t="s">
        <v>2710</v>
      </c>
      <c r="AD41" s="1" t="s">
        <v>2712</v>
      </c>
      <c r="AE41" s="1">
        <f ca="1">SUM(Table33[COINS])</f>
        <v>281</v>
      </c>
      <c r="AK41" t="s">
        <v>2741</v>
      </c>
      <c r="AL41">
        <v>0</v>
      </c>
      <c r="AM41">
        <v>0</v>
      </c>
      <c r="AN41" t="s">
        <v>8</v>
      </c>
      <c r="AO41" s="74" t="str">
        <f ca="1">IF(Table20[[#This Row],[Type]]="KILL",IF(_xlfn.NUMBERVALUE(RIGHT(Table20[[#This Row],[Min]],LEN(Table20[[#This Row],[Min]])-FIND("-",Table20[[#This Row],[Min]])))&gt;INDIRECT(ADDRESS(11+MATCH(LEFT(Table20[[#This Row],[Min]],FIND("-",Table20[[#This Row],[Min]])-1),Table1[Content Sku],0),18,1,1,"Entities")),"review","ok"),"ok")</f>
        <v>ok</v>
      </c>
      <c r="AP41" s="1" t="s">
        <v>2711</v>
      </c>
      <c r="AQ41" t="s">
        <v>191</v>
      </c>
      <c r="AR41" t="s">
        <v>2710</v>
      </c>
      <c r="AT41" s="1" t="s">
        <v>2712</v>
      </c>
      <c r="AU41" s="1">
        <f ca="1">SUM(Table32[COINS])</f>
        <v>422</v>
      </c>
    </row>
    <row r="42" spans="5:49" x14ac:dyDescent="0.25">
      <c r="E42" t="s">
        <v>278</v>
      </c>
      <c r="F42">
        <v>0</v>
      </c>
      <c r="G42">
        <v>0</v>
      </c>
      <c r="H42" t="s">
        <v>8</v>
      </c>
      <c r="I42" s="74" t="str">
        <f ca="1">IF(Table7[[#This Row],[Type]]="KILL",IF(_xlfn.NUMBERVALUE(RIGHT(Table7[[#This Row],[Min]],LEN(Table7[[#This Row],[Min]])-FIND("-",Table7[[#This Row],[Min]])))&gt;INDIRECT(ADDRESS(11+MATCH(LEFT(Table7[[#This Row],[Min]],FIND("-",Table7[[#This Row],[Min]])-1),Table1[Content Sku],0),16,1,1,"Entities")),"review","ok"),"ok")</f>
        <v>ok</v>
      </c>
      <c r="J42" t="s">
        <v>122</v>
      </c>
      <c r="K42">
        <v>1</v>
      </c>
      <c r="L42" s="74">
        <f ca="1">(INDIRECT(ADDRESS(2+(MATCH(Table34[[#This Row],[SPAWNER]],Table40[SPAWNER],0)),2,1,1,"DATA_SCENES_UNITY_2"))) * Table34[[#This Row],[QUANTITY]]</f>
        <v>3</v>
      </c>
      <c r="U42" t="s">
        <v>283</v>
      </c>
      <c r="V42">
        <v>46000</v>
      </c>
      <c r="W42">
        <v>0</v>
      </c>
      <c r="X42" t="s">
        <v>205</v>
      </c>
      <c r="Y42" s="74" t="str">
        <f ca="1">IF(Table15[[#This Row],[Type]]="KILL",IF(_xlfn.NUMBERVALUE(RIGHT(Table15[[#This Row],[Min]],LEN(Table15[[#This Row],[Min]])-FIND("-",Table15[[#This Row],[Min]])))&gt;INDIRECT(ADDRESS(11+MATCH(LEFT(Table15[[#This Row],[Min]],FIND("-",Table15[[#This Row],[Min]])-1),Table1[Content Sku],0),16,1,1,"Entities")),"review","ok"),"ok")</f>
        <v>ok</v>
      </c>
      <c r="Z42" t="s">
        <v>122</v>
      </c>
      <c r="AA42">
        <v>1</v>
      </c>
      <c r="AB42" s="74">
        <f ca="1">(INDIRECT(ADDRESS(2+(MATCH(Table33[[#This Row],[SPAWNER]],Table40[SPAWNER],0)),2,1,1,"DATA_SCENES_UNITY_2")))</f>
        <v>3</v>
      </c>
      <c r="AK42" t="s">
        <v>4428</v>
      </c>
      <c r="AL42">
        <v>0</v>
      </c>
      <c r="AM42">
        <v>0</v>
      </c>
      <c r="AN42" t="s">
        <v>8</v>
      </c>
      <c r="AO42" s="74" t="str">
        <f ca="1">IF(Table20[[#This Row],[Type]]="KILL",IF(_xlfn.NUMBERVALUE(RIGHT(Table20[[#This Row],[Min]],LEN(Table20[[#This Row],[Min]])-FIND("-",Table20[[#This Row],[Min]])))&gt;INDIRECT(ADDRESS(11+MATCH(LEFT(Table20[[#This Row],[Min]],FIND("-",Table20[[#This Row],[Min]])-1),Table1[Content Sku],0),18,1,1,"Entities")),"review","ok"),"ok")</f>
        <v>ok</v>
      </c>
      <c r="AP42" t="s">
        <v>548</v>
      </c>
      <c r="AQ42">
        <v>10</v>
      </c>
      <c r="AR42" s="74">
        <f ca="1">(INDIRECT(ADDRESS(2+(MATCH(Table32[[#This Row],[SPAWNER]],Table40[SPAWNER],0)),2,1,1,"DATA_SCENES_UNITY_2"))) * Table32[[#This Row],[QUANTITY]]</f>
        <v>20</v>
      </c>
    </row>
    <row r="43" spans="5:49" x14ac:dyDescent="0.25">
      <c r="E43" t="s">
        <v>47</v>
      </c>
      <c r="F43">
        <v>0</v>
      </c>
      <c r="G43">
        <v>0</v>
      </c>
      <c r="H43" t="s">
        <v>8</v>
      </c>
      <c r="I43" s="74" t="str">
        <f ca="1">IF(Table7[[#This Row],[Type]]="KILL",IF(_xlfn.NUMBERVALUE(RIGHT(Table7[[#This Row],[Min]],LEN(Table7[[#This Row],[Min]])-FIND("-",Table7[[#This Row],[Min]])))&gt;INDIRECT(ADDRESS(11+MATCH(LEFT(Table7[[#This Row],[Min]],FIND("-",Table7[[#This Row],[Min]])-1),Table1[Content Sku],0),16,1,1,"Entities")),"review","ok"),"ok")</f>
        <v>ok</v>
      </c>
      <c r="J43" t="s">
        <v>122</v>
      </c>
      <c r="K43">
        <v>1</v>
      </c>
      <c r="L43" s="74">
        <f ca="1">(INDIRECT(ADDRESS(2+(MATCH(Table34[[#This Row],[SPAWNER]],Table40[SPAWNER],0)),2,1,1,"DATA_SCENES_UNITY_2"))) * Table34[[#This Row],[QUANTITY]]</f>
        <v>3</v>
      </c>
      <c r="N43" t="s">
        <v>3836</v>
      </c>
      <c r="U43" t="s">
        <v>391</v>
      </c>
      <c r="V43">
        <v>0</v>
      </c>
      <c r="W43">
        <v>0</v>
      </c>
      <c r="X43" t="s">
        <v>8</v>
      </c>
      <c r="Y43" s="74" t="str">
        <f ca="1">IF(Table15[[#This Row],[Type]]="KILL",IF(_xlfn.NUMBERVALUE(RIGHT(Table15[[#This Row],[Min]],LEN(Table15[[#This Row],[Min]])-FIND("-",Table15[[#This Row],[Min]])))&gt;INDIRECT(ADDRESS(11+MATCH(LEFT(Table15[[#This Row],[Min]],FIND("-",Table15[[#This Row],[Min]])-1),Table1[Content Sku],0),16,1,1,"Entities")),"review","ok"),"ok")</f>
        <v>ok</v>
      </c>
      <c r="Z43" t="s">
        <v>122</v>
      </c>
      <c r="AA43">
        <v>1</v>
      </c>
      <c r="AB43" s="74">
        <f ca="1">(INDIRECT(ADDRESS(2+(MATCH(Table33[[#This Row],[SPAWNER]],Table40[SPAWNER],0)),2,1,1,"DATA_SCENES_UNITY_2")))</f>
        <v>3</v>
      </c>
      <c r="AD43" t="s">
        <v>3836</v>
      </c>
      <c r="AK43" t="s">
        <v>548</v>
      </c>
      <c r="AL43">
        <v>0</v>
      </c>
      <c r="AM43">
        <v>0</v>
      </c>
      <c r="AN43" t="s">
        <v>8</v>
      </c>
      <c r="AO43" s="74" t="str">
        <f ca="1">IF(Table20[[#This Row],[Type]]="KILL",IF(_xlfn.NUMBERVALUE(RIGHT(Table20[[#This Row],[Min]],LEN(Table20[[#This Row],[Min]])-FIND("-",Table20[[#This Row],[Min]])))&gt;INDIRECT(ADDRESS(11+MATCH(LEFT(Table20[[#This Row],[Min]],FIND("-",Table20[[#This Row],[Min]])-1),Table1[Content Sku],0),18,1,1,"Entities")),"review","ok"),"ok")</f>
        <v>ok</v>
      </c>
      <c r="AP43" t="s">
        <v>122</v>
      </c>
      <c r="AQ43">
        <v>1</v>
      </c>
      <c r="AR43" s="74">
        <f ca="1">(INDIRECT(ADDRESS(2+(MATCH(Table32[[#This Row],[SPAWNER]],Table40[SPAWNER],0)),2,1,1,"DATA_SCENES_UNITY_2"))) * Table32[[#This Row],[QUANTITY]]</f>
        <v>3</v>
      </c>
      <c r="AT43" t="s">
        <v>3836</v>
      </c>
    </row>
    <row r="44" spans="5:49" x14ac:dyDescent="0.25">
      <c r="E44" t="s">
        <v>48</v>
      </c>
      <c r="F44">
        <v>0</v>
      </c>
      <c r="G44">
        <v>0</v>
      </c>
      <c r="H44" t="s">
        <v>8</v>
      </c>
      <c r="I44" s="74" t="str">
        <f ca="1">IF(Table7[[#This Row],[Type]]="KILL",IF(_xlfn.NUMBERVALUE(RIGHT(Table7[[#This Row],[Min]],LEN(Table7[[#This Row],[Min]])-FIND("-",Table7[[#This Row],[Min]])))&gt;INDIRECT(ADDRESS(11+MATCH(LEFT(Table7[[#This Row],[Min]],FIND("-",Table7[[#This Row],[Min]])-1),Table1[Content Sku],0),16,1,1,"Entities")),"review","ok"),"ok")</f>
        <v>ok</v>
      </c>
      <c r="J44" t="s">
        <v>122</v>
      </c>
      <c r="K44">
        <v>1</v>
      </c>
      <c r="L44" s="74">
        <f ca="1">(INDIRECT(ADDRESS(2+(MATCH(Table34[[#This Row],[SPAWNER]],Table40[SPAWNER],0)),2,1,1,"DATA_SCENES_UNITY_2"))) * Table34[[#This Row],[QUANTITY]]</f>
        <v>3</v>
      </c>
      <c r="N44" s="1" t="s">
        <v>3835</v>
      </c>
      <c r="O44" s="1">
        <v>42</v>
      </c>
      <c r="U44" t="s">
        <v>460</v>
      </c>
      <c r="V44">
        <v>0</v>
      </c>
      <c r="W44">
        <v>0</v>
      </c>
      <c r="X44" t="s">
        <v>8</v>
      </c>
      <c r="Y44" s="74" t="str">
        <f ca="1">IF(Table15[[#This Row],[Type]]="KILL",IF(_xlfn.NUMBERVALUE(RIGHT(Table15[[#This Row],[Min]],LEN(Table15[[#This Row],[Min]])-FIND("-",Table15[[#This Row],[Min]])))&gt;INDIRECT(ADDRESS(11+MATCH(LEFT(Table15[[#This Row],[Min]],FIND("-",Table15[[#This Row],[Min]])-1),Table1[Content Sku],0),16,1,1,"Entities")),"review","ok"),"ok")</f>
        <v>ok</v>
      </c>
      <c r="Z44" t="s">
        <v>2768</v>
      </c>
      <c r="AA44">
        <v>1</v>
      </c>
      <c r="AB44" s="74">
        <f ca="1">(INDIRECT(ADDRESS(2+(MATCH(Table33[[#This Row],[SPAWNER]],Table40[SPAWNER],0)),2,1,1,"DATA_SCENES_UNITY_2")))</f>
        <v>1</v>
      </c>
      <c r="AD44" s="1" t="s">
        <v>3835</v>
      </c>
      <c r="AE44" s="1">
        <v>20</v>
      </c>
      <c r="AK44" t="s">
        <v>553</v>
      </c>
      <c r="AL44">
        <v>0</v>
      </c>
      <c r="AM44">
        <v>0</v>
      </c>
      <c r="AN44" t="s">
        <v>8</v>
      </c>
      <c r="AO44" s="74" t="str">
        <f ca="1">IF(Table20[[#This Row],[Type]]="KILL",IF(_xlfn.NUMBERVALUE(RIGHT(Table20[[#This Row],[Min]],LEN(Table20[[#This Row],[Min]])-FIND("-",Table20[[#This Row],[Min]])))&gt;INDIRECT(ADDRESS(11+MATCH(LEFT(Table20[[#This Row],[Min]],FIND("-",Table20[[#This Row],[Min]])-1),Table1[Content Sku],0),18,1,1,"Entities")),"review","ok"),"ok")</f>
        <v>ok</v>
      </c>
      <c r="AP44" t="s">
        <v>2768</v>
      </c>
      <c r="AQ44">
        <v>1</v>
      </c>
      <c r="AR44" s="74">
        <f ca="1">(INDIRECT(ADDRESS(2+(MATCH(Table32[[#This Row],[SPAWNER]],Table40[SPAWNER],0)),2,1,1,"DATA_SCENES_UNITY_2"))) * Table32[[#This Row],[QUANTITY]]</f>
        <v>1</v>
      </c>
      <c r="AT44" s="1" t="s">
        <v>3835</v>
      </c>
      <c r="AU44" s="1">
        <v>27</v>
      </c>
    </row>
    <row r="45" spans="5:49" x14ac:dyDescent="0.25">
      <c r="E45" t="s">
        <v>36</v>
      </c>
      <c r="F45">
        <v>0</v>
      </c>
      <c r="G45">
        <v>0</v>
      </c>
      <c r="H45" t="s">
        <v>8</v>
      </c>
      <c r="I45" s="74" t="str">
        <f ca="1">IF(Table7[[#This Row],[Type]]="KILL",IF(_xlfn.NUMBERVALUE(RIGHT(Table7[[#This Row],[Min]],LEN(Table7[[#This Row],[Min]])-FIND("-",Table7[[#This Row],[Min]])))&gt;INDIRECT(ADDRESS(11+MATCH(LEFT(Table7[[#This Row],[Min]],FIND("-",Table7[[#This Row],[Min]])-1),Table1[Content Sku],0),16,1,1,"Entities")),"review","ok"),"ok")</f>
        <v>ok</v>
      </c>
      <c r="J45" t="s">
        <v>548</v>
      </c>
      <c r="K45">
        <v>2</v>
      </c>
      <c r="L45" s="74">
        <f ca="1">(INDIRECT(ADDRESS(2+(MATCH(Table34[[#This Row],[SPAWNER]],Table40[SPAWNER],0)),2,1,1,"DATA_SCENES_UNITY_2"))) * Table34[[#This Row],[QUANTITY]]</f>
        <v>4</v>
      </c>
      <c r="U45" t="s">
        <v>313</v>
      </c>
      <c r="V45">
        <v>0</v>
      </c>
      <c r="W45">
        <v>0</v>
      </c>
      <c r="X45" t="s">
        <v>8</v>
      </c>
      <c r="Y45" s="74" t="str">
        <f ca="1">IF(Table15[[#This Row],[Type]]="KILL",IF(_xlfn.NUMBERVALUE(RIGHT(Table15[[#This Row],[Min]],LEN(Table15[[#This Row],[Min]])-FIND("-",Table15[[#This Row],[Min]])))&gt;INDIRECT(ADDRESS(11+MATCH(LEFT(Table15[[#This Row],[Min]],FIND("-",Table15[[#This Row],[Min]])-1),Table1[Content Sku],0),16,1,1,"Entities")),"review","ok"),"ok")</f>
        <v>ok</v>
      </c>
      <c r="Z45" t="s">
        <v>122</v>
      </c>
      <c r="AA45">
        <v>1</v>
      </c>
      <c r="AB45" s="74">
        <f ca="1">(INDIRECT(ADDRESS(2+(MATCH(Table33[[#This Row],[SPAWNER]],Table40[SPAWNER],0)),2,1,1,"DATA_SCENES_UNITY_2")))</f>
        <v>3</v>
      </c>
      <c r="AK45" t="s">
        <v>2667</v>
      </c>
      <c r="AL45">
        <v>0</v>
      </c>
      <c r="AM45">
        <v>0</v>
      </c>
      <c r="AN45" t="s">
        <v>8</v>
      </c>
      <c r="AO45" s="74" t="str">
        <f ca="1">IF(Table20[[#This Row],[Type]]="KILL",IF(_xlfn.NUMBERVALUE(RIGHT(Table20[[#This Row],[Min]],LEN(Table20[[#This Row],[Min]])-FIND("-",Table20[[#This Row],[Min]])))&gt;INDIRECT(ADDRESS(11+MATCH(LEFT(Table20[[#This Row],[Min]],FIND("-",Table20[[#This Row],[Min]])-1),Table1[Content Sku],0),18,1,1,"Entities")),"review","ok"),"ok")</f>
        <v>ok</v>
      </c>
      <c r="AP45" t="s">
        <v>548</v>
      </c>
      <c r="AQ45">
        <v>20</v>
      </c>
      <c r="AR45" s="74">
        <f ca="1">(INDIRECT(ADDRESS(2+(MATCH(Table32[[#This Row],[SPAWNER]],Table40[SPAWNER],0)),2,1,1,"DATA_SCENES_UNITY_2"))) * Table32[[#This Row],[QUANTITY]]</f>
        <v>40</v>
      </c>
    </row>
    <row r="46" spans="5:49" x14ac:dyDescent="0.25">
      <c r="E46" t="s">
        <v>21</v>
      </c>
      <c r="F46">
        <v>66000</v>
      </c>
      <c r="G46">
        <v>0</v>
      </c>
      <c r="H46" t="s">
        <v>205</v>
      </c>
      <c r="I46" s="74" t="str">
        <f ca="1">IF(Table7[[#This Row],[Type]]="KILL",IF(_xlfn.NUMBERVALUE(RIGHT(Table7[[#This Row],[Min]],LEN(Table7[[#This Row],[Min]])-FIND("-",Table7[[#This Row],[Min]])))&gt;INDIRECT(ADDRESS(11+MATCH(LEFT(Table7[[#This Row],[Min]],FIND("-",Table7[[#This Row],[Min]])-1),Table1[Content Sku],0),16,1,1,"Entities")),"review","ok"),"ok")</f>
        <v>ok</v>
      </c>
      <c r="J46" t="s">
        <v>548</v>
      </c>
      <c r="K46">
        <v>3</v>
      </c>
      <c r="L46" s="74">
        <f ca="1">(INDIRECT(ADDRESS(2+(MATCH(Table34[[#This Row],[SPAWNER]],Table40[SPAWNER],0)),2,1,1,"DATA_SCENES_UNITY_2"))) * Table34[[#This Row],[QUANTITY]]</f>
        <v>6</v>
      </c>
      <c r="U46" t="s">
        <v>8133</v>
      </c>
      <c r="V46">
        <v>0</v>
      </c>
      <c r="W46">
        <v>0</v>
      </c>
      <c r="X46" t="s">
        <v>8</v>
      </c>
      <c r="Y46" s="74" t="str">
        <f ca="1">IF(Table15[[#This Row],[Type]]="KILL",IF(_xlfn.NUMBERVALUE(RIGHT(Table15[[#This Row],[Min]],LEN(Table15[[#This Row],[Min]])-FIND("-",Table15[[#This Row],[Min]])))&gt;INDIRECT(ADDRESS(11+MATCH(LEFT(Table15[[#This Row],[Min]],FIND("-",Table15[[#This Row],[Min]])-1),Table1[Content Sku],0),16,1,1,"Entities")),"review","ok"),"ok")</f>
        <v>ok</v>
      </c>
      <c r="Z46" t="s">
        <v>548</v>
      </c>
      <c r="AA46">
        <v>1</v>
      </c>
      <c r="AB46" s="74">
        <f ca="1">(INDIRECT(ADDRESS(2+(MATCH(Table33[[#This Row],[SPAWNER]],Table40[SPAWNER],0)),2,1,1,"DATA_SCENES_UNITY_2")))</f>
        <v>2</v>
      </c>
      <c r="AK46" t="s">
        <v>548</v>
      </c>
      <c r="AL46">
        <v>0</v>
      </c>
      <c r="AM46">
        <v>0</v>
      </c>
      <c r="AN46" t="s">
        <v>8</v>
      </c>
      <c r="AO46" s="74" t="str">
        <f ca="1">IF(Table20[[#This Row],[Type]]="KILL",IF(_xlfn.NUMBERVALUE(RIGHT(Table20[[#This Row],[Min]],LEN(Table20[[#This Row],[Min]])-FIND("-",Table20[[#This Row],[Min]])))&gt;INDIRECT(ADDRESS(11+MATCH(LEFT(Table20[[#This Row],[Min]],FIND("-",Table20[[#This Row],[Min]])-1),Table1[Content Sku],0),18,1,1,"Entities")),"review","ok"),"ok")</f>
        <v>ok</v>
      </c>
      <c r="AP46" t="s">
        <v>548</v>
      </c>
      <c r="AQ46">
        <v>5</v>
      </c>
      <c r="AR46" s="74">
        <f ca="1">(INDIRECT(ADDRESS(2+(MATCH(Table32[[#This Row],[SPAWNER]],Table40[SPAWNER],0)),2,1,1,"DATA_SCENES_UNITY_2"))) * Table32[[#This Row],[QUANTITY]]</f>
        <v>10</v>
      </c>
    </row>
    <row r="47" spans="5:49" x14ac:dyDescent="0.25">
      <c r="E47" t="s">
        <v>258</v>
      </c>
      <c r="F47">
        <v>29000</v>
      </c>
      <c r="G47">
        <v>0</v>
      </c>
      <c r="H47" t="s">
        <v>205</v>
      </c>
      <c r="I47" s="74" t="str">
        <f ca="1">IF(Table7[[#This Row],[Type]]="KILL",IF(_xlfn.NUMBERVALUE(RIGHT(Table7[[#This Row],[Min]],LEN(Table7[[#This Row],[Min]])-FIND("-",Table7[[#This Row],[Min]])))&gt;INDIRECT(ADDRESS(11+MATCH(LEFT(Table7[[#This Row],[Min]],FIND("-",Table7[[#This Row],[Min]])-1),Table1[Content Sku],0),16,1,1,"Entities")),"review","ok"),"ok")</f>
        <v>ok</v>
      </c>
      <c r="J47" t="s">
        <v>122</v>
      </c>
      <c r="K47">
        <v>1</v>
      </c>
      <c r="L47" s="74">
        <f ca="1">(INDIRECT(ADDRESS(2+(MATCH(Table34[[#This Row],[SPAWNER]],Table40[SPAWNER],0)),2,1,1,"DATA_SCENES_UNITY_2"))) * Table34[[#This Row],[QUANTITY]]</f>
        <v>3</v>
      </c>
      <c r="U47" t="s">
        <v>313</v>
      </c>
      <c r="V47">
        <v>25000</v>
      </c>
      <c r="W47">
        <v>0</v>
      </c>
      <c r="X47" t="s">
        <v>205</v>
      </c>
      <c r="Y47" s="74" t="str">
        <f ca="1">IF(Table15[[#This Row],[Type]]="KILL",IF(_xlfn.NUMBERVALUE(RIGHT(Table15[[#This Row],[Min]],LEN(Table15[[#This Row],[Min]])-FIND("-",Table15[[#This Row],[Min]])))&gt;INDIRECT(ADDRESS(11+MATCH(LEFT(Table15[[#This Row],[Min]],FIND("-",Table15[[#This Row],[Min]])-1),Table1[Content Sku],0),16,1,1,"Entities")),"review","ok"),"ok")</f>
        <v>ok</v>
      </c>
      <c r="Z47" t="s">
        <v>548</v>
      </c>
      <c r="AA47">
        <v>4</v>
      </c>
      <c r="AB47" s="74">
        <f ca="1">(INDIRECT(ADDRESS(2+(MATCH(Table33[[#This Row],[SPAWNER]],Table40[SPAWNER],0)),2,1,1,"DATA_SCENES_UNITY_2")))</f>
        <v>2</v>
      </c>
      <c r="AK47" t="s">
        <v>2675</v>
      </c>
      <c r="AL47">
        <v>0</v>
      </c>
      <c r="AM47">
        <v>0</v>
      </c>
      <c r="AN47" t="s">
        <v>8</v>
      </c>
      <c r="AO47" s="74" t="str">
        <f ca="1">IF(Table20[[#This Row],[Type]]="KILL",IF(_xlfn.NUMBERVALUE(RIGHT(Table20[[#This Row],[Min]],LEN(Table20[[#This Row],[Min]])-FIND("-",Table20[[#This Row],[Min]])))&gt;INDIRECT(ADDRESS(11+MATCH(LEFT(Table20[[#This Row],[Min]],FIND("-",Table20[[#This Row],[Min]])-1),Table1[Content Sku],0),18,1,1,"Entities")),"review","ok"),"ok")</f>
        <v>ok</v>
      </c>
      <c r="AP47" t="s">
        <v>548</v>
      </c>
      <c r="AQ47">
        <v>3</v>
      </c>
      <c r="AR47" s="74">
        <f ca="1">(INDIRECT(ADDRESS(2+(MATCH(Table32[[#This Row],[SPAWNER]],Table40[SPAWNER],0)),2,1,1,"DATA_SCENES_UNITY_2"))) * Table32[[#This Row],[QUANTITY]]</f>
        <v>6</v>
      </c>
    </row>
    <row r="48" spans="5:49" x14ac:dyDescent="0.25">
      <c r="E48" t="s">
        <v>289</v>
      </c>
      <c r="F48">
        <v>0</v>
      </c>
      <c r="G48">
        <v>24000</v>
      </c>
      <c r="H48" t="s">
        <v>205</v>
      </c>
      <c r="I48" s="74" t="str">
        <f ca="1">IF(Table7[[#This Row],[Type]]="KILL",IF(_xlfn.NUMBERVALUE(RIGHT(Table7[[#This Row],[Min]],LEN(Table7[[#This Row],[Min]])-FIND("-",Table7[[#This Row],[Min]])))&gt;INDIRECT(ADDRESS(11+MATCH(LEFT(Table7[[#This Row],[Min]],FIND("-",Table7[[#This Row],[Min]])-1),Table1[Content Sku],0),16,1,1,"Entities")),"review","ok"),"ok")</f>
        <v>ok</v>
      </c>
      <c r="J48" t="s">
        <v>122</v>
      </c>
      <c r="K48">
        <v>1</v>
      </c>
      <c r="L48" s="74">
        <f ca="1">(INDIRECT(ADDRESS(2+(MATCH(Table34[[#This Row],[SPAWNER]],Table40[SPAWNER],0)),2,1,1,"DATA_SCENES_UNITY_2"))) * Table34[[#This Row],[QUANTITY]]</f>
        <v>3</v>
      </c>
      <c r="U48" t="s">
        <v>545</v>
      </c>
      <c r="V48">
        <v>0</v>
      </c>
      <c r="W48">
        <v>0</v>
      </c>
      <c r="X48" t="s">
        <v>8</v>
      </c>
      <c r="Y48" s="74" t="str">
        <f ca="1">IF(Table15[[#This Row],[Type]]="KILL",IF(_xlfn.NUMBERVALUE(RIGHT(Table15[[#This Row],[Min]],LEN(Table15[[#This Row],[Min]])-FIND("-",Table15[[#This Row],[Min]])))&gt;INDIRECT(ADDRESS(11+MATCH(LEFT(Table15[[#This Row],[Min]],FIND("-",Table15[[#This Row],[Min]])-1),Table1[Content Sku],0),16,1,1,"Entities")),"review","ok"),"ok")</f>
        <v>ok</v>
      </c>
      <c r="Z48" t="s">
        <v>2768</v>
      </c>
      <c r="AA48">
        <v>1</v>
      </c>
      <c r="AB48" s="74">
        <f ca="1">(INDIRECT(ADDRESS(2+(MATCH(Table33[[#This Row],[SPAWNER]],Table40[SPAWNER],0)),2,1,1,"DATA_SCENES_UNITY_2")))</f>
        <v>1</v>
      </c>
      <c r="AK48" t="s">
        <v>578</v>
      </c>
      <c r="AL48">
        <v>0</v>
      </c>
      <c r="AM48">
        <v>0</v>
      </c>
      <c r="AN48" t="s">
        <v>8</v>
      </c>
      <c r="AO48" s="74" t="str">
        <f ca="1">IF(Table20[[#This Row],[Type]]="KILL",IF(_xlfn.NUMBERVALUE(RIGHT(Table20[[#This Row],[Min]],LEN(Table20[[#This Row],[Min]])-FIND("-",Table20[[#This Row],[Min]])))&gt;INDIRECT(ADDRESS(11+MATCH(LEFT(Table20[[#This Row],[Min]],FIND("-",Table20[[#This Row],[Min]])-1),Table1[Content Sku],0),18,1,1,"Entities")),"review","ok"),"ok")</f>
        <v>ok</v>
      </c>
      <c r="AP48" t="s">
        <v>548</v>
      </c>
      <c r="AQ48">
        <v>1</v>
      </c>
      <c r="AR48" s="74">
        <f ca="1">(INDIRECT(ADDRESS(2+(MATCH(Table32[[#This Row],[SPAWNER]],Table40[SPAWNER],0)),2,1,1,"DATA_SCENES_UNITY_2"))) * Table32[[#This Row],[QUANTITY]]</f>
        <v>2</v>
      </c>
    </row>
    <row r="49" spans="5:44" x14ac:dyDescent="0.25">
      <c r="E49" t="s">
        <v>254</v>
      </c>
      <c r="F49">
        <v>0</v>
      </c>
      <c r="G49">
        <v>17000</v>
      </c>
      <c r="H49" t="s">
        <v>205</v>
      </c>
      <c r="I49" s="74" t="str">
        <f ca="1">IF(Table7[[#This Row],[Type]]="KILL",IF(_xlfn.NUMBERVALUE(RIGHT(Table7[[#This Row],[Min]],LEN(Table7[[#This Row],[Min]])-FIND("-",Table7[[#This Row],[Min]])))&gt;INDIRECT(ADDRESS(11+MATCH(LEFT(Table7[[#This Row],[Min]],FIND("-",Table7[[#This Row],[Min]])-1),Table1[Content Sku],0),16,1,1,"Entities")),"review","ok"),"ok")</f>
        <v>ok</v>
      </c>
      <c r="J49" t="s">
        <v>548</v>
      </c>
      <c r="K49">
        <v>2</v>
      </c>
      <c r="L49" s="74">
        <f ca="1">(INDIRECT(ADDRESS(2+(MATCH(Table34[[#This Row],[SPAWNER]],Table40[SPAWNER],0)),2,1,1,"DATA_SCENES_UNITY_2"))) * Table34[[#This Row],[QUANTITY]]</f>
        <v>4</v>
      </c>
      <c r="U49" t="s">
        <v>548</v>
      </c>
      <c r="V49">
        <v>0</v>
      </c>
      <c r="W49">
        <v>0</v>
      </c>
      <c r="X49" t="s">
        <v>8</v>
      </c>
      <c r="Y49" s="74" t="str">
        <f ca="1">IF(Table15[[#This Row],[Type]]="KILL",IF(_xlfn.NUMBERVALUE(RIGHT(Table15[[#This Row],[Min]],LEN(Table15[[#This Row],[Min]])-FIND("-",Table15[[#This Row],[Min]])))&gt;INDIRECT(ADDRESS(11+MATCH(LEFT(Table15[[#This Row],[Min]],FIND("-",Table15[[#This Row],[Min]])-1),Table1[Content Sku],0),16,1,1,"Entities")),"review","ok"),"ok")</f>
        <v>ok</v>
      </c>
      <c r="Z49" t="s">
        <v>122</v>
      </c>
      <c r="AA49">
        <v>1</v>
      </c>
      <c r="AB49" s="74">
        <f ca="1">(INDIRECT(ADDRESS(2+(MATCH(Table33[[#This Row],[SPAWNER]],Table40[SPAWNER],0)),2,1,1,"DATA_SCENES_UNITY_2")))</f>
        <v>3</v>
      </c>
      <c r="AK49" t="s">
        <v>50</v>
      </c>
      <c r="AL49">
        <v>240</v>
      </c>
      <c r="AM49">
        <v>0</v>
      </c>
      <c r="AN49" t="s">
        <v>4431</v>
      </c>
      <c r="AO49" s="74" t="str">
        <f ca="1">IF(Table20[[#This Row],[Type]]="KILL",IF(_xlfn.NUMBERVALUE(RIGHT(Table20[[#This Row],[Min]],LEN(Table20[[#This Row],[Min]])-FIND("-",Table20[[#This Row],[Min]])))&gt;INDIRECT(ADDRESS(11+MATCH(LEFT(Table20[[#This Row],[Min]],FIND("-",Table20[[#This Row],[Min]])-1),Table1[Content Sku],0),18,1,1,"Entities")),"review","ok"),"ok")</f>
        <v>ok</v>
      </c>
      <c r="AP49" t="s">
        <v>122</v>
      </c>
      <c r="AQ49">
        <v>1</v>
      </c>
      <c r="AR49" s="74">
        <f ca="1">(INDIRECT(ADDRESS(2+(MATCH(Table32[[#This Row],[SPAWNER]],Table40[SPAWNER],0)),2,1,1,"DATA_SCENES_UNITY_2"))) * Table32[[#This Row],[QUANTITY]]</f>
        <v>3</v>
      </c>
    </row>
    <row r="50" spans="5:44" x14ac:dyDescent="0.25">
      <c r="E50" t="s">
        <v>122</v>
      </c>
      <c r="F50">
        <v>0</v>
      </c>
      <c r="G50">
        <v>0</v>
      </c>
      <c r="H50" t="s">
        <v>8</v>
      </c>
      <c r="I50" s="74" t="str">
        <f ca="1">IF(Table7[[#This Row],[Type]]="KILL",IF(_xlfn.NUMBERVALUE(RIGHT(Table7[[#This Row],[Min]],LEN(Table7[[#This Row],[Min]])-FIND("-",Table7[[#This Row],[Min]])))&gt;INDIRECT(ADDRESS(11+MATCH(LEFT(Table7[[#This Row],[Min]],FIND("-",Table7[[#This Row],[Min]])-1),Table1[Content Sku],0),16,1,1,"Entities")),"review","ok"),"ok")</f>
        <v>ok</v>
      </c>
      <c r="J50" t="s">
        <v>548</v>
      </c>
      <c r="K50">
        <v>1</v>
      </c>
      <c r="L50" s="74">
        <f ca="1">(INDIRECT(ADDRESS(2+(MATCH(Table34[[#This Row],[SPAWNER]],Table40[SPAWNER],0)),2,1,1,"DATA_SCENES_UNITY_2"))) * Table34[[#This Row],[QUANTITY]]</f>
        <v>2</v>
      </c>
      <c r="U50" t="s">
        <v>313</v>
      </c>
      <c r="V50">
        <v>25000</v>
      </c>
      <c r="W50">
        <v>0</v>
      </c>
      <c r="X50" t="s">
        <v>205</v>
      </c>
      <c r="Y50" s="74" t="str">
        <f ca="1">IF(Table15[[#This Row],[Type]]="KILL",IF(_xlfn.NUMBERVALUE(RIGHT(Table15[[#This Row],[Min]],LEN(Table15[[#This Row],[Min]])-FIND("-",Table15[[#This Row],[Min]])))&gt;INDIRECT(ADDRESS(11+MATCH(LEFT(Table15[[#This Row],[Min]],FIND("-",Table15[[#This Row],[Min]])-1),Table1[Content Sku],0),16,1,1,"Entities")),"review","ok"),"ok")</f>
        <v>ok</v>
      </c>
      <c r="Z50" t="s">
        <v>2768</v>
      </c>
      <c r="AA50">
        <v>1</v>
      </c>
      <c r="AB50" s="74">
        <f ca="1">(INDIRECT(ADDRESS(2+(MATCH(Table33[[#This Row],[SPAWNER]],Table40[SPAWNER],0)),2,1,1,"DATA_SCENES_UNITY_2")))</f>
        <v>1</v>
      </c>
      <c r="AK50" t="s">
        <v>2747</v>
      </c>
      <c r="AL50">
        <v>0</v>
      </c>
      <c r="AM50">
        <v>0</v>
      </c>
      <c r="AN50" t="s">
        <v>8</v>
      </c>
      <c r="AO50" s="74" t="str">
        <f ca="1">IF(Table20[[#This Row],[Type]]="KILL",IF(_xlfn.NUMBERVALUE(RIGHT(Table20[[#This Row],[Min]],LEN(Table20[[#This Row],[Min]])-FIND("-",Table20[[#This Row],[Min]])))&gt;INDIRECT(ADDRESS(11+MATCH(LEFT(Table20[[#This Row],[Min]],FIND("-",Table20[[#This Row],[Min]])-1),Table1[Content Sku],0),18,1,1,"Entities")),"review","ok"),"ok")</f>
        <v>ok</v>
      </c>
      <c r="AP50" t="s">
        <v>548</v>
      </c>
      <c r="AQ50">
        <v>3</v>
      </c>
      <c r="AR50" s="74">
        <f ca="1">(INDIRECT(ADDRESS(2+(MATCH(Table32[[#This Row],[SPAWNER]],Table40[SPAWNER],0)),2,1,1,"DATA_SCENES_UNITY_2"))) * Table32[[#This Row],[QUANTITY]]</f>
        <v>6</v>
      </c>
    </row>
    <row r="51" spans="5:44" x14ac:dyDescent="0.25">
      <c r="E51" t="s">
        <v>313</v>
      </c>
      <c r="F51">
        <v>0</v>
      </c>
      <c r="G51">
        <v>0</v>
      </c>
      <c r="H51" t="s">
        <v>8</v>
      </c>
      <c r="I51" s="74" t="str">
        <f ca="1">IF(Table7[[#This Row],[Type]]="KILL",IF(_xlfn.NUMBERVALUE(RIGHT(Table7[[#This Row],[Min]],LEN(Table7[[#This Row],[Min]])-FIND("-",Table7[[#This Row],[Min]])))&gt;INDIRECT(ADDRESS(11+MATCH(LEFT(Table7[[#This Row],[Min]],FIND("-",Table7[[#This Row],[Min]])-1),Table1[Content Sku],0),16,1,1,"Entities")),"review","ok"),"ok")</f>
        <v>ok</v>
      </c>
      <c r="J51" t="s">
        <v>122</v>
      </c>
      <c r="K51">
        <v>1</v>
      </c>
      <c r="L51" s="74">
        <f ca="1">(INDIRECT(ADDRESS(2+(MATCH(Table34[[#This Row],[SPAWNER]],Table40[SPAWNER],0)),2,1,1,"DATA_SCENES_UNITY_2"))) * Table34[[#This Row],[QUANTITY]]</f>
        <v>3</v>
      </c>
      <c r="U51" t="s">
        <v>548</v>
      </c>
      <c r="V51">
        <v>0</v>
      </c>
      <c r="W51">
        <v>0</v>
      </c>
      <c r="X51" t="s">
        <v>8</v>
      </c>
      <c r="Y51" s="74" t="str">
        <f ca="1">IF(Table15[[#This Row],[Type]]="KILL",IF(_xlfn.NUMBERVALUE(RIGHT(Table15[[#This Row],[Min]],LEN(Table15[[#This Row],[Min]])-FIND("-",Table15[[#This Row],[Min]])))&gt;INDIRECT(ADDRESS(11+MATCH(LEFT(Table15[[#This Row],[Min]],FIND("-",Table15[[#This Row],[Min]])-1),Table1[Content Sku],0),16,1,1,"Entities")),"review","ok"),"ok")</f>
        <v>ok</v>
      </c>
      <c r="Z51" t="s">
        <v>2768</v>
      </c>
      <c r="AA51">
        <v>1</v>
      </c>
      <c r="AB51" s="74">
        <f ca="1">(INDIRECT(ADDRESS(2+(MATCH(Table33[[#This Row],[SPAWNER]],Table40[SPAWNER],0)),2,1,1,"DATA_SCENES_UNITY_2")))</f>
        <v>1</v>
      </c>
      <c r="AK51" t="s">
        <v>2662</v>
      </c>
      <c r="AL51" t="s">
        <v>4466</v>
      </c>
      <c r="AM51" t="s">
        <v>4467</v>
      </c>
      <c r="AN51" t="s">
        <v>4468</v>
      </c>
      <c r="AO51" s="74" t="str">
        <f ca="1">IF(Table20[[#This Row],[Type]]="KILL",IF(_xlfn.NUMBERVALUE(RIGHT(Table20[[#This Row],[Min]],LEN(Table20[[#This Row],[Min]])-FIND("-",Table20[[#This Row],[Min]])))&gt;INDIRECT(ADDRESS(11+MATCH(LEFT(Table20[[#This Row],[Min]],FIND("-",Table20[[#This Row],[Min]])-1),Table1[Content Sku],0),18,1,1,"Entities")),"review","ok"),"ok")</f>
        <v>ok</v>
      </c>
      <c r="AP51" t="s">
        <v>548</v>
      </c>
      <c r="AQ51">
        <v>2</v>
      </c>
      <c r="AR51" s="74">
        <f ca="1">(INDIRECT(ADDRESS(2+(MATCH(Table32[[#This Row],[SPAWNER]],Table40[SPAWNER],0)),2,1,1,"DATA_SCENES_UNITY_2"))) * Table32[[#This Row],[QUANTITY]]</f>
        <v>4</v>
      </c>
    </row>
    <row r="52" spans="5:44" x14ac:dyDescent="0.25">
      <c r="E52" t="s">
        <v>63</v>
      </c>
      <c r="F52">
        <v>0</v>
      </c>
      <c r="G52">
        <v>0</v>
      </c>
      <c r="H52" t="s">
        <v>8</v>
      </c>
      <c r="I52" s="74" t="str">
        <f ca="1">IF(Table7[[#This Row],[Type]]="KILL",IF(_xlfn.NUMBERVALUE(RIGHT(Table7[[#This Row],[Min]],LEN(Table7[[#This Row],[Min]])-FIND("-",Table7[[#This Row],[Min]])))&gt;INDIRECT(ADDRESS(11+MATCH(LEFT(Table7[[#This Row],[Min]],FIND("-",Table7[[#This Row],[Min]])-1),Table1[Content Sku],0),16,1,1,"Entities")),"review","ok"),"ok")</f>
        <v>ok</v>
      </c>
      <c r="J52" t="s">
        <v>548</v>
      </c>
      <c r="K52">
        <v>2</v>
      </c>
      <c r="L52" s="74">
        <f ca="1">(INDIRECT(ADDRESS(2+(MATCH(Table34[[#This Row],[SPAWNER]],Table40[SPAWNER],0)),2,1,1,"DATA_SCENES_UNITY_2"))) * Table34[[#This Row],[QUANTITY]]</f>
        <v>4</v>
      </c>
      <c r="U52" t="s">
        <v>278</v>
      </c>
      <c r="V52">
        <v>0</v>
      </c>
      <c r="W52">
        <v>55000</v>
      </c>
      <c r="X52" t="s">
        <v>205</v>
      </c>
      <c r="Y52" s="74" t="str">
        <f ca="1">IF(Table15[[#This Row],[Type]]="KILL",IF(_xlfn.NUMBERVALUE(RIGHT(Table15[[#This Row],[Min]],LEN(Table15[[#This Row],[Min]])-FIND("-",Table15[[#This Row],[Min]])))&gt;INDIRECT(ADDRESS(11+MATCH(LEFT(Table15[[#This Row],[Min]],FIND("-",Table15[[#This Row],[Min]])-1),Table1[Content Sku],0),16,1,1,"Entities")),"review","ok"),"ok")</f>
        <v>ok</v>
      </c>
      <c r="Z52" t="s">
        <v>548</v>
      </c>
      <c r="AA52">
        <v>4</v>
      </c>
      <c r="AB52" s="74">
        <f ca="1">(INDIRECT(ADDRESS(2+(MATCH(Table33[[#This Row],[SPAWNER]],Table40[SPAWNER],0)),2,1,1,"DATA_SCENES_UNITY_2")))</f>
        <v>2</v>
      </c>
      <c r="AK52" t="s">
        <v>2668</v>
      </c>
      <c r="AL52">
        <v>0</v>
      </c>
      <c r="AM52">
        <v>0</v>
      </c>
      <c r="AN52" t="s">
        <v>8</v>
      </c>
      <c r="AO52" s="74" t="str">
        <f ca="1">IF(Table20[[#This Row],[Type]]="KILL",IF(_xlfn.NUMBERVALUE(RIGHT(Table20[[#This Row],[Min]],LEN(Table20[[#This Row],[Min]])-FIND("-",Table20[[#This Row],[Min]])))&gt;INDIRECT(ADDRESS(11+MATCH(LEFT(Table20[[#This Row],[Min]],FIND("-",Table20[[#This Row],[Min]])-1),Table1[Content Sku],0),18,1,1,"Entities")),"review","ok"),"ok")</f>
        <v>ok</v>
      </c>
      <c r="AP52" t="s">
        <v>548</v>
      </c>
      <c r="AQ52">
        <v>1</v>
      </c>
      <c r="AR52" s="74">
        <f ca="1">(INDIRECT(ADDRESS(2+(MATCH(Table32[[#This Row],[SPAWNER]],Table40[SPAWNER],0)),2,1,1,"DATA_SCENES_UNITY_2"))) * Table32[[#This Row],[QUANTITY]]</f>
        <v>2</v>
      </c>
    </row>
    <row r="53" spans="5:44" x14ac:dyDescent="0.25">
      <c r="E53" t="s">
        <v>254</v>
      </c>
      <c r="F53">
        <v>0</v>
      </c>
      <c r="G53">
        <v>0</v>
      </c>
      <c r="H53" t="s">
        <v>8</v>
      </c>
      <c r="I53" s="74" t="str">
        <f ca="1">IF(Table7[[#This Row],[Type]]="KILL",IF(_xlfn.NUMBERVALUE(RIGHT(Table7[[#This Row],[Min]],LEN(Table7[[#This Row],[Min]])-FIND("-",Table7[[#This Row],[Min]])))&gt;INDIRECT(ADDRESS(11+MATCH(LEFT(Table7[[#This Row],[Min]],FIND("-",Table7[[#This Row],[Min]])-1),Table1[Content Sku],0),16,1,1,"Entities")),"review","ok"),"ok")</f>
        <v>ok</v>
      </c>
      <c r="J53" t="s">
        <v>122</v>
      </c>
      <c r="K53">
        <v>1</v>
      </c>
      <c r="L53" s="74">
        <f ca="1">(INDIRECT(ADDRESS(2+(MATCH(Table34[[#This Row],[SPAWNER]],Table40[SPAWNER],0)),2,1,1,"DATA_SCENES_UNITY_2"))) * Table34[[#This Row],[QUANTITY]]</f>
        <v>3</v>
      </c>
      <c r="U53" t="s">
        <v>36</v>
      </c>
      <c r="V53">
        <v>0</v>
      </c>
      <c r="W53">
        <v>0</v>
      </c>
      <c r="X53" t="s">
        <v>8</v>
      </c>
      <c r="Y53" s="74" t="str">
        <f ca="1">IF(Table15[[#This Row],[Type]]="KILL",IF(_xlfn.NUMBERVALUE(RIGHT(Table15[[#This Row],[Min]],LEN(Table15[[#This Row],[Min]])-FIND("-",Table15[[#This Row],[Min]])))&gt;INDIRECT(ADDRESS(11+MATCH(LEFT(Table15[[#This Row],[Min]],FIND("-",Table15[[#This Row],[Min]])-1),Table1[Content Sku],0),16,1,1,"Entities")),"review","ok"),"ok")</f>
        <v>ok</v>
      </c>
      <c r="Z53" t="s">
        <v>122</v>
      </c>
      <c r="AA53">
        <v>1</v>
      </c>
      <c r="AB53" s="74">
        <f ca="1">(INDIRECT(ADDRESS(2+(MATCH(Table33[[#This Row],[SPAWNER]],Table40[SPAWNER],0)),2,1,1,"DATA_SCENES_UNITY_2")))</f>
        <v>3</v>
      </c>
      <c r="AK53" t="s">
        <v>2745</v>
      </c>
      <c r="AL53">
        <v>0</v>
      </c>
      <c r="AM53">
        <v>0</v>
      </c>
      <c r="AN53" t="s">
        <v>8</v>
      </c>
      <c r="AO53" s="74" t="str">
        <f ca="1">IF(Table20[[#This Row],[Type]]="KILL",IF(_xlfn.NUMBERVALUE(RIGHT(Table20[[#This Row],[Min]],LEN(Table20[[#This Row],[Min]])-FIND("-",Table20[[#This Row],[Min]])))&gt;INDIRECT(ADDRESS(11+MATCH(LEFT(Table20[[#This Row],[Min]],FIND("-",Table20[[#This Row],[Min]])-1),Table1[Content Sku],0),18,1,1,"Entities")),"review","ok"),"ok")</f>
        <v>ok</v>
      </c>
      <c r="AP53" t="s">
        <v>548</v>
      </c>
      <c r="AQ53">
        <v>6</v>
      </c>
      <c r="AR53" s="74">
        <f ca="1">(INDIRECT(ADDRESS(2+(MATCH(Table32[[#This Row],[SPAWNER]],Table40[SPAWNER],0)),2,1,1,"DATA_SCENES_UNITY_2"))) * Table32[[#This Row],[QUANTITY]]</f>
        <v>12</v>
      </c>
    </row>
    <row r="54" spans="5:44" x14ac:dyDescent="0.25">
      <c r="E54" t="s">
        <v>336</v>
      </c>
      <c r="F54">
        <v>8000</v>
      </c>
      <c r="G54">
        <v>0</v>
      </c>
      <c r="H54" t="s">
        <v>205</v>
      </c>
      <c r="I54" s="74" t="str">
        <f ca="1">IF(Table7[[#This Row],[Type]]="KILL",IF(_xlfn.NUMBERVALUE(RIGHT(Table7[[#This Row],[Min]],LEN(Table7[[#This Row],[Min]])-FIND("-",Table7[[#This Row],[Min]])))&gt;INDIRECT(ADDRESS(11+MATCH(LEFT(Table7[[#This Row],[Min]],FIND("-",Table7[[#This Row],[Min]])-1),Table1[Content Sku],0),16,1,1,"Entities")),"review","ok"),"ok")</f>
        <v>ok</v>
      </c>
      <c r="J54" t="s">
        <v>548</v>
      </c>
      <c r="K54">
        <v>3</v>
      </c>
      <c r="L54" s="74">
        <f ca="1">(INDIRECT(ADDRESS(2+(MATCH(Table34[[#This Row],[SPAWNER]],Table40[SPAWNER],0)),2,1,1,"DATA_SCENES_UNITY_2"))) * Table34[[#This Row],[QUANTITY]]</f>
        <v>6</v>
      </c>
      <c r="U54" t="s">
        <v>283</v>
      </c>
      <c r="V54">
        <v>0</v>
      </c>
      <c r="W54">
        <v>0</v>
      </c>
      <c r="X54" t="s">
        <v>8</v>
      </c>
      <c r="Y54" s="74" t="str">
        <f ca="1">IF(Table15[[#This Row],[Type]]="KILL",IF(_xlfn.NUMBERVALUE(RIGHT(Table15[[#This Row],[Min]],LEN(Table15[[#This Row],[Min]])-FIND("-",Table15[[#This Row],[Min]])))&gt;INDIRECT(ADDRESS(11+MATCH(LEFT(Table15[[#This Row],[Min]],FIND("-",Table15[[#This Row],[Min]])-1),Table1[Content Sku],0),16,1,1,"Entities")),"review","ok"),"ok")</f>
        <v>ok</v>
      </c>
      <c r="Z54" t="s">
        <v>548</v>
      </c>
      <c r="AA54">
        <v>3</v>
      </c>
      <c r="AB54" s="74">
        <f ca="1">(INDIRECT(ADDRESS(2+(MATCH(Table33[[#This Row],[SPAWNER]],Table40[SPAWNER],0)),2,1,1,"DATA_SCENES_UNITY_2")))</f>
        <v>2</v>
      </c>
      <c r="AK54" t="s">
        <v>311</v>
      </c>
      <c r="AL54">
        <v>0</v>
      </c>
      <c r="AM54">
        <v>0</v>
      </c>
      <c r="AN54" t="s">
        <v>8</v>
      </c>
      <c r="AO54" s="74" t="str">
        <f ca="1">IF(Table20[[#This Row],[Type]]="KILL",IF(_xlfn.NUMBERVALUE(RIGHT(Table20[[#This Row],[Min]],LEN(Table20[[#This Row],[Min]])-FIND("-",Table20[[#This Row],[Min]])))&gt;INDIRECT(ADDRESS(11+MATCH(LEFT(Table20[[#This Row],[Min]],FIND("-",Table20[[#This Row],[Min]])-1),Table1[Content Sku],0),18,1,1,"Entities")),"review","ok"),"ok")</f>
        <v>ok</v>
      </c>
      <c r="AP54" t="s">
        <v>2768</v>
      </c>
      <c r="AQ54">
        <v>1</v>
      </c>
      <c r="AR54" s="74">
        <f ca="1">(INDIRECT(ADDRESS(2+(MATCH(Table32[[#This Row],[SPAWNER]],Table40[SPAWNER],0)),2,1,1,"DATA_SCENES_UNITY_2"))) * Table32[[#This Row],[QUANTITY]]</f>
        <v>1</v>
      </c>
    </row>
    <row r="55" spans="5:44" x14ac:dyDescent="0.25">
      <c r="E55" t="s">
        <v>313</v>
      </c>
      <c r="F55">
        <v>0</v>
      </c>
      <c r="G55">
        <v>0</v>
      </c>
      <c r="H55" t="s">
        <v>8</v>
      </c>
      <c r="I55" s="74" t="str">
        <f ca="1">IF(Table7[[#This Row],[Type]]="KILL",IF(_xlfn.NUMBERVALUE(RIGHT(Table7[[#This Row],[Min]],LEN(Table7[[#This Row],[Min]])-FIND("-",Table7[[#This Row],[Min]])))&gt;INDIRECT(ADDRESS(11+MATCH(LEFT(Table7[[#This Row],[Min]],FIND("-",Table7[[#This Row],[Min]])-1),Table1[Content Sku],0),16,1,1,"Entities")),"review","ok"),"ok")</f>
        <v>ok</v>
      </c>
      <c r="J55" t="s">
        <v>548</v>
      </c>
      <c r="K55">
        <v>2</v>
      </c>
      <c r="L55" s="74">
        <f ca="1">(INDIRECT(ADDRESS(2+(MATCH(Table34[[#This Row],[SPAWNER]],Table40[SPAWNER],0)),2,1,1,"DATA_SCENES_UNITY_2"))) * Table34[[#This Row],[QUANTITY]]</f>
        <v>4</v>
      </c>
      <c r="U55" t="s">
        <v>313</v>
      </c>
      <c r="V55">
        <v>0</v>
      </c>
      <c r="W55">
        <v>0</v>
      </c>
      <c r="X55" t="s">
        <v>8</v>
      </c>
      <c r="Y55" s="74" t="str">
        <f ca="1">IF(Table15[[#This Row],[Type]]="KILL",IF(_xlfn.NUMBERVALUE(RIGHT(Table15[[#This Row],[Min]],LEN(Table15[[#This Row],[Min]])-FIND("-",Table15[[#This Row],[Min]])))&gt;INDIRECT(ADDRESS(11+MATCH(LEFT(Table15[[#This Row],[Min]],FIND("-",Table15[[#This Row],[Min]])-1),Table1[Content Sku],0),16,1,1,"Entities")),"review","ok"),"ok")</f>
        <v>ok</v>
      </c>
      <c r="Z55" t="s">
        <v>2768</v>
      </c>
      <c r="AA55">
        <v>1</v>
      </c>
      <c r="AB55" s="74">
        <f ca="1">(INDIRECT(ADDRESS(2+(MATCH(Table33[[#This Row],[SPAWNER]],Table40[SPAWNER],0)),2,1,1,"DATA_SCENES_UNITY_2")))</f>
        <v>1</v>
      </c>
      <c r="AK55" t="s">
        <v>482</v>
      </c>
      <c r="AL55">
        <v>0</v>
      </c>
      <c r="AM55">
        <v>0</v>
      </c>
      <c r="AN55" t="s">
        <v>8</v>
      </c>
      <c r="AO55" s="74" t="str">
        <f ca="1">IF(Table20[[#This Row],[Type]]="KILL",IF(_xlfn.NUMBERVALUE(RIGHT(Table20[[#This Row],[Min]],LEN(Table20[[#This Row],[Min]])-FIND("-",Table20[[#This Row],[Min]])))&gt;INDIRECT(ADDRESS(11+MATCH(LEFT(Table20[[#This Row],[Min]],FIND("-",Table20[[#This Row],[Min]])-1),Table1[Content Sku],0),18,1,1,"Entities")),"review","ok"),"ok")</f>
        <v>ok</v>
      </c>
      <c r="AP55" t="s">
        <v>122</v>
      </c>
      <c r="AQ55">
        <v>1</v>
      </c>
      <c r="AR55" s="74">
        <f ca="1">(INDIRECT(ADDRESS(2+(MATCH(Table32[[#This Row],[SPAWNER]],Table40[SPAWNER],0)),2,1,1,"DATA_SCENES_UNITY_2"))) * Table32[[#This Row],[QUANTITY]]</f>
        <v>3</v>
      </c>
    </row>
    <row r="56" spans="5:44" x14ac:dyDescent="0.25">
      <c r="E56" t="s">
        <v>37</v>
      </c>
      <c r="F56">
        <v>0</v>
      </c>
      <c r="G56">
        <v>0</v>
      </c>
      <c r="H56" t="s">
        <v>8</v>
      </c>
      <c r="I56" s="74" t="str">
        <f ca="1">IF(Table7[[#This Row],[Type]]="KILL",IF(_xlfn.NUMBERVALUE(RIGHT(Table7[[#This Row],[Min]],LEN(Table7[[#This Row],[Min]])-FIND("-",Table7[[#This Row],[Min]])))&gt;INDIRECT(ADDRESS(11+MATCH(LEFT(Table7[[#This Row],[Min]],FIND("-",Table7[[#This Row],[Min]])-1),Table1[Content Sku],0),16,1,1,"Entities")),"review","ok"),"ok")</f>
        <v>ok</v>
      </c>
      <c r="J56" t="s">
        <v>122</v>
      </c>
      <c r="K56">
        <v>1</v>
      </c>
      <c r="L56" s="74">
        <f ca="1">(INDIRECT(ADDRESS(2+(MATCH(Table34[[#This Row],[SPAWNER]],Table40[SPAWNER],0)),2,1,1,"DATA_SCENES_UNITY_2"))) * Table34[[#This Row],[QUANTITY]]</f>
        <v>3</v>
      </c>
      <c r="U56" t="s">
        <v>289</v>
      </c>
      <c r="V56">
        <v>0</v>
      </c>
      <c r="W56">
        <v>0</v>
      </c>
      <c r="X56" t="s">
        <v>8</v>
      </c>
      <c r="Y56" s="74" t="str">
        <f ca="1">IF(Table15[[#This Row],[Type]]="KILL",IF(_xlfn.NUMBERVALUE(RIGHT(Table15[[#This Row],[Min]],LEN(Table15[[#This Row],[Min]])-FIND("-",Table15[[#This Row],[Min]])))&gt;INDIRECT(ADDRESS(11+MATCH(LEFT(Table15[[#This Row],[Min]],FIND("-",Table15[[#This Row],[Min]])-1),Table1[Content Sku],0),16,1,1,"Entities")),"review","ok"),"ok")</f>
        <v>ok</v>
      </c>
      <c r="Z56" t="s">
        <v>122</v>
      </c>
      <c r="AA56">
        <v>1</v>
      </c>
      <c r="AB56" s="74">
        <f ca="1">(INDIRECT(ADDRESS(2+(MATCH(Table33[[#This Row],[SPAWNER]],Table40[SPAWNER],0)),2,1,1,"DATA_SCENES_UNITY_2")))</f>
        <v>3</v>
      </c>
      <c r="AK56" t="s">
        <v>2671</v>
      </c>
      <c r="AL56">
        <v>0</v>
      </c>
      <c r="AM56">
        <v>0</v>
      </c>
      <c r="AN56" t="s">
        <v>8</v>
      </c>
      <c r="AO56" s="74" t="str">
        <f ca="1">IF(Table20[[#This Row],[Type]]="KILL",IF(_xlfn.NUMBERVALUE(RIGHT(Table20[[#This Row],[Min]],LEN(Table20[[#This Row],[Min]])-FIND("-",Table20[[#This Row],[Min]])))&gt;INDIRECT(ADDRESS(11+MATCH(LEFT(Table20[[#This Row],[Min]],FIND("-",Table20[[#This Row],[Min]])-1),Table1[Content Sku],0),18,1,1,"Entities")),"review","ok"),"ok")</f>
        <v>ok</v>
      </c>
      <c r="AP56" t="s">
        <v>548</v>
      </c>
      <c r="AQ56">
        <v>4</v>
      </c>
      <c r="AR56" s="74">
        <f ca="1">(INDIRECT(ADDRESS(2+(MATCH(Table32[[#This Row],[SPAWNER]],Table40[SPAWNER],0)),2,1,1,"DATA_SCENES_UNITY_2"))) * Table32[[#This Row],[QUANTITY]]</f>
        <v>8</v>
      </c>
    </row>
    <row r="57" spans="5:44" x14ac:dyDescent="0.25">
      <c r="E57" t="s">
        <v>21</v>
      </c>
      <c r="F57">
        <v>0</v>
      </c>
      <c r="G57">
        <v>0</v>
      </c>
      <c r="H57" t="s">
        <v>8</v>
      </c>
      <c r="I57" s="74" t="str">
        <f ca="1">IF(Table7[[#This Row],[Type]]="KILL",IF(_xlfn.NUMBERVALUE(RIGHT(Table7[[#This Row],[Min]],LEN(Table7[[#This Row],[Min]])-FIND("-",Table7[[#This Row],[Min]])))&gt;INDIRECT(ADDRESS(11+MATCH(LEFT(Table7[[#This Row],[Min]],FIND("-",Table7[[#This Row],[Min]])-1),Table1[Content Sku],0),16,1,1,"Entities")),"review","ok"),"ok")</f>
        <v>ok</v>
      </c>
      <c r="J57" t="s">
        <v>548</v>
      </c>
      <c r="K57">
        <v>1</v>
      </c>
      <c r="L57" s="74">
        <f ca="1">(INDIRECT(ADDRESS(2+(MATCH(Table34[[#This Row],[SPAWNER]],Table40[SPAWNER],0)),2,1,1,"DATA_SCENES_UNITY_2"))) * Table34[[#This Row],[QUANTITY]]</f>
        <v>2</v>
      </c>
      <c r="U57" t="s">
        <v>4430</v>
      </c>
      <c r="V57">
        <v>0</v>
      </c>
      <c r="W57">
        <v>0</v>
      </c>
      <c r="X57" t="s">
        <v>8</v>
      </c>
      <c r="Y57" s="74" t="str">
        <f ca="1">IF(Table15[[#This Row],[Type]]="KILL",IF(_xlfn.NUMBERVALUE(RIGHT(Table15[[#This Row],[Min]],LEN(Table15[[#This Row],[Min]])-FIND("-",Table15[[#This Row],[Min]])))&gt;INDIRECT(ADDRESS(11+MATCH(LEFT(Table15[[#This Row],[Min]],FIND("-",Table15[[#This Row],[Min]])-1),Table1[Content Sku],0),16,1,1,"Entities")),"review","ok"),"ok")</f>
        <v>ok</v>
      </c>
      <c r="Z57" t="s">
        <v>122</v>
      </c>
      <c r="AA57">
        <v>1</v>
      </c>
      <c r="AB57" s="74">
        <f ca="1">(INDIRECT(ADDRESS(2+(MATCH(Table33[[#This Row],[SPAWNER]],Table40[SPAWNER],0)),2,1,1,"DATA_SCENES_UNITY_2")))</f>
        <v>3</v>
      </c>
      <c r="AK57" t="s">
        <v>548</v>
      </c>
      <c r="AL57">
        <v>0</v>
      </c>
      <c r="AM57">
        <v>0</v>
      </c>
      <c r="AN57" t="s">
        <v>8</v>
      </c>
      <c r="AO57" s="74" t="str">
        <f ca="1">IF(Table20[[#This Row],[Type]]="KILL",IF(_xlfn.NUMBERVALUE(RIGHT(Table20[[#This Row],[Min]],LEN(Table20[[#This Row],[Min]])-FIND("-",Table20[[#This Row],[Min]])))&gt;INDIRECT(ADDRESS(11+MATCH(LEFT(Table20[[#This Row],[Min]],FIND("-",Table20[[#This Row],[Min]])-1),Table1[Content Sku],0),18,1,1,"Entities")),"review","ok"),"ok")</f>
        <v>ok</v>
      </c>
      <c r="AP57" t="s">
        <v>122</v>
      </c>
      <c r="AQ57">
        <v>1</v>
      </c>
      <c r="AR57" s="74">
        <f ca="1">(INDIRECT(ADDRESS(2+(MATCH(Table32[[#This Row],[SPAWNER]],Table40[SPAWNER],0)),2,1,1,"DATA_SCENES_UNITY_2"))) * Table32[[#This Row],[QUANTITY]]</f>
        <v>3</v>
      </c>
    </row>
    <row r="58" spans="5:44" x14ac:dyDescent="0.25">
      <c r="E58" t="s">
        <v>311</v>
      </c>
      <c r="F58">
        <v>0</v>
      </c>
      <c r="G58">
        <v>0</v>
      </c>
      <c r="H58" t="s">
        <v>8</v>
      </c>
      <c r="I58" s="74" t="str">
        <f ca="1">IF(Table7[[#This Row],[Type]]="KILL",IF(_xlfn.NUMBERVALUE(RIGHT(Table7[[#This Row],[Min]],LEN(Table7[[#This Row],[Min]])-FIND("-",Table7[[#This Row],[Min]])))&gt;INDIRECT(ADDRESS(11+MATCH(LEFT(Table7[[#This Row],[Min]],FIND("-",Table7[[#This Row],[Min]])-1),Table1[Content Sku],0),16,1,1,"Entities")),"review","ok"),"ok")</f>
        <v>ok</v>
      </c>
      <c r="J58" t="s">
        <v>548</v>
      </c>
      <c r="K58">
        <v>4</v>
      </c>
      <c r="L58" s="74">
        <f ca="1">(INDIRECT(ADDRESS(2+(MATCH(Table34[[#This Row],[SPAWNER]],Table40[SPAWNER],0)),2,1,1,"DATA_SCENES_UNITY_2"))) * Table34[[#This Row],[QUANTITY]]</f>
        <v>8</v>
      </c>
      <c r="U58" t="s">
        <v>392</v>
      </c>
      <c r="V58">
        <v>0</v>
      </c>
      <c r="W58">
        <v>25000</v>
      </c>
      <c r="X58" t="s">
        <v>205</v>
      </c>
      <c r="Y58" s="74" t="str">
        <f ca="1">IF(Table15[[#This Row],[Type]]="KILL",IF(_xlfn.NUMBERVALUE(RIGHT(Table15[[#This Row],[Min]],LEN(Table15[[#This Row],[Min]])-FIND("-",Table15[[#This Row],[Min]])))&gt;INDIRECT(ADDRESS(11+MATCH(LEFT(Table15[[#This Row],[Min]],FIND("-",Table15[[#This Row],[Min]])-1),Table1[Content Sku],0),16,1,1,"Entities")),"review","ok"),"ok")</f>
        <v>ok</v>
      </c>
      <c r="Z58" t="s">
        <v>2768</v>
      </c>
      <c r="AA58">
        <v>1</v>
      </c>
      <c r="AB58" s="74">
        <f ca="1">(INDIRECT(ADDRESS(2+(MATCH(Table33[[#This Row],[SPAWNER]],Table40[SPAWNER],0)),2,1,1,"DATA_SCENES_UNITY_2")))</f>
        <v>1</v>
      </c>
      <c r="AK58" t="s">
        <v>578</v>
      </c>
      <c r="AL58">
        <v>35000</v>
      </c>
      <c r="AM58">
        <v>0</v>
      </c>
      <c r="AN58" t="s">
        <v>205</v>
      </c>
      <c r="AO58" s="74" t="str">
        <f ca="1">IF(Table20[[#This Row],[Type]]="KILL",IF(_xlfn.NUMBERVALUE(RIGHT(Table20[[#This Row],[Min]],LEN(Table20[[#This Row],[Min]])-FIND("-",Table20[[#This Row],[Min]])))&gt;INDIRECT(ADDRESS(11+MATCH(LEFT(Table20[[#This Row],[Min]],FIND("-",Table20[[#This Row],[Min]])-1),Table1[Content Sku],0),18,1,1,"Entities")),"review","ok"),"ok")</f>
        <v>ok</v>
      </c>
      <c r="AP58" t="s">
        <v>548</v>
      </c>
      <c r="AQ58">
        <v>4</v>
      </c>
      <c r="AR58" s="74">
        <f ca="1">(INDIRECT(ADDRESS(2+(MATCH(Table32[[#This Row],[SPAWNER]],Table40[SPAWNER],0)),2,1,1,"DATA_SCENES_UNITY_2"))) * Table32[[#This Row],[QUANTITY]]</f>
        <v>8</v>
      </c>
    </row>
    <row r="59" spans="5:44" x14ac:dyDescent="0.25">
      <c r="E59" t="s">
        <v>315</v>
      </c>
      <c r="F59">
        <v>0</v>
      </c>
      <c r="G59">
        <v>0</v>
      </c>
      <c r="H59" t="s">
        <v>8</v>
      </c>
      <c r="I59" s="74" t="str">
        <f ca="1">IF(Table7[[#This Row],[Type]]="KILL",IF(_xlfn.NUMBERVALUE(RIGHT(Table7[[#This Row],[Min]],LEN(Table7[[#This Row],[Min]])-FIND("-",Table7[[#This Row],[Min]])))&gt;INDIRECT(ADDRESS(11+MATCH(LEFT(Table7[[#This Row],[Min]],FIND("-",Table7[[#This Row],[Min]])-1),Table1[Content Sku],0),16,1,1,"Entities")),"review","ok"),"ok")</f>
        <v>ok</v>
      </c>
      <c r="J59" t="s">
        <v>548</v>
      </c>
      <c r="K59">
        <v>4</v>
      </c>
      <c r="L59" s="74">
        <f ca="1">(INDIRECT(ADDRESS(2+(MATCH(Table34[[#This Row],[SPAWNER]],Table40[SPAWNER],0)),2,1,1,"DATA_SCENES_UNITY_2"))) * Table34[[#This Row],[QUANTITY]]</f>
        <v>8</v>
      </c>
      <c r="U59" t="s">
        <v>313</v>
      </c>
      <c r="V59">
        <v>0</v>
      </c>
      <c r="W59">
        <v>0</v>
      </c>
      <c r="X59" t="s">
        <v>8</v>
      </c>
      <c r="Y59" s="74" t="str">
        <f ca="1">IF(Table15[[#This Row],[Type]]="KILL",IF(_xlfn.NUMBERVALUE(RIGHT(Table15[[#This Row],[Min]],LEN(Table15[[#This Row],[Min]])-FIND("-",Table15[[#This Row],[Min]])))&gt;INDIRECT(ADDRESS(11+MATCH(LEFT(Table15[[#This Row],[Min]],FIND("-",Table15[[#This Row],[Min]])-1),Table1[Content Sku],0),16,1,1,"Entities")),"review","ok"),"ok")</f>
        <v>ok</v>
      </c>
      <c r="Z59" t="s">
        <v>548</v>
      </c>
      <c r="AA59">
        <v>1</v>
      </c>
      <c r="AB59" s="74">
        <f ca="1">(INDIRECT(ADDRESS(2+(MATCH(Table33[[#This Row],[SPAWNER]],Table40[SPAWNER],0)),2,1,1,"DATA_SCENES_UNITY_2")))</f>
        <v>2</v>
      </c>
      <c r="AK59" t="s">
        <v>398</v>
      </c>
      <c r="AL59">
        <v>0</v>
      </c>
      <c r="AM59">
        <v>0</v>
      </c>
      <c r="AN59" t="s">
        <v>8</v>
      </c>
      <c r="AO59" s="74" t="str">
        <f ca="1">IF(Table20[[#This Row],[Type]]="KILL",IF(_xlfn.NUMBERVALUE(RIGHT(Table20[[#This Row],[Min]],LEN(Table20[[#This Row],[Min]])-FIND("-",Table20[[#This Row],[Min]])))&gt;INDIRECT(ADDRESS(11+MATCH(LEFT(Table20[[#This Row],[Min]],FIND("-",Table20[[#This Row],[Min]])-1),Table1[Content Sku],0),18,1,1,"Entities")),"review","ok"),"ok")</f>
        <v>ok</v>
      </c>
      <c r="AP59" t="s">
        <v>548</v>
      </c>
      <c r="AQ59">
        <v>4</v>
      </c>
      <c r="AR59" s="74">
        <f ca="1">(INDIRECT(ADDRESS(2+(MATCH(Table32[[#This Row],[SPAWNER]],Table40[SPAWNER],0)),2,1,1,"DATA_SCENES_UNITY_2"))) * Table32[[#This Row],[QUANTITY]]</f>
        <v>8</v>
      </c>
    </row>
    <row r="60" spans="5:44" x14ac:dyDescent="0.25">
      <c r="E60" t="s">
        <v>47</v>
      </c>
      <c r="F60">
        <v>0</v>
      </c>
      <c r="G60">
        <v>0</v>
      </c>
      <c r="H60" t="s">
        <v>8</v>
      </c>
      <c r="I60" s="74" t="str">
        <f ca="1">IF(Table7[[#This Row],[Type]]="KILL",IF(_xlfn.NUMBERVALUE(RIGHT(Table7[[#This Row],[Min]],LEN(Table7[[#This Row],[Min]])-FIND("-",Table7[[#This Row],[Min]])))&gt;INDIRECT(ADDRESS(11+MATCH(LEFT(Table7[[#This Row],[Min]],FIND("-",Table7[[#This Row],[Min]])-1),Table1[Content Sku],0),16,1,1,"Entities")),"review","ok"),"ok")</f>
        <v>ok</v>
      </c>
      <c r="J60" t="s">
        <v>548</v>
      </c>
      <c r="K60">
        <v>2</v>
      </c>
      <c r="L60" s="74">
        <f ca="1">(INDIRECT(ADDRESS(2+(MATCH(Table34[[#This Row],[SPAWNER]],Table40[SPAWNER],0)),2,1,1,"DATA_SCENES_UNITY_2"))) * Table34[[#This Row],[QUANTITY]]</f>
        <v>4</v>
      </c>
      <c r="U60" t="s">
        <v>2741</v>
      </c>
      <c r="V60">
        <v>0</v>
      </c>
      <c r="W60">
        <v>0</v>
      </c>
      <c r="X60" t="s">
        <v>8</v>
      </c>
      <c r="Y60" s="74" t="str">
        <f ca="1">IF(Table15[[#This Row],[Type]]="KILL",IF(_xlfn.NUMBERVALUE(RIGHT(Table15[[#This Row],[Min]],LEN(Table15[[#This Row],[Min]])-FIND("-",Table15[[#This Row],[Min]])))&gt;INDIRECT(ADDRESS(11+MATCH(LEFT(Table15[[#This Row],[Min]],FIND("-",Table15[[#This Row],[Min]])-1),Table1[Content Sku],0),16,1,1,"Entities")),"review","ok"),"ok")</f>
        <v>ok</v>
      </c>
      <c r="Z60" t="s">
        <v>122</v>
      </c>
      <c r="AA60">
        <v>1</v>
      </c>
      <c r="AB60" s="74">
        <f ca="1">(INDIRECT(ADDRESS(2+(MATCH(Table33[[#This Row],[SPAWNER]],Table40[SPAWNER],0)),2,1,1,"DATA_SCENES_UNITY_2")))</f>
        <v>3</v>
      </c>
      <c r="AK60" t="s">
        <v>2662</v>
      </c>
      <c r="AL60">
        <v>0</v>
      </c>
      <c r="AM60">
        <v>0</v>
      </c>
      <c r="AN60" t="s">
        <v>8</v>
      </c>
      <c r="AO60" s="74" t="str">
        <f ca="1">IF(Table20[[#This Row],[Type]]="KILL",IF(_xlfn.NUMBERVALUE(RIGHT(Table20[[#This Row],[Min]],LEN(Table20[[#This Row],[Min]])-FIND("-",Table20[[#This Row],[Min]])))&gt;INDIRECT(ADDRESS(11+MATCH(LEFT(Table20[[#This Row],[Min]],FIND("-",Table20[[#This Row],[Min]])-1),Table1[Content Sku],0),18,1,1,"Entities")),"review","ok"),"ok")</f>
        <v>ok</v>
      </c>
      <c r="AP60" t="s">
        <v>548</v>
      </c>
      <c r="AQ60">
        <v>3</v>
      </c>
      <c r="AR60" s="74">
        <f ca="1">(INDIRECT(ADDRESS(2+(MATCH(Table32[[#This Row],[SPAWNER]],Table40[SPAWNER],0)),2,1,1,"DATA_SCENES_UNITY_2"))) * Table32[[#This Row],[QUANTITY]]</f>
        <v>6</v>
      </c>
    </row>
    <row r="61" spans="5:44" x14ac:dyDescent="0.25">
      <c r="E61" t="s">
        <v>39</v>
      </c>
      <c r="F61">
        <v>0</v>
      </c>
      <c r="G61">
        <v>0</v>
      </c>
      <c r="H61" t="s">
        <v>8</v>
      </c>
      <c r="I61" s="74" t="str">
        <f ca="1">IF(Table7[[#This Row],[Type]]="KILL",IF(_xlfn.NUMBERVALUE(RIGHT(Table7[[#This Row],[Min]],LEN(Table7[[#This Row],[Min]])-FIND("-",Table7[[#This Row],[Min]])))&gt;INDIRECT(ADDRESS(11+MATCH(LEFT(Table7[[#This Row],[Min]],FIND("-",Table7[[#This Row],[Min]])-1),Table1[Content Sku],0),16,1,1,"Entities")),"review","ok"),"ok")</f>
        <v>ok</v>
      </c>
      <c r="J61" t="s">
        <v>548</v>
      </c>
      <c r="K61">
        <v>2</v>
      </c>
      <c r="L61" s="74">
        <f ca="1">(INDIRECT(ADDRESS(2+(MATCH(Table34[[#This Row],[SPAWNER]],Table40[SPAWNER],0)),2,1,1,"DATA_SCENES_UNITY_2"))) * Table34[[#This Row],[QUANTITY]]</f>
        <v>4</v>
      </c>
      <c r="U61" t="s">
        <v>254</v>
      </c>
      <c r="V61">
        <v>0</v>
      </c>
      <c r="W61">
        <v>0</v>
      </c>
      <c r="X61" t="s">
        <v>8</v>
      </c>
      <c r="Y61" s="74" t="str">
        <f ca="1">IF(Table15[[#This Row],[Type]]="KILL",IF(_xlfn.NUMBERVALUE(RIGHT(Table15[[#This Row],[Min]],LEN(Table15[[#This Row],[Min]])-FIND("-",Table15[[#This Row],[Min]])))&gt;INDIRECT(ADDRESS(11+MATCH(LEFT(Table15[[#This Row],[Min]],FIND("-",Table15[[#This Row],[Min]])-1),Table1[Content Sku],0),16,1,1,"Entities")),"review","ok"),"ok")</f>
        <v>ok</v>
      </c>
      <c r="Z61" t="s">
        <v>122</v>
      </c>
      <c r="AA61">
        <v>1</v>
      </c>
      <c r="AB61" s="74">
        <f ca="1">(INDIRECT(ADDRESS(2+(MATCH(Table33[[#This Row],[SPAWNER]],Table40[SPAWNER],0)),2,1,1,"DATA_SCENES_UNITY_2")))</f>
        <v>3</v>
      </c>
      <c r="AK61" t="s">
        <v>2767</v>
      </c>
      <c r="AL61">
        <v>0</v>
      </c>
      <c r="AM61">
        <v>0</v>
      </c>
      <c r="AN61" t="s">
        <v>8</v>
      </c>
      <c r="AO61" s="74" t="str">
        <f ca="1">IF(Table20[[#This Row],[Type]]="KILL",IF(_xlfn.NUMBERVALUE(RIGHT(Table20[[#This Row],[Min]],LEN(Table20[[#This Row],[Min]])-FIND("-",Table20[[#This Row],[Min]])))&gt;INDIRECT(ADDRESS(11+MATCH(LEFT(Table20[[#This Row],[Min]],FIND("-",Table20[[#This Row],[Min]])-1),Table1[Content Sku],0),18,1,1,"Entities")),"review","ok"),"ok")</f>
        <v>ok</v>
      </c>
      <c r="AP61" t="s">
        <v>2768</v>
      </c>
      <c r="AQ61">
        <v>1</v>
      </c>
      <c r="AR61" s="74">
        <f ca="1">(INDIRECT(ADDRESS(2+(MATCH(Table32[[#This Row],[SPAWNER]],Table40[SPAWNER],0)),2,1,1,"DATA_SCENES_UNITY_2"))) * Table32[[#This Row],[QUANTITY]]</f>
        <v>1</v>
      </c>
    </row>
    <row r="62" spans="5:44" x14ac:dyDescent="0.25">
      <c r="E62" t="s">
        <v>276</v>
      </c>
      <c r="F62">
        <v>0</v>
      </c>
      <c r="G62">
        <v>0</v>
      </c>
      <c r="H62" t="s">
        <v>8</v>
      </c>
      <c r="I62" s="74" t="str">
        <f ca="1">IF(Table7[[#This Row],[Type]]="KILL",IF(_xlfn.NUMBERVALUE(RIGHT(Table7[[#This Row],[Min]],LEN(Table7[[#This Row],[Min]])-FIND("-",Table7[[#This Row],[Min]])))&gt;INDIRECT(ADDRESS(11+MATCH(LEFT(Table7[[#This Row],[Min]],FIND("-",Table7[[#This Row],[Min]])-1),Table1[Content Sku],0),16,1,1,"Entities")),"review","ok"),"ok")</f>
        <v>ok</v>
      </c>
      <c r="J62" t="s">
        <v>548</v>
      </c>
      <c r="K62">
        <v>3</v>
      </c>
      <c r="L62" s="74">
        <f ca="1">(INDIRECT(ADDRESS(2+(MATCH(Table34[[#This Row],[SPAWNER]],Table40[SPAWNER],0)),2,1,1,"DATA_SCENES_UNITY_2"))) * Table34[[#This Row],[QUANTITY]]</f>
        <v>6</v>
      </c>
      <c r="U62" t="s">
        <v>278</v>
      </c>
      <c r="V62">
        <v>22000</v>
      </c>
      <c r="W62">
        <v>0</v>
      </c>
      <c r="X62" t="s">
        <v>205</v>
      </c>
      <c r="Y62" s="74" t="str">
        <f ca="1">IF(Table15[[#This Row],[Type]]="KILL",IF(_xlfn.NUMBERVALUE(RIGHT(Table15[[#This Row],[Min]],LEN(Table15[[#This Row],[Min]])-FIND("-",Table15[[#This Row],[Min]])))&gt;INDIRECT(ADDRESS(11+MATCH(LEFT(Table15[[#This Row],[Min]],FIND("-",Table15[[#This Row],[Min]])-1),Table1[Content Sku],0),16,1,1,"Entities")),"review","ok"),"ok")</f>
        <v>ok</v>
      </c>
      <c r="Z62" t="s">
        <v>2768</v>
      </c>
      <c r="AA62">
        <v>1</v>
      </c>
      <c r="AB62" s="74">
        <f ca="1">(INDIRECT(ADDRESS(2+(MATCH(Table33[[#This Row],[SPAWNER]],Table40[SPAWNER],0)),2,1,1,"DATA_SCENES_UNITY_2")))</f>
        <v>1</v>
      </c>
      <c r="AK62" t="s">
        <v>2738</v>
      </c>
      <c r="AL62">
        <v>0</v>
      </c>
      <c r="AM62">
        <v>0</v>
      </c>
      <c r="AN62" t="s">
        <v>8</v>
      </c>
      <c r="AO62" s="74" t="str">
        <f ca="1">IF(Table20[[#This Row],[Type]]="KILL",IF(_xlfn.NUMBERVALUE(RIGHT(Table20[[#This Row],[Min]],LEN(Table20[[#This Row],[Min]])-FIND("-",Table20[[#This Row],[Min]])))&gt;INDIRECT(ADDRESS(11+MATCH(LEFT(Table20[[#This Row],[Min]],FIND("-",Table20[[#This Row],[Min]])-1),Table1[Content Sku],0),18,1,1,"Entities")),"review","ok"),"ok")</f>
        <v>ok</v>
      </c>
      <c r="AP62" t="s">
        <v>122</v>
      </c>
      <c r="AQ62">
        <v>1</v>
      </c>
      <c r="AR62" s="74">
        <f ca="1">(INDIRECT(ADDRESS(2+(MATCH(Table32[[#This Row],[SPAWNER]],Table40[SPAWNER],0)),2,1,1,"DATA_SCENES_UNITY_2"))) * Table32[[#This Row],[QUANTITY]]</f>
        <v>3</v>
      </c>
    </row>
    <row r="63" spans="5:44" x14ac:dyDescent="0.25">
      <c r="E63" t="s">
        <v>90</v>
      </c>
      <c r="F63">
        <v>0</v>
      </c>
      <c r="G63">
        <v>16000</v>
      </c>
      <c r="H63" t="s">
        <v>205</v>
      </c>
      <c r="I63" s="74" t="str">
        <f ca="1">IF(Table7[[#This Row],[Type]]="KILL",IF(_xlfn.NUMBERVALUE(RIGHT(Table7[[#This Row],[Min]],LEN(Table7[[#This Row],[Min]])-FIND("-",Table7[[#This Row],[Min]])))&gt;INDIRECT(ADDRESS(11+MATCH(LEFT(Table7[[#This Row],[Min]],FIND("-",Table7[[#This Row],[Min]])-1),Table1[Content Sku],0),16,1,1,"Entities")),"review","ok"),"ok")</f>
        <v>ok</v>
      </c>
      <c r="J63" t="s">
        <v>548</v>
      </c>
      <c r="K63">
        <v>2</v>
      </c>
      <c r="L63" s="74">
        <f ca="1">(INDIRECT(ADDRESS(2+(MATCH(Table34[[#This Row],[SPAWNER]],Table40[SPAWNER],0)),2,1,1,"DATA_SCENES_UNITY_2"))) * Table34[[#This Row],[QUANTITY]]</f>
        <v>4</v>
      </c>
      <c r="U63" t="s">
        <v>254</v>
      </c>
      <c r="V63">
        <v>0</v>
      </c>
      <c r="W63">
        <v>0</v>
      </c>
      <c r="X63" t="s">
        <v>8</v>
      </c>
      <c r="Y63" s="74" t="str">
        <f ca="1">IF(Table15[[#This Row],[Type]]="KILL",IF(_xlfn.NUMBERVALUE(RIGHT(Table15[[#This Row],[Min]],LEN(Table15[[#This Row],[Min]])-FIND("-",Table15[[#This Row],[Min]])))&gt;INDIRECT(ADDRESS(11+MATCH(LEFT(Table15[[#This Row],[Min]],FIND("-",Table15[[#This Row],[Min]])-1),Table1[Content Sku],0),16,1,1,"Entities")),"review","ok"),"ok")</f>
        <v>ok</v>
      </c>
      <c r="Z63" t="s">
        <v>2768</v>
      </c>
      <c r="AA63">
        <v>1</v>
      </c>
      <c r="AB63" s="74">
        <f ca="1">(INDIRECT(ADDRESS(2+(MATCH(Table33[[#This Row],[SPAWNER]],Table40[SPAWNER],0)),2,1,1,"DATA_SCENES_UNITY_2")))</f>
        <v>1</v>
      </c>
      <c r="AK63" t="s">
        <v>2669</v>
      </c>
      <c r="AL63">
        <v>30000</v>
      </c>
      <c r="AM63">
        <v>0</v>
      </c>
      <c r="AN63" t="s">
        <v>205</v>
      </c>
      <c r="AO63" s="74" t="str">
        <f ca="1">IF(Table20[[#This Row],[Type]]="KILL",IF(_xlfn.NUMBERVALUE(RIGHT(Table20[[#This Row],[Min]],LEN(Table20[[#This Row],[Min]])-FIND("-",Table20[[#This Row],[Min]])))&gt;INDIRECT(ADDRESS(11+MATCH(LEFT(Table20[[#This Row],[Min]],FIND("-",Table20[[#This Row],[Min]])-1),Table1[Content Sku],0),18,1,1,"Entities")),"review","ok"),"ok")</f>
        <v>ok</v>
      </c>
      <c r="AP63" t="s">
        <v>122</v>
      </c>
      <c r="AQ63">
        <v>1</v>
      </c>
      <c r="AR63" s="74">
        <f ca="1">(INDIRECT(ADDRESS(2+(MATCH(Table32[[#This Row],[SPAWNER]],Table40[SPAWNER],0)),2,1,1,"DATA_SCENES_UNITY_2"))) * Table32[[#This Row],[QUANTITY]]</f>
        <v>3</v>
      </c>
    </row>
    <row r="64" spans="5:44" x14ac:dyDescent="0.25">
      <c r="E64" t="s">
        <v>311</v>
      </c>
      <c r="F64">
        <v>0</v>
      </c>
      <c r="G64">
        <v>0</v>
      </c>
      <c r="H64" t="s">
        <v>8</v>
      </c>
      <c r="I64" s="74" t="str">
        <f ca="1">IF(Table7[[#This Row],[Type]]="KILL",IF(_xlfn.NUMBERVALUE(RIGHT(Table7[[#This Row],[Min]],LEN(Table7[[#This Row],[Min]])-FIND("-",Table7[[#This Row],[Min]])))&gt;INDIRECT(ADDRESS(11+MATCH(LEFT(Table7[[#This Row],[Min]],FIND("-",Table7[[#This Row],[Min]])-1),Table1[Content Sku],0),16,1,1,"Entities")),"review","ok"),"ok")</f>
        <v>ok</v>
      </c>
      <c r="J64" t="s">
        <v>548</v>
      </c>
      <c r="K64">
        <v>3</v>
      </c>
      <c r="L64" s="74">
        <f ca="1">(INDIRECT(ADDRESS(2+(MATCH(Table34[[#This Row],[SPAWNER]],Table40[SPAWNER],0)),2,1,1,"DATA_SCENES_UNITY_2"))) * Table34[[#This Row],[QUANTITY]]</f>
        <v>6</v>
      </c>
      <c r="U64" t="s">
        <v>391</v>
      </c>
      <c r="V64">
        <v>24000</v>
      </c>
      <c r="W64">
        <v>0</v>
      </c>
      <c r="X64" t="s">
        <v>205</v>
      </c>
      <c r="Y64" s="74" t="str">
        <f ca="1">IF(Table15[[#This Row],[Type]]="KILL",IF(_xlfn.NUMBERVALUE(RIGHT(Table15[[#This Row],[Min]],LEN(Table15[[#This Row],[Min]])-FIND("-",Table15[[#This Row],[Min]])))&gt;INDIRECT(ADDRESS(11+MATCH(LEFT(Table15[[#This Row],[Min]],FIND("-",Table15[[#This Row],[Min]])-1),Table1[Content Sku],0),16,1,1,"Entities")),"review","ok"),"ok")</f>
        <v>ok</v>
      </c>
      <c r="Z64" t="s">
        <v>122</v>
      </c>
      <c r="AA64">
        <v>1</v>
      </c>
      <c r="AB64" s="74">
        <f ca="1">(INDIRECT(ADDRESS(2+(MATCH(Table33[[#This Row],[SPAWNER]],Table40[SPAWNER],0)),2,1,1,"DATA_SCENES_UNITY_2")))</f>
        <v>3</v>
      </c>
      <c r="AK64" t="s">
        <v>258</v>
      </c>
      <c r="AL64">
        <v>56000</v>
      </c>
      <c r="AM64">
        <v>0</v>
      </c>
      <c r="AN64" t="s">
        <v>205</v>
      </c>
      <c r="AO64" s="74" t="str">
        <f ca="1">IF(Table20[[#This Row],[Type]]="KILL",IF(_xlfn.NUMBERVALUE(RIGHT(Table20[[#This Row],[Min]],LEN(Table20[[#This Row],[Min]])-FIND("-",Table20[[#This Row],[Min]])))&gt;INDIRECT(ADDRESS(11+MATCH(LEFT(Table20[[#This Row],[Min]],FIND("-",Table20[[#This Row],[Min]])-1),Table1[Content Sku],0),18,1,1,"Entities")),"review","ok"),"ok")</f>
        <v>ok</v>
      </c>
      <c r="AP64" t="s">
        <v>122</v>
      </c>
      <c r="AQ64">
        <v>1</v>
      </c>
      <c r="AR64" s="74">
        <f ca="1">(INDIRECT(ADDRESS(2+(MATCH(Table32[[#This Row],[SPAWNER]],Table40[SPAWNER],0)),2,1,1,"DATA_SCENES_UNITY_2"))) * Table32[[#This Row],[QUANTITY]]</f>
        <v>3</v>
      </c>
    </row>
    <row r="65" spans="5:44" x14ac:dyDescent="0.25">
      <c r="E65" t="s">
        <v>393</v>
      </c>
      <c r="F65">
        <v>0</v>
      </c>
      <c r="G65">
        <v>0</v>
      </c>
      <c r="H65" t="s">
        <v>8</v>
      </c>
      <c r="I65" s="74" t="str">
        <f ca="1">IF(Table7[[#This Row],[Type]]="KILL",IF(_xlfn.NUMBERVALUE(RIGHT(Table7[[#This Row],[Min]],LEN(Table7[[#This Row],[Min]])-FIND("-",Table7[[#This Row],[Min]])))&gt;INDIRECT(ADDRESS(11+MATCH(LEFT(Table7[[#This Row],[Min]],FIND("-",Table7[[#This Row],[Min]])-1),Table1[Content Sku],0),16,1,1,"Entities")),"review","ok"),"ok")</f>
        <v>ok</v>
      </c>
      <c r="J65" t="s">
        <v>548</v>
      </c>
      <c r="K65">
        <v>3</v>
      </c>
      <c r="L65" s="74">
        <f ca="1">(INDIRECT(ADDRESS(2+(MATCH(Table34[[#This Row],[SPAWNER]],Table40[SPAWNER],0)),2,1,1,"DATA_SCENES_UNITY_2"))) * Table34[[#This Row],[QUANTITY]]</f>
        <v>6</v>
      </c>
      <c r="U65" t="s">
        <v>391</v>
      </c>
      <c r="V65">
        <v>0</v>
      </c>
      <c r="W65">
        <v>0</v>
      </c>
      <c r="X65" t="s">
        <v>8</v>
      </c>
      <c r="Y65" s="74" t="str">
        <f ca="1">IF(Table15[[#This Row],[Type]]="KILL",IF(_xlfn.NUMBERVALUE(RIGHT(Table15[[#This Row],[Min]],LEN(Table15[[#This Row],[Min]])-FIND("-",Table15[[#This Row],[Min]])))&gt;INDIRECT(ADDRESS(11+MATCH(LEFT(Table15[[#This Row],[Min]],FIND("-",Table15[[#This Row],[Min]])-1),Table1[Content Sku],0),16,1,1,"Entities")),"review","ok"),"ok")</f>
        <v>ok</v>
      </c>
      <c r="Z65" t="s">
        <v>2768</v>
      </c>
      <c r="AA65">
        <v>1</v>
      </c>
      <c r="AB65" s="74">
        <f ca="1">(INDIRECT(ADDRESS(2+(MATCH(Table33[[#This Row],[SPAWNER]],Table40[SPAWNER],0)),2,1,1,"DATA_SCENES_UNITY_2")))</f>
        <v>1</v>
      </c>
      <c r="AK65" t="s">
        <v>540</v>
      </c>
      <c r="AL65">
        <v>0</v>
      </c>
      <c r="AM65">
        <v>0</v>
      </c>
      <c r="AN65" t="s">
        <v>8</v>
      </c>
      <c r="AO65" s="74" t="str">
        <f ca="1">IF(Table20[[#This Row],[Type]]="KILL",IF(_xlfn.NUMBERVALUE(RIGHT(Table20[[#This Row],[Min]],LEN(Table20[[#This Row],[Min]])-FIND("-",Table20[[#This Row],[Min]])))&gt;INDIRECT(ADDRESS(11+MATCH(LEFT(Table20[[#This Row],[Min]],FIND("-",Table20[[#This Row],[Min]])-1),Table1[Content Sku],0),18,1,1,"Entities")),"review","ok"),"ok")</f>
        <v>ok</v>
      </c>
      <c r="AP65" t="s">
        <v>548</v>
      </c>
      <c r="AQ65">
        <v>22</v>
      </c>
      <c r="AR65" s="74">
        <f ca="1">(INDIRECT(ADDRESS(2+(MATCH(Table32[[#This Row],[SPAWNER]],Table40[SPAWNER],0)),2,1,1,"DATA_SCENES_UNITY_2"))) * Table32[[#This Row],[QUANTITY]]</f>
        <v>44</v>
      </c>
    </row>
    <row r="66" spans="5:44" x14ac:dyDescent="0.25">
      <c r="E66" t="s">
        <v>313</v>
      </c>
      <c r="F66">
        <v>0</v>
      </c>
      <c r="G66">
        <v>0</v>
      </c>
      <c r="H66" t="s">
        <v>8</v>
      </c>
      <c r="I66" s="74" t="str">
        <f ca="1">IF(Table7[[#This Row],[Type]]="KILL",IF(_xlfn.NUMBERVALUE(RIGHT(Table7[[#This Row],[Min]],LEN(Table7[[#This Row],[Min]])-FIND("-",Table7[[#This Row],[Min]])))&gt;INDIRECT(ADDRESS(11+MATCH(LEFT(Table7[[#This Row],[Min]],FIND("-",Table7[[#This Row],[Min]])-1),Table1[Content Sku],0),16,1,1,"Entities")),"review","ok"),"ok")</f>
        <v>ok</v>
      </c>
      <c r="J66" t="s">
        <v>548</v>
      </c>
      <c r="K66">
        <v>3</v>
      </c>
      <c r="L66" s="74">
        <f ca="1">(INDIRECT(ADDRESS(2+(MATCH(Table34[[#This Row],[SPAWNER]],Table40[SPAWNER],0)),2,1,1,"DATA_SCENES_UNITY_2"))) * Table34[[#This Row],[QUANTITY]]</f>
        <v>6</v>
      </c>
      <c r="U66" t="s">
        <v>400</v>
      </c>
      <c r="V66">
        <v>25000</v>
      </c>
      <c r="W66">
        <v>0</v>
      </c>
      <c r="X66" t="s">
        <v>205</v>
      </c>
      <c r="Y66" s="74" t="str">
        <f ca="1">IF(Table15[[#This Row],[Type]]="KILL",IF(_xlfn.NUMBERVALUE(RIGHT(Table15[[#This Row],[Min]],LEN(Table15[[#This Row],[Min]])-FIND("-",Table15[[#This Row],[Min]])))&gt;INDIRECT(ADDRESS(11+MATCH(LEFT(Table15[[#This Row],[Min]],FIND("-",Table15[[#This Row],[Min]])-1),Table1[Content Sku],0),16,1,1,"Entities")),"review","ok"),"ok")</f>
        <v>ok</v>
      </c>
      <c r="Z66" t="s">
        <v>2768</v>
      </c>
      <c r="AA66">
        <v>1</v>
      </c>
      <c r="AB66" s="74">
        <f ca="1">(INDIRECT(ADDRESS(2+(MATCH(Table33[[#This Row],[SPAWNER]],Table40[SPAWNER],0)),2,1,1,"DATA_SCENES_UNITY_2")))</f>
        <v>1</v>
      </c>
      <c r="AK66" t="s">
        <v>315</v>
      </c>
      <c r="AL66">
        <v>0</v>
      </c>
      <c r="AM66">
        <v>0</v>
      </c>
      <c r="AN66" t="s">
        <v>8</v>
      </c>
      <c r="AO66" s="74" t="str">
        <f ca="1">IF(Table20[[#This Row],[Type]]="KILL",IF(_xlfn.NUMBERVALUE(RIGHT(Table20[[#This Row],[Min]],LEN(Table20[[#This Row],[Min]])-FIND("-",Table20[[#This Row],[Min]])))&gt;INDIRECT(ADDRESS(11+MATCH(LEFT(Table20[[#This Row],[Min]],FIND("-",Table20[[#This Row],[Min]])-1),Table1[Content Sku],0),18,1,1,"Entities")),"review","ok"),"ok")</f>
        <v>ok</v>
      </c>
      <c r="AP66" t="s">
        <v>548</v>
      </c>
      <c r="AQ66">
        <v>1</v>
      </c>
      <c r="AR66" s="74">
        <f ca="1">(INDIRECT(ADDRESS(2+(MATCH(Table32[[#This Row],[SPAWNER]],Table40[SPAWNER],0)),2,1,1,"DATA_SCENES_UNITY_2"))) * Table32[[#This Row],[QUANTITY]]</f>
        <v>2</v>
      </c>
    </row>
    <row r="67" spans="5:44" x14ac:dyDescent="0.25">
      <c r="E67" t="s">
        <v>313</v>
      </c>
      <c r="F67">
        <v>0</v>
      </c>
      <c r="G67">
        <v>0</v>
      </c>
      <c r="H67" t="s">
        <v>8</v>
      </c>
      <c r="I67" s="74" t="str">
        <f ca="1">IF(Table7[[#This Row],[Type]]="KILL",IF(_xlfn.NUMBERVALUE(RIGHT(Table7[[#This Row],[Min]],LEN(Table7[[#This Row],[Min]])-FIND("-",Table7[[#This Row],[Min]])))&gt;INDIRECT(ADDRESS(11+MATCH(LEFT(Table7[[#This Row],[Min]],FIND("-",Table7[[#This Row],[Min]])-1),Table1[Content Sku],0),16,1,1,"Entities")),"review","ok"),"ok")</f>
        <v>ok</v>
      </c>
      <c r="J67" t="s">
        <v>548</v>
      </c>
      <c r="K67">
        <v>2</v>
      </c>
      <c r="L67" s="74">
        <f ca="1">(INDIRECT(ADDRESS(2+(MATCH(Table34[[#This Row],[SPAWNER]],Table40[SPAWNER],0)),2,1,1,"DATA_SCENES_UNITY_2"))) * Table34[[#This Row],[QUANTITY]]</f>
        <v>4</v>
      </c>
      <c r="U67" t="s">
        <v>400</v>
      </c>
      <c r="V67">
        <v>0</v>
      </c>
      <c r="W67">
        <v>0</v>
      </c>
      <c r="X67" t="s">
        <v>8</v>
      </c>
      <c r="Y67" s="74" t="str">
        <f ca="1">IF(Table15[[#This Row],[Type]]="KILL",IF(_xlfn.NUMBERVALUE(RIGHT(Table15[[#This Row],[Min]],LEN(Table15[[#This Row],[Min]])-FIND("-",Table15[[#This Row],[Min]])))&gt;INDIRECT(ADDRESS(11+MATCH(LEFT(Table15[[#This Row],[Min]],FIND("-",Table15[[#This Row],[Min]])-1),Table1[Content Sku],0),16,1,1,"Entities")),"review","ok"),"ok")</f>
        <v>ok</v>
      </c>
      <c r="Z67" t="s">
        <v>122</v>
      </c>
      <c r="AA67">
        <v>1</v>
      </c>
      <c r="AB67" s="74">
        <f ca="1">(INDIRECT(ADDRESS(2+(MATCH(Table33[[#This Row],[SPAWNER]],Table40[SPAWNER],0)),2,1,1,"DATA_SCENES_UNITY_2")))</f>
        <v>3</v>
      </c>
      <c r="AK67" t="s">
        <v>2747</v>
      </c>
      <c r="AL67">
        <v>0</v>
      </c>
      <c r="AM67">
        <v>0</v>
      </c>
      <c r="AN67" t="s">
        <v>8</v>
      </c>
      <c r="AO67" s="74" t="str">
        <f ca="1">IF(Table20[[#This Row],[Type]]="KILL",IF(_xlfn.NUMBERVALUE(RIGHT(Table20[[#This Row],[Min]],LEN(Table20[[#This Row],[Min]])-FIND("-",Table20[[#This Row],[Min]])))&gt;INDIRECT(ADDRESS(11+MATCH(LEFT(Table20[[#This Row],[Min]],FIND("-",Table20[[#This Row],[Min]])-1),Table1[Content Sku],0),18,1,1,"Entities")),"review","ok"),"ok")</f>
        <v>ok</v>
      </c>
      <c r="AP67" t="s">
        <v>122</v>
      </c>
      <c r="AQ67">
        <v>1</v>
      </c>
      <c r="AR67" s="74">
        <f ca="1">(INDIRECT(ADDRESS(2+(MATCH(Table32[[#This Row],[SPAWNER]],Table40[SPAWNER],0)),2,1,1,"DATA_SCENES_UNITY_2"))) * Table32[[#This Row],[QUANTITY]]</f>
        <v>3</v>
      </c>
    </row>
    <row r="68" spans="5:44" x14ac:dyDescent="0.25">
      <c r="E68" t="s">
        <v>313</v>
      </c>
      <c r="F68">
        <v>0</v>
      </c>
      <c r="G68">
        <v>0</v>
      </c>
      <c r="H68" t="s">
        <v>8</v>
      </c>
      <c r="I68" s="74" t="str">
        <f ca="1">IF(Table7[[#This Row],[Type]]="KILL",IF(_xlfn.NUMBERVALUE(RIGHT(Table7[[#This Row],[Min]],LEN(Table7[[#This Row],[Min]])-FIND("-",Table7[[#This Row],[Min]])))&gt;INDIRECT(ADDRESS(11+MATCH(LEFT(Table7[[#This Row],[Min]],FIND("-",Table7[[#This Row],[Min]])-1),Table1[Content Sku],0),16,1,1,"Entities")),"review","ok"),"ok")</f>
        <v>ok</v>
      </c>
      <c r="J68" t="s">
        <v>548</v>
      </c>
      <c r="K68">
        <v>3</v>
      </c>
      <c r="L68" s="74">
        <f ca="1">(INDIRECT(ADDRESS(2+(MATCH(Table34[[#This Row],[SPAWNER]],Table40[SPAWNER],0)),2,1,1,"DATA_SCENES_UNITY_2"))) * Table34[[#This Row],[QUANTITY]]</f>
        <v>6</v>
      </c>
      <c r="U68" t="s">
        <v>37</v>
      </c>
      <c r="V68">
        <v>0</v>
      </c>
      <c r="W68">
        <v>0</v>
      </c>
      <c r="X68" t="s">
        <v>8</v>
      </c>
      <c r="Y68" s="74" t="str">
        <f ca="1">IF(Table15[[#This Row],[Type]]="KILL",IF(_xlfn.NUMBERVALUE(RIGHT(Table15[[#This Row],[Min]],LEN(Table15[[#This Row],[Min]])-FIND("-",Table15[[#This Row],[Min]])))&gt;INDIRECT(ADDRESS(11+MATCH(LEFT(Table15[[#This Row],[Min]],FIND("-",Table15[[#This Row],[Min]])-1),Table1[Content Sku],0),16,1,1,"Entities")),"review","ok"),"ok")</f>
        <v>ok</v>
      </c>
      <c r="Z68" t="s">
        <v>122</v>
      </c>
      <c r="AA68">
        <v>1</v>
      </c>
      <c r="AB68" s="74">
        <f ca="1">(INDIRECT(ADDRESS(2+(MATCH(Table33[[#This Row],[SPAWNER]],Table40[SPAWNER],0)),2,1,1,"DATA_SCENES_UNITY_2")))</f>
        <v>3</v>
      </c>
      <c r="AK68" t="s">
        <v>2670</v>
      </c>
      <c r="AL68">
        <v>0</v>
      </c>
      <c r="AM68">
        <v>0</v>
      </c>
      <c r="AN68" t="s">
        <v>8</v>
      </c>
      <c r="AO68" s="74" t="str">
        <f ca="1">IF(Table20[[#This Row],[Type]]="KILL",IF(_xlfn.NUMBERVALUE(RIGHT(Table20[[#This Row],[Min]],LEN(Table20[[#This Row],[Min]])-FIND("-",Table20[[#This Row],[Min]])))&gt;INDIRECT(ADDRESS(11+MATCH(LEFT(Table20[[#This Row],[Min]],FIND("-",Table20[[#This Row],[Min]])-1),Table1[Content Sku],0),18,1,1,"Entities")),"review","ok"),"ok")</f>
        <v>ok</v>
      </c>
      <c r="AP68" t="s">
        <v>122</v>
      </c>
      <c r="AQ68">
        <v>1</v>
      </c>
      <c r="AR68" s="74">
        <f ca="1">(INDIRECT(ADDRESS(2+(MATCH(Table32[[#This Row],[SPAWNER]],Table40[SPAWNER],0)),2,1,1,"DATA_SCENES_UNITY_2"))) * Table32[[#This Row],[QUANTITY]]</f>
        <v>3</v>
      </c>
    </row>
    <row r="69" spans="5:44" x14ac:dyDescent="0.25">
      <c r="E69" t="s">
        <v>391</v>
      </c>
      <c r="F69">
        <v>0</v>
      </c>
      <c r="G69">
        <v>0</v>
      </c>
      <c r="H69" t="s">
        <v>8</v>
      </c>
      <c r="I69" s="74" t="str">
        <f ca="1">IF(Table7[[#This Row],[Type]]="KILL",IF(_xlfn.NUMBERVALUE(RIGHT(Table7[[#This Row],[Min]],LEN(Table7[[#This Row],[Min]])-FIND("-",Table7[[#This Row],[Min]])))&gt;INDIRECT(ADDRESS(11+MATCH(LEFT(Table7[[#This Row],[Min]],FIND("-",Table7[[#This Row],[Min]])-1),Table1[Content Sku],0),16,1,1,"Entities")),"review","ok"),"ok")</f>
        <v>ok</v>
      </c>
      <c r="J69" t="s">
        <v>548</v>
      </c>
      <c r="K69">
        <v>1</v>
      </c>
      <c r="L69" s="74">
        <f ca="1">(INDIRECT(ADDRESS(2+(MATCH(Table34[[#This Row],[SPAWNER]],Table40[SPAWNER],0)),2,1,1,"DATA_SCENES_UNITY_2"))) * Table34[[#This Row],[QUANTITY]]</f>
        <v>2</v>
      </c>
      <c r="U69" t="s">
        <v>254</v>
      </c>
      <c r="V69">
        <v>18100</v>
      </c>
      <c r="W69">
        <v>0</v>
      </c>
      <c r="X69" t="s">
        <v>205</v>
      </c>
      <c r="Y69" s="74" t="str">
        <f ca="1">IF(Table15[[#This Row],[Type]]="KILL",IF(_xlfn.NUMBERVALUE(RIGHT(Table15[[#This Row],[Min]],LEN(Table15[[#This Row],[Min]])-FIND("-",Table15[[#This Row],[Min]])))&gt;INDIRECT(ADDRESS(11+MATCH(LEFT(Table15[[#This Row],[Min]],FIND("-",Table15[[#This Row],[Min]])-1),Table1[Content Sku],0),16,1,1,"Entities")),"review","ok"),"ok")</f>
        <v>ok</v>
      </c>
      <c r="Z69" t="s">
        <v>122</v>
      </c>
      <c r="AA69">
        <v>1</v>
      </c>
      <c r="AB69" s="74">
        <f ca="1">(INDIRECT(ADDRESS(2+(MATCH(Table33[[#This Row],[SPAWNER]],Table40[SPAWNER],0)),2,1,1,"DATA_SCENES_UNITY_2")))</f>
        <v>3</v>
      </c>
      <c r="AK69" t="s">
        <v>2671</v>
      </c>
      <c r="AL69">
        <v>0</v>
      </c>
      <c r="AM69">
        <v>0</v>
      </c>
      <c r="AN69" t="s">
        <v>8</v>
      </c>
      <c r="AO69" s="74" t="str">
        <f ca="1">IF(Table20[[#This Row],[Type]]="KILL",IF(_xlfn.NUMBERVALUE(RIGHT(Table20[[#This Row],[Min]],LEN(Table20[[#This Row],[Min]])-FIND("-",Table20[[#This Row],[Min]])))&gt;INDIRECT(ADDRESS(11+MATCH(LEFT(Table20[[#This Row],[Min]],FIND("-",Table20[[#This Row],[Min]])-1),Table1[Content Sku],0),18,1,1,"Entities")),"review","ok"),"ok")</f>
        <v>ok</v>
      </c>
      <c r="AP69" t="s">
        <v>2768</v>
      </c>
      <c r="AQ69">
        <v>1</v>
      </c>
      <c r="AR69" s="74">
        <f ca="1">(INDIRECT(ADDRESS(2+(MATCH(Table32[[#This Row],[SPAWNER]],Table40[SPAWNER],0)),2,1,1,"DATA_SCENES_UNITY_2"))) * Table32[[#This Row],[QUANTITY]]</f>
        <v>1</v>
      </c>
    </row>
    <row r="70" spans="5:44" x14ac:dyDescent="0.25">
      <c r="E70" t="s">
        <v>396</v>
      </c>
      <c r="F70">
        <v>5500</v>
      </c>
      <c r="G70">
        <v>0</v>
      </c>
      <c r="H70" t="s">
        <v>205</v>
      </c>
      <c r="I70" s="74" t="str">
        <f ca="1">IF(Table7[[#This Row],[Type]]="KILL",IF(_xlfn.NUMBERVALUE(RIGHT(Table7[[#This Row],[Min]],LEN(Table7[[#This Row],[Min]])-FIND("-",Table7[[#This Row],[Min]])))&gt;INDIRECT(ADDRESS(11+MATCH(LEFT(Table7[[#This Row],[Min]],FIND("-",Table7[[#This Row],[Min]])-1),Table1[Content Sku],0),16,1,1,"Entities")),"review","ok"),"ok")</f>
        <v>ok</v>
      </c>
      <c r="J70" t="s">
        <v>122</v>
      </c>
      <c r="K70">
        <v>1</v>
      </c>
      <c r="L70" s="74">
        <f ca="1">(INDIRECT(ADDRESS(2+(MATCH(Table34[[#This Row],[SPAWNER]],Table40[SPAWNER],0)),2,1,1,"DATA_SCENES_UNITY_2"))) * Table34[[#This Row],[QUANTITY]]</f>
        <v>3</v>
      </c>
      <c r="U70" t="s">
        <v>311</v>
      </c>
      <c r="V70">
        <v>0</v>
      </c>
      <c r="W70">
        <v>0</v>
      </c>
      <c r="X70" t="s">
        <v>8</v>
      </c>
      <c r="Y70" s="74" t="str">
        <f ca="1">IF(Table15[[#This Row],[Type]]="KILL",IF(_xlfn.NUMBERVALUE(RIGHT(Table15[[#This Row],[Min]],LEN(Table15[[#This Row],[Min]])-FIND("-",Table15[[#This Row],[Min]])))&gt;INDIRECT(ADDRESS(11+MATCH(LEFT(Table15[[#This Row],[Min]],FIND("-",Table15[[#This Row],[Min]])-1),Table1[Content Sku],0),16,1,1,"Entities")),"review","ok"),"ok")</f>
        <v>ok</v>
      </c>
      <c r="Z70" t="s">
        <v>2768</v>
      </c>
      <c r="AA70">
        <v>1</v>
      </c>
      <c r="AB70" s="74">
        <f ca="1">(INDIRECT(ADDRESS(2+(MATCH(Table33[[#This Row],[SPAWNER]],Table40[SPAWNER],0)),2,1,1,"DATA_SCENES_UNITY_2")))</f>
        <v>1</v>
      </c>
      <c r="AK70" t="s">
        <v>2669</v>
      </c>
      <c r="AL70">
        <v>0</v>
      </c>
      <c r="AM70">
        <v>0</v>
      </c>
      <c r="AN70" t="s">
        <v>8</v>
      </c>
      <c r="AO70" s="74" t="str">
        <f ca="1">IF(Table20[[#This Row],[Type]]="KILL",IF(_xlfn.NUMBERVALUE(RIGHT(Table20[[#This Row],[Min]],LEN(Table20[[#This Row],[Min]])-FIND("-",Table20[[#This Row],[Min]])))&gt;INDIRECT(ADDRESS(11+MATCH(LEFT(Table20[[#This Row],[Min]],FIND("-",Table20[[#This Row],[Min]])-1),Table1[Content Sku],0),18,1,1,"Entities")),"review","ok"),"ok")</f>
        <v>ok</v>
      </c>
      <c r="AP70" t="s">
        <v>2768</v>
      </c>
      <c r="AQ70">
        <v>1</v>
      </c>
      <c r="AR70" s="74">
        <f ca="1">(INDIRECT(ADDRESS(2+(MATCH(Table32[[#This Row],[SPAWNER]],Table40[SPAWNER],0)),2,1,1,"DATA_SCENES_UNITY_2"))) * Table32[[#This Row],[QUANTITY]]</f>
        <v>1</v>
      </c>
    </row>
    <row r="71" spans="5:44" x14ac:dyDescent="0.25">
      <c r="E71" t="s">
        <v>396</v>
      </c>
      <c r="F71">
        <v>30000</v>
      </c>
      <c r="G71">
        <v>0</v>
      </c>
      <c r="H71" t="s">
        <v>205</v>
      </c>
      <c r="I71" s="74" t="str">
        <f ca="1">IF(Table7[[#This Row],[Type]]="KILL",IF(_xlfn.NUMBERVALUE(RIGHT(Table7[[#This Row],[Min]],LEN(Table7[[#This Row],[Min]])-FIND("-",Table7[[#This Row],[Min]])))&gt;INDIRECT(ADDRESS(11+MATCH(LEFT(Table7[[#This Row],[Min]],FIND("-",Table7[[#This Row],[Min]])-1),Table1[Content Sku],0),16,1,1,"Entities")),"review","ok"),"ok")</f>
        <v>ok</v>
      </c>
      <c r="J71" t="s">
        <v>548</v>
      </c>
      <c r="K71">
        <v>3</v>
      </c>
      <c r="L71" s="74">
        <f ca="1">(INDIRECT(ADDRESS(2+(MATCH(Table34[[#This Row],[SPAWNER]],Table40[SPAWNER],0)),2,1,1,"DATA_SCENES_UNITY_2"))) * Table34[[#This Row],[QUANTITY]]</f>
        <v>6</v>
      </c>
      <c r="U71" t="s">
        <v>289</v>
      </c>
      <c r="V71">
        <v>0</v>
      </c>
      <c r="W71">
        <v>0</v>
      </c>
      <c r="X71" t="s">
        <v>8</v>
      </c>
      <c r="Y71" s="74" t="str">
        <f ca="1">IF(Table15[[#This Row],[Type]]="KILL",IF(_xlfn.NUMBERVALUE(RIGHT(Table15[[#This Row],[Min]],LEN(Table15[[#This Row],[Min]])-FIND("-",Table15[[#This Row],[Min]])))&gt;INDIRECT(ADDRESS(11+MATCH(LEFT(Table15[[#This Row],[Min]],FIND("-",Table15[[#This Row],[Min]])-1),Table1[Content Sku],0),16,1,1,"Entities")),"review","ok"),"ok")</f>
        <v>ok</v>
      </c>
      <c r="Z71" t="s">
        <v>122</v>
      </c>
      <c r="AA71">
        <v>1</v>
      </c>
      <c r="AB71" s="74">
        <f ca="1">(INDIRECT(ADDRESS(2+(MATCH(Table33[[#This Row],[SPAWNER]],Table40[SPAWNER],0)),2,1,1,"DATA_SCENES_UNITY_2")))</f>
        <v>3</v>
      </c>
      <c r="AK71" t="s">
        <v>548</v>
      </c>
      <c r="AL71">
        <v>0</v>
      </c>
      <c r="AM71">
        <v>0</v>
      </c>
      <c r="AN71" t="s">
        <v>8</v>
      </c>
      <c r="AO71" s="74" t="str">
        <f ca="1">IF(Table20[[#This Row],[Type]]="KILL",IF(_xlfn.NUMBERVALUE(RIGHT(Table20[[#This Row],[Min]],LEN(Table20[[#This Row],[Min]])-FIND("-",Table20[[#This Row],[Min]])))&gt;INDIRECT(ADDRESS(11+MATCH(LEFT(Table20[[#This Row],[Min]],FIND("-",Table20[[#This Row],[Min]])-1),Table1[Content Sku],0),18,1,1,"Entities")),"review","ok"),"ok")</f>
        <v>ok</v>
      </c>
      <c r="AP71" t="s">
        <v>548</v>
      </c>
      <c r="AQ71">
        <v>2</v>
      </c>
      <c r="AR71" s="74">
        <f ca="1">(INDIRECT(ADDRESS(2+(MATCH(Table32[[#This Row],[SPAWNER]],Table40[SPAWNER],0)),2,1,1,"DATA_SCENES_UNITY_2"))) * Table32[[#This Row],[QUANTITY]]</f>
        <v>4</v>
      </c>
    </row>
    <row r="72" spans="5:44" x14ac:dyDescent="0.25">
      <c r="E72" t="s">
        <v>90</v>
      </c>
      <c r="F72">
        <v>0</v>
      </c>
      <c r="G72">
        <v>0</v>
      </c>
      <c r="H72" t="s">
        <v>8</v>
      </c>
      <c r="I72" s="74" t="str">
        <f ca="1">IF(Table7[[#This Row],[Type]]="KILL",IF(_xlfn.NUMBERVALUE(RIGHT(Table7[[#This Row],[Min]],LEN(Table7[[#This Row],[Min]])-FIND("-",Table7[[#This Row],[Min]])))&gt;INDIRECT(ADDRESS(11+MATCH(LEFT(Table7[[#This Row],[Min]],FIND("-",Table7[[#This Row],[Min]])-1),Table1[Content Sku],0),16,1,1,"Entities")),"review","ok"),"ok")</f>
        <v>ok</v>
      </c>
      <c r="J72" t="s">
        <v>548</v>
      </c>
      <c r="K72">
        <v>4</v>
      </c>
      <c r="L72" s="74">
        <f ca="1">(INDIRECT(ADDRESS(2+(MATCH(Table34[[#This Row],[SPAWNER]],Table40[SPAWNER],0)),2,1,1,"DATA_SCENES_UNITY_2"))) * Table34[[#This Row],[QUANTITY]]</f>
        <v>8</v>
      </c>
      <c r="U72" t="s">
        <v>254</v>
      </c>
      <c r="V72">
        <v>0</v>
      </c>
      <c r="W72">
        <v>0</v>
      </c>
      <c r="X72" t="s">
        <v>8</v>
      </c>
      <c r="Y72" s="74" t="str">
        <f ca="1">IF(Table15[[#This Row],[Type]]="KILL",IF(_xlfn.NUMBERVALUE(RIGHT(Table15[[#This Row],[Min]],LEN(Table15[[#This Row],[Min]])-FIND("-",Table15[[#This Row],[Min]])))&gt;INDIRECT(ADDRESS(11+MATCH(LEFT(Table15[[#This Row],[Min]],FIND("-",Table15[[#This Row],[Min]])-1),Table1[Content Sku],0),16,1,1,"Entities")),"review","ok"),"ok")</f>
        <v>ok</v>
      </c>
      <c r="Z72" t="s">
        <v>548</v>
      </c>
      <c r="AA72">
        <v>1</v>
      </c>
      <c r="AB72" s="74">
        <f ca="1">(INDIRECT(ADDRESS(2+(MATCH(Table33[[#This Row],[SPAWNER]],Table40[SPAWNER],0)),2,1,1,"DATA_SCENES_UNITY_2")))</f>
        <v>2</v>
      </c>
      <c r="AK72" t="s">
        <v>4430</v>
      </c>
      <c r="AL72">
        <v>0</v>
      </c>
      <c r="AM72">
        <v>0</v>
      </c>
      <c r="AN72" t="s">
        <v>8</v>
      </c>
      <c r="AO72" s="74" t="str">
        <f ca="1">IF(Table20[[#This Row],[Type]]="KILL",IF(_xlfn.NUMBERVALUE(RIGHT(Table20[[#This Row],[Min]],LEN(Table20[[#This Row],[Min]])-FIND("-",Table20[[#This Row],[Min]])))&gt;INDIRECT(ADDRESS(11+MATCH(LEFT(Table20[[#This Row],[Min]],FIND("-",Table20[[#This Row],[Min]])-1),Table1[Content Sku],0),18,1,1,"Entities")),"review","ok"),"ok")</f>
        <v>ok</v>
      </c>
      <c r="AP72" t="s">
        <v>548</v>
      </c>
      <c r="AQ72">
        <v>3</v>
      </c>
      <c r="AR72" s="74">
        <f ca="1">(INDIRECT(ADDRESS(2+(MATCH(Table32[[#This Row],[SPAWNER]],Table40[SPAWNER],0)),2,1,1,"DATA_SCENES_UNITY_2"))) * Table32[[#This Row],[QUANTITY]]</f>
        <v>6</v>
      </c>
    </row>
    <row r="73" spans="5:44" x14ac:dyDescent="0.25">
      <c r="E73" t="s">
        <v>257</v>
      </c>
      <c r="F73">
        <v>0</v>
      </c>
      <c r="G73">
        <v>0</v>
      </c>
      <c r="H73" t="s">
        <v>8</v>
      </c>
      <c r="I73" s="74" t="str">
        <f ca="1">IF(Table7[[#This Row],[Type]]="KILL",IF(_xlfn.NUMBERVALUE(RIGHT(Table7[[#This Row],[Min]],LEN(Table7[[#This Row],[Min]])-FIND("-",Table7[[#This Row],[Min]])))&gt;INDIRECT(ADDRESS(11+MATCH(LEFT(Table7[[#This Row],[Min]],FIND("-",Table7[[#This Row],[Min]])-1),Table1[Content Sku],0),16,1,1,"Entities")),"review","ok"),"ok")</f>
        <v>ok</v>
      </c>
      <c r="J73" t="s">
        <v>548</v>
      </c>
      <c r="K73">
        <v>2</v>
      </c>
      <c r="L73" s="74">
        <f ca="1">(INDIRECT(ADDRESS(2+(MATCH(Table34[[#This Row],[SPAWNER]],Table40[SPAWNER],0)),2,1,1,"DATA_SCENES_UNITY_2"))) * Table34[[#This Row],[QUANTITY]]</f>
        <v>4</v>
      </c>
      <c r="U73" t="s">
        <v>1</v>
      </c>
      <c r="V73">
        <v>0</v>
      </c>
      <c r="W73">
        <v>0</v>
      </c>
      <c r="X73" t="s">
        <v>8</v>
      </c>
      <c r="Y73" s="74" t="str">
        <f ca="1">IF(Table15[[#This Row],[Type]]="KILL",IF(_xlfn.NUMBERVALUE(RIGHT(Table15[[#This Row],[Min]],LEN(Table15[[#This Row],[Min]])-FIND("-",Table15[[#This Row],[Min]])))&gt;INDIRECT(ADDRESS(11+MATCH(LEFT(Table15[[#This Row],[Min]],FIND("-",Table15[[#This Row],[Min]])-1),Table1[Content Sku],0),16,1,1,"Entities")),"review","ok"),"ok")</f>
        <v>ok</v>
      </c>
      <c r="Z73" t="s">
        <v>2768</v>
      </c>
      <c r="AA73">
        <v>1</v>
      </c>
      <c r="AB73" s="74">
        <f ca="1">(INDIRECT(ADDRESS(2+(MATCH(Table33[[#This Row],[SPAWNER]],Table40[SPAWNER],0)),2,1,1,"DATA_SCENES_UNITY_2")))</f>
        <v>1</v>
      </c>
      <c r="AK73" t="s">
        <v>41</v>
      </c>
      <c r="AL73">
        <v>38000</v>
      </c>
      <c r="AM73">
        <v>0</v>
      </c>
      <c r="AN73" t="s">
        <v>205</v>
      </c>
      <c r="AO73" s="74" t="str">
        <f ca="1">IF(Table20[[#This Row],[Type]]="KILL",IF(_xlfn.NUMBERVALUE(RIGHT(Table20[[#This Row],[Min]],LEN(Table20[[#This Row],[Min]])-FIND("-",Table20[[#This Row],[Min]])))&gt;INDIRECT(ADDRESS(11+MATCH(LEFT(Table20[[#This Row],[Min]],FIND("-",Table20[[#This Row],[Min]])-1),Table1[Content Sku],0),18,1,1,"Entities")),"review","ok"),"ok")</f>
        <v>ok</v>
      </c>
      <c r="AP73" t="s">
        <v>122</v>
      </c>
      <c r="AQ73">
        <v>1</v>
      </c>
      <c r="AR73" s="74">
        <f ca="1">(INDIRECT(ADDRESS(2+(MATCH(Table32[[#This Row],[SPAWNER]],Table40[SPAWNER],0)),2,1,1,"DATA_SCENES_UNITY_2"))) * Table32[[#This Row],[QUANTITY]]</f>
        <v>3</v>
      </c>
    </row>
    <row r="74" spans="5:44" x14ac:dyDescent="0.25">
      <c r="E74" t="s">
        <v>396</v>
      </c>
      <c r="F74">
        <v>0</v>
      </c>
      <c r="G74">
        <v>0</v>
      </c>
      <c r="H74" t="s">
        <v>8</v>
      </c>
      <c r="I74" s="74" t="str">
        <f ca="1">IF(Table7[[#This Row],[Type]]="KILL",IF(_xlfn.NUMBERVALUE(RIGHT(Table7[[#This Row],[Min]],LEN(Table7[[#This Row],[Min]])-FIND("-",Table7[[#This Row],[Min]])))&gt;INDIRECT(ADDRESS(11+MATCH(LEFT(Table7[[#This Row],[Min]],FIND("-",Table7[[#This Row],[Min]])-1),Table1[Content Sku],0),16,1,1,"Entities")),"review","ok"),"ok")</f>
        <v>ok</v>
      </c>
      <c r="J74" t="s">
        <v>548</v>
      </c>
      <c r="K74">
        <v>8</v>
      </c>
      <c r="L74" s="74">
        <f ca="1">(INDIRECT(ADDRESS(2+(MATCH(Table34[[#This Row],[SPAWNER]],Table40[SPAWNER],0)),2,1,1,"DATA_SCENES_UNITY_2"))) * Table34[[#This Row],[QUANTITY]]</f>
        <v>16</v>
      </c>
      <c r="U74" t="s">
        <v>313</v>
      </c>
      <c r="V74">
        <v>0</v>
      </c>
      <c r="W74">
        <v>0</v>
      </c>
      <c r="X74" t="s">
        <v>8</v>
      </c>
      <c r="Y74" s="74" t="str">
        <f ca="1">IF(Table15[[#This Row],[Type]]="KILL",IF(_xlfn.NUMBERVALUE(RIGHT(Table15[[#This Row],[Min]],LEN(Table15[[#This Row],[Min]])-FIND("-",Table15[[#This Row],[Min]])))&gt;INDIRECT(ADDRESS(11+MATCH(LEFT(Table15[[#This Row],[Min]],FIND("-",Table15[[#This Row],[Min]])-1),Table1[Content Sku],0),16,1,1,"Entities")),"review","ok"),"ok")</f>
        <v>ok</v>
      </c>
      <c r="Z74" t="s">
        <v>2768</v>
      </c>
      <c r="AA74">
        <v>1</v>
      </c>
      <c r="AB74" s="74">
        <f ca="1">(INDIRECT(ADDRESS(2+(MATCH(Table33[[#This Row],[SPAWNER]],Table40[SPAWNER],0)),2,1,1,"DATA_SCENES_UNITY_2")))</f>
        <v>1</v>
      </c>
      <c r="AK74" t="s">
        <v>313</v>
      </c>
      <c r="AL74">
        <v>0</v>
      </c>
      <c r="AM74">
        <v>0</v>
      </c>
      <c r="AN74" t="s">
        <v>8</v>
      </c>
      <c r="AO74" s="74" t="str">
        <f ca="1">IF(Table20[[#This Row],[Type]]="KILL",IF(_xlfn.NUMBERVALUE(RIGHT(Table20[[#This Row],[Min]],LEN(Table20[[#This Row],[Min]])-FIND("-",Table20[[#This Row],[Min]])))&gt;INDIRECT(ADDRESS(11+MATCH(LEFT(Table20[[#This Row],[Min]],FIND("-",Table20[[#This Row],[Min]])-1),Table1[Content Sku],0),18,1,1,"Entities")),"review","ok"),"ok")</f>
        <v>ok</v>
      </c>
      <c r="AP74" t="s">
        <v>2768</v>
      </c>
      <c r="AQ74">
        <v>1</v>
      </c>
      <c r="AR74" s="74">
        <f ca="1">(INDIRECT(ADDRESS(2+(MATCH(Table32[[#This Row],[SPAWNER]],Table40[SPAWNER],0)),2,1,1,"DATA_SCENES_UNITY_2"))) * Table32[[#This Row],[QUANTITY]]</f>
        <v>1</v>
      </c>
    </row>
    <row r="75" spans="5:44" x14ac:dyDescent="0.25">
      <c r="E75" t="s">
        <v>36</v>
      </c>
      <c r="F75">
        <v>0</v>
      </c>
      <c r="G75">
        <v>0</v>
      </c>
      <c r="H75" t="s">
        <v>8</v>
      </c>
      <c r="I75" s="74" t="str">
        <f ca="1">IF(Table7[[#This Row],[Type]]="KILL",IF(_xlfn.NUMBERVALUE(RIGHT(Table7[[#This Row],[Min]],LEN(Table7[[#This Row],[Min]])-FIND("-",Table7[[#This Row],[Min]])))&gt;INDIRECT(ADDRESS(11+MATCH(LEFT(Table7[[#This Row],[Min]],FIND("-",Table7[[#This Row],[Min]])-1),Table1[Content Sku],0),16,1,1,"Entities")),"review","ok"),"ok")</f>
        <v>ok</v>
      </c>
      <c r="J75" t="s">
        <v>548</v>
      </c>
      <c r="K75">
        <v>3</v>
      </c>
      <c r="L75" s="74">
        <f ca="1">(INDIRECT(ADDRESS(2+(MATCH(Table34[[#This Row],[SPAWNER]],Table40[SPAWNER],0)),2,1,1,"DATA_SCENES_UNITY_2"))) * Table34[[#This Row],[QUANTITY]]</f>
        <v>6</v>
      </c>
      <c r="U75" t="s">
        <v>280</v>
      </c>
      <c r="V75">
        <v>0</v>
      </c>
      <c r="W75">
        <v>0</v>
      </c>
      <c r="X75" t="s">
        <v>8</v>
      </c>
      <c r="Y75" s="74" t="str">
        <f ca="1">IF(Table15[[#This Row],[Type]]="KILL",IF(_xlfn.NUMBERVALUE(RIGHT(Table15[[#This Row],[Min]],LEN(Table15[[#This Row],[Min]])-FIND("-",Table15[[#This Row],[Min]])))&gt;INDIRECT(ADDRESS(11+MATCH(LEFT(Table15[[#This Row],[Min]],FIND("-",Table15[[#This Row],[Min]])-1),Table1[Content Sku],0),16,1,1,"Entities")),"review","ok"),"ok")</f>
        <v>ok</v>
      </c>
      <c r="Z75" t="s">
        <v>2768</v>
      </c>
      <c r="AA75">
        <v>1</v>
      </c>
      <c r="AB75" s="74">
        <f ca="1">(INDIRECT(ADDRESS(2+(MATCH(Table33[[#This Row],[SPAWNER]],Table40[SPAWNER],0)),2,1,1,"DATA_SCENES_UNITY_2")))</f>
        <v>1</v>
      </c>
      <c r="AK75" t="s">
        <v>2672</v>
      </c>
      <c r="AL75">
        <v>50000</v>
      </c>
      <c r="AM75">
        <v>0</v>
      </c>
      <c r="AN75" t="s">
        <v>205</v>
      </c>
      <c r="AO75" s="74" t="str">
        <f ca="1">IF(Table20[[#This Row],[Type]]="KILL",IF(_xlfn.NUMBERVALUE(RIGHT(Table20[[#This Row],[Min]],LEN(Table20[[#This Row],[Min]])-FIND("-",Table20[[#This Row],[Min]])))&gt;INDIRECT(ADDRESS(11+MATCH(LEFT(Table20[[#This Row],[Min]],FIND("-",Table20[[#This Row],[Min]])-1),Table1[Content Sku],0),18,1,1,"Entities")),"review","ok"),"ok")</f>
        <v>ok</v>
      </c>
      <c r="AP75" t="s">
        <v>122</v>
      </c>
      <c r="AQ75">
        <v>1</v>
      </c>
      <c r="AR75" s="74">
        <f ca="1">(INDIRECT(ADDRESS(2+(MATCH(Table32[[#This Row],[SPAWNER]],Table40[SPAWNER],0)),2,1,1,"DATA_SCENES_UNITY_2"))) * Table32[[#This Row],[QUANTITY]]</f>
        <v>3</v>
      </c>
    </row>
    <row r="76" spans="5:44" x14ac:dyDescent="0.25">
      <c r="E76" t="s">
        <v>313</v>
      </c>
      <c r="F76">
        <v>0</v>
      </c>
      <c r="G76">
        <v>0</v>
      </c>
      <c r="H76" t="s">
        <v>8</v>
      </c>
      <c r="I76" s="74" t="str">
        <f ca="1">IF(Table7[[#This Row],[Type]]="KILL",IF(_xlfn.NUMBERVALUE(RIGHT(Table7[[#This Row],[Min]],LEN(Table7[[#This Row],[Min]])-FIND("-",Table7[[#This Row],[Min]])))&gt;INDIRECT(ADDRESS(11+MATCH(LEFT(Table7[[#This Row],[Min]],FIND("-",Table7[[#This Row],[Min]])-1),Table1[Content Sku],0),16,1,1,"Entities")),"review","ok"),"ok")</f>
        <v>ok</v>
      </c>
      <c r="J76" t="s">
        <v>122</v>
      </c>
      <c r="K76">
        <v>1</v>
      </c>
      <c r="L76" s="74">
        <f ca="1">(INDIRECT(ADDRESS(2+(MATCH(Table34[[#This Row],[SPAWNER]],Table40[SPAWNER],0)),2,1,1,"DATA_SCENES_UNITY_2"))) * Table34[[#This Row],[QUANTITY]]</f>
        <v>3</v>
      </c>
      <c r="U76" t="s">
        <v>2732</v>
      </c>
      <c r="V76">
        <v>0</v>
      </c>
      <c r="W76">
        <v>0</v>
      </c>
      <c r="X76" t="s">
        <v>8</v>
      </c>
      <c r="Y76" s="74" t="str">
        <f ca="1">IF(Table15[[#This Row],[Type]]="KILL",IF(_xlfn.NUMBERVALUE(RIGHT(Table15[[#This Row],[Min]],LEN(Table15[[#This Row],[Min]])-FIND("-",Table15[[#This Row],[Min]])))&gt;INDIRECT(ADDRESS(11+MATCH(LEFT(Table15[[#This Row],[Min]],FIND("-",Table15[[#This Row],[Min]])-1),Table1[Content Sku],0),16,1,1,"Entities")),"review","ok"),"ok")</f>
        <v>ok</v>
      </c>
      <c r="Z76" t="s">
        <v>122</v>
      </c>
      <c r="AA76">
        <v>1</v>
      </c>
      <c r="AB76" s="74">
        <f ca="1">(INDIRECT(ADDRESS(2+(MATCH(Table33[[#This Row],[SPAWNER]],Table40[SPAWNER],0)),2,1,1,"DATA_SCENES_UNITY_2")))</f>
        <v>3</v>
      </c>
      <c r="AK76" t="s">
        <v>313</v>
      </c>
      <c r="AL76">
        <v>0</v>
      </c>
      <c r="AM76">
        <v>0</v>
      </c>
      <c r="AN76" t="s">
        <v>8</v>
      </c>
      <c r="AO76" s="74" t="str">
        <f ca="1">IF(Table20[[#This Row],[Type]]="KILL",IF(_xlfn.NUMBERVALUE(RIGHT(Table20[[#This Row],[Min]],LEN(Table20[[#This Row],[Min]])-FIND("-",Table20[[#This Row],[Min]])))&gt;INDIRECT(ADDRESS(11+MATCH(LEFT(Table20[[#This Row],[Min]],FIND("-",Table20[[#This Row],[Min]])-1),Table1[Content Sku],0),18,1,1,"Entities")),"review","ok"),"ok")</f>
        <v>ok</v>
      </c>
      <c r="AP76" t="s">
        <v>548</v>
      </c>
      <c r="AQ76">
        <v>4</v>
      </c>
      <c r="AR76" s="74">
        <f ca="1">(INDIRECT(ADDRESS(2+(MATCH(Table32[[#This Row],[SPAWNER]],Table40[SPAWNER],0)),2,1,1,"DATA_SCENES_UNITY_2"))) * Table32[[#This Row],[QUANTITY]]</f>
        <v>8</v>
      </c>
    </row>
    <row r="77" spans="5:44" x14ac:dyDescent="0.25">
      <c r="E77" t="s">
        <v>254</v>
      </c>
      <c r="F77">
        <v>0</v>
      </c>
      <c r="G77">
        <v>0</v>
      </c>
      <c r="H77" t="s">
        <v>8</v>
      </c>
      <c r="I77" s="74" t="str">
        <f ca="1">IF(Table7[[#This Row],[Type]]="KILL",IF(_xlfn.NUMBERVALUE(RIGHT(Table7[[#This Row],[Min]],LEN(Table7[[#This Row],[Min]])-FIND("-",Table7[[#This Row],[Min]])))&gt;INDIRECT(ADDRESS(11+MATCH(LEFT(Table7[[#This Row],[Min]],FIND("-",Table7[[#This Row],[Min]])-1),Table1[Content Sku],0),16,1,1,"Entities")),"review","ok"),"ok")</f>
        <v>ok</v>
      </c>
      <c r="J77" t="s">
        <v>548</v>
      </c>
      <c r="K77">
        <v>2</v>
      </c>
      <c r="L77" s="74">
        <f ca="1">(INDIRECT(ADDRESS(2+(MATCH(Table34[[#This Row],[SPAWNER]],Table40[SPAWNER],0)),2,1,1,"DATA_SCENES_UNITY_2"))) * Table34[[#This Row],[QUANTITY]]</f>
        <v>4</v>
      </c>
      <c r="U77" t="s">
        <v>8133</v>
      </c>
      <c r="V77">
        <v>0</v>
      </c>
      <c r="W77">
        <v>0</v>
      </c>
      <c r="X77" t="s">
        <v>8</v>
      </c>
      <c r="Y77" s="74" t="str">
        <f ca="1">IF(Table15[[#This Row],[Type]]="KILL",IF(_xlfn.NUMBERVALUE(RIGHT(Table15[[#This Row],[Min]],LEN(Table15[[#This Row],[Min]])-FIND("-",Table15[[#This Row],[Min]])))&gt;INDIRECT(ADDRESS(11+MATCH(LEFT(Table15[[#This Row],[Min]],FIND("-",Table15[[#This Row],[Min]])-1),Table1[Content Sku],0),16,1,1,"Entities")),"review","ok"),"ok")</f>
        <v>ok</v>
      </c>
      <c r="Z77" t="s">
        <v>122</v>
      </c>
      <c r="AA77">
        <v>1</v>
      </c>
      <c r="AB77" s="74">
        <f ca="1">(INDIRECT(ADDRESS(2+(MATCH(Table33[[#This Row],[SPAWNER]],Table40[SPAWNER],0)),2,1,1,"DATA_SCENES_UNITY_2")))</f>
        <v>3</v>
      </c>
      <c r="AK77" t="s">
        <v>2738</v>
      </c>
      <c r="AL77">
        <v>0</v>
      </c>
      <c r="AM77">
        <v>0</v>
      </c>
      <c r="AN77" t="s">
        <v>8</v>
      </c>
      <c r="AO77" s="74" t="str">
        <f ca="1">IF(Table20[[#This Row],[Type]]="KILL",IF(_xlfn.NUMBERVALUE(RIGHT(Table20[[#This Row],[Min]],LEN(Table20[[#This Row],[Min]])-FIND("-",Table20[[#This Row],[Min]])))&gt;INDIRECT(ADDRESS(11+MATCH(LEFT(Table20[[#This Row],[Min]],FIND("-",Table20[[#This Row],[Min]])-1),Table1[Content Sku],0),18,1,1,"Entities")),"review","ok"),"ok")</f>
        <v>ok</v>
      </c>
      <c r="AP77" t="s">
        <v>2768</v>
      </c>
      <c r="AQ77">
        <v>1</v>
      </c>
      <c r="AR77" s="74">
        <f ca="1">(INDIRECT(ADDRESS(2+(MATCH(Table32[[#This Row],[SPAWNER]],Table40[SPAWNER],0)),2,1,1,"DATA_SCENES_UNITY_2"))) * Table32[[#This Row],[QUANTITY]]</f>
        <v>1</v>
      </c>
    </row>
    <row r="78" spans="5:44" x14ac:dyDescent="0.25">
      <c r="E78" t="s">
        <v>280</v>
      </c>
      <c r="F78">
        <v>0</v>
      </c>
      <c r="G78">
        <v>0</v>
      </c>
      <c r="H78" t="s">
        <v>8</v>
      </c>
      <c r="I78" s="74" t="str">
        <f ca="1">IF(Table7[[#This Row],[Type]]="KILL",IF(_xlfn.NUMBERVALUE(RIGHT(Table7[[#This Row],[Min]],LEN(Table7[[#This Row],[Min]])-FIND("-",Table7[[#This Row],[Min]])))&gt;INDIRECT(ADDRESS(11+MATCH(LEFT(Table7[[#This Row],[Min]],FIND("-",Table7[[#This Row],[Min]])-1),Table1[Content Sku],0),16,1,1,"Entities")),"review","ok"),"ok")</f>
        <v>ok</v>
      </c>
      <c r="J78" t="s">
        <v>122</v>
      </c>
      <c r="K78">
        <v>1</v>
      </c>
      <c r="L78" s="74">
        <f ca="1">(INDIRECT(ADDRESS(2+(MATCH(Table34[[#This Row],[SPAWNER]],Table40[SPAWNER],0)),2,1,1,"DATA_SCENES_UNITY_2"))) * Table34[[#This Row],[QUANTITY]]</f>
        <v>3</v>
      </c>
      <c r="U78" t="s">
        <v>95</v>
      </c>
      <c r="V78">
        <v>0</v>
      </c>
      <c r="W78">
        <v>0</v>
      </c>
      <c r="X78" t="s">
        <v>8</v>
      </c>
      <c r="Y78" s="74" t="str">
        <f ca="1">IF(Table15[[#This Row],[Type]]="KILL",IF(_xlfn.NUMBERVALUE(RIGHT(Table15[[#This Row],[Min]],LEN(Table15[[#This Row],[Min]])-FIND("-",Table15[[#This Row],[Min]])))&gt;INDIRECT(ADDRESS(11+MATCH(LEFT(Table15[[#This Row],[Min]],FIND("-",Table15[[#This Row],[Min]])-1),Table1[Content Sku],0),16,1,1,"Entities")),"review","ok"),"ok")</f>
        <v>ok</v>
      </c>
      <c r="Z78" t="s">
        <v>122</v>
      </c>
      <c r="AA78">
        <v>1</v>
      </c>
      <c r="AB78" s="74">
        <f ca="1">(INDIRECT(ADDRESS(2+(MATCH(Table33[[#This Row],[SPAWNER]],Table40[SPAWNER],0)),2,1,1,"DATA_SCENES_UNITY_2")))</f>
        <v>3</v>
      </c>
      <c r="AK78" t="s">
        <v>37</v>
      </c>
      <c r="AL78">
        <v>0</v>
      </c>
      <c r="AM78">
        <v>0</v>
      </c>
      <c r="AN78" t="s">
        <v>8</v>
      </c>
      <c r="AO78" s="74" t="str">
        <f ca="1">IF(Table20[[#This Row],[Type]]="KILL",IF(_xlfn.NUMBERVALUE(RIGHT(Table20[[#This Row],[Min]],LEN(Table20[[#This Row],[Min]])-FIND("-",Table20[[#This Row],[Min]])))&gt;INDIRECT(ADDRESS(11+MATCH(LEFT(Table20[[#This Row],[Min]],FIND("-",Table20[[#This Row],[Min]])-1),Table1[Content Sku],0),18,1,1,"Entities")),"review","ok"),"ok")</f>
        <v>ok</v>
      </c>
      <c r="AP78" t="s">
        <v>122</v>
      </c>
      <c r="AQ78">
        <v>1</v>
      </c>
      <c r="AR78" s="74">
        <f ca="1">(INDIRECT(ADDRESS(2+(MATCH(Table32[[#This Row],[SPAWNER]],Table40[SPAWNER],0)),2,1,1,"DATA_SCENES_UNITY_2"))) * Table32[[#This Row],[QUANTITY]]</f>
        <v>3</v>
      </c>
    </row>
    <row r="79" spans="5:44" x14ac:dyDescent="0.25">
      <c r="E79" t="s">
        <v>123</v>
      </c>
      <c r="F79">
        <v>5000</v>
      </c>
      <c r="G79">
        <v>0</v>
      </c>
      <c r="H79" t="s">
        <v>205</v>
      </c>
      <c r="I79" s="74" t="str">
        <f ca="1">IF(Table7[[#This Row],[Type]]="KILL",IF(_xlfn.NUMBERVALUE(RIGHT(Table7[[#This Row],[Min]],LEN(Table7[[#This Row],[Min]])-FIND("-",Table7[[#This Row],[Min]])))&gt;INDIRECT(ADDRESS(11+MATCH(LEFT(Table7[[#This Row],[Min]],FIND("-",Table7[[#This Row],[Min]])-1),Table1[Content Sku],0),16,1,1,"Entities")),"review","ok"),"ok")</f>
        <v>ok</v>
      </c>
      <c r="J79" t="s">
        <v>122</v>
      </c>
      <c r="K79">
        <v>1</v>
      </c>
      <c r="L79" s="74">
        <f ca="1">(INDIRECT(ADDRESS(2+(MATCH(Table34[[#This Row],[SPAWNER]],Table40[SPAWNER],0)),2,1,1,"DATA_SCENES_UNITY_2"))) * Table34[[#This Row],[QUANTITY]]</f>
        <v>3</v>
      </c>
      <c r="U79" t="s">
        <v>47</v>
      </c>
      <c r="V79">
        <v>0</v>
      </c>
      <c r="W79">
        <v>25000</v>
      </c>
      <c r="X79" t="s">
        <v>205</v>
      </c>
      <c r="Y79" s="74" t="str">
        <f ca="1">IF(Table15[[#This Row],[Type]]="KILL",IF(_xlfn.NUMBERVALUE(RIGHT(Table15[[#This Row],[Min]],LEN(Table15[[#This Row],[Min]])-FIND("-",Table15[[#This Row],[Min]])))&gt;INDIRECT(ADDRESS(11+MATCH(LEFT(Table15[[#This Row],[Min]],FIND("-",Table15[[#This Row],[Min]])-1),Table1[Content Sku],0),16,1,1,"Entities")),"review","ok"),"ok")</f>
        <v>ok</v>
      </c>
      <c r="Z79" t="s">
        <v>2768</v>
      </c>
      <c r="AA79">
        <v>1</v>
      </c>
      <c r="AB79" s="74">
        <f ca="1">(INDIRECT(ADDRESS(2+(MATCH(Table33[[#This Row],[SPAWNER]],Table40[SPAWNER],0)),2,1,1,"DATA_SCENES_UNITY_2")))</f>
        <v>1</v>
      </c>
      <c r="AK79" t="s">
        <v>482</v>
      </c>
      <c r="AL79">
        <v>0</v>
      </c>
      <c r="AM79">
        <v>0</v>
      </c>
      <c r="AN79" t="s">
        <v>8</v>
      </c>
      <c r="AO79" s="74" t="str">
        <f ca="1">IF(Table20[[#This Row],[Type]]="KILL",IF(_xlfn.NUMBERVALUE(RIGHT(Table20[[#This Row],[Min]],LEN(Table20[[#This Row],[Min]])-FIND("-",Table20[[#This Row],[Min]])))&gt;INDIRECT(ADDRESS(11+MATCH(LEFT(Table20[[#This Row],[Min]],FIND("-",Table20[[#This Row],[Min]])-1),Table1[Content Sku],0),18,1,1,"Entities")),"review","ok"),"ok")</f>
        <v>ok</v>
      </c>
      <c r="AP79" t="s">
        <v>548</v>
      </c>
      <c r="AQ79">
        <v>1</v>
      </c>
      <c r="AR79" s="74">
        <f ca="1">(INDIRECT(ADDRESS(2+(MATCH(Table32[[#This Row],[SPAWNER]],Table40[SPAWNER],0)),2,1,1,"DATA_SCENES_UNITY_2"))) * Table32[[#This Row],[QUANTITY]]</f>
        <v>2</v>
      </c>
    </row>
    <row r="80" spans="5:44" x14ac:dyDescent="0.25">
      <c r="E80" t="s">
        <v>393</v>
      </c>
      <c r="F80">
        <v>0</v>
      </c>
      <c r="G80">
        <v>0</v>
      </c>
      <c r="H80" t="s">
        <v>8</v>
      </c>
      <c r="I80" s="74" t="str">
        <f ca="1">IF(Table7[[#This Row],[Type]]="KILL",IF(_xlfn.NUMBERVALUE(RIGHT(Table7[[#This Row],[Min]],LEN(Table7[[#This Row],[Min]])-FIND("-",Table7[[#This Row],[Min]])))&gt;INDIRECT(ADDRESS(11+MATCH(LEFT(Table7[[#This Row],[Min]],FIND("-",Table7[[#This Row],[Min]])-1),Table1[Content Sku],0),16,1,1,"Entities")),"review","ok"),"ok")</f>
        <v>ok</v>
      </c>
      <c r="J80" t="s">
        <v>122</v>
      </c>
      <c r="K80">
        <v>1</v>
      </c>
      <c r="L80" s="74">
        <f ca="1">(INDIRECT(ADDRESS(2+(MATCH(Table34[[#This Row],[SPAWNER]],Table40[SPAWNER],0)),2,1,1,"DATA_SCENES_UNITY_2"))) * Table34[[#This Row],[QUANTITY]]</f>
        <v>3</v>
      </c>
      <c r="U80" t="s">
        <v>340</v>
      </c>
      <c r="V80">
        <v>0</v>
      </c>
      <c r="W80">
        <v>16000</v>
      </c>
      <c r="X80" t="s">
        <v>205</v>
      </c>
      <c r="Y80" s="74" t="str">
        <f ca="1">IF(Table15[[#This Row],[Type]]="KILL",IF(_xlfn.NUMBERVALUE(RIGHT(Table15[[#This Row],[Min]],LEN(Table15[[#This Row],[Min]])-FIND("-",Table15[[#This Row],[Min]])))&gt;INDIRECT(ADDRESS(11+MATCH(LEFT(Table15[[#This Row],[Min]],FIND("-",Table15[[#This Row],[Min]])-1),Table1[Content Sku],0),16,1,1,"Entities")),"review","ok"),"ok")</f>
        <v>ok</v>
      </c>
      <c r="Z80" t="s">
        <v>548</v>
      </c>
      <c r="AA80">
        <v>6</v>
      </c>
      <c r="AB80" s="74">
        <f ca="1">(INDIRECT(ADDRESS(2+(MATCH(Table33[[#This Row],[SPAWNER]],Table40[SPAWNER],0)),2,1,1,"DATA_SCENES_UNITY_2")))</f>
        <v>2</v>
      </c>
      <c r="AK80" t="s">
        <v>2664</v>
      </c>
      <c r="AL80">
        <v>0</v>
      </c>
      <c r="AM80">
        <v>27000</v>
      </c>
      <c r="AN80" t="s">
        <v>205</v>
      </c>
      <c r="AO80" s="74" t="str">
        <f ca="1">IF(Table20[[#This Row],[Type]]="KILL",IF(_xlfn.NUMBERVALUE(RIGHT(Table20[[#This Row],[Min]],LEN(Table20[[#This Row],[Min]])-FIND("-",Table20[[#This Row],[Min]])))&gt;INDIRECT(ADDRESS(11+MATCH(LEFT(Table20[[#This Row],[Min]],FIND("-",Table20[[#This Row],[Min]])-1),Table1[Content Sku],0),18,1,1,"Entities")),"review","ok"),"ok")</f>
        <v>ok</v>
      </c>
      <c r="AP80" t="s">
        <v>2768</v>
      </c>
      <c r="AQ80">
        <v>1</v>
      </c>
      <c r="AR80" s="74">
        <f ca="1">(INDIRECT(ADDRESS(2+(MATCH(Table32[[#This Row],[SPAWNER]],Table40[SPAWNER],0)),2,1,1,"DATA_SCENES_UNITY_2"))) * Table32[[#This Row],[QUANTITY]]</f>
        <v>1</v>
      </c>
    </row>
    <row r="81" spans="1:44" x14ac:dyDescent="0.25">
      <c r="E81" t="s">
        <v>36</v>
      </c>
      <c r="F81">
        <v>35000</v>
      </c>
      <c r="G81">
        <v>0</v>
      </c>
      <c r="H81" t="s">
        <v>205</v>
      </c>
      <c r="I81" s="74" t="str">
        <f ca="1">IF(Table7[[#This Row],[Type]]="KILL",IF(_xlfn.NUMBERVALUE(RIGHT(Table7[[#This Row],[Min]],LEN(Table7[[#This Row],[Min]])-FIND("-",Table7[[#This Row],[Min]])))&gt;INDIRECT(ADDRESS(11+MATCH(LEFT(Table7[[#This Row],[Min]],FIND("-",Table7[[#This Row],[Min]])-1),Table1[Content Sku],0),16,1,1,"Entities")),"review","ok"),"ok")</f>
        <v>ok</v>
      </c>
      <c r="J81" t="s">
        <v>122</v>
      </c>
      <c r="K81">
        <v>1</v>
      </c>
      <c r="L81" s="74">
        <f ca="1">(INDIRECT(ADDRESS(2+(MATCH(Table34[[#This Row],[SPAWNER]],Table40[SPAWNER],0)),2,1,1,"DATA_SCENES_UNITY_2"))) * Table34[[#This Row],[QUANTITY]]</f>
        <v>3</v>
      </c>
      <c r="U81" t="s">
        <v>280</v>
      </c>
      <c r="V81">
        <v>0</v>
      </c>
      <c r="W81">
        <v>0</v>
      </c>
      <c r="X81" t="s">
        <v>8</v>
      </c>
      <c r="Y81" s="74" t="str">
        <f ca="1">IF(Table15[[#This Row],[Type]]="KILL",IF(_xlfn.NUMBERVALUE(RIGHT(Table15[[#This Row],[Min]],LEN(Table15[[#This Row],[Min]])-FIND("-",Table15[[#This Row],[Min]])))&gt;INDIRECT(ADDRESS(11+MATCH(LEFT(Table15[[#This Row],[Min]],FIND("-",Table15[[#This Row],[Min]])-1),Table1[Content Sku],0),16,1,1,"Entities")),"review","ok"),"ok")</f>
        <v>ok</v>
      </c>
      <c r="Z81" t="s">
        <v>548</v>
      </c>
      <c r="AA81">
        <v>5</v>
      </c>
      <c r="AB81" s="74">
        <f ca="1">(INDIRECT(ADDRESS(2+(MATCH(Table33[[#This Row],[SPAWNER]],Table40[SPAWNER],0)),2,1,1,"DATA_SCENES_UNITY_2")))</f>
        <v>2</v>
      </c>
      <c r="AK81" t="s">
        <v>95</v>
      </c>
      <c r="AL81">
        <v>15000</v>
      </c>
      <c r="AM81">
        <v>0</v>
      </c>
      <c r="AN81" t="s">
        <v>205</v>
      </c>
      <c r="AO81" s="74" t="str">
        <f ca="1">IF(Table20[[#This Row],[Type]]="KILL",IF(_xlfn.NUMBERVALUE(RIGHT(Table20[[#This Row],[Min]],LEN(Table20[[#This Row],[Min]])-FIND("-",Table20[[#This Row],[Min]])))&gt;INDIRECT(ADDRESS(11+MATCH(LEFT(Table20[[#This Row],[Min]],FIND("-",Table20[[#This Row],[Min]])-1),Table1[Content Sku],0),18,1,1,"Entities")),"review","ok"),"ok")</f>
        <v>ok</v>
      </c>
      <c r="AP81" t="s">
        <v>548</v>
      </c>
      <c r="AQ81">
        <v>16</v>
      </c>
      <c r="AR81" s="74">
        <f ca="1">(INDIRECT(ADDRESS(2+(MATCH(Table32[[#This Row],[SPAWNER]],Table40[SPAWNER],0)),2,1,1,"DATA_SCENES_UNITY_2"))) * Table32[[#This Row],[QUANTITY]]</f>
        <v>32</v>
      </c>
    </row>
    <row r="82" spans="1:44" x14ac:dyDescent="0.25">
      <c r="E82" t="s">
        <v>418</v>
      </c>
      <c r="F82">
        <v>0</v>
      </c>
      <c r="G82">
        <v>0</v>
      </c>
      <c r="H82" t="s">
        <v>8</v>
      </c>
      <c r="I82" s="74" t="str">
        <f ca="1">IF(Table7[[#This Row],[Type]]="KILL",IF(_xlfn.NUMBERVALUE(RIGHT(Table7[[#This Row],[Min]],LEN(Table7[[#This Row],[Min]])-FIND("-",Table7[[#This Row],[Min]])))&gt;INDIRECT(ADDRESS(11+MATCH(LEFT(Table7[[#This Row],[Min]],FIND("-",Table7[[#This Row],[Min]])-1),Table1[Content Sku],0),16,1,1,"Entities")),"review","ok"),"ok")</f>
        <v>ok</v>
      </c>
      <c r="J82" t="s">
        <v>548</v>
      </c>
      <c r="K82">
        <v>8</v>
      </c>
      <c r="L82" s="74">
        <f ca="1">(INDIRECT(ADDRESS(2+(MATCH(Table34[[#This Row],[SPAWNER]],Table40[SPAWNER],0)),2,1,1,"DATA_SCENES_UNITY_2"))) * Table34[[#This Row],[QUANTITY]]</f>
        <v>16</v>
      </c>
      <c r="U82" t="s">
        <v>37</v>
      </c>
      <c r="V82">
        <v>0</v>
      </c>
      <c r="W82">
        <v>0</v>
      </c>
      <c r="X82" t="s">
        <v>8</v>
      </c>
      <c r="Y82" s="74" t="str">
        <f ca="1">IF(Table15[[#This Row],[Type]]="KILL",IF(_xlfn.NUMBERVALUE(RIGHT(Table15[[#This Row],[Min]],LEN(Table15[[#This Row],[Min]])-FIND("-",Table15[[#This Row],[Min]])))&gt;INDIRECT(ADDRESS(11+MATCH(LEFT(Table15[[#This Row],[Min]],FIND("-",Table15[[#This Row],[Min]])-1),Table1[Content Sku],0),16,1,1,"Entities")),"review","ok"),"ok")</f>
        <v>ok</v>
      </c>
      <c r="Z82" t="s">
        <v>122</v>
      </c>
      <c r="AA82">
        <v>1</v>
      </c>
      <c r="AB82" s="74">
        <f ca="1">(INDIRECT(ADDRESS(2+(MATCH(Table33[[#This Row],[SPAWNER]],Table40[SPAWNER],0)),2,1,1,"DATA_SCENES_UNITY_2")))</f>
        <v>3</v>
      </c>
      <c r="AK82" t="s">
        <v>482</v>
      </c>
      <c r="AL82">
        <v>0</v>
      </c>
      <c r="AM82">
        <v>0</v>
      </c>
      <c r="AN82" t="s">
        <v>8</v>
      </c>
      <c r="AO82" s="74" t="str">
        <f ca="1">IF(Table20[[#This Row],[Type]]="KILL",IF(_xlfn.NUMBERVALUE(RIGHT(Table20[[#This Row],[Min]],LEN(Table20[[#This Row],[Min]])-FIND("-",Table20[[#This Row],[Min]])))&gt;INDIRECT(ADDRESS(11+MATCH(LEFT(Table20[[#This Row],[Min]],FIND("-",Table20[[#This Row],[Min]])-1),Table1[Content Sku],0),18,1,1,"Entities")),"review","ok"),"ok")</f>
        <v>ok</v>
      </c>
      <c r="AP82" t="s">
        <v>122</v>
      </c>
      <c r="AQ82">
        <v>1</v>
      </c>
      <c r="AR82" s="74">
        <f ca="1">(INDIRECT(ADDRESS(2+(MATCH(Table32[[#This Row],[SPAWNER]],Table40[SPAWNER],0)),2,1,1,"DATA_SCENES_UNITY_2"))) * Table32[[#This Row],[QUANTITY]]</f>
        <v>3</v>
      </c>
    </row>
    <row r="83" spans="1:44" x14ac:dyDescent="0.25">
      <c r="E83" t="s">
        <v>137</v>
      </c>
      <c r="F83">
        <v>0</v>
      </c>
      <c r="G83">
        <v>0</v>
      </c>
      <c r="H83" t="s">
        <v>8</v>
      </c>
      <c r="I83" s="74" t="str">
        <f ca="1">IF(Table7[[#This Row],[Type]]="KILL",IF(_xlfn.NUMBERVALUE(RIGHT(Table7[[#This Row],[Min]],LEN(Table7[[#This Row],[Min]])-FIND("-",Table7[[#This Row],[Min]])))&gt;INDIRECT(ADDRESS(11+MATCH(LEFT(Table7[[#This Row],[Min]],FIND("-",Table7[[#This Row],[Min]])-1),Table1[Content Sku],0),16,1,1,"Entities")),"review","ok"),"ok")</f>
        <v>ok</v>
      </c>
      <c r="J83" t="s">
        <v>122</v>
      </c>
      <c r="K83">
        <v>1</v>
      </c>
      <c r="L83" s="74">
        <f ca="1">(INDIRECT(ADDRESS(2+(MATCH(Table34[[#This Row],[SPAWNER]],Table40[SPAWNER],0)),2,1,1,"DATA_SCENES_UNITY_2"))) * Table34[[#This Row],[QUANTITY]]</f>
        <v>3</v>
      </c>
      <c r="U83" t="s">
        <v>4430</v>
      </c>
      <c r="V83">
        <v>0</v>
      </c>
      <c r="W83">
        <v>0</v>
      </c>
      <c r="X83" t="s">
        <v>8</v>
      </c>
      <c r="Y83" s="74" t="str">
        <f ca="1">IF(Table15[[#This Row],[Type]]="KILL",IF(_xlfn.NUMBERVALUE(RIGHT(Table15[[#This Row],[Min]],LEN(Table15[[#This Row],[Min]])-FIND("-",Table15[[#This Row],[Min]])))&gt;INDIRECT(ADDRESS(11+MATCH(LEFT(Table15[[#This Row],[Min]],FIND("-",Table15[[#This Row],[Min]])-1),Table1[Content Sku],0),16,1,1,"Entities")),"review","ok"),"ok")</f>
        <v>ok</v>
      </c>
      <c r="Z83" t="s">
        <v>2768</v>
      </c>
      <c r="AA83">
        <v>1</v>
      </c>
      <c r="AB83" s="74">
        <f ca="1">(INDIRECT(ADDRESS(2+(MATCH(Table33[[#This Row],[SPAWNER]],Table40[SPAWNER],0)),2,1,1,"DATA_SCENES_UNITY_2")))</f>
        <v>1</v>
      </c>
      <c r="AK83" t="s">
        <v>311</v>
      </c>
      <c r="AL83">
        <v>0</v>
      </c>
      <c r="AM83">
        <v>27000</v>
      </c>
      <c r="AN83" t="s">
        <v>205</v>
      </c>
      <c r="AO83" s="74" t="str">
        <f ca="1">IF(Table20[[#This Row],[Type]]="KILL",IF(_xlfn.NUMBERVALUE(RIGHT(Table20[[#This Row],[Min]],LEN(Table20[[#This Row],[Min]])-FIND("-",Table20[[#This Row],[Min]])))&gt;INDIRECT(ADDRESS(11+MATCH(LEFT(Table20[[#This Row],[Min]],FIND("-",Table20[[#This Row],[Min]])-1),Table1[Content Sku],0),18,1,1,"Entities")),"review","ok"),"ok")</f>
        <v>ok</v>
      </c>
      <c r="AP83" t="s">
        <v>122</v>
      </c>
      <c r="AQ83">
        <v>1</v>
      </c>
      <c r="AR83" s="74">
        <f ca="1">(INDIRECT(ADDRESS(2+(MATCH(Table32[[#This Row],[SPAWNER]],Table40[SPAWNER],0)),2,1,1,"DATA_SCENES_UNITY_2"))) * Table32[[#This Row],[QUANTITY]]</f>
        <v>3</v>
      </c>
    </row>
    <row r="84" spans="1:44" x14ac:dyDescent="0.25">
      <c r="E84" t="s">
        <v>276</v>
      </c>
      <c r="F84">
        <v>0</v>
      </c>
      <c r="G84">
        <v>0</v>
      </c>
      <c r="H84" t="s">
        <v>8</v>
      </c>
      <c r="I84" s="74" t="str">
        <f ca="1">IF(Table7[[#This Row],[Type]]="KILL",IF(_xlfn.NUMBERVALUE(RIGHT(Table7[[#This Row],[Min]],LEN(Table7[[#This Row],[Min]])-FIND("-",Table7[[#This Row],[Min]])))&gt;INDIRECT(ADDRESS(11+MATCH(LEFT(Table7[[#This Row],[Min]],FIND("-",Table7[[#This Row],[Min]])-1),Table1[Content Sku],0),16,1,1,"Entities")),"review","ok"),"ok")</f>
        <v>ok</v>
      </c>
      <c r="J84" t="s">
        <v>548</v>
      </c>
      <c r="K84">
        <v>3</v>
      </c>
      <c r="L84" s="74">
        <f ca="1">(INDIRECT(ADDRESS(2+(MATCH(Table34[[#This Row],[SPAWNER]],Table40[SPAWNER],0)),2,1,1,"DATA_SCENES_UNITY_2"))) * Table34[[#This Row],[QUANTITY]]</f>
        <v>6</v>
      </c>
      <c r="U84" t="s">
        <v>313</v>
      </c>
      <c r="V84">
        <v>0</v>
      </c>
      <c r="W84">
        <v>0</v>
      </c>
      <c r="X84" t="s">
        <v>8</v>
      </c>
      <c r="Y84" s="74" t="str">
        <f ca="1">IF(Table15[[#This Row],[Type]]="KILL",IF(_xlfn.NUMBERVALUE(RIGHT(Table15[[#This Row],[Min]],LEN(Table15[[#This Row],[Min]])-FIND("-",Table15[[#This Row],[Min]])))&gt;INDIRECT(ADDRESS(11+MATCH(LEFT(Table15[[#This Row],[Min]],FIND("-",Table15[[#This Row],[Min]])-1),Table1[Content Sku],0),16,1,1,"Entities")),"review","ok"),"ok")</f>
        <v>ok</v>
      </c>
      <c r="Z84" t="s">
        <v>548</v>
      </c>
      <c r="AA84">
        <v>2</v>
      </c>
      <c r="AB84" s="74">
        <f ca="1">(INDIRECT(ADDRESS(2+(MATCH(Table33[[#This Row],[SPAWNER]],Table40[SPAWNER],0)),2,1,1,"DATA_SCENES_UNITY_2")))</f>
        <v>2</v>
      </c>
      <c r="AK84" t="s">
        <v>482</v>
      </c>
      <c r="AL84">
        <v>0</v>
      </c>
      <c r="AM84">
        <v>0</v>
      </c>
      <c r="AN84" t="s">
        <v>8</v>
      </c>
      <c r="AO84" s="74" t="str">
        <f ca="1">IF(Table20[[#This Row],[Type]]="KILL",IF(_xlfn.NUMBERVALUE(RIGHT(Table20[[#This Row],[Min]],LEN(Table20[[#This Row],[Min]])-FIND("-",Table20[[#This Row],[Min]])))&gt;INDIRECT(ADDRESS(11+MATCH(LEFT(Table20[[#This Row],[Min]],FIND("-",Table20[[#This Row],[Min]])-1),Table1[Content Sku],0),18,1,1,"Entities")),"review","ok"),"ok")</f>
        <v>ok</v>
      </c>
      <c r="AP84" t="s">
        <v>122</v>
      </c>
      <c r="AQ84">
        <v>1</v>
      </c>
      <c r="AR84" s="74">
        <f ca="1">(INDIRECT(ADDRESS(2+(MATCH(Table32[[#This Row],[SPAWNER]],Table40[SPAWNER],0)),2,1,1,"DATA_SCENES_UNITY_2"))) * Table32[[#This Row],[QUANTITY]]</f>
        <v>3</v>
      </c>
    </row>
    <row r="85" spans="1:44" x14ac:dyDescent="0.25">
      <c r="A85" s="188"/>
      <c r="E85" t="s">
        <v>313</v>
      </c>
      <c r="F85">
        <v>0</v>
      </c>
      <c r="G85">
        <v>0</v>
      </c>
      <c r="H85" t="s">
        <v>8</v>
      </c>
      <c r="I85" s="74" t="str">
        <f ca="1">IF(Table7[[#This Row],[Type]]="KILL",IF(_xlfn.NUMBERVALUE(RIGHT(Table7[[#This Row],[Min]],LEN(Table7[[#This Row],[Min]])-FIND("-",Table7[[#This Row],[Min]])))&gt;INDIRECT(ADDRESS(11+MATCH(LEFT(Table7[[#This Row],[Min]],FIND("-",Table7[[#This Row],[Min]])-1),Table1[Content Sku],0),16,1,1,"Entities")),"review","ok"),"ok")</f>
        <v>ok</v>
      </c>
      <c r="J85" t="s">
        <v>548</v>
      </c>
      <c r="K85">
        <v>2</v>
      </c>
      <c r="L85" s="74">
        <f ca="1">(INDIRECT(ADDRESS(2+(MATCH(Table34[[#This Row],[SPAWNER]],Table40[SPAWNER],0)),2,1,1,"DATA_SCENES_UNITY_2"))) * Table34[[#This Row],[QUANTITY]]</f>
        <v>4</v>
      </c>
      <c r="U85" t="s">
        <v>63</v>
      </c>
      <c r="V85">
        <v>0</v>
      </c>
      <c r="W85">
        <v>0</v>
      </c>
      <c r="X85" t="s">
        <v>8</v>
      </c>
      <c r="Y85" s="74" t="str">
        <f ca="1">IF(Table15[[#This Row],[Type]]="KILL",IF(_xlfn.NUMBERVALUE(RIGHT(Table15[[#This Row],[Min]],LEN(Table15[[#This Row],[Min]])-FIND("-",Table15[[#This Row],[Min]])))&gt;INDIRECT(ADDRESS(11+MATCH(LEFT(Table15[[#This Row],[Min]],FIND("-",Table15[[#This Row],[Min]])-1),Table1[Content Sku],0),16,1,1,"Entities")),"review","ok"),"ok")</f>
        <v>ok</v>
      </c>
      <c r="Z85" t="s">
        <v>2768</v>
      </c>
      <c r="AA85">
        <v>1</v>
      </c>
      <c r="AB85" s="74">
        <f ca="1">(INDIRECT(ADDRESS(2+(MATCH(Table33[[#This Row],[SPAWNER]],Table40[SPAWNER],0)),2,1,1,"DATA_SCENES_UNITY_2")))</f>
        <v>1</v>
      </c>
      <c r="AK85" t="s">
        <v>51</v>
      </c>
      <c r="AL85">
        <v>42000</v>
      </c>
      <c r="AM85">
        <v>0</v>
      </c>
      <c r="AN85" t="s">
        <v>205</v>
      </c>
      <c r="AO85" s="74" t="str">
        <f ca="1">IF(Table20[[#This Row],[Type]]="KILL",IF(_xlfn.NUMBERVALUE(RIGHT(Table20[[#This Row],[Min]],LEN(Table20[[#This Row],[Min]])-FIND("-",Table20[[#This Row],[Min]])))&gt;INDIRECT(ADDRESS(11+MATCH(LEFT(Table20[[#This Row],[Min]],FIND("-",Table20[[#This Row],[Min]])-1),Table1[Content Sku],0),18,1,1,"Entities")),"review","ok"),"ok")</f>
        <v>ok</v>
      </c>
      <c r="AP85" t="s">
        <v>548</v>
      </c>
      <c r="AQ85">
        <v>14</v>
      </c>
      <c r="AR85" s="74">
        <f ca="1">(INDIRECT(ADDRESS(2+(MATCH(Table32[[#This Row],[SPAWNER]],Table40[SPAWNER],0)),2,1,1,"DATA_SCENES_UNITY_2"))) * Table32[[#This Row],[QUANTITY]]</f>
        <v>28</v>
      </c>
    </row>
    <row r="86" spans="1:44" x14ac:dyDescent="0.25">
      <c r="E86" t="s">
        <v>21</v>
      </c>
      <c r="F86">
        <v>12000</v>
      </c>
      <c r="G86">
        <v>0</v>
      </c>
      <c r="H86" t="s">
        <v>205</v>
      </c>
      <c r="I86" s="74" t="str">
        <f ca="1">IF(Table7[[#This Row],[Type]]="KILL",IF(_xlfn.NUMBERVALUE(RIGHT(Table7[[#This Row],[Min]],LEN(Table7[[#This Row],[Min]])-FIND("-",Table7[[#This Row],[Min]])))&gt;INDIRECT(ADDRESS(11+MATCH(LEFT(Table7[[#This Row],[Min]],FIND("-",Table7[[#This Row],[Min]])-1),Table1[Content Sku],0),16,1,1,"Entities")),"review","ok"),"ok")</f>
        <v>ok</v>
      </c>
      <c r="J86" t="s">
        <v>548</v>
      </c>
      <c r="K86">
        <v>1</v>
      </c>
      <c r="L86" s="74">
        <f ca="1">(INDIRECT(ADDRESS(2+(MATCH(Table34[[#This Row],[SPAWNER]],Table40[SPAWNER],0)),2,1,1,"DATA_SCENES_UNITY_2"))) * Table34[[#This Row],[QUANTITY]]</f>
        <v>2</v>
      </c>
      <c r="U86" t="s">
        <v>44</v>
      </c>
      <c r="V86">
        <v>180</v>
      </c>
      <c r="W86">
        <v>0</v>
      </c>
      <c r="X86" t="s">
        <v>4431</v>
      </c>
      <c r="Y86" s="74" t="str">
        <f ca="1">IF(Table15[[#This Row],[Type]]="KILL",IF(_xlfn.NUMBERVALUE(RIGHT(Table15[[#This Row],[Min]],LEN(Table15[[#This Row],[Min]])-FIND("-",Table15[[#This Row],[Min]])))&gt;INDIRECT(ADDRESS(11+MATCH(LEFT(Table15[[#This Row],[Min]],FIND("-",Table15[[#This Row],[Min]])-1),Table1[Content Sku],0),16,1,1,"Entities")),"review","ok"),"ok")</f>
        <v>ok</v>
      </c>
      <c r="Z86" t="s">
        <v>122</v>
      </c>
      <c r="AA86">
        <v>1</v>
      </c>
      <c r="AB86" s="74">
        <f ca="1">(INDIRECT(ADDRESS(2+(MATCH(Table33[[#This Row],[SPAWNER]],Table40[SPAWNER],0)),2,1,1,"DATA_SCENES_UNITY_2")))</f>
        <v>3</v>
      </c>
      <c r="AK86" t="s">
        <v>46</v>
      </c>
      <c r="AL86">
        <v>0</v>
      </c>
      <c r="AM86">
        <v>0</v>
      </c>
      <c r="AN86" t="s">
        <v>8</v>
      </c>
      <c r="AO86" s="74" t="str">
        <f ca="1">IF(Table20[[#This Row],[Type]]="KILL",IF(_xlfn.NUMBERVALUE(RIGHT(Table20[[#This Row],[Min]],LEN(Table20[[#This Row],[Min]])-FIND("-",Table20[[#This Row],[Min]])))&gt;INDIRECT(ADDRESS(11+MATCH(LEFT(Table20[[#This Row],[Min]],FIND("-",Table20[[#This Row],[Min]])-1),Table1[Content Sku],0),18,1,1,"Entities")),"review","ok"),"ok")</f>
        <v>ok</v>
      </c>
      <c r="AP86" t="s">
        <v>2768</v>
      </c>
      <c r="AQ86">
        <v>1</v>
      </c>
      <c r="AR86" s="74">
        <f ca="1">(INDIRECT(ADDRESS(2+(MATCH(Table32[[#This Row],[SPAWNER]],Table40[SPAWNER],0)),2,1,1,"DATA_SCENES_UNITY_2"))) * Table32[[#This Row],[QUANTITY]]</f>
        <v>1</v>
      </c>
    </row>
    <row r="87" spans="1:44" x14ac:dyDescent="0.25">
      <c r="E87" t="s">
        <v>4430</v>
      </c>
      <c r="F87">
        <v>0</v>
      </c>
      <c r="G87">
        <v>0</v>
      </c>
      <c r="H87" t="s">
        <v>8</v>
      </c>
      <c r="I87" s="74" t="str">
        <f ca="1">IF(Table7[[#This Row],[Type]]="KILL",IF(_xlfn.NUMBERVALUE(RIGHT(Table7[[#This Row],[Min]],LEN(Table7[[#This Row],[Min]])-FIND("-",Table7[[#This Row],[Min]])))&gt;INDIRECT(ADDRESS(11+MATCH(LEFT(Table7[[#This Row],[Min]],FIND("-",Table7[[#This Row],[Min]])-1),Table1[Content Sku],0),16,1,1,"Entities")),"review","ok"),"ok")</f>
        <v>ok</v>
      </c>
      <c r="J87" t="s">
        <v>548</v>
      </c>
      <c r="K87">
        <v>3</v>
      </c>
      <c r="L87" s="74">
        <f ca="1">(INDIRECT(ADDRESS(2+(MATCH(Table34[[#This Row],[SPAWNER]],Table40[SPAWNER],0)),2,1,1,"DATA_SCENES_UNITY_2"))) * Table34[[#This Row],[QUANTITY]]</f>
        <v>6</v>
      </c>
      <c r="U87" t="s">
        <v>45</v>
      </c>
      <c r="V87">
        <v>0</v>
      </c>
      <c r="W87">
        <v>0</v>
      </c>
      <c r="X87" t="s">
        <v>8</v>
      </c>
      <c r="Y87" s="74" t="str">
        <f ca="1">IF(Table15[[#This Row],[Type]]="KILL",IF(_xlfn.NUMBERVALUE(RIGHT(Table15[[#This Row],[Min]],LEN(Table15[[#This Row],[Min]])-FIND("-",Table15[[#This Row],[Min]])))&gt;INDIRECT(ADDRESS(11+MATCH(LEFT(Table15[[#This Row],[Min]],FIND("-",Table15[[#This Row],[Min]])-1),Table1[Content Sku],0),16,1,1,"Entities")),"review","ok"),"ok")</f>
        <v>ok</v>
      </c>
      <c r="Z87" t="s">
        <v>2768</v>
      </c>
      <c r="AA87">
        <v>1</v>
      </c>
      <c r="AB87" s="74">
        <f ca="1">(INDIRECT(ADDRESS(2+(MATCH(Table33[[#This Row],[SPAWNER]],Table40[SPAWNER],0)),2,1,1,"DATA_SCENES_UNITY_2")))</f>
        <v>1</v>
      </c>
      <c r="AK87" t="s">
        <v>40</v>
      </c>
      <c r="AL87">
        <v>40000</v>
      </c>
      <c r="AM87">
        <v>0</v>
      </c>
      <c r="AN87" t="s">
        <v>205</v>
      </c>
      <c r="AO87" s="74" t="str">
        <f ca="1">IF(Table20[[#This Row],[Type]]="KILL",IF(_xlfn.NUMBERVALUE(RIGHT(Table20[[#This Row],[Min]],LEN(Table20[[#This Row],[Min]])-FIND("-",Table20[[#This Row],[Min]])))&gt;INDIRECT(ADDRESS(11+MATCH(LEFT(Table20[[#This Row],[Min]],FIND("-",Table20[[#This Row],[Min]])-1),Table1[Content Sku],0),18,1,1,"Entities")),"review","ok"),"ok")</f>
        <v>ok</v>
      </c>
      <c r="AP87" t="s">
        <v>2768</v>
      </c>
      <c r="AQ87">
        <v>1</v>
      </c>
      <c r="AR87" s="74">
        <f ca="1">(INDIRECT(ADDRESS(2+(MATCH(Table32[[#This Row],[SPAWNER]],Table40[SPAWNER],0)),2,1,1,"DATA_SCENES_UNITY_2"))) * Table32[[#This Row],[QUANTITY]]</f>
        <v>1</v>
      </c>
    </row>
    <row r="88" spans="1:44" x14ac:dyDescent="0.25">
      <c r="E88" t="s">
        <v>21</v>
      </c>
      <c r="F88">
        <v>74000</v>
      </c>
      <c r="G88">
        <v>0</v>
      </c>
      <c r="H88" t="s">
        <v>205</v>
      </c>
      <c r="I88" s="74" t="str">
        <f ca="1">IF(Table7[[#This Row],[Type]]="KILL",IF(_xlfn.NUMBERVALUE(RIGHT(Table7[[#This Row],[Min]],LEN(Table7[[#This Row],[Min]])-FIND("-",Table7[[#This Row],[Min]])))&gt;INDIRECT(ADDRESS(11+MATCH(LEFT(Table7[[#This Row],[Min]],FIND("-",Table7[[#This Row],[Min]])-1),Table1[Content Sku],0),16,1,1,"Entities")),"review","ok"),"ok")</f>
        <v>ok</v>
      </c>
      <c r="J88" t="s">
        <v>2768</v>
      </c>
      <c r="K88">
        <v>1</v>
      </c>
      <c r="L88" s="74">
        <f ca="1">(INDIRECT(ADDRESS(2+(MATCH(Table34[[#This Row],[SPAWNER]],Table40[SPAWNER],0)),2,1,1,"DATA_SCENES_UNITY_2"))) * Table34[[#This Row],[QUANTITY]]</f>
        <v>1</v>
      </c>
      <c r="U88" t="s">
        <v>122</v>
      </c>
      <c r="V88">
        <v>30000</v>
      </c>
      <c r="W88">
        <v>0</v>
      </c>
      <c r="X88" t="s">
        <v>205</v>
      </c>
      <c r="Y88" s="74" t="str">
        <f ca="1">IF(Table15[[#This Row],[Type]]="KILL",IF(_xlfn.NUMBERVALUE(RIGHT(Table15[[#This Row],[Min]],LEN(Table15[[#This Row],[Min]])-FIND("-",Table15[[#This Row],[Min]])))&gt;INDIRECT(ADDRESS(11+MATCH(LEFT(Table15[[#This Row],[Min]],FIND("-",Table15[[#This Row],[Min]])-1),Table1[Content Sku],0),16,1,1,"Entities")),"review","ok"),"ok")</f>
        <v>ok</v>
      </c>
      <c r="Z88" t="s">
        <v>548</v>
      </c>
      <c r="AA88">
        <v>3</v>
      </c>
      <c r="AB88" s="74">
        <f ca="1">(INDIRECT(ADDRESS(2+(MATCH(Table33[[#This Row],[SPAWNER]],Table40[SPAWNER],0)),2,1,1,"DATA_SCENES_UNITY_2")))</f>
        <v>2</v>
      </c>
      <c r="AK88" t="s">
        <v>578</v>
      </c>
      <c r="AL88">
        <v>0</v>
      </c>
      <c r="AM88">
        <v>0</v>
      </c>
      <c r="AN88" t="s">
        <v>8</v>
      </c>
      <c r="AO88" s="74" t="str">
        <f ca="1">IF(Table20[[#This Row],[Type]]="KILL",IF(_xlfn.NUMBERVALUE(RIGHT(Table20[[#This Row],[Min]],LEN(Table20[[#This Row],[Min]])-FIND("-",Table20[[#This Row],[Min]])))&gt;INDIRECT(ADDRESS(11+MATCH(LEFT(Table20[[#This Row],[Min]],FIND("-",Table20[[#This Row],[Min]])-1),Table1[Content Sku],0),18,1,1,"Entities")),"review","ok"),"ok")</f>
        <v>ok</v>
      </c>
      <c r="AP88" t="s">
        <v>122</v>
      </c>
      <c r="AQ88">
        <v>1</v>
      </c>
      <c r="AR88" s="74">
        <f ca="1">(INDIRECT(ADDRESS(2+(MATCH(Table32[[#This Row],[SPAWNER]],Table40[SPAWNER],0)),2,1,1,"DATA_SCENES_UNITY_2"))) * Table32[[#This Row],[QUANTITY]]</f>
        <v>3</v>
      </c>
    </row>
    <row r="89" spans="1:44" x14ac:dyDescent="0.25">
      <c r="E89" t="s">
        <v>122</v>
      </c>
      <c r="F89">
        <v>0</v>
      </c>
      <c r="G89">
        <v>0</v>
      </c>
      <c r="H89" t="s">
        <v>8</v>
      </c>
      <c r="I89" s="74" t="str">
        <f ca="1">IF(Table7[[#This Row],[Type]]="KILL",IF(_xlfn.NUMBERVALUE(RIGHT(Table7[[#This Row],[Min]],LEN(Table7[[#This Row],[Min]])-FIND("-",Table7[[#This Row],[Min]])))&gt;INDIRECT(ADDRESS(11+MATCH(LEFT(Table7[[#This Row],[Min]],FIND("-",Table7[[#This Row],[Min]])-1),Table1[Content Sku],0),16,1,1,"Entities")),"review","ok"),"ok")</f>
        <v>ok</v>
      </c>
      <c r="J89" t="s">
        <v>2768</v>
      </c>
      <c r="K89">
        <v>1</v>
      </c>
      <c r="L89" s="74">
        <f ca="1">(INDIRECT(ADDRESS(2+(MATCH(Table34[[#This Row],[SPAWNER]],Table40[SPAWNER],0)),2,1,1,"DATA_SCENES_UNITY_2"))) * Table34[[#This Row],[QUANTITY]]</f>
        <v>1</v>
      </c>
      <c r="U89" t="s">
        <v>315</v>
      </c>
      <c r="V89">
        <v>0</v>
      </c>
      <c r="W89">
        <v>0</v>
      </c>
      <c r="X89" t="s">
        <v>8</v>
      </c>
      <c r="Y89" s="74" t="str">
        <f ca="1">IF(Table15[[#This Row],[Type]]="KILL",IF(_xlfn.NUMBERVALUE(RIGHT(Table15[[#This Row],[Min]],LEN(Table15[[#This Row],[Min]])-FIND("-",Table15[[#This Row],[Min]])))&gt;INDIRECT(ADDRESS(11+MATCH(LEFT(Table15[[#This Row],[Min]],FIND("-",Table15[[#This Row],[Min]])-1),Table1[Content Sku],0),16,1,1,"Entities")),"review","ok"),"ok")</f>
        <v>ok</v>
      </c>
      <c r="Z89" t="s">
        <v>2768</v>
      </c>
      <c r="AA89">
        <v>1</v>
      </c>
      <c r="AB89" s="74">
        <f ca="1">(INDIRECT(ADDRESS(2+(MATCH(Table33[[#This Row],[SPAWNER]],Table40[SPAWNER],0)),2,1,1,"DATA_SCENES_UNITY_2")))</f>
        <v>1</v>
      </c>
      <c r="AK89" t="s">
        <v>2767</v>
      </c>
      <c r="AL89">
        <v>0</v>
      </c>
      <c r="AM89">
        <v>0</v>
      </c>
      <c r="AN89" t="s">
        <v>8</v>
      </c>
      <c r="AO89" s="74" t="str">
        <f ca="1">IF(Table20[[#This Row],[Type]]="KILL",IF(_xlfn.NUMBERVALUE(RIGHT(Table20[[#This Row],[Min]],LEN(Table20[[#This Row],[Min]])-FIND("-",Table20[[#This Row],[Min]])))&gt;INDIRECT(ADDRESS(11+MATCH(LEFT(Table20[[#This Row],[Min]],FIND("-",Table20[[#This Row],[Min]])-1),Table1[Content Sku],0),18,1,1,"Entities")),"review","ok"),"ok")</f>
        <v>ok</v>
      </c>
      <c r="AP89" t="s">
        <v>548</v>
      </c>
      <c r="AQ89">
        <v>3</v>
      </c>
      <c r="AR89" s="74">
        <f ca="1">(INDIRECT(ADDRESS(2+(MATCH(Table32[[#This Row],[SPAWNER]],Table40[SPAWNER],0)),2,1,1,"DATA_SCENES_UNITY_2"))) * Table32[[#This Row],[QUANTITY]]</f>
        <v>6</v>
      </c>
    </row>
    <row r="90" spans="1:44" x14ac:dyDescent="0.25">
      <c r="E90" t="s">
        <v>257</v>
      </c>
      <c r="F90">
        <v>0</v>
      </c>
      <c r="G90">
        <v>0</v>
      </c>
      <c r="H90" t="s">
        <v>8</v>
      </c>
      <c r="I90" s="74" t="str">
        <f ca="1">IF(Table7[[#This Row],[Type]]="KILL",IF(_xlfn.NUMBERVALUE(RIGHT(Table7[[#This Row],[Min]],LEN(Table7[[#This Row],[Min]])-FIND("-",Table7[[#This Row],[Min]])))&gt;INDIRECT(ADDRESS(11+MATCH(LEFT(Table7[[#This Row],[Min]],FIND("-",Table7[[#This Row],[Min]])-1),Table1[Content Sku],0),16,1,1,"Entities")),"review","ok"),"ok")</f>
        <v>ok</v>
      </c>
      <c r="J90" t="s">
        <v>2768</v>
      </c>
      <c r="K90">
        <v>1</v>
      </c>
      <c r="L90" s="74">
        <f ca="1">(INDIRECT(ADDRESS(2+(MATCH(Table34[[#This Row],[SPAWNER]],Table40[SPAWNER],0)),2,1,1,"DATA_SCENES_UNITY_2"))) * Table34[[#This Row],[QUANTITY]]</f>
        <v>1</v>
      </c>
      <c r="U90" t="s">
        <v>391</v>
      </c>
      <c r="V90">
        <v>0</v>
      </c>
      <c r="W90">
        <v>0</v>
      </c>
      <c r="X90" t="s">
        <v>8</v>
      </c>
      <c r="Y90" s="74" t="str">
        <f ca="1">IF(Table15[[#This Row],[Type]]="KILL",IF(_xlfn.NUMBERVALUE(RIGHT(Table15[[#This Row],[Min]],LEN(Table15[[#This Row],[Min]])-FIND("-",Table15[[#This Row],[Min]])))&gt;INDIRECT(ADDRESS(11+MATCH(LEFT(Table15[[#This Row],[Min]],FIND("-",Table15[[#This Row],[Min]])-1),Table1[Content Sku],0),16,1,1,"Entities")),"review","ok"),"ok")</f>
        <v>ok</v>
      </c>
      <c r="Z90" t="s">
        <v>548</v>
      </c>
      <c r="AA90">
        <v>1</v>
      </c>
      <c r="AB90" s="74">
        <f ca="1">(INDIRECT(ADDRESS(2+(MATCH(Table33[[#This Row],[SPAWNER]],Table40[SPAWNER],0)),2,1,1,"DATA_SCENES_UNITY_2")))</f>
        <v>2</v>
      </c>
      <c r="AK90" t="s">
        <v>2745</v>
      </c>
      <c r="AL90">
        <v>0</v>
      </c>
      <c r="AM90">
        <v>0</v>
      </c>
      <c r="AN90" t="s">
        <v>8</v>
      </c>
      <c r="AO90" s="74" t="str">
        <f ca="1">IF(Table20[[#This Row],[Type]]="KILL",IF(_xlfn.NUMBERVALUE(RIGHT(Table20[[#This Row],[Min]],LEN(Table20[[#This Row],[Min]])-FIND("-",Table20[[#This Row],[Min]])))&gt;INDIRECT(ADDRESS(11+MATCH(LEFT(Table20[[#This Row],[Min]],FIND("-",Table20[[#This Row],[Min]])-1),Table1[Content Sku],0),18,1,1,"Entities")),"review","ok"),"ok")</f>
        <v>ok</v>
      </c>
      <c r="AP90" t="s">
        <v>122</v>
      </c>
      <c r="AQ90">
        <v>1</v>
      </c>
      <c r="AR90" s="74">
        <f ca="1">(INDIRECT(ADDRESS(2+(MATCH(Table32[[#This Row],[SPAWNER]],Table40[SPAWNER],0)),2,1,1,"DATA_SCENES_UNITY_2"))) * Table32[[#This Row],[QUANTITY]]</f>
        <v>3</v>
      </c>
    </row>
    <row r="91" spans="1:44" x14ac:dyDescent="0.25">
      <c r="E91" t="s">
        <v>253</v>
      </c>
      <c r="F91">
        <v>0</v>
      </c>
      <c r="G91">
        <v>24000</v>
      </c>
      <c r="H91" t="s">
        <v>205</v>
      </c>
      <c r="I91" s="74" t="str">
        <f ca="1">IF(Table7[[#This Row],[Type]]="KILL",IF(_xlfn.NUMBERVALUE(RIGHT(Table7[[#This Row],[Min]],LEN(Table7[[#This Row],[Min]])-FIND("-",Table7[[#This Row],[Min]])))&gt;INDIRECT(ADDRESS(11+MATCH(LEFT(Table7[[#This Row],[Min]],FIND("-",Table7[[#This Row],[Min]])-1),Table1[Content Sku],0),16,1,1,"Entities")),"review","ok"),"ok")</f>
        <v>ok</v>
      </c>
      <c r="J91" t="s">
        <v>2768</v>
      </c>
      <c r="K91">
        <v>1</v>
      </c>
      <c r="L91" s="74">
        <f ca="1">(INDIRECT(ADDRESS(2+(MATCH(Table34[[#This Row],[SPAWNER]],Table40[SPAWNER],0)),2,1,1,"DATA_SCENES_UNITY_2"))) * Table34[[#This Row],[QUANTITY]]</f>
        <v>1</v>
      </c>
      <c r="U91" t="s">
        <v>313</v>
      </c>
      <c r="V91">
        <v>0</v>
      </c>
      <c r="W91">
        <v>0</v>
      </c>
      <c r="X91" t="s">
        <v>8</v>
      </c>
      <c r="Y91" s="74" t="str">
        <f ca="1">IF(Table15[[#This Row],[Type]]="KILL",IF(_xlfn.NUMBERVALUE(RIGHT(Table15[[#This Row],[Min]],LEN(Table15[[#This Row],[Min]])-FIND("-",Table15[[#This Row],[Min]])))&gt;INDIRECT(ADDRESS(11+MATCH(LEFT(Table15[[#This Row],[Min]],FIND("-",Table15[[#This Row],[Min]])-1),Table1[Content Sku],0),16,1,1,"Entities")),"review","ok"),"ok")</f>
        <v>ok</v>
      </c>
      <c r="Z91" t="s">
        <v>122</v>
      </c>
      <c r="AA91">
        <v>1</v>
      </c>
      <c r="AB91" s="74">
        <f ca="1">(INDIRECT(ADDRESS(2+(MATCH(Table33[[#This Row],[SPAWNER]],Table40[SPAWNER],0)),2,1,1,"DATA_SCENES_UNITY_2")))</f>
        <v>3</v>
      </c>
      <c r="AK91" t="s">
        <v>122</v>
      </c>
      <c r="AL91">
        <v>0</v>
      </c>
      <c r="AM91">
        <v>0</v>
      </c>
      <c r="AN91" t="s">
        <v>8</v>
      </c>
      <c r="AO91" s="74" t="str">
        <f ca="1">IF(Table20[[#This Row],[Type]]="KILL",IF(_xlfn.NUMBERVALUE(RIGHT(Table20[[#This Row],[Min]],LEN(Table20[[#This Row],[Min]])-FIND("-",Table20[[#This Row],[Min]])))&gt;INDIRECT(ADDRESS(11+MATCH(LEFT(Table20[[#This Row],[Min]],FIND("-",Table20[[#This Row],[Min]])-1),Table1[Content Sku],0),18,1,1,"Entities")),"review","ok"),"ok")</f>
        <v>ok</v>
      </c>
      <c r="AP91" t="s">
        <v>548</v>
      </c>
      <c r="AQ91">
        <v>10</v>
      </c>
      <c r="AR91" s="74">
        <f ca="1">(INDIRECT(ADDRESS(2+(MATCH(Table32[[#This Row],[SPAWNER]],Table40[SPAWNER],0)),2,1,1,"DATA_SCENES_UNITY_2"))) * Table32[[#This Row],[QUANTITY]]</f>
        <v>20</v>
      </c>
    </row>
    <row r="92" spans="1:44" x14ac:dyDescent="0.25">
      <c r="E92" t="s">
        <v>289</v>
      </c>
      <c r="F92">
        <v>0</v>
      </c>
      <c r="G92">
        <v>0</v>
      </c>
      <c r="H92" t="s">
        <v>8</v>
      </c>
      <c r="I92" s="74" t="str">
        <f ca="1">IF(Table7[[#This Row],[Type]]="KILL",IF(_xlfn.NUMBERVALUE(RIGHT(Table7[[#This Row],[Min]],LEN(Table7[[#This Row],[Min]])-FIND("-",Table7[[#This Row],[Min]])))&gt;INDIRECT(ADDRESS(11+MATCH(LEFT(Table7[[#This Row],[Min]],FIND("-",Table7[[#This Row],[Min]])-1),Table1[Content Sku],0),16,1,1,"Entities")),"review","ok"),"ok")</f>
        <v>ok</v>
      </c>
      <c r="J92" t="s">
        <v>2768</v>
      </c>
      <c r="K92">
        <v>1</v>
      </c>
      <c r="L92" s="74">
        <f ca="1">(INDIRECT(ADDRESS(2+(MATCH(Table34[[#This Row],[SPAWNER]],Table40[SPAWNER],0)),2,1,1,"DATA_SCENES_UNITY_2"))) * Table34[[#This Row],[QUANTITY]]</f>
        <v>1</v>
      </c>
      <c r="U92" t="s">
        <v>311</v>
      </c>
      <c r="V92">
        <v>21000</v>
      </c>
      <c r="W92">
        <v>0</v>
      </c>
      <c r="X92" t="s">
        <v>205</v>
      </c>
      <c r="Y92" s="74" t="str">
        <f ca="1">IF(Table15[[#This Row],[Type]]="KILL",IF(_xlfn.NUMBERVALUE(RIGHT(Table15[[#This Row],[Min]],LEN(Table15[[#This Row],[Min]])-FIND("-",Table15[[#This Row],[Min]])))&gt;INDIRECT(ADDRESS(11+MATCH(LEFT(Table15[[#This Row],[Min]],FIND("-",Table15[[#This Row],[Min]])-1),Table1[Content Sku],0),16,1,1,"Entities")),"review","ok"),"ok")</f>
        <v>ok</v>
      </c>
      <c r="Z92" t="s">
        <v>122</v>
      </c>
      <c r="AA92">
        <v>1</v>
      </c>
      <c r="AB92" s="74">
        <f ca="1">(INDIRECT(ADDRESS(2+(MATCH(Table33[[#This Row],[SPAWNER]],Table40[SPAWNER],0)),2,1,1,"DATA_SCENES_UNITY_2")))</f>
        <v>3</v>
      </c>
      <c r="AK92" t="s">
        <v>257</v>
      </c>
      <c r="AL92">
        <v>0</v>
      </c>
      <c r="AM92">
        <v>0</v>
      </c>
      <c r="AN92" t="s">
        <v>8</v>
      </c>
      <c r="AO92" s="74" t="str">
        <f ca="1">IF(Table20[[#This Row],[Type]]="KILL",IF(_xlfn.NUMBERVALUE(RIGHT(Table20[[#This Row],[Min]],LEN(Table20[[#This Row],[Min]])-FIND("-",Table20[[#This Row],[Min]])))&gt;INDIRECT(ADDRESS(11+MATCH(LEFT(Table20[[#This Row],[Min]],FIND("-",Table20[[#This Row],[Min]])-1),Table1[Content Sku],0),18,1,1,"Entities")),"review","ok"),"ok")</f>
        <v>ok</v>
      </c>
      <c r="AP92" t="s">
        <v>548</v>
      </c>
      <c r="AQ92">
        <v>2</v>
      </c>
      <c r="AR92" s="74">
        <f ca="1">(INDIRECT(ADDRESS(2+(MATCH(Table32[[#This Row],[SPAWNER]],Table40[SPAWNER],0)),2,1,1,"DATA_SCENES_UNITY_2"))) * Table32[[#This Row],[QUANTITY]]</f>
        <v>4</v>
      </c>
    </row>
    <row r="93" spans="1:44" x14ac:dyDescent="0.25">
      <c r="E93" t="s">
        <v>311</v>
      </c>
      <c r="F93">
        <v>0</v>
      </c>
      <c r="G93">
        <v>0</v>
      </c>
      <c r="H93" t="s">
        <v>8</v>
      </c>
      <c r="I93" s="74" t="str">
        <f ca="1">IF(Table7[[#This Row],[Type]]="KILL",IF(_xlfn.NUMBERVALUE(RIGHT(Table7[[#This Row],[Min]],LEN(Table7[[#This Row],[Min]])-FIND("-",Table7[[#This Row],[Min]])))&gt;INDIRECT(ADDRESS(11+MATCH(LEFT(Table7[[#This Row],[Min]],FIND("-",Table7[[#This Row],[Min]])-1),Table1[Content Sku],0),16,1,1,"Entities")),"review","ok"),"ok")</f>
        <v>ok</v>
      </c>
      <c r="J93" t="s">
        <v>548</v>
      </c>
      <c r="K93">
        <v>2</v>
      </c>
      <c r="L93" s="74">
        <f ca="1">(INDIRECT(ADDRESS(2+(MATCH(Table34[[#This Row],[SPAWNER]],Table40[SPAWNER],0)),2,1,1,"DATA_SCENES_UNITY_2"))) * Table34[[#This Row],[QUANTITY]]</f>
        <v>4</v>
      </c>
      <c r="U93" t="s">
        <v>36</v>
      </c>
      <c r="V93">
        <v>23000</v>
      </c>
      <c r="W93">
        <v>0</v>
      </c>
      <c r="X93" t="s">
        <v>205</v>
      </c>
      <c r="Y93" s="74" t="str">
        <f ca="1">IF(Table15[[#This Row],[Type]]="KILL",IF(_xlfn.NUMBERVALUE(RIGHT(Table15[[#This Row],[Min]],LEN(Table15[[#This Row],[Min]])-FIND("-",Table15[[#This Row],[Min]])))&gt;INDIRECT(ADDRESS(11+MATCH(LEFT(Table15[[#This Row],[Min]],FIND("-",Table15[[#This Row],[Min]])-1),Table1[Content Sku],0),16,1,1,"Entities")),"review","ok"),"ok")</f>
        <v>ok</v>
      </c>
      <c r="Z93" t="s">
        <v>2768</v>
      </c>
      <c r="AA93">
        <v>1</v>
      </c>
      <c r="AB93" s="74">
        <f ca="1">(INDIRECT(ADDRESS(2+(MATCH(Table33[[#This Row],[SPAWNER]],Table40[SPAWNER],0)),2,1,1,"DATA_SCENES_UNITY_2")))</f>
        <v>1</v>
      </c>
      <c r="AK93" t="s">
        <v>2667</v>
      </c>
      <c r="AL93">
        <v>0</v>
      </c>
      <c r="AM93">
        <v>0</v>
      </c>
      <c r="AN93" t="s">
        <v>8</v>
      </c>
      <c r="AO93" s="74" t="str">
        <f ca="1">IF(Table20[[#This Row],[Type]]="KILL",IF(_xlfn.NUMBERVALUE(RIGHT(Table20[[#This Row],[Min]],LEN(Table20[[#This Row],[Min]])-FIND("-",Table20[[#This Row],[Min]])))&gt;INDIRECT(ADDRESS(11+MATCH(LEFT(Table20[[#This Row],[Min]],FIND("-",Table20[[#This Row],[Min]])-1),Table1[Content Sku],0),18,1,1,"Entities")),"review","ok"),"ok")</f>
        <v>ok</v>
      </c>
      <c r="AP93" t="s">
        <v>548</v>
      </c>
      <c r="AQ93">
        <v>12</v>
      </c>
      <c r="AR93" s="74">
        <f ca="1">(INDIRECT(ADDRESS(2+(MATCH(Table32[[#This Row],[SPAWNER]],Table40[SPAWNER],0)),2,1,1,"DATA_SCENES_UNITY_2"))) * Table32[[#This Row],[QUANTITY]]</f>
        <v>24</v>
      </c>
    </row>
    <row r="94" spans="1:44" x14ac:dyDescent="0.25">
      <c r="E94" t="s">
        <v>283</v>
      </c>
      <c r="F94">
        <v>7000</v>
      </c>
      <c r="G94">
        <v>0</v>
      </c>
      <c r="H94" t="s">
        <v>205</v>
      </c>
      <c r="I94" s="74" t="str">
        <f ca="1">IF(Table7[[#This Row],[Type]]="KILL",IF(_xlfn.NUMBERVALUE(RIGHT(Table7[[#This Row],[Min]],LEN(Table7[[#This Row],[Min]])-FIND("-",Table7[[#This Row],[Min]])))&gt;INDIRECT(ADDRESS(11+MATCH(LEFT(Table7[[#This Row],[Min]],FIND("-",Table7[[#This Row],[Min]])-1),Table1[Content Sku],0),16,1,1,"Entities")),"review","ok"),"ok")</f>
        <v>ok</v>
      </c>
      <c r="J94" t="s">
        <v>122</v>
      </c>
      <c r="K94">
        <v>1</v>
      </c>
      <c r="L94" s="74">
        <f ca="1">(INDIRECT(ADDRESS(2+(MATCH(Table34[[#This Row],[SPAWNER]],Table40[SPAWNER],0)),2,1,1,"DATA_SCENES_UNITY_2"))) * Table34[[#This Row],[QUANTITY]]</f>
        <v>3</v>
      </c>
      <c r="U94" t="s">
        <v>391</v>
      </c>
      <c r="V94">
        <v>26000</v>
      </c>
      <c r="W94">
        <v>0</v>
      </c>
      <c r="X94" t="s">
        <v>205</v>
      </c>
      <c r="Y94" s="74" t="str">
        <f ca="1">IF(Table15[[#This Row],[Type]]="KILL",IF(_xlfn.NUMBERVALUE(RIGHT(Table15[[#This Row],[Min]],LEN(Table15[[#This Row],[Min]])-FIND("-",Table15[[#This Row],[Min]])))&gt;INDIRECT(ADDRESS(11+MATCH(LEFT(Table15[[#This Row],[Min]],FIND("-",Table15[[#This Row],[Min]])-1),Table1[Content Sku],0),16,1,1,"Entities")),"review","ok"),"ok")</f>
        <v>ok</v>
      </c>
      <c r="Z94" t="s">
        <v>122</v>
      </c>
      <c r="AA94">
        <v>1</v>
      </c>
      <c r="AB94" s="74">
        <f ca="1">(INDIRECT(ADDRESS(2+(MATCH(Table33[[#This Row],[SPAWNER]],Table40[SPAWNER],0)),2,1,1,"DATA_SCENES_UNITY_2")))</f>
        <v>3</v>
      </c>
      <c r="AK94" t="s">
        <v>313</v>
      </c>
      <c r="AL94">
        <v>0</v>
      </c>
      <c r="AM94">
        <v>0</v>
      </c>
      <c r="AN94" t="s">
        <v>8</v>
      </c>
      <c r="AO94" s="74" t="str">
        <f ca="1">IF(Table20[[#This Row],[Type]]="KILL",IF(_xlfn.NUMBERVALUE(RIGHT(Table20[[#This Row],[Min]],LEN(Table20[[#This Row],[Min]])-FIND("-",Table20[[#This Row],[Min]])))&gt;INDIRECT(ADDRESS(11+MATCH(LEFT(Table20[[#This Row],[Min]],FIND("-",Table20[[#This Row],[Min]])-1),Table1[Content Sku],0),18,1,1,"Entities")),"review","ok"),"ok")</f>
        <v>ok</v>
      </c>
      <c r="AP94" t="s">
        <v>122</v>
      </c>
      <c r="AQ94">
        <v>1</v>
      </c>
      <c r="AR94" s="74">
        <f ca="1">(INDIRECT(ADDRESS(2+(MATCH(Table32[[#This Row],[SPAWNER]],Table40[SPAWNER],0)),2,1,1,"DATA_SCENES_UNITY_2"))) * Table32[[#This Row],[QUANTITY]]</f>
        <v>3</v>
      </c>
    </row>
    <row r="95" spans="1:44" x14ac:dyDescent="0.25">
      <c r="E95" t="s">
        <v>545</v>
      </c>
      <c r="F95">
        <v>0</v>
      </c>
      <c r="G95">
        <v>0</v>
      </c>
      <c r="H95" t="s">
        <v>8</v>
      </c>
      <c r="I95" s="74" t="str">
        <f ca="1">IF(Table7[[#This Row],[Type]]="KILL",IF(_xlfn.NUMBERVALUE(RIGHT(Table7[[#This Row],[Min]],LEN(Table7[[#This Row],[Min]])-FIND("-",Table7[[#This Row],[Min]])))&gt;INDIRECT(ADDRESS(11+MATCH(LEFT(Table7[[#This Row],[Min]],FIND("-",Table7[[#This Row],[Min]])-1),Table1[Content Sku],0),16,1,1,"Entities")),"review","ok"),"ok")</f>
        <v>ok</v>
      </c>
      <c r="J95" t="s">
        <v>122</v>
      </c>
      <c r="K95">
        <v>1</v>
      </c>
      <c r="L95" s="74">
        <f ca="1">(INDIRECT(ADDRESS(2+(MATCH(Table34[[#This Row],[SPAWNER]],Table40[SPAWNER],0)),2,1,1,"DATA_SCENES_UNITY_2"))) * Table34[[#This Row],[QUANTITY]]</f>
        <v>3</v>
      </c>
      <c r="U95" t="s">
        <v>311</v>
      </c>
      <c r="V95">
        <v>0</v>
      </c>
      <c r="W95">
        <v>0</v>
      </c>
      <c r="X95" t="s">
        <v>8</v>
      </c>
      <c r="Y95" s="74" t="str">
        <f ca="1">IF(Table15[[#This Row],[Type]]="KILL",IF(_xlfn.NUMBERVALUE(RIGHT(Table15[[#This Row],[Min]],LEN(Table15[[#This Row],[Min]])-FIND("-",Table15[[#This Row],[Min]])))&gt;INDIRECT(ADDRESS(11+MATCH(LEFT(Table15[[#This Row],[Min]],FIND("-",Table15[[#This Row],[Min]])-1),Table1[Content Sku],0),16,1,1,"Entities")),"review","ok"),"ok")</f>
        <v>ok</v>
      </c>
      <c r="Z95" t="s">
        <v>548</v>
      </c>
      <c r="AA95">
        <v>1</v>
      </c>
      <c r="AB95" s="74">
        <f ca="1">(INDIRECT(ADDRESS(2+(MATCH(Table33[[#This Row],[SPAWNER]],Table40[SPAWNER],0)),2,1,1,"DATA_SCENES_UNITY_2")))</f>
        <v>2</v>
      </c>
      <c r="AK95" t="s">
        <v>46</v>
      </c>
      <c r="AL95">
        <v>0</v>
      </c>
      <c r="AM95">
        <v>0</v>
      </c>
      <c r="AN95" t="s">
        <v>8</v>
      </c>
      <c r="AO95" s="74" t="str">
        <f ca="1">IF(Table20[[#This Row],[Type]]="KILL",IF(_xlfn.NUMBERVALUE(RIGHT(Table20[[#This Row],[Min]],LEN(Table20[[#This Row],[Min]])-FIND("-",Table20[[#This Row],[Min]])))&gt;INDIRECT(ADDRESS(11+MATCH(LEFT(Table20[[#This Row],[Min]],FIND("-",Table20[[#This Row],[Min]])-1),Table1[Content Sku],0),18,1,1,"Entities")),"review","ok"),"ok")</f>
        <v>ok</v>
      </c>
      <c r="AP95" t="s">
        <v>548</v>
      </c>
      <c r="AQ95">
        <v>1</v>
      </c>
      <c r="AR95" s="74">
        <f ca="1">(INDIRECT(ADDRESS(2+(MATCH(Table32[[#This Row],[SPAWNER]],Table40[SPAWNER],0)),2,1,1,"DATA_SCENES_UNITY_2"))) * Table32[[#This Row],[QUANTITY]]</f>
        <v>2</v>
      </c>
    </row>
    <row r="96" spans="1:44" x14ac:dyDescent="0.25">
      <c r="E96" t="s">
        <v>45</v>
      </c>
      <c r="F96">
        <v>0</v>
      </c>
      <c r="G96">
        <v>0</v>
      </c>
      <c r="H96" t="s">
        <v>8</v>
      </c>
      <c r="I96" s="74" t="str">
        <f ca="1">IF(Table7[[#This Row],[Type]]="KILL",IF(_xlfn.NUMBERVALUE(RIGHT(Table7[[#This Row],[Min]],LEN(Table7[[#This Row],[Min]])-FIND("-",Table7[[#This Row],[Min]])))&gt;INDIRECT(ADDRESS(11+MATCH(LEFT(Table7[[#This Row],[Min]],FIND("-",Table7[[#This Row],[Min]])-1),Table1[Content Sku],0),16,1,1,"Entities")),"review","ok"),"ok")</f>
        <v>ok</v>
      </c>
      <c r="J96" t="s">
        <v>122</v>
      </c>
      <c r="K96">
        <v>1</v>
      </c>
      <c r="L96" s="74">
        <f ca="1">(INDIRECT(ADDRESS(2+(MATCH(Table34[[#This Row],[SPAWNER]],Table40[SPAWNER],0)),2,1,1,"DATA_SCENES_UNITY_2"))) * Table34[[#This Row],[QUANTITY]]</f>
        <v>3</v>
      </c>
      <c r="U96" t="s">
        <v>315</v>
      </c>
      <c r="V96">
        <v>0</v>
      </c>
      <c r="W96">
        <v>0</v>
      </c>
      <c r="X96" t="s">
        <v>8</v>
      </c>
      <c r="Y96" s="74" t="str">
        <f ca="1">IF(Table15[[#This Row],[Type]]="KILL",IF(_xlfn.NUMBERVALUE(RIGHT(Table15[[#This Row],[Min]],LEN(Table15[[#This Row],[Min]])-FIND("-",Table15[[#This Row],[Min]])))&gt;INDIRECT(ADDRESS(11+MATCH(LEFT(Table15[[#This Row],[Min]],FIND("-",Table15[[#This Row],[Min]])-1),Table1[Content Sku],0),16,1,1,"Entities")),"review","ok"),"ok")</f>
        <v>ok</v>
      </c>
      <c r="Z96" t="s">
        <v>2768</v>
      </c>
      <c r="AA96">
        <v>1</v>
      </c>
      <c r="AB96" s="74">
        <f ca="1">(INDIRECT(ADDRESS(2+(MATCH(Table33[[#This Row],[SPAWNER]],Table40[SPAWNER],0)),2,1,1,"DATA_SCENES_UNITY_2")))</f>
        <v>1</v>
      </c>
      <c r="AK96" t="s">
        <v>46</v>
      </c>
      <c r="AL96">
        <v>0</v>
      </c>
      <c r="AM96">
        <v>0</v>
      </c>
      <c r="AN96" t="s">
        <v>8</v>
      </c>
      <c r="AO96" s="74" t="str">
        <f ca="1">IF(Table20[[#This Row],[Type]]="KILL",IF(_xlfn.NUMBERVALUE(RIGHT(Table20[[#This Row],[Min]],LEN(Table20[[#This Row],[Min]])-FIND("-",Table20[[#This Row],[Min]])))&gt;INDIRECT(ADDRESS(11+MATCH(LEFT(Table20[[#This Row],[Min]],FIND("-",Table20[[#This Row],[Min]])-1),Table1[Content Sku],0),18,1,1,"Entities")),"review","ok"),"ok")</f>
        <v>ok</v>
      </c>
      <c r="AP96" t="s">
        <v>548</v>
      </c>
      <c r="AQ96">
        <v>10</v>
      </c>
      <c r="AR96" s="74">
        <f ca="1">(INDIRECT(ADDRESS(2+(MATCH(Table32[[#This Row],[SPAWNER]],Table40[SPAWNER],0)),2,1,1,"DATA_SCENES_UNITY_2"))) * Table32[[#This Row],[QUANTITY]]</f>
        <v>20</v>
      </c>
    </row>
    <row r="97" spans="5:44" x14ac:dyDescent="0.25">
      <c r="E97" t="s">
        <v>36</v>
      </c>
      <c r="F97">
        <v>15000</v>
      </c>
      <c r="G97">
        <v>0</v>
      </c>
      <c r="H97" t="s">
        <v>205</v>
      </c>
      <c r="I97" s="74" t="str">
        <f ca="1">IF(Table7[[#This Row],[Type]]="KILL",IF(_xlfn.NUMBERVALUE(RIGHT(Table7[[#This Row],[Min]],LEN(Table7[[#This Row],[Min]])-FIND("-",Table7[[#This Row],[Min]])))&gt;INDIRECT(ADDRESS(11+MATCH(LEFT(Table7[[#This Row],[Min]],FIND("-",Table7[[#This Row],[Min]])-1),Table1[Content Sku],0),16,1,1,"Entities")),"review","ok"),"ok")</f>
        <v>ok</v>
      </c>
      <c r="J97" t="s">
        <v>548</v>
      </c>
      <c r="K97">
        <v>2</v>
      </c>
      <c r="L97" s="74">
        <f ca="1">(INDIRECT(ADDRESS(2+(MATCH(Table34[[#This Row],[SPAWNER]],Table40[SPAWNER],0)),2,1,1,"DATA_SCENES_UNITY_2"))) * Table34[[#This Row],[QUANTITY]]</f>
        <v>4</v>
      </c>
      <c r="U97" t="s">
        <v>37</v>
      </c>
      <c r="V97">
        <v>0</v>
      </c>
      <c r="W97">
        <v>0</v>
      </c>
      <c r="X97" t="s">
        <v>8</v>
      </c>
      <c r="Y97" s="74" t="str">
        <f ca="1">IF(Table15[[#This Row],[Type]]="KILL",IF(_xlfn.NUMBERVALUE(RIGHT(Table15[[#This Row],[Min]],LEN(Table15[[#This Row],[Min]])-FIND("-",Table15[[#This Row],[Min]])))&gt;INDIRECT(ADDRESS(11+MATCH(LEFT(Table15[[#This Row],[Min]],FIND("-",Table15[[#This Row],[Min]])-1),Table1[Content Sku],0),16,1,1,"Entities")),"review","ok"),"ok")</f>
        <v>ok</v>
      </c>
      <c r="Z97" t="s">
        <v>122</v>
      </c>
      <c r="AA97">
        <v>1</v>
      </c>
      <c r="AB97" s="74">
        <f ca="1">(INDIRECT(ADDRESS(2+(MATCH(Table33[[#This Row],[SPAWNER]],Table40[SPAWNER],0)),2,1,1,"DATA_SCENES_UNITY_2")))</f>
        <v>3</v>
      </c>
      <c r="AK97" t="s">
        <v>95</v>
      </c>
      <c r="AL97">
        <v>0</v>
      </c>
      <c r="AM97">
        <v>0</v>
      </c>
      <c r="AN97" t="s">
        <v>8</v>
      </c>
      <c r="AO97" s="74" t="str">
        <f ca="1">IF(Table20[[#This Row],[Type]]="KILL",IF(_xlfn.NUMBERVALUE(RIGHT(Table20[[#This Row],[Min]],LEN(Table20[[#This Row],[Min]])-FIND("-",Table20[[#This Row],[Min]])))&gt;INDIRECT(ADDRESS(11+MATCH(LEFT(Table20[[#This Row],[Min]],FIND("-",Table20[[#This Row],[Min]])-1),Table1[Content Sku],0),18,1,1,"Entities")),"review","ok"),"ok")</f>
        <v>ok</v>
      </c>
      <c r="AP97" t="s">
        <v>122</v>
      </c>
      <c r="AQ97">
        <v>1</v>
      </c>
      <c r="AR97" s="74">
        <f ca="1">(INDIRECT(ADDRESS(2+(MATCH(Table32[[#This Row],[SPAWNER]],Table40[SPAWNER],0)),2,1,1,"DATA_SCENES_UNITY_2"))) * Table32[[#This Row],[QUANTITY]]</f>
        <v>3</v>
      </c>
    </row>
    <row r="98" spans="5:44" x14ac:dyDescent="0.25">
      <c r="E98" t="s">
        <v>37</v>
      </c>
      <c r="F98">
        <v>0</v>
      </c>
      <c r="G98">
        <v>0</v>
      </c>
      <c r="H98" t="s">
        <v>8</v>
      </c>
      <c r="I98" s="74" t="str">
        <f ca="1">IF(Table7[[#This Row],[Type]]="KILL",IF(_xlfn.NUMBERVALUE(RIGHT(Table7[[#This Row],[Min]],LEN(Table7[[#This Row],[Min]])-FIND("-",Table7[[#This Row],[Min]])))&gt;INDIRECT(ADDRESS(11+MATCH(LEFT(Table7[[#This Row],[Min]],FIND("-",Table7[[#This Row],[Min]])-1),Table1[Content Sku],0),16,1,1,"Entities")),"review","ok"),"ok")</f>
        <v>ok</v>
      </c>
      <c r="J98" t="s">
        <v>2768</v>
      </c>
      <c r="K98">
        <v>1</v>
      </c>
      <c r="L98" s="74">
        <f ca="1">(INDIRECT(ADDRESS(2+(MATCH(Table34[[#This Row],[SPAWNER]],Table40[SPAWNER],0)),2,1,1,"DATA_SCENES_UNITY_2"))) * Table34[[#This Row],[QUANTITY]]</f>
        <v>1</v>
      </c>
      <c r="U98" t="s">
        <v>61</v>
      </c>
      <c r="V98">
        <v>15000</v>
      </c>
      <c r="W98">
        <v>0</v>
      </c>
      <c r="X98" t="s">
        <v>205</v>
      </c>
      <c r="Y98" s="74" t="str">
        <f ca="1">IF(Table15[[#This Row],[Type]]="KILL",IF(_xlfn.NUMBERVALUE(RIGHT(Table15[[#This Row],[Min]],LEN(Table15[[#This Row],[Min]])-FIND("-",Table15[[#This Row],[Min]])))&gt;INDIRECT(ADDRESS(11+MATCH(LEFT(Table15[[#This Row],[Min]],FIND("-",Table15[[#This Row],[Min]])-1),Table1[Content Sku],0),16,1,1,"Entities")),"review","ok"),"ok")</f>
        <v>ok</v>
      </c>
      <c r="Z98" t="s">
        <v>122</v>
      </c>
      <c r="AA98">
        <v>1</v>
      </c>
      <c r="AB98" s="74">
        <f ca="1">(INDIRECT(ADDRESS(2+(MATCH(Table33[[#This Row],[SPAWNER]],Table40[SPAWNER],0)),2,1,1,"DATA_SCENES_UNITY_2")))</f>
        <v>3</v>
      </c>
      <c r="AK98" t="s">
        <v>2741</v>
      </c>
      <c r="AL98">
        <v>0</v>
      </c>
      <c r="AM98">
        <v>0</v>
      </c>
      <c r="AN98" t="s">
        <v>8</v>
      </c>
      <c r="AO98" s="74" t="str">
        <f ca="1">IF(Table20[[#This Row],[Type]]="KILL",IF(_xlfn.NUMBERVALUE(RIGHT(Table20[[#This Row],[Min]],LEN(Table20[[#This Row],[Min]])-FIND("-",Table20[[#This Row],[Min]])))&gt;INDIRECT(ADDRESS(11+MATCH(LEFT(Table20[[#This Row],[Min]],FIND("-",Table20[[#This Row],[Min]])-1),Table1[Content Sku],0),18,1,1,"Entities")),"review","ok"),"ok")</f>
        <v>ok</v>
      </c>
      <c r="AP98" t="s">
        <v>2768</v>
      </c>
      <c r="AQ98">
        <v>1</v>
      </c>
      <c r="AR98" s="74">
        <f ca="1">(INDIRECT(ADDRESS(2+(MATCH(Table32[[#This Row],[SPAWNER]],Table40[SPAWNER],0)),2,1,1,"DATA_SCENES_UNITY_2"))) * Table32[[#This Row],[QUANTITY]]</f>
        <v>1</v>
      </c>
    </row>
    <row r="99" spans="5:44" x14ac:dyDescent="0.25">
      <c r="E99" t="s">
        <v>280</v>
      </c>
      <c r="F99">
        <v>0</v>
      </c>
      <c r="G99">
        <v>0</v>
      </c>
      <c r="H99" t="s">
        <v>8</v>
      </c>
      <c r="I99" s="74" t="str">
        <f ca="1">IF(Table7[[#This Row],[Type]]="KILL",IF(_xlfn.NUMBERVALUE(RIGHT(Table7[[#This Row],[Min]],LEN(Table7[[#This Row],[Min]])-FIND("-",Table7[[#This Row],[Min]])))&gt;INDIRECT(ADDRESS(11+MATCH(LEFT(Table7[[#This Row],[Min]],FIND("-",Table7[[#This Row],[Min]])-1),Table1[Content Sku],0),16,1,1,"Entities")),"review","ok"),"ok")</f>
        <v>ok</v>
      </c>
      <c r="J99" t="s">
        <v>2768</v>
      </c>
      <c r="K99">
        <v>1</v>
      </c>
      <c r="L99" s="74">
        <f ca="1">(INDIRECT(ADDRESS(2+(MATCH(Table34[[#This Row],[SPAWNER]],Table40[SPAWNER],0)),2,1,1,"DATA_SCENES_UNITY_2"))) * Table34[[#This Row],[QUANTITY]]</f>
        <v>1</v>
      </c>
      <c r="U99" t="s">
        <v>2741</v>
      </c>
      <c r="V99">
        <v>0</v>
      </c>
      <c r="W99">
        <v>0</v>
      </c>
      <c r="X99" t="s">
        <v>8</v>
      </c>
      <c r="Y99" s="74" t="str">
        <f ca="1">IF(Table15[[#This Row],[Type]]="KILL",IF(_xlfn.NUMBERVALUE(RIGHT(Table15[[#This Row],[Min]],LEN(Table15[[#This Row],[Min]])-FIND("-",Table15[[#This Row],[Min]])))&gt;INDIRECT(ADDRESS(11+MATCH(LEFT(Table15[[#This Row],[Min]],FIND("-",Table15[[#This Row],[Min]])-1),Table1[Content Sku],0),16,1,1,"Entities")),"review","ok"),"ok")</f>
        <v>ok</v>
      </c>
      <c r="Z99" t="s">
        <v>548</v>
      </c>
      <c r="AA99">
        <v>3</v>
      </c>
      <c r="AB99" s="74">
        <f ca="1">(INDIRECT(ADDRESS(2+(MATCH(Table33[[#This Row],[SPAWNER]],Table40[SPAWNER],0)),2,1,1,"DATA_SCENES_UNITY_2")))</f>
        <v>2</v>
      </c>
      <c r="AK99" t="s">
        <v>2673</v>
      </c>
      <c r="AL99" t="s">
        <v>5004</v>
      </c>
      <c r="AM99" t="s">
        <v>4467</v>
      </c>
      <c r="AN99" t="s">
        <v>4468</v>
      </c>
      <c r="AO99" s="74" t="str">
        <f ca="1">IF(Table20[[#This Row],[Type]]="KILL",IF(_xlfn.NUMBERVALUE(RIGHT(Table20[[#This Row],[Min]],LEN(Table20[[#This Row],[Min]])-FIND("-",Table20[[#This Row],[Min]])))&gt;INDIRECT(ADDRESS(11+MATCH(LEFT(Table20[[#This Row],[Min]],FIND("-",Table20[[#This Row],[Min]])-1),Table1[Content Sku],0),18,1,1,"Entities")),"review","ok"),"ok")</f>
        <v>ok</v>
      </c>
      <c r="AP99" t="s">
        <v>2768</v>
      </c>
      <c r="AQ99">
        <v>1</v>
      </c>
      <c r="AR99" s="74">
        <f ca="1">(INDIRECT(ADDRESS(2+(MATCH(Table32[[#This Row],[SPAWNER]],Table40[SPAWNER],0)),2,1,1,"DATA_SCENES_UNITY_2"))) * Table32[[#This Row],[QUANTITY]]</f>
        <v>1</v>
      </c>
    </row>
    <row r="100" spans="5:44" x14ac:dyDescent="0.25">
      <c r="E100" t="s">
        <v>393</v>
      </c>
      <c r="F100">
        <v>0</v>
      </c>
      <c r="G100">
        <v>0</v>
      </c>
      <c r="H100" t="s">
        <v>8</v>
      </c>
      <c r="I100" s="74" t="str">
        <f ca="1">IF(Table7[[#This Row],[Type]]="KILL",IF(_xlfn.NUMBERVALUE(RIGHT(Table7[[#This Row],[Min]],LEN(Table7[[#This Row],[Min]])-FIND("-",Table7[[#This Row],[Min]])))&gt;INDIRECT(ADDRESS(11+MATCH(LEFT(Table7[[#This Row],[Min]],FIND("-",Table7[[#This Row],[Min]])-1),Table1[Content Sku],0),16,1,1,"Entities")),"review","ok"),"ok")</f>
        <v>ok</v>
      </c>
      <c r="J100" t="s">
        <v>2768</v>
      </c>
      <c r="K100">
        <v>1</v>
      </c>
      <c r="L100" s="74">
        <f ca="1">(INDIRECT(ADDRESS(2+(MATCH(Table34[[#This Row],[SPAWNER]],Table40[SPAWNER],0)),2,1,1,"DATA_SCENES_UNITY_2"))) * Table34[[#This Row],[QUANTITY]]</f>
        <v>1</v>
      </c>
      <c r="U100" t="s">
        <v>315</v>
      </c>
      <c r="V100">
        <v>0</v>
      </c>
      <c r="W100">
        <v>0</v>
      </c>
      <c r="X100" t="s">
        <v>8</v>
      </c>
      <c r="Y100" s="74" t="str">
        <f ca="1">IF(Table15[[#This Row],[Type]]="KILL",IF(_xlfn.NUMBERVALUE(RIGHT(Table15[[#This Row],[Min]],LEN(Table15[[#This Row],[Min]])-FIND("-",Table15[[#This Row],[Min]])))&gt;INDIRECT(ADDRESS(11+MATCH(LEFT(Table15[[#This Row],[Min]],FIND("-",Table15[[#This Row],[Min]])-1),Table1[Content Sku],0),16,1,1,"Entities")),"review","ok"),"ok")</f>
        <v>ok</v>
      </c>
      <c r="Z100" t="s">
        <v>548</v>
      </c>
      <c r="AA100">
        <v>1</v>
      </c>
      <c r="AB100" s="74">
        <f ca="1">(INDIRECT(ADDRESS(2+(MATCH(Table33[[#This Row],[SPAWNER]],Table40[SPAWNER],0)),2,1,1,"DATA_SCENES_UNITY_2")))</f>
        <v>2</v>
      </c>
      <c r="AK100" t="s">
        <v>2741</v>
      </c>
      <c r="AL100">
        <v>0</v>
      </c>
      <c r="AM100">
        <v>0</v>
      </c>
      <c r="AN100" t="s">
        <v>8</v>
      </c>
      <c r="AO100" s="74" t="str">
        <f ca="1">IF(Table20[[#This Row],[Type]]="KILL",IF(_xlfn.NUMBERVALUE(RIGHT(Table20[[#This Row],[Min]],LEN(Table20[[#This Row],[Min]])-FIND("-",Table20[[#This Row],[Min]])))&gt;INDIRECT(ADDRESS(11+MATCH(LEFT(Table20[[#This Row],[Min]],FIND("-",Table20[[#This Row],[Min]])-1),Table1[Content Sku],0),18,1,1,"Entities")),"review","ok"),"ok")</f>
        <v>ok</v>
      </c>
      <c r="AP100" t="s">
        <v>122</v>
      </c>
      <c r="AQ100">
        <v>1</v>
      </c>
      <c r="AR100" s="74">
        <f ca="1">(INDIRECT(ADDRESS(2+(MATCH(Table32[[#This Row],[SPAWNER]],Table40[SPAWNER],0)),2,1,1,"DATA_SCENES_UNITY_2"))) * Table32[[#This Row],[QUANTITY]]</f>
        <v>3</v>
      </c>
    </row>
    <row r="101" spans="5:44" x14ac:dyDescent="0.25">
      <c r="E101" t="s">
        <v>283</v>
      </c>
      <c r="F101">
        <v>3200</v>
      </c>
      <c r="G101">
        <v>0</v>
      </c>
      <c r="H101" t="s">
        <v>205</v>
      </c>
      <c r="I101" s="74" t="str">
        <f ca="1">IF(Table7[[#This Row],[Type]]="KILL",IF(_xlfn.NUMBERVALUE(RIGHT(Table7[[#This Row],[Min]],LEN(Table7[[#This Row],[Min]])-FIND("-",Table7[[#This Row],[Min]])))&gt;INDIRECT(ADDRESS(11+MATCH(LEFT(Table7[[#This Row],[Min]],FIND("-",Table7[[#This Row],[Min]])-1),Table1[Content Sku],0),16,1,1,"Entities")),"review","ok"),"ok")</f>
        <v>ok</v>
      </c>
      <c r="J101" t="s">
        <v>2768</v>
      </c>
      <c r="K101">
        <v>1</v>
      </c>
      <c r="L101" s="74">
        <f ca="1">(INDIRECT(ADDRESS(2+(MATCH(Table34[[#This Row],[SPAWNER]],Table40[SPAWNER],0)),2,1,1,"DATA_SCENES_UNITY_2"))) * Table34[[#This Row],[QUANTITY]]</f>
        <v>1</v>
      </c>
      <c r="U101" t="s">
        <v>313</v>
      </c>
      <c r="V101">
        <v>0</v>
      </c>
      <c r="W101">
        <v>0</v>
      </c>
      <c r="X101" t="s">
        <v>8</v>
      </c>
      <c r="Y101" s="74" t="str">
        <f ca="1">IF(Table15[[#This Row],[Type]]="KILL",IF(_xlfn.NUMBERVALUE(RIGHT(Table15[[#This Row],[Min]],LEN(Table15[[#This Row],[Min]])-FIND("-",Table15[[#This Row],[Min]])))&gt;INDIRECT(ADDRESS(11+MATCH(LEFT(Table15[[#This Row],[Min]],FIND("-",Table15[[#This Row],[Min]])-1),Table1[Content Sku],0),16,1,1,"Entities")),"review","ok"),"ok")</f>
        <v>ok</v>
      </c>
      <c r="Z101" t="s">
        <v>122</v>
      </c>
      <c r="AA101">
        <v>1</v>
      </c>
      <c r="AB101" s="74">
        <f ca="1">(INDIRECT(ADDRESS(2+(MATCH(Table33[[#This Row],[SPAWNER]],Table40[SPAWNER],0)),2,1,1,"DATA_SCENES_UNITY_2")))</f>
        <v>3</v>
      </c>
      <c r="AK101" t="s">
        <v>37</v>
      </c>
      <c r="AL101">
        <v>0</v>
      </c>
      <c r="AM101">
        <v>0</v>
      </c>
      <c r="AN101" t="s">
        <v>8</v>
      </c>
      <c r="AO101" s="74" t="str">
        <f ca="1">IF(Table20[[#This Row],[Type]]="KILL",IF(_xlfn.NUMBERVALUE(RIGHT(Table20[[#This Row],[Min]],LEN(Table20[[#This Row],[Min]])-FIND("-",Table20[[#This Row],[Min]])))&gt;INDIRECT(ADDRESS(11+MATCH(LEFT(Table20[[#This Row],[Min]],FIND("-",Table20[[#This Row],[Min]])-1),Table1[Content Sku],0),18,1,1,"Entities")),"review","ok"),"ok")</f>
        <v>ok</v>
      </c>
      <c r="AP101" t="s">
        <v>122</v>
      </c>
      <c r="AQ101">
        <v>1</v>
      </c>
      <c r="AR101" s="74">
        <f ca="1">(INDIRECT(ADDRESS(2+(MATCH(Table32[[#This Row],[SPAWNER]],Table40[SPAWNER],0)),2,1,1,"DATA_SCENES_UNITY_2"))) * Table32[[#This Row],[QUANTITY]]</f>
        <v>3</v>
      </c>
    </row>
    <row r="102" spans="5:44" x14ac:dyDescent="0.25">
      <c r="E102" t="s">
        <v>253</v>
      </c>
      <c r="F102">
        <v>0</v>
      </c>
      <c r="G102">
        <v>11000</v>
      </c>
      <c r="H102" t="s">
        <v>205</v>
      </c>
      <c r="I102" s="74" t="str">
        <f ca="1">IF(Table7[[#This Row],[Type]]="KILL",IF(_xlfn.NUMBERVALUE(RIGHT(Table7[[#This Row],[Min]],LEN(Table7[[#This Row],[Min]])-FIND("-",Table7[[#This Row],[Min]])))&gt;INDIRECT(ADDRESS(11+MATCH(LEFT(Table7[[#This Row],[Min]],FIND("-",Table7[[#This Row],[Min]])-1),Table1[Content Sku],0),16,1,1,"Entities")),"review","ok"),"ok")</f>
        <v>ok</v>
      </c>
      <c r="J102" t="s">
        <v>122</v>
      </c>
      <c r="K102">
        <v>1</v>
      </c>
      <c r="L102" s="74">
        <f ca="1">(INDIRECT(ADDRESS(2+(MATCH(Table34[[#This Row],[SPAWNER]],Table40[SPAWNER],0)),2,1,1,"DATA_SCENES_UNITY_2"))) * Table34[[#This Row],[QUANTITY]]</f>
        <v>3</v>
      </c>
      <c r="U102" t="s">
        <v>2726</v>
      </c>
      <c r="V102">
        <v>0</v>
      </c>
      <c r="W102">
        <v>0</v>
      </c>
      <c r="X102" t="s">
        <v>8</v>
      </c>
      <c r="Y102" s="74" t="str">
        <f ca="1">IF(Table15[[#This Row],[Type]]="KILL",IF(_xlfn.NUMBERVALUE(RIGHT(Table15[[#This Row],[Min]],LEN(Table15[[#This Row],[Min]])-FIND("-",Table15[[#This Row],[Min]])))&gt;INDIRECT(ADDRESS(11+MATCH(LEFT(Table15[[#This Row],[Min]],FIND("-",Table15[[#This Row],[Min]])-1),Table1[Content Sku],0),16,1,1,"Entities")),"review","ok"),"ok")</f>
        <v>ok</v>
      </c>
      <c r="Z102" t="s">
        <v>548</v>
      </c>
      <c r="AA102">
        <v>1</v>
      </c>
      <c r="AB102" s="74">
        <f ca="1">(INDIRECT(ADDRESS(2+(MATCH(Table33[[#This Row],[SPAWNER]],Table40[SPAWNER],0)),2,1,1,"DATA_SCENES_UNITY_2")))</f>
        <v>2</v>
      </c>
      <c r="AK102" t="s">
        <v>548</v>
      </c>
      <c r="AL102">
        <v>0</v>
      </c>
      <c r="AM102">
        <v>0</v>
      </c>
      <c r="AN102" t="s">
        <v>8</v>
      </c>
      <c r="AO102" s="74" t="str">
        <f ca="1">IF(Table20[[#This Row],[Type]]="KILL",IF(_xlfn.NUMBERVALUE(RIGHT(Table20[[#This Row],[Min]],LEN(Table20[[#This Row],[Min]])-FIND("-",Table20[[#This Row],[Min]])))&gt;INDIRECT(ADDRESS(11+MATCH(LEFT(Table20[[#This Row],[Min]],FIND("-",Table20[[#This Row],[Min]])-1),Table1[Content Sku],0),18,1,1,"Entities")),"review","ok"),"ok")</f>
        <v>ok</v>
      </c>
      <c r="AP102" t="s">
        <v>548</v>
      </c>
      <c r="AQ102">
        <v>2</v>
      </c>
      <c r="AR102" s="74">
        <f ca="1">(INDIRECT(ADDRESS(2+(MATCH(Table32[[#This Row],[SPAWNER]],Table40[SPAWNER],0)),2,1,1,"DATA_SCENES_UNITY_2"))) * Table32[[#This Row],[QUANTITY]]</f>
        <v>4</v>
      </c>
    </row>
    <row r="103" spans="5:44" x14ac:dyDescent="0.25">
      <c r="E103" t="s">
        <v>311</v>
      </c>
      <c r="F103">
        <v>0</v>
      </c>
      <c r="G103">
        <v>0</v>
      </c>
      <c r="H103" t="s">
        <v>8</v>
      </c>
      <c r="I103" s="74" t="str">
        <f ca="1">IF(Table7[[#This Row],[Type]]="KILL",IF(_xlfn.NUMBERVALUE(RIGHT(Table7[[#This Row],[Min]],LEN(Table7[[#This Row],[Min]])-FIND("-",Table7[[#This Row],[Min]])))&gt;INDIRECT(ADDRESS(11+MATCH(LEFT(Table7[[#This Row],[Min]],FIND("-",Table7[[#This Row],[Min]])-1),Table1[Content Sku],0),16,1,1,"Entities")),"review","ok"),"ok")</f>
        <v>ok</v>
      </c>
      <c r="J103" t="s">
        <v>2768</v>
      </c>
      <c r="K103">
        <v>1</v>
      </c>
      <c r="L103" s="74">
        <f ca="1">(INDIRECT(ADDRESS(2+(MATCH(Table34[[#This Row],[SPAWNER]],Table40[SPAWNER],0)),2,1,1,"DATA_SCENES_UNITY_2"))) * Table34[[#This Row],[QUANTITY]]</f>
        <v>1</v>
      </c>
      <c r="U103" t="s">
        <v>392</v>
      </c>
      <c r="V103">
        <v>0</v>
      </c>
      <c r="W103">
        <v>25000</v>
      </c>
      <c r="X103" t="s">
        <v>205</v>
      </c>
      <c r="Y103" s="74" t="str">
        <f ca="1">IF(Table15[[#This Row],[Type]]="KILL",IF(_xlfn.NUMBERVALUE(RIGHT(Table15[[#This Row],[Min]],LEN(Table15[[#This Row],[Min]])-FIND("-",Table15[[#This Row],[Min]])))&gt;INDIRECT(ADDRESS(11+MATCH(LEFT(Table15[[#This Row],[Min]],FIND("-",Table15[[#This Row],[Min]])-1),Table1[Content Sku],0),16,1,1,"Entities")),"review","ok"),"ok")</f>
        <v>ok</v>
      </c>
      <c r="Z103" t="s">
        <v>548</v>
      </c>
      <c r="AA103">
        <v>1</v>
      </c>
      <c r="AB103" s="74">
        <f ca="1">(INDIRECT(ADDRESS(2+(MATCH(Table33[[#This Row],[SPAWNER]],Table40[SPAWNER],0)),2,1,1,"DATA_SCENES_UNITY_2")))</f>
        <v>2</v>
      </c>
      <c r="AK103" t="s">
        <v>578</v>
      </c>
      <c r="AL103">
        <v>0</v>
      </c>
      <c r="AM103">
        <v>0</v>
      </c>
      <c r="AN103" t="s">
        <v>8</v>
      </c>
      <c r="AO103" s="74" t="str">
        <f ca="1">IF(Table20[[#This Row],[Type]]="KILL",IF(_xlfn.NUMBERVALUE(RIGHT(Table20[[#This Row],[Min]],LEN(Table20[[#This Row],[Min]])-FIND("-",Table20[[#This Row],[Min]])))&gt;INDIRECT(ADDRESS(11+MATCH(LEFT(Table20[[#This Row],[Min]],FIND("-",Table20[[#This Row],[Min]])-1),Table1[Content Sku],0),18,1,1,"Entities")),"review","ok"),"ok")</f>
        <v>ok</v>
      </c>
      <c r="AP103" t="s">
        <v>122</v>
      </c>
      <c r="AQ103">
        <v>1</v>
      </c>
      <c r="AR103" s="74">
        <f ca="1">(INDIRECT(ADDRESS(2+(MATCH(Table32[[#This Row],[SPAWNER]],Table40[SPAWNER],0)),2,1,1,"DATA_SCENES_UNITY_2"))) * Table32[[#This Row],[QUANTITY]]</f>
        <v>3</v>
      </c>
    </row>
    <row r="104" spans="5:44" x14ac:dyDescent="0.25">
      <c r="E104" t="s">
        <v>313</v>
      </c>
      <c r="F104">
        <v>0</v>
      </c>
      <c r="G104">
        <v>21000</v>
      </c>
      <c r="H104" t="s">
        <v>205</v>
      </c>
      <c r="I104" s="74" t="str">
        <f ca="1">IF(Table7[[#This Row],[Type]]="KILL",IF(_xlfn.NUMBERVALUE(RIGHT(Table7[[#This Row],[Min]],LEN(Table7[[#This Row],[Min]])-FIND("-",Table7[[#This Row],[Min]])))&gt;INDIRECT(ADDRESS(11+MATCH(LEFT(Table7[[#This Row],[Min]],FIND("-",Table7[[#This Row],[Min]])-1),Table1[Content Sku],0),16,1,1,"Entities")),"review","ok"),"ok")</f>
        <v>ok</v>
      </c>
      <c r="J104" t="s">
        <v>2768</v>
      </c>
      <c r="K104">
        <v>1</v>
      </c>
      <c r="L104" s="74">
        <f ca="1">(INDIRECT(ADDRESS(2+(MATCH(Table34[[#This Row],[SPAWNER]],Table40[SPAWNER],0)),2,1,1,"DATA_SCENES_UNITY_2"))) * Table34[[#This Row],[QUANTITY]]</f>
        <v>1</v>
      </c>
      <c r="U104" t="s">
        <v>315</v>
      </c>
      <c r="V104">
        <v>0</v>
      </c>
      <c r="W104">
        <v>0</v>
      </c>
      <c r="X104" t="s">
        <v>8</v>
      </c>
      <c r="Y104" s="74" t="str">
        <f ca="1">IF(Table15[[#This Row],[Type]]="KILL",IF(_xlfn.NUMBERVALUE(RIGHT(Table15[[#This Row],[Min]],LEN(Table15[[#This Row],[Min]])-FIND("-",Table15[[#This Row],[Min]])))&gt;INDIRECT(ADDRESS(11+MATCH(LEFT(Table15[[#This Row],[Min]],FIND("-",Table15[[#This Row],[Min]])-1),Table1[Content Sku],0),16,1,1,"Entities")),"review","ok"),"ok")</f>
        <v>ok</v>
      </c>
      <c r="Z104" t="s">
        <v>548</v>
      </c>
      <c r="AA104">
        <v>2</v>
      </c>
      <c r="AB104" s="74">
        <f ca="1">(INDIRECT(ADDRESS(2+(MATCH(Table33[[#This Row],[SPAWNER]],Table40[SPAWNER],0)),2,1,1,"DATA_SCENES_UNITY_2")))</f>
        <v>2</v>
      </c>
      <c r="AK104" t="s">
        <v>2767</v>
      </c>
      <c r="AL104">
        <v>0</v>
      </c>
      <c r="AM104">
        <v>0</v>
      </c>
      <c r="AN104" t="s">
        <v>8</v>
      </c>
      <c r="AO104" s="74" t="str">
        <f ca="1">IF(Table20[[#This Row],[Type]]="KILL",IF(_xlfn.NUMBERVALUE(RIGHT(Table20[[#This Row],[Min]],LEN(Table20[[#This Row],[Min]])-FIND("-",Table20[[#This Row],[Min]])))&gt;INDIRECT(ADDRESS(11+MATCH(LEFT(Table20[[#This Row],[Min]],FIND("-",Table20[[#This Row],[Min]])-1),Table1[Content Sku],0),18,1,1,"Entities")),"review","ok"),"ok")</f>
        <v>ok</v>
      </c>
      <c r="AP104" t="s">
        <v>122</v>
      </c>
      <c r="AQ104">
        <v>1</v>
      </c>
      <c r="AR104" s="74">
        <f ca="1">(INDIRECT(ADDRESS(2+(MATCH(Table32[[#This Row],[SPAWNER]],Table40[SPAWNER],0)),2,1,1,"DATA_SCENES_UNITY_2"))) * Table32[[#This Row],[QUANTITY]]</f>
        <v>3</v>
      </c>
    </row>
    <row r="105" spans="5:44" x14ac:dyDescent="0.25">
      <c r="E105" t="s">
        <v>289</v>
      </c>
      <c r="F105">
        <v>0</v>
      </c>
      <c r="G105">
        <v>0</v>
      </c>
      <c r="H105" t="s">
        <v>8</v>
      </c>
      <c r="I105" s="74" t="str">
        <f ca="1">IF(Table7[[#This Row],[Type]]="KILL",IF(_xlfn.NUMBERVALUE(RIGHT(Table7[[#This Row],[Min]],LEN(Table7[[#This Row],[Min]])-FIND("-",Table7[[#This Row],[Min]])))&gt;INDIRECT(ADDRESS(11+MATCH(LEFT(Table7[[#This Row],[Min]],FIND("-",Table7[[#This Row],[Min]])-1),Table1[Content Sku],0),16,1,1,"Entities")),"review","ok"),"ok")</f>
        <v>ok</v>
      </c>
      <c r="J105" t="s">
        <v>2768</v>
      </c>
      <c r="K105">
        <v>1</v>
      </c>
      <c r="L105" s="74">
        <f ca="1">(INDIRECT(ADDRESS(2+(MATCH(Table34[[#This Row],[SPAWNER]],Table40[SPAWNER],0)),2,1,1,"DATA_SCENES_UNITY_2"))) * Table34[[#This Row],[QUANTITY]]</f>
        <v>1</v>
      </c>
      <c r="U105" t="s">
        <v>64</v>
      </c>
      <c r="V105">
        <v>0</v>
      </c>
      <c r="W105">
        <v>0</v>
      </c>
      <c r="X105" t="s">
        <v>8</v>
      </c>
      <c r="Y105" s="74" t="str">
        <f ca="1">IF(Table15[[#This Row],[Type]]="KILL",IF(_xlfn.NUMBERVALUE(RIGHT(Table15[[#This Row],[Min]],LEN(Table15[[#This Row],[Min]])-FIND("-",Table15[[#This Row],[Min]])))&gt;INDIRECT(ADDRESS(11+MATCH(LEFT(Table15[[#This Row],[Min]],FIND("-",Table15[[#This Row],[Min]])-1),Table1[Content Sku],0),16,1,1,"Entities")),"review","ok"),"ok")</f>
        <v>ok</v>
      </c>
      <c r="Z105" t="s">
        <v>548</v>
      </c>
      <c r="AA105">
        <v>4</v>
      </c>
      <c r="AB105" s="74">
        <f ca="1">(INDIRECT(ADDRESS(2+(MATCH(Table33[[#This Row],[SPAWNER]],Table40[SPAWNER],0)),2,1,1,"DATA_SCENES_UNITY_2")))</f>
        <v>2</v>
      </c>
      <c r="AK105" t="s">
        <v>2745</v>
      </c>
      <c r="AL105">
        <v>0</v>
      </c>
      <c r="AM105">
        <v>0</v>
      </c>
      <c r="AN105" t="s">
        <v>8</v>
      </c>
      <c r="AO105" s="74" t="str">
        <f ca="1">IF(Table20[[#This Row],[Type]]="KILL",IF(_xlfn.NUMBERVALUE(RIGHT(Table20[[#This Row],[Min]],LEN(Table20[[#This Row],[Min]])-FIND("-",Table20[[#This Row],[Min]])))&gt;INDIRECT(ADDRESS(11+MATCH(LEFT(Table20[[#This Row],[Min]],FIND("-",Table20[[#This Row],[Min]])-1),Table1[Content Sku],0),18,1,1,"Entities")),"review","ok"),"ok")</f>
        <v>ok</v>
      </c>
      <c r="AP105" t="s">
        <v>122</v>
      </c>
      <c r="AQ105">
        <v>1</v>
      </c>
      <c r="AR105" s="74">
        <f ca="1">(INDIRECT(ADDRESS(2+(MATCH(Table32[[#This Row],[SPAWNER]],Table40[SPAWNER],0)),2,1,1,"DATA_SCENES_UNITY_2"))) * Table32[[#This Row],[QUANTITY]]</f>
        <v>3</v>
      </c>
    </row>
    <row r="106" spans="5:44" x14ac:dyDescent="0.25">
      <c r="E106" t="s">
        <v>393</v>
      </c>
      <c r="F106">
        <v>0</v>
      </c>
      <c r="G106">
        <v>0</v>
      </c>
      <c r="H106" t="s">
        <v>8</v>
      </c>
      <c r="I106" s="74" t="str">
        <f ca="1">IF(Table7[[#This Row],[Type]]="KILL",IF(_xlfn.NUMBERVALUE(RIGHT(Table7[[#This Row],[Min]],LEN(Table7[[#This Row],[Min]])-FIND("-",Table7[[#This Row],[Min]])))&gt;INDIRECT(ADDRESS(11+MATCH(LEFT(Table7[[#This Row],[Min]],FIND("-",Table7[[#This Row],[Min]])-1),Table1[Content Sku],0),16,1,1,"Entities")),"review","ok"),"ok")</f>
        <v>ok</v>
      </c>
      <c r="J106" t="s">
        <v>122</v>
      </c>
      <c r="K106">
        <v>1</v>
      </c>
      <c r="L106" s="74">
        <f ca="1">(INDIRECT(ADDRESS(2+(MATCH(Table34[[#This Row],[SPAWNER]],Table40[SPAWNER],0)),2,1,1,"DATA_SCENES_UNITY_2"))) * Table34[[#This Row],[QUANTITY]]</f>
        <v>3</v>
      </c>
      <c r="U106" t="s">
        <v>460</v>
      </c>
      <c r="V106">
        <v>0</v>
      </c>
      <c r="W106">
        <v>0</v>
      </c>
      <c r="X106" t="s">
        <v>8</v>
      </c>
      <c r="Y106" s="74" t="str">
        <f ca="1">IF(Table15[[#This Row],[Type]]="KILL",IF(_xlfn.NUMBERVALUE(RIGHT(Table15[[#This Row],[Min]],LEN(Table15[[#This Row],[Min]])-FIND("-",Table15[[#This Row],[Min]])))&gt;INDIRECT(ADDRESS(11+MATCH(LEFT(Table15[[#This Row],[Min]],FIND("-",Table15[[#This Row],[Min]])-1),Table1[Content Sku],0),16,1,1,"Entities")),"review","ok"),"ok")</f>
        <v>ok</v>
      </c>
      <c r="Z106" t="s">
        <v>122</v>
      </c>
      <c r="AA106">
        <v>1</v>
      </c>
      <c r="AB106" s="74">
        <f ca="1">(INDIRECT(ADDRESS(2+(MATCH(Table33[[#This Row],[SPAWNER]],Table40[SPAWNER],0)),2,1,1,"DATA_SCENES_UNITY_2")))</f>
        <v>3</v>
      </c>
      <c r="AK106" t="s">
        <v>50</v>
      </c>
      <c r="AL106">
        <v>33000</v>
      </c>
      <c r="AM106">
        <v>0</v>
      </c>
      <c r="AN106" t="s">
        <v>205</v>
      </c>
      <c r="AO106" s="74" t="str">
        <f ca="1">IF(Table20[[#This Row],[Type]]="KILL",IF(_xlfn.NUMBERVALUE(RIGHT(Table20[[#This Row],[Min]],LEN(Table20[[#This Row],[Min]])-FIND("-",Table20[[#This Row],[Min]])))&gt;INDIRECT(ADDRESS(11+MATCH(LEFT(Table20[[#This Row],[Min]],FIND("-",Table20[[#This Row],[Min]])-1),Table1[Content Sku],0),18,1,1,"Entities")),"review","ok"),"ok")</f>
        <v>ok</v>
      </c>
    </row>
    <row r="107" spans="5:44" x14ac:dyDescent="0.25">
      <c r="E107" t="s">
        <v>276</v>
      </c>
      <c r="F107">
        <v>0</v>
      </c>
      <c r="G107">
        <v>0</v>
      </c>
      <c r="H107" t="s">
        <v>8</v>
      </c>
      <c r="I107" s="74" t="str">
        <f ca="1">IF(Table7[[#This Row],[Type]]="KILL",IF(_xlfn.NUMBERVALUE(RIGHT(Table7[[#This Row],[Min]],LEN(Table7[[#This Row],[Min]])-FIND("-",Table7[[#This Row],[Min]])))&gt;INDIRECT(ADDRESS(11+MATCH(LEFT(Table7[[#This Row],[Min]],FIND("-",Table7[[#This Row],[Min]])-1),Table1[Content Sku],0),16,1,1,"Entities")),"review","ok"),"ok")</f>
        <v>ok</v>
      </c>
      <c r="J107" t="s">
        <v>2768</v>
      </c>
      <c r="K107">
        <v>1</v>
      </c>
      <c r="L107" s="74">
        <f ca="1">(INDIRECT(ADDRESS(2+(MATCH(Table34[[#This Row],[SPAWNER]],Table40[SPAWNER],0)),2,1,1,"DATA_SCENES_UNITY_2"))) * Table34[[#This Row],[QUANTITY]]</f>
        <v>1</v>
      </c>
      <c r="U107" t="s">
        <v>460</v>
      </c>
      <c r="V107">
        <v>0</v>
      </c>
      <c r="W107">
        <v>0</v>
      </c>
      <c r="X107" t="s">
        <v>8</v>
      </c>
      <c r="Y107" s="74" t="str">
        <f ca="1">IF(Table15[[#This Row],[Type]]="KILL",IF(_xlfn.NUMBERVALUE(RIGHT(Table15[[#This Row],[Min]],LEN(Table15[[#This Row],[Min]])-FIND("-",Table15[[#This Row],[Min]])))&gt;INDIRECT(ADDRESS(11+MATCH(LEFT(Table15[[#This Row],[Min]],FIND("-",Table15[[#This Row],[Min]])-1),Table1[Content Sku],0),16,1,1,"Entities")),"review","ok"),"ok")</f>
        <v>ok</v>
      </c>
      <c r="Z107" t="s">
        <v>122</v>
      </c>
      <c r="AA107">
        <v>1</v>
      </c>
      <c r="AB107" s="74">
        <f ca="1">(INDIRECT(ADDRESS(2+(MATCH(Table33[[#This Row],[SPAWNER]],Table40[SPAWNER],0)),2,1,1,"DATA_SCENES_UNITY_2")))</f>
        <v>3</v>
      </c>
      <c r="AK107" t="s">
        <v>51</v>
      </c>
      <c r="AL107">
        <v>38000</v>
      </c>
      <c r="AM107">
        <v>0</v>
      </c>
      <c r="AN107" t="s">
        <v>205</v>
      </c>
      <c r="AO107" s="74" t="str">
        <f ca="1">IF(Table20[[#This Row],[Type]]="KILL",IF(_xlfn.NUMBERVALUE(RIGHT(Table20[[#This Row],[Min]],LEN(Table20[[#This Row],[Min]])-FIND("-",Table20[[#This Row],[Min]])))&gt;INDIRECT(ADDRESS(11+MATCH(LEFT(Table20[[#This Row],[Min]],FIND("-",Table20[[#This Row],[Min]])-1),Table1[Content Sku],0),18,1,1,"Entities")),"review","ok"),"ok")</f>
        <v>ok</v>
      </c>
    </row>
    <row r="108" spans="5:44" x14ac:dyDescent="0.25">
      <c r="E108" t="s">
        <v>393</v>
      </c>
      <c r="F108">
        <v>0</v>
      </c>
      <c r="G108">
        <v>0</v>
      </c>
      <c r="H108" t="s">
        <v>8</v>
      </c>
      <c r="I108" s="74" t="str">
        <f ca="1">IF(Table7[[#This Row],[Type]]="KILL",IF(_xlfn.NUMBERVALUE(RIGHT(Table7[[#This Row],[Min]],LEN(Table7[[#This Row],[Min]])-FIND("-",Table7[[#This Row],[Min]])))&gt;INDIRECT(ADDRESS(11+MATCH(LEFT(Table7[[#This Row],[Min]],FIND("-",Table7[[#This Row],[Min]])-1),Table1[Content Sku],0),16,1,1,"Entities")),"review","ok"),"ok")</f>
        <v>ok</v>
      </c>
      <c r="J108" t="s">
        <v>2768</v>
      </c>
      <c r="K108">
        <v>1</v>
      </c>
      <c r="L108" s="74">
        <f ca="1">(INDIRECT(ADDRESS(2+(MATCH(Table34[[#This Row],[SPAWNER]],Table40[SPAWNER],0)),2,1,1,"DATA_SCENES_UNITY_2"))) * Table34[[#This Row],[QUANTITY]]</f>
        <v>1</v>
      </c>
      <c r="U108" t="s">
        <v>315</v>
      </c>
      <c r="V108">
        <v>43000</v>
      </c>
      <c r="W108">
        <v>0</v>
      </c>
      <c r="X108" t="s">
        <v>205</v>
      </c>
      <c r="Y108" s="74" t="str">
        <f ca="1">IF(Table15[[#This Row],[Type]]="KILL",IF(_xlfn.NUMBERVALUE(RIGHT(Table15[[#This Row],[Min]],LEN(Table15[[#This Row],[Min]])-FIND("-",Table15[[#This Row],[Min]])))&gt;INDIRECT(ADDRESS(11+MATCH(LEFT(Table15[[#This Row],[Min]],FIND("-",Table15[[#This Row],[Min]])-1),Table1[Content Sku],0),16,1,1,"Entities")),"review","ok"),"ok")</f>
        <v>ok</v>
      </c>
      <c r="Z108" t="s">
        <v>122</v>
      </c>
      <c r="AA108">
        <v>1</v>
      </c>
      <c r="AB108" s="74">
        <f ca="1">(INDIRECT(ADDRESS(2+(MATCH(Table33[[#This Row],[SPAWNER]],Table40[SPAWNER],0)),2,1,1,"DATA_SCENES_UNITY_2")))</f>
        <v>3</v>
      </c>
      <c r="AK108" t="s">
        <v>2673</v>
      </c>
      <c r="AL108">
        <v>30000</v>
      </c>
      <c r="AM108">
        <v>0</v>
      </c>
      <c r="AN108" t="s">
        <v>205</v>
      </c>
      <c r="AO108" s="74" t="str">
        <f ca="1">IF(Table20[[#This Row],[Type]]="KILL",IF(_xlfn.NUMBERVALUE(RIGHT(Table20[[#This Row],[Min]],LEN(Table20[[#This Row],[Min]])-FIND("-",Table20[[#This Row],[Min]])))&gt;INDIRECT(ADDRESS(11+MATCH(LEFT(Table20[[#This Row],[Min]],FIND("-",Table20[[#This Row],[Min]])-1),Table1[Content Sku],0),18,1,1,"Entities")),"review","ok"),"ok")</f>
        <v>ok</v>
      </c>
    </row>
    <row r="109" spans="5:44" x14ac:dyDescent="0.25">
      <c r="E109" t="s">
        <v>313</v>
      </c>
      <c r="F109">
        <v>0</v>
      </c>
      <c r="G109">
        <v>0</v>
      </c>
      <c r="H109" t="s">
        <v>8</v>
      </c>
      <c r="I109" s="74" t="str">
        <f ca="1">IF(Table7[[#This Row],[Type]]="KILL",IF(_xlfn.NUMBERVALUE(RIGHT(Table7[[#This Row],[Min]],LEN(Table7[[#This Row],[Min]])-FIND("-",Table7[[#This Row],[Min]])))&gt;INDIRECT(ADDRESS(11+MATCH(LEFT(Table7[[#This Row],[Min]],FIND("-",Table7[[#This Row],[Min]])-1),Table1[Content Sku],0),16,1,1,"Entities")),"review","ok"),"ok")</f>
        <v>ok</v>
      </c>
      <c r="J109" t="s">
        <v>2768</v>
      </c>
      <c r="K109">
        <v>1</v>
      </c>
      <c r="L109" s="74">
        <f ca="1">(INDIRECT(ADDRESS(2+(MATCH(Table34[[#This Row],[SPAWNER]],Table40[SPAWNER],0)),2,1,1,"DATA_SCENES_UNITY_2"))) * Table34[[#This Row],[QUANTITY]]</f>
        <v>1</v>
      </c>
      <c r="U109" t="s">
        <v>43</v>
      </c>
      <c r="V109">
        <v>55000</v>
      </c>
      <c r="W109">
        <v>0</v>
      </c>
      <c r="X109" t="s">
        <v>205</v>
      </c>
      <c r="Y109" s="74" t="str">
        <f ca="1">IF(Table15[[#This Row],[Type]]="KILL",IF(_xlfn.NUMBERVALUE(RIGHT(Table15[[#This Row],[Min]],LEN(Table15[[#This Row],[Min]])-FIND("-",Table15[[#This Row],[Min]])))&gt;INDIRECT(ADDRESS(11+MATCH(LEFT(Table15[[#This Row],[Min]],FIND("-",Table15[[#This Row],[Min]])-1),Table1[Content Sku],0),16,1,1,"Entities")),"review","ok"),"ok")</f>
        <v>ok</v>
      </c>
      <c r="Z109" t="s">
        <v>122</v>
      </c>
      <c r="AA109">
        <v>1</v>
      </c>
      <c r="AB109" s="74">
        <f ca="1">(INDIRECT(ADDRESS(2+(MATCH(Table33[[#This Row],[SPAWNER]],Table40[SPAWNER],0)),2,1,1,"DATA_SCENES_UNITY_2")))</f>
        <v>3</v>
      </c>
      <c r="AK109" t="s">
        <v>39</v>
      </c>
      <c r="AL109">
        <v>0</v>
      </c>
      <c r="AM109">
        <v>0</v>
      </c>
      <c r="AN109" t="s">
        <v>8</v>
      </c>
      <c r="AO109" s="74" t="str">
        <f ca="1">IF(Table20[[#This Row],[Type]]="KILL",IF(_xlfn.NUMBERVALUE(RIGHT(Table20[[#This Row],[Min]],LEN(Table20[[#This Row],[Min]])-FIND("-",Table20[[#This Row],[Min]])))&gt;INDIRECT(ADDRESS(11+MATCH(LEFT(Table20[[#This Row],[Min]],FIND("-",Table20[[#This Row],[Min]])-1),Table1[Content Sku],0),18,1,1,"Entities")),"review","ok"),"ok")</f>
        <v>ok</v>
      </c>
    </row>
    <row r="110" spans="5:44" x14ac:dyDescent="0.25">
      <c r="E110" t="s">
        <v>36</v>
      </c>
      <c r="F110">
        <v>4750</v>
      </c>
      <c r="G110">
        <v>0</v>
      </c>
      <c r="H110" t="s">
        <v>205</v>
      </c>
      <c r="I110" s="74" t="str">
        <f ca="1">IF(Table7[[#This Row],[Type]]="KILL",IF(_xlfn.NUMBERVALUE(RIGHT(Table7[[#This Row],[Min]],LEN(Table7[[#This Row],[Min]])-FIND("-",Table7[[#This Row],[Min]])))&gt;INDIRECT(ADDRESS(11+MATCH(LEFT(Table7[[#This Row],[Min]],FIND("-",Table7[[#This Row],[Min]])-1),Table1[Content Sku],0),16,1,1,"Entities")),"review","ok"),"ok")</f>
        <v>ok</v>
      </c>
      <c r="J110" t="s">
        <v>2768</v>
      </c>
      <c r="K110">
        <v>1</v>
      </c>
      <c r="L110" s="74">
        <f ca="1">(INDIRECT(ADDRESS(2+(MATCH(Table34[[#This Row],[SPAWNER]],Table40[SPAWNER],0)),2,1,1,"DATA_SCENES_UNITY_2"))) * Table34[[#This Row],[QUANTITY]]</f>
        <v>1</v>
      </c>
      <c r="U110" t="s">
        <v>315</v>
      </c>
      <c r="V110">
        <v>0</v>
      </c>
      <c r="W110">
        <v>0</v>
      </c>
      <c r="X110" t="s">
        <v>8</v>
      </c>
      <c r="Y110" s="74" t="str">
        <f ca="1">IF(Table15[[#This Row],[Type]]="KILL",IF(_xlfn.NUMBERVALUE(RIGHT(Table15[[#This Row],[Min]],LEN(Table15[[#This Row],[Min]])-FIND("-",Table15[[#This Row],[Min]])))&gt;INDIRECT(ADDRESS(11+MATCH(LEFT(Table15[[#This Row],[Min]],FIND("-",Table15[[#This Row],[Min]])-1),Table1[Content Sku],0),16,1,1,"Entities")),"review","ok"),"ok")</f>
        <v>ok</v>
      </c>
      <c r="Z110" t="s">
        <v>2768</v>
      </c>
      <c r="AA110">
        <v>1</v>
      </c>
      <c r="AB110" s="74">
        <f ca="1">(INDIRECT(ADDRESS(2+(MATCH(Table33[[#This Row],[SPAWNER]],Table40[SPAWNER],0)),2,1,1,"DATA_SCENES_UNITY_2")))</f>
        <v>1</v>
      </c>
      <c r="AK110" t="s">
        <v>37</v>
      </c>
      <c r="AL110">
        <v>0</v>
      </c>
      <c r="AM110">
        <v>0</v>
      </c>
      <c r="AN110" t="s">
        <v>8</v>
      </c>
      <c r="AO110" s="74" t="str">
        <f ca="1">IF(Table20[[#This Row],[Type]]="KILL",IF(_xlfn.NUMBERVALUE(RIGHT(Table20[[#This Row],[Min]],LEN(Table20[[#This Row],[Min]])-FIND("-",Table20[[#This Row],[Min]])))&gt;INDIRECT(ADDRESS(11+MATCH(LEFT(Table20[[#This Row],[Min]],FIND("-",Table20[[#This Row],[Min]])-1),Table1[Content Sku],0),18,1,1,"Entities")),"review","ok"),"ok")</f>
        <v>ok</v>
      </c>
    </row>
    <row r="111" spans="5:44" x14ac:dyDescent="0.25">
      <c r="E111" t="s">
        <v>39</v>
      </c>
      <c r="F111">
        <v>0</v>
      </c>
      <c r="G111">
        <v>0</v>
      </c>
      <c r="H111" t="s">
        <v>8</v>
      </c>
      <c r="I111" s="74" t="str">
        <f ca="1">IF(Table7[[#This Row],[Type]]="KILL",IF(_xlfn.NUMBERVALUE(RIGHT(Table7[[#This Row],[Min]],LEN(Table7[[#This Row],[Min]])-FIND("-",Table7[[#This Row],[Min]])))&gt;INDIRECT(ADDRESS(11+MATCH(LEFT(Table7[[#This Row],[Min]],FIND("-",Table7[[#This Row],[Min]])-1),Table1[Content Sku],0),16,1,1,"Entities")),"review","ok"),"ok")</f>
        <v>ok</v>
      </c>
      <c r="J111" t="s">
        <v>2768</v>
      </c>
      <c r="K111">
        <v>1</v>
      </c>
      <c r="L111" s="74">
        <f ca="1">(INDIRECT(ADDRESS(2+(MATCH(Table34[[#This Row],[SPAWNER]],Table40[SPAWNER],0)),2,1,1,"DATA_SCENES_UNITY_2"))) * Table34[[#This Row],[QUANTITY]]</f>
        <v>1</v>
      </c>
      <c r="U111" t="s">
        <v>545</v>
      </c>
      <c r="V111">
        <v>0</v>
      </c>
      <c r="W111">
        <v>0</v>
      </c>
      <c r="X111" t="s">
        <v>8</v>
      </c>
      <c r="Y111" s="74" t="str">
        <f ca="1">IF(Table15[[#This Row],[Type]]="KILL",IF(_xlfn.NUMBERVALUE(RIGHT(Table15[[#This Row],[Min]],LEN(Table15[[#This Row],[Min]])-FIND("-",Table15[[#This Row],[Min]])))&gt;INDIRECT(ADDRESS(11+MATCH(LEFT(Table15[[#This Row],[Min]],FIND("-",Table15[[#This Row],[Min]])-1),Table1[Content Sku],0),16,1,1,"Entities")),"review","ok"),"ok")</f>
        <v>ok</v>
      </c>
      <c r="Z111" t="s">
        <v>122</v>
      </c>
      <c r="AA111">
        <v>1</v>
      </c>
      <c r="AB111" s="74">
        <f ca="1">(INDIRECT(ADDRESS(2+(MATCH(Table33[[#This Row],[SPAWNER]],Table40[SPAWNER],0)),2,1,1,"DATA_SCENES_UNITY_2")))</f>
        <v>3</v>
      </c>
      <c r="AK111" t="s">
        <v>398</v>
      </c>
      <c r="AL111">
        <v>0</v>
      </c>
      <c r="AM111">
        <v>0</v>
      </c>
      <c r="AN111" t="s">
        <v>8</v>
      </c>
      <c r="AO111" s="74" t="str">
        <f ca="1">IF(Table20[[#This Row],[Type]]="KILL",IF(_xlfn.NUMBERVALUE(RIGHT(Table20[[#This Row],[Min]],LEN(Table20[[#This Row],[Min]])-FIND("-",Table20[[#This Row],[Min]])))&gt;INDIRECT(ADDRESS(11+MATCH(LEFT(Table20[[#This Row],[Min]],FIND("-",Table20[[#This Row],[Min]])-1),Table1[Content Sku],0),18,1,1,"Entities")),"review","ok"),"ok")</f>
        <v>ok</v>
      </c>
    </row>
    <row r="112" spans="5:44" x14ac:dyDescent="0.25">
      <c r="E112" t="s">
        <v>313</v>
      </c>
      <c r="F112">
        <v>0</v>
      </c>
      <c r="G112">
        <v>0</v>
      </c>
      <c r="H112" t="s">
        <v>8</v>
      </c>
      <c r="I112" s="74" t="str">
        <f ca="1">IF(Table7[[#This Row],[Type]]="KILL",IF(_xlfn.NUMBERVALUE(RIGHT(Table7[[#This Row],[Min]],LEN(Table7[[#This Row],[Min]])-FIND("-",Table7[[#This Row],[Min]])))&gt;INDIRECT(ADDRESS(11+MATCH(LEFT(Table7[[#This Row],[Min]],FIND("-",Table7[[#This Row],[Min]])-1),Table1[Content Sku],0),16,1,1,"Entities")),"review","ok"),"ok")</f>
        <v>ok</v>
      </c>
      <c r="J112" t="s">
        <v>548</v>
      </c>
      <c r="K112">
        <v>3</v>
      </c>
      <c r="L112" s="74">
        <f ca="1">(INDIRECT(ADDRESS(2+(MATCH(Table34[[#This Row],[SPAWNER]],Table40[SPAWNER],0)),2,1,1,"DATA_SCENES_UNITY_2"))) * Table34[[#This Row],[QUANTITY]]</f>
        <v>6</v>
      </c>
      <c r="U112" t="s">
        <v>289</v>
      </c>
      <c r="V112">
        <v>15000</v>
      </c>
      <c r="W112">
        <v>0</v>
      </c>
      <c r="X112" t="s">
        <v>205</v>
      </c>
      <c r="Y112" s="74" t="str">
        <f ca="1">IF(Table15[[#This Row],[Type]]="KILL",IF(_xlfn.NUMBERVALUE(RIGHT(Table15[[#This Row],[Min]],LEN(Table15[[#This Row],[Min]])-FIND("-",Table15[[#This Row],[Min]])))&gt;INDIRECT(ADDRESS(11+MATCH(LEFT(Table15[[#This Row],[Min]],FIND("-",Table15[[#This Row],[Min]])-1),Table1[Content Sku],0),16,1,1,"Entities")),"review","ok"),"ok")</f>
        <v>ok</v>
      </c>
      <c r="Z112" t="s">
        <v>548</v>
      </c>
      <c r="AA112">
        <v>3</v>
      </c>
      <c r="AB112" s="74">
        <f ca="1">(INDIRECT(ADDRESS(2+(MATCH(Table33[[#This Row],[SPAWNER]],Table40[SPAWNER],0)),2,1,1,"DATA_SCENES_UNITY_2")))</f>
        <v>2</v>
      </c>
      <c r="AK112" t="s">
        <v>2670</v>
      </c>
      <c r="AL112">
        <v>0</v>
      </c>
      <c r="AM112">
        <v>0</v>
      </c>
      <c r="AN112" t="s">
        <v>8</v>
      </c>
      <c r="AO112" s="74" t="str">
        <f ca="1">IF(Table20[[#This Row],[Type]]="KILL",IF(_xlfn.NUMBERVALUE(RIGHT(Table20[[#This Row],[Min]],LEN(Table20[[#This Row],[Min]])-FIND("-",Table20[[#This Row],[Min]])))&gt;INDIRECT(ADDRESS(11+MATCH(LEFT(Table20[[#This Row],[Min]],FIND("-",Table20[[#This Row],[Min]])-1),Table1[Content Sku],0),18,1,1,"Entities")),"review","ok"),"ok")</f>
        <v>ok</v>
      </c>
    </row>
    <row r="113" spans="5:41" x14ac:dyDescent="0.25">
      <c r="E113" t="s">
        <v>311</v>
      </c>
      <c r="F113">
        <v>0</v>
      </c>
      <c r="G113">
        <v>0</v>
      </c>
      <c r="H113" t="s">
        <v>8</v>
      </c>
      <c r="I113" s="74" t="str">
        <f ca="1">IF(Table7[[#This Row],[Type]]="KILL",IF(_xlfn.NUMBERVALUE(RIGHT(Table7[[#This Row],[Min]],LEN(Table7[[#This Row],[Min]])-FIND("-",Table7[[#This Row],[Min]])))&gt;INDIRECT(ADDRESS(11+MATCH(LEFT(Table7[[#This Row],[Min]],FIND("-",Table7[[#This Row],[Min]])-1),Table1[Content Sku],0),16,1,1,"Entities")),"review","ok"),"ok")</f>
        <v>ok</v>
      </c>
      <c r="J113" t="s">
        <v>122</v>
      </c>
      <c r="K113">
        <v>1</v>
      </c>
      <c r="L113" s="74">
        <f ca="1">(INDIRECT(ADDRESS(2+(MATCH(Table34[[#This Row],[SPAWNER]],Table40[SPAWNER],0)),2,1,1,"DATA_SCENES_UNITY_2"))) * Table34[[#This Row],[QUANTITY]]</f>
        <v>3</v>
      </c>
      <c r="U113" t="s">
        <v>254</v>
      </c>
      <c r="V113">
        <v>0</v>
      </c>
      <c r="W113">
        <v>16000</v>
      </c>
      <c r="X113" t="s">
        <v>205</v>
      </c>
      <c r="Y113" s="74" t="str">
        <f ca="1">IF(Table15[[#This Row],[Type]]="KILL",IF(_xlfn.NUMBERVALUE(RIGHT(Table15[[#This Row],[Min]],LEN(Table15[[#This Row],[Min]])-FIND("-",Table15[[#This Row],[Min]])))&gt;INDIRECT(ADDRESS(11+MATCH(LEFT(Table15[[#This Row],[Min]],FIND("-",Table15[[#This Row],[Min]])-1),Table1[Content Sku],0),16,1,1,"Entities")),"review","ok"),"ok")</f>
        <v>ok</v>
      </c>
      <c r="Z113" t="s">
        <v>548</v>
      </c>
      <c r="AA113">
        <v>1</v>
      </c>
      <c r="AB113" s="74">
        <f ca="1">(INDIRECT(ADDRESS(2+(MATCH(Table33[[#This Row],[SPAWNER]],Table40[SPAWNER],0)),2,1,1,"DATA_SCENES_UNITY_2")))</f>
        <v>2</v>
      </c>
      <c r="AK113" t="s">
        <v>2680</v>
      </c>
      <c r="AL113">
        <v>0</v>
      </c>
      <c r="AM113">
        <v>0</v>
      </c>
      <c r="AN113" t="s">
        <v>8</v>
      </c>
      <c r="AO113" s="74" t="str">
        <f ca="1">IF(Table20[[#This Row],[Type]]="KILL",IF(_xlfn.NUMBERVALUE(RIGHT(Table20[[#This Row],[Min]],LEN(Table20[[#This Row],[Min]])-FIND("-",Table20[[#This Row],[Min]])))&gt;INDIRECT(ADDRESS(11+MATCH(LEFT(Table20[[#This Row],[Min]],FIND("-",Table20[[#This Row],[Min]])-1),Table1[Content Sku],0),18,1,1,"Entities")),"review","ok"),"ok")</f>
        <v>ok</v>
      </c>
    </row>
    <row r="114" spans="5:41" x14ac:dyDescent="0.25">
      <c r="E114" t="s">
        <v>122</v>
      </c>
      <c r="F114">
        <v>0</v>
      </c>
      <c r="G114">
        <v>0</v>
      </c>
      <c r="H114" t="s">
        <v>8</v>
      </c>
      <c r="I114" s="74" t="str">
        <f ca="1">IF(Table7[[#This Row],[Type]]="KILL",IF(_xlfn.NUMBERVALUE(RIGHT(Table7[[#This Row],[Min]],LEN(Table7[[#This Row],[Min]])-FIND("-",Table7[[#This Row],[Min]])))&gt;INDIRECT(ADDRESS(11+MATCH(LEFT(Table7[[#This Row],[Min]],FIND("-",Table7[[#This Row],[Min]])-1),Table1[Content Sku],0),16,1,1,"Entities")),"review","ok"),"ok")</f>
        <v>ok</v>
      </c>
      <c r="J114" t="s">
        <v>2768</v>
      </c>
      <c r="K114">
        <v>1</v>
      </c>
      <c r="L114" s="74">
        <f ca="1">(INDIRECT(ADDRESS(2+(MATCH(Table34[[#This Row],[SPAWNER]],Table40[SPAWNER],0)),2,1,1,"DATA_SCENES_UNITY_2"))) * Table34[[#This Row],[QUANTITY]]</f>
        <v>1</v>
      </c>
      <c r="U114" t="s">
        <v>293</v>
      </c>
      <c r="V114">
        <v>0</v>
      </c>
      <c r="W114">
        <v>0</v>
      </c>
      <c r="X114" t="s">
        <v>8</v>
      </c>
      <c r="Y114" s="74" t="str">
        <f ca="1">IF(Table15[[#This Row],[Type]]="KILL",IF(_xlfn.NUMBERVALUE(RIGHT(Table15[[#This Row],[Min]],LEN(Table15[[#This Row],[Min]])-FIND("-",Table15[[#This Row],[Min]])))&gt;INDIRECT(ADDRESS(11+MATCH(LEFT(Table15[[#This Row],[Min]],FIND("-",Table15[[#This Row],[Min]])-1),Table1[Content Sku],0),16,1,1,"Entities")),"review","ok"),"ok")</f>
        <v>ok</v>
      </c>
      <c r="Z114" t="s">
        <v>122</v>
      </c>
      <c r="AA114">
        <v>1</v>
      </c>
      <c r="AB114" s="74">
        <f ca="1">(INDIRECT(ADDRESS(2+(MATCH(Table33[[#This Row],[SPAWNER]],Table40[SPAWNER],0)),2,1,1,"DATA_SCENES_UNITY_2")))</f>
        <v>3</v>
      </c>
      <c r="AK114" t="s">
        <v>37</v>
      </c>
      <c r="AL114">
        <v>0</v>
      </c>
      <c r="AM114">
        <v>0</v>
      </c>
      <c r="AN114" t="s">
        <v>8</v>
      </c>
      <c r="AO114" s="74" t="str">
        <f ca="1">IF(Table20[[#This Row],[Type]]="KILL",IF(_xlfn.NUMBERVALUE(RIGHT(Table20[[#This Row],[Min]],LEN(Table20[[#This Row],[Min]])-FIND("-",Table20[[#This Row],[Min]])))&gt;INDIRECT(ADDRESS(11+MATCH(LEFT(Table20[[#This Row],[Min]],FIND("-",Table20[[#This Row],[Min]])-1),Table1[Content Sku],0),18,1,1,"Entities")),"review","ok"),"ok")</f>
        <v>ok</v>
      </c>
    </row>
    <row r="115" spans="5:41" x14ac:dyDescent="0.25">
      <c r="E115" t="s">
        <v>548</v>
      </c>
      <c r="F115">
        <v>0</v>
      </c>
      <c r="G115">
        <v>0</v>
      </c>
      <c r="H115" t="s">
        <v>8</v>
      </c>
      <c r="I115" s="74" t="str">
        <f ca="1">IF(Table7[[#This Row],[Type]]="KILL",IF(_xlfn.NUMBERVALUE(RIGHT(Table7[[#This Row],[Min]],LEN(Table7[[#This Row],[Min]])-FIND("-",Table7[[#This Row],[Min]])))&gt;INDIRECT(ADDRESS(11+MATCH(LEFT(Table7[[#This Row],[Min]],FIND("-",Table7[[#This Row],[Min]])-1),Table1[Content Sku],0),16,1,1,"Entities")),"review","ok"),"ok")</f>
        <v>ok</v>
      </c>
      <c r="J115" t="s">
        <v>2768</v>
      </c>
      <c r="K115">
        <v>1</v>
      </c>
      <c r="L115" s="74">
        <f ca="1">(INDIRECT(ADDRESS(2+(MATCH(Table34[[#This Row],[SPAWNER]],Table40[SPAWNER],0)),2,1,1,"DATA_SCENES_UNITY_2"))) * Table34[[#This Row],[QUANTITY]]</f>
        <v>1</v>
      </c>
      <c r="U115" t="s">
        <v>1</v>
      </c>
      <c r="V115">
        <v>20000</v>
      </c>
      <c r="W115">
        <v>0</v>
      </c>
      <c r="X115" t="s">
        <v>205</v>
      </c>
      <c r="Y115" s="74" t="str">
        <f ca="1">IF(Table15[[#This Row],[Type]]="KILL",IF(_xlfn.NUMBERVALUE(RIGHT(Table15[[#This Row],[Min]],LEN(Table15[[#This Row],[Min]])-FIND("-",Table15[[#This Row],[Min]])))&gt;INDIRECT(ADDRESS(11+MATCH(LEFT(Table15[[#This Row],[Min]],FIND("-",Table15[[#This Row],[Min]])-1),Table1[Content Sku],0),16,1,1,"Entities")),"review","ok"),"ok")</f>
        <v>ok</v>
      </c>
      <c r="Z115" t="s">
        <v>122</v>
      </c>
      <c r="AA115">
        <v>1</v>
      </c>
      <c r="AB115" s="74">
        <f ca="1">(INDIRECT(ADDRESS(2+(MATCH(Table33[[#This Row],[SPAWNER]],Table40[SPAWNER],0)),2,1,1,"DATA_SCENES_UNITY_2")))</f>
        <v>3</v>
      </c>
      <c r="AK115" t="s">
        <v>2674</v>
      </c>
      <c r="AL115">
        <v>0</v>
      </c>
      <c r="AM115">
        <v>0</v>
      </c>
      <c r="AN115" t="s">
        <v>8</v>
      </c>
      <c r="AO115" s="74" t="str">
        <f ca="1">IF(Table20[[#This Row],[Type]]="KILL",IF(_xlfn.NUMBERVALUE(RIGHT(Table20[[#This Row],[Min]],LEN(Table20[[#This Row],[Min]])-FIND("-",Table20[[#This Row],[Min]])))&gt;INDIRECT(ADDRESS(11+MATCH(LEFT(Table20[[#This Row],[Min]],FIND("-",Table20[[#This Row],[Min]])-1),Table1[Content Sku],0),18,1,1,"Entities")),"review","ok"),"ok")</f>
        <v>ok</v>
      </c>
    </row>
    <row r="116" spans="5:41" x14ac:dyDescent="0.25">
      <c r="E116" t="s">
        <v>46</v>
      </c>
      <c r="F116">
        <v>0</v>
      </c>
      <c r="G116">
        <v>0</v>
      </c>
      <c r="H116" t="s">
        <v>8</v>
      </c>
      <c r="I116" s="74" t="str">
        <f ca="1">IF(Table7[[#This Row],[Type]]="KILL",IF(_xlfn.NUMBERVALUE(RIGHT(Table7[[#This Row],[Min]],LEN(Table7[[#This Row],[Min]])-FIND("-",Table7[[#This Row],[Min]])))&gt;INDIRECT(ADDRESS(11+MATCH(LEFT(Table7[[#This Row],[Min]],FIND("-",Table7[[#This Row],[Min]])-1),Table1[Content Sku],0),16,1,1,"Entities")),"review","ok"),"ok")</f>
        <v>ok</v>
      </c>
      <c r="J116" t="s">
        <v>2768</v>
      </c>
      <c r="K116">
        <v>1</v>
      </c>
      <c r="L116" s="74">
        <f ca="1">(INDIRECT(ADDRESS(2+(MATCH(Table34[[#This Row],[SPAWNER]],Table40[SPAWNER],0)),2,1,1,"DATA_SCENES_UNITY_2"))) * Table34[[#This Row],[QUANTITY]]</f>
        <v>1</v>
      </c>
      <c r="U116" t="s">
        <v>37</v>
      </c>
      <c r="V116">
        <v>0</v>
      </c>
      <c r="W116">
        <v>0</v>
      </c>
      <c r="X116" t="s">
        <v>8</v>
      </c>
      <c r="Y116" s="74" t="str">
        <f ca="1">IF(Table15[[#This Row],[Type]]="KILL",IF(_xlfn.NUMBERVALUE(RIGHT(Table15[[#This Row],[Min]],LEN(Table15[[#This Row],[Min]])-FIND("-",Table15[[#This Row],[Min]])))&gt;INDIRECT(ADDRESS(11+MATCH(LEFT(Table15[[#This Row],[Min]],FIND("-",Table15[[#This Row],[Min]])-1),Table1[Content Sku],0),16,1,1,"Entities")),"review","ok"),"ok")</f>
        <v>ok</v>
      </c>
      <c r="Z116" t="s">
        <v>548</v>
      </c>
      <c r="AA116">
        <v>5</v>
      </c>
      <c r="AB116" s="74">
        <f ca="1">(INDIRECT(ADDRESS(2+(MATCH(Table33[[#This Row],[SPAWNER]],Table40[SPAWNER],0)),2,1,1,"DATA_SCENES_UNITY_2")))</f>
        <v>2</v>
      </c>
      <c r="AK116" t="s">
        <v>346</v>
      </c>
      <c r="AL116">
        <v>0</v>
      </c>
      <c r="AM116">
        <v>0</v>
      </c>
      <c r="AN116" t="s">
        <v>8</v>
      </c>
      <c r="AO116" s="74" t="str">
        <f ca="1">IF(Table20[[#This Row],[Type]]="KILL",IF(_xlfn.NUMBERVALUE(RIGHT(Table20[[#This Row],[Min]],LEN(Table20[[#This Row],[Min]])-FIND("-",Table20[[#This Row],[Min]])))&gt;INDIRECT(ADDRESS(11+MATCH(LEFT(Table20[[#This Row],[Min]],FIND("-",Table20[[#This Row],[Min]])-1),Table1[Content Sku],0),18,1,1,"Entities")),"review","ok"),"ok")</f>
        <v>ok</v>
      </c>
    </row>
    <row r="117" spans="5:41" x14ac:dyDescent="0.25">
      <c r="E117" t="s">
        <v>338</v>
      </c>
      <c r="F117">
        <v>0</v>
      </c>
      <c r="G117">
        <v>0</v>
      </c>
      <c r="H117" t="s">
        <v>8</v>
      </c>
      <c r="I117" s="74" t="str">
        <f ca="1">IF(Table7[[#This Row],[Type]]="KILL",IF(_xlfn.NUMBERVALUE(RIGHT(Table7[[#This Row],[Min]],LEN(Table7[[#This Row],[Min]])-FIND("-",Table7[[#This Row],[Min]])))&gt;INDIRECT(ADDRESS(11+MATCH(LEFT(Table7[[#This Row],[Min]],FIND("-",Table7[[#This Row],[Min]])-1),Table1[Content Sku],0),16,1,1,"Entities")),"review","ok"),"ok")</f>
        <v>ok</v>
      </c>
      <c r="J117" t="s">
        <v>2768</v>
      </c>
      <c r="K117">
        <v>1</v>
      </c>
      <c r="L117" s="74">
        <f ca="1">(INDIRECT(ADDRESS(2+(MATCH(Table34[[#This Row],[SPAWNER]],Table40[SPAWNER],0)),2,1,1,"DATA_SCENES_UNITY_2"))) * Table34[[#This Row],[QUANTITY]]</f>
        <v>1</v>
      </c>
      <c r="U117" t="s">
        <v>293</v>
      </c>
      <c r="V117">
        <v>0</v>
      </c>
      <c r="W117">
        <v>0</v>
      </c>
      <c r="X117" t="s">
        <v>8</v>
      </c>
      <c r="Y117" s="74" t="str">
        <f ca="1">IF(Table15[[#This Row],[Type]]="KILL",IF(_xlfn.NUMBERVALUE(RIGHT(Table15[[#This Row],[Min]],LEN(Table15[[#This Row],[Min]])-FIND("-",Table15[[#This Row],[Min]])))&gt;INDIRECT(ADDRESS(11+MATCH(LEFT(Table15[[#This Row],[Min]],FIND("-",Table15[[#This Row],[Min]])-1),Table1[Content Sku],0),16,1,1,"Entities")),"review","ok"),"ok")</f>
        <v>ok</v>
      </c>
      <c r="Z117" t="s">
        <v>2768</v>
      </c>
      <c r="AA117">
        <v>1</v>
      </c>
      <c r="AB117" s="74">
        <f ca="1">(INDIRECT(ADDRESS(2+(MATCH(Table33[[#This Row],[SPAWNER]],Table40[SPAWNER],0)),2,1,1,"DATA_SCENES_UNITY_2")))</f>
        <v>1</v>
      </c>
      <c r="AK117" t="s">
        <v>4428</v>
      </c>
      <c r="AL117">
        <v>0</v>
      </c>
      <c r="AM117">
        <v>0</v>
      </c>
      <c r="AN117" t="s">
        <v>8</v>
      </c>
      <c r="AO117" s="74" t="str">
        <f ca="1">IF(Table20[[#This Row],[Type]]="KILL",IF(_xlfn.NUMBERVALUE(RIGHT(Table20[[#This Row],[Min]],LEN(Table20[[#This Row],[Min]])-FIND("-",Table20[[#This Row],[Min]])))&gt;INDIRECT(ADDRESS(11+MATCH(LEFT(Table20[[#This Row],[Min]],FIND("-",Table20[[#This Row],[Min]])-1),Table1[Content Sku],0),18,1,1,"Entities")),"review","ok"),"ok")</f>
        <v>ok</v>
      </c>
    </row>
    <row r="118" spans="5:41" x14ac:dyDescent="0.25">
      <c r="E118" t="s">
        <v>36</v>
      </c>
      <c r="F118">
        <v>0</v>
      </c>
      <c r="G118">
        <v>0</v>
      </c>
      <c r="H118" t="s">
        <v>8</v>
      </c>
      <c r="I118" s="74" t="str">
        <f ca="1">IF(Table7[[#This Row],[Type]]="KILL",IF(_xlfn.NUMBERVALUE(RIGHT(Table7[[#This Row],[Min]],LEN(Table7[[#This Row],[Min]])-FIND("-",Table7[[#This Row],[Min]])))&gt;INDIRECT(ADDRESS(11+MATCH(LEFT(Table7[[#This Row],[Min]],FIND("-",Table7[[#This Row],[Min]])-1),Table1[Content Sku],0),16,1,1,"Entities")),"review","ok"),"ok")</f>
        <v>ok</v>
      </c>
      <c r="J118" t="s">
        <v>2768</v>
      </c>
      <c r="K118">
        <v>1</v>
      </c>
      <c r="L118" s="74">
        <f ca="1">(INDIRECT(ADDRESS(2+(MATCH(Table34[[#This Row],[SPAWNER]],Table40[SPAWNER],0)),2,1,1,"DATA_SCENES_UNITY_2"))) * Table34[[#This Row],[QUANTITY]]</f>
        <v>1</v>
      </c>
      <c r="U118" t="s">
        <v>8133</v>
      </c>
      <c r="V118">
        <v>0</v>
      </c>
      <c r="W118">
        <v>0</v>
      </c>
      <c r="X118" t="s">
        <v>8</v>
      </c>
      <c r="Y118" s="74" t="str">
        <f ca="1">IF(Table15[[#This Row],[Type]]="KILL",IF(_xlfn.NUMBERVALUE(RIGHT(Table15[[#This Row],[Min]],LEN(Table15[[#This Row],[Min]])-FIND("-",Table15[[#This Row],[Min]])))&gt;INDIRECT(ADDRESS(11+MATCH(LEFT(Table15[[#This Row],[Min]],FIND("-",Table15[[#This Row],[Min]])-1),Table1[Content Sku],0),16,1,1,"Entities")),"review","ok"),"ok")</f>
        <v>ok</v>
      </c>
      <c r="Z118" t="s">
        <v>548</v>
      </c>
      <c r="AA118">
        <v>1</v>
      </c>
      <c r="AB118" s="74">
        <f ca="1">(INDIRECT(ADDRESS(2+(MATCH(Table33[[#This Row],[SPAWNER]],Table40[SPAWNER],0)),2,1,1,"DATA_SCENES_UNITY_2")))</f>
        <v>2</v>
      </c>
      <c r="AK118" t="s">
        <v>2741</v>
      </c>
      <c r="AL118">
        <v>0</v>
      </c>
      <c r="AM118">
        <v>0</v>
      </c>
      <c r="AN118" t="s">
        <v>8</v>
      </c>
      <c r="AO118" s="74" t="str">
        <f ca="1">IF(Table20[[#This Row],[Type]]="KILL",IF(_xlfn.NUMBERVALUE(RIGHT(Table20[[#This Row],[Min]],LEN(Table20[[#This Row],[Min]])-FIND("-",Table20[[#This Row],[Min]])))&gt;INDIRECT(ADDRESS(11+MATCH(LEFT(Table20[[#This Row],[Min]],FIND("-",Table20[[#This Row],[Min]])-1),Table1[Content Sku],0),18,1,1,"Entities")),"review","ok"),"ok")</f>
        <v>ok</v>
      </c>
    </row>
    <row r="119" spans="5:41" x14ac:dyDescent="0.25">
      <c r="E119" t="s">
        <v>42</v>
      </c>
      <c r="F119">
        <v>30500</v>
      </c>
      <c r="G119">
        <v>0</v>
      </c>
      <c r="H119" t="s">
        <v>205</v>
      </c>
      <c r="I119" s="74" t="str">
        <f ca="1">IF(Table7[[#This Row],[Type]]="KILL",IF(_xlfn.NUMBERVALUE(RIGHT(Table7[[#This Row],[Min]],LEN(Table7[[#This Row],[Min]])-FIND("-",Table7[[#This Row],[Min]])))&gt;INDIRECT(ADDRESS(11+MATCH(LEFT(Table7[[#This Row],[Min]],FIND("-",Table7[[#This Row],[Min]])-1),Table1[Content Sku],0),16,1,1,"Entities")),"review","ok"),"ok")</f>
        <v>ok</v>
      </c>
      <c r="J119" t="s">
        <v>2768</v>
      </c>
      <c r="K119">
        <v>1</v>
      </c>
      <c r="L119" s="74">
        <f ca="1">(INDIRECT(ADDRESS(2+(MATCH(Table34[[#This Row],[SPAWNER]],Table40[SPAWNER],0)),2,1,1,"DATA_SCENES_UNITY_2"))) * Table34[[#This Row],[QUANTITY]]</f>
        <v>1</v>
      </c>
      <c r="U119" t="s">
        <v>391</v>
      </c>
      <c r="V119">
        <v>0</v>
      </c>
      <c r="W119">
        <v>0</v>
      </c>
      <c r="X119" t="s">
        <v>8</v>
      </c>
      <c r="Y119" s="74" t="str">
        <f ca="1">IF(Table15[[#This Row],[Type]]="KILL",IF(_xlfn.NUMBERVALUE(RIGHT(Table15[[#This Row],[Min]],LEN(Table15[[#This Row],[Min]])-FIND("-",Table15[[#This Row],[Min]])))&gt;INDIRECT(ADDRESS(11+MATCH(LEFT(Table15[[#This Row],[Min]],FIND("-",Table15[[#This Row],[Min]])-1),Table1[Content Sku],0),16,1,1,"Entities")),"review","ok"),"ok")</f>
        <v>ok</v>
      </c>
      <c r="Z119" t="s">
        <v>122</v>
      </c>
      <c r="AA119">
        <v>1</v>
      </c>
      <c r="AB119" s="74">
        <f ca="1">(INDIRECT(ADDRESS(2+(MATCH(Table33[[#This Row],[SPAWNER]],Table40[SPAWNER],0)),2,1,1,"DATA_SCENES_UNITY_2")))</f>
        <v>3</v>
      </c>
      <c r="AK119" t="s">
        <v>2767</v>
      </c>
      <c r="AL119">
        <v>0</v>
      </c>
      <c r="AM119">
        <v>0</v>
      </c>
      <c r="AN119" t="s">
        <v>8</v>
      </c>
      <c r="AO119" s="74" t="str">
        <f ca="1">IF(Table20[[#This Row],[Type]]="KILL",IF(_xlfn.NUMBERVALUE(RIGHT(Table20[[#This Row],[Min]],LEN(Table20[[#This Row],[Min]])-FIND("-",Table20[[#This Row],[Min]])))&gt;INDIRECT(ADDRESS(11+MATCH(LEFT(Table20[[#This Row],[Min]],FIND("-",Table20[[#This Row],[Min]])-1),Table1[Content Sku],0),18,1,1,"Entities")),"review","ok"),"ok")</f>
        <v>ok</v>
      </c>
    </row>
    <row r="120" spans="5:41" x14ac:dyDescent="0.25">
      <c r="E120" t="s">
        <v>318</v>
      </c>
      <c r="F120">
        <v>0</v>
      </c>
      <c r="G120">
        <v>0</v>
      </c>
      <c r="H120" t="s">
        <v>8</v>
      </c>
      <c r="I120" s="74" t="str">
        <f ca="1">IF(Table7[[#This Row],[Type]]="KILL",IF(_xlfn.NUMBERVALUE(RIGHT(Table7[[#This Row],[Min]],LEN(Table7[[#This Row],[Min]])-FIND("-",Table7[[#This Row],[Min]])))&gt;INDIRECT(ADDRESS(11+MATCH(LEFT(Table7[[#This Row],[Min]],FIND("-",Table7[[#This Row],[Min]])-1),Table1[Content Sku],0),16,1,1,"Entities")),"review","ok"),"ok")</f>
        <v>ok</v>
      </c>
      <c r="J120" t="s">
        <v>2768</v>
      </c>
      <c r="K120">
        <v>1</v>
      </c>
      <c r="L120" s="74">
        <f ca="1">(INDIRECT(ADDRESS(2+(MATCH(Table34[[#This Row],[SPAWNER]],Table40[SPAWNER],0)),2,1,1,"DATA_SCENES_UNITY_2"))) * Table34[[#This Row],[QUANTITY]]</f>
        <v>1</v>
      </c>
      <c r="U120" t="s">
        <v>403</v>
      </c>
      <c r="V120">
        <v>0</v>
      </c>
      <c r="W120">
        <v>0</v>
      </c>
      <c r="X120" t="s">
        <v>8</v>
      </c>
      <c r="Y120" s="74" t="str">
        <f ca="1">IF(Table15[[#This Row],[Type]]="KILL",IF(_xlfn.NUMBERVALUE(RIGHT(Table15[[#This Row],[Min]],LEN(Table15[[#This Row],[Min]])-FIND("-",Table15[[#This Row],[Min]])))&gt;INDIRECT(ADDRESS(11+MATCH(LEFT(Table15[[#This Row],[Min]],FIND("-",Table15[[#This Row],[Min]])-1),Table1[Content Sku],0),16,1,1,"Entities")),"review","ok"),"ok")</f>
        <v>ok</v>
      </c>
      <c r="Z120" t="s">
        <v>122</v>
      </c>
      <c r="AA120">
        <v>1</v>
      </c>
      <c r="AB120" s="74">
        <f ca="1">(INDIRECT(ADDRESS(2+(MATCH(Table33[[#This Row],[SPAWNER]],Table40[SPAWNER],0)),2,1,1,"DATA_SCENES_UNITY_2")))</f>
        <v>3</v>
      </c>
      <c r="AK120" t="s">
        <v>2667</v>
      </c>
      <c r="AL120">
        <v>0</v>
      </c>
      <c r="AM120">
        <v>0</v>
      </c>
      <c r="AN120" t="s">
        <v>8</v>
      </c>
      <c r="AO120" s="74" t="str">
        <f ca="1">IF(Table20[[#This Row],[Type]]="KILL",IF(_xlfn.NUMBERVALUE(RIGHT(Table20[[#This Row],[Min]],LEN(Table20[[#This Row],[Min]])-FIND("-",Table20[[#This Row],[Min]])))&gt;INDIRECT(ADDRESS(11+MATCH(LEFT(Table20[[#This Row],[Min]],FIND("-",Table20[[#This Row],[Min]])-1),Table1[Content Sku],0),18,1,1,"Entities")),"review","ok"),"ok")</f>
        <v>ok</v>
      </c>
    </row>
    <row r="121" spans="5:41" x14ac:dyDescent="0.25">
      <c r="E121" t="s">
        <v>393</v>
      </c>
      <c r="F121">
        <v>0</v>
      </c>
      <c r="G121">
        <v>0</v>
      </c>
      <c r="H121" t="s">
        <v>8</v>
      </c>
      <c r="I121" s="74" t="str">
        <f ca="1">IF(Table7[[#This Row],[Type]]="KILL",IF(_xlfn.NUMBERVALUE(RIGHT(Table7[[#This Row],[Min]],LEN(Table7[[#This Row],[Min]])-FIND("-",Table7[[#This Row],[Min]])))&gt;INDIRECT(ADDRESS(11+MATCH(LEFT(Table7[[#This Row],[Min]],FIND("-",Table7[[#This Row],[Min]])-1),Table1[Content Sku],0),16,1,1,"Entities")),"review","ok"),"ok")</f>
        <v>ok</v>
      </c>
      <c r="J121" t="s">
        <v>122</v>
      </c>
      <c r="K121">
        <v>1</v>
      </c>
      <c r="L121" s="74">
        <f ca="1">(INDIRECT(ADDRESS(2+(MATCH(Table34[[#This Row],[SPAWNER]],Table40[SPAWNER],0)),2,1,1,"DATA_SCENES_UNITY_2"))) * Table34[[#This Row],[QUANTITY]]</f>
        <v>3</v>
      </c>
      <c r="U121" t="s">
        <v>280</v>
      </c>
      <c r="V121">
        <v>0</v>
      </c>
      <c r="W121">
        <v>0</v>
      </c>
      <c r="X121" t="s">
        <v>8</v>
      </c>
      <c r="Y121" s="74" t="str">
        <f ca="1">IF(Table15[[#This Row],[Type]]="KILL",IF(_xlfn.NUMBERVALUE(RIGHT(Table15[[#This Row],[Min]],LEN(Table15[[#This Row],[Min]])-FIND("-",Table15[[#This Row],[Min]])))&gt;INDIRECT(ADDRESS(11+MATCH(LEFT(Table15[[#This Row],[Min]],FIND("-",Table15[[#This Row],[Min]])-1),Table1[Content Sku],0),16,1,1,"Entities")),"review","ok"),"ok")</f>
        <v>ok</v>
      </c>
      <c r="Z121" t="s">
        <v>122</v>
      </c>
      <c r="AA121">
        <v>1</v>
      </c>
      <c r="AB121" s="74">
        <f ca="1">(INDIRECT(ADDRESS(2+(MATCH(Table33[[#This Row],[SPAWNER]],Table40[SPAWNER],0)),2,1,1,"DATA_SCENES_UNITY_2")))</f>
        <v>3</v>
      </c>
      <c r="AK121" t="s">
        <v>4430</v>
      </c>
      <c r="AL121">
        <v>36500</v>
      </c>
      <c r="AM121">
        <v>0</v>
      </c>
      <c r="AN121" t="s">
        <v>205</v>
      </c>
      <c r="AO121" s="74" t="str">
        <f ca="1">IF(Table20[[#This Row],[Type]]="KILL",IF(_xlfn.NUMBERVALUE(RIGHT(Table20[[#This Row],[Min]],LEN(Table20[[#This Row],[Min]])-FIND("-",Table20[[#This Row],[Min]])))&gt;INDIRECT(ADDRESS(11+MATCH(LEFT(Table20[[#This Row],[Min]],FIND("-",Table20[[#This Row],[Min]])-1),Table1[Content Sku],0),18,1,1,"Entities")),"review","ok"),"ok")</f>
        <v>ok</v>
      </c>
    </row>
    <row r="122" spans="5:41" x14ac:dyDescent="0.25">
      <c r="E122" t="s">
        <v>313</v>
      </c>
      <c r="F122">
        <v>0</v>
      </c>
      <c r="G122">
        <v>0</v>
      </c>
      <c r="H122" t="s">
        <v>8</v>
      </c>
      <c r="I122" s="74" t="str">
        <f ca="1">IF(Table7[[#This Row],[Type]]="KILL",IF(_xlfn.NUMBERVALUE(RIGHT(Table7[[#This Row],[Min]],LEN(Table7[[#This Row],[Min]])-FIND("-",Table7[[#This Row],[Min]])))&gt;INDIRECT(ADDRESS(11+MATCH(LEFT(Table7[[#This Row],[Min]],FIND("-",Table7[[#This Row],[Min]])-1),Table1[Content Sku],0),16,1,1,"Entities")),"review","ok"),"ok")</f>
        <v>ok</v>
      </c>
      <c r="J122" t="s">
        <v>2768</v>
      </c>
      <c r="K122">
        <v>1</v>
      </c>
      <c r="L122" s="74">
        <f ca="1">(INDIRECT(ADDRESS(2+(MATCH(Table34[[#This Row],[SPAWNER]],Table40[SPAWNER],0)),2,1,1,"DATA_SCENES_UNITY_2"))) * Table34[[#This Row],[QUANTITY]]</f>
        <v>1</v>
      </c>
      <c r="U122" t="s">
        <v>253</v>
      </c>
      <c r="V122">
        <v>0</v>
      </c>
      <c r="W122">
        <v>0</v>
      </c>
      <c r="X122" t="s">
        <v>8</v>
      </c>
      <c r="Y122" s="74" t="str">
        <f ca="1">IF(Table15[[#This Row],[Type]]="KILL",IF(_xlfn.NUMBERVALUE(RIGHT(Table15[[#This Row],[Min]],LEN(Table15[[#This Row],[Min]])-FIND("-",Table15[[#This Row],[Min]])))&gt;INDIRECT(ADDRESS(11+MATCH(LEFT(Table15[[#This Row],[Min]],FIND("-",Table15[[#This Row],[Min]])-1),Table1[Content Sku],0),16,1,1,"Entities")),"review","ok"),"ok")</f>
        <v>ok</v>
      </c>
      <c r="Z122" t="s">
        <v>122</v>
      </c>
      <c r="AA122">
        <v>1</v>
      </c>
      <c r="AB122" s="74">
        <f ca="1">(INDIRECT(ADDRESS(2+(MATCH(Table33[[#This Row],[SPAWNER]],Table40[SPAWNER],0)),2,1,1,"DATA_SCENES_UNITY_2")))</f>
        <v>3</v>
      </c>
      <c r="AK122" t="s">
        <v>2741</v>
      </c>
      <c r="AL122">
        <v>0</v>
      </c>
      <c r="AM122">
        <v>0</v>
      </c>
      <c r="AN122" t="s">
        <v>8</v>
      </c>
      <c r="AO122" s="74" t="str">
        <f ca="1">IF(Table20[[#This Row],[Type]]="KILL",IF(_xlfn.NUMBERVALUE(RIGHT(Table20[[#This Row],[Min]],LEN(Table20[[#This Row],[Min]])-FIND("-",Table20[[#This Row],[Min]])))&gt;INDIRECT(ADDRESS(11+MATCH(LEFT(Table20[[#This Row],[Min]],FIND("-",Table20[[#This Row],[Min]])-1),Table1[Content Sku],0),18,1,1,"Entities")),"review","ok"),"ok")</f>
        <v>ok</v>
      </c>
    </row>
    <row r="123" spans="5:41" x14ac:dyDescent="0.25">
      <c r="E123" t="s">
        <v>313</v>
      </c>
      <c r="F123">
        <v>0</v>
      </c>
      <c r="G123">
        <v>0</v>
      </c>
      <c r="H123" t="s">
        <v>8</v>
      </c>
      <c r="I123" s="74" t="str">
        <f ca="1">IF(Table7[[#This Row],[Type]]="KILL",IF(_xlfn.NUMBERVALUE(RIGHT(Table7[[#This Row],[Min]],LEN(Table7[[#This Row],[Min]])-FIND("-",Table7[[#This Row],[Min]])))&gt;INDIRECT(ADDRESS(11+MATCH(LEFT(Table7[[#This Row],[Min]],FIND("-",Table7[[#This Row],[Min]])-1),Table1[Content Sku],0),16,1,1,"Entities")),"review","ok"),"ok")</f>
        <v>ok</v>
      </c>
      <c r="J123" t="s">
        <v>122</v>
      </c>
      <c r="K123">
        <v>1</v>
      </c>
      <c r="L123" s="74">
        <f ca="1">(INDIRECT(ADDRESS(2+(MATCH(Table34[[#This Row],[SPAWNER]],Table40[SPAWNER],0)),2,1,1,"DATA_SCENES_UNITY_2"))) * Table34[[#This Row],[QUANTITY]]</f>
        <v>3</v>
      </c>
      <c r="U123" t="s">
        <v>2723</v>
      </c>
      <c r="V123">
        <v>0</v>
      </c>
      <c r="W123">
        <v>0</v>
      </c>
      <c r="X123" t="s">
        <v>8</v>
      </c>
      <c r="Y123" s="74" t="str">
        <f ca="1">IF(Table15[[#This Row],[Type]]="KILL",IF(_xlfn.NUMBERVALUE(RIGHT(Table15[[#This Row],[Min]],LEN(Table15[[#This Row],[Min]])-FIND("-",Table15[[#This Row],[Min]])))&gt;INDIRECT(ADDRESS(11+MATCH(LEFT(Table15[[#This Row],[Min]],FIND("-",Table15[[#This Row],[Min]])-1),Table1[Content Sku],0),16,1,1,"Entities")),"review","ok"),"ok")</f>
        <v>ok</v>
      </c>
      <c r="Z123" t="s">
        <v>122</v>
      </c>
      <c r="AA123">
        <v>1</v>
      </c>
      <c r="AB123" s="74">
        <f ca="1">(INDIRECT(ADDRESS(2+(MATCH(Table33[[#This Row],[SPAWNER]],Table40[SPAWNER],0)),2,1,1,"DATA_SCENES_UNITY_2")))</f>
        <v>3</v>
      </c>
      <c r="AK123" t="s">
        <v>2741</v>
      </c>
      <c r="AL123">
        <v>0</v>
      </c>
      <c r="AM123">
        <v>0</v>
      </c>
      <c r="AN123" t="s">
        <v>8</v>
      </c>
      <c r="AO123" s="74" t="str">
        <f ca="1">IF(Table20[[#This Row],[Type]]="KILL",IF(_xlfn.NUMBERVALUE(RIGHT(Table20[[#This Row],[Min]],LEN(Table20[[#This Row],[Min]])-FIND("-",Table20[[#This Row],[Min]])))&gt;INDIRECT(ADDRESS(11+MATCH(LEFT(Table20[[#This Row],[Min]],FIND("-",Table20[[#This Row],[Min]])-1),Table1[Content Sku],0),18,1,1,"Entities")),"review","ok"),"ok")</f>
        <v>ok</v>
      </c>
    </row>
    <row r="124" spans="5:41" x14ac:dyDescent="0.25">
      <c r="E124" t="s">
        <v>516</v>
      </c>
      <c r="F124">
        <v>0</v>
      </c>
      <c r="G124">
        <v>0</v>
      </c>
      <c r="H124" t="s">
        <v>8</v>
      </c>
      <c r="I124" s="74" t="str">
        <f ca="1">IF(Table7[[#This Row],[Type]]="KILL",IF(_xlfn.NUMBERVALUE(RIGHT(Table7[[#This Row],[Min]],LEN(Table7[[#This Row],[Min]])-FIND("-",Table7[[#This Row],[Min]])))&gt;INDIRECT(ADDRESS(11+MATCH(LEFT(Table7[[#This Row],[Min]],FIND("-",Table7[[#This Row],[Min]])-1),Table1[Content Sku],0),16,1,1,"Entities")),"review","ok"),"ok")</f>
        <v>ok</v>
      </c>
      <c r="J124" t="s">
        <v>2768</v>
      </c>
      <c r="K124">
        <v>1</v>
      </c>
      <c r="L124" s="74">
        <f ca="1">(INDIRECT(ADDRESS(2+(MATCH(Table34[[#This Row],[SPAWNER]],Table40[SPAWNER],0)),2,1,1,"DATA_SCENES_UNITY_2"))) * Table34[[#This Row],[QUANTITY]]</f>
        <v>1</v>
      </c>
      <c r="U124" t="s">
        <v>313</v>
      </c>
      <c r="V124">
        <v>0</v>
      </c>
      <c r="W124">
        <v>0</v>
      </c>
      <c r="X124" t="s">
        <v>8</v>
      </c>
      <c r="Y124" s="74" t="str">
        <f ca="1">IF(Table15[[#This Row],[Type]]="KILL",IF(_xlfn.NUMBERVALUE(RIGHT(Table15[[#This Row],[Min]],LEN(Table15[[#This Row],[Min]])-FIND("-",Table15[[#This Row],[Min]])))&gt;INDIRECT(ADDRESS(11+MATCH(LEFT(Table15[[#This Row],[Min]],FIND("-",Table15[[#This Row],[Min]])-1),Table1[Content Sku],0),16,1,1,"Entities")),"review","ok"),"ok")</f>
        <v>ok</v>
      </c>
      <c r="Z124" t="s">
        <v>548</v>
      </c>
      <c r="AA124">
        <v>4</v>
      </c>
      <c r="AB124" s="74">
        <f ca="1">(INDIRECT(ADDRESS(2+(MATCH(Table33[[#This Row],[SPAWNER]],Table40[SPAWNER],0)),2,1,1,"DATA_SCENES_UNITY_2")))</f>
        <v>2</v>
      </c>
      <c r="AK124" t="s">
        <v>578</v>
      </c>
      <c r="AL124">
        <v>0</v>
      </c>
      <c r="AM124">
        <v>0</v>
      </c>
      <c r="AN124" t="s">
        <v>8</v>
      </c>
      <c r="AO124" s="74" t="str">
        <f ca="1">IF(Table20[[#This Row],[Type]]="KILL",IF(_xlfn.NUMBERVALUE(RIGHT(Table20[[#This Row],[Min]],LEN(Table20[[#This Row],[Min]])-FIND("-",Table20[[#This Row],[Min]])))&gt;INDIRECT(ADDRESS(11+MATCH(LEFT(Table20[[#This Row],[Min]],FIND("-",Table20[[#This Row],[Min]])-1),Table1[Content Sku],0),18,1,1,"Entities")),"review","ok"),"ok")</f>
        <v>ok</v>
      </c>
    </row>
    <row r="125" spans="5:41" x14ac:dyDescent="0.25">
      <c r="E125" t="s">
        <v>44</v>
      </c>
      <c r="F125">
        <v>15000</v>
      </c>
      <c r="G125">
        <v>0</v>
      </c>
      <c r="H125" t="s">
        <v>205</v>
      </c>
      <c r="I125" s="74" t="str">
        <f ca="1">IF(Table7[[#This Row],[Type]]="KILL",IF(_xlfn.NUMBERVALUE(RIGHT(Table7[[#This Row],[Min]],LEN(Table7[[#This Row],[Min]])-FIND("-",Table7[[#This Row],[Min]])))&gt;INDIRECT(ADDRESS(11+MATCH(LEFT(Table7[[#This Row],[Min]],FIND("-",Table7[[#This Row],[Min]])-1),Table1[Content Sku],0),16,1,1,"Entities")),"review","ok"),"ok")</f>
        <v>ok</v>
      </c>
      <c r="J125" t="s">
        <v>548</v>
      </c>
      <c r="K125">
        <v>2</v>
      </c>
      <c r="L125" s="74">
        <f ca="1">(INDIRECT(ADDRESS(2+(MATCH(Table34[[#This Row],[SPAWNER]],Table40[SPAWNER],0)),2,1,1,"DATA_SCENES_UNITY_2"))) * Table34[[#This Row],[QUANTITY]]</f>
        <v>4</v>
      </c>
      <c r="U125" t="s">
        <v>391</v>
      </c>
      <c r="V125">
        <v>0</v>
      </c>
      <c r="W125">
        <v>0</v>
      </c>
      <c r="X125" t="s">
        <v>8</v>
      </c>
      <c r="Y125" s="74" t="str">
        <f ca="1">IF(Table15[[#This Row],[Type]]="KILL",IF(_xlfn.NUMBERVALUE(RIGHT(Table15[[#This Row],[Min]],LEN(Table15[[#This Row],[Min]])-FIND("-",Table15[[#This Row],[Min]])))&gt;INDIRECT(ADDRESS(11+MATCH(LEFT(Table15[[#This Row],[Min]],FIND("-",Table15[[#This Row],[Min]])-1),Table1[Content Sku],0),16,1,1,"Entities")),"review","ok"),"ok")</f>
        <v>ok</v>
      </c>
      <c r="Z125" t="s">
        <v>122</v>
      </c>
      <c r="AA125">
        <v>1</v>
      </c>
      <c r="AB125" s="74">
        <f ca="1">(INDIRECT(ADDRESS(2+(MATCH(Table33[[#This Row],[SPAWNER]],Table40[SPAWNER],0)),2,1,1,"DATA_SCENES_UNITY_2")))</f>
        <v>3</v>
      </c>
      <c r="AK125" t="s">
        <v>2741</v>
      </c>
      <c r="AL125">
        <v>0</v>
      </c>
      <c r="AM125">
        <v>0</v>
      </c>
      <c r="AN125" t="s">
        <v>8</v>
      </c>
      <c r="AO125" s="74" t="str">
        <f ca="1">IF(Table20[[#This Row],[Type]]="KILL",IF(_xlfn.NUMBERVALUE(RIGHT(Table20[[#This Row],[Min]],LEN(Table20[[#This Row],[Min]])-FIND("-",Table20[[#This Row],[Min]])))&gt;INDIRECT(ADDRESS(11+MATCH(LEFT(Table20[[#This Row],[Min]],FIND("-",Table20[[#This Row],[Min]])-1),Table1[Content Sku],0),18,1,1,"Entities")),"review","ok"),"ok")</f>
        <v>ok</v>
      </c>
    </row>
    <row r="126" spans="5:41" x14ac:dyDescent="0.25">
      <c r="E126" t="s">
        <v>254</v>
      </c>
      <c r="F126">
        <v>0</v>
      </c>
      <c r="G126">
        <v>0</v>
      </c>
      <c r="H126" t="s">
        <v>8</v>
      </c>
      <c r="I126" s="74" t="str">
        <f ca="1">IF(Table7[[#This Row],[Type]]="KILL",IF(_xlfn.NUMBERVALUE(RIGHT(Table7[[#This Row],[Min]],LEN(Table7[[#This Row],[Min]])-FIND("-",Table7[[#This Row],[Min]])))&gt;INDIRECT(ADDRESS(11+MATCH(LEFT(Table7[[#This Row],[Min]],FIND("-",Table7[[#This Row],[Min]])-1),Table1[Content Sku],0),16,1,1,"Entities")),"review","ok"),"ok")</f>
        <v>ok</v>
      </c>
      <c r="J126" t="s">
        <v>122</v>
      </c>
      <c r="K126">
        <v>1</v>
      </c>
      <c r="L126" s="74">
        <f ca="1">(INDIRECT(ADDRESS(2+(MATCH(Table34[[#This Row],[SPAWNER]],Table40[SPAWNER],0)),2,1,1,"DATA_SCENES_UNITY_2"))) * Table34[[#This Row],[QUANTITY]]</f>
        <v>3</v>
      </c>
      <c r="U126" t="s">
        <v>2736</v>
      </c>
      <c r="V126">
        <v>0</v>
      </c>
      <c r="W126">
        <v>0</v>
      </c>
      <c r="X126" t="s">
        <v>8</v>
      </c>
      <c r="Y126" s="74" t="str">
        <f ca="1">IF(Table15[[#This Row],[Type]]="KILL",IF(_xlfn.NUMBERVALUE(RIGHT(Table15[[#This Row],[Min]],LEN(Table15[[#This Row],[Min]])-FIND("-",Table15[[#This Row],[Min]])))&gt;INDIRECT(ADDRESS(11+MATCH(LEFT(Table15[[#This Row],[Min]],FIND("-",Table15[[#This Row],[Min]])-1),Table1[Content Sku],0),16,1,1,"Entities")),"review","ok"),"ok")</f>
        <v>ok</v>
      </c>
      <c r="Z126" t="s">
        <v>122</v>
      </c>
      <c r="AA126">
        <v>1</v>
      </c>
      <c r="AB126" s="74">
        <f ca="1">(INDIRECT(ADDRESS(2+(MATCH(Table33[[#This Row],[SPAWNER]],Table40[SPAWNER],0)),2,1,1,"DATA_SCENES_UNITY_2")))</f>
        <v>3</v>
      </c>
      <c r="AK126" t="s">
        <v>482</v>
      </c>
      <c r="AL126">
        <v>0</v>
      </c>
      <c r="AM126">
        <v>0</v>
      </c>
      <c r="AN126" t="s">
        <v>8</v>
      </c>
      <c r="AO126" s="74" t="str">
        <f ca="1">IF(Table20[[#This Row],[Type]]="KILL",IF(_xlfn.NUMBERVALUE(RIGHT(Table20[[#This Row],[Min]],LEN(Table20[[#This Row],[Min]])-FIND("-",Table20[[#This Row],[Min]])))&gt;INDIRECT(ADDRESS(11+MATCH(LEFT(Table20[[#This Row],[Min]],FIND("-",Table20[[#This Row],[Min]])-1),Table1[Content Sku],0),18,1,1,"Entities")),"review","ok"),"ok")</f>
        <v>ok</v>
      </c>
    </row>
    <row r="127" spans="5:41" x14ac:dyDescent="0.25">
      <c r="E127" t="s">
        <v>391</v>
      </c>
      <c r="F127">
        <v>0</v>
      </c>
      <c r="G127">
        <v>0</v>
      </c>
      <c r="H127" t="s">
        <v>8</v>
      </c>
      <c r="I127" s="74" t="str">
        <f ca="1">IF(Table7[[#This Row],[Type]]="KILL",IF(_xlfn.NUMBERVALUE(RIGHT(Table7[[#This Row],[Min]],LEN(Table7[[#This Row],[Min]])-FIND("-",Table7[[#This Row],[Min]])))&gt;INDIRECT(ADDRESS(11+MATCH(LEFT(Table7[[#This Row],[Min]],FIND("-",Table7[[#This Row],[Min]])-1),Table1[Content Sku],0),16,1,1,"Entities")),"review","ok"),"ok")</f>
        <v>ok</v>
      </c>
      <c r="J127" t="s">
        <v>2768</v>
      </c>
      <c r="K127">
        <v>1</v>
      </c>
      <c r="L127" s="74">
        <f ca="1">(INDIRECT(ADDRESS(2+(MATCH(Table34[[#This Row],[SPAWNER]],Table40[SPAWNER],0)),2,1,1,"DATA_SCENES_UNITY_2"))) * Table34[[#This Row],[QUANTITY]]</f>
        <v>1</v>
      </c>
      <c r="U127" t="s">
        <v>313</v>
      </c>
      <c r="V127">
        <v>0</v>
      </c>
      <c r="W127">
        <v>0</v>
      </c>
      <c r="X127" t="s">
        <v>8</v>
      </c>
      <c r="Y127" s="74" t="str">
        <f ca="1">IF(Table15[[#This Row],[Type]]="KILL",IF(_xlfn.NUMBERVALUE(RIGHT(Table15[[#This Row],[Min]],LEN(Table15[[#This Row],[Min]])-FIND("-",Table15[[#This Row],[Min]])))&gt;INDIRECT(ADDRESS(11+MATCH(LEFT(Table15[[#This Row],[Min]],FIND("-",Table15[[#This Row],[Min]])-1),Table1[Content Sku],0),16,1,1,"Entities")),"review","ok"),"ok")</f>
        <v>ok</v>
      </c>
      <c r="Z127" t="s">
        <v>122</v>
      </c>
      <c r="AA127">
        <v>1</v>
      </c>
      <c r="AB127" s="74">
        <f ca="1">(INDIRECT(ADDRESS(2+(MATCH(Table33[[#This Row],[SPAWNER]],Table40[SPAWNER],0)),2,1,1,"DATA_SCENES_UNITY_2")))</f>
        <v>3</v>
      </c>
      <c r="AK127" t="s">
        <v>2741</v>
      </c>
      <c r="AL127">
        <v>0</v>
      </c>
      <c r="AM127">
        <v>0</v>
      </c>
      <c r="AN127" t="s">
        <v>8</v>
      </c>
      <c r="AO127" s="74" t="str">
        <f ca="1">IF(Table20[[#This Row],[Type]]="KILL",IF(_xlfn.NUMBERVALUE(RIGHT(Table20[[#This Row],[Min]],LEN(Table20[[#This Row],[Min]])-FIND("-",Table20[[#This Row],[Min]])))&gt;INDIRECT(ADDRESS(11+MATCH(LEFT(Table20[[#This Row],[Min]],FIND("-",Table20[[#This Row],[Min]])-1),Table1[Content Sku],0),18,1,1,"Entities")),"review","ok"),"ok")</f>
        <v>ok</v>
      </c>
    </row>
    <row r="128" spans="5:41" x14ac:dyDescent="0.25">
      <c r="E128" t="s">
        <v>21</v>
      </c>
      <c r="F128">
        <v>0</v>
      </c>
      <c r="G128">
        <v>0</v>
      </c>
      <c r="H128" t="s">
        <v>8</v>
      </c>
      <c r="I128" s="74" t="str">
        <f ca="1">IF(Table7[[#This Row],[Type]]="KILL",IF(_xlfn.NUMBERVALUE(RIGHT(Table7[[#This Row],[Min]],LEN(Table7[[#This Row],[Min]])-FIND("-",Table7[[#This Row],[Min]])))&gt;INDIRECT(ADDRESS(11+MATCH(LEFT(Table7[[#This Row],[Min]],FIND("-",Table7[[#This Row],[Min]])-1),Table1[Content Sku],0),16,1,1,"Entities")),"review","ok"),"ok")</f>
        <v>ok</v>
      </c>
      <c r="J128" t="s">
        <v>2768</v>
      </c>
      <c r="K128">
        <v>1</v>
      </c>
      <c r="L128" s="74">
        <f ca="1">(INDIRECT(ADDRESS(2+(MATCH(Table34[[#This Row],[SPAWNER]],Table40[SPAWNER],0)),2,1,1,"DATA_SCENES_UNITY_2"))) * Table34[[#This Row],[QUANTITY]]</f>
        <v>1</v>
      </c>
      <c r="U128" t="s">
        <v>313</v>
      </c>
      <c r="V128">
        <v>0</v>
      </c>
      <c r="W128">
        <v>0</v>
      </c>
      <c r="X128" t="s">
        <v>8</v>
      </c>
      <c r="Y128" s="74" t="str">
        <f ca="1">IF(Table15[[#This Row],[Type]]="KILL",IF(_xlfn.NUMBERVALUE(RIGHT(Table15[[#This Row],[Min]],LEN(Table15[[#This Row],[Min]])-FIND("-",Table15[[#This Row],[Min]])))&gt;INDIRECT(ADDRESS(11+MATCH(LEFT(Table15[[#This Row],[Min]],FIND("-",Table15[[#This Row],[Min]])-1),Table1[Content Sku],0),16,1,1,"Entities")),"review","ok"),"ok")</f>
        <v>ok</v>
      </c>
      <c r="Z128" t="s">
        <v>548</v>
      </c>
      <c r="AA128">
        <v>9</v>
      </c>
      <c r="AB128" s="74">
        <f ca="1">(INDIRECT(ADDRESS(2+(MATCH(Table33[[#This Row],[SPAWNER]],Table40[SPAWNER],0)),2,1,1,"DATA_SCENES_UNITY_2")))</f>
        <v>2</v>
      </c>
      <c r="AK128" t="s">
        <v>37</v>
      </c>
      <c r="AL128">
        <v>0</v>
      </c>
      <c r="AM128">
        <v>0</v>
      </c>
      <c r="AN128" t="s">
        <v>8</v>
      </c>
      <c r="AO128" s="74" t="str">
        <f ca="1">IF(Table20[[#This Row],[Type]]="KILL",IF(_xlfn.NUMBERVALUE(RIGHT(Table20[[#This Row],[Min]],LEN(Table20[[#This Row],[Min]])-FIND("-",Table20[[#This Row],[Min]])))&gt;INDIRECT(ADDRESS(11+MATCH(LEFT(Table20[[#This Row],[Min]],FIND("-",Table20[[#This Row],[Min]])-1),Table1[Content Sku],0),18,1,1,"Entities")),"review","ok"),"ok")</f>
        <v>ok</v>
      </c>
    </row>
    <row r="129" spans="5:41" x14ac:dyDescent="0.25">
      <c r="E129" t="s">
        <v>95</v>
      </c>
      <c r="F129">
        <v>0</v>
      </c>
      <c r="G129">
        <v>0</v>
      </c>
      <c r="H129" t="s">
        <v>8</v>
      </c>
      <c r="I129" s="74" t="str">
        <f ca="1">IF(Table7[[#This Row],[Type]]="KILL",IF(_xlfn.NUMBERVALUE(RIGHT(Table7[[#This Row],[Min]],LEN(Table7[[#This Row],[Min]])-FIND("-",Table7[[#This Row],[Min]])))&gt;INDIRECT(ADDRESS(11+MATCH(LEFT(Table7[[#This Row],[Min]],FIND("-",Table7[[#This Row],[Min]])-1),Table1[Content Sku],0),16,1,1,"Entities")),"review","ok"),"ok")</f>
        <v>ok</v>
      </c>
      <c r="J129" t="s">
        <v>2768</v>
      </c>
      <c r="K129">
        <v>1</v>
      </c>
      <c r="L129" s="74">
        <f ca="1">(INDIRECT(ADDRESS(2+(MATCH(Table34[[#This Row],[SPAWNER]],Table40[SPAWNER],0)),2,1,1,"DATA_SCENES_UNITY_2"))) * Table34[[#This Row],[QUANTITY]]</f>
        <v>1</v>
      </c>
      <c r="U129" t="s">
        <v>391</v>
      </c>
      <c r="V129">
        <v>0</v>
      </c>
      <c r="W129">
        <v>0</v>
      </c>
      <c r="X129" t="s">
        <v>8</v>
      </c>
      <c r="Y129" s="74" t="str">
        <f ca="1">IF(Table15[[#This Row],[Type]]="KILL",IF(_xlfn.NUMBERVALUE(RIGHT(Table15[[#This Row],[Min]],LEN(Table15[[#This Row],[Min]])-FIND("-",Table15[[#This Row],[Min]])))&gt;INDIRECT(ADDRESS(11+MATCH(LEFT(Table15[[#This Row],[Min]],FIND("-",Table15[[#This Row],[Min]])-1),Table1[Content Sku],0),16,1,1,"Entities")),"review","ok"),"ok")</f>
        <v>ok</v>
      </c>
      <c r="Z129" t="s">
        <v>122</v>
      </c>
      <c r="AA129">
        <v>1</v>
      </c>
      <c r="AB129" s="74">
        <f ca="1">(INDIRECT(ADDRESS(2+(MATCH(Table33[[#This Row],[SPAWNER]],Table40[SPAWNER],0)),2,1,1,"DATA_SCENES_UNITY_2")))</f>
        <v>3</v>
      </c>
      <c r="AK129" t="s">
        <v>482</v>
      </c>
      <c r="AL129">
        <v>0</v>
      </c>
      <c r="AM129">
        <v>0</v>
      </c>
      <c r="AN129" t="s">
        <v>8</v>
      </c>
      <c r="AO129" s="74" t="str">
        <f ca="1">IF(Table20[[#This Row],[Type]]="KILL",IF(_xlfn.NUMBERVALUE(RIGHT(Table20[[#This Row],[Min]],LEN(Table20[[#This Row],[Min]])-FIND("-",Table20[[#This Row],[Min]])))&gt;INDIRECT(ADDRESS(11+MATCH(LEFT(Table20[[#This Row],[Min]],FIND("-",Table20[[#This Row],[Min]])-1),Table1[Content Sku],0),18,1,1,"Entities")),"review","ok"),"ok")</f>
        <v>ok</v>
      </c>
    </row>
    <row r="130" spans="5:41" x14ac:dyDescent="0.25">
      <c r="E130" t="s">
        <v>313</v>
      </c>
      <c r="F130">
        <v>0</v>
      </c>
      <c r="G130">
        <v>0</v>
      </c>
      <c r="H130" t="s">
        <v>8</v>
      </c>
      <c r="I130" s="74" t="str">
        <f ca="1">IF(Table7[[#This Row],[Type]]="KILL",IF(_xlfn.NUMBERVALUE(RIGHT(Table7[[#This Row],[Min]],LEN(Table7[[#This Row],[Min]])-FIND("-",Table7[[#This Row],[Min]])))&gt;INDIRECT(ADDRESS(11+MATCH(LEFT(Table7[[#This Row],[Min]],FIND("-",Table7[[#This Row],[Min]])-1),Table1[Content Sku],0),16,1,1,"Entities")),"review","ok"),"ok")</f>
        <v>ok</v>
      </c>
      <c r="J130" t="s">
        <v>122</v>
      </c>
      <c r="K130">
        <v>1</v>
      </c>
      <c r="L130" s="74">
        <f ca="1">(INDIRECT(ADDRESS(2+(MATCH(Table34[[#This Row],[SPAWNER]],Table40[SPAWNER],0)),2,1,1,"DATA_SCENES_UNITY_2"))) * Table34[[#This Row],[QUANTITY]]</f>
        <v>3</v>
      </c>
      <c r="U130" t="s">
        <v>313</v>
      </c>
      <c r="V130">
        <v>0</v>
      </c>
      <c r="W130">
        <v>0</v>
      </c>
      <c r="X130" t="s">
        <v>8</v>
      </c>
      <c r="Y130" s="74" t="str">
        <f ca="1">IF(Table15[[#This Row],[Type]]="KILL",IF(_xlfn.NUMBERVALUE(RIGHT(Table15[[#This Row],[Min]],LEN(Table15[[#This Row],[Min]])-FIND("-",Table15[[#This Row],[Min]])))&gt;INDIRECT(ADDRESS(11+MATCH(LEFT(Table15[[#This Row],[Min]],FIND("-",Table15[[#This Row],[Min]])-1),Table1[Content Sku],0),16,1,1,"Entities")),"review","ok"),"ok")</f>
        <v>ok</v>
      </c>
      <c r="Z130" t="s">
        <v>122</v>
      </c>
      <c r="AA130">
        <v>1</v>
      </c>
      <c r="AB130" s="74">
        <f ca="1">(INDIRECT(ADDRESS(2+(MATCH(Table33[[#This Row],[SPAWNER]],Table40[SPAWNER],0)),2,1,1,"DATA_SCENES_UNITY_2")))</f>
        <v>3</v>
      </c>
      <c r="AK130" t="s">
        <v>2668</v>
      </c>
      <c r="AL130">
        <v>0</v>
      </c>
      <c r="AM130">
        <v>0</v>
      </c>
      <c r="AN130" t="s">
        <v>8</v>
      </c>
      <c r="AO130" s="74" t="str">
        <f ca="1">IF(Table20[[#This Row],[Type]]="KILL",IF(_xlfn.NUMBERVALUE(RIGHT(Table20[[#This Row],[Min]],LEN(Table20[[#This Row],[Min]])-FIND("-",Table20[[#This Row],[Min]])))&gt;INDIRECT(ADDRESS(11+MATCH(LEFT(Table20[[#This Row],[Min]],FIND("-",Table20[[#This Row],[Min]])-1),Table1[Content Sku],0),18,1,1,"Entities")),"review","ok"),"ok")</f>
        <v>ok</v>
      </c>
    </row>
    <row r="131" spans="5:41" x14ac:dyDescent="0.25">
      <c r="E131" t="s">
        <v>254</v>
      </c>
      <c r="F131">
        <v>0</v>
      </c>
      <c r="G131">
        <v>17000</v>
      </c>
      <c r="H131" t="s">
        <v>205</v>
      </c>
      <c r="I131" s="74" t="str">
        <f ca="1">IF(Table7[[#This Row],[Type]]="KILL",IF(_xlfn.NUMBERVALUE(RIGHT(Table7[[#This Row],[Min]],LEN(Table7[[#This Row],[Min]])-FIND("-",Table7[[#This Row],[Min]])))&gt;INDIRECT(ADDRESS(11+MATCH(LEFT(Table7[[#This Row],[Min]],FIND("-",Table7[[#This Row],[Min]])-1),Table1[Content Sku],0),16,1,1,"Entities")),"review","ok"),"ok")</f>
        <v>ok</v>
      </c>
      <c r="J131" t="s">
        <v>548</v>
      </c>
      <c r="K131">
        <v>1</v>
      </c>
      <c r="L131" s="74">
        <f ca="1">(INDIRECT(ADDRESS(2+(MATCH(Table34[[#This Row],[SPAWNER]],Table40[SPAWNER],0)),2,1,1,"DATA_SCENES_UNITY_2"))) * Table34[[#This Row],[QUANTITY]]</f>
        <v>2</v>
      </c>
      <c r="U131" t="s">
        <v>392</v>
      </c>
      <c r="V131">
        <v>0</v>
      </c>
      <c r="W131">
        <v>17000</v>
      </c>
      <c r="X131" t="s">
        <v>205</v>
      </c>
      <c r="Y131" s="74" t="str">
        <f ca="1">IF(Table15[[#This Row],[Type]]="KILL",IF(_xlfn.NUMBERVALUE(RIGHT(Table15[[#This Row],[Min]],LEN(Table15[[#This Row],[Min]])-FIND("-",Table15[[#This Row],[Min]])))&gt;INDIRECT(ADDRESS(11+MATCH(LEFT(Table15[[#This Row],[Min]],FIND("-",Table15[[#This Row],[Min]])-1),Table1[Content Sku],0),16,1,1,"Entities")),"review","ok"),"ok")</f>
        <v>ok</v>
      </c>
      <c r="Z131" t="s">
        <v>548</v>
      </c>
      <c r="AA131">
        <v>3</v>
      </c>
      <c r="AB131" s="74">
        <f ca="1">(INDIRECT(ADDRESS(2+(MATCH(Table33[[#This Row],[SPAWNER]],Table40[SPAWNER],0)),2,1,1,"DATA_SCENES_UNITY_2")))</f>
        <v>2</v>
      </c>
      <c r="AK131" t="s">
        <v>482</v>
      </c>
      <c r="AL131">
        <v>0</v>
      </c>
      <c r="AM131">
        <v>0</v>
      </c>
      <c r="AN131" t="s">
        <v>8</v>
      </c>
      <c r="AO131" s="74" t="str">
        <f ca="1">IF(Table20[[#This Row],[Type]]="KILL",IF(_xlfn.NUMBERVALUE(RIGHT(Table20[[#This Row],[Min]],LEN(Table20[[#This Row],[Min]])-FIND("-",Table20[[#This Row],[Min]])))&gt;INDIRECT(ADDRESS(11+MATCH(LEFT(Table20[[#This Row],[Min]],FIND("-",Table20[[#This Row],[Min]])-1),Table1[Content Sku],0),18,1,1,"Entities")),"review","ok"),"ok")</f>
        <v>ok</v>
      </c>
    </row>
    <row r="132" spans="5:41" x14ac:dyDescent="0.25">
      <c r="E132" t="s">
        <v>253</v>
      </c>
      <c r="F132">
        <v>0</v>
      </c>
      <c r="G132">
        <v>0</v>
      </c>
      <c r="H132" t="s">
        <v>8</v>
      </c>
      <c r="I132" s="74" t="str">
        <f ca="1">IF(Table7[[#This Row],[Type]]="KILL",IF(_xlfn.NUMBERVALUE(RIGHT(Table7[[#This Row],[Min]],LEN(Table7[[#This Row],[Min]])-FIND("-",Table7[[#This Row],[Min]])))&gt;INDIRECT(ADDRESS(11+MATCH(LEFT(Table7[[#This Row],[Min]],FIND("-",Table7[[#This Row],[Min]])-1),Table1[Content Sku],0),16,1,1,"Entities")),"review","ok"),"ok")</f>
        <v>ok</v>
      </c>
      <c r="J132" t="s">
        <v>2768</v>
      </c>
      <c r="K132">
        <v>1</v>
      </c>
      <c r="L132" s="74">
        <f ca="1">(INDIRECT(ADDRESS(2+(MATCH(Table34[[#This Row],[SPAWNER]],Table40[SPAWNER],0)),2,1,1,"DATA_SCENES_UNITY_2"))) * Table34[[#This Row],[QUANTITY]]</f>
        <v>1</v>
      </c>
      <c r="U132" t="s">
        <v>1</v>
      </c>
      <c r="V132">
        <v>15000</v>
      </c>
      <c r="W132">
        <v>0</v>
      </c>
      <c r="X132" t="s">
        <v>205</v>
      </c>
      <c r="Y132" s="74" t="str">
        <f ca="1">IF(Table15[[#This Row],[Type]]="KILL",IF(_xlfn.NUMBERVALUE(RIGHT(Table15[[#This Row],[Min]],LEN(Table15[[#This Row],[Min]])-FIND("-",Table15[[#This Row],[Min]])))&gt;INDIRECT(ADDRESS(11+MATCH(LEFT(Table15[[#This Row],[Min]],FIND("-",Table15[[#This Row],[Min]])-1),Table1[Content Sku],0),16,1,1,"Entities")),"review","ok"),"ok")</f>
        <v>ok</v>
      </c>
      <c r="Z132" t="s">
        <v>548</v>
      </c>
      <c r="AA132">
        <v>3</v>
      </c>
      <c r="AB132" s="74">
        <f ca="1">(INDIRECT(ADDRESS(2+(MATCH(Table33[[#This Row],[SPAWNER]],Table40[SPAWNER],0)),2,1,1,"DATA_SCENES_UNITY_2")))</f>
        <v>2</v>
      </c>
      <c r="AK132" t="s">
        <v>2667</v>
      </c>
      <c r="AL132">
        <v>0</v>
      </c>
      <c r="AM132">
        <v>0</v>
      </c>
      <c r="AN132" t="s">
        <v>8</v>
      </c>
      <c r="AO132" s="74" t="str">
        <f ca="1">IF(Table20[[#This Row],[Type]]="KILL",IF(_xlfn.NUMBERVALUE(RIGHT(Table20[[#This Row],[Min]],LEN(Table20[[#This Row],[Min]])-FIND("-",Table20[[#This Row],[Min]])))&gt;INDIRECT(ADDRESS(11+MATCH(LEFT(Table20[[#This Row],[Min]],FIND("-",Table20[[#This Row],[Min]])-1),Table1[Content Sku],0),18,1,1,"Entities")),"review","ok"),"ok")</f>
        <v>ok</v>
      </c>
    </row>
    <row r="133" spans="5:41" x14ac:dyDescent="0.25">
      <c r="E133" t="s">
        <v>36</v>
      </c>
      <c r="F133">
        <v>24000</v>
      </c>
      <c r="G133">
        <v>0</v>
      </c>
      <c r="H133" t="s">
        <v>205</v>
      </c>
      <c r="I133" s="74" t="str">
        <f ca="1">IF(Table7[[#This Row],[Type]]="KILL",IF(_xlfn.NUMBERVALUE(RIGHT(Table7[[#This Row],[Min]],LEN(Table7[[#This Row],[Min]])-FIND("-",Table7[[#This Row],[Min]])))&gt;INDIRECT(ADDRESS(11+MATCH(LEFT(Table7[[#This Row],[Min]],FIND("-",Table7[[#This Row],[Min]])-1),Table1[Content Sku],0),16,1,1,"Entities")),"review","ok"),"ok")</f>
        <v>ok</v>
      </c>
      <c r="J133" t="s">
        <v>2768</v>
      </c>
      <c r="K133">
        <v>1</v>
      </c>
      <c r="L133" s="74">
        <f ca="1">(INDIRECT(ADDRESS(2+(MATCH(Table34[[#This Row],[SPAWNER]],Table40[SPAWNER],0)),2,1,1,"DATA_SCENES_UNITY_2"))) * Table34[[#This Row],[QUANTITY]]</f>
        <v>1</v>
      </c>
      <c r="U133" t="s">
        <v>1</v>
      </c>
      <c r="V133">
        <v>0</v>
      </c>
      <c r="W133">
        <v>0</v>
      </c>
      <c r="X133" t="s">
        <v>8</v>
      </c>
      <c r="Y133" s="74" t="str">
        <f ca="1">IF(Table15[[#This Row],[Type]]="KILL",IF(_xlfn.NUMBERVALUE(RIGHT(Table15[[#This Row],[Min]],LEN(Table15[[#This Row],[Min]])-FIND("-",Table15[[#This Row],[Min]])))&gt;INDIRECT(ADDRESS(11+MATCH(LEFT(Table15[[#This Row],[Min]],FIND("-",Table15[[#This Row],[Min]])-1),Table1[Content Sku],0),16,1,1,"Entities")),"review","ok"),"ok")</f>
        <v>ok</v>
      </c>
      <c r="Z133" t="s">
        <v>548</v>
      </c>
      <c r="AA133">
        <v>1</v>
      </c>
      <c r="AB133" s="74">
        <f ca="1">(INDIRECT(ADDRESS(2+(MATCH(Table33[[#This Row],[SPAWNER]],Table40[SPAWNER],0)),2,1,1,"DATA_SCENES_UNITY_2")))</f>
        <v>2</v>
      </c>
      <c r="AK133" t="s">
        <v>548</v>
      </c>
      <c r="AL133">
        <v>0</v>
      </c>
      <c r="AM133">
        <v>0</v>
      </c>
      <c r="AN133" t="s">
        <v>8</v>
      </c>
      <c r="AO133" s="74" t="str">
        <f ca="1">IF(Table20[[#This Row],[Type]]="KILL",IF(_xlfn.NUMBERVALUE(RIGHT(Table20[[#This Row],[Min]],LEN(Table20[[#This Row],[Min]])-FIND("-",Table20[[#This Row],[Min]])))&gt;INDIRECT(ADDRESS(11+MATCH(LEFT(Table20[[#This Row],[Min]],FIND("-",Table20[[#This Row],[Min]])-1),Table1[Content Sku],0),18,1,1,"Entities")),"review","ok"),"ok")</f>
        <v>ok</v>
      </c>
    </row>
    <row r="134" spans="5:41" x14ac:dyDescent="0.25">
      <c r="E134" t="s">
        <v>283</v>
      </c>
      <c r="F134">
        <v>0</v>
      </c>
      <c r="G134">
        <v>0</v>
      </c>
      <c r="H134" t="s">
        <v>8</v>
      </c>
      <c r="I134" s="74" t="str">
        <f ca="1">IF(Table7[[#This Row],[Type]]="KILL",IF(_xlfn.NUMBERVALUE(RIGHT(Table7[[#This Row],[Min]],LEN(Table7[[#This Row],[Min]])-FIND("-",Table7[[#This Row],[Min]])))&gt;INDIRECT(ADDRESS(11+MATCH(LEFT(Table7[[#This Row],[Min]],FIND("-",Table7[[#This Row],[Min]])-1),Table1[Content Sku],0),16,1,1,"Entities")),"review","ok"),"ok")</f>
        <v>ok</v>
      </c>
      <c r="J134" t="s">
        <v>2768</v>
      </c>
      <c r="K134">
        <v>1</v>
      </c>
      <c r="L134" s="74">
        <f ca="1">(INDIRECT(ADDRESS(2+(MATCH(Table34[[#This Row],[SPAWNER]],Table40[SPAWNER],0)),2,1,1,"DATA_SCENES_UNITY_2"))) * Table34[[#This Row],[QUANTITY]]</f>
        <v>1</v>
      </c>
      <c r="U134" t="s">
        <v>315</v>
      </c>
      <c r="V134">
        <v>0</v>
      </c>
      <c r="W134">
        <v>0</v>
      </c>
      <c r="X134" t="s">
        <v>8</v>
      </c>
      <c r="Y134" s="74" t="str">
        <f ca="1">IF(Table15[[#This Row],[Type]]="KILL",IF(_xlfn.NUMBERVALUE(RIGHT(Table15[[#This Row],[Min]],LEN(Table15[[#This Row],[Min]])-FIND("-",Table15[[#This Row],[Min]])))&gt;INDIRECT(ADDRESS(11+MATCH(LEFT(Table15[[#This Row],[Min]],FIND("-",Table15[[#This Row],[Min]])-1),Table1[Content Sku],0),16,1,1,"Entities")),"review","ok"),"ok")</f>
        <v>ok</v>
      </c>
      <c r="Z134" t="s">
        <v>548</v>
      </c>
      <c r="AA134">
        <v>3</v>
      </c>
      <c r="AB134" s="74">
        <f ca="1">(INDIRECT(ADDRESS(2+(MATCH(Table33[[#This Row],[SPAWNER]],Table40[SPAWNER],0)),2,1,1,"DATA_SCENES_UNITY_2")))</f>
        <v>2</v>
      </c>
      <c r="AK134" t="s">
        <v>2662</v>
      </c>
      <c r="AL134">
        <v>0</v>
      </c>
      <c r="AM134">
        <v>0</v>
      </c>
      <c r="AN134" t="s">
        <v>8</v>
      </c>
      <c r="AO134" s="74" t="str">
        <f ca="1">IF(Table20[[#This Row],[Type]]="KILL",IF(_xlfn.NUMBERVALUE(RIGHT(Table20[[#This Row],[Min]],LEN(Table20[[#This Row],[Min]])-FIND("-",Table20[[#This Row],[Min]])))&gt;INDIRECT(ADDRESS(11+MATCH(LEFT(Table20[[#This Row],[Min]],FIND("-",Table20[[#This Row],[Min]])-1),Table1[Content Sku],0),18,1,1,"Entities")),"review","ok"),"ok")</f>
        <v>ok</v>
      </c>
    </row>
    <row r="135" spans="5:41" x14ac:dyDescent="0.25">
      <c r="E135" t="s">
        <v>39</v>
      </c>
      <c r="F135">
        <v>0</v>
      </c>
      <c r="G135">
        <v>0</v>
      </c>
      <c r="H135" t="s">
        <v>8</v>
      </c>
      <c r="I135" s="74" t="str">
        <f ca="1">IF(Table7[[#This Row],[Type]]="KILL",IF(_xlfn.NUMBERVALUE(RIGHT(Table7[[#This Row],[Min]],LEN(Table7[[#This Row],[Min]])-FIND("-",Table7[[#This Row],[Min]])))&gt;INDIRECT(ADDRESS(11+MATCH(LEFT(Table7[[#This Row],[Min]],FIND("-",Table7[[#This Row],[Min]])-1),Table1[Content Sku],0),16,1,1,"Entities")),"review","ok"),"ok")</f>
        <v>ok</v>
      </c>
      <c r="J135" t="s">
        <v>2768</v>
      </c>
      <c r="K135">
        <v>1</v>
      </c>
      <c r="L135" s="74">
        <f ca="1">(INDIRECT(ADDRESS(2+(MATCH(Table34[[#This Row],[SPAWNER]],Table40[SPAWNER],0)),2,1,1,"DATA_SCENES_UNITY_2"))) * Table34[[#This Row],[QUANTITY]]</f>
        <v>1</v>
      </c>
      <c r="U135" t="s">
        <v>254</v>
      </c>
      <c r="V135">
        <v>0</v>
      </c>
      <c r="W135">
        <v>0</v>
      </c>
      <c r="X135" t="s">
        <v>8</v>
      </c>
      <c r="Y135" s="74" t="str">
        <f ca="1">IF(Table15[[#This Row],[Type]]="KILL",IF(_xlfn.NUMBERVALUE(RIGHT(Table15[[#This Row],[Min]],LEN(Table15[[#This Row],[Min]])-FIND("-",Table15[[#This Row],[Min]])))&gt;INDIRECT(ADDRESS(11+MATCH(LEFT(Table15[[#This Row],[Min]],FIND("-",Table15[[#This Row],[Min]])-1),Table1[Content Sku],0),16,1,1,"Entities")),"review","ok"),"ok")</f>
        <v>ok</v>
      </c>
      <c r="Z135" t="s">
        <v>122</v>
      </c>
      <c r="AA135">
        <v>1</v>
      </c>
      <c r="AB135" s="74">
        <f ca="1">(INDIRECT(ADDRESS(2+(MATCH(Table33[[#This Row],[SPAWNER]],Table40[SPAWNER],0)),2,1,1,"DATA_SCENES_UNITY_2")))</f>
        <v>3</v>
      </c>
      <c r="AK135" t="s">
        <v>2741</v>
      </c>
      <c r="AL135">
        <v>0</v>
      </c>
      <c r="AM135">
        <v>0</v>
      </c>
      <c r="AN135" t="s">
        <v>8</v>
      </c>
      <c r="AO135" s="74" t="str">
        <f ca="1">IF(Table20[[#This Row],[Type]]="KILL",IF(_xlfn.NUMBERVALUE(RIGHT(Table20[[#This Row],[Min]],LEN(Table20[[#This Row],[Min]])-FIND("-",Table20[[#This Row],[Min]])))&gt;INDIRECT(ADDRESS(11+MATCH(LEFT(Table20[[#This Row],[Min]],FIND("-",Table20[[#This Row],[Min]])-1),Table1[Content Sku],0),18,1,1,"Entities")),"review","ok"),"ok")</f>
        <v>ok</v>
      </c>
    </row>
    <row r="136" spans="5:41" x14ac:dyDescent="0.25">
      <c r="E136" t="s">
        <v>289</v>
      </c>
      <c r="F136">
        <v>0</v>
      </c>
      <c r="G136">
        <v>20000</v>
      </c>
      <c r="H136" t="s">
        <v>205</v>
      </c>
      <c r="I136" s="74" t="str">
        <f ca="1">IF(Table7[[#This Row],[Type]]="KILL",IF(_xlfn.NUMBERVALUE(RIGHT(Table7[[#This Row],[Min]],LEN(Table7[[#This Row],[Min]])-FIND("-",Table7[[#This Row],[Min]])))&gt;INDIRECT(ADDRESS(11+MATCH(LEFT(Table7[[#This Row],[Min]],FIND("-",Table7[[#This Row],[Min]])-1),Table1[Content Sku],0),16,1,1,"Entities")),"review","ok"),"ok")</f>
        <v>ok</v>
      </c>
      <c r="J136" t="s">
        <v>2768</v>
      </c>
      <c r="K136">
        <v>1</v>
      </c>
      <c r="L136" s="74">
        <f ca="1">(INDIRECT(ADDRESS(2+(MATCH(Table34[[#This Row],[SPAWNER]],Table40[SPAWNER],0)),2,1,1,"DATA_SCENES_UNITY_2"))) * Table34[[#This Row],[QUANTITY]]</f>
        <v>1</v>
      </c>
      <c r="U136" t="s">
        <v>2736</v>
      </c>
      <c r="V136">
        <v>0</v>
      </c>
      <c r="W136">
        <v>0</v>
      </c>
      <c r="X136" t="s">
        <v>8</v>
      </c>
      <c r="Y136" s="74" t="str">
        <f ca="1">IF(Table15[[#This Row],[Type]]="KILL",IF(_xlfn.NUMBERVALUE(RIGHT(Table15[[#This Row],[Min]],LEN(Table15[[#This Row],[Min]])-FIND("-",Table15[[#This Row],[Min]])))&gt;INDIRECT(ADDRESS(11+MATCH(LEFT(Table15[[#This Row],[Min]],FIND("-",Table15[[#This Row],[Min]])-1),Table1[Content Sku],0),16,1,1,"Entities")),"review","ok"),"ok")</f>
        <v>ok</v>
      </c>
      <c r="Z136" t="s">
        <v>122</v>
      </c>
      <c r="AA136">
        <v>1</v>
      </c>
      <c r="AB136" s="74">
        <f ca="1">(INDIRECT(ADDRESS(2+(MATCH(Table33[[#This Row],[SPAWNER]],Table40[SPAWNER],0)),2,1,1,"DATA_SCENES_UNITY_2")))</f>
        <v>3</v>
      </c>
      <c r="AK136" t="s">
        <v>2662</v>
      </c>
      <c r="AL136">
        <v>0</v>
      </c>
      <c r="AM136">
        <v>0</v>
      </c>
      <c r="AN136" t="s">
        <v>8</v>
      </c>
      <c r="AO136" s="74" t="str">
        <f ca="1">IF(Table20[[#This Row],[Type]]="KILL",IF(_xlfn.NUMBERVALUE(RIGHT(Table20[[#This Row],[Min]],LEN(Table20[[#This Row],[Min]])-FIND("-",Table20[[#This Row],[Min]])))&gt;INDIRECT(ADDRESS(11+MATCH(LEFT(Table20[[#This Row],[Min]],FIND("-",Table20[[#This Row],[Min]])-1),Table1[Content Sku],0),18,1,1,"Entities")),"review","ok"),"ok")</f>
        <v>ok</v>
      </c>
    </row>
    <row r="137" spans="5:41" x14ac:dyDescent="0.25">
      <c r="E137" t="s">
        <v>548</v>
      </c>
      <c r="F137">
        <v>0</v>
      </c>
      <c r="G137">
        <v>0</v>
      </c>
      <c r="H137" t="s">
        <v>8</v>
      </c>
      <c r="I137" s="74" t="str">
        <f ca="1">IF(Table7[[#This Row],[Type]]="KILL",IF(_xlfn.NUMBERVALUE(RIGHT(Table7[[#This Row],[Min]],LEN(Table7[[#This Row],[Min]])-FIND("-",Table7[[#This Row],[Min]])))&gt;INDIRECT(ADDRESS(11+MATCH(LEFT(Table7[[#This Row],[Min]],FIND("-",Table7[[#This Row],[Min]])-1),Table1[Content Sku],0),16,1,1,"Entities")),"review","ok"),"ok")</f>
        <v>ok</v>
      </c>
      <c r="J137" t="s">
        <v>2768</v>
      </c>
      <c r="K137">
        <v>1</v>
      </c>
      <c r="L137" s="74">
        <f ca="1">(INDIRECT(ADDRESS(2+(MATCH(Table34[[#This Row],[SPAWNER]],Table40[SPAWNER],0)),2,1,1,"DATA_SCENES_UNITY_2"))) * Table34[[#This Row],[QUANTITY]]</f>
        <v>1</v>
      </c>
      <c r="U137" t="s">
        <v>315</v>
      </c>
      <c r="V137">
        <v>0</v>
      </c>
      <c r="W137">
        <v>0</v>
      </c>
      <c r="X137" t="s">
        <v>8</v>
      </c>
      <c r="Y137" s="74" t="str">
        <f ca="1">IF(Table15[[#This Row],[Type]]="KILL",IF(_xlfn.NUMBERVALUE(RIGHT(Table15[[#This Row],[Min]],LEN(Table15[[#This Row],[Min]])-FIND("-",Table15[[#This Row],[Min]])))&gt;INDIRECT(ADDRESS(11+MATCH(LEFT(Table15[[#This Row],[Min]],FIND("-",Table15[[#This Row],[Min]])-1),Table1[Content Sku],0),16,1,1,"Entities")),"review","ok"),"ok")</f>
        <v>ok</v>
      </c>
      <c r="Z137" t="s">
        <v>122</v>
      </c>
      <c r="AA137">
        <v>1</v>
      </c>
      <c r="AB137" s="74">
        <f ca="1">(INDIRECT(ADDRESS(2+(MATCH(Table33[[#This Row],[SPAWNER]],Table40[SPAWNER],0)),2,1,1,"DATA_SCENES_UNITY_2")))</f>
        <v>3</v>
      </c>
      <c r="AK137" t="s">
        <v>2767</v>
      </c>
      <c r="AL137">
        <v>0</v>
      </c>
      <c r="AM137">
        <v>0</v>
      </c>
      <c r="AN137" t="s">
        <v>8</v>
      </c>
      <c r="AO137" s="74" t="str">
        <f ca="1">IF(Table20[[#This Row],[Type]]="KILL",IF(_xlfn.NUMBERVALUE(RIGHT(Table20[[#This Row],[Min]],LEN(Table20[[#This Row],[Min]])-FIND("-",Table20[[#This Row],[Min]])))&gt;INDIRECT(ADDRESS(11+MATCH(LEFT(Table20[[#This Row],[Min]],FIND("-",Table20[[#This Row],[Min]])-1),Table1[Content Sku],0),18,1,1,"Entities")),"review","ok"),"ok")</f>
        <v>ok</v>
      </c>
    </row>
    <row r="138" spans="5:41" x14ac:dyDescent="0.25">
      <c r="E138" t="s">
        <v>396</v>
      </c>
      <c r="F138">
        <v>25000</v>
      </c>
      <c r="G138">
        <v>0</v>
      </c>
      <c r="H138" t="s">
        <v>205</v>
      </c>
      <c r="I138" s="74" t="str">
        <f ca="1">IF(Table7[[#This Row],[Type]]="KILL",IF(_xlfn.NUMBERVALUE(RIGHT(Table7[[#This Row],[Min]],LEN(Table7[[#This Row],[Min]])-FIND("-",Table7[[#This Row],[Min]])))&gt;INDIRECT(ADDRESS(11+MATCH(LEFT(Table7[[#This Row],[Min]],FIND("-",Table7[[#This Row],[Min]])-1),Table1[Content Sku],0),16,1,1,"Entities")),"review","ok"),"ok")</f>
        <v>ok</v>
      </c>
      <c r="J138" t="s">
        <v>548</v>
      </c>
      <c r="K138">
        <v>1</v>
      </c>
      <c r="L138" s="74">
        <f ca="1">(INDIRECT(ADDRESS(2+(MATCH(Table34[[#This Row],[SPAWNER]],Table40[SPAWNER],0)),2,1,1,"DATA_SCENES_UNITY_2"))) * Table34[[#This Row],[QUANTITY]]</f>
        <v>2</v>
      </c>
      <c r="U138" t="s">
        <v>253</v>
      </c>
      <c r="V138">
        <v>0</v>
      </c>
      <c r="W138">
        <v>0</v>
      </c>
      <c r="X138" t="s">
        <v>8</v>
      </c>
      <c r="Y138" s="74" t="str">
        <f ca="1">IF(Table15[[#This Row],[Type]]="KILL",IF(_xlfn.NUMBERVALUE(RIGHT(Table15[[#This Row],[Min]],LEN(Table15[[#This Row],[Min]])-FIND("-",Table15[[#This Row],[Min]])))&gt;INDIRECT(ADDRESS(11+MATCH(LEFT(Table15[[#This Row],[Min]],FIND("-",Table15[[#This Row],[Min]])-1),Table1[Content Sku],0),16,1,1,"Entities")),"review","ok"),"ok")</f>
        <v>ok</v>
      </c>
      <c r="Z138" t="s">
        <v>122</v>
      </c>
      <c r="AA138">
        <v>1</v>
      </c>
      <c r="AB138" s="74">
        <f ca="1">(INDIRECT(ADDRESS(2+(MATCH(Table33[[#This Row],[SPAWNER]],Table40[SPAWNER],0)),2,1,1,"DATA_SCENES_UNITY_2")))</f>
        <v>3</v>
      </c>
      <c r="AK138" t="s">
        <v>2680</v>
      </c>
      <c r="AL138">
        <v>0</v>
      </c>
      <c r="AM138">
        <v>0</v>
      </c>
      <c r="AN138" t="s">
        <v>8</v>
      </c>
      <c r="AO138" s="74" t="str">
        <f ca="1">IF(Table20[[#This Row],[Type]]="KILL",IF(_xlfn.NUMBERVALUE(RIGHT(Table20[[#This Row],[Min]],LEN(Table20[[#This Row],[Min]])-FIND("-",Table20[[#This Row],[Min]])))&gt;INDIRECT(ADDRESS(11+MATCH(LEFT(Table20[[#This Row],[Min]],FIND("-",Table20[[#This Row],[Min]])-1),Table1[Content Sku],0),18,1,1,"Entities")),"review","ok"),"ok")</f>
        <v>ok</v>
      </c>
    </row>
    <row r="139" spans="5:41" x14ac:dyDescent="0.25">
      <c r="E139" t="s">
        <v>403</v>
      </c>
      <c r="F139">
        <v>0</v>
      </c>
      <c r="G139">
        <v>0</v>
      </c>
      <c r="H139" t="s">
        <v>8</v>
      </c>
      <c r="I139" s="74" t="str">
        <f ca="1">IF(Table7[[#This Row],[Type]]="KILL",IF(_xlfn.NUMBERVALUE(RIGHT(Table7[[#This Row],[Min]],LEN(Table7[[#This Row],[Min]])-FIND("-",Table7[[#This Row],[Min]])))&gt;INDIRECT(ADDRESS(11+MATCH(LEFT(Table7[[#This Row],[Min]],FIND("-",Table7[[#This Row],[Min]])-1),Table1[Content Sku],0),16,1,1,"Entities")),"review","ok"),"ok")</f>
        <v>ok</v>
      </c>
      <c r="J139" t="s">
        <v>122</v>
      </c>
      <c r="K139">
        <v>1</v>
      </c>
      <c r="L139" s="74">
        <f ca="1">(INDIRECT(ADDRESS(2+(MATCH(Table34[[#This Row],[SPAWNER]],Table40[SPAWNER],0)),2,1,1,"DATA_SCENES_UNITY_2"))) * Table34[[#This Row],[QUANTITY]]</f>
        <v>3</v>
      </c>
      <c r="U139" t="s">
        <v>313</v>
      </c>
      <c r="V139">
        <v>33000</v>
      </c>
      <c r="W139">
        <v>0</v>
      </c>
      <c r="X139" t="s">
        <v>205</v>
      </c>
      <c r="Y139" s="74" t="str">
        <f ca="1">IF(Table15[[#This Row],[Type]]="KILL",IF(_xlfn.NUMBERVALUE(RIGHT(Table15[[#This Row],[Min]],LEN(Table15[[#This Row],[Min]])-FIND("-",Table15[[#This Row],[Min]])))&gt;INDIRECT(ADDRESS(11+MATCH(LEFT(Table15[[#This Row],[Min]],FIND("-",Table15[[#This Row],[Min]])-1),Table1[Content Sku],0),16,1,1,"Entities")),"review","ok"),"ok")</f>
        <v>ok</v>
      </c>
      <c r="Z139" t="s">
        <v>122</v>
      </c>
      <c r="AA139">
        <v>1</v>
      </c>
      <c r="AB139" s="74">
        <f ca="1">(INDIRECT(ADDRESS(2+(MATCH(Table33[[#This Row],[SPAWNER]],Table40[SPAWNER],0)),2,1,1,"DATA_SCENES_UNITY_2")))</f>
        <v>3</v>
      </c>
      <c r="AK139" t="s">
        <v>2672</v>
      </c>
      <c r="AL139">
        <v>100000</v>
      </c>
      <c r="AM139">
        <v>0</v>
      </c>
      <c r="AN139" t="s">
        <v>205</v>
      </c>
      <c r="AO139" s="74" t="str">
        <f ca="1">IF(Table20[[#This Row],[Type]]="KILL",IF(_xlfn.NUMBERVALUE(RIGHT(Table20[[#This Row],[Min]],LEN(Table20[[#This Row],[Min]])-FIND("-",Table20[[#This Row],[Min]])))&gt;INDIRECT(ADDRESS(11+MATCH(LEFT(Table20[[#This Row],[Min]],FIND("-",Table20[[#This Row],[Min]])-1),Table1[Content Sku],0),18,1,1,"Entities")),"review","ok"),"ok")</f>
        <v>ok</v>
      </c>
    </row>
    <row r="140" spans="5:41" x14ac:dyDescent="0.25">
      <c r="E140" t="s">
        <v>289</v>
      </c>
      <c r="F140">
        <v>0</v>
      </c>
      <c r="G140">
        <v>21000</v>
      </c>
      <c r="H140" t="s">
        <v>205</v>
      </c>
      <c r="I140" s="74" t="str">
        <f ca="1">IF(Table7[[#This Row],[Type]]="KILL",IF(_xlfn.NUMBERVALUE(RIGHT(Table7[[#This Row],[Min]],LEN(Table7[[#This Row],[Min]])-FIND("-",Table7[[#This Row],[Min]])))&gt;INDIRECT(ADDRESS(11+MATCH(LEFT(Table7[[#This Row],[Min]],FIND("-",Table7[[#This Row],[Min]])-1),Table1[Content Sku],0),16,1,1,"Entities")),"review","ok"),"ok")</f>
        <v>ok</v>
      </c>
      <c r="J140" t="s">
        <v>548</v>
      </c>
      <c r="K140">
        <v>4</v>
      </c>
      <c r="L140" s="74">
        <f ca="1">(INDIRECT(ADDRESS(2+(MATCH(Table34[[#This Row],[SPAWNER]],Table40[SPAWNER],0)),2,1,1,"DATA_SCENES_UNITY_2"))) * Table34[[#This Row],[QUANTITY]]</f>
        <v>8</v>
      </c>
      <c r="U140" t="s">
        <v>313</v>
      </c>
      <c r="V140">
        <v>36000</v>
      </c>
      <c r="W140">
        <v>0</v>
      </c>
      <c r="X140" t="s">
        <v>205</v>
      </c>
      <c r="Y140" s="74" t="str">
        <f ca="1">IF(Table15[[#This Row],[Type]]="KILL",IF(_xlfn.NUMBERVALUE(RIGHT(Table15[[#This Row],[Min]],LEN(Table15[[#This Row],[Min]])-FIND("-",Table15[[#This Row],[Min]])))&gt;INDIRECT(ADDRESS(11+MATCH(LEFT(Table15[[#This Row],[Min]],FIND("-",Table15[[#This Row],[Min]])-1),Table1[Content Sku],0),16,1,1,"Entities")),"review","ok"),"ok")</f>
        <v>ok</v>
      </c>
      <c r="Z140" t="s">
        <v>548</v>
      </c>
      <c r="AA140">
        <v>4</v>
      </c>
      <c r="AB140" s="74">
        <f ca="1">(INDIRECT(ADDRESS(2+(MATCH(Table33[[#This Row],[SPAWNER]],Table40[SPAWNER],0)),2,1,1,"DATA_SCENES_UNITY_2")))</f>
        <v>2</v>
      </c>
      <c r="AK140" t="s">
        <v>95</v>
      </c>
      <c r="AL140">
        <v>39000</v>
      </c>
      <c r="AM140">
        <v>49000</v>
      </c>
      <c r="AN140" t="s">
        <v>205</v>
      </c>
      <c r="AO140" s="74" t="str">
        <f ca="1">IF(Table20[[#This Row],[Type]]="KILL",IF(_xlfn.NUMBERVALUE(RIGHT(Table20[[#This Row],[Min]],LEN(Table20[[#This Row],[Min]])-FIND("-",Table20[[#This Row],[Min]])))&gt;INDIRECT(ADDRESS(11+MATCH(LEFT(Table20[[#This Row],[Min]],FIND("-",Table20[[#This Row],[Min]])-1),Table1[Content Sku],0),18,1,1,"Entities")),"review","ok"),"ok")</f>
        <v>ok</v>
      </c>
    </row>
    <row r="141" spans="5:41" x14ac:dyDescent="0.25">
      <c r="E141" t="s">
        <v>286</v>
      </c>
      <c r="F141">
        <v>0</v>
      </c>
      <c r="G141">
        <v>27000</v>
      </c>
      <c r="H141" t="s">
        <v>205</v>
      </c>
      <c r="I141" s="74" t="str">
        <f ca="1">IF(Table7[[#This Row],[Type]]="KILL",IF(_xlfn.NUMBERVALUE(RIGHT(Table7[[#This Row],[Min]],LEN(Table7[[#This Row],[Min]])-FIND("-",Table7[[#This Row],[Min]])))&gt;INDIRECT(ADDRESS(11+MATCH(LEFT(Table7[[#This Row],[Min]],FIND("-",Table7[[#This Row],[Min]])-1),Table1[Content Sku],0),16,1,1,"Entities")),"review","ok"),"ok")</f>
        <v>ok</v>
      </c>
      <c r="J141" t="s">
        <v>2768</v>
      </c>
      <c r="K141">
        <v>1</v>
      </c>
      <c r="L141" s="74">
        <f ca="1">(INDIRECT(ADDRESS(2+(MATCH(Table34[[#This Row],[SPAWNER]],Table40[SPAWNER],0)),2,1,1,"DATA_SCENES_UNITY_2"))) * Table34[[#This Row],[QUANTITY]]</f>
        <v>1</v>
      </c>
      <c r="U141" t="s">
        <v>313</v>
      </c>
      <c r="V141">
        <v>0</v>
      </c>
      <c r="W141">
        <v>0</v>
      </c>
      <c r="X141" t="s">
        <v>8</v>
      </c>
      <c r="Y141" s="74" t="str">
        <f ca="1">IF(Table15[[#This Row],[Type]]="KILL",IF(_xlfn.NUMBERVALUE(RIGHT(Table15[[#This Row],[Min]],LEN(Table15[[#This Row],[Min]])-FIND("-",Table15[[#This Row],[Min]])))&gt;INDIRECT(ADDRESS(11+MATCH(LEFT(Table15[[#This Row],[Min]],FIND("-",Table15[[#This Row],[Min]])-1),Table1[Content Sku],0),16,1,1,"Entities")),"review","ok"),"ok")</f>
        <v>ok</v>
      </c>
      <c r="Z141" t="s">
        <v>548</v>
      </c>
      <c r="AA141">
        <v>3</v>
      </c>
      <c r="AB141" s="74">
        <f ca="1">(INDIRECT(ADDRESS(2+(MATCH(Table33[[#This Row],[SPAWNER]],Table40[SPAWNER],0)),2,1,1,"DATA_SCENES_UNITY_2")))</f>
        <v>2</v>
      </c>
      <c r="AK141" t="s">
        <v>37</v>
      </c>
      <c r="AL141">
        <v>20000</v>
      </c>
      <c r="AM141">
        <v>0</v>
      </c>
      <c r="AN141" t="s">
        <v>205</v>
      </c>
      <c r="AO141" s="74" t="str">
        <f ca="1">IF(Table20[[#This Row],[Type]]="KILL",IF(_xlfn.NUMBERVALUE(RIGHT(Table20[[#This Row],[Min]],LEN(Table20[[#This Row],[Min]])-FIND("-",Table20[[#This Row],[Min]])))&gt;INDIRECT(ADDRESS(11+MATCH(LEFT(Table20[[#This Row],[Min]],FIND("-",Table20[[#This Row],[Min]])-1),Table1[Content Sku],0),18,1,1,"Entities")),"review","ok"),"ok")</f>
        <v>ok</v>
      </c>
    </row>
    <row r="142" spans="5:41" x14ac:dyDescent="0.25">
      <c r="E142" t="s">
        <v>396</v>
      </c>
      <c r="F142">
        <v>0</v>
      </c>
      <c r="G142">
        <v>0</v>
      </c>
      <c r="H142" t="s">
        <v>8</v>
      </c>
      <c r="I142" s="74" t="str">
        <f ca="1">IF(Table7[[#This Row],[Type]]="KILL",IF(_xlfn.NUMBERVALUE(RIGHT(Table7[[#This Row],[Min]],LEN(Table7[[#This Row],[Min]])-FIND("-",Table7[[#This Row],[Min]])))&gt;INDIRECT(ADDRESS(11+MATCH(LEFT(Table7[[#This Row],[Min]],FIND("-",Table7[[#This Row],[Min]])-1),Table1[Content Sku],0),16,1,1,"Entities")),"review","ok"),"ok")</f>
        <v>ok</v>
      </c>
      <c r="J142" t="s">
        <v>2768</v>
      </c>
      <c r="K142">
        <v>1</v>
      </c>
      <c r="L142" s="74">
        <f ca="1">(INDIRECT(ADDRESS(2+(MATCH(Table34[[#This Row],[SPAWNER]],Table40[SPAWNER],0)),2,1,1,"DATA_SCENES_UNITY_2"))) * Table34[[#This Row],[QUANTITY]]</f>
        <v>1</v>
      </c>
      <c r="U142" t="s">
        <v>313</v>
      </c>
      <c r="V142">
        <v>31000</v>
      </c>
      <c r="W142">
        <v>0</v>
      </c>
      <c r="X142" t="s">
        <v>205</v>
      </c>
      <c r="Y142" s="74" t="str">
        <f ca="1">IF(Table15[[#This Row],[Type]]="KILL",IF(_xlfn.NUMBERVALUE(RIGHT(Table15[[#This Row],[Min]],LEN(Table15[[#This Row],[Min]])-FIND("-",Table15[[#This Row],[Min]])))&gt;INDIRECT(ADDRESS(11+MATCH(LEFT(Table15[[#This Row],[Min]],FIND("-",Table15[[#This Row],[Min]])-1),Table1[Content Sku],0),16,1,1,"Entities")),"review","ok"),"ok")</f>
        <v>ok</v>
      </c>
      <c r="Z142" t="s">
        <v>122</v>
      </c>
      <c r="AA142">
        <v>1</v>
      </c>
      <c r="AB142" s="74">
        <f ca="1">(INDIRECT(ADDRESS(2+(MATCH(Table33[[#This Row],[SPAWNER]],Table40[SPAWNER],0)),2,1,1,"DATA_SCENES_UNITY_2")))</f>
        <v>3</v>
      </c>
      <c r="AK142" t="s">
        <v>95</v>
      </c>
      <c r="AL142">
        <v>0</v>
      </c>
      <c r="AM142">
        <v>0</v>
      </c>
      <c r="AN142" t="s">
        <v>8</v>
      </c>
      <c r="AO142" s="74" t="str">
        <f ca="1">IF(Table20[[#This Row],[Type]]="KILL",IF(_xlfn.NUMBERVALUE(RIGHT(Table20[[#This Row],[Min]],LEN(Table20[[#This Row],[Min]])-FIND("-",Table20[[#This Row],[Min]])))&gt;INDIRECT(ADDRESS(11+MATCH(LEFT(Table20[[#This Row],[Min]],FIND("-",Table20[[#This Row],[Min]])-1),Table1[Content Sku],0),18,1,1,"Entities")),"review","ok"),"ok")</f>
        <v>ok</v>
      </c>
    </row>
    <row r="143" spans="5:41" x14ac:dyDescent="0.25">
      <c r="E143" t="s">
        <v>313</v>
      </c>
      <c r="F143">
        <v>0</v>
      </c>
      <c r="G143">
        <v>13000</v>
      </c>
      <c r="H143" t="s">
        <v>205</v>
      </c>
      <c r="I143" s="74" t="str">
        <f ca="1">IF(Table7[[#This Row],[Type]]="KILL",IF(_xlfn.NUMBERVALUE(RIGHT(Table7[[#This Row],[Min]],LEN(Table7[[#This Row],[Min]])-FIND("-",Table7[[#This Row],[Min]])))&gt;INDIRECT(ADDRESS(11+MATCH(LEFT(Table7[[#This Row],[Min]],FIND("-",Table7[[#This Row],[Min]])-1),Table1[Content Sku],0),16,1,1,"Entities")),"review","ok"),"ok")</f>
        <v>ok</v>
      </c>
      <c r="U143" t="s">
        <v>392</v>
      </c>
      <c r="V143">
        <v>15000</v>
      </c>
      <c r="W143">
        <v>0</v>
      </c>
      <c r="X143" t="s">
        <v>205</v>
      </c>
      <c r="Y143" s="74" t="str">
        <f ca="1">IF(Table15[[#This Row],[Type]]="KILL",IF(_xlfn.NUMBERVALUE(RIGHT(Table15[[#This Row],[Min]],LEN(Table15[[#This Row],[Min]])-FIND("-",Table15[[#This Row],[Min]])))&gt;INDIRECT(ADDRESS(11+MATCH(LEFT(Table15[[#This Row],[Min]],FIND("-",Table15[[#This Row],[Min]])-1),Table1[Content Sku],0),16,1,1,"Entities")),"review","ok"),"ok")</f>
        <v>ok</v>
      </c>
      <c r="Z143" t="s">
        <v>548</v>
      </c>
      <c r="AA143">
        <v>4</v>
      </c>
      <c r="AB143" s="74">
        <f ca="1">(INDIRECT(ADDRESS(2+(MATCH(Table33[[#This Row],[SPAWNER]],Table40[SPAWNER],0)),2,1,1,"DATA_SCENES_UNITY_2")))</f>
        <v>2</v>
      </c>
      <c r="AK143" t="s">
        <v>40</v>
      </c>
      <c r="AL143">
        <v>0</v>
      </c>
      <c r="AM143">
        <v>30000</v>
      </c>
      <c r="AN143" t="s">
        <v>205</v>
      </c>
      <c r="AO143" s="74" t="str">
        <f ca="1">IF(Table20[[#This Row],[Type]]="KILL",IF(_xlfn.NUMBERVALUE(RIGHT(Table20[[#This Row],[Min]],LEN(Table20[[#This Row],[Min]])-FIND("-",Table20[[#This Row],[Min]])))&gt;INDIRECT(ADDRESS(11+MATCH(LEFT(Table20[[#This Row],[Min]],FIND("-",Table20[[#This Row],[Min]])-1),Table1[Content Sku],0),18,1,1,"Entities")),"review","ok"),"ok")</f>
        <v>ok</v>
      </c>
    </row>
    <row r="144" spans="5:41" x14ac:dyDescent="0.25">
      <c r="E144" t="s">
        <v>280</v>
      </c>
      <c r="F144">
        <v>0</v>
      </c>
      <c r="G144">
        <v>0</v>
      </c>
      <c r="H144" t="s">
        <v>8</v>
      </c>
      <c r="I144" s="74" t="str">
        <f ca="1">IF(Table7[[#This Row],[Type]]="KILL",IF(_xlfn.NUMBERVALUE(RIGHT(Table7[[#This Row],[Min]],LEN(Table7[[#This Row],[Min]])-FIND("-",Table7[[#This Row],[Min]])))&gt;INDIRECT(ADDRESS(11+MATCH(LEFT(Table7[[#This Row],[Min]],FIND("-",Table7[[#This Row],[Min]])-1),Table1[Content Sku],0),16,1,1,"Entities")),"review","ok"),"ok")</f>
        <v>ok</v>
      </c>
      <c r="U144" t="s">
        <v>289</v>
      </c>
      <c r="V144">
        <v>0</v>
      </c>
      <c r="W144">
        <v>0</v>
      </c>
      <c r="X144" t="s">
        <v>8</v>
      </c>
      <c r="Y144" s="74" t="str">
        <f ca="1">IF(Table15[[#This Row],[Type]]="KILL",IF(_xlfn.NUMBERVALUE(RIGHT(Table15[[#This Row],[Min]],LEN(Table15[[#This Row],[Min]])-FIND("-",Table15[[#This Row],[Min]])))&gt;INDIRECT(ADDRESS(11+MATCH(LEFT(Table15[[#This Row],[Min]],FIND("-",Table15[[#This Row],[Min]])-1),Table1[Content Sku],0),16,1,1,"Entities")),"review","ok"),"ok")</f>
        <v>ok</v>
      </c>
      <c r="Z144" t="s">
        <v>122</v>
      </c>
      <c r="AA144">
        <v>1</v>
      </c>
      <c r="AB144" s="74">
        <f ca="1">(INDIRECT(ADDRESS(2+(MATCH(Table33[[#This Row],[SPAWNER]],Table40[SPAWNER],0)),2,1,1,"DATA_SCENES_UNITY_2")))</f>
        <v>3</v>
      </c>
      <c r="AK144" t="s">
        <v>548</v>
      </c>
      <c r="AL144">
        <v>0</v>
      </c>
      <c r="AM144">
        <v>0</v>
      </c>
      <c r="AN144" t="s">
        <v>8</v>
      </c>
      <c r="AO144" s="74" t="str">
        <f ca="1">IF(Table20[[#This Row],[Type]]="KILL",IF(_xlfn.NUMBERVALUE(RIGHT(Table20[[#This Row],[Min]],LEN(Table20[[#This Row],[Min]])-FIND("-",Table20[[#This Row],[Min]])))&gt;INDIRECT(ADDRESS(11+MATCH(LEFT(Table20[[#This Row],[Min]],FIND("-",Table20[[#This Row],[Min]])-1),Table1[Content Sku],0),18,1,1,"Entities")),"review","ok"),"ok")</f>
        <v>ok</v>
      </c>
    </row>
    <row r="145" spans="5:41" x14ac:dyDescent="0.25">
      <c r="E145" t="s">
        <v>347</v>
      </c>
      <c r="F145">
        <v>0</v>
      </c>
      <c r="G145">
        <v>0</v>
      </c>
      <c r="H145" t="s">
        <v>8</v>
      </c>
      <c r="I145" s="74" t="str">
        <f ca="1">IF(Table7[[#This Row],[Type]]="KILL",IF(_xlfn.NUMBERVALUE(RIGHT(Table7[[#This Row],[Min]],LEN(Table7[[#This Row],[Min]])-FIND("-",Table7[[#This Row],[Min]])))&gt;INDIRECT(ADDRESS(11+MATCH(LEFT(Table7[[#This Row],[Min]],FIND("-",Table7[[#This Row],[Min]])-1),Table1[Content Sku],0),16,1,1,"Entities")),"review","ok"),"ok")</f>
        <v>ok</v>
      </c>
      <c r="U145" t="s">
        <v>311</v>
      </c>
      <c r="V145">
        <v>0</v>
      </c>
      <c r="W145">
        <v>0</v>
      </c>
      <c r="X145" t="s">
        <v>8</v>
      </c>
      <c r="Y145" s="74" t="str">
        <f ca="1">IF(Table15[[#This Row],[Type]]="KILL",IF(_xlfn.NUMBERVALUE(RIGHT(Table15[[#This Row],[Min]],LEN(Table15[[#This Row],[Min]])-FIND("-",Table15[[#This Row],[Min]])))&gt;INDIRECT(ADDRESS(11+MATCH(LEFT(Table15[[#This Row],[Min]],FIND("-",Table15[[#This Row],[Min]])-1),Table1[Content Sku],0),16,1,1,"Entities")),"review","ok"),"ok")</f>
        <v>ok</v>
      </c>
      <c r="Z145" t="s">
        <v>122</v>
      </c>
      <c r="AA145">
        <v>1</v>
      </c>
      <c r="AB145" s="74">
        <f ca="1">(INDIRECT(ADDRESS(2+(MATCH(Table33[[#This Row],[SPAWNER]],Table40[SPAWNER],0)),2,1,1,"DATA_SCENES_UNITY_2")))</f>
        <v>3</v>
      </c>
      <c r="AK145" t="s">
        <v>2673</v>
      </c>
      <c r="AL145" t="s">
        <v>5005</v>
      </c>
      <c r="AM145" t="s">
        <v>4467</v>
      </c>
      <c r="AN145" t="s">
        <v>4468</v>
      </c>
      <c r="AO145" s="74" t="str">
        <f ca="1">IF(Table20[[#This Row],[Type]]="KILL",IF(_xlfn.NUMBERVALUE(RIGHT(Table20[[#This Row],[Min]],LEN(Table20[[#This Row],[Min]])-FIND("-",Table20[[#This Row],[Min]])))&gt;INDIRECT(ADDRESS(11+MATCH(LEFT(Table20[[#This Row],[Min]],FIND("-",Table20[[#This Row],[Min]])-1),Table1[Content Sku],0),18,1,1,"Entities")),"review","ok"),"ok")</f>
        <v>ok</v>
      </c>
    </row>
    <row r="146" spans="5:41" x14ac:dyDescent="0.25">
      <c r="E146" t="s">
        <v>280</v>
      </c>
      <c r="F146">
        <v>0</v>
      </c>
      <c r="G146">
        <v>0</v>
      </c>
      <c r="H146" t="s">
        <v>8</v>
      </c>
      <c r="I146" s="74" t="str">
        <f ca="1">IF(Table7[[#This Row],[Type]]="KILL",IF(_xlfn.NUMBERVALUE(RIGHT(Table7[[#This Row],[Min]],LEN(Table7[[#This Row],[Min]])-FIND("-",Table7[[#This Row],[Min]])))&gt;INDIRECT(ADDRESS(11+MATCH(LEFT(Table7[[#This Row],[Min]],FIND("-",Table7[[#This Row],[Min]])-1),Table1[Content Sku],0),16,1,1,"Entities")),"review","ok"),"ok")</f>
        <v>ok</v>
      </c>
      <c r="U146" t="s">
        <v>8133</v>
      </c>
      <c r="V146">
        <v>0</v>
      </c>
      <c r="W146">
        <v>0</v>
      </c>
      <c r="X146" t="s">
        <v>8</v>
      </c>
      <c r="Y146" s="74" t="str">
        <f ca="1">IF(Table15[[#This Row],[Type]]="KILL",IF(_xlfn.NUMBERVALUE(RIGHT(Table15[[#This Row],[Min]],LEN(Table15[[#This Row],[Min]])-FIND("-",Table15[[#This Row],[Min]])))&gt;INDIRECT(ADDRESS(11+MATCH(LEFT(Table15[[#This Row],[Min]],FIND("-",Table15[[#This Row],[Min]])-1),Table1[Content Sku],0),16,1,1,"Entities")),"review","ok"),"ok")</f>
        <v>ok</v>
      </c>
      <c r="Z146" t="s">
        <v>122</v>
      </c>
      <c r="AA146">
        <v>1</v>
      </c>
      <c r="AB146" s="74">
        <f ca="1">(INDIRECT(ADDRESS(2+(MATCH(Table33[[#This Row],[SPAWNER]],Table40[SPAWNER],0)),2,1,1,"DATA_SCENES_UNITY_2")))</f>
        <v>3</v>
      </c>
      <c r="AK146" t="s">
        <v>548</v>
      </c>
      <c r="AL146">
        <v>0</v>
      </c>
      <c r="AM146">
        <v>0</v>
      </c>
      <c r="AN146" t="s">
        <v>8</v>
      </c>
      <c r="AO146" s="74" t="str">
        <f ca="1">IF(Table20[[#This Row],[Type]]="KILL",IF(_xlfn.NUMBERVALUE(RIGHT(Table20[[#This Row],[Min]],LEN(Table20[[#This Row],[Min]])-FIND("-",Table20[[#This Row],[Min]])))&gt;INDIRECT(ADDRESS(11+MATCH(LEFT(Table20[[#This Row],[Min]],FIND("-",Table20[[#This Row],[Min]])-1),Table1[Content Sku],0),18,1,1,"Entities")),"review","ok"),"ok")</f>
        <v>ok</v>
      </c>
    </row>
    <row r="147" spans="5:41" x14ac:dyDescent="0.25">
      <c r="E147" t="s">
        <v>313</v>
      </c>
      <c r="F147">
        <v>0</v>
      </c>
      <c r="G147">
        <v>0</v>
      </c>
      <c r="H147" t="s">
        <v>8</v>
      </c>
      <c r="I147" s="74" t="str">
        <f ca="1">IF(Table7[[#This Row],[Type]]="KILL",IF(_xlfn.NUMBERVALUE(RIGHT(Table7[[#This Row],[Min]],LEN(Table7[[#This Row],[Min]])-FIND("-",Table7[[#This Row],[Min]])))&gt;INDIRECT(ADDRESS(11+MATCH(LEFT(Table7[[#This Row],[Min]],FIND("-",Table7[[#This Row],[Min]])-1),Table1[Content Sku],0),16,1,1,"Entities")),"review","ok"),"ok")</f>
        <v>ok</v>
      </c>
      <c r="U147" t="s">
        <v>302</v>
      </c>
      <c r="V147">
        <v>0</v>
      </c>
      <c r="W147">
        <v>0</v>
      </c>
      <c r="X147" t="s">
        <v>8</v>
      </c>
      <c r="Y147" s="74" t="str">
        <f ca="1">IF(Table15[[#This Row],[Type]]="KILL",IF(_xlfn.NUMBERVALUE(RIGHT(Table15[[#This Row],[Min]],LEN(Table15[[#This Row],[Min]])-FIND("-",Table15[[#This Row],[Min]])))&gt;INDIRECT(ADDRESS(11+MATCH(LEFT(Table15[[#This Row],[Min]],FIND("-",Table15[[#This Row],[Min]])-1),Table1[Content Sku],0),16,1,1,"Entities")),"review","ok"),"ok")</f>
        <v>ok</v>
      </c>
      <c r="Z147" t="s">
        <v>122</v>
      </c>
      <c r="AA147">
        <v>1</v>
      </c>
      <c r="AB147" s="74">
        <f ca="1">(INDIRECT(ADDRESS(2+(MATCH(Table33[[#This Row],[SPAWNER]],Table40[SPAWNER],0)),2,1,1,"DATA_SCENES_UNITY_2")))</f>
        <v>3</v>
      </c>
      <c r="AK147" t="s">
        <v>37</v>
      </c>
      <c r="AL147">
        <v>0</v>
      </c>
      <c r="AM147">
        <v>40000</v>
      </c>
      <c r="AN147" t="s">
        <v>205</v>
      </c>
      <c r="AO147" s="74" t="str">
        <f ca="1">IF(Table20[[#This Row],[Type]]="KILL",IF(_xlfn.NUMBERVALUE(RIGHT(Table20[[#This Row],[Min]],LEN(Table20[[#This Row],[Min]])-FIND("-",Table20[[#This Row],[Min]])))&gt;INDIRECT(ADDRESS(11+MATCH(LEFT(Table20[[#This Row],[Min]],FIND("-",Table20[[#This Row],[Min]])-1),Table1[Content Sku],0),18,1,1,"Entities")),"review","ok"),"ok")</f>
        <v>ok</v>
      </c>
    </row>
    <row r="148" spans="5:41" x14ac:dyDescent="0.25">
      <c r="E148" t="s">
        <v>122</v>
      </c>
      <c r="F148">
        <v>0</v>
      </c>
      <c r="G148">
        <v>0</v>
      </c>
      <c r="H148" t="s">
        <v>8</v>
      </c>
      <c r="I148" s="74" t="str">
        <f ca="1">IF(Table7[[#This Row],[Type]]="KILL",IF(_xlfn.NUMBERVALUE(RIGHT(Table7[[#This Row],[Min]],LEN(Table7[[#This Row],[Min]])-FIND("-",Table7[[#This Row],[Min]])))&gt;INDIRECT(ADDRESS(11+MATCH(LEFT(Table7[[#This Row],[Min]],FIND("-",Table7[[#This Row],[Min]])-1),Table1[Content Sku],0),16,1,1,"Entities")),"review","ok"),"ok")</f>
        <v>ok</v>
      </c>
      <c r="U148" t="s">
        <v>1</v>
      </c>
      <c r="V148">
        <v>0</v>
      </c>
      <c r="W148">
        <v>120</v>
      </c>
      <c r="X148" t="s">
        <v>4431</v>
      </c>
      <c r="Y148" s="74" t="str">
        <f ca="1">IF(Table15[[#This Row],[Type]]="KILL",IF(_xlfn.NUMBERVALUE(RIGHT(Table15[[#This Row],[Min]],LEN(Table15[[#This Row],[Min]])-FIND("-",Table15[[#This Row],[Min]])))&gt;INDIRECT(ADDRESS(11+MATCH(LEFT(Table15[[#This Row],[Min]],FIND("-",Table15[[#This Row],[Min]])-1),Table1[Content Sku],0),16,1,1,"Entities")),"review","ok"),"ok")</f>
        <v>ok</v>
      </c>
      <c r="Z148" t="s">
        <v>548</v>
      </c>
      <c r="AA148">
        <v>1</v>
      </c>
      <c r="AB148" s="74">
        <f ca="1">(INDIRECT(ADDRESS(2+(MATCH(Table33[[#This Row],[SPAWNER]],Table40[SPAWNER],0)),2,1,1,"DATA_SCENES_UNITY_2")))</f>
        <v>2</v>
      </c>
      <c r="AK148" t="s">
        <v>37</v>
      </c>
      <c r="AL148">
        <v>0</v>
      </c>
      <c r="AM148">
        <v>0</v>
      </c>
      <c r="AN148" t="s">
        <v>8</v>
      </c>
      <c r="AO148" s="74" t="str">
        <f ca="1">IF(Table20[[#This Row],[Type]]="KILL",IF(_xlfn.NUMBERVALUE(RIGHT(Table20[[#This Row],[Min]],LEN(Table20[[#This Row],[Min]])-FIND("-",Table20[[#This Row],[Min]])))&gt;INDIRECT(ADDRESS(11+MATCH(LEFT(Table20[[#This Row],[Min]],FIND("-",Table20[[#This Row],[Min]])-1),Table1[Content Sku],0),18,1,1,"Entities")),"review","ok"),"ok")</f>
        <v>ok</v>
      </c>
    </row>
    <row r="149" spans="5:41" x14ac:dyDescent="0.25">
      <c r="E149" t="s">
        <v>63</v>
      </c>
      <c r="F149">
        <v>0</v>
      </c>
      <c r="G149">
        <v>0</v>
      </c>
      <c r="H149" t="s">
        <v>8</v>
      </c>
      <c r="I149" s="74" t="str">
        <f ca="1">IF(Table7[[#This Row],[Type]]="KILL",IF(_xlfn.NUMBERVALUE(RIGHT(Table7[[#This Row],[Min]],LEN(Table7[[#This Row],[Min]])-FIND("-",Table7[[#This Row],[Min]])))&gt;INDIRECT(ADDRESS(11+MATCH(LEFT(Table7[[#This Row],[Min]],FIND("-",Table7[[#This Row],[Min]])-1),Table1[Content Sku],0),16,1,1,"Entities")),"review","ok"),"ok")</f>
        <v>ok</v>
      </c>
      <c r="U149" t="s">
        <v>309</v>
      </c>
      <c r="V149">
        <v>0</v>
      </c>
      <c r="W149">
        <v>0</v>
      </c>
      <c r="X149" t="s">
        <v>8</v>
      </c>
      <c r="Y149" s="74" t="str">
        <f ca="1">IF(Table15[[#This Row],[Type]]="KILL",IF(_xlfn.NUMBERVALUE(RIGHT(Table15[[#This Row],[Min]],LEN(Table15[[#This Row],[Min]])-FIND("-",Table15[[#This Row],[Min]])))&gt;INDIRECT(ADDRESS(11+MATCH(LEFT(Table15[[#This Row],[Min]],FIND("-",Table15[[#This Row],[Min]])-1),Table1[Content Sku],0),16,1,1,"Entities")),"review","ok"),"ok")</f>
        <v>ok</v>
      </c>
      <c r="Z149" t="s">
        <v>548</v>
      </c>
      <c r="AA149">
        <v>4</v>
      </c>
      <c r="AB149" s="74">
        <f ca="1">(INDIRECT(ADDRESS(2+(MATCH(Table33[[#This Row],[SPAWNER]],Table40[SPAWNER],0)),2,1,1,"DATA_SCENES_UNITY_2")))</f>
        <v>2</v>
      </c>
      <c r="AK149" t="s">
        <v>2668</v>
      </c>
      <c r="AL149" t="s">
        <v>4466</v>
      </c>
      <c r="AM149" t="s">
        <v>4467</v>
      </c>
      <c r="AN149" t="s">
        <v>4468</v>
      </c>
      <c r="AO149" s="74" t="str">
        <f ca="1">IF(Table20[[#This Row],[Type]]="KILL",IF(_xlfn.NUMBERVALUE(RIGHT(Table20[[#This Row],[Min]],LEN(Table20[[#This Row],[Min]])-FIND("-",Table20[[#This Row],[Min]])))&gt;INDIRECT(ADDRESS(11+MATCH(LEFT(Table20[[#This Row],[Min]],FIND("-",Table20[[#This Row],[Min]])-1),Table1[Content Sku],0),18,1,1,"Entities")),"review","ok"),"ok")</f>
        <v>ok</v>
      </c>
    </row>
    <row r="150" spans="5:41" x14ac:dyDescent="0.25">
      <c r="E150" t="s">
        <v>37</v>
      </c>
      <c r="F150">
        <v>0</v>
      </c>
      <c r="G150">
        <v>0</v>
      </c>
      <c r="H150" t="s">
        <v>8</v>
      </c>
      <c r="I150" s="74" t="str">
        <f ca="1">IF(Table7[[#This Row],[Type]]="KILL",IF(_xlfn.NUMBERVALUE(RIGHT(Table7[[#This Row],[Min]],LEN(Table7[[#This Row],[Min]])-FIND("-",Table7[[#This Row],[Min]])))&gt;INDIRECT(ADDRESS(11+MATCH(LEFT(Table7[[#This Row],[Min]],FIND("-",Table7[[#This Row],[Min]])-1),Table1[Content Sku],0),16,1,1,"Entities")),"review","ok"),"ok")</f>
        <v>ok</v>
      </c>
      <c r="U150" t="s">
        <v>545</v>
      </c>
      <c r="V150">
        <v>15000</v>
      </c>
      <c r="W150">
        <v>0</v>
      </c>
      <c r="X150" t="s">
        <v>205</v>
      </c>
      <c r="Y150" s="74" t="str">
        <f ca="1">IF(Table15[[#This Row],[Type]]="KILL",IF(_xlfn.NUMBERVALUE(RIGHT(Table15[[#This Row],[Min]],LEN(Table15[[#This Row],[Min]])-FIND("-",Table15[[#This Row],[Min]])))&gt;INDIRECT(ADDRESS(11+MATCH(LEFT(Table15[[#This Row],[Min]],FIND("-",Table15[[#This Row],[Min]])-1),Table1[Content Sku],0),16,1,1,"Entities")),"review","ok"),"ok")</f>
        <v>ok</v>
      </c>
      <c r="Z150" t="s">
        <v>122</v>
      </c>
      <c r="AA150">
        <v>1</v>
      </c>
      <c r="AB150" s="74">
        <f ca="1">(INDIRECT(ADDRESS(2+(MATCH(Table33[[#This Row],[SPAWNER]],Table40[SPAWNER],0)),2,1,1,"DATA_SCENES_UNITY_2")))</f>
        <v>3</v>
      </c>
      <c r="AK150" t="s">
        <v>256</v>
      </c>
      <c r="AL150">
        <v>0</v>
      </c>
      <c r="AM150">
        <v>0</v>
      </c>
      <c r="AN150" t="s">
        <v>8</v>
      </c>
      <c r="AO150" s="74" t="str">
        <f ca="1">IF(Table20[[#This Row],[Type]]="KILL",IF(_xlfn.NUMBERVALUE(RIGHT(Table20[[#This Row],[Min]],LEN(Table20[[#This Row],[Min]])-FIND("-",Table20[[#This Row],[Min]])))&gt;INDIRECT(ADDRESS(11+MATCH(LEFT(Table20[[#This Row],[Min]],FIND("-",Table20[[#This Row],[Min]])-1),Table1[Content Sku],0),18,1,1,"Entities")),"review","ok"),"ok")</f>
        <v>ok</v>
      </c>
    </row>
    <row r="151" spans="5:41" x14ac:dyDescent="0.25">
      <c r="E151" t="s">
        <v>313</v>
      </c>
      <c r="F151">
        <v>0</v>
      </c>
      <c r="G151">
        <v>0</v>
      </c>
      <c r="H151" t="s">
        <v>8</v>
      </c>
      <c r="I151" s="74" t="str">
        <f ca="1">IF(Table7[[#This Row],[Type]]="KILL",IF(_xlfn.NUMBERVALUE(RIGHT(Table7[[#This Row],[Min]],LEN(Table7[[#This Row],[Min]])-FIND("-",Table7[[#This Row],[Min]])))&gt;INDIRECT(ADDRESS(11+MATCH(LEFT(Table7[[#This Row],[Min]],FIND("-",Table7[[#This Row],[Min]])-1),Table1[Content Sku],0),16,1,1,"Entities")),"review","ok"),"ok")</f>
        <v>ok</v>
      </c>
      <c r="U151" t="s">
        <v>54</v>
      </c>
      <c r="V151">
        <v>0</v>
      </c>
      <c r="W151">
        <v>0</v>
      </c>
      <c r="X151" t="s">
        <v>8</v>
      </c>
      <c r="Y151" s="74" t="str">
        <f ca="1">IF(Table15[[#This Row],[Type]]="KILL",IF(_xlfn.NUMBERVALUE(RIGHT(Table15[[#This Row],[Min]],LEN(Table15[[#This Row],[Min]])-FIND("-",Table15[[#This Row],[Min]])))&gt;INDIRECT(ADDRESS(11+MATCH(LEFT(Table15[[#This Row],[Min]],FIND("-",Table15[[#This Row],[Min]])-1),Table1[Content Sku],0),16,1,1,"Entities")),"review","ok"),"ok")</f>
        <v>ok</v>
      </c>
      <c r="Z151" t="s">
        <v>548</v>
      </c>
      <c r="AA151">
        <v>1</v>
      </c>
      <c r="AB151" s="74">
        <f ca="1">(INDIRECT(ADDRESS(2+(MATCH(Table33[[#This Row],[SPAWNER]],Table40[SPAWNER],0)),2,1,1,"DATA_SCENES_UNITY_2")))</f>
        <v>2</v>
      </c>
      <c r="AK151" t="s">
        <v>2745</v>
      </c>
      <c r="AL151">
        <v>0</v>
      </c>
      <c r="AM151">
        <v>0</v>
      </c>
      <c r="AN151" t="s">
        <v>8</v>
      </c>
      <c r="AO151" s="74" t="str">
        <f ca="1">IF(Table20[[#This Row],[Type]]="KILL",IF(_xlfn.NUMBERVALUE(RIGHT(Table20[[#This Row],[Min]],LEN(Table20[[#This Row],[Min]])-FIND("-",Table20[[#This Row],[Min]])))&gt;INDIRECT(ADDRESS(11+MATCH(LEFT(Table20[[#This Row],[Min]],FIND("-",Table20[[#This Row],[Min]])-1),Table1[Content Sku],0),18,1,1,"Entities")),"review","ok"),"ok")</f>
        <v>ok</v>
      </c>
    </row>
    <row r="152" spans="5:41" x14ac:dyDescent="0.25">
      <c r="E152" t="s">
        <v>311</v>
      </c>
      <c r="F152">
        <v>0</v>
      </c>
      <c r="G152">
        <v>0</v>
      </c>
      <c r="H152" t="s">
        <v>8</v>
      </c>
      <c r="I152" s="74" t="str">
        <f ca="1">IF(Table7[[#This Row],[Type]]="KILL",IF(_xlfn.NUMBERVALUE(RIGHT(Table7[[#This Row],[Min]],LEN(Table7[[#This Row],[Min]])-FIND("-",Table7[[#This Row],[Min]])))&gt;INDIRECT(ADDRESS(11+MATCH(LEFT(Table7[[#This Row],[Min]],FIND("-",Table7[[#This Row],[Min]])-1),Table1[Content Sku],0),16,1,1,"Entities")),"review","ok"),"ok")</f>
        <v>ok</v>
      </c>
      <c r="U152" t="s">
        <v>403</v>
      </c>
      <c r="V152">
        <v>0</v>
      </c>
      <c r="W152">
        <v>0</v>
      </c>
      <c r="X152" t="s">
        <v>8</v>
      </c>
      <c r="Y152" s="74" t="str">
        <f ca="1">IF(Table15[[#This Row],[Type]]="KILL",IF(_xlfn.NUMBERVALUE(RIGHT(Table15[[#This Row],[Min]],LEN(Table15[[#This Row],[Min]])-FIND("-",Table15[[#This Row],[Min]])))&gt;INDIRECT(ADDRESS(11+MATCH(LEFT(Table15[[#This Row],[Min]],FIND("-",Table15[[#This Row],[Min]])-1),Table1[Content Sku],0),16,1,1,"Entities")),"review","ok"),"ok")</f>
        <v>ok</v>
      </c>
      <c r="Z152" t="s">
        <v>122</v>
      </c>
      <c r="AA152">
        <v>1</v>
      </c>
      <c r="AB152" s="74">
        <f ca="1">(INDIRECT(ADDRESS(2+(MATCH(Table33[[#This Row],[SPAWNER]],Table40[SPAWNER],0)),2,1,1,"DATA_SCENES_UNITY_2")))</f>
        <v>3</v>
      </c>
      <c r="AK152" t="s">
        <v>41</v>
      </c>
      <c r="AL152">
        <v>30000</v>
      </c>
      <c r="AM152">
        <v>0</v>
      </c>
      <c r="AN152" t="s">
        <v>205</v>
      </c>
      <c r="AO152" s="74" t="str">
        <f ca="1">IF(Table20[[#This Row],[Type]]="KILL",IF(_xlfn.NUMBERVALUE(RIGHT(Table20[[#This Row],[Min]],LEN(Table20[[#This Row],[Min]])-FIND("-",Table20[[#This Row],[Min]])))&gt;INDIRECT(ADDRESS(11+MATCH(LEFT(Table20[[#This Row],[Min]],FIND("-",Table20[[#This Row],[Min]])-1),Table1[Content Sku],0),18,1,1,"Entities")),"review","ok"),"ok")</f>
        <v>ok</v>
      </c>
    </row>
    <row r="153" spans="5:41" x14ac:dyDescent="0.25">
      <c r="E153" t="s">
        <v>313</v>
      </c>
      <c r="F153">
        <v>0</v>
      </c>
      <c r="G153">
        <v>0</v>
      </c>
      <c r="H153" t="s">
        <v>8</v>
      </c>
      <c r="I153" s="74" t="str">
        <f ca="1">IF(Table7[[#This Row],[Type]]="KILL",IF(_xlfn.NUMBERVALUE(RIGHT(Table7[[#This Row],[Min]],LEN(Table7[[#This Row],[Min]])-FIND("-",Table7[[#This Row],[Min]])))&gt;INDIRECT(ADDRESS(11+MATCH(LEFT(Table7[[#This Row],[Min]],FIND("-",Table7[[#This Row],[Min]])-1),Table1[Content Sku],0),16,1,1,"Entities")),"review","ok"),"ok")</f>
        <v>ok</v>
      </c>
      <c r="U153" t="s">
        <v>392</v>
      </c>
      <c r="V153">
        <v>0</v>
      </c>
      <c r="W153">
        <v>0</v>
      </c>
      <c r="X153" t="s">
        <v>8</v>
      </c>
      <c r="Y153" s="74" t="str">
        <f ca="1">IF(Table15[[#This Row],[Type]]="KILL",IF(_xlfn.NUMBERVALUE(RIGHT(Table15[[#This Row],[Min]],LEN(Table15[[#This Row],[Min]])-FIND("-",Table15[[#This Row],[Min]])))&gt;INDIRECT(ADDRESS(11+MATCH(LEFT(Table15[[#This Row],[Min]],FIND("-",Table15[[#This Row],[Min]])-1),Table1[Content Sku],0),16,1,1,"Entities")),"review","ok"),"ok")</f>
        <v>ok</v>
      </c>
      <c r="Z153" t="s">
        <v>122</v>
      </c>
      <c r="AA153">
        <v>1</v>
      </c>
      <c r="AB153" s="74">
        <f ca="1">(INDIRECT(ADDRESS(2+(MATCH(Table33[[#This Row],[SPAWNER]],Table40[SPAWNER],0)),2,1,1,"DATA_SCENES_UNITY_2")))</f>
        <v>3</v>
      </c>
      <c r="AK153" t="s">
        <v>540</v>
      </c>
      <c r="AL153">
        <v>0</v>
      </c>
      <c r="AM153">
        <v>0</v>
      </c>
      <c r="AN153" t="s">
        <v>8</v>
      </c>
      <c r="AO153" s="74" t="str">
        <f ca="1">IF(Table20[[#This Row],[Type]]="KILL",IF(_xlfn.NUMBERVALUE(RIGHT(Table20[[#This Row],[Min]],LEN(Table20[[#This Row],[Min]])-FIND("-",Table20[[#This Row],[Min]])))&gt;INDIRECT(ADDRESS(11+MATCH(LEFT(Table20[[#This Row],[Min]],FIND("-",Table20[[#This Row],[Min]])-1),Table1[Content Sku],0),18,1,1,"Entities")),"review","ok"),"ok")</f>
        <v>ok</v>
      </c>
    </row>
    <row r="154" spans="5:41" x14ac:dyDescent="0.25">
      <c r="E154" t="s">
        <v>253</v>
      </c>
      <c r="F154">
        <v>0</v>
      </c>
      <c r="G154">
        <v>0</v>
      </c>
      <c r="H154" t="s">
        <v>8</v>
      </c>
      <c r="I154" s="74" t="str">
        <f ca="1">IF(Table7[[#This Row],[Type]]="KILL",IF(_xlfn.NUMBERVALUE(RIGHT(Table7[[#This Row],[Min]],LEN(Table7[[#This Row],[Min]])-FIND("-",Table7[[#This Row],[Min]])))&gt;INDIRECT(ADDRESS(11+MATCH(LEFT(Table7[[#This Row],[Min]],FIND("-",Table7[[#This Row],[Min]])-1),Table1[Content Sku],0),16,1,1,"Entities")),"review","ok"),"ok")</f>
        <v>ok</v>
      </c>
      <c r="U154" t="s">
        <v>313</v>
      </c>
      <c r="V154">
        <v>0</v>
      </c>
      <c r="W154">
        <v>0</v>
      </c>
      <c r="X154" t="s">
        <v>8</v>
      </c>
      <c r="Y154" s="74" t="str">
        <f ca="1">IF(Table15[[#This Row],[Type]]="KILL",IF(_xlfn.NUMBERVALUE(RIGHT(Table15[[#This Row],[Min]],LEN(Table15[[#This Row],[Min]])-FIND("-",Table15[[#This Row],[Min]])))&gt;INDIRECT(ADDRESS(11+MATCH(LEFT(Table15[[#This Row],[Min]],FIND("-",Table15[[#This Row],[Min]])-1),Table1[Content Sku],0),16,1,1,"Entities")),"review","ok"),"ok")</f>
        <v>ok</v>
      </c>
      <c r="Z154" t="s">
        <v>548</v>
      </c>
      <c r="AA154">
        <v>1</v>
      </c>
      <c r="AB154" s="74">
        <f ca="1">(INDIRECT(ADDRESS(2+(MATCH(Table33[[#This Row],[SPAWNER]],Table40[SPAWNER],0)),2,1,1,"DATA_SCENES_UNITY_2")))</f>
        <v>2</v>
      </c>
      <c r="AK154" t="s">
        <v>46</v>
      </c>
      <c r="AL154">
        <v>0</v>
      </c>
      <c r="AM154">
        <v>0</v>
      </c>
      <c r="AN154" t="s">
        <v>8</v>
      </c>
      <c r="AO154" s="74" t="str">
        <f ca="1">IF(Table20[[#This Row],[Type]]="KILL",IF(_xlfn.NUMBERVALUE(RIGHT(Table20[[#This Row],[Min]],LEN(Table20[[#This Row],[Min]])-FIND("-",Table20[[#This Row],[Min]])))&gt;INDIRECT(ADDRESS(11+MATCH(LEFT(Table20[[#This Row],[Min]],FIND("-",Table20[[#This Row],[Min]])-1),Table1[Content Sku],0),18,1,1,"Entities")),"review","ok"),"ok")</f>
        <v>ok</v>
      </c>
    </row>
    <row r="155" spans="5:41" x14ac:dyDescent="0.25">
      <c r="E155" t="s">
        <v>289</v>
      </c>
      <c r="F155">
        <v>0</v>
      </c>
      <c r="G155">
        <v>24000</v>
      </c>
      <c r="H155" t="s">
        <v>205</v>
      </c>
      <c r="I155" s="74" t="str">
        <f ca="1">IF(Table7[[#This Row],[Type]]="KILL",IF(_xlfn.NUMBERVALUE(RIGHT(Table7[[#This Row],[Min]],LEN(Table7[[#This Row],[Min]])-FIND("-",Table7[[#This Row],[Min]])))&gt;INDIRECT(ADDRESS(11+MATCH(LEFT(Table7[[#This Row],[Min]],FIND("-",Table7[[#This Row],[Min]])-1),Table1[Content Sku],0),16,1,1,"Entities")),"review","ok"),"ok")</f>
        <v>ok</v>
      </c>
      <c r="U155" t="s">
        <v>318</v>
      </c>
      <c r="V155">
        <v>0</v>
      </c>
      <c r="W155">
        <v>0</v>
      </c>
      <c r="X155" t="s">
        <v>8</v>
      </c>
      <c r="Y155" s="74" t="str">
        <f ca="1">IF(Table15[[#This Row],[Type]]="KILL",IF(_xlfn.NUMBERVALUE(RIGHT(Table15[[#This Row],[Min]],LEN(Table15[[#This Row],[Min]])-FIND("-",Table15[[#This Row],[Min]])))&gt;INDIRECT(ADDRESS(11+MATCH(LEFT(Table15[[#This Row],[Min]],FIND("-",Table15[[#This Row],[Min]])-1),Table1[Content Sku],0),16,1,1,"Entities")),"review","ok"),"ok")</f>
        <v>ok</v>
      </c>
      <c r="Z155" t="s">
        <v>122</v>
      </c>
      <c r="AA155">
        <v>1</v>
      </c>
      <c r="AB155" s="74">
        <f ca="1">(INDIRECT(ADDRESS(2+(MATCH(Table33[[#This Row],[SPAWNER]],Table40[SPAWNER],0)),2,1,1,"DATA_SCENES_UNITY_2")))</f>
        <v>3</v>
      </c>
      <c r="AK155" t="s">
        <v>4430</v>
      </c>
      <c r="AL155">
        <v>0</v>
      </c>
      <c r="AM155">
        <v>0</v>
      </c>
      <c r="AN155" t="s">
        <v>8</v>
      </c>
      <c r="AO155" s="74" t="str">
        <f ca="1">IF(Table20[[#This Row],[Type]]="KILL",IF(_xlfn.NUMBERVALUE(RIGHT(Table20[[#This Row],[Min]],LEN(Table20[[#This Row],[Min]])-FIND("-",Table20[[#This Row],[Min]])))&gt;INDIRECT(ADDRESS(11+MATCH(LEFT(Table20[[#This Row],[Min]],FIND("-",Table20[[#This Row],[Min]])-1),Table1[Content Sku],0),18,1,1,"Entities")),"review","ok"),"ok")</f>
        <v>ok</v>
      </c>
    </row>
    <row r="156" spans="5:41" x14ac:dyDescent="0.25">
      <c r="E156" t="s">
        <v>393</v>
      </c>
      <c r="F156">
        <v>0</v>
      </c>
      <c r="G156">
        <v>0</v>
      </c>
      <c r="H156" t="s">
        <v>8</v>
      </c>
      <c r="I156" s="74" t="str">
        <f ca="1">IF(Table7[[#This Row],[Type]]="KILL",IF(_xlfn.NUMBERVALUE(RIGHT(Table7[[#This Row],[Min]],LEN(Table7[[#This Row],[Min]])-FIND("-",Table7[[#This Row],[Min]])))&gt;INDIRECT(ADDRESS(11+MATCH(LEFT(Table7[[#This Row],[Min]],FIND("-",Table7[[#This Row],[Min]])-1),Table1[Content Sku],0),16,1,1,"Entities")),"review","ok"),"ok")</f>
        <v>ok</v>
      </c>
      <c r="U156" t="s">
        <v>289</v>
      </c>
      <c r="V156">
        <v>0</v>
      </c>
      <c r="W156">
        <v>0</v>
      </c>
      <c r="X156" t="s">
        <v>8</v>
      </c>
      <c r="Y156" s="74" t="str">
        <f ca="1">IF(Table15[[#This Row],[Type]]="KILL",IF(_xlfn.NUMBERVALUE(RIGHT(Table15[[#This Row],[Min]],LEN(Table15[[#This Row],[Min]])-FIND("-",Table15[[#This Row],[Min]])))&gt;INDIRECT(ADDRESS(11+MATCH(LEFT(Table15[[#This Row],[Min]],FIND("-",Table15[[#This Row],[Min]])-1),Table1[Content Sku],0),16,1,1,"Entities")),"review","ok"),"ok")</f>
        <v>ok</v>
      </c>
      <c r="Z156" t="s">
        <v>122</v>
      </c>
      <c r="AA156">
        <v>1</v>
      </c>
      <c r="AB156" s="74">
        <f ca="1">(INDIRECT(ADDRESS(2+(MATCH(Table33[[#This Row],[SPAWNER]],Table40[SPAWNER],0)),2,1,1,"DATA_SCENES_UNITY_2")))</f>
        <v>3</v>
      </c>
      <c r="AK156" t="s">
        <v>40</v>
      </c>
      <c r="AL156">
        <v>0</v>
      </c>
      <c r="AM156">
        <v>35000</v>
      </c>
      <c r="AN156" t="s">
        <v>205</v>
      </c>
      <c r="AO156" s="74" t="str">
        <f ca="1">IF(Table20[[#This Row],[Type]]="KILL",IF(_xlfn.NUMBERVALUE(RIGHT(Table20[[#This Row],[Min]],LEN(Table20[[#This Row],[Min]])-FIND("-",Table20[[#This Row],[Min]])))&gt;INDIRECT(ADDRESS(11+MATCH(LEFT(Table20[[#This Row],[Min]],FIND("-",Table20[[#This Row],[Min]])-1),Table1[Content Sku],0),18,1,1,"Entities")),"review","ok"),"ok")</f>
        <v>ok</v>
      </c>
    </row>
    <row r="157" spans="5:41" x14ac:dyDescent="0.25">
      <c r="E157" t="s">
        <v>254</v>
      </c>
      <c r="F157">
        <v>0</v>
      </c>
      <c r="G157">
        <v>0</v>
      </c>
      <c r="H157" t="s">
        <v>8</v>
      </c>
      <c r="I157" s="74" t="str">
        <f ca="1">IF(Table7[[#This Row],[Type]]="KILL",IF(_xlfn.NUMBERVALUE(RIGHT(Table7[[#This Row],[Min]],LEN(Table7[[#This Row],[Min]])-FIND("-",Table7[[#This Row],[Min]])))&gt;INDIRECT(ADDRESS(11+MATCH(LEFT(Table7[[#This Row],[Min]],FIND("-",Table7[[#This Row],[Min]])-1),Table1[Content Sku],0),16,1,1,"Entities")),"review","ok"),"ok")</f>
        <v>ok</v>
      </c>
      <c r="U157" t="s">
        <v>391</v>
      </c>
      <c r="V157">
        <v>0</v>
      </c>
      <c r="W157">
        <v>0</v>
      </c>
      <c r="X157" t="s">
        <v>8</v>
      </c>
      <c r="Y157" s="74" t="str">
        <f ca="1">IF(Table15[[#This Row],[Type]]="KILL",IF(_xlfn.NUMBERVALUE(RIGHT(Table15[[#This Row],[Min]],LEN(Table15[[#This Row],[Min]])-FIND("-",Table15[[#This Row],[Min]])))&gt;INDIRECT(ADDRESS(11+MATCH(LEFT(Table15[[#This Row],[Min]],FIND("-",Table15[[#This Row],[Min]])-1),Table1[Content Sku],0),16,1,1,"Entities")),"review","ok"),"ok")</f>
        <v>ok</v>
      </c>
      <c r="Z157" t="s">
        <v>548</v>
      </c>
      <c r="AA157">
        <v>5</v>
      </c>
      <c r="AB157" s="74">
        <f ca="1">(INDIRECT(ADDRESS(2+(MATCH(Table33[[#This Row],[SPAWNER]],Table40[SPAWNER],0)),2,1,1,"DATA_SCENES_UNITY_2")))</f>
        <v>2</v>
      </c>
      <c r="AK157" t="s">
        <v>2736</v>
      </c>
      <c r="AL157">
        <v>0</v>
      </c>
      <c r="AM157">
        <v>0</v>
      </c>
      <c r="AN157" t="s">
        <v>8</v>
      </c>
      <c r="AO157" s="74" t="str">
        <f ca="1">IF(Table20[[#This Row],[Type]]="KILL",IF(_xlfn.NUMBERVALUE(RIGHT(Table20[[#This Row],[Min]],LEN(Table20[[#This Row],[Min]])-FIND("-",Table20[[#This Row],[Min]])))&gt;INDIRECT(ADDRESS(11+MATCH(LEFT(Table20[[#This Row],[Min]],FIND("-",Table20[[#This Row],[Min]])-1),Table1[Content Sku],0),18,1,1,"Entities")),"review","ok"),"ok")</f>
        <v>ok</v>
      </c>
    </row>
    <row r="158" spans="5:41" x14ac:dyDescent="0.25">
      <c r="E158" t="s">
        <v>122</v>
      </c>
      <c r="F158">
        <v>0</v>
      </c>
      <c r="G158">
        <v>0</v>
      </c>
      <c r="H158" t="s">
        <v>8</v>
      </c>
      <c r="I158" s="74" t="str">
        <f ca="1">IF(Table7[[#This Row],[Type]]="KILL",IF(_xlfn.NUMBERVALUE(RIGHT(Table7[[#This Row],[Min]],LEN(Table7[[#This Row],[Min]])-FIND("-",Table7[[#This Row],[Min]])))&gt;INDIRECT(ADDRESS(11+MATCH(LEFT(Table7[[#This Row],[Min]],FIND("-",Table7[[#This Row],[Min]])-1),Table1[Content Sku],0),16,1,1,"Entities")),"review","ok"),"ok")</f>
        <v>ok</v>
      </c>
      <c r="U158" t="s">
        <v>313</v>
      </c>
      <c r="V158">
        <v>0</v>
      </c>
      <c r="W158">
        <v>0</v>
      </c>
      <c r="X158" t="s">
        <v>8</v>
      </c>
      <c r="Y158" s="74" t="str">
        <f ca="1">IF(Table15[[#This Row],[Type]]="KILL",IF(_xlfn.NUMBERVALUE(RIGHT(Table15[[#This Row],[Min]],LEN(Table15[[#This Row],[Min]])-FIND("-",Table15[[#This Row],[Min]])))&gt;INDIRECT(ADDRESS(11+MATCH(LEFT(Table15[[#This Row],[Min]],FIND("-",Table15[[#This Row],[Min]])-1),Table1[Content Sku],0),16,1,1,"Entities")),"review","ok"),"ok")</f>
        <v>ok</v>
      </c>
      <c r="Z158" t="s">
        <v>548</v>
      </c>
      <c r="AA158">
        <v>1</v>
      </c>
      <c r="AB158" s="74">
        <f ca="1">(INDIRECT(ADDRESS(2+(MATCH(Table33[[#This Row],[SPAWNER]],Table40[SPAWNER],0)),2,1,1,"DATA_SCENES_UNITY_2")))</f>
        <v>2</v>
      </c>
      <c r="AK158" t="s">
        <v>313</v>
      </c>
      <c r="AL158">
        <v>0</v>
      </c>
      <c r="AM158">
        <v>0</v>
      </c>
      <c r="AN158" t="s">
        <v>8</v>
      </c>
      <c r="AO158" s="74" t="str">
        <f ca="1">IF(Table20[[#This Row],[Type]]="KILL",IF(_xlfn.NUMBERVALUE(RIGHT(Table20[[#This Row],[Min]],LEN(Table20[[#This Row],[Min]])-FIND("-",Table20[[#This Row],[Min]])))&gt;INDIRECT(ADDRESS(11+MATCH(LEFT(Table20[[#This Row],[Min]],FIND("-",Table20[[#This Row],[Min]])-1),Table1[Content Sku],0),18,1,1,"Entities")),"review","ok"),"ok")</f>
        <v>ok</v>
      </c>
    </row>
    <row r="159" spans="5:41" x14ac:dyDescent="0.25">
      <c r="E159" t="s">
        <v>313</v>
      </c>
      <c r="F159">
        <v>0</v>
      </c>
      <c r="G159">
        <v>0</v>
      </c>
      <c r="H159" t="s">
        <v>8</v>
      </c>
      <c r="I159" s="74" t="str">
        <f ca="1">IF(Table7[[#This Row],[Type]]="KILL",IF(_xlfn.NUMBERVALUE(RIGHT(Table7[[#This Row],[Min]],LEN(Table7[[#This Row],[Min]])-FIND("-",Table7[[#This Row],[Min]])))&gt;INDIRECT(ADDRESS(11+MATCH(LEFT(Table7[[#This Row],[Min]],FIND("-",Table7[[#This Row],[Min]])-1),Table1[Content Sku],0),16,1,1,"Entities")),"review","ok"),"ok")</f>
        <v>ok</v>
      </c>
      <c r="U159" t="s">
        <v>254</v>
      </c>
      <c r="V159">
        <v>0</v>
      </c>
      <c r="W159">
        <v>0</v>
      </c>
      <c r="X159" t="s">
        <v>8</v>
      </c>
      <c r="Y159" s="74" t="str">
        <f ca="1">IF(Table15[[#This Row],[Type]]="KILL",IF(_xlfn.NUMBERVALUE(RIGHT(Table15[[#This Row],[Min]],LEN(Table15[[#This Row],[Min]])-FIND("-",Table15[[#This Row],[Min]])))&gt;INDIRECT(ADDRESS(11+MATCH(LEFT(Table15[[#This Row],[Min]],FIND("-",Table15[[#This Row],[Min]])-1),Table1[Content Sku],0),16,1,1,"Entities")),"review","ok"),"ok")</f>
        <v>ok</v>
      </c>
      <c r="Z159" t="s">
        <v>548</v>
      </c>
      <c r="AA159">
        <v>1</v>
      </c>
      <c r="AB159" s="74">
        <f ca="1">(INDIRECT(ADDRESS(2+(MATCH(Table33[[#This Row],[SPAWNER]],Table40[SPAWNER],0)),2,1,1,"DATA_SCENES_UNITY_2")))</f>
        <v>2</v>
      </c>
      <c r="AK159" t="s">
        <v>2662</v>
      </c>
      <c r="AL159">
        <v>0</v>
      </c>
      <c r="AM159">
        <v>0</v>
      </c>
      <c r="AN159" t="s">
        <v>8</v>
      </c>
      <c r="AO159" s="74" t="str">
        <f ca="1">IF(Table20[[#This Row],[Type]]="KILL",IF(_xlfn.NUMBERVALUE(RIGHT(Table20[[#This Row],[Min]],LEN(Table20[[#This Row],[Min]])-FIND("-",Table20[[#This Row],[Min]])))&gt;INDIRECT(ADDRESS(11+MATCH(LEFT(Table20[[#This Row],[Min]],FIND("-",Table20[[#This Row],[Min]])-1),Table1[Content Sku],0),18,1,1,"Entities")),"review","ok"),"ok")</f>
        <v>ok</v>
      </c>
    </row>
    <row r="160" spans="5:41" x14ac:dyDescent="0.25">
      <c r="E160" t="s">
        <v>396</v>
      </c>
      <c r="F160">
        <v>6500</v>
      </c>
      <c r="G160">
        <v>0</v>
      </c>
      <c r="H160" t="s">
        <v>205</v>
      </c>
      <c r="I160" s="74" t="str">
        <f ca="1">IF(Table7[[#This Row],[Type]]="KILL",IF(_xlfn.NUMBERVALUE(RIGHT(Table7[[#This Row],[Min]],LEN(Table7[[#This Row],[Min]])-FIND("-",Table7[[#This Row],[Min]])))&gt;INDIRECT(ADDRESS(11+MATCH(LEFT(Table7[[#This Row],[Min]],FIND("-",Table7[[#This Row],[Min]])-1),Table1[Content Sku],0),16,1,1,"Entities")),"review","ok"),"ok")</f>
        <v>ok</v>
      </c>
      <c r="U160" t="s">
        <v>50</v>
      </c>
      <c r="V160">
        <v>0</v>
      </c>
      <c r="W160">
        <v>0</v>
      </c>
      <c r="X160" t="s">
        <v>8</v>
      </c>
      <c r="Y160" s="74" t="str">
        <f ca="1">IF(Table15[[#This Row],[Type]]="KILL",IF(_xlfn.NUMBERVALUE(RIGHT(Table15[[#This Row],[Min]],LEN(Table15[[#This Row],[Min]])-FIND("-",Table15[[#This Row],[Min]])))&gt;INDIRECT(ADDRESS(11+MATCH(LEFT(Table15[[#This Row],[Min]],FIND("-",Table15[[#This Row],[Min]])-1),Table1[Content Sku],0),16,1,1,"Entities")),"review","ok"),"ok")</f>
        <v>ok</v>
      </c>
      <c r="Z160" t="s">
        <v>548</v>
      </c>
      <c r="AA160">
        <v>4</v>
      </c>
      <c r="AB160" s="74">
        <f ca="1">(INDIRECT(ADDRESS(2+(MATCH(Table33[[#This Row],[SPAWNER]],Table40[SPAWNER],0)),2,1,1,"DATA_SCENES_UNITY_2")))</f>
        <v>2</v>
      </c>
      <c r="AK160" t="s">
        <v>2745</v>
      </c>
      <c r="AL160">
        <v>0</v>
      </c>
      <c r="AM160">
        <v>0</v>
      </c>
      <c r="AN160" t="s">
        <v>8</v>
      </c>
      <c r="AO160" s="74" t="str">
        <f ca="1">IF(Table20[[#This Row],[Type]]="KILL",IF(_xlfn.NUMBERVALUE(RIGHT(Table20[[#This Row],[Min]],LEN(Table20[[#This Row],[Min]])-FIND("-",Table20[[#This Row],[Min]])))&gt;INDIRECT(ADDRESS(11+MATCH(LEFT(Table20[[#This Row],[Min]],FIND("-",Table20[[#This Row],[Min]])-1),Table1[Content Sku],0),18,1,1,"Entities")),"review","ok"),"ok")</f>
        <v>ok</v>
      </c>
    </row>
    <row r="161" spans="5:41" x14ac:dyDescent="0.25">
      <c r="E161" t="s">
        <v>50</v>
      </c>
      <c r="F161">
        <v>0</v>
      </c>
      <c r="G161">
        <v>0</v>
      </c>
      <c r="H161" t="s">
        <v>8</v>
      </c>
      <c r="I161" s="74" t="str">
        <f ca="1">IF(Table7[[#This Row],[Type]]="KILL",IF(_xlfn.NUMBERVALUE(RIGHT(Table7[[#This Row],[Min]],LEN(Table7[[#This Row],[Min]])-FIND("-",Table7[[#This Row],[Min]])))&gt;INDIRECT(ADDRESS(11+MATCH(LEFT(Table7[[#This Row],[Min]],FIND("-",Table7[[#This Row],[Min]])-1),Table1[Content Sku],0),16,1,1,"Entities")),"review","ok"),"ok")</f>
        <v>ok</v>
      </c>
      <c r="U161" t="s">
        <v>254</v>
      </c>
      <c r="V161">
        <v>0</v>
      </c>
      <c r="W161">
        <v>0</v>
      </c>
      <c r="X161" t="s">
        <v>8</v>
      </c>
      <c r="Y161" s="74" t="str">
        <f ca="1">IF(Table15[[#This Row],[Type]]="KILL",IF(_xlfn.NUMBERVALUE(RIGHT(Table15[[#This Row],[Min]],LEN(Table15[[#This Row],[Min]])-FIND("-",Table15[[#This Row],[Min]])))&gt;INDIRECT(ADDRESS(11+MATCH(LEFT(Table15[[#This Row],[Min]],FIND("-",Table15[[#This Row],[Min]])-1),Table1[Content Sku],0),16,1,1,"Entities")),"review","ok"),"ok")</f>
        <v>ok</v>
      </c>
      <c r="Z161" t="s">
        <v>548</v>
      </c>
      <c r="AA161">
        <v>1</v>
      </c>
      <c r="AB161" s="74">
        <f ca="1">(INDIRECT(ADDRESS(2+(MATCH(Table33[[#This Row],[SPAWNER]],Table40[SPAWNER],0)),2,1,1,"DATA_SCENES_UNITY_2")))</f>
        <v>2</v>
      </c>
      <c r="AK161" t="s">
        <v>39</v>
      </c>
      <c r="AL161">
        <v>0</v>
      </c>
      <c r="AM161">
        <v>0</v>
      </c>
      <c r="AN161" t="s">
        <v>8</v>
      </c>
      <c r="AO161" s="74" t="str">
        <f ca="1">IF(Table20[[#This Row],[Type]]="KILL",IF(_xlfn.NUMBERVALUE(RIGHT(Table20[[#This Row],[Min]],LEN(Table20[[#This Row],[Min]])-FIND("-",Table20[[#This Row],[Min]])))&gt;INDIRECT(ADDRESS(11+MATCH(LEFT(Table20[[#This Row],[Min]],FIND("-",Table20[[#This Row],[Min]])-1),Table1[Content Sku],0),18,1,1,"Entities")),"review","ok"),"ok")</f>
        <v>ok</v>
      </c>
    </row>
    <row r="162" spans="5:41" x14ac:dyDescent="0.25">
      <c r="E162" t="s">
        <v>43</v>
      </c>
      <c r="F162">
        <v>50000</v>
      </c>
      <c r="G162">
        <v>0</v>
      </c>
      <c r="H162" t="s">
        <v>205</v>
      </c>
      <c r="I162" s="74" t="str">
        <f ca="1">IF(Table7[[#This Row],[Type]]="KILL",IF(_xlfn.NUMBERVALUE(RIGHT(Table7[[#This Row],[Min]],LEN(Table7[[#This Row],[Min]])-FIND("-",Table7[[#This Row],[Min]])))&gt;INDIRECT(ADDRESS(11+MATCH(LEFT(Table7[[#This Row],[Min]],FIND("-",Table7[[#This Row],[Min]])-1),Table1[Content Sku],0),16,1,1,"Entities")),"review","ok"),"ok")</f>
        <v>ok</v>
      </c>
      <c r="U162" t="s">
        <v>37</v>
      </c>
      <c r="V162">
        <v>0</v>
      </c>
      <c r="W162">
        <v>0</v>
      </c>
      <c r="X162" t="s">
        <v>8</v>
      </c>
      <c r="Y162" s="74" t="str">
        <f ca="1">IF(Table15[[#This Row],[Type]]="KILL",IF(_xlfn.NUMBERVALUE(RIGHT(Table15[[#This Row],[Min]],LEN(Table15[[#This Row],[Min]])-FIND("-",Table15[[#This Row],[Min]])))&gt;INDIRECT(ADDRESS(11+MATCH(LEFT(Table15[[#This Row],[Min]],FIND("-",Table15[[#This Row],[Min]])-1),Table1[Content Sku],0),16,1,1,"Entities")),"review","ok"),"ok")</f>
        <v>ok</v>
      </c>
      <c r="Z162" t="s">
        <v>548</v>
      </c>
      <c r="AA162">
        <v>2</v>
      </c>
      <c r="AB162" s="74">
        <f ca="1">(INDIRECT(ADDRESS(2+(MATCH(Table33[[#This Row],[SPAWNER]],Table40[SPAWNER],0)),2,1,1,"DATA_SCENES_UNITY_2")))</f>
        <v>2</v>
      </c>
      <c r="AK162" t="s">
        <v>578</v>
      </c>
      <c r="AL162">
        <v>0</v>
      </c>
      <c r="AM162">
        <v>0</v>
      </c>
      <c r="AN162" t="s">
        <v>8</v>
      </c>
      <c r="AO162" s="74" t="str">
        <f ca="1">IF(Table20[[#This Row],[Type]]="KILL",IF(_xlfn.NUMBERVALUE(RIGHT(Table20[[#This Row],[Min]],LEN(Table20[[#This Row],[Min]])-FIND("-",Table20[[#This Row],[Min]])))&gt;INDIRECT(ADDRESS(11+MATCH(LEFT(Table20[[#This Row],[Min]],FIND("-",Table20[[#This Row],[Min]])-1),Table1[Content Sku],0),18,1,1,"Entities")),"review","ok"),"ok")</f>
        <v>ok</v>
      </c>
    </row>
    <row r="163" spans="5:41" x14ac:dyDescent="0.25">
      <c r="E163" t="s">
        <v>400</v>
      </c>
      <c r="F163">
        <v>0</v>
      </c>
      <c r="G163">
        <v>0</v>
      </c>
      <c r="H163" t="s">
        <v>8</v>
      </c>
      <c r="I163" s="74" t="str">
        <f ca="1">IF(Table7[[#This Row],[Type]]="KILL",IF(_xlfn.NUMBERVALUE(RIGHT(Table7[[#This Row],[Min]],LEN(Table7[[#This Row],[Min]])-FIND("-",Table7[[#This Row],[Min]])))&gt;INDIRECT(ADDRESS(11+MATCH(LEFT(Table7[[#This Row],[Min]],FIND("-",Table7[[#This Row],[Min]])-1),Table1[Content Sku],0),16,1,1,"Entities")),"review","ok"),"ok")</f>
        <v>ok</v>
      </c>
      <c r="U163" t="s">
        <v>1</v>
      </c>
      <c r="V163">
        <v>180</v>
      </c>
      <c r="W163">
        <v>0</v>
      </c>
      <c r="X163" t="s">
        <v>4431</v>
      </c>
      <c r="Y163" s="74" t="str">
        <f ca="1">IF(Table15[[#This Row],[Type]]="KILL",IF(_xlfn.NUMBERVALUE(RIGHT(Table15[[#This Row],[Min]],LEN(Table15[[#This Row],[Min]])-FIND("-",Table15[[#This Row],[Min]])))&gt;INDIRECT(ADDRESS(11+MATCH(LEFT(Table15[[#This Row],[Min]],FIND("-",Table15[[#This Row],[Min]])-1),Table1[Content Sku],0),16,1,1,"Entities")),"review","ok"),"ok")</f>
        <v>ok</v>
      </c>
      <c r="Z163" t="s">
        <v>548</v>
      </c>
      <c r="AA163">
        <v>8</v>
      </c>
      <c r="AB163" s="74">
        <f ca="1">(INDIRECT(ADDRESS(2+(MATCH(Table33[[#This Row],[SPAWNER]],Table40[SPAWNER],0)),2,1,1,"DATA_SCENES_UNITY_2")))</f>
        <v>2</v>
      </c>
      <c r="AK163" t="s">
        <v>37</v>
      </c>
      <c r="AL163">
        <v>0</v>
      </c>
      <c r="AM163">
        <v>0</v>
      </c>
      <c r="AN163" t="s">
        <v>8</v>
      </c>
      <c r="AO163" s="74" t="str">
        <f ca="1">IF(Table20[[#This Row],[Type]]="KILL",IF(_xlfn.NUMBERVALUE(RIGHT(Table20[[#This Row],[Min]],LEN(Table20[[#This Row],[Min]])-FIND("-",Table20[[#This Row],[Min]])))&gt;INDIRECT(ADDRESS(11+MATCH(LEFT(Table20[[#This Row],[Min]],FIND("-",Table20[[#This Row],[Min]])-1),Table1[Content Sku],0),18,1,1,"Entities")),"review","ok"),"ok")</f>
        <v>ok</v>
      </c>
    </row>
    <row r="164" spans="5:41" x14ac:dyDescent="0.25">
      <c r="E164" t="s">
        <v>40</v>
      </c>
      <c r="F164">
        <v>0</v>
      </c>
      <c r="G164">
        <v>0</v>
      </c>
      <c r="H164" t="s">
        <v>8</v>
      </c>
      <c r="I164" s="74" t="str">
        <f ca="1">IF(Table7[[#This Row],[Type]]="KILL",IF(_xlfn.NUMBERVALUE(RIGHT(Table7[[#This Row],[Min]],LEN(Table7[[#This Row],[Min]])-FIND("-",Table7[[#This Row],[Min]])))&gt;INDIRECT(ADDRESS(11+MATCH(LEFT(Table7[[#This Row],[Min]],FIND("-",Table7[[#This Row],[Min]])-1),Table1[Content Sku],0),16,1,1,"Entities")),"review","ok"),"ok")</f>
        <v>ok</v>
      </c>
      <c r="U164" t="s">
        <v>283</v>
      </c>
      <c r="V164">
        <v>30000</v>
      </c>
      <c r="W164">
        <v>0</v>
      </c>
      <c r="X164" t="s">
        <v>205</v>
      </c>
      <c r="Y164" s="74" t="str">
        <f ca="1">IF(Table15[[#This Row],[Type]]="KILL",IF(_xlfn.NUMBERVALUE(RIGHT(Table15[[#This Row],[Min]],LEN(Table15[[#This Row],[Min]])-FIND("-",Table15[[#This Row],[Min]])))&gt;INDIRECT(ADDRESS(11+MATCH(LEFT(Table15[[#This Row],[Min]],FIND("-",Table15[[#This Row],[Min]])-1),Table1[Content Sku],0),16,1,1,"Entities")),"review","ok"),"ok")</f>
        <v>ok</v>
      </c>
      <c r="Z164" t="s">
        <v>122</v>
      </c>
      <c r="AA164">
        <v>1</v>
      </c>
      <c r="AB164" s="74">
        <f ca="1">(INDIRECT(ADDRESS(2+(MATCH(Table33[[#This Row],[SPAWNER]],Table40[SPAWNER],0)),2,1,1,"DATA_SCENES_UNITY_2")))</f>
        <v>3</v>
      </c>
      <c r="AK164" t="s">
        <v>2767</v>
      </c>
      <c r="AL164">
        <v>0</v>
      </c>
      <c r="AM164">
        <v>0</v>
      </c>
      <c r="AN164" t="s">
        <v>8</v>
      </c>
      <c r="AO164" s="74" t="str">
        <f ca="1">IF(Table20[[#This Row],[Type]]="KILL",IF(_xlfn.NUMBERVALUE(RIGHT(Table20[[#This Row],[Min]],LEN(Table20[[#This Row],[Min]])-FIND("-",Table20[[#This Row],[Min]])))&gt;INDIRECT(ADDRESS(11+MATCH(LEFT(Table20[[#This Row],[Min]],FIND("-",Table20[[#This Row],[Min]])-1),Table1[Content Sku],0),18,1,1,"Entities")),"review","ok"),"ok")</f>
        <v>ok</v>
      </c>
    </row>
    <row r="165" spans="5:41" x14ac:dyDescent="0.25">
      <c r="E165" t="s">
        <v>283</v>
      </c>
      <c r="F165">
        <v>0</v>
      </c>
      <c r="G165">
        <v>0</v>
      </c>
      <c r="H165" t="s">
        <v>8</v>
      </c>
      <c r="I165" s="74" t="str">
        <f ca="1">IF(Table7[[#This Row],[Type]]="KILL",IF(_xlfn.NUMBERVALUE(RIGHT(Table7[[#This Row],[Min]],LEN(Table7[[#This Row],[Min]])-FIND("-",Table7[[#This Row],[Min]])))&gt;INDIRECT(ADDRESS(11+MATCH(LEFT(Table7[[#This Row],[Min]],FIND("-",Table7[[#This Row],[Min]])-1),Table1[Content Sku],0),16,1,1,"Entities")),"review","ok"),"ok")</f>
        <v>ok</v>
      </c>
      <c r="U165" t="s">
        <v>95</v>
      </c>
      <c r="V165">
        <v>0</v>
      </c>
      <c r="W165">
        <v>0</v>
      </c>
      <c r="X165" t="s">
        <v>8</v>
      </c>
      <c r="Y165" s="74" t="str">
        <f ca="1">IF(Table15[[#This Row],[Type]]="KILL",IF(_xlfn.NUMBERVALUE(RIGHT(Table15[[#This Row],[Min]],LEN(Table15[[#This Row],[Min]])-FIND("-",Table15[[#This Row],[Min]])))&gt;INDIRECT(ADDRESS(11+MATCH(LEFT(Table15[[#This Row],[Min]],FIND("-",Table15[[#This Row],[Min]])-1),Table1[Content Sku],0),16,1,1,"Entities")),"review","ok"),"ok")</f>
        <v>ok</v>
      </c>
      <c r="AK165" t="s">
        <v>37</v>
      </c>
      <c r="AL165">
        <v>0</v>
      </c>
      <c r="AM165">
        <v>0</v>
      </c>
      <c r="AN165" t="s">
        <v>8</v>
      </c>
      <c r="AO165" s="74" t="str">
        <f ca="1">IF(Table20[[#This Row],[Type]]="KILL",IF(_xlfn.NUMBERVALUE(RIGHT(Table20[[#This Row],[Min]],LEN(Table20[[#This Row],[Min]])-FIND("-",Table20[[#This Row],[Min]])))&gt;INDIRECT(ADDRESS(11+MATCH(LEFT(Table20[[#This Row],[Min]],FIND("-",Table20[[#This Row],[Min]])-1),Table1[Content Sku],0),18,1,1,"Entities")),"review","ok"),"ok")</f>
        <v>ok</v>
      </c>
    </row>
    <row r="166" spans="5:41" x14ac:dyDescent="0.25">
      <c r="E166" t="s">
        <v>254</v>
      </c>
      <c r="F166">
        <v>0</v>
      </c>
      <c r="G166">
        <v>20000</v>
      </c>
      <c r="H166" t="s">
        <v>205</v>
      </c>
      <c r="I166" s="74" t="str">
        <f ca="1">IF(Table7[[#This Row],[Type]]="KILL",IF(_xlfn.NUMBERVALUE(RIGHT(Table7[[#This Row],[Min]],LEN(Table7[[#This Row],[Min]])-FIND("-",Table7[[#This Row],[Min]])))&gt;INDIRECT(ADDRESS(11+MATCH(LEFT(Table7[[#This Row],[Min]],FIND("-",Table7[[#This Row],[Min]])-1),Table1[Content Sku],0),16,1,1,"Entities")),"review","ok"),"ok")</f>
        <v>ok</v>
      </c>
      <c r="U166" t="s">
        <v>391</v>
      </c>
      <c r="V166">
        <v>0</v>
      </c>
      <c r="W166">
        <v>0</v>
      </c>
      <c r="X166" t="s">
        <v>8</v>
      </c>
      <c r="Y166" s="74" t="str">
        <f ca="1">IF(Table15[[#This Row],[Type]]="KILL",IF(_xlfn.NUMBERVALUE(RIGHT(Table15[[#This Row],[Min]],LEN(Table15[[#This Row],[Min]])-FIND("-",Table15[[#This Row],[Min]])))&gt;INDIRECT(ADDRESS(11+MATCH(LEFT(Table15[[#This Row],[Min]],FIND("-",Table15[[#This Row],[Min]])-1),Table1[Content Sku],0),16,1,1,"Entities")),"review","ok"),"ok")</f>
        <v>ok</v>
      </c>
      <c r="AK166" t="s">
        <v>2675</v>
      </c>
      <c r="AL166">
        <v>0</v>
      </c>
      <c r="AM166">
        <v>0</v>
      </c>
      <c r="AN166" t="s">
        <v>8</v>
      </c>
      <c r="AO166" s="74" t="str">
        <f ca="1">IF(Table20[[#This Row],[Type]]="KILL",IF(_xlfn.NUMBERVALUE(RIGHT(Table20[[#This Row],[Min]],LEN(Table20[[#This Row],[Min]])-FIND("-",Table20[[#This Row],[Min]])))&gt;INDIRECT(ADDRESS(11+MATCH(LEFT(Table20[[#This Row],[Min]],FIND("-",Table20[[#This Row],[Min]])-1),Table1[Content Sku],0),18,1,1,"Entities")),"review","ok"),"ok")</f>
        <v>ok</v>
      </c>
    </row>
    <row r="167" spans="5:41" x14ac:dyDescent="0.25">
      <c r="E167" t="s">
        <v>40</v>
      </c>
      <c r="F167">
        <v>0</v>
      </c>
      <c r="G167">
        <v>0</v>
      </c>
      <c r="H167" t="s">
        <v>8</v>
      </c>
      <c r="I167" s="74" t="str">
        <f ca="1">IF(Table7[[#This Row],[Type]]="KILL",IF(_xlfn.NUMBERVALUE(RIGHT(Table7[[#This Row],[Min]],LEN(Table7[[#This Row],[Min]])-FIND("-",Table7[[#This Row],[Min]])))&gt;INDIRECT(ADDRESS(11+MATCH(LEFT(Table7[[#This Row],[Min]],FIND("-",Table7[[#This Row],[Min]])-1),Table1[Content Sku],0),16,1,1,"Entities")),"review","ok"),"ok")</f>
        <v>ok</v>
      </c>
      <c r="U167" t="s">
        <v>548</v>
      </c>
      <c r="V167">
        <v>0</v>
      </c>
      <c r="W167">
        <v>0</v>
      </c>
      <c r="X167" t="s">
        <v>8</v>
      </c>
      <c r="Y167" s="74" t="str">
        <f ca="1">IF(Table15[[#This Row],[Type]]="KILL",IF(_xlfn.NUMBERVALUE(RIGHT(Table15[[#This Row],[Min]],LEN(Table15[[#This Row],[Min]])-FIND("-",Table15[[#This Row],[Min]])))&gt;INDIRECT(ADDRESS(11+MATCH(LEFT(Table15[[#This Row],[Min]],FIND("-",Table15[[#This Row],[Min]])-1),Table1[Content Sku],0),16,1,1,"Entities")),"review","ok"),"ok")</f>
        <v>ok</v>
      </c>
      <c r="AK167" t="s">
        <v>2738</v>
      </c>
      <c r="AL167">
        <v>0</v>
      </c>
      <c r="AM167">
        <v>0</v>
      </c>
      <c r="AN167" t="s">
        <v>8</v>
      </c>
      <c r="AO167" s="74" t="str">
        <f ca="1">IF(Table20[[#This Row],[Type]]="KILL",IF(_xlfn.NUMBERVALUE(RIGHT(Table20[[#This Row],[Min]],LEN(Table20[[#This Row],[Min]])-FIND("-",Table20[[#This Row],[Min]])))&gt;INDIRECT(ADDRESS(11+MATCH(LEFT(Table20[[#This Row],[Min]],FIND("-",Table20[[#This Row],[Min]])-1),Table1[Content Sku],0),18,1,1,"Entities")),"review","ok"),"ok")</f>
        <v>ok</v>
      </c>
    </row>
    <row r="168" spans="5:41" x14ac:dyDescent="0.25">
      <c r="E168" t="s">
        <v>21</v>
      </c>
      <c r="F168">
        <v>28000</v>
      </c>
      <c r="G168">
        <v>0</v>
      </c>
      <c r="H168" t="s">
        <v>205</v>
      </c>
      <c r="I168" s="74" t="str">
        <f ca="1">IF(Table7[[#This Row],[Type]]="KILL",IF(_xlfn.NUMBERVALUE(RIGHT(Table7[[#This Row],[Min]],LEN(Table7[[#This Row],[Min]])-FIND("-",Table7[[#This Row],[Min]])))&gt;INDIRECT(ADDRESS(11+MATCH(LEFT(Table7[[#This Row],[Min]],FIND("-",Table7[[#This Row],[Min]])-1),Table1[Content Sku],0),16,1,1,"Entities")),"review","ok"),"ok")</f>
        <v>ok</v>
      </c>
      <c r="U168" t="s">
        <v>2738</v>
      </c>
      <c r="V168">
        <v>0</v>
      </c>
      <c r="W168">
        <v>0</v>
      </c>
      <c r="X168" t="s">
        <v>8</v>
      </c>
      <c r="Y168" s="74" t="str">
        <f ca="1">IF(Table15[[#This Row],[Type]]="KILL",IF(_xlfn.NUMBERVALUE(RIGHT(Table15[[#This Row],[Min]],LEN(Table15[[#This Row],[Min]])-FIND("-",Table15[[#This Row],[Min]])))&gt;INDIRECT(ADDRESS(11+MATCH(LEFT(Table15[[#This Row],[Min]],FIND("-",Table15[[#This Row],[Min]])-1),Table1[Content Sku],0),16,1,1,"Entities")),"review","ok"),"ok")</f>
        <v>ok</v>
      </c>
      <c r="AK168" t="s">
        <v>2741</v>
      </c>
      <c r="AL168">
        <v>0</v>
      </c>
      <c r="AM168">
        <v>0</v>
      </c>
      <c r="AN168" t="s">
        <v>8</v>
      </c>
      <c r="AO168" s="74" t="str">
        <f ca="1">IF(Table20[[#This Row],[Type]]="KILL",IF(_xlfn.NUMBERVALUE(RIGHT(Table20[[#This Row],[Min]],LEN(Table20[[#This Row],[Min]])-FIND("-",Table20[[#This Row],[Min]])))&gt;INDIRECT(ADDRESS(11+MATCH(LEFT(Table20[[#This Row],[Min]],FIND("-",Table20[[#This Row],[Min]])-1),Table1[Content Sku],0),18,1,1,"Entities")),"review","ok"),"ok")</f>
        <v>ok</v>
      </c>
    </row>
    <row r="169" spans="5:41" x14ac:dyDescent="0.25">
      <c r="E169" t="s">
        <v>391</v>
      </c>
      <c r="F169">
        <v>0</v>
      </c>
      <c r="G169">
        <v>0</v>
      </c>
      <c r="H169" t="s">
        <v>8</v>
      </c>
      <c r="I169" s="74" t="str">
        <f ca="1">IF(Table7[[#This Row],[Type]]="KILL",IF(_xlfn.NUMBERVALUE(RIGHT(Table7[[#This Row],[Min]],LEN(Table7[[#This Row],[Min]])-FIND("-",Table7[[#This Row],[Min]])))&gt;INDIRECT(ADDRESS(11+MATCH(LEFT(Table7[[#This Row],[Min]],FIND("-",Table7[[#This Row],[Min]])-1),Table1[Content Sku],0),16,1,1,"Entities")),"review","ok"),"ok")</f>
        <v>ok</v>
      </c>
      <c r="U169" t="s">
        <v>311</v>
      </c>
      <c r="V169">
        <v>24000</v>
      </c>
      <c r="W169">
        <v>0</v>
      </c>
      <c r="X169" t="s">
        <v>205</v>
      </c>
      <c r="Y169" s="74" t="str">
        <f ca="1">IF(Table15[[#This Row],[Type]]="KILL",IF(_xlfn.NUMBERVALUE(RIGHT(Table15[[#This Row],[Min]],LEN(Table15[[#This Row],[Min]])-FIND("-",Table15[[#This Row],[Min]])))&gt;INDIRECT(ADDRESS(11+MATCH(LEFT(Table15[[#This Row],[Min]],FIND("-",Table15[[#This Row],[Min]])-1),Table1[Content Sku],0),16,1,1,"Entities")),"review","ok"),"ok")</f>
        <v>ok</v>
      </c>
      <c r="AK169" t="s">
        <v>2665</v>
      </c>
      <c r="AL169">
        <v>0</v>
      </c>
      <c r="AM169">
        <v>92000</v>
      </c>
      <c r="AN169" t="s">
        <v>205</v>
      </c>
      <c r="AO169" s="74" t="str">
        <f ca="1">IF(Table20[[#This Row],[Type]]="KILL",IF(_xlfn.NUMBERVALUE(RIGHT(Table20[[#This Row],[Min]],LEN(Table20[[#This Row],[Min]])-FIND("-",Table20[[#This Row],[Min]])))&gt;INDIRECT(ADDRESS(11+MATCH(LEFT(Table20[[#This Row],[Min]],FIND("-",Table20[[#This Row],[Min]])-1),Table1[Content Sku],0),18,1,1,"Entities")),"review","ok"),"ok")</f>
        <v>ok</v>
      </c>
    </row>
    <row r="170" spans="5:41" x14ac:dyDescent="0.25">
      <c r="E170" t="s">
        <v>276</v>
      </c>
      <c r="F170">
        <v>0</v>
      </c>
      <c r="G170">
        <v>0</v>
      </c>
      <c r="H170" t="s">
        <v>8</v>
      </c>
      <c r="I170" s="74" t="str">
        <f ca="1">IF(Table7[[#This Row],[Type]]="KILL",IF(_xlfn.NUMBERVALUE(RIGHT(Table7[[#This Row],[Min]],LEN(Table7[[#This Row],[Min]])-FIND("-",Table7[[#This Row],[Min]])))&gt;INDIRECT(ADDRESS(11+MATCH(LEFT(Table7[[#This Row],[Min]],FIND("-",Table7[[#This Row],[Min]])-1),Table1[Content Sku],0),16,1,1,"Entities")),"review","ok"),"ok")</f>
        <v>ok</v>
      </c>
      <c r="U170" t="s">
        <v>122</v>
      </c>
      <c r="V170">
        <v>0</v>
      </c>
      <c r="W170">
        <v>0</v>
      </c>
      <c r="X170" t="s">
        <v>8</v>
      </c>
      <c r="Y170" s="74" t="str">
        <f ca="1">IF(Table15[[#This Row],[Type]]="KILL",IF(_xlfn.NUMBERVALUE(RIGHT(Table15[[#This Row],[Min]],LEN(Table15[[#This Row],[Min]])-FIND("-",Table15[[#This Row],[Min]])))&gt;INDIRECT(ADDRESS(11+MATCH(LEFT(Table15[[#This Row],[Min]],FIND("-",Table15[[#This Row],[Min]])-1),Table1[Content Sku],0),16,1,1,"Entities")),"review","ok"),"ok")</f>
        <v>ok</v>
      </c>
      <c r="AK170" t="s">
        <v>574</v>
      </c>
      <c r="AL170">
        <v>0</v>
      </c>
      <c r="AM170">
        <v>0</v>
      </c>
      <c r="AN170" t="s">
        <v>8</v>
      </c>
      <c r="AO170" s="74" t="str">
        <f ca="1">IF(Table20[[#This Row],[Type]]="KILL",IF(_xlfn.NUMBERVALUE(RIGHT(Table20[[#This Row],[Min]],LEN(Table20[[#This Row],[Min]])-FIND("-",Table20[[#This Row],[Min]])))&gt;INDIRECT(ADDRESS(11+MATCH(LEFT(Table20[[#This Row],[Min]],FIND("-",Table20[[#This Row],[Min]])-1),Table1[Content Sku],0),18,1,1,"Entities")),"review","ok"),"ok")</f>
        <v>ok</v>
      </c>
    </row>
    <row r="171" spans="5:41" x14ac:dyDescent="0.25">
      <c r="E171" t="s">
        <v>548</v>
      </c>
      <c r="F171">
        <v>0</v>
      </c>
      <c r="G171">
        <v>0</v>
      </c>
      <c r="H171" t="s">
        <v>8</v>
      </c>
      <c r="I171" s="74" t="str">
        <f ca="1">IF(Table7[[#This Row],[Type]]="KILL",IF(_xlfn.NUMBERVALUE(RIGHT(Table7[[#This Row],[Min]],LEN(Table7[[#This Row],[Min]])-FIND("-",Table7[[#This Row],[Min]])))&gt;INDIRECT(ADDRESS(11+MATCH(LEFT(Table7[[#This Row],[Min]],FIND("-",Table7[[#This Row],[Min]])-1),Table1[Content Sku],0),16,1,1,"Entities")),"review","ok"),"ok")</f>
        <v>ok</v>
      </c>
      <c r="U171" t="s">
        <v>95</v>
      </c>
      <c r="V171">
        <v>0</v>
      </c>
      <c r="W171">
        <v>0</v>
      </c>
      <c r="X171" t="s">
        <v>8</v>
      </c>
      <c r="Y171" s="74" t="str">
        <f ca="1">IF(Table15[[#This Row],[Type]]="KILL",IF(_xlfn.NUMBERVALUE(RIGHT(Table15[[#This Row],[Min]],LEN(Table15[[#This Row],[Min]])-FIND("-",Table15[[#This Row],[Min]])))&gt;INDIRECT(ADDRESS(11+MATCH(LEFT(Table15[[#This Row],[Min]],FIND("-",Table15[[#This Row],[Min]])-1),Table1[Content Sku],0),16,1,1,"Entities")),"review","ok"),"ok")</f>
        <v>ok</v>
      </c>
      <c r="AK171" t="s">
        <v>2674</v>
      </c>
      <c r="AL171">
        <v>0</v>
      </c>
      <c r="AM171">
        <v>0</v>
      </c>
      <c r="AN171" t="s">
        <v>8</v>
      </c>
      <c r="AO171" s="74" t="str">
        <f ca="1">IF(Table20[[#This Row],[Type]]="KILL",IF(_xlfn.NUMBERVALUE(RIGHT(Table20[[#This Row],[Min]],LEN(Table20[[#This Row],[Min]])-FIND("-",Table20[[#This Row],[Min]])))&gt;INDIRECT(ADDRESS(11+MATCH(LEFT(Table20[[#This Row],[Min]],FIND("-",Table20[[#This Row],[Min]])-1),Table1[Content Sku],0),18,1,1,"Entities")),"review","ok"),"ok")</f>
        <v>ok</v>
      </c>
    </row>
    <row r="172" spans="5:41" x14ac:dyDescent="0.25">
      <c r="E172" t="s">
        <v>276</v>
      </c>
      <c r="F172">
        <v>0</v>
      </c>
      <c r="G172">
        <v>0</v>
      </c>
      <c r="H172" t="s">
        <v>8</v>
      </c>
      <c r="I172" s="74" t="str">
        <f ca="1">IF(Table7[[#This Row],[Type]]="KILL",IF(_xlfn.NUMBERVALUE(RIGHT(Table7[[#This Row],[Min]],LEN(Table7[[#This Row],[Min]])-FIND("-",Table7[[#This Row],[Min]])))&gt;INDIRECT(ADDRESS(11+MATCH(LEFT(Table7[[#This Row],[Min]],FIND("-",Table7[[#This Row],[Min]])-1),Table1[Content Sku],0),16,1,1,"Entities")),"review","ok"),"ok")</f>
        <v>ok</v>
      </c>
      <c r="U172" t="s">
        <v>50</v>
      </c>
      <c r="V172">
        <v>0</v>
      </c>
      <c r="W172">
        <v>0</v>
      </c>
      <c r="X172" t="s">
        <v>8</v>
      </c>
      <c r="Y172" s="74" t="str">
        <f ca="1">IF(Table15[[#This Row],[Type]]="KILL",IF(_xlfn.NUMBERVALUE(RIGHT(Table15[[#This Row],[Min]],LEN(Table15[[#This Row],[Min]])-FIND("-",Table15[[#This Row],[Min]])))&gt;INDIRECT(ADDRESS(11+MATCH(LEFT(Table15[[#This Row],[Min]],FIND("-",Table15[[#This Row],[Min]])-1),Table1[Content Sku],0),16,1,1,"Entities")),"review","ok"),"ok")</f>
        <v>ok</v>
      </c>
      <c r="AK172" t="s">
        <v>37</v>
      </c>
      <c r="AL172">
        <v>0</v>
      </c>
      <c r="AM172">
        <v>0</v>
      </c>
      <c r="AN172" t="s">
        <v>8</v>
      </c>
      <c r="AO172" s="74" t="str">
        <f ca="1">IF(Table20[[#This Row],[Type]]="KILL",IF(_xlfn.NUMBERVALUE(RIGHT(Table20[[#This Row],[Min]],LEN(Table20[[#This Row],[Min]])-FIND("-",Table20[[#This Row],[Min]])))&gt;INDIRECT(ADDRESS(11+MATCH(LEFT(Table20[[#This Row],[Min]],FIND("-",Table20[[#This Row],[Min]])-1),Table1[Content Sku],0),18,1,1,"Entities")),"review","ok"),"ok")</f>
        <v>ok</v>
      </c>
    </row>
    <row r="173" spans="5:41" x14ac:dyDescent="0.25">
      <c r="E173" t="s">
        <v>21</v>
      </c>
      <c r="F173">
        <v>50000</v>
      </c>
      <c r="G173">
        <v>0</v>
      </c>
      <c r="H173" t="s">
        <v>205</v>
      </c>
      <c r="I173" s="74" t="str">
        <f ca="1">IF(Table7[[#This Row],[Type]]="KILL",IF(_xlfn.NUMBERVALUE(RIGHT(Table7[[#This Row],[Min]],LEN(Table7[[#This Row],[Min]])-FIND("-",Table7[[#This Row],[Min]])))&gt;INDIRECT(ADDRESS(11+MATCH(LEFT(Table7[[#This Row],[Min]],FIND("-",Table7[[#This Row],[Min]])-1),Table1[Content Sku],0),16,1,1,"Entities")),"review","ok"),"ok")</f>
        <v>ok</v>
      </c>
      <c r="U173" t="s">
        <v>273</v>
      </c>
      <c r="V173">
        <v>60000</v>
      </c>
      <c r="W173">
        <v>80000</v>
      </c>
      <c r="X173" t="s">
        <v>205</v>
      </c>
      <c r="Y173" s="74" t="str">
        <f ca="1">IF(Table15[[#This Row],[Type]]="KILL",IF(_xlfn.NUMBERVALUE(RIGHT(Table15[[#This Row],[Min]],LEN(Table15[[#This Row],[Min]])-FIND("-",Table15[[#This Row],[Min]])))&gt;INDIRECT(ADDRESS(11+MATCH(LEFT(Table15[[#This Row],[Min]],FIND("-",Table15[[#This Row],[Min]])-1),Table1[Content Sku],0),16,1,1,"Entities")),"review","ok"),"ok")</f>
        <v>ok</v>
      </c>
      <c r="AK173" t="s">
        <v>540</v>
      </c>
      <c r="AL173">
        <v>0</v>
      </c>
      <c r="AM173">
        <v>0</v>
      </c>
      <c r="AN173" t="s">
        <v>8</v>
      </c>
      <c r="AO173" s="74" t="str">
        <f ca="1">IF(Table20[[#This Row],[Type]]="KILL",IF(_xlfn.NUMBERVALUE(RIGHT(Table20[[#This Row],[Min]],LEN(Table20[[#This Row],[Min]])-FIND("-",Table20[[#This Row],[Min]])))&gt;INDIRECT(ADDRESS(11+MATCH(LEFT(Table20[[#This Row],[Min]],FIND("-",Table20[[#This Row],[Min]])-1),Table1[Content Sku],0),18,1,1,"Entities")),"review","ok"),"ok")</f>
        <v>ok</v>
      </c>
    </row>
    <row r="174" spans="5:41" x14ac:dyDescent="0.25">
      <c r="E174" t="s">
        <v>39</v>
      </c>
      <c r="F174">
        <v>0</v>
      </c>
      <c r="G174">
        <v>0</v>
      </c>
      <c r="H174" t="s">
        <v>8</v>
      </c>
      <c r="I174" s="74" t="str">
        <f ca="1">IF(Table7[[#This Row],[Type]]="KILL",IF(_xlfn.NUMBERVALUE(RIGHT(Table7[[#This Row],[Min]],LEN(Table7[[#This Row],[Min]])-FIND("-",Table7[[#This Row],[Min]])))&gt;INDIRECT(ADDRESS(11+MATCH(LEFT(Table7[[#This Row],[Min]],FIND("-",Table7[[#This Row],[Min]])-1),Table1[Content Sku],0),16,1,1,"Entities")),"review","ok"),"ok")</f>
        <v>ok</v>
      </c>
      <c r="U174" t="s">
        <v>2741</v>
      </c>
      <c r="V174">
        <v>0</v>
      </c>
      <c r="W174">
        <v>0</v>
      </c>
      <c r="X174" t="s">
        <v>8</v>
      </c>
      <c r="Y174" s="74" t="str">
        <f ca="1">IF(Table15[[#This Row],[Type]]="KILL",IF(_xlfn.NUMBERVALUE(RIGHT(Table15[[#This Row],[Min]],LEN(Table15[[#This Row],[Min]])-FIND("-",Table15[[#This Row],[Min]])))&gt;INDIRECT(ADDRESS(11+MATCH(LEFT(Table15[[#This Row],[Min]],FIND("-",Table15[[#This Row],[Min]])-1),Table1[Content Sku],0),16,1,1,"Entities")),"review","ok"),"ok")</f>
        <v>ok</v>
      </c>
      <c r="AK174" t="s">
        <v>2741</v>
      </c>
      <c r="AL174">
        <v>0</v>
      </c>
      <c r="AM174">
        <v>0</v>
      </c>
      <c r="AN174" t="s">
        <v>8</v>
      </c>
      <c r="AO174" s="74" t="str">
        <f ca="1">IF(Table20[[#This Row],[Type]]="KILL",IF(_xlfn.NUMBERVALUE(RIGHT(Table20[[#This Row],[Min]],LEN(Table20[[#This Row],[Min]])-FIND("-",Table20[[#This Row],[Min]])))&gt;INDIRECT(ADDRESS(11+MATCH(LEFT(Table20[[#This Row],[Min]],FIND("-",Table20[[#This Row],[Min]])-1),Table1[Content Sku],0),18,1,1,"Entities")),"review","ok"),"ok")</f>
        <v>ok</v>
      </c>
    </row>
    <row r="175" spans="5:41" x14ac:dyDescent="0.25">
      <c r="E175" t="s">
        <v>253</v>
      </c>
      <c r="F175">
        <v>0</v>
      </c>
      <c r="G175">
        <v>0</v>
      </c>
      <c r="H175" t="s">
        <v>8</v>
      </c>
      <c r="I175" s="74" t="str">
        <f ca="1">IF(Table7[[#This Row],[Type]]="KILL",IF(_xlfn.NUMBERVALUE(RIGHT(Table7[[#This Row],[Min]],LEN(Table7[[#This Row],[Min]])-FIND("-",Table7[[#This Row],[Min]])))&gt;INDIRECT(ADDRESS(11+MATCH(LEFT(Table7[[#This Row],[Min]],FIND("-",Table7[[#This Row],[Min]])-1),Table1[Content Sku],0),16,1,1,"Entities")),"review","ok"),"ok")</f>
        <v>ok</v>
      </c>
      <c r="U175" t="s">
        <v>289</v>
      </c>
      <c r="V175">
        <v>0</v>
      </c>
      <c r="W175">
        <v>0</v>
      </c>
      <c r="X175" t="s">
        <v>8</v>
      </c>
      <c r="Y175" s="74" t="str">
        <f ca="1">IF(Table15[[#This Row],[Type]]="KILL",IF(_xlfn.NUMBERVALUE(RIGHT(Table15[[#This Row],[Min]],LEN(Table15[[#This Row],[Min]])-FIND("-",Table15[[#This Row],[Min]])))&gt;INDIRECT(ADDRESS(11+MATCH(LEFT(Table15[[#This Row],[Min]],FIND("-",Table15[[#This Row],[Min]])-1),Table1[Content Sku],0),16,1,1,"Entities")),"review","ok"),"ok")</f>
        <v>ok</v>
      </c>
      <c r="AK175" t="s">
        <v>540</v>
      </c>
      <c r="AL175">
        <v>0</v>
      </c>
      <c r="AM175">
        <v>0</v>
      </c>
      <c r="AN175" t="s">
        <v>8</v>
      </c>
      <c r="AO175" s="74" t="str">
        <f ca="1">IF(Table20[[#This Row],[Type]]="KILL",IF(_xlfn.NUMBERVALUE(RIGHT(Table20[[#This Row],[Min]],LEN(Table20[[#This Row],[Min]])-FIND("-",Table20[[#This Row],[Min]])))&gt;INDIRECT(ADDRESS(11+MATCH(LEFT(Table20[[#This Row],[Min]],FIND("-",Table20[[#This Row],[Min]])-1),Table1[Content Sku],0),18,1,1,"Entities")),"review","ok"),"ok")</f>
        <v>ok</v>
      </c>
    </row>
    <row r="176" spans="5:41" x14ac:dyDescent="0.25">
      <c r="E176" t="s">
        <v>283</v>
      </c>
      <c r="F176">
        <v>0</v>
      </c>
      <c r="G176">
        <v>0</v>
      </c>
      <c r="H176" t="s">
        <v>8</v>
      </c>
      <c r="I176" s="74" t="str">
        <f ca="1">IF(Table7[[#This Row],[Type]]="KILL",IF(_xlfn.NUMBERVALUE(RIGHT(Table7[[#This Row],[Min]],LEN(Table7[[#This Row],[Min]])-FIND("-",Table7[[#This Row],[Min]])))&gt;INDIRECT(ADDRESS(11+MATCH(LEFT(Table7[[#This Row],[Min]],FIND("-",Table7[[#This Row],[Min]])-1),Table1[Content Sku],0),16,1,1,"Entities")),"review","ok"),"ok")</f>
        <v>ok</v>
      </c>
      <c r="U176" t="s">
        <v>391</v>
      </c>
      <c r="V176">
        <v>0</v>
      </c>
      <c r="W176">
        <v>0</v>
      </c>
      <c r="X176" t="s">
        <v>8</v>
      </c>
      <c r="Y176" s="74" t="str">
        <f ca="1">IF(Table15[[#This Row],[Type]]="KILL",IF(_xlfn.NUMBERVALUE(RIGHT(Table15[[#This Row],[Min]],LEN(Table15[[#This Row],[Min]])-FIND("-",Table15[[#This Row],[Min]])))&gt;INDIRECT(ADDRESS(11+MATCH(LEFT(Table15[[#This Row],[Min]],FIND("-",Table15[[#This Row],[Min]])-1),Table1[Content Sku],0),16,1,1,"Entities")),"review","ok"),"ok")</f>
        <v>ok</v>
      </c>
      <c r="AK176" t="s">
        <v>122</v>
      </c>
      <c r="AL176">
        <v>0</v>
      </c>
      <c r="AM176">
        <v>0</v>
      </c>
      <c r="AN176" t="s">
        <v>8</v>
      </c>
      <c r="AO176" s="74" t="str">
        <f ca="1">IF(Table20[[#This Row],[Type]]="KILL",IF(_xlfn.NUMBERVALUE(RIGHT(Table20[[#This Row],[Min]],LEN(Table20[[#This Row],[Min]])-FIND("-",Table20[[#This Row],[Min]])))&gt;INDIRECT(ADDRESS(11+MATCH(LEFT(Table20[[#This Row],[Min]],FIND("-",Table20[[#This Row],[Min]])-1),Table1[Content Sku],0),18,1,1,"Entities")),"review","ok"),"ok")</f>
        <v>ok</v>
      </c>
    </row>
    <row r="177" spans="5:41" x14ac:dyDescent="0.25">
      <c r="E177" t="s">
        <v>313</v>
      </c>
      <c r="F177">
        <v>0</v>
      </c>
      <c r="G177">
        <v>0</v>
      </c>
      <c r="H177" t="s">
        <v>8</v>
      </c>
      <c r="I177" s="74" t="str">
        <f ca="1">IF(Table7[[#This Row],[Type]]="KILL",IF(_xlfn.NUMBERVALUE(RIGHT(Table7[[#This Row],[Min]],LEN(Table7[[#This Row],[Min]])-FIND("-",Table7[[#This Row],[Min]])))&gt;INDIRECT(ADDRESS(11+MATCH(LEFT(Table7[[#This Row],[Min]],FIND("-",Table7[[#This Row],[Min]])-1),Table1[Content Sku],0),16,1,1,"Entities")),"review","ok"),"ok")</f>
        <v>ok</v>
      </c>
      <c r="U177" t="s">
        <v>254</v>
      </c>
      <c r="V177">
        <v>16100</v>
      </c>
      <c r="W177">
        <v>0</v>
      </c>
      <c r="X177" t="s">
        <v>205</v>
      </c>
      <c r="Y177" s="74" t="str">
        <f ca="1">IF(Table15[[#This Row],[Type]]="KILL",IF(_xlfn.NUMBERVALUE(RIGHT(Table15[[#This Row],[Min]],LEN(Table15[[#This Row],[Min]])-FIND("-",Table15[[#This Row],[Min]])))&gt;INDIRECT(ADDRESS(11+MATCH(LEFT(Table15[[#This Row],[Min]],FIND("-",Table15[[#This Row],[Min]])-1),Table1[Content Sku],0),16,1,1,"Entities")),"review","ok"),"ok")</f>
        <v>ok</v>
      </c>
      <c r="AK177" t="s">
        <v>2741</v>
      </c>
      <c r="AL177">
        <v>0</v>
      </c>
      <c r="AM177">
        <v>0</v>
      </c>
      <c r="AN177" t="s">
        <v>8</v>
      </c>
      <c r="AO177" s="74" t="str">
        <f ca="1">IF(Table20[[#This Row],[Type]]="KILL",IF(_xlfn.NUMBERVALUE(RIGHT(Table20[[#This Row],[Min]],LEN(Table20[[#This Row],[Min]])-FIND("-",Table20[[#This Row],[Min]])))&gt;INDIRECT(ADDRESS(11+MATCH(LEFT(Table20[[#This Row],[Min]],FIND("-",Table20[[#This Row],[Min]])-1),Table1[Content Sku],0),18,1,1,"Entities")),"review","ok"),"ok")</f>
        <v>ok</v>
      </c>
    </row>
    <row r="178" spans="5:41" x14ac:dyDescent="0.25">
      <c r="E178" t="s">
        <v>253</v>
      </c>
      <c r="F178">
        <v>0</v>
      </c>
      <c r="G178">
        <v>0</v>
      </c>
      <c r="H178" t="s">
        <v>8</v>
      </c>
      <c r="I178" s="74" t="str">
        <f ca="1">IF(Table7[[#This Row],[Type]]="KILL",IF(_xlfn.NUMBERVALUE(RIGHT(Table7[[#This Row],[Min]],LEN(Table7[[#This Row],[Min]])-FIND("-",Table7[[#This Row],[Min]])))&gt;INDIRECT(ADDRESS(11+MATCH(LEFT(Table7[[#This Row],[Min]],FIND("-",Table7[[#This Row],[Min]])-1),Table1[Content Sku],0),16,1,1,"Entities")),"review","ok"),"ok")</f>
        <v>ok</v>
      </c>
      <c r="U178" t="s">
        <v>313</v>
      </c>
      <c r="V178">
        <v>0</v>
      </c>
      <c r="W178">
        <v>0</v>
      </c>
      <c r="X178" t="s">
        <v>8</v>
      </c>
      <c r="Y178" s="74" t="str">
        <f ca="1">IF(Table15[[#This Row],[Type]]="KILL",IF(_xlfn.NUMBERVALUE(RIGHT(Table15[[#This Row],[Min]],LEN(Table15[[#This Row],[Min]])-FIND("-",Table15[[#This Row],[Min]])))&gt;INDIRECT(ADDRESS(11+MATCH(LEFT(Table15[[#This Row],[Min]],FIND("-",Table15[[#This Row],[Min]])-1),Table1[Content Sku],0),16,1,1,"Entities")),"review","ok"),"ok")</f>
        <v>ok</v>
      </c>
      <c r="AK178" t="s">
        <v>313</v>
      </c>
      <c r="AL178">
        <v>0</v>
      </c>
      <c r="AM178">
        <v>0</v>
      </c>
      <c r="AN178" t="s">
        <v>8</v>
      </c>
      <c r="AO178" s="74" t="str">
        <f ca="1">IF(Table20[[#This Row],[Type]]="KILL",IF(_xlfn.NUMBERVALUE(RIGHT(Table20[[#This Row],[Min]],LEN(Table20[[#This Row],[Min]])-FIND("-",Table20[[#This Row],[Min]])))&gt;INDIRECT(ADDRESS(11+MATCH(LEFT(Table20[[#This Row],[Min]],FIND("-",Table20[[#This Row],[Min]])-1),Table1[Content Sku],0),18,1,1,"Entities")),"review","ok"),"ok")</f>
        <v>ok</v>
      </c>
    </row>
    <row r="179" spans="5:41" x14ac:dyDescent="0.25">
      <c r="E179" t="s">
        <v>313</v>
      </c>
      <c r="F179">
        <v>0</v>
      </c>
      <c r="G179">
        <v>0</v>
      </c>
      <c r="H179" t="s">
        <v>8</v>
      </c>
      <c r="I179" s="74" t="str">
        <f ca="1">IF(Table7[[#This Row],[Type]]="KILL",IF(_xlfn.NUMBERVALUE(RIGHT(Table7[[#This Row],[Min]],LEN(Table7[[#This Row],[Min]])-FIND("-",Table7[[#This Row],[Min]])))&gt;INDIRECT(ADDRESS(11+MATCH(LEFT(Table7[[#This Row],[Min]],FIND("-",Table7[[#This Row],[Min]])-1),Table1[Content Sku],0),16,1,1,"Entities")),"review","ok"),"ok")</f>
        <v>ok</v>
      </c>
      <c r="U179" t="s">
        <v>283</v>
      </c>
      <c r="V179">
        <v>0</v>
      </c>
      <c r="W179">
        <v>0</v>
      </c>
      <c r="X179" t="s">
        <v>8</v>
      </c>
      <c r="Y179" s="74" t="str">
        <f ca="1">IF(Table15[[#This Row],[Type]]="KILL",IF(_xlfn.NUMBERVALUE(RIGHT(Table15[[#This Row],[Min]],LEN(Table15[[#This Row],[Min]])-FIND("-",Table15[[#This Row],[Min]])))&gt;INDIRECT(ADDRESS(11+MATCH(LEFT(Table15[[#This Row],[Min]],FIND("-",Table15[[#This Row],[Min]])-1),Table1[Content Sku],0),16,1,1,"Entities")),"review","ok"),"ok")</f>
        <v>ok</v>
      </c>
      <c r="AK179" t="s">
        <v>578</v>
      </c>
      <c r="AL179">
        <v>0</v>
      </c>
      <c r="AM179">
        <v>0</v>
      </c>
      <c r="AN179" t="s">
        <v>8</v>
      </c>
      <c r="AO179" s="74" t="str">
        <f ca="1">IF(Table20[[#This Row],[Type]]="KILL",IF(_xlfn.NUMBERVALUE(RIGHT(Table20[[#This Row],[Min]],LEN(Table20[[#This Row],[Min]])-FIND("-",Table20[[#This Row],[Min]])))&gt;INDIRECT(ADDRESS(11+MATCH(LEFT(Table20[[#This Row],[Min]],FIND("-",Table20[[#This Row],[Min]])-1),Table1[Content Sku],0),18,1,1,"Entities")),"review","ok"),"ok")</f>
        <v>ok</v>
      </c>
    </row>
    <row r="180" spans="5:41" x14ac:dyDescent="0.25">
      <c r="E180" t="s">
        <v>289</v>
      </c>
      <c r="F180">
        <v>0</v>
      </c>
      <c r="G180">
        <v>24000</v>
      </c>
      <c r="H180" t="s">
        <v>205</v>
      </c>
      <c r="I180" s="74" t="str">
        <f ca="1">IF(Table7[[#This Row],[Type]]="KILL",IF(_xlfn.NUMBERVALUE(RIGHT(Table7[[#This Row],[Min]],LEN(Table7[[#This Row],[Min]])-FIND("-",Table7[[#This Row],[Min]])))&gt;INDIRECT(ADDRESS(11+MATCH(LEFT(Table7[[#This Row],[Min]],FIND("-",Table7[[#This Row],[Min]])-1),Table1[Content Sku],0),16,1,1,"Entities")),"review","ok"),"ok")</f>
        <v>ok</v>
      </c>
      <c r="U180" t="s">
        <v>338</v>
      </c>
      <c r="V180">
        <v>0</v>
      </c>
      <c r="W180">
        <v>0</v>
      </c>
      <c r="X180" t="s">
        <v>8</v>
      </c>
      <c r="Y180" s="74" t="str">
        <f ca="1">IF(Table15[[#This Row],[Type]]="KILL",IF(_xlfn.NUMBERVALUE(RIGHT(Table15[[#This Row],[Min]],LEN(Table15[[#This Row],[Min]])-FIND("-",Table15[[#This Row],[Min]])))&gt;INDIRECT(ADDRESS(11+MATCH(LEFT(Table15[[#This Row],[Min]],FIND("-",Table15[[#This Row],[Min]])-1),Table1[Content Sku],0),16,1,1,"Entities")),"review","ok"),"ok")</f>
        <v>ok</v>
      </c>
      <c r="AK180" t="s">
        <v>2672</v>
      </c>
      <c r="AL180">
        <v>98000</v>
      </c>
      <c r="AM180">
        <v>0</v>
      </c>
      <c r="AN180" t="s">
        <v>205</v>
      </c>
      <c r="AO180" s="74" t="str">
        <f ca="1">IF(Table20[[#This Row],[Type]]="KILL",IF(_xlfn.NUMBERVALUE(RIGHT(Table20[[#This Row],[Min]],LEN(Table20[[#This Row],[Min]])-FIND("-",Table20[[#This Row],[Min]])))&gt;INDIRECT(ADDRESS(11+MATCH(LEFT(Table20[[#This Row],[Min]],FIND("-",Table20[[#This Row],[Min]])-1),Table1[Content Sku],0),18,1,1,"Entities")),"review","ok"),"ok")</f>
        <v>ok</v>
      </c>
    </row>
    <row r="181" spans="5:41" x14ac:dyDescent="0.25">
      <c r="E181" t="s">
        <v>403</v>
      </c>
      <c r="F181">
        <v>0</v>
      </c>
      <c r="G181">
        <v>0</v>
      </c>
      <c r="H181" t="s">
        <v>8</v>
      </c>
      <c r="I181" s="74" t="str">
        <f ca="1">IF(Table7[[#This Row],[Type]]="KILL",IF(_xlfn.NUMBERVALUE(RIGHT(Table7[[#This Row],[Min]],LEN(Table7[[#This Row],[Min]])-FIND("-",Table7[[#This Row],[Min]])))&gt;INDIRECT(ADDRESS(11+MATCH(LEFT(Table7[[#This Row],[Min]],FIND("-",Table7[[#This Row],[Min]])-1),Table1[Content Sku],0),16,1,1,"Entities")),"review","ok"),"ok")</f>
        <v>ok</v>
      </c>
      <c r="U181" t="s">
        <v>8103</v>
      </c>
      <c r="V181">
        <v>50000</v>
      </c>
      <c r="W181">
        <v>0</v>
      </c>
      <c r="X181" t="s">
        <v>205</v>
      </c>
      <c r="Y181" s="74" t="str">
        <f ca="1">IF(Table15[[#This Row],[Type]]="KILL",IF(_xlfn.NUMBERVALUE(RIGHT(Table15[[#This Row],[Min]],LEN(Table15[[#This Row],[Min]])-FIND("-",Table15[[#This Row],[Min]])))&gt;INDIRECT(ADDRESS(11+MATCH(LEFT(Table15[[#This Row],[Min]],FIND("-",Table15[[#This Row],[Min]])-1),Table1[Content Sku],0),16,1,1,"Entities")),"review","ok"),"ok")</f>
        <v>ok</v>
      </c>
      <c r="AK181" t="s">
        <v>2667</v>
      </c>
      <c r="AL181">
        <v>0</v>
      </c>
      <c r="AM181">
        <v>0</v>
      </c>
      <c r="AN181" t="s">
        <v>8</v>
      </c>
      <c r="AO181" s="74" t="str">
        <f ca="1">IF(Table20[[#This Row],[Type]]="KILL",IF(_xlfn.NUMBERVALUE(RIGHT(Table20[[#This Row],[Min]],LEN(Table20[[#This Row],[Min]])-FIND("-",Table20[[#This Row],[Min]])))&gt;INDIRECT(ADDRESS(11+MATCH(LEFT(Table20[[#This Row],[Min]],FIND("-",Table20[[#This Row],[Min]])-1),Table1[Content Sku],0),18,1,1,"Entities")),"review","ok"),"ok")</f>
        <v>ok</v>
      </c>
    </row>
    <row r="182" spans="5:41" x14ac:dyDescent="0.25">
      <c r="E182" t="s">
        <v>313</v>
      </c>
      <c r="F182">
        <v>0</v>
      </c>
      <c r="G182">
        <v>20000</v>
      </c>
      <c r="H182" t="s">
        <v>205</v>
      </c>
      <c r="I182" s="74" t="str">
        <f ca="1">IF(Table7[[#This Row],[Type]]="KILL",IF(_xlfn.NUMBERVALUE(RIGHT(Table7[[#This Row],[Min]],LEN(Table7[[#This Row],[Min]])-FIND("-",Table7[[#This Row],[Min]])))&gt;INDIRECT(ADDRESS(11+MATCH(LEFT(Table7[[#This Row],[Min]],FIND("-",Table7[[#This Row],[Min]])-1),Table1[Content Sku],0),16,1,1,"Entities")),"review","ok"),"ok")</f>
        <v>ok</v>
      </c>
      <c r="U182" t="s">
        <v>391</v>
      </c>
      <c r="V182">
        <v>17000</v>
      </c>
      <c r="W182">
        <v>0</v>
      </c>
      <c r="X182" t="s">
        <v>205</v>
      </c>
      <c r="Y182" s="74" t="str">
        <f ca="1">IF(Table15[[#This Row],[Type]]="KILL",IF(_xlfn.NUMBERVALUE(RIGHT(Table15[[#This Row],[Min]],LEN(Table15[[#This Row],[Min]])-FIND("-",Table15[[#This Row],[Min]])))&gt;INDIRECT(ADDRESS(11+MATCH(LEFT(Table15[[#This Row],[Min]],FIND("-",Table15[[#This Row],[Min]])-1),Table1[Content Sku],0),16,1,1,"Entities")),"review","ok"),"ok")</f>
        <v>ok</v>
      </c>
      <c r="AK182" t="s">
        <v>2741</v>
      </c>
      <c r="AL182">
        <v>0</v>
      </c>
      <c r="AM182">
        <v>0</v>
      </c>
      <c r="AN182" t="s">
        <v>8</v>
      </c>
      <c r="AO182" s="74" t="str">
        <f ca="1">IF(Table20[[#This Row],[Type]]="KILL",IF(_xlfn.NUMBERVALUE(RIGHT(Table20[[#This Row],[Min]],LEN(Table20[[#This Row],[Min]])-FIND("-",Table20[[#This Row],[Min]])))&gt;INDIRECT(ADDRESS(11+MATCH(LEFT(Table20[[#This Row],[Min]],FIND("-",Table20[[#This Row],[Min]])-1),Table1[Content Sku],0),18,1,1,"Entities")),"review","ok"),"ok")</f>
        <v>ok</v>
      </c>
    </row>
    <row r="183" spans="5:41" x14ac:dyDescent="0.25">
      <c r="E183" t="s">
        <v>313</v>
      </c>
      <c r="F183">
        <v>0</v>
      </c>
      <c r="G183">
        <v>16000</v>
      </c>
      <c r="H183" t="s">
        <v>205</v>
      </c>
      <c r="I183" s="74" t="str">
        <f ca="1">IF(Table7[[#This Row],[Type]]="KILL",IF(_xlfn.NUMBERVALUE(RIGHT(Table7[[#This Row],[Min]],LEN(Table7[[#This Row],[Min]])-FIND("-",Table7[[#This Row],[Min]])))&gt;INDIRECT(ADDRESS(11+MATCH(LEFT(Table7[[#This Row],[Min]],FIND("-",Table7[[#This Row],[Min]])-1),Table1[Content Sku],0),16,1,1,"Entities")),"review","ok"),"ok")</f>
        <v>ok</v>
      </c>
      <c r="U183" t="s">
        <v>286</v>
      </c>
      <c r="V183">
        <v>0</v>
      </c>
      <c r="W183">
        <v>0</v>
      </c>
      <c r="X183" t="s">
        <v>8</v>
      </c>
      <c r="Y183" s="74" t="str">
        <f ca="1">IF(Table15[[#This Row],[Type]]="KILL",IF(_xlfn.NUMBERVALUE(RIGHT(Table15[[#This Row],[Min]],LEN(Table15[[#This Row],[Min]])-FIND("-",Table15[[#This Row],[Min]])))&gt;INDIRECT(ADDRESS(11+MATCH(LEFT(Table15[[#This Row],[Min]],FIND("-",Table15[[#This Row],[Min]])-1),Table1[Content Sku],0),16,1,1,"Entities")),"review","ok"),"ok")</f>
        <v>ok</v>
      </c>
      <c r="AK183" t="s">
        <v>2667</v>
      </c>
      <c r="AL183">
        <v>0</v>
      </c>
      <c r="AM183">
        <v>0</v>
      </c>
      <c r="AN183" t="s">
        <v>8</v>
      </c>
      <c r="AO183" s="74" t="str">
        <f ca="1">IF(Table20[[#This Row],[Type]]="KILL",IF(_xlfn.NUMBERVALUE(RIGHT(Table20[[#This Row],[Min]],LEN(Table20[[#This Row],[Min]])-FIND("-",Table20[[#This Row],[Min]])))&gt;INDIRECT(ADDRESS(11+MATCH(LEFT(Table20[[#This Row],[Min]],FIND("-",Table20[[#This Row],[Min]])-1),Table1[Content Sku],0),18,1,1,"Entities")),"review","ok"),"ok")</f>
        <v>ok</v>
      </c>
    </row>
    <row r="184" spans="5:41" x14ac:dyDescent="0.25">
      <c r="E184" t="s">
        <v>289</v>
      </c>
      <c r="F184">
        <v>0</v>
      </c>
      <c r="G184">
        <v>0</v>
      </c>
      <c r="H184" t="s">
        <v>8</v>
      </c>
      <c r="I184" s="74" t="str">
        <f ca="1">IF(Table7[[#This Row],[Type]]="KILL",IF(_xlfn.NUMBERVALUE(RIGHT(Table7[[#This Row],[Min]],LEN(Table7[[#This Row],[Min]])-FIND("-",Table7[[#This Row],[Min]])))&gt;INDIRECT(ADDRESS(11+MATCH(LEFT(Table7[[#This Row],[Min]],FIND("-",Table7[[#This Row],[Min]])-1),Table1[Content Sku],0),16,1,1,"Entities")),"review","ok"),"ok")</f>
        <v>ok</v>
      </c>
      <c r="U184" t="s">
        <v>254</v>
      </c>
      <c r="V184">
        <v>0</v>
      </c>
      <c r="W184">
        <v>0</v>
      </c>
      <c r="X184" t="s">
        <v>8</v>
      </c>
      <c r="Y184" s="74" t="str">
        <f ca="1">IF(Table15[[#This Row],[Type]]="KILL",IF(_xlfn.NUMBERVALUE(RIGHT(Table15[[#This Row],[Min]],LEN(Table15[[#This Row],[Min]])-FIND("-",Table15[[#This Row],[Min]])))&gt;INDIRECT(ADDRESS(11+MATCH(LEFT(Table15[[#This Row],[Min]],FIND("-",Table15[[#This Row],[Min]])-1),Table1[Content Sku],0),16,1,1,"Entities")),"review","ok"),"ok")</f>
        <v>ok</v>
      </c>
      <c r="AK184" t="s">
        <v>95</v>
      </c>
      <c r="AL184">
        <v>0</v>
      </c>
      <c r="AM184">
        <v>0</v>
      </c>
      <c r="AN184" t="s">
        <v>8</v>
      </c>
      <c r="AO184" s="74" t="str">
        <f ca="1">IF(Table20[[#This Row],[Type]]="KILL",IF(_xlfn.NUMBERVALUE(RIGHT(Table20[[#This Row],[Min]],LEN(Table20[[#This Row],[Min]])-FIND("-",Table20[[#This Row],[Min]])))&gt;INDIRECT(ADDRESS(11+MATCH(LEFT(Table20[[#This Row],[Min]],FIND("-",Table20[[#This Row],[Min]])-1),Table1[Content Sku],0),18,1,1,"Entities")),"review","ok"),"ok")</f>
        <v>ok</v>
      </c>
    </row>
    <row r="185" spans="5:41" x14ac:dyDescent="0.25">
      <c r="E185" t="s">
        <v>254</v>
      </c>
      <c r="F185">
        <v>0</v>
      </c>
      <c r="G185">
        <v>0</v>
      </c>
      <c r="H185" t="s">
        <v>8</v>
      </c>
      <c r="I185" s="74" t="str">
        <f ca="1">IF(Table7[[#This Row],[Type]]="KILL",IF(_xlfn.NUMBERVALUE(RIGHT(Table7[[#This Row],[Min]],LEN(Table7[[#This Row],[Min]])-FIND("-",Table7[[#This Row],[Min]])))&gt;INDIRECT(ADDRESS(11+MATCH(LEFT(Table7[[#This Row],[Min]],FIND("-",Table7[[#This Row],[Min]])-1),Table1[Content Sku],0),16,1,1,"Entities")),"review","ok"),"ok")</f>
        <v>ok</v>
      </c>
      <c r="U185" t="s">
        <v>545</v>
      </c>
      <c r="V185">
        <v>0</v>
      </c>
      <c r="W185">
        <v>0</v>
      </c>
      <c r="X185" t="s">
        <v>8</v>
      </c>
      <c r="Y185" s="74" t="str">
        <f ca="1">IF(Table15[[#This Row],[Type]]="KILL",IF(_xlfn.NUMBERVALUE(RIGHT(Table15[[#This Row],[Min]],LEN(Table15[[#This Row],[Min]])-FIND("-",Table15[[#This Row],[Min]])))&gt;INDIRECT(ADDRESS(11+MATCH(LEFT(Table15[[#This Row],[Min]],FIND("-",Table15[[#This Row],[Min]])-1),Table1[Content Sku],0),16,1,1,"Entities")),"review","ok"),"ok")</f>
        <v>ok</v>
      </c>
      <c r="AK185" t="s">
        <v>313</v>
      </c>
      <c r="AL185">
        <v>0</v>
      </c>
      <c r="AM185">
        <v>0</v>
      </c>
      <c r="AN185" t="s">
        <v>8</v>
      </c>
      <c r="AO185" s="74" t="str">
        <f ca="1">IF(Table20[[#This Row],[Type]]="KILL",IF(_xlfn.NUMBERVALUE(RIGHT(Table20[[#This Row],[Min]],LEN(Table20[[#This Row],[Min]])-FIND("-",Table20[[#This Row],[Min]])))&gt;INDIRECT(ADDRESS(11+MATCH(LEFT(Table20[[#This Row],[Min]],FIND("-",Table20[[#This Row],[Min]])-1),Table1[Content Sku],0),18,1,1,"Entities")),"review","ok"),"ok")</f>
        <v>ok</v>
      </c>
    </row>
    <row r="186" spans="5:41" x14ac:dyDescent="0.25">
      <c r="E186" t="s">
        <v>548</v>
      </c>
      <c r="F186">
        <v>0</v>
      </c>
      <c r="G186">
        <v>0</v>
      </c>
      <c r="H186" t="s">
        <v>8</v>
      </c>
      <c r="I186" s="74" t="str">
        <f ca="1">IF(Table7[[#This Row],[Type]]="KILL",IF(_xlfn.NUMBERVALUE(RIGHT(Table7[[#This Row],[Min]],LEN(Table7[[#This Row],[Min]])-FIND("-",Table7[[#This Row],[Min]])))&gt;INDIRECT(ADDRESS(11+MATCH(LEFT(Table7[[#This Row],[Min]],FIND("-",Table7[[#This Row],[Min]])-1),Table1[Content Sku],0),16,1,1,"Entities")),"review","ok"),"ok")</f>
        <v>ok</v>
      </c>
      <c r="U186" t="s">
        <v>49</v>
      </c>
      <c r="V186">
        <v>0</v>
      </c>
      <c r="W186">
        <v>0</v>
      </c>
      <c r="X186" t="s">
        <v>8</v>
      </c>
      <c r="Y186" s="74" t="str">
        <f ca="1">IF(Table15[[#This Row],[Type]]="KILL",IF(_xlfn.NUMBERVALUE(RIGHT(Table15[[#This Row],[Min]],LEN(Table15[[#This Row],[Min]])-FIND("-",Table15[[#This Row],[Min]])))&gt;INDIRECT(ADDRESS(11+MATCH(LEFT(Table15[[#This Row],[Min]],FIND("-",Table15[[#This Row],[Min]])-1),Table1[Content Sku],0),16,1,1,"Entities")),"review","ok"),"ok")</f>
        <v>ok</v>
      </c>
      <c r="AK186" t="s">
        <v>37</v>
      </c>
      <c r="AL186">
        <v>0</v>
      </c>
      <c r="AM186">
        <v>0</v>
      </c>
      <c r="AN186" t="s">
        <v>8</v>
      </c>
      <c r="AO186" s="74" t="str">
        <f ca="1">IF(Table20[[#This Row],[Type]]="KILL",IF(_xlfn.NUMBERVALUE(RIGHT(Table20[[#This Row],[Min]],LEN(Table20[[#This Row],[Min]])-FIND("-",Table20[[#This Row],[Min]])))&gt;INDIRECT(ADDRESS(11+MATCH(LEFT(Table20[[#This Row],[Min]],FIND("-",Table20[[#This Row],[Min]])-1),Table1[Content Sku],0),18,1,1,"Entities")),"review","ok"),"ok")</f>
        <v>ok</v>
      </c>
    </row>
    <row r="187" spans="5:41" x14ac:dyDescent="0.25">
      <c r="E187" t="s">
        <v>393</v>
      </c>
      <c r="F187">
        <v>0</v>
      </c>
      <c r="G187">
        <v>0</v>
      </c>
      <c r="H187" t="s">
        <v>8</v>
      </c>
      <c r="I187" s="74" t="str">
        <f ca="1">IF(Table7[[#This Row],[Type]]="KILL",IF(_xlfn.NUMBERVALUE(RIGHT(Table7[[#This Row],[Min]],LEN(Table7[[#This Row],[Min]])-FIND("-",Table7[[#This Row],[Min]])))&gt;INDIRECT(ADDRESS(11+MATCH(LEFT(Table7[[#This Row],[Min]],FIND("-",Table7[[#This Row],[Min]])-1),Table1[Content Sku],0),16,1,1,"Entities")),"review","ok"),"ok")</f>
        <v>ok</v>
      </c>
      <c r="U187" t="s">
        <v>254</v>
      </c>
      <c r="V187">
        <v>0</v>
      </c>
      <c r="W187">
        <v>14000</v>
      </c>
      <c r="X187" t="s">
        <v>205</v>
      </c>
      <c r="Y187" s="74" t="str">
        <f ca="1">IF(Table15[[#This Row],[Type]]="KILL",IF(_xlfn.NUMBERVALUE(RIGHT(Table15[[#This Row],[Min]],LEN(Table15[[#This Row],[Min]])-FIND("-",Table15[[#This Row],[Min]])))&gt;INDIRECT(ADDRESS(11+MATCH(LEFT(Table15[[#This Row],[Min]],FIND("-",Table15[[#This Row],[Min]])-1),Table1[Content Sku],0),16,1,1,"Entities")),"review","ok"),"ok")</f>
        <v>ok</v>
      </c>
      <c r="AK187" t="s">
        <v>548</v>
      </c>
      <c r="AL187">
        <v>0</v>
      </c>
      <c r="AM187">
        <v>0</v>
      </c>
      <c r="AN187" t="s">
        <v>8</v>
      </c>
      <c r="AO187" s="74" t="str">
        <f ca="1">IF(Table20[[#This Row],[Type]]="KILL",IF(_xlfn.NUMBERVALUE(RIGHT(Table20[[#This Row],[Min]],LEN(Table20[[#This Row],[Min]])-FIND("-",Table20[[#This Row],[Min]])))&gt;INDIRECT(ADDRESS(11+MATCH(LEFT(Table20[[#This Row],[Min]],FIND("-",Table20[[#This Row],[Min]])-1),Table1[Content Sku],0),18,1,1,"Entities")),"review","ok"),"ok")</f>
        <v>ok</v>
      </c>
    </row>
    <row r="188" spans="5:41" x14ac:dyDescent="0.25">
      <c r="E188" t="s">
        <v>315</v>
      </c>
      <c r="F188">
        <v>0</v>
      </c>
      <c r="G188">
        <v>0</v>
      </c>
      <c r="H188" t="s">
        <v>8</v>
      </c>
      <c r="I188" s="74" t="str">
        <f ca="1">IF(Table7[[#This Row],[Type]]="KILL",IF(_xlfn.NUMBERVALUE(RIGHT(Table7[[#This Row],[Min]],LEN(Table7[[#This Row],[Min]])-FIND("-",Table7[[#This Row],[Min]])))&gt;INDIRECT(ADDRESS(11+MATCH(LEFT(Table7[[#This Row],[Min]],FIND("-",Table7[[#This Row],[Min]])-1),Table1[Content Sku],0),16,1,1,"Entities")),"review","ok"),"ok")</f>
        <v>ok</v>
      </c>
      <c r="U188" t="s">
        <v>315</v>
      </c>
      <c r="V188">
        <v>0</v>
      </c>
      <c r="W188">
        <v>0</v>
      </c>
      <c r="X188" t="s">
        <v>8</v>
      </c>
      <c r="Y188" s="74" t="str">
        <f ca="1">IF(Table15[[#This Row],[Type]]="KILL",IF(_xlfn.NUMBERVALUE(RIGHT(Table15[[#This Row],[Min]],LEN(Table15[[#This Row],[Min]])-FIND("-",Table15[[#This Row],[Min]])))&gt;INDIRECT(ADDRESS(11+MATCH(LEFT(Table15[[#This Row],[Min]],FIND("-",Table15[[#This Row],[Min]])-1),Table1[Content Sku],0),16,1,1,"Entities")),"review","ok"),"ok")</f>
        <v>ok</v>
      </c>
      <c r="AK188" t="s">
        <v>4428</v>
      </c>
      <c r="AL188">
        <v>0</v>
      </c>
      <c r="AM188">
        <v>0</v>
      </c>
      <c r="AN188" t="s">
        <v>8</v>
      </c>
      <c r="AO188" s="74" t="str">
        <f ca="1">IF(Table20[[#This Row],[Type]]="KILL",IF(_xlfn.NUMBERVALUE(RIGHT(Table20[[#This Row],[Min]],LEN(Table20[[#This Row],[Min]])-FIND("-",Table20[[#This Row],[Min]])))&gt;INDIRECT(ADDRESS(11+MATCH(LEFT(Table20[[#This Row],[Min]],FIND("-",Table20[[#This Row],[Min]])-1),Table1[Content Sku],0),18,1,1,"Entities")),"review","ok"),"ok")</f>
        <v>ok</v>
      </c>
    </row>
    <row r="189" spans="5:41" x14ac:dyDescent="0.25">
      <c r="E189" t="s">
        <v>21</v>
      </c>
      <c r="F189">
        <v>40000</v>
      </c>
      <c r="G189">
        <v>0</v>
      </c>
      <c r="H189" t="s">
        <v>205</v>
      </c>
      <c r="I189" s="74" t="str">
        <f ca="1">IF(Table7[[#This Row],[Type]]="KILL",IF(_xlfn.NUMBERVALUE(RIGHT(Table7[[#This Row],[Min]],LEN(Table7[[#This Row],[Min]])-FIND("-",Table7[[#This Row],[Min]])))&gt;INDIRECT(ADDRESS(11+MATCH(LEFT(Table7[[#This Row],[Min]],FIND("-",Table7[[#This Row],[Min]])-1),Table1[Content Sku],0),16,1,1,"Entities")),"review","ok"),"ok")</f>
        <v>ok</v>
      </c>
      <c r="U189" t="s">
        <v>315</v>
      </c>
      <c r="V189">
        <v>29000</v>
      </c>
      <c r="W189">
        <v>0</v>
      </c>
      <c r="X189" t="s">
        <v>205</v>
      </c>
      <c r="Y189" s="74" t="str">
        <f ca="1">IF(Table15[[#This Row],[Type]]="KILL",IF(_xlfn.NUMBERVALUE(RIGHT(Table15[[#This Row],[Min]],LEN(Table15[[#This Row],[Min]])-FIND("-",Table15[[#This Row],[Min]])))&gt;INDIRECT(ADDRESS(11+MATCH(LEFT(Table15[[#This Row],[Min]],FIND("-",Table15[[#This Row],[Min]])-1),Table1[Content Sku],0),16,1,1,"Entities")),"review","ok"),"ok")</f>
        <v>ok</v>
      </c>
      <c r="AK189" t="s">
        <v>122</v>
      </c>
      <c r="AL189">
        <v>0</v>
      </c>
      <c r="AM189">
        <v>0</v>
      </c>
      <c r="AN189" t="s">
        <v>8</v>
      </c>
      <c r="AO189" s="74" t="str">
        <f ca="1">IF(Table20[[#This Row],[Type]]="KILL",IF(_xlfn.NUMBERVALUE(RIGHT(Table20[[#This Row],[Min]],LEN(Table20[[#This Row],[Min]])-FIND("-",Table20[[#This Row],[Min]])))&gt;INDIRECT(ADDRESS(11+MATCH(LEFT(Table20[[#This Row],[Min]],FIND("-",Table20[[#This Row],[Min]])-1),Table1[Content Sku],0),18,1,1,"Entities")),"review","ok"),"ok")</f>
        <v>ok</v>
      </c>
    </row>
    <row r="190" spans="5:41" x14ac:dyDescent="0.25">
      <c r="E190" t="s">
        <v>122</v>
      </c>
      <c r="F190">
        <v>0</v>
      </c>
      <c r="G190">
        <v>0</v>
      </c>
      <c r="H190" t="s">
        <v>8</v>
      </c>
      <c r="I190" s="74" t="str">
        <f ca="1">IF(Table7[[#This Row],[Type]]="KILL",IF(_xlfn.NUMBERVALUE(RIGHT(Table7[[#This Row],[Min]],LEN(Table7[[#This Row],[Min]])-FIND("-",Table7[[#This Row],[Min]])))&gt;INDIRECT(ADDRESS(11+MATCH(LEFT(Table7[[#This Row],[Min]],FIND("-",Table7[[#This Row],[Min]])-1),Table1[Content Sku],0),16,1,1,"Entities")),"review","ok"),"ok")</f>
        <v>ok</v>
      </c>
      <c r="U190" t="s">
        <v>315</v>
      </c>
      <c r="V190">
        <v>0</v>
      </c>
      <c r="W190">
        <v>0</v>
      </c>
      <c r="X190" t="s">
        <v>8</v>
      </c>
      <c r="Y190" s="74" t="str">
        <f ca="1">IF(Table15[[#This Row],[Type]]="KILL",IF(_xlfn.NUMBERVALUE(RIGHT(Table15[[#This Row],[Min]],LEN(Table15[[#This Row],[Min]])-FIND("-",Table15[[#This Row],[Min]])))&gt;INDIRECT(ADDRESS(11+MATCH(LEFT(Table15[[#This Row],[Min]],FIND("-",Table15[[#This Row],[Min]])-1),Table1[Content Sku],0),16,1,1,"Entities")),"review","ok"),"ok")</f>
        <v>ok</v>
      </c>
      <c r="AK190" t="s">
        <v>2667</v>
      </c>
      <c r="AL190">
        <v>0</v>
      </c>
      <c r="AM190">
        <v>0</v>
      </c>
      <c r="AN190" t="s">
        <v>8</v>
      </c>
      <c r="AO190" s="74" t="str">
        <f ca="1">IF(Table20[[#This Row],[Type]]="KILL",IF(_xlfn.NUMBERVALUE(RIGHT(Table20[[#This Row],[Min]],LEN(Table20[[#This Row],[Min]])-FIND("-",Table20[[#This Row],[Min]])))&gt;INDIRECT(ADDRESS(11+MATCH(LEFT(Table20[[#This Row],[Min]],FIND("-",Table20[[#This Row],[Min]])-1),Table1[Content Sku],0),18,1,1,"Entities")),"review","ok"),"ok")</f>
        <v>ok</v>
      </c>
    </row>
    <row r="191" spans="5:41" x14ac:dyDescent="0.25">
      <c r="E191" t="s">
        <v>254</v>
      </c>
      <c r="F191">
        <v>0</v>
      </c>
      <c r="G191">
        <v>21000</v>
      </c>
      <c r="H191" t="s">
        <v>205</v>
      </c>
      <c r="I191" s="74" t="str">
        <f ca="1">IF(Table7[[#This Row],[Type]]="KILL",IF(_xlfn.NUMBERVALUE(RIGHT(Table7[[#This Row],[Min]],LEN(Table7[[#This Row],[Min]])-FIND("-",Table7[[#This Row],[Min]])))&gt;INDIRECT(ADDRESS(11+MATCH(LEFT(Table7[[#This Row],[Min]],FIND("-",Table7[[#This Row],[Min]])-1),Table1[Content Sku],0),16,1,1,"Entities")),"review","ok"),"ok")</f>
        <v>ok</v>
      </c>
      <c r="U191" t="s">
        <v>318</v>
      </c>
      <c r="V191">
        <v>0</v>
      </c>
      <c r="W191">
        <v>0</v>
      </c>
      <c r="X191" t="s">
        <v>8</v>
      </c>
      <c r="Y191" s="74" t="str">
        <f ca="1">IF(Table15[[#This Row],[Type]]="KILL",IF(_xlfn.NUMBERVALUE(RIGHT(Table15[[#This Row],[Min]],LEN(Table15[[#This Row],[Min]])-FIND("-",Table15[[#This Row],[Min]])))&gt;INDIRECT(ADDRESS(11+MATCH(LEFT(Table15[[#This Row],[Min]],FIND("-",Table15[[#This Row],[Min]])-1),Table1[Content Sku],0),16,1,1,"Entities")),"review","ok"),"ok")</f>
        <v>ok</v>
      </c>
      <c r="AK191" t="s">
        <v>416</v>
      </c>
      <c r="AL191">
        <v>0</v>
      </c>
      <c r="AM191">
        <v>36000</v>
      </c>
      <c r="AN191" t="s">
        <v>205</v>
      </c>
      <c r="AO191" s="74" t="str">
        <f ca="1">IF(Table20[[#This Row],[Type]]="KILL",IF(_xlfn.NUMBERVALUE(RIGHT(Table20[[#This Row],[Min]],LEN(Table20[[#This Row],[Min]])-FIND("-",Table20[[#This Row],[Min]])))&gt;INDIRECT(ADDRESS(11+MATCH(LEFT(Table20[[#This Row],[Min]],FIND("-",Table20[[#This Row],[Min]])-1),Table1[Content Sku],0),18,1,1,"Entities")),"review","ok"),"ok")</f>
        <v>ok</v>
      </c>
    </row>
    <row r="192" spans="5:41" x14ac:dyDescent="0.25">
      <c r="E192" t="s">
        <v>95</v>
      </c>
      <c r="F192">
        <v>0</v>
      </c>
      <c r="G192">
        <v>0</v>
      </c>
      <c r="H192" t="s">
        <v>8</v>
      </c>
      <c r="I192" s="74" t="str">
        <f ca="1">IF(Table7[[#This Row],[Type]]="KILL",IF(_xlfn.NUMBERVALUE(RIGHT(Table7[[#This Row],[Min]],LEN(Table7[[#This Row],[Min]])-FIND("-",Table7[[#This Row],[Min]])))&gt;INDIRECT(ADDRESS(11+MATCH(LEFT(Table7[[#This Row],[Min]],FIND("-",Table7[[#This Row],[Min]])-1),Table1[Content Sku],0),16,1,1,"Entities")),"review","ok"),"ok")</f>
        <v>ok</v>
      </c>
      <c r="U192" t="s">
        <v>254</v>
      </c>
      <c r="V192">
        <v>0</v>
      </c>
      <c r="W192">
        <v>0</v>
      </c>
      <c r="X192" t="s">
        <v>8</v>
      </c>
      <c r="Y192" s="74" t="str">
        <f ca="1">IF(Table15[[#This Row],[Type]]="KILL",IF(_xlfn.NUMBERVALUE(RIGHT(Table15[[#This Row],[Min]],LEN(Table15[[#This Row],[Min]])-FIND("-",Table15[[#This Row],[Min]])))&gt;INDIRECT(ADDRESS(11+MATCH(LEFT(Table15[[#This Row],[Min]],FIND("-",Table15[[#This Row],[Min]])-1),Table1[Content Sku],0),16,1,1,"Entities")),"review","ok"),"ok")</f>
        <v>ok</v>
      </c>
      <c r="AK192" t="s">
        <v>2741</v>
      </c>
      <c r="AL192">
        <v>0</v>
      </c>
      <c r="AM192">
        <v>0</v>
      </c>
      <c r="AN192" t="s">
        <v>8</v>
      </c>
      <c r="AO192" s="74" t="str">
        <f ca="1">IF(Table20[[#This Row],[Type]]="KILL",IF(_xlfn.NUMBERVALUE(RIGHT(Table20[[#This Row],[Min]],LEN(Table20[[#This Row],[Min]])-FIND("-",Table20[[#This Row],[Min]])))&gt;INDIRECT(ADDRESS(11+MATCH(LEFT(Table20[[#This Row],[Min]],FIND("-",Table20[[#This Row],[Min]])-1),Table1[Content Sku],0),18,1,1,"Entities")),"review","ok"),"ok")</f>
        <v>ok</v>
      </c>
    </row>
    <row r="193" spans="5:41" x14ac:dyDescent="0.25">
      <c r="E193" t="s">
        <v>289</v>
      </c>
      <c r="F193">
        <v>0</v>
      </c>
      <c r="G193">
        <v>22000</v>
      </c>
      <c r="H193" t="s">
        <v>205</v>
      </c>
      <c r="I193" s="74" t="str">
        <f ca="1">IF(Table7[[#This Row],[Type]]="KILL",IF(_xlfn.NUMBERVALUE(RIGHT(Table7[[#This Row],[Min]],LEN(Table7[[#This Row],[Min]])-FIND("-",Table7[[#This Row],[Min]])))&gt;INDIRECT(ADDRESS(11+MATCH(LEFT(Table7[[#This Row],[Min]],FIND("-",Table7[[#This Row],[Min]])-1),Table1[Content Sku],0),16,1,1,"Entities")),"review","ok"),"ok")</f>
        <v>ok</v>
      </c>
      <c r="U193" t="s">
        <v>39</v>
      </c>
      <c r="V193">
        <v>15000</v>
      </c>
      <c r="W193">
        <v>0</v>
      </c>
      <c r="X193" t="s">
        <v>205</v>
      </c>
      <c r="Y193" s="74" t="str">
        <f ca="1">IF(Table15[[#This Row],[Type]]="KILL",IF(_xlfn.NUMBERVALUE(RIGHT(Table15[[#This Row],[Min]],LEN(Table15[[#This Row],[Min]])-FIND("-",Table15[[#This Row],[Min]])))&gt;INDIRECT(ADDRESS(11+MATCH(LEFT(Table15[[#This Row],[Min]],FIND("-",Table15[[#This Row],[Min]])-1),Table1[Content Sku],0),16,1,1,"Entities")),"review","ok"),"ok")</f>
        <v>ok</v>
      </c>
      <c r="AK193" t="s">
        <v>256</v>
      </c>
      <c r="AL193">
        <v>0</v>
      </c>
      <c r="AM193">
        <v>0</v>
      </c>
      <c r="AN193" t="s">
        <v>8</v>
      </c>
      <c r="AO193" s="74" t="str">
        <f ca="1">IF(Table20[[#This Row],[Type]]="KILL",IF(_xlfn.NUMBERVALUE(RIGHT(Table20[[#This Row],[Min]],LEN(Table20[[#This Row],[Min]])-FIND("-",Table20[[#This Row],[Min]])))&gt;INDIRECT(ADDRESS(11+MATCH(LEFT(Table20[[#This Row],[Min]],FIND("-",Table20[[#This Row],[Min]])-1),Table1[Content Sku],0),18,1,1,"Entities")),"review","ok"),"ok")</f>
        <v>ok</v>
      </c>
    </row>
    <row r="194" spans="5:41" x14ac:dyDescent="0.25">
      <c r="E194" t="s">
        <v>289</v>
      </c>
      <c r="F194">
        <v>0</v>
      </c>
      <c r="G194">
        <v>0</v>
      </c>
      <c r="H194" t="s">
        <v>8</v>
      </c>
      <c r="I194" s="74" t="str">
        <f ca="1">IF(Table7[[#This Row],[Type]]="KILL",IF(_xlfn.NUMBERVALUE(RIGHT(Table7[[#This Row],[Min]],LEN(Table7[[#This Row],[Min]])-FIND("-",Table7[[#This Row],[Min]])))&gt;INDIRECT(ADDRESS(11+MATCH(LEFT(Table7[[#This Row],[Min]],FIND("-",Table7[[#This Row],[Min]])-1),Table1[Content Sku],0),16,1,1,"Entities")),"review","ok"),"ok")</f>
        <v>ok</v>
      </c>
      <c r="U194" t="s">
        <v>391</v>
      </c>
      <c r="V194">
        <v>0</v>
      </c>
      <c r="W194">
        <v>0</v>
      </c>
      <c r="X194" t="s">
        <v>8</v>
      </c>
      <c r="Y194" s="74" t="str">
        <f ca="1">IF(Table15[[#This Row],[Type]]="KILL",IF(_xlfn.NUMBERVALUE(RIGHT(Table15[[#This Row],[Min]],LEN(Table15[[#This Row],[Min]])-FIND("-",Table15[[#This Row],[Min]])))&gt;INDIRECT(ADDRESS(11+MATCH(LEFT(Table15[[#This Row],[Min]],FIND("-",Table15[[#This Row],[Min]])-1),Table1[Content Sku],0),16,1,1,"Entities")),"review","ok"),"ok")</f>
        <v>ok</v>
      </c>
      <c r="AK194" t="s">
        <v>95</v>
      </c>
      <c r="AL194">
        <v>0</v>
      </c>
      <c r="AM194">
        <v>0</v>
      </c>
      <c r="AN194" t="s">
        <v>8</v>
      </c>
      <c r="AO194" s="74" t="str">
        <f ca="1">IF(Table20[[#This Row],[Type]]="KILL",IF(_xlfn.NUMBERVALUE(RIGHT(Table20[[#This Row],[Min]],LEN(Table20[[#This Row],[Min]])-FIND("-",Table20[[#This Row],[Min]])))&gt;INDIRECT(ADDRESS(11+MATCH(LEFT(Table20[[#This Row],[Min]],FIND("-",Table20[[#This Row],[Min]])-1),Table1[Content Sku],0),18,1,1,"Entities")),"review","ok"),"ok")</f>
        <v>ok</v>
      </c>
    </row>
    <row r="195" spans="5:41" x14ac:dyDescent="0.25">
      <c r="E195" t="s">
        <v>90</v>
      </c>
      <c r="F195">
        <v>0</v>
      </c>
      <c r="G195">
        <v>0</v>
      </c>
      <c r="H195" t="s">
        <v>8</v>
      </c>
      <c r="I195" s="74" t="str">
        <f ca="1">IF(Table7[[#This Row],[Type]]="KILL",IF(_xlfn.NUMBERVALUE(RIGHT(Table7[[#This Row],[Min]],LEN(Table7[[#This Row],[Min]])-FIND("-",Table7[[#This Row],[Min]])))&gt;INDIRECT(ADDRESS(11+MATCH(LEFT(Table7[[#This Row],[Min]],FIND("-",Table7[[#This Row],[Min]])-1),Table1[Content Sku],0),16,1,1,"Entities")),"review","ok"),"ok")</f>
        <v>ok</v>
      </c>
      <c r="U195" t="s">
        <v>1</v>
      </c>
      <c r="V195">
        <v>0</v>
      </c>
      <c r="W195">
        <v>0</v>
      </c>
      <c r="X195" t="s">
        <v>8</v>
      </c>
      <c r="Y195" s="74" t="str">
        <f ca="1">IF(Table15[[#This Row],[Type]]="KILL",IF(_xlfn.NUMBERVALUE(RIGHT(Table15[[#This Row],[Min]],LEN(Table15[[#This Row],[Min]])-FIND("-",Table15[[#This Row],[Min]])))&gt;INDIRECT(ADDRESS(11+MATCH(LEFT(Table15[[#This Row],[Min]],FIND("-",Table15[[#This Row],[Min]])-1),Table1[Content Sku],0),16,1,1,"Entities")),"review","ok"),"ok")</f>
        <v>ok</v>
      </c>
      <c r="AK195" t="s">
        <v>2767</v>
      </c>
      <c r="AL195">
        <v>0</v>
      </c>
      <c r="AM195">
        <v>0</v>
      </c>
      <c r="AN195" t="s">
        <v>8</v>
      </c>
      <c r="AO195" s="74" t="str">
        <f ca="1">IF(Table20[[#This Row],[Type]]="KILL",IF(_xlfn.NUMBERVALUE(RIGHT(Table20[[#This Row],[Min]],LEN(Table20[[#This Row],[Min]])-FIND("-",Table20[[#This Row],[Min]])))&gt;INDIRECT(ADDRESS(11+MATCH(LEFT(Table20[[#This Row],[Min]],FIND("-",Table20[[#This Row],[Min]])-1),Table1[Content Sku],0),18,1,1,"Entities")),"review","ok"),"ok")</f>
        <v>ok</v>
      </c>
    </row>
    <row r="196" spans="5:41" x14ac:dyDescent="0.25">
      <c r="E196" t="s">
        <v>46</v>
      </c>
      <c r="F196">
        <v>0</v>
      </c>
      <c r="G196">
        <v>0</v>
      </c>
      <c r="H196" t="s">
        <v>8</v>
      </c>
      <c r="I196" s="74" t="str">
        <f ca="1">IF(Table7[[#This Row],[Type]]="KILL",IF(_xlfn.NUMBERVALUE(RIGHT(Table7[[#This Row],[Min]],LEN(Table7[[#This Row],[Min]])-FIND("-",Table7[[#This Row],[Min]])))&gt;INDIRECT(ADDRESS(11+MATCH(LEFT(Table7[[#This Row],[Min]],FIND("-",Table7[[#This Row],[Min]])-1),Table1[Content Sku],0),16,1,1,"Entities")),"review","ok"),"ok")</f>
        <v>ok</v>
      </c>
      <c r="U196" t="s">
        <v>548</v>
      </c>
      <c r="V196">
        <v>0</v>
      </c>
      <c r="W196">
        <v>0</v>
      </c>
      <c r="X196" t="s">
        <v>8</v>
      </c>
      <c r="Y196" s="74" t="str">
        <f ca="1">IF(Table15[[#This Row],[Type]]="KILL",IF(_xlfn.NUMBERVALUE(RIGHT(Table15[[#This Row],[Min]],LEN(Table15[[#This Row],[Min]])-FIND("-",Table15[[#This Row],[Min]])))&gt;INDIRECT(ADDRESS(11+MATCH(LEFT(Table15[[#This Row],[Min]],FIND("-",Table15[[#This Row],[Min]])-1),Table1[Content Sku],0),16,1,1,"Entities")),"review","ok"),"ok")</f>
        <v>ok</v>
      </c>
      <c r="AK196" t="s">
        <v>578</v>
      </c>
      <c r="AL196">
        <v>0</v>
      </c>
      <c r="AM196">
        <v>0</v>
      </c>
      <c r="AN196" t="s">
        <v>8</v>
      </c>
      <c r="AO196" s="74" t="str">
        <f ca="1">IF(Table20[[#This Row],[Type]]="KILL",IF(_xlfn.NUMBERVALUE(RIGHT(Table20[[#This Row],[Min]],LEN(Table20[[#This Row],[Min]])-FIND("-",Table20[[#This Row],[Min]])))&gt;INDIRECT(ADDRESS(11+MATCH(LEFT(Table20[[#This Row],[Min]],FIND("-",Table20[[#This Row],[Min]])-1),Table1[Content Sku],0),18,1,1,"Entities")),"review","ok"),"ok")</f>
        <v>ok</v>
      </c>
    </row>
    <row r="197" spans="5:41" x14ac:dyDescent="0.25">
      <c r="E197" t="s">
        <v>253</v>
      </c>
      <c r="F197">
        <v>0</v>
      </c>
      <c r="G197">
        <v>22000</v>
      </c>
      <c r="H197" t="s">
        <v>205</v>
      </c>
      <c r="I197" s="74" t="str">
        <f ca="1">IF(Table7[[#This Row],[Type]]="KILL",IF(_xlfn.NUMBERVALUE(RIGHT(Table7[[#This Row],[Min]],LEN(Table7[[#This Row],[Min]])-FIND("-",Table7[[#This Row],[Min]])))&gt;INDIRECT(ADDRESS(11+MATCH(LEFT(Table7[[#This Row],[Min]],FIND("-",Table7[[#This Row],[Min]])-1),Table1[Content Sku],0),16,1,1,"Entities")),"review","ok"),"ok")</f>
        <v>ok</v>
      </c>
      <c r="U197" t="s">
        <v>258</v>
      </c>
      <c r="V197">
        <v>38500</v>
      </c>
      <c r="W197">
        <v>0</v>
      </c>
      <c r="X197" t="s">
        <v>205</v>
      </c>
      <c r="Y197" s="74" t="str">
        <f ca="1">IF(Table15[[#This Row],[Type]]="KILL",IF(_xlfn.NUMBERVALUE(RIGHT(Table15[[#This Row],[Min]],LEN(Table15[[#This Row],[Min]])-FIND("-",Table15[[#This Row],[Min]])))&gt;INDIRECT(ADDRESS(11+MATCH(LEFT(Table15[[#This Row],[Min]],FIND("-",Table15[[#This Row],[Min]])-1),Table1[Content Sku],0),16,1,1,"Entities")),"review","ok"),"ok")</f>
        <v>ok</v>
      </c>
      <c r="AK197" t="s">
        <v>2667</v>
      </c>
      <c r="AL197">
        <v>0</v>
      </c>
      <c r="AM197">
        <v>0</v>
      </c>
      <c r="AN197" t="s">
        <v>8</v>
      </c>
      <c r="AO197" s="74" t="str">
        <f ca="1">IF(Table20[[#This Row],[Type]]="KILL",IF(_xlfn.NUMBERVALUE(RIGHT(Table20[[#This Row],[Min]],LEN(Table20[[#This Row],[Min]])-FIND("-",Table20[[#This Row],[Min]])))&gt;INDIRECT(ADDRESS(11+MATCH(LEFT(Table20[[#This Row],[Min]],FIND("-",Table20[[#This Row],[Min]])-1),Table1[Content Sku],0),18,1,1,"Entities")),"review","ok"),"ok")</f>
        <v>ok</v>
      </c>
    </row>
    <row r="198" spans="5:41" x14ac:dyDescent="0.25">
      <c r="E198" t="s">
        <v>37</v>
      </c>
      <c r="F198">
        <v>0</v>
      </c>
      <c r="G198">
        <v>0</v>
      </c>
      <c r="H198" t="s">
        <v>8</v>
      </c>
      <c r="I198" s="74" t="str">
        <f ca="1">IF(Table7[[#This Row],[Type]]="KILL",IF(_xlfn.NUMBERVALUE(RIGHT(Table7[[#This Row],[Min]],LEN(Table7[[#This Row],[Min]])-FIND("-",Table7[[#This Row],[Min]])))&gt;INDIRECT(ADDRESS(11+MATCH(LEFT(Table7[[#This Row],[Min]],FIND("-",Table7[[#This Row],[Min]])-1),Table1[Content Sku],0),16,1,1,"Entities")),"review","ok"),"ok")</f>
        <v>ok</v>
      </c>
      <c r="U198" t="s">
        <v>2741</v>
      </c>
      <c r="V198">
        <v>0</v>
      </c>
      <c r="W198">
        <v>0</v>
      </c>
      <c r="X198" t="s">
        <v>8</v>
      </c>
      <c r="Y198" s="74" t="str">
        <f ca="1">IF(Table15[[#This Row],[Type]]="KILL",IF(_xlfn.NUMBERVALUE(RIGHT(Table15[[#This Row],[Min]],LEN(Table15[[#This Row],[Min]])-FIND("-",Table15[[#This Row],[Min]])))&gt;INDIRECT(ADDRESS(11+MATCH(LEFT(Table15[[#This Row],[Min]],FIND("-",Table15[[#This Row],[Min]])-1),Table1[Content Sku],0),16,1,1,"Entities")),"review","ok"),"ok")</f>
        <v>ok</v>
      </c>
      <c r="AK198" t="s">
        <v>36</v>
      </c>
      <c r="AL198">
        <v>15000</v>
      </c>
      <c r="AM198">
        <v>0</v>
      </c>
      <c r="AN198" t="s">
        <v>205</v>
      </c>
      <c r="AO198" s="74" t="str">
        <f ca="1">IF(Table20[[#This Row],[Type]]="KILL",IF(_xlfn.NUMBERVALUE(RIGHT(Table20[[#This Row],[Min]],LEN(Table20[[#This Row],[Min]])-FIND("-",Table20[[#This Row],[Min]])))&gt;INDIRECT(ADDRESS(11+MATCH(LEFT(Table20[[#This Row],[Min]],FIND("-",Table20[[#This Row],[Min]])-1),Table1[Content Sku],0),18,1,1,"Entities")),"review","ok"),"ok")</f>
        <v>ok</v>
      </c>
    </row>
    <row r="199" spans="5:41" x14ac:dyDescent="0.25">
      <c r="E199" t="s">
        <v>280</v>
      </c>
      <c r="F199">
        <v>0</v>
      </c>
      <c r="G199">
        <v>0</v>
      </c>
      <c r="H199" t="s">
        <v>8</v>
      </c>
      <c r="I199" s="74" t="str">
        <f ca="1">IF(Table7[[#This Row],[Type]]="KILL",IF(_xlfn.NUMBERVALUE(RIGHT(Table7[[#This Row],[Min]],LEN(Table7[[#This Row],[Min]])-FIND("-",Table7[[#This Row],[Min]])))&gt;INDIRECT(ADDRESS(11+MATCH(LEFT(Table7[[#This Row],[Min]],FIND("-",Table7[[#This Row],[Min]])-1),Table1[Content Sku],0),16,1,1,"Entities")),"review","ok"),"ok")</f>
        <v>ok</v>
      </c>
      <c r="U199" t="s">
        <v>311</v>
      </c>
      <c r="V199">
        <v>29000</v>
      </c>
      <c r="W199">
        <v>0</v>
      </c>
      <c r="X199" t="s">
        <v>205</v>
      </c>
      <c r="Y199" s="74" t="str">
        <f ca="1">IF(Table15[[#This Row],[Type]]="KILL",IF(_xlfn.NUMBERVALUE(RIGHT(Table15[[#This Row],[Min]],LEN(Table15[[#This Row],[Min]])-FIND("-",Table15[[#This Row],[Min]])))&gt;INDIRECT(ADDRESS(11+MATCH(LEFT(Table15[[#This Row],[Min]],FIND("-",Table15[[#This Row],[Min]])-1),Table1[Content Sku],0),16,1,1,"Entities")),"review","ok"),"ok")</f>
        <v>ok</v>
      </c>
      <c r="AK199" t="s">
        <v>336</v>
      </c>
      <c r="AL199">
        <v>40000</v>
      </c>
      <c r="AM199">
        <v>0</v>
      </c>
      <c r="AN199" t="s">
        <v>205</v>
      </c>
      <c r="AO199" s="74" t="str">
        <f ca="1">IF(Table20[[#This Row],[Type]]="KILL",IF(_xlfn.NUMBERVALUE(RIGHT(Table20[[#This Row],[Min]],LEN(Table20[[#This Row],[Min]])-FIND("-",Table20[[#This Row],[Min]])))&gt;INDIRECT(ADDRESS(11+MATCH(LEFT(Table20[[#This Row],[Min]],FIND("-",Table20[[#This Row],[Min]])-1),Table1[Content Sku],0),18,1,1,"Entities")),"review","ok"),"ok")</f>
        <v>ok</v>
      </c>
    </row>
    <row r="200" spans="5:41" x14ac:dyDescent="0.25">
      <c r="E200" t="s">
        <v>257</v>
      </c>
      <c r="F200">
        <v>0</v>
      </c>
      <c r="G200">
        <v>0</v>
      </c>
      <c r="H200" t="s">
        <v>8</v>
      </c>
      <c r="I200" s="74" t="str">
        <f ca="1">IF(Table7[[#This Row],[Type]]="KILL",IF(_xlfn.NUMBERVALUE(RIGHT(Table7[[#This Row],[Min]],LEN(Table7[[#This Row],[Min]])-FIND("-",Table7[[#This Row],[Min]])))&gt;INDIRECT(ADDRESS(11+MATCH(LEFT(Table7[[#This Row],[Min]],FIND("-",Table7[[#This Row],[Min]])-1),Table1[Content Sku],0),16,1,1,"Entities")),"review","ok"),"ok")</f>
        <v>ok</v>
      </c>
      <c r="U200" t="s">
        <v>2736</v>
      </c>
      <c r="V200">
        <v>0</v>
      </c>
      <c r="W200">
        <v>0</v>
      </c>
      <c r="X200" t="s">
        <v>8</v>
      </c>
      <c r="Y200" s="74" t="str">
        <f ca="1">IF(Table15[[#This Row],[Type]]="KILL",IF(_xlfn.NUMBERVALUE(RIGHT(Table15[[#This Row],[Min]],LEN(Table15[[#This Row],[Min]])-FIND("-",Table15[[#This Row],[Min]])))&gt;INDIRECT(ADDRESS(11+MATCH(LEFT(Table15[[#This Row],[Min]],FIND("-",Table15[[#This Row],[Min]])-1),Table1[Content Sku],0),16,1,1,"Entities")),"review","ok"),"ok")</f>
        <v>ok</v>
      </c>
      <c r="AK200" t="s">
        <v>412</v>
      </c>
      <c r="AL200">
        <v>35000</v>
      </c>
      <c r="AM200">
        <v>0</v>
      </c>
      <c r="AN200" t="s">
        <v>205</v>
      </c>
      <c r="AO200" s="74" t="str">
        <f ca="1">IF(Table20[[#This Row],[Type]]="KILL",IF(_xlfn.NUMBERVALUE(RIGHT(Table20[[#This Row],[Min]],LEN(Table20[[#This Row],[Min]])-FIND("-",Table20[[#This Row],[Min]])))&gt;INDIRECT(ADDRESS(11+MATCH(LEFT(Table20[[#This Row],[Min]],FIND("-",Table20[[#This Row],[Min]])-1),Table1[Content Sku],0),18,1,1,"Entities")),"review","ok"),"ok")</f>
        <v>ok</v>
      </c>
    </row>
    <row r="201" spans="5:41" x14ac:dyDescent="0.25">
      <c r="E201" t="s">
        <v>393</v>
      </c>
      <c r="F201">
        <v>0</v>
      </c>
      <c r="G201">
        <v>0</v>
      </c>
      <c r="H201" t="s">
        <v>8</v>
      </c>
      <c r="I201" s="74" t="str">
        <f ca="1">IF(Table7[[#This Row],[Type]]="KILL",IF(_xlfn.NUMBERVALUE(RIGHT(Table7[[#This Row],[Min]],LEN(Table7[[#This Row],[Min]])-FIND("-",Table7[[#This Row],[Min]])))&gt;INDIRECT(ADDRESS(11+MATCH(LEFT(Table7[[#This Row],[Min]],FIND("-",Table7[[#This Row],[Min]])-1),Table1[Content Sku],0),16,1,1,"Entities")),"review","ok"),"ok")</f>
        <v>ok</v>
      </c>
      <c r="U201" t="s">
        <v>122</v>
      </c>
      <c r="V201">
        <v>25000</v>
      </c>
      <c r="W201">
        <v>0</v>
      </c>
      <c r="X201" t="s">
        <v>205</v>
      </c>
      <c r="Y201" s="74" t="str">
        <f ca="1">IF(Table15[[#This Row],[Type]]="KILL",IF(_xlfn.NUMBERVALUE(RIGHT(Table15[[#This Row],[Min]],LEN(Table15[[#This Row],[Min]])-FIND("-",Table15[[#This Row],[Min]])))&gt;INDIRECT(ADDRESS(11+MATCH(LEFT(Table15[[#This Row],[Min]],FIND("-",Table15[[#This Row],[Min]])-1),Table1[Content Sku],0),16,1,1,"Entities")),"review","ok"),"ok")</f>
        <v>ok</v>
      </c>
      <c r="AK201" t="s">
        <v>41</v>
      </c>
      <c r="AL201">
        <v>68000</v>
      </c>
      <c r="AM201">
        <v>0</v>
      </c>
      <c r="AN201" t="s">
        <v>205</v>
      </c>
      <c r="AO201" s="74" t="str">
        <f ca="1">IF(Table20[[#This Row],[Type]]="KILL",IF(_xlfn.NUMBERVALUE(RIGHT(Table20[[#This Row],[Min]],LEN(Table20[[#This Row],[Min]])-FIND("-",Table20[[#This Row],[Min]])))&gt;INDIRECT(ADDRESS(11+MATCH(LEFT(Table20[[#This Row],[Min]],FIND("-",Table20[[#This Row],[Min]])-1),Table1[Content Sku],0),18,1,1,"Entities")),"review","ok"),"ok")</f>
        <v>ok</v>
      </c>
    </row>
    <row r="202" spans="5:41" x14ac:dyDescent="0.25">
      <c r="E202" t="s">
        <v>254</v>
      </c>
      <c r="F202">
        <v>0</v>
      </c>
      <c r="G202">
        <v>0</v>
      </c>
      <c r="H202" t="s">
        <v>8</v>
      </c>
      <c r="I202" s="74" t="str">
        <f ca="1">IF(Table7[[#This Row],[Type]]="KILL",IF(_xlfn.NUMBERVALUE(RIGHT(Table7[[#This Row],[Min]],LEN(Table7[[#This Row],[Min]])-FIND("-",Table7[[#This Row],[Min]])))&gt;INDIRECT(ADDRESS(11+MATCH(LEFT(Table7[[#This Row],[Min]],FIND("-",Table7[[#This Row],[Min]])-1),Table1[Content Sku],0),16,1,1,"Entities")),"review","ok"),"ok")</f>
        <v>ok</v>
      </c>
      <c r="U202" t="s">
        <v>61</v>
      </c>
      <c r="V202">
        <v>18000</v>
      </c>
      <c r="W202">
        <v>0</v>
      </c>
      <c r="X202" t="s">
        <v>205</v>
      </c>
      <c r="Y202" s="74" t="str">
        <f ca="1">IF(Table15[[#This Row],[Type]]="KILL",IF(_xlfn.NUMBERVALUE(RIGHT(Table15[[#This Row],[Min]],LEN(Table15[[#This Row],[Min]])-FIND("-",Table15[[#This Row],[Min]])))&gt;INDIRECT(ADDRESS(11+MATCH(LEFT(Table15[[#This Row],[Min]],FIND("-",Table15[[#This Row],[Min]])-1),Table1[Content Sku],0),16,1,1,"Entities")),"review","ok"),"ok")</f>
        <v>ok</v>
      </c>
      <c r="AK202" t="s">
        <v>396</v>
      </c>
      <c r="AL202">
        <v>45000</v>
      </c>
      <c r="AM202">
        <v>0</v>
      </c>
      <c r="AN202" t="s">
        <v>205</v>
      </c>
      <c r="AO202" s="74" t="str">
        <f ca="1">IF(Table20[[#This Row],[Type]]="KILL",IF(_xlfn.NUMBERVALUE(RIGHT(Table20[[#This Row],[Min]],LEN(Table20[[#This Row],[Min]])-FIND("-",Table20[[#This Row],[Min]])))&gt;INDIRECT(ADDRESS(11+MATCH(LEFT(Table20[[#This Row],[Min]],FIND("-",Table20[[#This Row],[Min]])-1),Table1[Content Sku],0),18,1,1,"Entities")),"review","ok"),"ok")</f>
        <v>ok</v>
      </c>
    </row>
    <row r="203" spans="5:41" x14ac:dyDescent="0.25">
      <c r="E203" t="s">
        <v>396</v>
      </c>
      <c r="F203">
        <v>15000</v>
      </c>
      <c r="G203">
        <v>0</v>
      </c>
      <c r="H203" t="s">
        <v>205</v>
      </c>
      <c r="I203" s="74" t="str">
        <f ca="1">IF(Table7[[#This Row],[Type]]="KILL",IF(_xlfn.NUMBERVALUE(RIGHT(Table7[[#This Row],[Min]],LEN(Table7[[#This Row],[Min]])-FIND("-",Table7[[#This Row],[Min]])))&gt;INDIRECT(ADDRESS(11+MATCH(LEFT(Table7[[#This Row],[Min]],FIND("-",Table7[[#This Row],[Min]])-1),Table1[Content Sku],0),16,1,1,"Entities")),"review","ok"),"ok")</f>
        <v>ok</v>
      </c>
      <c r="U203" t="s">
        <v>391</v>
      </c>
      <c r="V203">
        <v>18000</v>
      </c>
      <c r="W203">
        <v>0</v>
      </c>
      <c r="X203" t="s">
        <v>205</v>
      </c>
      <c r="Y203" s="74" t="str">
        <f ca="1">IF(Table15[[#This Row],[Type]]="KILL",IF(_xlfn.NUMBERVALUE(RIGHT(Table15[[#This Row],[Min]],LEN(Table15[[#This Row],[Min]])-FIND("-",Table15[[#This Row],[Min]])))&gt;INDIRECT(ADDRESS(11+MATCH(LEFT(Table15[[#This Row],[Min]],FIND("-",Table15[[#This Row],[Min]])-1),Table1[Content Sku],0),16,1,1,"Entities")),"review","ok"),"ok")</f>
        <v>ok</v>
      </c>
      <c r="AK203" t="s">
        <v>2741</v>
      </c>
      <c r="AL203">
        <v>0</v>
      </c>
      <c r="AM203">
        <v>0</v>
      </c>
      <c r="AN203" t="s">
        <v>8</v>
      </c>
      <c r="AO203" s="74" t="str">
        <f ca="1">IF(Table20[[#This Row],[Type]]="KILL",IF(_xlfn.NUMBERVALUE(RIGHT(Table20[[#This Row],[Min]],LEN(Table20[[#This Row],[Min]])-FIND("-",Table20[[#This Row],[Min]])))&gt;INDIRECT(ADDRESS(11+MATCH(LEFT(Table20[[#This Row],[Min]],FIND("-",Table20[[#This Row],[Min]])-1),Table1[Content Sku],0),18,1,1,"Entities")),"review","ok"),"ok")</f>
        <v>ok</v>
      </c>
    </row>
    <row r="204" spans="5:41" x14ac:dyDescent="0.25">
      <c r="E204" t="s">
        <v>313</v>
      </c>
      <c r="F204">
        <v>0</v>
      </c>
      <c r="G204">
        <v>0</v>
      </c>
      <c r="H204" t="s">
        <v>8</v>
      </c>
      <c r="I204" s="74" t="str">
        <f ca="1">IF(Table7[[#This Row],[Type]]="KILL",IF(_xlfn.NUMBERVALUE(RIGHT(Table7[[#This Row],[Min]],LEN(Table7[[#This Row],[Min]])-FIND("-",Table7[[#This Row],[Min]])))&gt;INDIRECT(ADDRESS(11+MATCH(LEFT(Table7[[#This Row],[Min]],FIND("-",Table7[[#This Row],[Min]])-1),Table1[Content Sku],0),16,1,1,"Entities")),"review","ok"),"ok")</f>
        <v>ok</v>
      </c>
      <c r="U204" t="s">
        <v>8133</v>
      </c>
      <c r="V204">
        <v>0</v>
      </c>
      <c r="W204">
        <v>0</v>
      </c>
      <c r="X204" t="s">
        <v>8</v>
      </c>
      <c r="Y204" s="74" t="str">
        <f ca="1">IF(Table15[[#This Row],[Type]]="KILL",IF(_xlfn.NUMBERVALUE(RIGHT(Table15[[#This Row],[Min]],LEN(Table15[[#This Row],[Min]])-FIND("-",Table15[[#This Row],[Min]])))&gt;INDIRECT(ADDRESS(11+MATCH(LEFT(Table15[[#This Row],[Min]],FIND("-",Table15[[#This Row],[Min]])-1),Table1[Content Sku],0),16,1,1,"Entities")),"review","ok"),"ok")</f>
        <v>ok</v>
      </c>
      <c r="AK204" t="s">
        <v>2671</v>
      </c>
      <c r="AL204">
        <v>20000</v>
      </c>
      <c r="AM204">
        <v>0</v>
      </c>
      <c r="AN204" t="s">
        <v>205</v>
      </c>
      <c r="AO204" s="74" t="str">
        <f ca="1">IF(Table20[[#This Row],[Type]]="KILL",IF(_xlfn.NUMBERVALUE(RIGHT(Table20[[#This Row],[Min]],LEN(Table20[[#This Row],[Min]])-FIND("-",Table20[[#This Row],[Min]])))&gt;INDIRECT(ADDRESS(11+MATCH(LEFT(Table20[[#This Row],[Min]],FIND("-",Table20[[#This Row],[Min]])-1),Table1[Content Sku],0),18,1,1,"Entities")),"review","ok"),"ok")</f>
        <v>ok</v>
      </c>
    </row>
    <row r="205" spans="5:41" x14ac:dyDescent="0.25">
      <c r="E205" t="s">
        <v>391</v>
      </c>
      <c r="F205">
        <v>0</v>
      </c>
      <c r="G205">
        <v>0</v>
      </c>
      <c r="H205" t="s">
        <v>8</v>
      </c>
      <c r="I205" s="74" t="str">
        <f ca="1">IF(Table7[[#This Row],[Type]]="KILL",IF(_xlfn.NUMBERVALUE(RIGHT(Table7[[#This Row],[Min]],LEN(Table7[[#This Row],[Min]])-FIND("-",Table7[[#This Row],[Min]])))&gt;INDIRECT(ADDRESS(11+MATCH(LEFT(Table7[[#This Row],[Min]],FIND("-",Table7[[#This Row],[Min]])-1),Table1[Content Sku],0),16,1,1,"Entities")),"review","ok"),"ok")</f>
        <v>ok</v>
      </c>
      <c r="U205" t="s">
        <v>393</v>
      </c>
      <c r="V205">
        <v>0</v>
      </c>
      <c r="W205">
        <v>0</v>
      </c>
      <c r="X205" t="s">
        <v>8</v>
      </c>
      <c r="Y205" s="74" t="str">
        <f ca="1">IF(Table15[[#This Row],[Type]]="KILL",IF(_xlfn.NUMBERVALUE(RIGHT(Table15[[#This Row],[Min]],LEN(Table15[[#This Row],[Min]])-FIND("-",Table15[[#This Row],[Min]])))&gt;INDIRECT(ADDRESS(11+MATCH(LEFT(Table15[[#This Row],[Min]],FIND("-",Table15[[#This Row],[Min]])-1),Table1[Content Sku],0),16,1,1,"Entities")),"review","ok"),"ok")</f>
        <v>ok</v>
      </c>
      <c r="AK205" t="s">
        <v>2741</v>
      </c>
      <c r="AL205">
        <v>0</v>
      </c>
      <c r="AM205">
        <v>0</v>
      </c>
      <c r="AN205" t="s">
        <v>8</v>
      </c>
      <c r="AO205" s="74" t="str">
        <f ca="1">IF(Table20[[#This Row],[Type]]="KILL",IF(_xlfn.NUMBERVALUE(RIGHT(Table20[[#This Row],[Min]],LEN(Table20[[#This Row],[Min]])-FIND("-",Table20[[#This Row],[Min]])))&gt;INDIRECT(ADDRESS(11+MATCH(LEFT(Table20[[#This Row],[Min]],FIND("-",Table20[[#This Row],[Min]])-1),Table1[Content Sku],0),18,1,1,"Entities")),"review","ok"),"ok")</f>
        <v>ok</v>
      </c>
    </row>
    <row r="206" spans="5:41" x14ac:dyDescent="0.25">
      <c r="E206" t="s">
        <v>393</v>
      </c>
      <c r="F206">
        <v>0</v>
      </c>
      <c r="G206">
        <v>0</v>
      </c>
      <c r="H206" t="s">
        <v>8</v>
      </c>
      <c r="I206" s="74" t="str">
        <f ca="1">IF(Table7[[#This Row],[Type]]="KILL",IF(_xlfn.NUMBERVALUE(RIGHT(Table7[[#This Row],[Min]],LEN(Table7[[#This Row],[Min]])-FIND("-",Table7[[#This Row],[Min]])))&gt;INDIRECT(ADDRESS(11+MATCH(LEFT(Table7[[#This Row],[Min]],FIND("-",Table7[[#This Row],[Min]])-1),Table1[Content Sku],0),16,1,1,"Entities")),"review","ok"),"ok")</f>
        <v>ok</v>
      </c>
      <c r="U206" t="s">
        <v>37</v>
      </c>
      <c r="V206" t="s">
        <v>8125</v>
      </c>
      <c r="W206" t="s">
        <v>4467</v>
      </c>
      <c r="X206" t="s">
        <v>4468</v>
      </c>
      <c r="Y206" s="74" t="str">
        <f ca="1">IF(Table15[[#This Row],[Type]]="KILL",IF(_xlfn.NUMBERVALUE(RIGHT(Table15[[#This Row],[Min]],LEN(Table15[[#This Row],[Min]])-FIND("-",Table15[[#This Row],[Min]])))&gt;INDIRECT(ADDRESS(11+MATCH(LEFT(Table15[[#This Row],[Min]],FIND("-",Table15[[#This Row],[Min]])-1),Table1[Content Sku],0),16,1,1,"Entities")),"review","ok"),"ok")</f>
        <v>review</v>
      </c>
      <c r="AK206" t="s">
        <v>2741</v>
      </c>
      <c r="AL206">
        <v>0</v>
      </c>
      <c r="AM206">
        <v>0</v>
      </c>
      <c r="AN206" t="s">
        <v>8</v>
      </c>
      <c r="AO206" s="74" t="str">
        <f ca="1">IF(Table20[[#This Row],[Type]]="KILL",IF(_xlfn.NUMBERVALUE(RIGHT(Table20[[#This Row],[Min]],LEN(Table20[[#This Row],[Min]])-FIND("-",Table20[[#This Row],[Min]])))&gt;INDIRECT(ADDRESS(11+MATCH(LEFT(Table20[[#This Row],[Min]],FIND("-",Table20[[#This Row],[Min]])-1),Table1[Content Sku],0),18,1,1,"Entities")),"review","ok"),"ok")</f>
        <v>ok</v>
      </c>
    </row>
    <row r="207" spans="5:41" x14ac:dyDescent="0.25">
      <c r="E207" t="s">
        <v>254</v>
      </c>
      <c r="F207">
        <v>0</v>
      </c>
      <c r="G207">
        <v>0</v>
      </c>
      <c r="H207" t="s">
        <v>8</v>
      </c>
      <c r="I207" s="74" t="str">
        <f ca="1">IF(Table7[[#This Row],[Type]]="KILL",IF(_xlfn.NUMBERVALUE(RIGHT(Table7[[#This Row],[Min]],LEN(Table7[[#This Row],[Min]])-FIND("-",Table7[[#This Row],[Min]])))&gt;INDIRECT(ADDRESS(11+MATCH(LEFT(Table7[[#This Row],[Min]],FIND("-",Table7[[#This Row],[Min]])-1),Table1[Content Sku],0),16,1,1,"Entities")),"review","ok"),"ok")</f>
        <v>ok</v>
      </c>
      <c r="U207" t="s">
        <v>286</v>
      </c>
      <c r="V207">
        <v>0</v>
      </c>
      <c r="W207">
        <v>0</v>
      </c>
      <c r="X207" t="s">
        <v>8</v>
      </c>
      <c r="Y207" s="74" t="str">
        <f ca="1">IF(Table15[[#This Row],[Type]]="KILL",IF(_xlfn.NUMBERVALUE(RIGHT(Table15[[#This Row],[Min]],LEN(Table15[[#This Row],[Min]])-FIND("-",Table15[[#This Row],[Min]])))&gt;INDIRECT(ADDRESS(11+MATCH(LEFT(Table15[[#This Row],[Min]],FIND("-",Table15[[#This Row],[Min]])-1),Table1[Content Sku],0),16,1,1,"Entities")),"review","ok"),"ok")</f>
        <v>ok</v>
      </c>
      <c r="AK207" t="s">
        <v>4428</v>
      </c>
      <c r="AL207">
        <v>0</v>
      </c>
      <c r="AM207">
        <v>0</v>
      </c>
      <c r="AN207" t="s">
        <v>8</v>
      </c>
      <c r="AO207" s="74" t="str">
        <f ca="1">IF(Table20[[#This Row],[Type]]="KILL",IF(_xlfn.NUMBERVALUE(RIGHT(Table20[[#This Row],[Min]],LEN(Table20[[#This Row],[Min]])-FIND("-",Table20[[#This Row],[Min]])))&gt;INDIRECT(ADDRESS(11+MATCH(LEFT(Table20[[#This Row],[Min]],FIND("-",Table20[[#This Row],[Min]])-1),Table1[Content Sku],0),18,1,1,"Entities")),"review","ok"),"ok")</f>
        <v>ok</v>
      </c>
    </row>
    <row r="208" spans="5:41" x14ac:dyDescent="0.25">
      <c r="E208" t="s">
        <v>313</v>
      </c>
      <c r="F208">
        <v>0</v>
      </c>
      <c r="G208">
        <v>25000</v>
      </c>
      <c r="H208" t="s">
        <v>205</v>
      </c>
      <c r="I208" s="74" t="str">
        <f ca="1">IF(Table7[[#This Row],[Type]]="KILL",IF(_xlfn.NUMBERVALUE(RIGHT(Table7[[#This Row],[Min]],LEN(Table7[[#This Row],[Min]])-FIND("-",Table7[[#This Row],[Min]])))&gt;INDIRECT(ADDRESS(11+MATCH(LEFT(Table7[[#This Row],[Min]],FIND("-",Table7[[#This Row],[Min]])-1),Table1[Content Sku],0),16,1,1,"Entities")),"review","ok"),"ok")</f>
        <v>ok</v>
      </c>
      <c r="U208" t="s">
        <v>311</v>
      </c>
      <c r="V208">
        <v>0</v>
      </c>
      <c r="W208">
        <v>0</v>
      </c>
      <c r="X208" t="s">
        <v>8</v>
      </c>
      <c r="Y208" s="74" t="str">
        <f ca="1">IF(Table15[[#This Row],[Type]]="KILL",IF(_xlfn.NUMBERVALUE(RIGHT(Table15[[#This Row],[Min]],LEN(Table15[[#This Row],[Min]])-FIND("-",Table15[[#This Row],[Min]])))&gt;INDIRECT(ADDRESS(11+MATCH(LEFT(Table15[[#This Row],[Min]],FIND("-",Table15[[#This Row],[Min]])-1),Table1[Content Sku],0),16,1,1,"Entities")),"review","ok"),"ok")</f>
        <v>ok</v>
      </c>
      <c r="AK208" t="s">
        <v>482</v>
      </c>
      <c r="AL208">
        <v>0</v>
      </c>
      <c r="AM208">
        <v>0</v>
      </c>
      <c r="AN208" t="s">
        <v>8</v>
      </c>
      <c r="AO208" s="74" t="str">
        <f ca="1">IF(Table20[[#This Row],[Type]]="KILL",IF(_xlfn.NUMBERVALUE(RIGHT(Table20[[#This Row],[Min]],LEN(Table20[[#This Row],[Min]])-FIND("-",Table20[[#This Row],[Min]])))&gt;INDIRECT(ADDRESS(11+MATCH(LEFT(Table20[[#This Row],[Min]],FIND("-",Table20[[#This Row],[Min]])-1),Table1[Content Sku],0),18,1,1,"Entities")),"review","ok"),"ok")</f>
        <v>ok</v>
      </c>
    </row>
    <row r="209" spans="5:41" x14ac:dyDescent="0.25">
      <c r="E209" t="s">
        <v>254</v>
      </c>
      <c r="F209">
        <v>0</v>
      </c>
      <c r="G209">
        <v>0</v>
      </c>
      <c r="H209" t="s">
        <v>8</v>
      </c>
      <c r="I209" s="74" t="str">
        <f ca="1">IF(Table7[[#This Row],[Type]]="KILL",IF(_xlfn.NUMBERVALUE(RIGHT(Table7[[#This Row],[Min]],LEN(Table7[[#This Row],[Min]])-FIND("-",Table7[[#This Row],[Min]])))&gt;INDIRECT(ADDRESS(11+MATCH(LEFT(Table7[[#This Row],[Min]],FIND("-",Table7[[#This Row],[Min]])-1),Table1[Content Sku],0),16,1,1,"Entities")),"review","ok"),"ok")</f>
        <v>ok</v>
      </c>
      <c r="U209" t="s">
        <v>280</v>
      </c>
      <c r="V209">
        <v>0</v>
      </c>
      <c r="W209">
        <v>0</v>
      </c>
      <c r="X209" t="s">
        <v>8</v>
      </c>
      <c r="Y209" s="74" t="str">
        <f ca="1">IF(Table15[[#This Row],[Type]]="KILL",IF(_xlfn.NUMBERVALUE(RIGHT(Table15[[#This Row],[Min]],LEN(Table15[[#This Row],[Min]])-FIND("-",Table15[[#This Row],[Min]])))&gt;INDIRECT(ADDRESS(11+MATCH(LEFT(Table15[[#This Row],[Min]],FIND("-",Table15[[#This Row],[Min]])-1),Table1[Content Sku],0),16,1,1,"Entities")),"review","ok"),"ok")</f>
        <v>ok</v>
      </c>
      <c r="AK209" t="s">
        <v>400</v>
      </c>
      <c r="AL209">
        <v>0</v>
      </c>
      <c r="AM209">
        <v>0</v>
      </c>
      <c r="AN209" t="s">
        <v>8</v>
      </c>
      <c r="AO209" s="74" t="str">
        <f ca="1">IF(Table20[[#This Row],[Type]]="KILL",IF(_xlfn.NUMBERVALUE(RIGHT(Table20[[#This Row],[Min]],LEN(Table20[[#This Row],[Min]])-FIND("-",Table20[[#This Row],[Min]])))&gt;INDIRECT(ADDRESS(11+MATCH(LEFT(Table20[[#This Row],[Min]],FIND("-",Table20[[#This Row],[Min]])-1),Table1[Content Sku],0),18,1,1,"Entities")),"review","ok"),"ok")</f>
        <v>ok</v>
      </c>
    </row>
    <row r="210" spans="5:41" x14ac:dyDescent="0.25">
      <c r="E210" t="s">
        <v>258</v>
      </c>
      <c r="F210">
        <v>26000</v>
      </c>
      <c r="G210">
        <v>0</v>
      </c>
      <c r="H210" t="s">
        <v>205</v>
      </c>
      <c r="I210" s="74" t="str">
        <f ca="1">IF(Table7[[#This Row],[Type]]="KILL",IF(_xlfn.NUMBERVALUE(RIGHT(Table7[[#This Row],[Min]],LEN(Table7[[#This Row],[Min]])-FIND("-",Table7[[#This Row],[Min]])))&gt;INDIRECT(ADDRESS(11+MATCH(LEFT(Table7[[#This Row],[Min]],FIND("-",Table7[[#This Row],[Min]])-1),Table1[Content Sku],0),16,1,1,"Entities")),"review","ok"),"ok")</f>
        <v>ok</v>
      </c>
      <c r="U210" t="s">
        <v>61</v>
      </c>
      <c r="V210">
        <v>0</v>
      </c>
      <c r="W210">
        <v>0</v>
      </c>
      <c r="X210" t="s">
        <v>8</v>
      </c>
      <c r="Y210" s="74" t="str">
        <f ca="1">IF(Table15[[#This Row],[Type]]="KILL",IF(_xlfn.NUMBERVALUE(RIGHT(Table15[[#This Row],[Min]],LEN(Table15[[#This Row],[Min]])-FIND("-",Table15[[#This Row],[Min]])))&gt;INDIRECT(ADDRESS(11+MATCH(LEFT(Table15[[#This Row],[Min]],FIND("-",Table15[[#This Row],[Min]])-1),Table1[Content Sku],0),16,1,1,"Entities")),"review","ok"),"ok")</f>
        <v>ok</v>
      </c>
      <c r="AK210" t="s">
        <v>36</v>
      </c>
      <c r="AL210">
        <v>32000</v>
      </c>
      <c r="AM210">
        <v>0</v>
      </c>
      <c r="AN210" t="s">
        <v>205</v>
      </c>
      <c r="AO210" s="74" t="str">
        <f ca="1">IF(Table20[[#This Row],[Type]]="KILL",IF(_xlfn.NUMBERVALUE(RIGHT(Table20[[#This Row],[Min]],LEN(Table20[[#This Row],[Min]])-FIND("-",Table20[[#This Row],[Min]])))&gt;INDIRECT(ADDRESS(11+MATCH(LEFT(Table20[[#This Row],[Min]],FIND("-",Table20[[#This Row],[Min]])-1),Table1[Content Sku],0),18,1,1,"Entities")),"review","ok"),"ok")</f>
        <v>ok</v>
      </c>
    </row>
    <row r="211" spans="5:41" x14ac:dyDescent="0.25">
      <c r="E211" t="s">
        <v>95</v>
      </c>
      <c r="F211">
        <v>0</v>
      </c>
      <c r="G211">
        <v>0</v>
      </c>
      <c r="H211" t="s">
        <v>8</v>
      </c>
      <c r="I211" s="74" t="str">
        <f ca="1">IF(Table7[[#This Row],[Type]]="KILL",IF(_xlfn.NUMBERVALUE(RIGHT(Table7[[#This Row],[Min]],LEN(Table7[[#This Row],[Min]])-FIND("-",Table7[[#This Row],[Min]])))&gt;INDIRECT(ADDRESS(11+MATCH(LEFT(Table7[[#This Row],[Min]],FIND("-",Table7[[#This Row],[Min]])-1),Table1[Content Sku],0),16,1,1,"Entities")),"review","ok"),"ok")</f>
        <v>ok</v>
      </c>
      <c r="U211" t="s">
        <v>283</v>
      </c>
      <c r="V211">
        <v>0</v>
      </c>
      <c r="W211">
        <v>0</v>
      </c>
      <c r="X211" t="s">
        <v>8</v>
      </c>
      <c r="Y211" s="74" t="str">
        <f ca="1">IF(Table15[[#This Row],[Type]]="KILL",IF(_xlfn.NUMBERVALUE(RIGHT(Table15[[#This Row],[Min]],LEN(Table15[[#This Row],[Min]])-FIND("-",Table15[[#This Row],[Min]])))&gt;INDIRECT(ADDRESS(11+MATCH(LEFT(Table15[[#This Row],[Min]],FIND("-",Table15[[#This Row],[Min]])-1),Table1[Content Sku],0),16,1,1,"Entities")),"review","ok"),"ok")</f>
        <v>ok</v>
      </c>
      <c r="AK211" t="s">
        <v>2670</v>
      </c>
      <c r="AL211">
        <v>0</v>
      </c>
      <c r="AM211">
        <v>0</v>
      </c>
      <c r="AN211" t="s">
        <v>8</v>
      </c>
      <c r="AO211" s="74" t="str">
        <f ca="1">IF(Table20[[#This Row],[Type]]="KILL",IF(_xlfn.NUMBERVALUE(RIGHT(Table20[[#This Row],[Min]],LEN(Table20[[#This Row],[Min]])-FIND("-",Table20[[#This Row],[Min]])))&gt;INDIRECT(ADDRESS(11+MATCH(LEFT(Table20[[#This Row],[Min]],FIND("-",Table20[[#This Row],[Min]])-1),Table1[Content Sku],0),18,1,1,"Entities")),"review","ok"),"ok")</f>
        <v>ok</v>
      </c>
    </row>
    <row r="212" spans="5:41" x14ac:dyDescent="0.25">
      <c r="E212" t="s">
        <v>21</v>
      </c>
      <c r="F212">
        <v>28000</v>
      </c>
      <c r="G212">
        <v>0</v>
      </c>
      <c r="H212" t="s">
        <v>205</v>
      </c>
      <c r="I212" s="74" t="str">
        <f ca="1">IF(Table7[[#This Row],[Type]]="KILL",IF(_xlfn.NUMBERVALUE(RIGHT(Table7[[#This Row],[Min]],LEN(Table7[[#This Row],[Min]])-FIND("-",Table7[[#This Row],[Min]])))&gt;INDIRECT(ADDRESS(11+MATCH(LEFT(Table7[[#This Row],[Min]],FIND("-",Table7[[#This Row],[Min]])-1),Table1[Content Sku],0),16,1,1,"Entities")),"review","ok"),"ok")</f>
        <v>ok</v>
      </c>
      <c r="U212" t="s">
        <v>50</v>
      </c>
      <c r="V212">
        <v>40000</v>
      </c>
      <c r="W212">
        <v>0</v>
      </c>
      <c r="X212" t="s">
        <v>205</v>
      </c>
      <c r="Y212" s="74" t="str">
        <f ca="1">IF(Table15[[#This Row],[Type]]="KILL",IF(_xlfn.NUMBERVALUE(RIGHT(Table15[[#This Row],[Min]],LEN(Table15[[#This Row],[Min]])-FIND("-",Table15[[#This Row],[Min]])))&gt;INDIRECT(ADDRESS(11+MATCH(LEFT(Table15[[#This Row],[Min]],FIND("-",Table15[[#This Row],[Min]])-1),Table1[Content Sku],0),16,1,1,"Entities")),"review","ok"),"ok")</f>
        <v>ok</v>
      </c>
      <c r="AK212" t="s">
        <v>578</v>
      </c>
      <c r="AL212">
        <v>0</v>
      </c>
      <c r="AM212">
        <v>0</v>
      </c>
      <c r="AN212" t="s">
        <v>8</v>
      </c>
      <c r="AO212" s="74" t="str">
        <f ca="1">IF(Table20[[#This Row],[Type]]="KILL",IF(_xlfn.NUMBERVALUE(RIGHT(Table20[[#This Row],[Min]],LEN(Table20[[#This Row],[Min]])-FIND("-",Table20[[#This Row],[Min]])))&gt;INDIRECT(ADDRESS(11+MATCH(LEFT(Table20[[#This Row],[Min]],FIND("-",Table20[[#This Row],[Min]])-1),Table1[Content Sku],0),18,1,1,"Entities")),"review","ok"),"ok")</f>
        <v>ok</v>
      </c>
    </row>
    <row r="213" spans="5:41" x14ac:dyDescent="0.25">
      <c r="E213" t="s">
        <v>40</v>
      </c>
      <c r="F213">
        <v>11000</v>
      </c>
      <c r="G213">
        <v>0</v>
      </c>
      <c r="H213" t="s">
        <v>205</v>
      </c>
      <c r="I213" s="74" t="str">
        <f ca="1">IF(Table7[[#This Row],[Type]]="KILL",IF(_xlfn.NUMBERVALUE(RIGHT(Table7[[#This Row],[Min]],LEN(Table7[[#This Row],[Min]])-FIND("-",Table7[[#This Row],[Min]])))&gt;INDIRECT(ADDRESS(11+MATCH(LEFT(Table7[[#This Row],[Min]],FIND("-",Table7[[#This Row],[Min]])-1),Table1[Content Sku],0),16,1,1,"Entities")),"review","ok"),"ok")</f>
        <v>ok</v>
      </c>
      <c r="U213" t="s">
        <v>122</v>
      </c>
      <c r="V213">
        <v>40000</v>
      </c>
      <c r="W213">
        <v>0</v>
      </c>
      <c r="X213" t="s">
        <v>205</v>
      </c>
      <c r="Y213" s="74" t="str">
        <f ca="1">IF(Table15[[#This Row],[Type]]="KILL",IF(_xlfn.NUMBERVALUE(RIGHT(Table15[[#This Row],[Min]],LEN(Table15[[#This Row],[Min]])-FIND("-",Table15[[#This Row],[Min]])))&gt;INDIRECT(ADDRESS(11+MATCH(LEFT(Table15[[#This Row],[Min]],FIND("-",Table15[[#This Row],[Min]])-1),Table1[Content Sku],0),16,1,1,"Entities")),"review","ok"),"ok")</f>
        <v>ok</v>
      </c>
      <c r="AK213" t="s">
        <v>41</v>
      </c>
      <c r="AL213">
        <v>58000</v>
      </c>
      <c r="AM213">
        <v>0</v>
      </c>
      <c r="AN213" t="s">
        <v>205</v>
      </c>
      <c r="AO213" s="74" t="str">
        <f ca="1">IF(Table20[[#This Row],[Type]]="KILL",IF(_xlfn.NUMBERVALUE(RIGHT(Table20[[#This Row],[Min]],LEN(Table20[[#This Row],[Min]])-FIND("-",Table20[[#This Row],[Min]])))&gt;INDIRECT(ADDRESS(11+MATCH(LEFT(Table20[[#This Row],[Min]],FIND("-",Table20[[#This Row],[Min]])-1),Table1[Content Sku],0),18,1,1,"Entities")),"review","ok"),"ok")</f>
        <v>ok</v>
      </c>
    </row>
    <row r="214" spans="5:41" x14ac:dyDescent="0.25">
      <c r="E214" t="s">
        <v>39</v>
      </c>
      <c r="F214">
        <v>8000</v>
      </c>
      <c r="G214">
        <v>0</v>
      </c>
      <c r="H214" t="s">
        <v>205</v>
      </c>
      <c r="I214" s="74" t="str">
        <f ca="1">IF(Table7[[#This Row],[Type]]="KILL",IF(_xlfn.NUMBERVALUE(RIGHT(Table7[[#This Row],[Min]],LEN(Table7[[#This Row],[Min]])-FIND("-",Table7[[#This Row],[Min]])))&gt;INDIRECT(ADDRESS(11+MATCH(LEFT(Table7[[#This Row],[Min]],FIND("-",Table7[[#This Row],[Min]])-1),Table1[Content Sku],0),16,1,1,"Entities")),"review","ok"),"ok")</f>
        <v>ok</v>
      </c>
      <c r="U214" t="s">
        <v>313</v>
      </c>
      <c r="V214">
        <v>22000</v>
      </c>
      <c r="W214">
        <v>0</v>
      </c>
      <c r="X214" t="s">
        <v>205</v>
      </c>
      <c r="Y214" s="74" t="str">
        <f ca="1">IF(Table15[[#This Row],[Type]]="KILL",IF(_xlfn.NUMBERVALUE(RIGHT(Table15[[#This Row],[Min]],LEN(Table15[[#This Row],[Min]])-FIND("-",Table15[[#This Row],[Min]])))&gt;INDIRECT(ADDRESS(11+MATCH(LEFT(Table15[[#This Row],[Min]],FIND("-",Table15[[#This Row],[Min]])-1),Table1[Content Sku],0),16,1,1,"Entities")),"review","ok"),"ok")</f>
        <v>ok</v>
      </c>
      <c r="AK214" t="s">
        <v>540</v>
      </c>
      <c r="AL214">
        <v>0</v>
      </c>
      <c r="AM214">
        <v>0</v>
      </c>
      <c r="AN214" t="s">
        <v>8</v>
      </c>
      <c r="AO214" s="74" t="str">
        <f ca="1">IF(Table20[[#This Row],[Type]]="KILL",IF(_xlfn.NUMBERVALUE(RIGHT(Table20[[#This Row],[Min]],LEN(Table20[[#This Row],[Min]])-FIND("-",Table20[[#This Row],[Min]])))&gt;INDIRECT(ADDRESS(11+MATCH(LEFT(Table20[[#This Row],[Min]],FIND("-",Table20[[#This Row],[Min]])-1),Table1[Content Sku],0),18,1,1,"Entities")),"review","ok"),"ok")</f>
        <v>ok</v>
      </c>
    </row>
    <row r="215" spans="5:41" x14ac:dyDescent="0.25">
      <c r="E215" t="s">
        <v>21</v>
      </c>
      <c r="F215">
        <v>0</v>
      </c>
      <c r="G215">
        <v>0</v>
      </c>
      <c r="H215" t="s">
        <v>8</v>
      </c>
      <c r="I215" s="74" t="str">
        <f ca="1">IF(Table7[[#This Row],[Type]]="KILL",IF(_xlfn.NUMBERVALUE(RIGHT(Table7[[#This Row],[Min]],LEN(Table7[[#This Row],[Min]])-FIND("-",Table7[[#This Row],[Min]])))&gt;INDIRECT(ADDRESS(11+MATCH(LEFT(Table7[[#This Row],[Min]],FIND("-",Table7[[#This Row],[Min]])-1),Table1[Content Sku],0),16,1,1,"Entities")),"review","ok"),"ok")</f>
        <v>ok</v>
      </c>
      <c r="U215" t="s">
        <v>8133</v>
      </c>
      <c r="V215">
        <v>0</v>
      </c>
      <c r="W215">
        <v>0</v>
      </c>
      <c r="X215" t="s">
        <v>8</v>
      </c>
      <c r="Y215" s="74" t="str">
        <f ca="1">IF(Table15[[#This Row],[Type]]="KILL",IF(_xlfn.NUMBERVALUE(RIGHT(Table15[[#This Row],[Min]],LEN(Table15[[#This Row],[Min]])-FIND("-",Table15[[#This Row],[Min]])))&gt;INDIRECT(ADDRESS(11+MATCH(LEFT(Table15[[#This Row],[Min]],FIND("-",Table15[[#This Row],[Min]])-1),Table1[Content Sku],0),16,1,1,"Entities")),"review","ok"),"ok")</f>
        <v>ok</v>
      </c>
      <c r="AK215" t="s">
        <v>543</v>
      </c>
      <c r="AL215">
        <v>0</v>
      </c>
      <c r="AM215">
        <v>0</v>
      </c>
      <c r="AN215" t="s">
        <v>8</v>
      </c>
      <c r="AO215" s="74" t="str">
        <f ca="1">IF(Table20[[#This Row],[Type]]="KILL",IF(_xlfn.NUMBERVALUE(RIGHT(Table20[[#This Row],[Min]],LEN(Table20[[#This Row],[Min]])-FIND("-",Table20[[#This Row],[Min]])))&gt;INDIRECT(ADDRESS(11+MATCH(LEFT(Table20[[#This Row],[Min]],FIND("-",Table20[[#This Row],[Min]])-1),Table1[Content Sku],0),18,1,1,"Entities")),"review","ok"),"ok")</f>
        <v>ok</v>
      </c>
    </row>
    <row r="216" spans="5:41" x14ac:dyDescent="0.25">
      <c r="E216" t="s">
        <v>95</v>
      </c>
      <c r="F216">
        <v>0</v>
      </c>
      <c r="G216">
        <v>0</v>
      </c>
      <c r="H216" t="s">
        <v>8</v>
      </c>
      <c r="I216" s="74" t="str">
        <f ca="1">IF(Table7[[#This Row],[Type]]="KILL",IF(_xlfn.NUMBERVALUE(RIGHT(Table7[[#This Row],[Min]],LEN(Table7[[#This Row],[Min]])-FIND("-",Table7[[#This Row],[Min]])))&gt;INDIRECT(ADDRESS(11+MATCH(LEFT(Table7[[#This Row],[Min]],FIND("-",Table7[[#This Row],[Min]])-1),Table1[Content Sku],0),16,1,1,"Entities")),"review","ok"),"ok")</f>
        <v>ok</v>
      </c>
      <c r="U216" t="s">
        <v>315</v>
      </c>
      <c r="V216">
        <v>0</v>
      </c>
      <c r="W216">
        <v>0</v>
      </c>
      <c r="X216" t="s">
        <v>8</v>
      </c>
      <c r="Y216" s="74" t="str">
        <f ca="1">IF(Table15[[#This Row],[Type]]="KILL",IF(_xlfn.NUMBERVALUE(RIGHT(Table15[[#This Row],[Min]],LEN(Table15[[#This Row],[Min]])-FIND("-",Table15[[#This Row],[Min]])))&gt;INDIRECT(ADDRESS(11+MATCH(LEFT(Table15[[#This Row],[Min]],FIND("-",Table15[[#This Row],[Min]])-1),Table1[Content Sku],0),16,1,1,"Entities")),"review","ok"),"ok")</f>
        <v>ok</v>
      </c>
      <c r="AK216" t="s">
        <v>2673</v>
      </c>
      <c r="AL216">
        <v>38000</v>
      </c>
      <c r="AM216">
        <v>0</v>
      </c>
      <c r="AN216" t="s">
        <v>205</v>
      </c>
      <c r="AO216" s="74" t="str">
        <f ca="1">IF(Table20[[#This Row],[Type]]="KILL",IF(_xlfn.NUMBERVALUE(RIGHT(Table20[[#This Row],[Min]],LEN(Table20[[#This Row],[Min]])-FIND("-",Table20[[#This Row],[Min]])))&gt;INDIRECT(ADDRESS(11+MATCH(LEFT(Table20[[#This Row],[Min]],FIND("-",Table20[[#This Row],[Min]])-1),Table1[Content Sku],0),18,1,1,"Entities")),"review","ok"),"ok")</f>
        <v>ok</v>
      </c>
    </row>
    <row r="217" spans="5:41" x14ac:dyDescent="0.25">
      <c r="E217" t="s">
        <v>254</v>
      </c>
      <c r="F217">
        <v>7000</v>
      </c>
      <c r="G217">
        <v>0</v>
      </c>
      <c r="H217" t="s">
        <v>205</v>
      </c>
      <c r="I217" s="74" t="str">
        <f ca="1">IF(Table7[[#This Row],[Type]]="KILL",IF(_xlfn.NUMBERVALUE(RIGHT(Table7[[#This Row],[Min]],LEN(Table7[[#This Row],[Min]])-FIND("-",Table7[[#This Row],[Min]])))&gt;INDIRECT(ADDRESS(11+MATCH(LEFT(Table7[[#This Row],[Min]],FIND("-",Table7[[#This Row],[Min]])-1),Table1[Content Sku],0),16,1,1,"Entities")),"review","ok"),"ok")</f>
        <v>ok</v>
      </c>
      <c r="U217" t="s">
        <v>391</v>
      </c>
      <c r="V217">
        <v>0</v>
      </c>
      <c r="W217">
        <v>0</v>
      </c>
      <c r="X217" t="s">
        <v>8</v>
      </c>
      <c r="Y217" s="74" t="str">
        <f ca="1">IF(Table15[[#This Row],[Type]]="KILL",IF(_xlfn.NUMBERVALUE(RIGHT(Table15[[#This Row],[Min]],LEN(Table15[[#This Row],[Min]])-FIND("-",Table15[[#This Row],[Min]])))&gt;INDIRECT(ADDRESS(11+MATCH(LEFT(Table15[[#This Row],[Min]],FIND("-",Table15[[#This Row],[Min]])-1),Table1[Content Sku],0),16,1,1,"Entities")),"review","ok"),"ok")</f>
        <v>ok</v>
      </c>
      <c r="AK217" t="s">
        <v>95</v>
      </c>
      <c r="AL217">
        <v>0</v>
      </c>
      <c r="AM217">
        <v>0</v>
      </c>
      <c r="AN217" t="s">
        <v>8</v>
      </c>
      <c r="AO217" s="74" t="str">
        <f ca="1">IF(Table20[[#This Row],[Type]]="KILL",IF(_xlfn.NUMBERVALUE(RIGHT(Table20[[#This Row],[Min]],LEN(Table20[[#This Row],[Min]])-FIND("-",Table20[[#This Row],[Min]])))&gt;INDIRECT(ADDRESS(11+MATCH(LEFT(Table20[[#This Row],[Min]],FIND("-",Table20[[#This Row],[Min]])-1),Table1[Content Sku],0),18,1,1,"Entities")),"review","ok"),"ok")</f>
        <v>ok</v>
      </c>
    </row>
    <row r="218" spans="5:41" x14ac:dyDescent="0.25">
      <c r="E218" t="s">
        <v>254</v>
      </c>
      <c r="F218">
        <v>0</v>
      </c>
      <c r="G218">
        <v>0</v>
      </c>
      <c r="H218" t="s">
        <v>8</v>
      </c>
      <c r="I218" s="74" t="str">
        <f ca="1">IF(Table7[[#This Row],[Type]]="KILL",IF(_xlfn.NUMBERVALUE(RIGHT(Table7[[#This Row],[Min]],LEN(Table7[[#This Row],[Min]])-FIND("-",Table7[[#This Row],[Min]])))&gt;INDIRECT(ADDRESS(11+MATCH(LEFT(Table7[[#This Row],[Min]],FIND("-",Table7[[#This Row],[Min]])-1),Table1[Content Sku],0),16,1,1,"Entities")),"review","ok"),"ok")</f>
        <v>ok</v>
      </c>
      <c r="U218" t="s">
        <v>289</v>
      </c>
      <c r="V218">
        <v>0</v>
      </c>
      <c r="W218">
        <v>0</v>
      </c>
      <c r="X218" t="s">
        <v>8</v>
      </c>
      <c r="Y218" s="74" t="str">
        <f ca="1">IF(Table15[[#This Row],[Type]]="KILL",IF(_xlfn.NUMBERVALUE(RIGHT(Table15[[#This Row],[Min]],LEN(Table15[[#This Row],[Min]])-FIND("-",Table15[[#This Row],[Min]])))&gt;INDIRECT(ADDRESS(11+MATCH(LEFT(Table15[[#This Row],[Min]],FIND("-",Table15[[#This Row],[Min]])-1),Table1[Content Sku],0),16,1,1,"Entities")),"review","ok"),"ok")</f>
        <v>ok</v>
      </c>
      <c r="AK218" t="s">
        <v>2741</v>
      </c>
      <c r="AL218">
        <v>0</v>
      </c>
      <c r="AM218">
        <v>0</v>
      </c>
      <c r="AN218" t="s">
        <v>8</v>
      </c>
      <c r="AO218" s="74" t="str">
        <f ca="1">IF(Table20[[#This Row],[Type]]="KILL",IF(_xlfn.NUMBERVALUE(RIGHT(Table20[[#This Row],[Min]],LEN(Table20[[#This Row],[Min]])-FIND("-",Table20[[#This Row],[Min]])))&gt;INDIRECT(ADDRESS(11+MATCH(LEFT(Table20[[#This Row],[Min]],FIND("-",Table20[[#This Row],[Min]])-1),Table1[Content Sku],0),18,1,1,"Entities")),"review","ok"),"ok")</f>
        <v>ok</v>
      </c>
    </row>
    <row r="219" spans="5:41" x14ac:dyDescent="0.25">
      <c r="E219" t="s">
        <v>137</v>
      </c>
      <c r="F219">
        <v>0</v>
      </c>
      <c r="G219">
        <v>0</v>
      </c>
      <c r="H219" t="s">
        <v>8</v>
      </c>
      <c r="I219" s="74" t="str">
        <f ca="1">IF(Table7[[#This Row],[Type]]="KILL",IF(_xlfn.NUMBERVALUE(RIGHT(Table7[[#This Row],[Min]],LEN(Table7[[#This Row],[Min]])-FIND("-",Table7[[#This Row],[Min]])))&gt;INDIRECT(ADDRESS(11+MATCH(LEFT(Table7[[#This Row],[Min]],FIND("-",Table7[[#This Row],[Min]])-1),Table1[Content Sku],0),16,1,1,"Entities")),"review","ok"),"ok")</f>
        <v>ok</v>
      </c>
      <c r="U219" t="s">
        <v>95</v>
      </c>
      <c r="V219">
        <v>24000</v>
      </c>
      <c r="W219">
        <v>0</v>
      </c>
      <c r="X219" t="s">
        <v>205</v>
      </c>
      <c r="Y219" s="74" t="str">
        <f ca="1">IF(Table15[[#This Row],[Type]]="KILL",IF(_xlfn.NUMBERVALUE(RIGHT(Table15[[#This Row],[Min]],LEN(Table15[[#This Row],[Min]])-FIND("-",Table15[[#This Row],[Min]])))&gt;INDIRECT(ADDRESS(11+MATCH(LEFT(Table15[[#This Row],[Min]],FIND("-",Table15[[#This Row],[Min]])-1),Table1[Content Sku],0),16,1,1,"Entities")),"review","ok"),"ok")</f>
        <v>ok</v>
      </c>
      <c r="AK219" t="s">
        <v>482</v>
      </c>
      <c r="AL219">
        <v>0</v>
      </c>
      <c r="AM219">
        <v>0</v>
      </c>
      <c r="AN219" t="s">
        <v>8</v>
      </c>
      <c r="AO219" s="74" t="str">
        <f ca="1">IF(Table20[[#This Row],[Type]]="KILL",IF(_xlfn.NUMBERVALUE(RIGHT(Table20[[#This Row],[Min]],LEN(Table20[[#This Row],[Min]])-FIND("-",Table20[[#This Row],[Min]])))&gt;INDIRECT(ADDRESS(11+MATCH(LEFT(Table20[[#This Row],[Min]],FIND("-",Table20[[#This Row],[Min]])-1),Table1[Content Sku],0),18,1,1,"Entities")),"review","ok"),"ok")</f>
        <v>ok</v>
      </c>
    </row>
    <row r="220" spans="5:41" x14ac:dyDescent="0.25">
      <c r="E220" t="s">
        <v>548</v>
      </c>
      <c r="F220">
        <v>0</v>
      </c>
      <c r="G220">
        <v>0</v>
      </c>
      <c r="H220" t="s">
        <v>8</v>
      </c>
      <c r="I220" s="74" t="str">
        <f ca="1">IF(Table7[[#This Row],[Type]]="KILL",IF(_xlfn.NUMBERVALUE(RIGHT(Table7[[#This Row],[Min]],LEN(Table7[[#This Row],[Min]])-FIND("-",Table7[[#This Row],[Min]])))&gt;INDIRECT(ADDRESS(11+MATCH(LEFT(Table7[[#This Row],[Min]],FIND("-",Table7[[#This Row],[Min]])-1),Table1[Content Sku],0),16,1,1,"Entities")),"review","ok"),"ok")</f>
        <v>ok</v>
      </c>
      <c r="U220" t="s">
        <v>313</v>
      </c>
      <c r="V220">
        <v>0</v>
      </c>
      <c r="W220">
        <v>0</v>
      </c>
      <c r="X220" t="s">
        <v>8</v>
      </c>
      <c r="Y220" s="74" t="str">
        <f ca="1">IF(Table15[[#This Row],[Type]]="KILL",IF(_xlfn.NUMBERVALUE(RIGHT(Table15[[#This Row],[Min]],LEN(Table15[[#This Row],[Min]])-FIND("-",Table15[[#This Row],[Min]])))&gt;INDIRECT(ADDRESS(11+MATCH(LEFT(Table15[[#This Row],[Min]],FIND("-",Table15[[#This Row],[Min]])-1),Table1[Content Sku],0),16,1,1,"Entities")),"review","ok"),"ok")</f>
        <v>ok</v>
      </c>
      <c r="AK220" t="s">
        <v>548</v>
      </c>
      <c r="AL220">
        <v>0</v>
      </c>
      <c r="AM220">
        <v>0</v>
      </c>
      <c r="AN220" t="s">
        <v>8</v>
      </c>
      <c r="AO220" s="74" t="str">
        <f ca="1">IF(Table20[[#This Row],[Type]]="KILL",IF(_xlfn.NUMBERVALUE(RIGHT(Table20[[#This Row],[Min]],LEN(Table20[[#This Row],[Min]])-FIND("-",Table20[[#This Row],[Min]])))&gt;INDIRECT(ADDRESS(11+MATCH(LEFT(Table20[[#This Row],[Min]],FIND("-",Table20[[#This Row],[Min]])-1),Table1[Content Sku],0),18,1,1,"Entities")),"review","ok"),"ok")</f>
        <v>ok</v>
      </c>
    </row>
    <row r="221" spans="5:41" x14ac:dyDescent="0.25">
      <c r="E221" t="s">
        <v>309</v>
      </c>
      <c r="F221">
        <v>5000</v>
      </c>
      <c r="G221">
        <v>0</v>
      </c>
      <c r="H221" t="s">
        <v>205</v>
      </c>
      <c r="I221" s="74" t="str">
        <f ca="1">IF(Table7[[#This Row],[Type]]="KILL",IF(_xlfn.NUMBERVALUE(RIGHT(Table7[[#This Row],[Min]],LEN(Table7[[#This Row],[Min]])-FIND("-",Table7[[#This Row],[Min]])))&gt;INDIRECT(ADDRESS(11+MATCH(LEFT(Table7[[#This Row],[Min]],FIND("-",Table7[[#This Row],[Min]])-1),Table1[Content Sku],0),16,1,1,"Entities")),"review","ok"),"ok")</f>
        <v>ok</v>
      </c>
      <c r="U221" t="s">
        <v>1</v>
      </c>
      <c r="V221">
        <v>200</v>
      </c>
      <c r="W221">
        <v>0</v>
      </c>
      <c r="X221" t="s">
        <v>4431</v>
      </c>
      <c r="Y221" s="74" t="str">
        <f ca="1">IF(Table15[[#This Row],[Type]]="KILL",IF(_xlfn.NUMBERVALUE(RIGHT(Table15[[#This Row],[Min]],LEN(Table15[[#This Row],[Min]])-FIND("-",Table15[[#This Row],[Min]])))&gt;INDIRECT(ADDRESS(11+MATCH(LEFT(Table15[[#This Row],[Min]],FIND("-",Table15[[#This Row],[Min]])-1),Table1[Content Sku],0),16,1,1,"Entities")),"review","ok"),"ok")</f>
        <v>ok</v>
      </c>
      <c r="AK221" t="s">
        <v>313</v>
      </c>
      <c r="AL221">
        <v>0</v>
      </c>
      <c r="AM221">
        <v>0</v>
      </c>
      <c r="AN221" t="s">
        <v>8</v>
      </c>
      <c r="AO221" s="74" t="str">
        <f ca="1">IF(Table20[[#This Row],[Type]]="KILL",IF(_xlfn.NUMBERVALUE(RIGHT(Table20[[#This Row],[Min]],LEN(Table20[[#This Row],[Min]])-FIND("-",Table20[[#This Row],[Min]])))&gt;INDIRECT(ADDRESS(11+MATCH(LEFT(Table20[[#This Row],[Min]],FIND("-",Table20[[#This Row],[Min]])-1),Table1[Content Sku],0),18,1,1,"Entities")),"review","ok"),"ok")</f>
        <v>ok</v>
      </c>
    </row>
    <row r="222" spans="5:41" x14ac:dyDescent="0.25">
      <c r="E222" t="s">
        <v>393</v>
      </c>
      <c r="F222">
        <v>0</v>
      </c>
      <c r="G222">
        <v>0</v>
      </c>
      <c r="H222" t="s">
        <v>8</v>
      </c>
      <c r="I222" s="74" t="str">
        <f ca="1">IF(Table7[[#This Row],[Type]]="KILL",IF(_xlfn.NUMBERVALUE(RIGHT(Table7[[#This Row],[Min]],LEN(Table7[[#This Row],[Min]])-FIND("-",Table7[[#This Row],[Min]])))&gt;INDIRECT(ADDRESS(11+MATCH(LEFT(Table7[[#This Row],[Min]],FIND("-",Table7[[#This Row],[Min]])-1),Table1[Content Sku],0),16,1,1,"Entities")),"review","ok"),"ok")</f>
        <v>ok</v>
      </c>
      <c r="U222" t="s">
        <v>61</v>
      </c>
      <c r="V222">
        <v>29000</v>
      </c>
      <c r="W222">
        <v>0</v>
      </c>
      <c r="X222" t="s">
        <v>205</v>
      </c>
      <c r="Y222" s="74" t="str">
        <f ca="1">IF(Table15[[#This Row],[Type]]="KILL",IF(_xlfn.NUMBERVALUE(RIGHT(Table15[[#This Row],[Min]],LEN(Table15[[#This Row],[Min]])-FIND("-",Table15[[#This Row],[Min]])))&gt;INDIRECT(ADDRESS(11+MATCH(LEFT(Table15[[#This Row],[Min]],FIND("-",Table15[[#This Row],[Min]])-1),Table1[Content Sku],0),16,1,1,"Entities")),"review","ok"),"ok")</f>
        <v>ok</v>
      </c>
      <c r="AK222" t="s">
        <v>2741</v>
      </c>
      <c r="AL222">
        <v>0</v>
      </c>
      <c r="AM222">
        <v>0</v>
      </c>
      <c r="AN222" t="s">
        <v>8</v>
      </c>
      <c r="AO222" s="74" t="str">
        <f ca="1">IF(Table20[[#This Row],[Type]]="KILL",IF(_xlfn.NUMBERVALUE(RIGHT(Table20[[#This Row],[Min]],LEN(Table20[[#This Row],[Min]])-FIND("-",Table20[[#This Row],[Min]])))&gt;INDIRECT(ADDRESS(11+MATCH(LEFT(Table20[[#This Row],[Min]],FIND("-",Table20[[#This Row],[Min]])-1),Table1[Content Sku],0),18,1,1,"Entities")),"review","ok"),"ok")</f>
        <v>ok</v>
      </c>
    </row>
    <row r="223" spans="5:41" x14ac:dyDescent="0.25">
      <c r="E223" t="s">
        <v>254</v>
      </c>
      <c r="F223">
        <v>0</v>
      </c>
      <c r="G223">
        <v>0</v>
      </c>
      <c r="H223" t="s">
        <v>8</v>
      </c>
      <c r="I223" s="74" t="str">
        <f ca="1">IF(Table7[[#This Row],[Type]]="KILL",IF(_xlfn.NUMBERVALUE(RIGHT(Table7[[#This Row],[Min]],LEN(Table7[[#This Row],[Min]])-FIND("-",Table7[[#This Row],[Min]])))&gt;INDIRECT(ADDRESS(11+MATCH(LEFT(Table7[[#This Row],[Min]],FIND("-",Table7[[#This Row],[Min]])-1),Table1[Content Sku],0),16,1,1,"Entities")),"review","ok"),"ok")</f>
        <v>ok</v>
      </c>
      <c r="U223" t="s">
        <v>2766</v>
      </c>
      <c r="V223">
        <v>0</v>
      </c>
      <c r="W223">
        <v>0</v>
      </c>
      <c r="X223" t="s">
        <v>8</v>
      </c>
      <c r="Y223" s="74" t="str">
        <f ca="1">IF(Table15[[#This Row],[Type]]="KILL",IF(_xlfn.NUMBERVALUE(RIGHT(Table15[[#This Row],[Min]],LEN(Table15[[#This Row],[Min]])-FIND("-",Table15[[#This Row],[Min]])))&gt;INDIRECT(ADDRESS(11+MATCH(LEFT(Table15[[#This Row],[Min]],FIND("-",Table15[[#This Row],[Min]])-1),Table1[Content Sku],0),16,1,1,"Entities")),"review","ok"),"ok")</f>
        <v>ok</v>
      </c>
      <c r="AK223" t="s">
        <v>548</v>
      </c>
      <c r="AL223">
        <v>0</v>
      </c>
      <c r="AM223">
        <v>0</v>
      </c>
      <c r="AN223" t="s">
        <v>8</v>
      </c>
      <c r="AO223" s="74" t="str">
        <f ca="1">IF(Table20[[#This Row],[Type]]="KILL",IF(_xlfn.NUMBERVALUE(RIGHT(Table20[[#This Row],[Min]],LEN(Table20[[#This Row],[Min]])-FIND("-",Table20[[#This Row],[Min]])))&gt;INDIRECT(ADDRESS(11+MATCH(LEFT(Table20[[#This Row],[Min]],FIND("-",Table20[[#This Row],[Min]])-1),Table1[Content Sku],0),18,1,1,"Entities")),"review","ok"),"ok")</f>
        <v>ok</v>
      </c>
    </row>
    <row r="224" spans="5:41" x14ac:dyDescent="0.25">
      <c r="E224" t="s">
        <v>278</v>
      </c>
      <c r="F224">
        <v>17000</v>
      </c>
      <c r="G224">
        <v>0</v>
      </c>
      <c r="H224" t="s">
        <v>205</v>
      </c>
      <c r="I224" s="74" t="str">
        <f ca="1">IF(Table7[[#This Row],[Type]]="KILL",IF(_xlfn.NUMBERVALUE(RIGHT(Table7[[#This Row],[Min]],LEN(Table7[[#This Row],[Min]])-FIND("-",Table7[[#This Row],[Min]])))&gt;INDIRECT(ADDRESS(11+MATCH(LEFT(Table7[[#This Row],[Min]],FIND("-",Table7[[#This Row],[Min]])-1),Table1[Content Sku],0),16,1,1,"Entities")),"review","ok"),"ok")</f>
        <v>ok</v>
      </c>
      <c r="U224" t="s">
        <v>391</v>
      </c>
      <c r="V224">
        <v>0</v>
      </c>
      <c r="W224">
        <v>0</v>
      </c>
      <c r="X224" t="s">
        <v>8</v>
      </c>
      <c r="Y224" s="74" t="str">
        <f ca="1">IF(Table15[[#This Row],[Type]]="KILL",IF(_xlfn.NUMBERVALUE(RIGHT(Table15[[#This Row],[Min]],LEN(Table15[[#This Row],[Min]])-FIND("-",Table15[[#This Row],[Min]])))&gt;INDIRECT(ADDRESS(11+MATCH(LEFT(Table15[[#This Row],[Min]],FIND("-",Table15[[#This Row],[Min]])-1),Table1[Content Sku],0),16,1,1,"Entities")),"review","ok"),"ok")</f>
        <v>ok</v>
      </c>
      <c r="AK224" t="s">
        <v>311</v>
      </c>
      <c r="AL224">
        <v>25500</v>
      </c>
      <c r="AM224">
        <v>0</v>
      </c>
      <c r="AN224" t="s">
        <v>205</v>
      </c>
      <c r="AO224" s="74" t="str">
        <f ca="1">IF(Table20[[#This Row],[Type]]="KILL",IF(_xlfn.NUMBERVALUE(RIGHT(Table20[[#This Row],[Min]],LEN(Table20[[#This Row],[Min]])-FIND("-",Table20[[#This Row],[Min]])))&gt;INDIRECT(ADDRESS(11+MATCH(LEFT(Table20[[#This Row],[Min]],FIND("-",Table20[[#This Row],[Min]])-1),Table1[Content Sku],0),18,1,1,"Entities")),"review","ok"),"ok")</f>
        <v>ok</v>
      </c>
    </row>
    <row r="225" spans="5:51" x14ac:dyDescent="0.25">
      <c r="E225" t="s">
        <v>276</v>
      </c>
      <c r="F225">
        <v>0</v>
      </c>
      <c r="G225">
        <v>0</v>
      </c>
      <c r="H225" t="s">
        <v>8</v>
      </c>
      <c r="I225" s="74" t="str">
        <f ca="1">IF(Table7[[#This Row],[Type]]="KILL",IF(_xlfn.NUMBERVALUE(RIGHT(Table7[[#This Row],[Min]],LEN(Table7[[#This Row],[Min]])-FIND("-",Table7[[#This Row],[Min]])))&gt;INDIRECT(ADDRESS(11+MATCH(LEFT(Table7[[#This Row],[Min]],FIND("-",Table7[[#This Row],[Min]])-1),Table1[Content Sku],0),16,1,1,"Entities")),"review","ok"),"ok")</f>
        <v>ok</v>
      </c>
      <c r="U225" t="s">
        <v>38</v>
      </c>
      <c r="V225">
        <v>0</v>
      </c>
      <c r="W225">
        <v>0</v>
      </c>
      <c r="X225" t="s">
        <v>8</v>
      </c>
      <c r="Y225" s="74" t="str">
        <f ca="1">IF(Table15[[#This Row],[Type]]="KILL",IF(_xlfn.NUMBERVALUE(RIGHT(Table15[[#This Row],[Min]],LEN(Table15[[#This Row],[Min]])-FIND("-",Table15[[#This Row],[Min]])))&gt;INDIRECT(ADDRESS(11+MATCH(LEFT(Table15[[#This Row],[Min]],FIND("-",Table15[[#This Row],[Min]])-1),Table1[Content Sku],0),16,1,1,"Entities")),"review","ok"),"ok")</f>
        <v>ok</v>
      </c>
      <c r="AK225" t="s">
        <v>256</v>
      </c>
      <c r="AL225">
        <v>35000</v>
      </c>
      <c r="AM225">
        <v>0</v>
      </c>
      <c r="AN225" t="s">
        <v>205</v>
      </c>
      <c r="AO225" s="74" t="str">
        <f ca="1">IF(Table20[[#This Row],[Type]]="KILL",IF(_xlfn.NUMBERVALUE(RIGHT(Table20[[#This Row],[Min]],LEN(Table20[[#This Row],[Min]])-FIND("-",Table20[[#This Row],[Min]])))&gt;INDIRECT(ADDRESS(11+MATCH(LEFT(Table20[[#This Row],[Min]],FIND("-",Table20[[#This Row],[Min]])-1),Table1[Content Sku],0),18,1,1,"Entities")),"review","ok"),"ok")</f>
        <v>ok</v>
      </c>
    </row>
    <row r="226" spans="5:51" x14ac:dyDescent="0.25">
      <c r="E226" t="s">
        <v>393</v>
      </c>
      <c r="F226">
        <v>0</v>
      </c>
      <c r="G226">
        <v>0</v>
      </c>
      <c r="H226" t="s">
        <v>8</v>
      </c>
      <c r="I226" s="74" t="str">
        <f ca="1">IF(Table7[[#This Row],[Type]]="KILL",IF(_xlfn.NUMBERVALUE(RIGHT(Table7[[#This Row],[Min]],LEN(Table7[[#This Row],[Min]])-FIND("-",Table7[[#This Row],[Min]])))&gt;INDIRECT(ADDRESS(11+MATCH(LEFT(Table7[[#This Row],[Min]],FIND("-",Table7[[#This Row],[Min]])-1),Table1[Content Sku],0),16,1,1,"Entities")),"review","ok"),"ok")</f>
        <v>ok</v>
      </c>
      <c r="U226" t="s">
        <v>254</v>
      </c>
      <c r="V226">
        <v>0</v>
      </c>
      <c r="W226">
        <v>0</v>
      </c>
      <c r="X226" t="s">
        <v>8</v>
      </c>
      <c r="Y226" s="74" t="str">
        <f ca="1">IF(Table15[[#This Row],[Type]]="KILL",IF(_xlfn.NUMBERVALUE(RIGHT(Table15[[#This Row],[Min]],LEN(Table15[[#This Row],[Min]])-FIND("-",Table15[[#This Row],[Min]])))&gt;INDIRECT(ADDRESS(11+MATCH(LEFT(Table15[[#This Row],[Min]],FIND("-",Table15[[#This Row],[Min]])-1),Table1[Content Sku],0),16,1,1,"Entities")),"review","ok"),"ok")</f>
        <v>ok</v>
      </c>
      <c r="AK226" t="s">
        <v>2667</v>
      </c>
      <c r="AL226">
        <v>0</v>
      </c>
      <c r="AM226">
        <v>0</v>
      </c>
      <c r="AN226" t="s">
        <v>8</v>
      </c>
      <c r="AO226" s="74" t="str">
        <f ca="1">IF(Table20[[#This Row],[Type]]="KILL",IF(_xlfn.NUMBERVALUE(RIGHT(Table20[[#This Row],[Min]],LEN(Table20[[#This Row],[Min]])-FIND("-",Table20[[#This Row],[Min]])))&gt;INDIRECT(ADDRESS(11+MATCH(LEFT(Table20[[#This Row],[Min]],FIND("-",Table20[[#This Row],[Min]])-1),Table1[Content Sku],0),18,1,1,"Entities")),"review","ok"),"ok")</f>
        <v>ok</v>
      </c>
    </row>
    <row r="227" spans="5:51" x14ac:dyDescent="0.25">
      <c r="E227" t="s">
        <v>393</v>
      </c>
      <c r="F227">
        <v>0</v>
      </c>
      <c r="G227">
        <v>0</v>
      </c>
      <c r="H227" t="s">
        <v>8</v>
      </c>
      <c r="I227" s="74" t="str">
        <f ca="1">IF(Table7[[#This Row],[Type]]="KILL",IF(_xlfn.NUMBERVALUE(RIGHT(Table7[[#This Row],[Min]],LEN(Table7[[#This Row],[Min]])-FIND("-",Table7[[#This Row],[Min]])))&gt;INDIRECT(ADDRESS(11+MATCH(LEFT(Table7[[#This Row],[Min]],FIND("-",Table7[[#This Row],[Min]])-1),Table1[Content Sku],0),16,1,1,"Entities")),"review","ok"),"ok")</f>
        <v>ok</v>
      </c>
      <c r="U227" t="s">
        <v>8133</v>
      </c>
      <c r="V227">
        <v>0</v>
      </c>
      <c r="W227">
        <v>0</v>
      </c>
      <c r="X227" t="s">
        <v>8</v>
      </c>
      <c r="Y227" s="74" t="str">
        <f ca="1">IF(Table15[[#This Row],[Type]]="KILL",IF(_xlfn.NUMBERVALUE(RIGHT(Table15[[#This Row],[Min]],LEN(Table15[[#This Row],[Min]])-FIND("-",Table15[[#This Row],[Min]])))&gt;INDIRECT(ADDRESS(11+MATCH(LEFT(Table15[[#This Row],[Min]],FIND("-",Table15[[#This Row],[Min]])-1),Table1[Content Sku],0),16,1,1,"Entities")),"review","ok"),"ok")</f>
        <v>ok</v>
      </c>
      <c r="AK227" t="s">
        <v>95</v>
      </c>
      <c r="AL227">
        <v>0</v>
      </c>
      <c r="AM227">
        <v>19000</v>
      </c>
      <c r="AN227" t="s">
        <v>205</v>
      </c>
      <c r="AO227" s="74" t="str">
        <f ca="1">IF(Table20[[#This Row],[Type]]="KILL",IF(_xlfn.NUMBERVALUE(RIGHT(Table20[[#This Row],[Min]],LEN(Table20[[#This Row],[Min]])-FIND("-",Table20[[#This Row],[Min]])))&gt;INDIRECT(ADDRESS(11+MATCH(LEFT(Table20[[#This Row],[Min]],FIND("-",Table20[[#This Row],[Min]])-1),Table1[Content Sku],0),18,1,1,"Entities")),"review","ok"),"ok")</f>
        <v>ok</v>
      </c>
    </row>
    <row r="228" spans="5:51" x14ac:dyDescent="0.25">
      <c r="E228" t="s">
        <v>283</v>
      </c>
      <c r="F228">
        <v>9200</v>
      </c>
      <c r="G228">
        <v>0</v>
      </c>
      <c r="H228" t="s">
        <v>205</v>
      </c>
      <c r="I228" s="74" t="str">
        <f ca="1">IF(Table7[[#This Row],[Type]]="KILL",IF(_xlfn.NUMBERVALUE(RIGHT(Table7[[#This Row],[Min]],LEN(Table7[[#This Row],[Min]])-FIND("-",Table7[[#This Row],[Min]])))&gt;INDIRECT(ADDRESS(11+MATCH(LEFT(Table7[[#This Row],[Min]],FIND("-",Table7[[#This Row],[Min]])-1),Table1[Content Sku],0),16,1,1,"Entities")),"review","ok"),"ok")</f>
        <v>ok</v>
      </c>
      <c r="U228" t="s">
        <v>254</v>
      </c>
      <c r="V228">
        <v>0</v>
      </c>
      <c r="W228">
        <v>0</v>
      </c>
      <c r="X228" t="s">
        <v>8</v>
      </c>
      <c r="Y228" s="74" t="str">
        <f ca="1">IF(Table15[[#This Row],[Type]]="KILL",IF(_xlfn.NUMBERVALUE(RIGHT(Table15[[#This Row],[Min]],LEN(Table15[[#This Row],[Min]])-FIND("-",Table15[[#This Row],[Min]])))&gt;INDIRECT(ADDRESS(11+MATCH(LEFT(Table15[[#This Row],[Min]],FIND("-",Table15[[#This Row],[Min]])-1),Table1[Content Sku],0),16,1,1,"Entities")),"review","ok"),"ok")</f>
        <v>ok</v>
      </c>
      <c r="AK228" t="s">
        <v>2767</v>
      </c>
      <c r="AL228">
        <v>0</v>
      </c>
      <c r="AM228">
        <v>0</v>
      </c>
      <c r="AN228" t="s">
        <v>8</v>
      </c>
      <c r="AO228" s="74" t="str">
        <f ca="1">IF(Table20[[#This Row],[Type]]="KILL",IF(_xlfn.NUMBERVALUE(RIGHT(Table20[[#This Row],[Min]],LEN(Table20[[#This Row],[Min]])-FIND("-",Table20[[#This Row],[Min]])))&gt;INDIRECT(ADDRESS(11+MATCH(LEFT(Table20[[#This Row],[Min]],FIND("-",Table20[[#This Row],[Min]])-1),Table1[Content Sku],0),18,1,1,"Entities")),"review","ok"),"ok")</f>
        <v>ok</v>
      </c>
    </row>
    <row r="229" spans="5:51" x14ac:dyDescent="0.25">
      <c r="E229" t="s">
        <v>122</v>
      </c>
      <c r="F229">
        <v>0</v>
      </c>
      <c r="G229">
        <v>0</v>
      </c>
      <c r="H229" t="s">
        <v>8</v>
      </c>
      <c r="I229" s="74" t="str">
        <f ca="1">IF(Table7[[#This Row],[Type]]="KILL",IF(_xlfn.NUMBERVALUE(RIGHT(Table7[[#This Row],[Min]],LEN(Table7[[#This Row],[Min]])-FIND("-",Table7[[#This Row],[Min]])))&gt;INDIRECT(ADDRESS(11+MATCH(LEFT(Table7[[#This Row],[Min]],FIND("-",Table7[[#This Row],[Min]])-1),Table1[Content Sku],0),16,1,1,"Entities")),"review","ok"),"ok")</f>
        <v>ok</v>
      </c>
      <c r="U229" t="s">
        <v>278</v>
      </c>
      <c r="V229">
        <v>0</v>
      </c>
      <c r="W229">
        <v>29000</v>
      </c>
      <c r="X229" t="s">
        <v>205</v>
      </c>
      <c r="Y229" s="74" t="str">
        <f ca="1">IF(Table15[[#This Row],[Type]]="KILL",IF(_xlfn.NUMBERVALUE(RIGHT(Table15[[#This Row],[Min]],LEN(Table15[[#This Row],[Min]])-FIND("-",Table15[[#This Row],[Min]])))&gt;INDIRECT(ADDRESS(11+MATCH(LEFT(Table15[[#This Row],[Min]],FIND("-",Table15[[#This Row],[Min]])-1),Table1[Content Sku],0),16,1,1,"Entities")),"review","ok"),"ok")</f>
        <v>ok</v>
      </c>
      <c r="AK229" t="s">
        <v>2745</v>
      </c>
      <c r="AL229">
        <v>0</v>
      </c>
      <c r="AM229">
        <v>0</v>
      </c>
      <c r="AN229" t="s">
        <v>8</v>
      </c>
      <c r="AO229" s="74" t="str">
        <f ca="1">IF(Table20[[#This Row],[Type]]="KILL",IF(_xlfn.NUMBERVALUE(RIGHT(Table20[[#This Row],[Min]],LEN(Table20[[#This Row],[Min]])-FIND("-",Table20[[#This Row],[Min]])))&gt;INDIRECT(ADDRESS(11+MATCH(LEFT(Table20[[#This Row],[Min]],FIND("-",Table20[[#This Row],[Min]])-1),Table1[Content Sku],0),18,1,1,"Entities")),"review","ok"),"ok")</f>
        <v>ok</v>
      </c>
    </row>
    <row r="230" spans="5:51" x14ac:dyDescent="0.25">
      <c r="E230" t="s">
        <v>90</v>
      </c>
      <c r="F230">
        <v>0</v>
      </c>
      <c r="G230">
        <v>0</v>
      </c>
      <c r="H230" t="s">
        <v>8</v>
      </c>
      <c r="I230" s="74" t="str">
        <f ca="1">IF(Table7[[#This Row],[Type]]="KILL",IF(_xlfn.NUMBERVALUE(RIGHT(Table7[[#This Row],[Min]],LEN(Table7[[#This Row],[Min]])-FIND("-",Table7[[#This Row],[Min]])))&gt;INDIRECT(ADDRESS(11+MATCH(LEFT(Table7[[#This Row],[Min]],FIND("-",Table7[[#This Row],[Min]])-1),Table1[Content Sku],0),16,1,1,"Entities")),"review","ok"),"ok")</f>
        <v>ok</v>
      </c>
      <c r="U230" t="s">
        <v>313</v>
      </c>
      <c r="V230">
        <v>0</v>
      </c>
      <c r="W230">
        <v>0</v>
      </c>
      <c r="X230" t="s">
        <v>8</v>
      </c>
      <c r="Y230" s="74" t="str">
        <f ca="1">IF(Table15[[#This Row],[Type]]="KILL",IF(_xlfn.NUMBERVALUE(RIGHT(Table15[[#This Row],[Min]],LEN(Table15[[#This Row],[Min]])-FIND("-",Table15[[#This Row],[Min]])))&gt;INDIRECT(ADDRESS(11+MATCH(LEFT(Table15[[#This Row],[Min]],FIND("-",Table15[[#This Row],[Min]])-1),Table1[Content Sku],0),16,1,1,"Entities")),"review","ok"),"ok")</f>
        <v>ok</v>
      </c>
      <c r="AK230" t="s">
        <v>2741</v>
      </c>
      <c r="AL230">
        <v>0</v>
      </c>
      <c r="AM230">
        <v>0</v>
      </c>
      <c r="AN230" t="s">
        <v>8</v>
      </c>
      <c r="AO230" s="74" t="str">
        <f ca="1">IF(Table20[[#This Row],[Type]]="KILL",IF(_xlfn.NUMBERVALUE(RIGHT(Table20[[#This Row],[Min]],LEN(Table20[[#This Row],[Min]])-FIND("-",Table20[[#This Row],[Min]])))&gt;INDIRECT(ADDRESS(11+MATCH(LEFT(Table20[[#This Row],[Min]],FIND("-",Table20[[#This Row],[Min]])-1),Table1[Content Sku],0),18,1,1,"Entities")),"review","ok"),"ok")</f>
        <v>ok</v>
      </c>
    </row>
    <row r="231" spans="5:51" x14ac:dyDescent="0.25">
      <c r="E231" t="s">
        <v>44</v>
      </c>
      <c r="F231">
        <v>0</v>
      </c>
      <c r="G231">
        <v>20000</v>
      </c>
      <c r="H231" t="s">
        <v>205</v>
      </c>
      <c r="I231" s="74" t="str">
        <f ca="1">IF(Table7[[#This Row],[Type]]="KILL",IF(_xlfn.NUMBERVALUE(RIGHT(Table7[[#This Row],[Min]],LEN(Table7[[#This Row],[Min]])-FIND("-",Table7[[#This Row],[Min]])))&gt;INDIRECT(ADDRESS(11+MATCH(LEFT(Table7[[#This Row],[Min]],FIND("-",Table7[[#This Row],[Min]])-1),Table1[Content Sku],0),16,1,1,"Entities")),"review","ok"),"ok")</f>
        <v>ok</v>
      </c>
      <c r="U231" t="s">
        <v>39</v>
      </c>
      <c r="V231">
        <v>0</v>
      </c>
      <c r="W231">
        <v>0</v>
      </c>
      <c r="X231" t="s">
        <v>8</v>
      </c>
      <c r="Y231" s="74" t="str">
        <f ca="1">IF(Table15[[#This Row],[Type]]="KILL",IF(_xlfn.NUMBERVALUE(RIGHT(Table15[[#This Row],[Min]],LEN(Table15[[#This Row],[Min]])-FIND("-",Table15[[#This Row],[Min]])))&gt;INDIRECT(ADDRESS(11+MATCH(LEFT(Table15[[#This Row],[Min]],FIND("-",Table15[[#This Row],[Min]])-1),Table1[Content Sku],0),16,1,1,"Entities")),"review","ok"),"ok")</f>
        <v>ok</v>
      </c>
      <c r="AK231" t="s">
        <v>37</v>
      </c>
      <c r="AL231">
        <v>0</v>
      </c>
      <c r="AM231">
        <v>0</v>
      </c>
      <c r="AN231" t="s">
        <v>8</v>
      </c>
      <c r="AO231" s="74" t="str">
        <f ca="1">IF(Table20[[#This Row],[Type]]="KILL",IF(_xlfn.NUMBERVALUE(RIGHT(Table20[[#This Row],[Min]],LEN(Table20[[#This Row],[Min]])-FIND("-",Table20[[#This Row],[Min]])))&gt;INDIRECT(ADDRESS(11+MATCH(LEFT(Table20[[#This Row],[Min]],FIND("-",Table20[[#This Row],[Min]])-1),Table1[Content Sku],0),18,1,1,"Entities")),"review","ok"),"ok")</f>
        <v>ok</v>
      </c>
    </row>
    <row r="232" spans="5:51" x14ac:dyDescent="0.25">
      <c r="E232" t="s">
        <v>41</v>
      </c>
      <c r="F232">
        <v>35000</v>
      </c>
      <c r="G232">
        <v>0</v>
      </c>
      <c r="H232" t="s">
        <v>205</v>
      </c>
      <c r="I232" s="74" t="str">
        <f ca="1">IF(Table7[[#This Row],[Type]]="KILL",IF(_xlfn.NUMBERVALUE(RIGHT(Table7[[#This Row],[Min]],LEN(Table7[[#This Row],[Min]])-FIND("-",Table7[[#This Row],[Min]])))&gt;INDIRECT(ADDRESS(11+MATCH(LEFT(Table7[[#This Row],[Min]],FIND("-",Table7[[#This Row],[Min]])-1),Table1[Content Sku],0),16,1,1,"Entities")),"review","ok"),"ok")</f>
        <v>ok</v>
      </c>
      <c r="U232" t="s">
        <v>254</v>
      </c>
      <c r="V232">
        <v>0</v>
      </c>
      <c r="W232">
        <v>0</v>
      </c>
      <c r="X232" t="s">
        <v>8</v>
      </c>
      <c r="Y232" s="74" t="str">
        <f ca="1">IF(Table15[[#This Row],[Type]]="KILL",IF(_xlfn.NUMBERVALUE(RIGHT(Table15[[#This Row],[Min]],LEN(Table15[[#This Row],[Min]])-FIND("-",Table15[[#This Row],[Min]])))&gt;INDIRECT(ADDRESS(11+MATCH(LEFT(Table15[[#This Row],[Min]],FIND("-",Table15[[#This Row],[Min]])-1),Table1[Content Sku],0),16,1,1,"Entities")),"review","ok"),"ok")</f>
        <v>ok</v>
      </c>
      <c r="AK232" t="s">
        <v>2686</v>
      </c>
      <c r="AL232">
        <v>90000</v>
      </c>
      <c r="AM232">
        <v>0</v>
      </c>
      <c r="AN232" t="s">
        <v>205</v>
      </c>
      <c r="AO232" s="74" t="str">
        <f ca="1">IF(Table20[[#This Row],[Type]]="KILL",IF(_xlfn.NUMBERVALUE(RIGHT(Table20[[#This Row],[Min]],LEN(Table20[[#This Row],[Min]])-FIND("-",Table20[[#This Row],[Min]])))&gt;INDIRECT(ADDRESS(11+MATCH(LEFT(Table20[[#This Row],[Min]],FIND("-",Table20[[#This Row],[Min]])-1),Table1[Content Sku],0),18,1,1,"Entities")),"review","ok"),"ok")</f>
        <v>ok</v>
      </c>
    </row>
    <row r="233" spans="5:51" x14ac:dyDescent="0.25">
      <c r="E233" t="s">
        <v>253</v>
      </c>
      <c r="F233">
        <v>4000</v>
      </c>
      <c r="G233">
        <v>0</v>
      </c>
      <c r="H233" t="s">
        <v>205</v>
      </c>
      <c r="I233" s="74" t="str">
        <f ca="1">IF(Table7[[#This Row],[Type]]="KILL",IF(_xlfn.NUMBERVALUE(RIGHT(Table7[[#This Row],[Min]],LEN(Table7[[#This Row],[Min]])-FIND("-",Table7[[#This Row],[Min]])))&gt;INDIRECT(ADDRESS(11+MATCH(LEFT(Table7[[#This Row],[Min]],FIND("-",Table7[[#This Row],[Min]])-1),Table1[Content Sku],0),16,1,1,"Entities")),"review","ok"),"ok")</f>
        <v>ok</v>
      </c>
      <c r="U233" t="s">
        <v>1</v>
      </c>
      <c r="V233">
        <v>0</v>
      </c>
      <c r="W233">
        <v>0</v>
      </c>
      <c r="X233" t="s">
        <v>8</v>
      </c>
      <c r="Y233" s="74" t="str">
        <f ca="1">IF(Table15[[#This Row],[Type]]="KILL",IF(_xlfn.NUMBERVALUE(RIGHT(Table15[[#This Row],[Min]],LEN(Table15[[#This Row],[Min]])-FIND("-",Table15[[#This Row],[Min]])))&gt;INDIRECT(ADDRESS(11+MATCH(LEFT(Table15[[#This Row],[Min]],FIND("-",Table15[[#This Row],[Min]])-1),Table1[Content Sku],0),16,1,1,"Entities")),"review","ok"),"ok")</f>
        <v>ok</v>
      </c>
      <c r="AK233" t="s">
        <v>540</v>
      </c>
      <c r="AL233">
        <v>0</v>
      </c>
      <c r="AM233">
        <v>0</v>
      </c>
      <c r="AN233" t="s">
        <v>8</v>
      </c>
      <c r="AO233" s="74" t="str">
        <f ca="1">IF(Table20[[#This Row],[Type]]="KILL",IF(_xlfn.NUMBERVALUE(RIGHT(Table20[[#This Row],[Min]],LEN(Table20[[#This Row],[Min]])-FIND("-",Table20[[#This Row],[Min]])))&gt;INDIRECT(ADDRESS(11+MATCH(LEFT(Table20[[#This Row],[Min]],FIND("-",Table20[[#This Row],[Min]])-1),Table1[Content Sku],0),18,1,1,"Entities")),"review","ok"),"ok")</f>
        <v>ok</v>
      </c>
    </row>
    <row r="234" spans="5:51" x14ac:dyDescent="0.25">
      <c r="E234" t="s">
        <v>393</v>
      </c>
      <c r="F234">
        <v>0</v>
      </c>
      <c r="G234">
        <v>0</v>
      </c>
      <c r="H234" t="s">
        <v>8</v>
      </c>
      <c r="I234" s="74" t="str">
        <f ca="1">IF(Table7[[#This Row],[Type]]="KILL",IF(_xlfn.NUMBERVALUE(RIGHT(Table7[[#This Row],[Min]],LEN(Table7[[#This Row],[Min]])-FIND("-",Table7[[#This Row],[Min]])))&gt;INDIRECT(ADDRESS(11+MATCH(LEFT(Table7[[#This Row],[Min]],FIND("-",Table7[[#This Row],[Min]])-1),Table1[Content Sku],0),16,1,1,"Entities")),"review","ok"),"ok")</f>
        <v>ok</v>
      </c>
      <c r="U234" t="s">
        <v>304</v>
      </c>
      <c r="V234">
        <v>0</v>
      </c>
      <c r="W234">
        <v>0</v>
      </c>
      <c r="X234" t="s">
        <v>8</v>
      </c>
      <c r="Y234" s="74" t="str">
        <f ca="1">IF(Table15[[#This Row],[Type]]="KILL",IF(_xlfn.NUMBERVALUE(RIGHT(Table15[[#This Row],[Min]],LEN(Table15[[#This Row],[Min]])-FIND("-",Table15[[#This Row],[Min]])))&gt;INDIRECT(ADDRESS(11+MATCH(LEFT(Table15[[#This Row],[Min]],FIND("-",Table15[[#This Row],[Min]])-1),Table1[Content Sku],0),16,1,1,"Entities")),"review","ok"),"ok")</f>
        <v>ok</v>
      </c>
      <c r="AK234" t="s">
        <v>36</v>
      </c>
      <c r="AL234">
        <v>36000</v>
      </c>
      <c r="AM234">
        <v>0</v>
      </c>
      <c r="AN234" t="s">
        <v>205</v>
      </c>
      <c r="AO234" s="74" t="str">
        <f ca="1">IF(Table20[[#This Row],[Type]]="KILL",IF(_xlfn.NUMBERVALUE(RIGHT(Table20[[#This Row],[Min]],LEN(Table20[[#This Row],[Min]])-FIND("-",Table20[[#This Row],[Min]])))&gt;INDIRECT(ADDRESS(11+MATCH(LEFT(Table20[[#This Row],[Min]],FIND("-",Table20[[#This Row],[Min]])-1),Table1[Content Sku],0),18,1,1,"Entities")),"review","ok"),"ok")</f>
        <v>ok</v>
      </c>
    </row>
    <row r="235" spans="5:51" x14ac:dyDescent="0.25">
      <c r="E235" t="s">
        <v>36</v>
      </c>
      <c r="F235">
        <v>6000</v>
      </c>
      <c r="G235">
        <v>0</v>
      </c>
      <c r="H235" t="s">
        <v>205</v>
      </c>
      <c r="I235" s="74" t="str">
        <f ca="1">IF(Table7[[#This Row],[Type]]="KILL",IF(_xlfn.NUMBERVALUE(RIGHT(Table7[[#This Row],[Min]],LEN(Table7[[#This Row],[Min]])-FIND("-",Table7[[#This Row],[Min]])))&gt;INDIRECT(ADDRESS(11+MATCH(LEFT(Table7[[#This Row],[Min]],FIND("-",Table7[[#This Row],[Min]])-1),Table1[Content Sku],0),16,1,1,"Entities")),"review","ok"),"ok")</f>
        <v>ok</v>
      </c>
      <c r="U235" t="s">
        <v>280</v>
      </c>
      <c r="V235">
        <v>0</v>
      </c>
      <c r="W235">
        <v>0</v>
      </c>
      <c r="X235" t="s">
        <v>8</v>
      </c>
      <c r="Y235" s="74" t="str">
        <f ca="1">IF(Table15[[#This Row],[Type]]="KILL",IF(_xlfn.NUMBERVALUE(RIGHT(Table15[[#This Row],[Min]],LEN(Table15[[#This Row],[Min]])-FIND("-",Table15[[#This Row],[Min]])))&gt;INDIRECT(ADDRESS(11+MATCH(LEFT(Table15[[#This Row],[Min]],FIND("-",Table15[[#This Row],[Min]])-1),Table1[Content Sku],0),16,1,1,"Entities")),"review","ok"),"ok")</f>
        <v>ok</v>
      </c>
      <c r="AK235" t="s">
        <v>412</v>
      </c>
      <c r="AL235">
        <v>0</v>
      </c>
      <c r="AM235">
        <v>0</v>
      </c>
      <c r="AN235" t="s">
        <v>8</v>
      </c>
      <c r="AO235" s="74" t="str">
        <f ca="1">IF(Table20[[#This Row],[Type]]="KILL",IF(_xlfn.NUMBERVALUE(RIGHT(Table20[[#This Row],[Min]],LEN(Table20[[#This Row],[Min]])-FIND("-",Table20[[#This Row],[Min]])))&gt;INDIRECT(ADDRESS(11+MATCH(LEFT(Table20[[#This Row],[Min]],FIND("-",Table20[[#This Row],[Min]])-1),Table1[Content Sku],0),18,1,1,"Entities")),"review","ok"),"ok")</f>
        <v>ok</v>
      </c>
    </row>
    <row r="236" spans="5:51" x14ac:dyDescent="0.25">
      <c r="E236" t="s">
        <v>309</v>
      </c>
      <c r="F236">
        <v>0</v>
      </c>
      <c r="G236">
        <v>0</v>
      </c>
      <c r="H236" t="s">
        <v>8</v>
      </c>
      <c r="I236" s="74" t="str">
        <f ca="1">IF(Table7[[#This Row],[Type]]="KILL",IF(_xlfn.NUMBERVALUE(RIGHT(Table7[[#This Row],[Min]],LEN(Table7[[#This Row],[Min]])-FIND("-",Table7[[#This Row],[Min]])))&gt;INDIRECT(ADDRESS(11+MATCH(LEFT(Table7[[#This Row],[Min]],FIND("-",Table7[[#This Row],[Min]])-1),Table1[Content Sku],0),16,1,1,"Entities")),"review","ok"),"ok")</f>
        <v>ok</v>
      </c>
      <c r="U236" t="s">
        <v>393</v>
      </c>
      <c r="V236">
        <v>23000</v>
      </c>
      <c r="W236">
        <v>0</v>
      </c>
      <c r="X236" t="s">
        <v>205</v>
      </c>
      <c r="Y236" s="74" t="str">
        <f ca="1">IF(Table15[[#This Row],[Type]]="KILL",IF(_xlfn.NUMBERVALUE(RIGHT(Table15[[#This Row],[Min]],LEN(Table15[[#This Row],[Min]])-FIND("-",Table15[[#This Row],[Min]])))&gt;INDIRECT(ADDRESS(11+MATCH(LEFT(Table15[[#This Row],[Min]],FIND("-",Table15[[#This Row],[Min]])-1),Table1[Content Sku],0),16,1,1,"Entities")),"review","ok"),"ok")</f>
        <v>ok</v>
      </c>
      <c r="AK236" t="s">
        <v>4428</v>
      </c>
      <c r="AL236">
        <v>0</v>
      </c>
      <c r="AM236">
        <v>0</v>
      </c>
      <c r="AN236" t="s">
        <v>8</v>
      </c>
      <c r="AO236" s="74" t="str">
        <f ca="1">IF(Table20[[#This Row],[Type]]="KILL",IF(_xlfn.NUMBERVALUE(RIGHT(Table20[[#This Row],[Min]],LEN(Table20[[#This Row],[Min]])-FIND("-",Table20[[#This Row],[Min]])))&gt;INDIRECT(ADDRESS(11+MATCH(LEFT(Table20[[#This Row],[Min]],FIND("-",Table20[[#This Row],[Min]])-1),Table1[Content Sku],0),18,1,1,"Entities")),"review","ok"),"ok")</f>
        <v>ok</v>
      </c>
      <c r="AS236" s="1"/>
      <c r="AT236" s="1"/>
      <c r="AV236" s="1"/>
      <c r="AY236" s="1"/>
    </row>
    <row r="237" spans="5:51" x14ac:dyDescent="0.25">
      <c r="E237" t="s">
        <v>313</v>
      </c>
      <c r="F237">
        <v>0</v>
      </c>
      <c r="G237">
        <v>22000</v>
      </c>
      <c r="H237" t="s">
        <v>205</v>
      </c>
      <c r="I237" s="74" t="str">
        <f ca="1">IF(Table7[[#This Row],[Type]]="KILL",IF(_xlfn.NUMBERVALUE(RIGHT(Table7[[#This Row],[Min]],LEN(Table7[[#This Row],[Min]])-FIND("-",Table7[[#This Row],[Min]])))&gt;INDIRECT(ADDRESS(11+MATCH(LEFT(Table7[[#This Row],[Min]],FIND("-",Table7[[#This Row],[Min]])-1),Table1[Content Sku],0),16,1,1,"Entities")),"review","ok"),"ok")</f>
        <v>ok</v>
      </c>
      <c r="U237" t="s">
        <v>22</v>
      </c>
      <c r="V237">
        <v>21000</v>
      </c>
      <c r="W237">
        <v>0</v>
      </c>
      <c r="X237" t="s">
        <v>205</v>
      </c>
      <c r="Y237" s="74" t="str">
        <f ca="1">IF(Table15[[#This Row],[Type]]="KILL",IF(_xlfn.NUMBERVALUE(RIGHT(Table15[[#This Row],[Min]],LEN(Table15[[#This Row],[Min]])-FIND("-",Table15[[#This Row],[Min]])))&gt;INDIRECT(ADDRESS(11+MATCH(LEFT(Table15[[#This Row],[Min]],FIND("-",Table15[[#This Row],[Min]])-1),Table1[Content Sku],0),16,1,1,"Entities")),"review","ok"),"ok")</f>
        <v>ok</v>
      </c>
      <c r="AK237" t="s">
        <v>2672</v>
      </c>
      <c r="AL237">
        <v>76000</v>
      </c>
      <c r="AM237">
        <v>0</v>
      </c>
      <c r="AN237" t="s">
        <v>205</v>
      </c>
      <c r="AO237" s="74" t="str">
        <f ca="1">IF(Table20[[#This Row],[Type]]="KILL",IF(_xlfn.NUMBERVALUE(RIGHT(Table20[[#This Row],[Min]],LEN(Table20[[#This Row],[Min]])-FIND("-",Table20[[#This Row],[Min]])))&gt;INDIRECT(ADDRESS(11+MATCH(LEFT(Table20[[#This Row],[Min]],FIND("-",Table20[[#This Row],[Min]])-1),Table1[Content Sku],0),18,1,1,"Entities")),"review","ok"),"ok")</f>
        <v>ok</v>
      </c>
    </row>
    <row r="238" spans="5:51" x14ac:dyDescent="0.25">
      <c r="E238" t="s">
        <v>313</v>
      </c>
      <c r="F238">
        <v>0</v>
      </c>
      <c r="G238">
        <v>0</v>
      </c>
      <c r="H238" t="s">
        <v>8</v>
      </c>
      <c r="I238" s="74" t="str">
        <f ca="1">IF(Table7[[#This Row],[Type]]="KILL",IF(_xlfn.NUMBERVALUE(RIGHT(Table7[[#This Row],[Min]],LEN(Table7[[#This Row],[Min]])-FIND("-",Table7[[#This Row],[Min]])))&gt;INDIRECT(ADDRESS(11+MATCH(LEFT(Table7[[#This Row],[Min]],FIND("-",Table7[[#This Row],[Min]])-1),Table1[Content Sku],0),16,1,1,"Entities")),"review","ok"),"ok")</f>
        <v>ok</v>
      </c>
      <c r="U238" t="s">
        <v>39</v>
      </c>
      <c r="V238">
        <v>0</v>
      </c>
      <c r="W238">
        <v>0</v>
      </c>
      <c r="X238" t="s">
        <v>8</v>
      </c>
      <c r="Y238" s="74" t="str">
        <f ca="1">IF(Table15[[#This Row],[Type]]="KILL",IF(_xlfn.NUMBERVALUE(RIGHT(Table15[[#This Row],[Min]],LEN(Table15[[#This Row],[Min]])-FIND("-",Table15[[#This Row],[Min]])))&gt;INDIRECT(ADDRESS(11+MATCH(LEFT(Table15[[#This Row],[Min]],FIND("-",Table15[[#This Row],[Min]])-1),Table1[Content Sku],0),16,1,1,"Entities")),"review","ok"),"ok")</f>
        <v>ok</v>
      </c>
      <c r="AK238" t="s">
        <v>95</v>
      </c>
      <c r="AL238">
        <v>0</v>
      </c>
      <c r="AM238">
        <v>0</v>
      </c>
      <c r="AN238" t="s">
        <v>8</v>
      </c>
      <c r="AO238" s="74" t="str">
        <f ca="1">IF(Table20[[#This Row],[Type]]="KILL",IF(_xlfn.NUMBERVALUE(RIGHT(Table20[[#This Row],[Min]],LEN(Table20[[#This Row],[Min]])-FIND("-",Table20[[#This Row],[Min]])))&gt;INDIRECT(ADDRESS(11+MATCH(LEFT(Table20[[#This Row],[Min]],FIND("-",Table20[[#This Row],[Min]])-1),Table1[Content Sku],0),18,1,1,"Entities")),"review","ok"),"ok")</f>
        <v>ok</v>
      </c>
    </row>
    <row r="239" spans="5:51" x14ac:dyDescent="0.25">
      <c r="E239" t="s">
        <v>280</v>
      </c>
      <c r="F239">
        <v>0</v>
      </c>
      <c r="G239">
        <v>0</v>
      </c>
      <c r="H239" t="s">
        <v>8</v>
      </c>
      <c r="I239" s="74" t="str">
        <f ca="1">IF(Table7[[#This Row],[Type]]="KILL",IF(_xlfn.NUMBERVALUE(RIGHT(Table7[[#This Row],[Min]],LEN(Table7[[#This Row],[Min]])-FIND("-",Table7[[#This Row],[Min]])))&gt;INDIRECT(ADDRESS(11+MATCH(LEFT(Table7[[#This Row],[Min]],FIND("-",Table7[[#This Row],[Min]])-1),Table1[Content Sku],0),16,1,1,"Entities")),"review","ok"),"ok")</f>
        <v>ok</v>
      </c>
      <c r="U239" t="s">
        <v>289</v>
      </c>
      <c r="V239">
        <v>17000</v>
      </c>
      <c r="W239">
        <v>0</v>
      </c>
      <c r="X239" t="s">
        <v>205</v>
      </c>
      <c r="Y239" s="74" t="str">
        <f ca="1">IF(Table15[[#This Row],[Type]]="KILL",IF(_xlfn.NUMBERVALUE(RIGHT(Table15[[#This Row],[Min]],LEN(Table15[[#This Row],[Min]])-FIND("-",Table15[[#This Row],[Min]])))&gt;INDIRECT(ADDRESS(11+MATCH(LEFT(Table15[[#This Row],[Min]],FIND("-",Table15[[#This Row],[Min]])-1),Table1[Content Sku],0),16,1,1,"Entities")),"review","ok"),"ok")</f>
        <v>ok</v>
      </c>
      <c r="AK239" t="s">
        <v>37</v>
      </c>
      <c r="AL239">
        <v>0</v>
      </c>
      <c r="AM239">
        <v>0</v>
      </c>
      <c r="AN239" t="s">
        <v>8</v>
      </c>
      <c r="AO239" s="74" t="str">
        <f ca="1">IF(Table20[[#This Row],[Type]]="KILL",IF(_xlfn.NUMBERVALUE(RIGHT(Table20[[#This Row],[Min]],LEN(Table20[[#This Row],[Min]])-FIND("-",Table20[[#This Row],[Min]])))&gt;INDIRECT(ADDRESS(11+MATCH(LEFT(Table20[[#This Row],[Min]],FIND("-",Table20[[#This Row],[Min]])-1),Table1[Content Sku],0),18,1,1,"Entities")),"review","ok"),"ok")</f>
        <v>ok</v>
      </c>
    </row>
    <row r="240" spans="5:51" x14ac:dyDescent="0.25">
      <c r="E240" t="s">
        <v>39</v>
      </c>
      <c r="F240">
        <v>0</v>
      </c>
      <c r="G240">
        <v>0</v>
      </c>
      <c r="H240" t="s">
        <v>8</v>
      </c>
      <c r="I240" s="74" t="str">
        <f ca="1">IF(Table7[[#This Row],[Type]]="KILL",IF(_xlfn.NUMBERVALUE(RIGHT(Table7[[#This Row],[Min]],LEN(Table7[[#This Row],[Min]])-FIND("-",Table7[[#This Row],[Min]])))&gt;INDIRECT(ADDRESS(11+MATCH(LEFT(Table7[[#This Row],[Min]],FIND("-",Table7[[#This Row],[Min]])-1),Table1[Content Sku],0),16,1,1,"Entities")),"review","ok"),"ok")</f>
        <v>ok</v>
      </c>
      <c r="U240" t="s">
        <v>2736</v>
      </c>
      <c r="V240">
        <v>0</v>
      </c>
      <c r="W240">
        <v>0</v>
      </c>
      <c r="X240" t="s">
        <v>8</v>
      </c>
      <c r="Y240" s="74" t="str">
        <f ca="1">IF(Table15[[#This Row],[Type]]="KILL",IF(_xlfn.NUMBERVALUE(RIGHT(Table15[[#This Row],[Min]],LEN(Table15[[#This Row],[Min]])-FIND("-",Table15[[#This Row],[Min]])))&gt;INDIRECT(ADDRESS(11+MATCH(LEFT(Table15[[#This Row],[Min]],FIND("-",Table15[[#This Row],[Min]])-1),Table1[Content Sku],0),16,1,1,"Entities")),"review","ok"),"ok")</f>
        <v>ok</v>
      </c>
      <c r="AK240" t="s">
        <v>2672</v>
      </c>
      <c r="AL240">
        <v>84000</v>
      </c>
      <c r="AM240">
        <v>0</v>
      </c>
      <c r="AN240" t="s">
        <v>205</v>
      </c>
      <c r="AO240" s="74" t="str">
        <f ca="1">IF(Table20[[#This Row],[Type]]="KILL",IF(_xlfn.NUMBERVALUE(RIGHT(Table20[[#This Row],[Min]],LEN(Table20[[#This Row],[Min]])-FIND("-",Table20[[#This Row],[Min]])))&gt;INDIRECT(ADDRESS(11+MATCH(LEFT(Table20[[#This Row],[Min]],FIND("-",Table20[[#This Row],[Min]])-1),Table1[Content Sku],0),18,1,1,"Entities")),"review","ok"),"ok")</f>
        <v>ok</v>
      </c>
    </row>
    <row r="241" spans="5:41" x14ac:dyDescent="0.25">
      <c r="E241" t="s">
        <v>39</v>
      </c>
      <c r="F241">
        <v>0</v>
      </c>
      <c r="G241">
        <v>0</v>
      </c>
      <c r="H241" t="s">
        <v>8</v>
      </c>
      <c r="I241" s="74" t="str">
        <f ca="1">IF(Table7[[#This Row],[Type]]="KILL",IF(_xlfn.NUMBERVALUE(RIGHT(Table7[[#This Row],[Min]],LEN(Table7[[#This Row],[Min]])-FIND("-",Table7[[#This Row],[Min]])))&gt;INDIRECT(ADDRESS(11+MATCH(LEFT(Table7[[#This Row],[Min]],FIND("-",Table7[[#This Row],[Min]])-1),Table1[Content Sku],0),16,1,1,"Entities")),"review","ok"),"ok")</f>
        <v>ok</v>
      </c>
      <c r="U241" t="s">
        <v>40</v>
      </c>
      <c r="V241">
        <v>150</v>
      </c>
      <c r="W241">
        <v>0</v>
      </c>
      <c r="X241" t="s">
        <v>4431</v>
      </c>
      <c r="Y241" s="74" t="str">
        <f ca="1">IF(Table15[[#This Row],[Type]]="KILL",IF(_xlfn.NUMBERVALUE(RIGHT(Table15[[#This Row],[Min]],LEN(Table15[[#This Row],[Min]])-FIND("-",Table15[[#This Row],[Min]])))&gt;INDIRECT(ADDRESS(11+MATCH(LEFT(Table15[[#This Row],[Min]],FIND("-",Table15[[#This Row],[Min]])-1),Table1[Content Sku],0),16,1,1,"Entities")),"review","ok"),"ok")</f>
        <v>ok</v>
      </c>
      <c r="AK241" t="s">
        <v>537</v>
      </c>
      <c r="AL241">
        <v>0</v>
      </c>
      <c r="AM241">
        <v>35000</v>
      </c>
      <c r="AN241" t="s">
        <v>205</v>
      </c>
      <c r="AO241" s="74" t="str">
        <f ca="1">IF(Table20[[#This Row],[Type]]="KILL",IF(_xlfn.NUMBERVALUE(RIGHT(Table20[[#This Row],[Min]],LEN(Table20[[#This Row],[Min]])-FIND("-",Table20[[#This Row],[Min]])))&gt;INDIRECT(ADDRESS(11+MATCH(LEFT(Table20[[#This Row],[Min]],FIND("-",Table20[[#This Row],[Min]])-1),Table1[Content Sku],0),18,1,1,"Entities")),"review","ok"),"ok")</f>
        <v>ok</v>
      </c>
    </row>
    <row r="242" spans="5:41" x14ac:dyDescent="0.25">
      <c r="E242" t="s">
        <v>289</v>
      </c>
      <c r="F242">
        <v>0</v>
      </c>
      <c r="G242">
        <v>0</v>
      </c>
      <c r="H242" t="s">
        <v>8</v>
      </c>
      <c r="I242" s="74" t="str">
        <f ca="1">IF(Table7[[#This Row],[Type]]="KILL",IF(_xlfn.NUMBERVALUE(RIGHT(Table7[[#This Row],[Min]],LEN(Table7[[#This Row],[Min]])-FIND("-",Table7[[#This Row],[Min]])))&gt;INDIRECT(ADDRESS(11+MATCH(LEFT(Table7[[#This Row],[Min]],FIND("-",Table7[[#This Row],[Min]])-1),Table1[Content Sku],0),16,1,1,"Entities")),"review","ok"),"ok")</f>
        <v>ok</v>
      </c>
      <c r="U242" t="s">
        <v>392</v>
      </c>
      <c r="V242">
        <v>0</v>
      </c>
      <c r="W242">
        <v>0</v>
      </c>
      <c r="X242" t="s">
        <v>8</v>
      </c>
      <c r="Y242" s="74" t="str">
        <f ca="1">IF(Table15[[#This Row],[Type]]="KILL",IF(_xlfn.NUMBERVALUE(RIGHT(Table15[[#This Row],[Min]],LEN(Table15[[#This Row],[Min]])-FIND("-",Table15[[#This Row],[Min]])))&gt;INDIRECT(ADDRESS(11+MATCH(LEFT(Table15[[#This Row],[Min]],FIND("-",Table15[[#This Row],[Min]])-1),Table1[Content Sku],0),16,1,1,"Entities")),"review","ok"),"ok")</f>
        <v>ok</v>
      </c>
      <c r="AK242" t="s">
        <v>137</v>
      </c>
      <c r="AL242">
        <v>0</v>
      </c>
      <c r="AM242">
        <v>0</v>
      </c>
      <c r="AN242" t="s">
        <v>8</v>
      </c>
      <c r="AO242" s="74" t="str">
        <f ca="1">IF(Table20[[#This Row],[Type]]="KILL",IF(_xlfn.NUMBERVALUE(RIGHT(Table20[[#This Row],[Min]],LEN(Table20[[#This Row],[Min]])-FIND("-",Table20[[#This Row],[Min]])))&gt;INDIRECT(ADDRESS(11+MATCH(LEFT(Table20[[#This Row],[Min]],FIND("-",Table20[[#This Row],[Min]])-1),Table1[Content Sku],0),18,1,1,"Entities")),"review","ok"),"ok")</f>
        <v>ok</v>
      </c>
    </row>
    <row r="243" spans="5:41" x14ac:dyDescent="0.25">
      <c r="E243" t="s">
        <v>396</v>
      </c>
      <c r="F243">
        <v>5000</v>
      </c>
      <c r="G243">
        <v>0</v>
      </c>
      <c r="H243" t="s">
        <v>205</v>
      </c>
      <c r="I243" s="74" t="str">
        <f ca="1">IF(Table7[[#This Row],[Type]]="KILL",IF(_xlfn.NUMBERVALUE(RIGHT(Table7[[#This Row],[Min]],LEN(Table7[[#This Row],[Min]])-FIND("-",Table7[[#This Row],[Min]])))&gt;INDIRECT(ADDRESS(11+MATCH(LEFT(Table7[[#This Row],[Min]],FIND("-",Table7[[#This Row],[Min]])-1),Table1[Content Sku],0),16,1,1,"Entities")),"review","ok"),"ok")</f>
        <v>ok</v>
      </c>
      <c r="U243" t="s">
        <v>278</v>
      </c>
      <c r="V243">
        <v>0</v>
      </c>
      <c r="W243">
        <v>55000</v>
      </c>
      <c r="X243" t="s">
        <v>205</v>
      </c>
      <c r="Y243" s="74" t="str">
        <f ca="1">IF(Table15[[#This Row],[Type]]="KILL",IF(_xlfn.NUMBERVALUE(RIGHT(Table15[[#This Row],[Min]],LEN(Table15[[#This Row],[Min]])-FIND("-",Table15[[#This Row],[Min]])))&gt;INDIRECT(ADDRESS(11+MATCH(LEFT(Table15[[#This Row],[Min]],FIND("-",Table15[[#This Row],[Min]])-1),Table1[Content Sku],0),16,1,1,"Entities")),"review","ok"),"ok")</f>
        <v>ok</v>
      </c>
      <c r="AK243" t="s">
        <v>2745</v>
      </c>
      <c r="AL243">
        <v>0</v>
      </c>
      <c r="AM243">
        <v>0</v>
      </c>
      <c r="AN243" t="s">
        <v>8</v>
      </c>
      <c r="AO243" s="74" t="str">
        <f ca="1">IF(Table20[[#This Row],[Type]]="KILL",IF(_xlfn.NUMBERVALUE(RIGHT(Table20[[#This Row],[Min]],LEN(Table20[[#This Row],[Min]])-FIND("-",Table20[[#This Row],[Min]])))&gt;INDIRECT(ADDRESS(11+MATCH(LEFT(Table20[[#This Row],[Min]],FIND("-",Table20[[#This Row],[Min]])-1),Table1[Content Sku],0),18,1,1,"Entities")),"review","ok"),"ok")</f>
        <v>ok</v>
      </c>
    </row>
    <row r="244" spans="5:41" x14ac:dyDescent="0.25">
      <c r="E244" t="s">
        <v>315</v>
      </c>
      <c r="F244">
        <v>0</v>
      </c>
      <c r="G244">
        <v>0</v>
      </c>
      <c r="H244" t="s">
        <v>8</v>
      </c>
      <c r="I244" s="74" t="str">
        <f ca="1">IF(Table7[[#This Row],[Type]]="KILL",IF(_xlfn.NUMBERVALUE(RIGHT(Table7[[#This Row],[Min]],LEN(Table7[[#This Row],[Min]])-FIND("-",Table7[[#This Row],[Min]])))&gt;INDIRECT(ADDRESS(11+MATCH(LEFT(Table7[[#This Row],[Min]],FIND("-",Table7[[#This Row],[Min]])-1),Table1[Content Sku],0),16,1,1,"Entities")),"review","ok"),"ok")</f>
        <v>ok</v>
      </c>
      <c r="U244" t="s">
        <v>548</v>
      </c>
      <c r="V244">
        <v>0</v>
      </c>
      <c r="W244">
        <v>0</v>
      </c>
      <c r="X244" t="s">
        <v>8</v>
      </c>
      <c r="Y244" s="74" t="str">
        <f ca="1">IF(Table15[[#This Row],[Type]]="KILL",IF(_xlfn.NUMBERVALUE(RIGHT(Table15[[#This Row],[Min]],LEN(Table15[[#This Row],[Min]])-FIND("-",Table15[[#This Row],[Min]])))&gt;INDIRECT(ADDRESS(11+MATCH(LEFT(Table15[[#This Row],[Min]],FIND("-",Table15[[#This Row],[Min]])-1),Table1[Content Sku],0),16,1,1,"Entities")),"review","ok"),"ok")</f>
        <v>ok</v>
      </c>
      <c r="AK244" t="s">
        <v>543</v>
      </c>
      <c r="AL244">
        <v>0</v>
      </c>
      <c r="AM244">
        <v>0</v>
      </c>
      <c r="AN244" t="s">
        <v>8</v>
      </c>
      <c r="AO244" s="74" t="str">
        <f ca="1">IF(Table20[[#This Row],[Type]]="KILL",IF(_xlfn.NUMBERVALUE(RIGHT(Table20[[#This Row],[Min]],LEN(Table20[[#This Row],[Min]])-FIND("-",Table20[[#This Row],[Min]])))&gt;INDIRECT(ADDRESS(11+MATCH(LEFT(Table20[[#This Row],[Min]],FIND("-",Table20[[#This Row],[Min]])-1),Table1[Content Sku],0),18,1,1,"Entities")),"review","ok"),"ok")</f>
        <v>ok</v>
      </c>
    </row>
    <row r="245" spans="5:41" x14ac:dyDescent="0.25">
      <c r="E245" t="s">
        <v>393</v>
      </c>
      <c r="F245">
        <v>0</v>
      </c>
      <c r="G245">
        <v>0</v>
      </c>
      <c r="H245" t="s">
        <v>8</v>
      </c>
      <c r="I245" s="74" t="str">
        <f ca="1">IF(Table7[[#This Row],[Type]]="KILL",IF(_xlfn.NUMBERVALUE(RIGHT(Table7[[#This Row],[Min]],LEN(Table7[[#This Row],[Min]])-FIND("-",Table7[[#This Row],[Min]])))&gt;INDIRECT(ADDRESS(11+MATCH(LEFT(Table7[[#This Row],[Min]],FIND("-",Table7[[#This Row],[Min]])-1),Table1[Content Sku],0),16,1,1,"Entities")),"review","ok"),"ok")</f>
        <v>ok</v>
      </c>
      <c r="U245" t="s">
        <v>1</v>
      </c>
      <c r="V245">
        <v>0</v>
      </c>
      <c r="W245">
        <v>0</v>
      </c>
      <c r="X245" t="s">
        <v>8</v>
      </c>
      <c r="Y245" s="74" t="str">
        <f ca="1">IF(Table15[[#This Row],[Type]]="KILL",IF(_xlfn.NUMBERVALUE(RIGHT(Table15[[#This Row],[Min]],LEN(Table15[[#This Row],[Min]])-FIND("-",Table15[[#This Row],[Min]])))&gt;INDIRECT(ADDRESS(11+MATCH(LEFT(Table15[[#This Row],[Min]],FIND("-",Table15[[#This Row],[Min]])-1),Table1[Content Sku],0),16,1,1,"Entities")),"review","ok"),"ok")</f>
        <v>ok</v>
      </c>
      <c r="AK245" t="s">
        <v>2667</v>
      </c>
      <c r="AL245">
        <v>0</v>
      </c>
      <c r="AM245">
        <v>0</v>
      </c>
      <c r="AN245" t="s">
        <v>8</v>
      </c>
      <c r="AO245" s="74" t="str">
        <f ca="1">IF(Table20[[#This Row],[Type]]="KILL",IF(_xlfn.NUMBERVALUE(RIGHT(Table20[[#This Row],[Min]],LEN(Table20[[#This Row],[Min]])-FIND("-",Table20[[#This Row],[Min]])))&gt;INDIRECT(ADDRESS(11+MATCH(LEFT(Table20[[#This Row],[Min]],FIND("-",Table20[[#This Row],[Min]])-1),Table1[Content Sku],0),18,1,1,"Entities")),"review","ok"),"ok")</f>
        <v>ok</v>
      </c>
    </row>
    <row r="246" spans="5:41" x14ac:dyDescent="0.25">
      <c r="E246" t="s">
        <v>400</v>
      </c>
      <c r="F246">
        <v>0</v>
      </c>
      <c r="G246">
        <v>0</v>
      </c>
      <c r="H246" t="s">
        <v>8</v>
      </c>
      <c r="I246" s="74" t="str">
        <f ca="1">IF(Table7[[#This Row],[Type]]="KILL",IF(_xlfn.NUMBERVALUE(RIGHT(Table7[[#This Row],[Min]],LEN(Table7[[#This Row],[Min]])-FIND("-",Table7[[#This Row],[Min]])))&gt;INDIRECT(ADDRESS(11+MATCH(LEFT(Table7[[#This Row],[Min]],FIND("-",Table7[[#This Row],[Min]])-1),Table1[Content Sku],0),16,1,1,"Entities")),"review","ok"),"ok")</f>
        <v>ok</v>
      </c>
      <c r="U246" t="s">
        <v>253</v>
      </c>
      <c r="V246">
        <v>0</v>
      </c>
      <c r="W246">
        <v>0</v>
      </c>
      <c r="X246" t="s">
        <v>8</v>
      </c>
      <c r="Y246" s="74" t="str">
        <f ca="1">IF(Table15[[#This Row],[Type]]="KILL",IF(_xlfn.NUMBERVALUE(RIGHT(Table15[[#This Row],[Min]],LEN(Table15[[#This Row],[Min]])-FIND("-",Table15[[#This Row],[Min]])))&gt;INDIRECT(ADDRESS(11+MATCH(LEFT(Table15[[#This Row],[Min]],FIND("-",Table15[[#This Row],[Min]])-1),Table1[Content Sku],0),16,1,1,"Entities")),"review","ok"),"ok")</f>
        <v>ok</v>
      </c>
      <c r="AK246" t="s">
        <v>2767</v>
      </c>
      <c r="AL246">
        <v>0</v>
      </c>
      <c r="AM246">
        <v>0</v>
      </c>
      <c r="AN246" t="s">
        <v>8</v>
      </c>
      <c r="AO246" s="74" t="str">
        <f ca="1">IF(Table20[[#This Row],[Type]]="KILL",IF(_xlfn.NUMBERVALUE(RIGHT(Table20[[#This Row],[Min]],LEN(Table20[[#This Row],[Min]])-FIND("-",Table20[[#This Row],[Min]])))&gt;INDIRECT(ADDRESS(11+MATCH(LEFT(Table20[[#This Row],[Min]],FIND("-",Table20[[#This Row],[Min]])-1),Table1[Content Sku],0),18,1,1,"Entities")),"review","ok"),"ok")</f>
        <v>ok</v>
      </c>
    </row>
    <row r="247" spans="5:41" x14ac:dyDescent="0.25">
      <c r="E247" t="s">
        <v>39</v>
      </c>
      <c r="F247">
        <v>0</v>
      </c>
      <c r="G247">
        <v>0</v>
      </c>
      <c r="H247" t="s">
        <v>8</v>
      </c>
      <c r="I247" s="74" t="str">
        <f ca="1">IF(Table7[[#This Row],[Type]]="KILL",IF(_xlfn.NUMBERVALUE(RIGHT(Table7[[#This Row],[Min]],LEN(Table7[[#This Row],[Min]])-FIND("-",Table7[[#This Row],[Min]])))&gt;INDIRECT(ADDRESS(11+MATCH(LEFT(Table7[[#This Row],[Min]],FIND("-",Table7[[#This Row],[Min]])-1),Table1[Content Sku],0),16,1,1,"Entities")),"review","ok"),"ok")</f>
        <v>ok</v>
      </c>
      <c r="U247" t="s">
        <v>313</v>
      </c>
      <c r="V247">
        <v>0</v>
      </c>
      <c r="W247">
        <v>0</v>
      </c>
      <c r="X247" t="s">
        <v>8</v>
      </c>
      <c r="Y247" s="74" t="str">
        <f ca="1">IF(Table15[[#This Row],[Type]]="KILL",IF(_xlfn.NUMBERVALUE(RIGHT(Table15[[#This Row],[Min]],LEN(Table15[[#This Row],[Min]])-FIND("-",Table15[[#This Row],[Min]])))&gt;INDIRECT(ADDRESS(11+MATCH(LEFT(Table15[[#This Row],[Min]],FIND("-",Table15[[#This Row],[Min]])-1),Table1[Content Sku],0),16,1,1,"Entities")),"review","ok"),"ok")</f>
        <v>ok</v>
      </c>
      <c r="AK247" t="s">
        <v>482</v>
      </c>
      <c r="AL247">
        <v>0</v>
      </c>
      <c r="AM247">
        <v>0</v>
      </c>
      <c r="AN247" t="s">
        <v>8</v>
      </c>
      <c r="AO247" s="74" t="str">
        <f ca="1">IF(Table20[[#This Row],[Type]]="KILL",IF(_xlfn.NUMBERVALUE(RIGHT(Table20[[#This Row],[Min]],LEN(Table20[[#This Row],[Min]])-FIND("-",Table20[[#This Row],[Min]])))&gt;INDIRECT(ADDRESS(11+MATCH(LEFT(Table20[[#This Row],[Min]],FIND("-",Table20[[#This Row],[Min]])-1),Table1[Content Sku],0),18,1,1,"Entities")),"review","ok"),"ok")</f>
        <v>ok</v>
      </c>
    </row>
    <row r="248" spans="5:41" x14ac:dyDescent="0.25">
      <c r="E248" t="s">
        <v>289</v>
      </c>
      <c r="F248">
        <v>0</v>
      </c>
      <c r="G248">
        <v>0</v>
      </c>
      <c r="H248" t="s">
        <v>8</v>
      </c>
      <c r="I248" s="74" t="str">
        <f ca="1">IF(Table7[[#This Row],[Type]]="KILL",IF(_xlfn.NUMBERVALUE(RIGHT(Table7[[#This Row],[Min]],LEN(Table7[[#This Row],[Min]])-FIND("-",Table7[[#This Row],[Min]])))&gt;INDIRECT(ADDRESS(11+MATCH(LEFT(Table7[[#This Row],[Min]],FIND("-",Table7[[#This Row],[Min]])-1),Table1[Content Sku],0),16,1,1,"Entities")),"review","ok"),"ok")</f>
        <v>ok</v>
      </c>
      <c r="U248" t="s">
        <v>254</v>
      </c>
      <c r="V248">
        <v>0</v>
      </c>
      <c r="W248">
        <v>0</v>
      </c>
      <c r="X248" t="s">
        <v>8</v>
      </c>
      <c r="Y248" s="74" t="str">
        <f ca="1">IF(Table15[[#This Row],[Type]]="KILL",IF(_xlfn.NUMBERVALUE(RIGHT(Table15[[#This Row],[Min]],LEN(Table15[[#This Row],[Min]])-FIND("-",Table15[[#This Row],[Min]])))&gt;INDIRECT(ADDRESS(11+MATCH(LEFT(Table15[[#This Row],[Min]],FIND("-",Table15[[#This Row],[Min]])-1),Table1[Content Sku],0),16,1,1,"Entities")),"review","ok"),"ok")</f>
        <v>ok</v>
      </c>
      <c r="AK248" t="s">
        <v>256</v>
      </c>
      <c r="AL248">
        <v>0</v>
      </c>
      <c r="AM248">
        <v>54000</v>
      </c>
      <c r="AN248" t="s">
        <v>205</v>
      </c>
      <c r="AO248" s="74" t="str">
        <f ca="1">IF(Table20[[#This Row],[Type]]="KILL",IF(_xlfn.NUMBERVALUE(RIGHT(Table20[[#This Row],[Min]],LEN(Table20[[#This Row],[Min]])-FIND("-",Table20[[#This Row],[Min]])))&gt;INDIRECT(ADDRESS(11+MATCH(LEFT(Table20[[#This Row],[Min]],FIND("-",Table20[[#This Row],[Min]])-1),Table1[Content Sku],0),18,1,1,"Entities")),"review","ok"),"ok")</f>
        <v>ok</v>
      </c>
    </row>
    <row r="249" spans="5:41" x14ac:dyDescent="0.25">
      <c r="E249" t="s">
        <v>39</v>
      </c>
      <c r="F249">
        <v>15000</v>
      </c>
      <c r="G249">
        <v>0</v>
      </c>
      <c r="H249" t="s">
        <v>205</v>
      </c>
      <c r="I249" s="74" t="str">
        <f ca="1">IF(Table7[[#This Row],[Type]]="KILL",IF(_xlfn.NUMBERVALUE(RIGHT(Table7[[#This Row],[Min]],LEN(Table7[[#This Row],[Min]])-FIND("-",Table7[[#This Row],[Min]])))&gt;INDIRECT(ADDRESS(11+MATCH(LEFT(Table7[[#This Row],[Min]],FIND("-",Table7[[#This Row],[Min]])-1),Table1[Content Sku],0),16,1,1,"Entities")),"review","ok"),"ok")</f>
        <v>ok</v>
      </c>
      <c r="U249" t="s">
        <v>545</v>
      </c>
      <c r="V249">
        <v>0</v>
      </c>
      <c r="W249">
        <v>0</v>
      </c>
      <c r="X249" t="s">
        <v>8</v>
      </c>
      <c r="Y249" s="74" t="str">
        <f ca="1">IF(Table15[[#This Row],[Type]]="KILL",IF(_xlfn.NUMBERVALUE(RIGHT(Table15[[#This Row],[Min]],LEN(Table15[[#This Row],[Min]])-FIND("-",Table15[[#This Row],[Min]])))&gt;INDIRECT(ADDRESS(11+MATCH(LEFT(Table15[[#This Row],[Min]],FIND("-",Table15[[#This Row],[Min]])-1),Table1[Content Sku],0),16,1,1,"Entities")),"review","ok"),"ok")</f>
        <v>ok</v>
      </c>
      <c r="AK249" t="s">
        <v>258</v>
      </c>
      <c r="AL249">
        <v>34000</v>
      </c>
      <c r="AM249">
        <v>0</v>
      </c>
      <c r="AN249" t="s">
        <v>205</v>
      </c>
      <c r="AO249" s="74" t="str">
        <f ca="1">IF(Table20[[#This Row],[Type]]="KILL",IF(_xlfn.NUMBERVALUE(RIGHT(Table20[[#This Row],[Min]],LEN(Table20[[#This Row],[Min]])-FIND("-",Table20[[#This Row],[Min]])))&gt;INDIRECT(ADDRESS(11+MATCH(LEFT(Table20[[#This Row],[Min]],FIND("-",Table20[[#This Row],[Min]])-1),Table1[Content Sku],0),18,1,1,"Entities")),"review","ok"),"ok")</f>
        <v>ok</v>
      </c>
    </row>
    <row r="250" spans="5:41" x14ac:dyDescent="0.25">
      <c r="E250" t="s">
        <v>545</v>
      </c>
      <c r="F250">
        <v>0</v>
      </c>
      <c r="G250">
        <v>0</v>
      </c>
      <c r="H250" t="s">
        <v>8</v>
      </c>
      <c r="I250" s="74" t="str">
        <f ca="1">IF(Table7[[#This Row],[Type]]="KILL",IF(_xlfn.NUMBERVALUE(RIGHT(Table7[[#This Row],[Min]],LEN(Table7[[#This Row],[Min]])-FIND("-",Table7[[#This Row],[Min]])))&gt;INDIRECT(ADDRESS(11+MATCH(LEFT(Table7[[#This Row],[Min]],FIND("-",Table7[[#This Row],[Min]])-1),Table1[Content Sku],0),16,1,1,"Entities")),"review","ok"),"ok")</f>
        <v>ok</v>
      </c>
      <c r="U250" t="s">
        <v>289</v>
      </c>
      <c r="V250">
        <v>0</v>
      </c>
      <c r="W250">
        <v>0</v>
      </c>
      <c r="X250" t="s">
        <v>8</v>
      </c>
      <c r="Y250" s="74" t="str">
        <f ca="1">IF(Table15[[#This Row],[Type]]="KILL",IF(_xlfn.NUMBERVALUE(RIGHT(Table15[[#This Row],[Min]],LEN(Table15[[#This Row],[Min]])-FIND("-",Table15[[#This Row],[Min]])))&gt;INDIRECT(ADDRESS(11+MATCH(LEFT(Table15[[#This Row],[Min]],FIND("-",Table15[[#This Row],[Min]])-1),Table1[Content Sku],0),16,1,1,"Entities")),"review","ok"),"ok")</f>
        <v>ok</v>
      </c>
      <c r="AK250" t="s">
        <v>2745</v>
      </c>
      <c r="AL250">
        <v>0</v>
      </c>
      <c r="AM250">
        <v>0</v>
      </c>
      <c r="AN250" t="s">
        <v>8</v>
      </c>
      <c r="AO250" s="74" t="str">
        <f ca="1">IF(Table20[[#This Row],[Type]]="KILL",IF(_xlfn.NUMBERVALUE(RIGHT(Table20[[#This Row],[Min]],LEN(Table20[[#This Row],[Min]])-FIND("-",Table20[[#This Row],[Min]])))&gt;INDIRECT(ADDRESS(11+MATCH(LEFT(Table20[[#This Row],[Min]],FIND("-",Table20[[#This Row],[Min]])-1),Table1[Content Sku],0),18,1,1,"Entities")),"review","ok"),"ok")</f>
        <v>ok</v>
      </c>
    </row>
    <row r="251" spans="5:41" x14ac:dyDescent="0.25">
      <c r="E251" t="s">
        <v>393</v>
      </c>
      <c r="F251">
        <v>0</v>
      </c>
      <c r="G251">
        <v>0</v>
      </c>
      <c r="H251" t="s">
        <v>8</v>
      </c>
      <c r="I251" s="74" t="str">
        <f ca="1">IF(Table7[[#This Row],[Type]]="KILL",IF(_xlfn.NUMBERVALUE(RIGHT(Table7[[#This Row],[Min]],LEN(Table7[[#This Row],[Min]])-FIND("-",Table7[[#This Row],[Min]])))&gt;INDIRECT(ADDRESS(11+MATCH(LEFT(Table7[[#This Row],[Min]],FIND("-",Table7[[#This Row],[Min]])-1),Table1[Content Sku],0),16,1,1,"Entities")),"review","ok"),"ok")</f>
        <v>ok</v>
      </c>
      <c r="U251" t="s">
        <v>1</v>
      </c>
      <c r="V251">
        <v>0</v>
      </c>
      <c r="W251">
        <v>0</v>
      </c>
      <c r="X251" t="s">
        <v>8</v>
      </c>
      <c r="Y251" s="74" t="str">
        <f ca="1">IF(Table15[[#This Row],[Type]]="KILL",IF(_xlfn.NUMBERVALUE(RIGHT(Table15[[#This Row],[Min]],LEN(Table15[[#This Row],[Min]])-FIND("-",Table15[[#This Row],[Min]])))&gt;INDIRECT(ADDRESS(11+MATCH(LEFT(Table15[[#This Row],[Min]],FIND("-",Table15[[#This Row],[Min]])-1),Table1[Content Sku],0),16,1,1,"Entities")),"review","ok"),"ok")</f>
        <v>ok</v>
      </c>
      <c r="AK251" t="s">
        <v>553</v>
      </c>
      <c r="AL251">
        <v>0</v>
      </c>
      <c r="AM251">
        <v>0</v>
      </c>
      <c r="AN251" t="s">
        <v>8</v>
      </c>
      <c r="AO251" s="74" t="str">
        <f ca="1">IF(Table20[[#This Row],[Type]]="KILL",IF(_xlfn.NUMBERVALUE(RIGHT(Table20[[#This Row],[Min]],LEN(Table20[[#This Row],[Min]])-FIND("-",Table20[[#This Row],[Min]])))&gt;INDIRECT(ADDRESS(11+MATCH(LEFT(Table20[[#This Row],[Min]],FIND("-",Table20[[#This Row],[Min]])-1),Table1[Content Sku],0),18,1,1,"Entities")),"review","ok"),"ok")</f>
        <v>ok</v>
      </c>
    </row>
    <row r="252" spans="5:41" x14ac:dyDescent="0.25">
      <c r="E252" t="s">
        <v>46</v>
      </c>
      <c r="F252">
        <v>0</v>
      </c>
      <c r="G252">
        <v>0</v>
      </c>
      <c r="H252" t="s">
        <v>8</v>
      </c>
      <c r="I252" s="74" t="str">
        <f ca="1">IF(Table7[[#This Row],[Type]]="KILL",IF(_xlfn.NUMBERVALUE(RIGHT(Table7[[#This Row],[Min]],LEN(Table7[[#This Row],[Min]])-FIND("-",Table7[[#This Row],[Min]])))&gt;INDIRECT(ADDRESS(11+MATCH(LEFT(Table7[[#This Row],[Min]],FIND("-",Table7[[#This Row],[Min]])-1),Table1[Content Sku],0),16,1,1,"Entities")),"review","ok"),"ok")</f>
        <v>ok</v>
      </c>
      <c r="U252" t="s">
        <v>122</v>
      </c>
      <c r="V252">
        <v>0</v>
      </c>
      <c r="W252">
        <v>0</v>
      </c>
      <c r="X252" t="s">
        <v>8</v>
      </c>
      <c r="Y252" s="74" t="str">
        <f ca="1">IF(Table15[[#This Row],[Type]]="KILL",IF(_xlfn.NUMBERVALUE(RIGHT(Table15[[#This Row],[Min]],LEN(Table15[[#This Row],[Min]])-FIND("-",Table15[[#This Row],[Min]])))&gt;INDIRECT(ADDRESS(11+MATCH(LEFT(Table15[[#This Row],[Min]],FIND("-",Table15[[#This Row],[Min]])-1),Table1[Content Sku],0),16,1,1,"Entities")),"review","ok"),"ok")</f>
        <v>ok</v>
      </c>
      <c r="AK252" t="s">
        <v>41</v>
      </c>
      <c r="AL252">
        <v>29000</v>
      </c>
      <c r="AM252">
        <v>0</v>
      </c>
      <c r="AN252" t="s">
        <v>205</v>
      </c>
      <c r="AO252" s="74" t="str">
        <f ca="1">IF(Table20[[#This Row],[Type]]="KILL",IF(_xlfn.NUMBERVALUE(RIGHT(Table20[[#This Row],[Min]],LEN(Table20[[#This Row],[Min]])-FIND("-",Table20[[#This Row],[Min]])))&gt;INDIRECT(ADDRESS(11+MATCH(LEFT(Table20[[#This Row],[Min]],FIND("-",Table20[[#This Row],[Min]])-1),Table1[Content Sku],0),18,1,1,"Entities")),"review","ok"),"ok")</f>
        <v>ok</v>
      </c>
    </row>
    <row r="253" spans="5:41" x14ac:dyDescent="0.25">
      <c r="E253" t="s">
        <v>403</v>
      </c>
      <c r="F253">
        <v>0</v>
      </c>
      <c r="G253">
        <v>0</v>
      </c>
      <c r="H253" t="s">
        <v>8</v>
      </c>
      <c r="I253" s="74" t="str">
        <f ca="1">IF(Table7[[#This Row],[Type]]="KILL",IF(_xlfn.NUMBERVALUE(RIGHT(Table7[[#This Row],[Min]],LEN(Table7[[#This Row],[Min]])-FIND("-",Table7[[#This Row],[Min]])))&gt;INDIRECT(ADDRESS(11+MATCH(LEFT(Table7[[#This Row],[Min]],FIND("-",Table7[[#This Row],[Min]])-1),Table1[Content Sku],0),16,1,1,"Entities")),"review","ok"),"ok")</f>
        <v>ok</v>
      </c>
      <c r="U253" t="s">
        <v>313</v>
      </c>
      <c r="V253">
        <v>0</v>
      </c>
      <c r="W253">
        <v>0</v>
      </c>
      <c r="X253" t="s">
        <v>8</v>
      </c>
      <c r="Y253" s="74" t="str">
        <f ca="1">IF(Table15[[#This Row],[Type]]="KILL",IF(_xlfn.NUMBERVALUE(RIGHT(Table15[[#This Row],[Min]],LEN(Table15[[#This Row],[Min]])-FIND("-",Table15[[#This Row],[Min]])))&gt;INDIRECT(ADDRESS(11+MATCH(LEFT(Table15[[#This Row],[Min]],FIND("-",Table15[[#This Row],[Min]])-1),Table1[Content Sku],0),16,1,1,"Entities")),"review","ok"),"ok")</f>
        <v>ok</v>
      </c>
      <c r="AK253" t="s">
        <v>37</v>
      </c>
      <c r="AL253">
        <v>0</v>
      </c>
      <c r="AM253">
        <v>0</v>
      </c>
      <c r="AN253" t="s">
        <v>8</v>
      </c>
      <c r="AO253" s="74" t="str">
        <f ca="1">IF(Table20[[#This Row],[Type]]="KILL",IF(_xlfn.NUMBERVALUE(RIGHT(Table20[[#This Row],[Min]],LEN(Table20[[#This Row],[Min]])-FIND("-",Table20[[#This Row],[Min]])))&gt;INDIRECT(ADDRESS(11+MATCH(LEFT(Table20[[#This Row],[Min]],FIND("-",Table20[[#This Row],[Min]])-1),Table1[Content Sku],0),18,1,1,"Entities")),"review","ok"),"ok")</f>
        <v>ok</v>
      </c>
    </row>
    <row r="254" spans="5:41" x14ac:dyDescent="0.25">
      <c r="E254" t="s">
        <v>43</v>
      </c>
      <c r="F254">
        <v>17000</v>
      </c>
      <c r="G254">
        <v>0</v>
      </c>
      <c r="H254" t="s">
        <v>205</v>
      </c>
      <c r="I254" s="74" t="str">
        <f ca="1">IF(Table7[[#This Row],[Type]]="KILL",IF(_xlfn.NUMBERVALUE(RIGHT(Table7[[#This Row],[Min]],LEN(Table7[[#This Row],[Min]])-FIND("-",Table7[[#This Row],[Min]])))&gt;INDIRECT(ADDRESS(11+MATCH(LEFT(Table7[[#This Row],[Min]],FIND("-",Table7[[#This Row],[Min]])-1),Table1[Content Sku],0),16,1,1,"Entities")),"review","ok"),"ok")</f>
        <v>ok</v>
      </c>
      <c r="U254" t="s">
        <v>278</v>
      </c>
      <c r="V254">
        <v>0</v>
      </c>
      <c r="W254">
        <v>0</v>
      </c>
      <c r="X254" t="s">
        <v>8</v>
      </c>
      <c r="Y254" s="74" t="str">
        <f ca="1">IF(Table15[[#This Row],[Type]]="KILL",IF(_xlfn.NUMBERVALUE(RIGHT(Table15[[#This Row],[Min]],LEN(Table15[[#This Row],[Min]])-FIND("-",Table15[[#This Row],[Min]])))&gt;INDIRECT(ADDRESS(11+MATCH(LEFT(Table15[[#This Row],[Min]],FIND("-",Table15[[#This Row],[Min]])-1),Table1[Content Sku],0),16,1,1,"Entities")),"review","ok"),"ok")</f>
        <v>ok</v>
      </c>
      <c r="AK254" t="s">
        <v>2670</v>
      </c>
      <c r="AL254">
        <v>0</v>
      </c>
      <c r="AM254">
        <v>0</v>
      </c>
      <c r="AN254" t="s">
        <v>8</v>
      </c>
      <c r="AO254" s="74" t="str">
        <f ca="1">IF(Table20[[#This Row],[Type]]="KILL",IF(_xlfn.NUMBERVALUE(RIGHT(Table20[[#This Row],[Min]],LEN(Table20[[#This Row],[Min]])-FIND("-",Table20[[#This Row],[Min]])))&gt;INDIRECT(ADDRESS(11+MATCH(LEFT(Table20[[#This Row],[Min]],FIND("-",Table20[[#This Row],[Min]])-1),Table1[Content Sku],0),18,1,1,"Entities")),"review","ok"),"ok")</f>
        <v>ok</v>
      </c>
    </row>
    <row r="255" spans="5:41" x14ac:dyDescent="0.25">
      <c r="E255" t="s">
        <v>393</v>
      </c>
      <c r="F255">
        <v>0</v>
      </c>
      <c r="G255">
        <v>0</v>
      </c>
      <c r="H255" t="s">
        <v>8</v>
      </c>
      <c r="I255" s="74" t="str">
        <f ca="1">IF(Table7[[#This Row],[Type]]="KILL",IF(_xlfn.NUMBERVALUE(RIGHT(Table7[[#This Row],[Min]],LEN(Table7[[#This Row],[Min]])-FIND("-",Table7[[#This Row],[Min]])))&gt;INDIRECT(ADDRESS(11+MATCH(LEFT(Table7[[#This Row],[Min]],FIND("-",Table7[[#This Row],[Min]])-1),Table1[Content Sku],0),16,1,1,"Entities")),"review","ok"),"ok")</f>
        <v>ok</v>
      </c>
      <c r="U255" t="s">
        <v>545</v>
      </c>
      <c r="V255">
        <v>17000</v>
      </c>
      <c r="W255">
        <v>0</v>
      </c>
      <c r="X255" t="s">
        <v>205</v>
      </c>
      <c r="Y255" s="74" t="str">
        <f ca="1">IF(Table15[[#This Row],[Type]]="KILL",IF(_xlfn.NUMBERVALUE(RIGHT(Table15[[#This Row],[Min]],LEN(Table15[[#This Row],[Min]])-FIND("-",Table15[[#This Row],[Min]])))&gt;INDIRECT(ADDRESS(11+MATCH(LEFT(Table15[[#This Row],[Min]],FIND("-",Table15[[#This Row],[Min]])-1),Table1[Content Sku],0),16,1,1,"Entities")),"review","ok"),"ok")</f>
        <v>ok</v>
      </c>
      <c r="AK255" t="s">
        <v>37</v>
      </c>
      <c r="AL255">
        <v>0</v>
      </c>
      <c r="AM255">
        <v>0</v>
      </c>
      <c r="AN255" t="s">
        <v>8</v>
      </c>
      <c r="AO255" s="74" t="str">
        <f ca="1">IF(Table20[[#This Row],[Type]]="KILL",IF(_xlfn.NUMBERVALUE(RIGHT(Table20[[#This Row],[Min]],LEN(Table20[[#This Row],[Min]])-FIND("-",Table20[[#This Row],[Min]])))&gt;INDIRECT(ADDRESS(11+MATCH(LEFT(Table20[[#This Row],[Min]],FIND("-",Table20[[#This Row],[Min]])-1),Table1[Content Sku],0),18,1,1,"Entities")),"review","ok"),"ok")</f>
        <v>ok</v>
      </c>
    </row>
    <row r="256" spans="5:41" x14ac:dyDescent="0.25">
      <c r="E256" t="s">
        <v>313</v>
      </c>
      <c r="F256">
        <v>0</v>
      </c>
      <c r="G256">
        <v>24000</v>
      </c>
      <c r="H256" t="s">
        <v>205</v>
      </c>
      <c r="I256" s="74" t="str">
        <f ca="1">IF(Table7[[#This Row],[Type]]="KILL",IF(_xlfn.NUMBERVALUE(RIGHT(Table7[[#This Row],[Min]],LEN(Table7[[#This Row],[Min]])-FIND("-",Table7[[#This Row],[Min]])))&gt;INDIRECT(ADDRESS(11+MATCH(LEFT(Table7[[#This Row],[Min]],FIND("-",Table7[[#This Row],[Min]])-1),Table1[Content Sku],0),16,1,1,"Entities")),"review","ok"),"ok")</f>
        <v>ok</v>
      </c>
      <c r="U256" t="s">
        <v>8133</v>
      </c>
      <c r="V256">
        <v>0</v>
      </c>
      <c r="W256">
        <v>0</v>
      </c>
      <c r="X256" t="s">
        <v>8</v>
      </c>
      <c r="Y256" s="74" t="str">
        <f ca="1">IF(Table15[[#This Row],[Type]]="KILL",IF(_xlfn.NUMBERVALUE(RIGHT(Table15[[#This Row],[Min]],LEN(Table15[[#This Row],[Min]])-FIND("-",Table15[[#This Row],[Min]])))&gt;INDIRECT(ADDRESS(11+MATCH(LEFT(Table15[[#This Row],[Min]],FIND("-",Table15[[#This Row],[Min]])-1),Table1[Content Sku],0),16,1,1,"Entities")),"review","ok"),"ok")</f>
        <v>ok</v>
      </c>
      <c r="AK256" t="s">
        <v>2663</v>
      </c>
      <c r="AL256" t="s">
        <v>5006</v>
      </c>
      <c r="AM256" t="s">
        <v>4467</v>
      </c>
      <c r="AN256" t="s">
        <v>4468</v>
      </c>
      <c r="AO256" s="74" t="str">
        <f ca="1">IF(Table20[[#This Row],[Type]]="KILL",IF(_xlfn.NUMBERVALUE(RIGHT(Table20[[#This Row],[Min]],LEN(Table20[[#This Row],[Min]])-FIND("-",Table20[[#This Row],[Min]])))&gt;INDIRECT(ADDRESS(11+MATCH(LEFT(Table20[[#This Row],[Min]],FIND("-",Table20[[#This Row],[Min]])-1),Table1[Content Sku],0),18,1,1,"Entities")),"review","ok"),"ok")</f>
        <v>ok</v>
      </c>
    </row>
    <row r="257" spans="5:41" x14ac:dyDescent="0.25">
      <c r="E257" t="s">
        <v>254</v>
      </c>
      <c r="F257">
        <v>0</v>
      </c>
      <c r="G257">
        <v>0</v>
      </c>
      <c r="H257" t="s">
        <v>8</v>
      </c>
      <c r="I257" s="74" t="str">
        <f ca="1">IF(Table7[[#This Row],[Type]]="KILL",IF(_xlfn.NUMBERVALUE(RIGHT(Table7[[#This Row],[Min]],LEN(Table7[[#This Row],[Min]])-FIND("-",Table7[[#This Row],[Min]])))&gt;INDIRECT(ADDRESS(11+MATCH(LEFT(Table7[[#This Row],[Min]],FIND("-",Table7[[#This Row],[Min]])-1),Table1[Content Sku],0),16,1,1,"Entities")),"review","ok"),"ok")</f>
        <v>ok</v>
      </c>
      <c r="U257" t="s">
        <v>122</v>
      </c>
      <c r="V257">
        <v>0</v>
      </c>
      <c r="W257">
        <v>0</v>
      </c>
      <c r="X257" t="s">
        <v>8</v>
      </c>
      <c r="Y257" s="74" t="str">
        <f ca="1">IF(Table15[[#This Row],[Type]]="KILL",IF(_xlfn.NUMBERVALUE(RIGHT(Table15[[#This Row],[Min]],LEN(Table15[[#This Row],[Min]])-FIND("-",Table15[[#This Row],[Min]])))&gt;INDIRECT(ADDRESS(11+MATCH(LEFT(Table15[[#This Row],[Min]],FIND("-",Table15[[#This Row],[Min]])-1),Table1[Content Sku],0),16,1,1,"Entities")),"review","ok"),"ok")</f>
        <v>ok</v>
      </c>
      <c r="AK257" t="s">
        <v>37</v>
      </c>
      <c r="AL257">
        <v>0</v>
      </c>
      <c r="AM257">
        <v>0</v>
      </c>
      <c r="AN257" t="s">
        <v>8</v>
      </c>
      <c r="AO257" s="74" t="str">
        <f ca="1">IF(Table20[[#This Row],[Type]]="KILL",IF(_xlfn.NUMBERVALUE(RIGHT(Table20[[#This Row],[Min]],LEN(Table20[[#This Row],[Min]])-FIND("-",Table20[[#This Row],[Min]])))&gt;INDIRECT(ADDRESS(11+MATCH(LEFT(Table20[[#This Row],[Min]],FIND("-",Table20[[#This Row],[Min]])-1),Table1[Content Sku],0),18,1,1,"Entities")),"review","ok"),"ok")</f>
        <v>ok</v>
      </c>
    </row>
    <row r="258" spans="5:41" x14ac:dyDescent="0.25">
      <c r="E258" t="s">
        <v>36</v>
      </c>
      <c r="F258">
        <v>24000</v>
      </c>
      <c r="G258">
        <v>0</v>
      </c>
      <c r="H258" t="s">
        <v>205</v>
      </c>
      <c r="I258" s="74" t="str">
        <f ca="1">IF(Table7[[#This Row],[Type]]="KILL",IF(_xlfn.NUMBERVALUE(RIGHT(Table7[[#This Row],[Min]],LEN(Table7[[#This Row],[Min]])-FIND("-",Table7[[#This Row],[Min]])))&gt;INDIRECT(ADDRESS(11+MATCH(LEFT(Table7[[#This Row],[Min]],FIND("-",Table7[[#This Row],[Min]])-1),Table1[Content Sku],0),16,1,1,"Entities")),"review","ok"),"ok")</f>
        <v>ok</v>
      </c>
      <c r="U258" t="s">
        <v>289</v>
      </c>
      <c r="V258">
        <v>0</v>
      </c>
      <c r="W258">
        <v>0</v>
      </c>
      <c r="X258" t="s">
        <v>8</v>
      </c>
      <c r="Y258" s="74" t="str">
        <f ca="1">IF(Table15[[#This Row],[Type]]="KILL",IF(_xlfn.NUMBERVALUE(RIGHT(Table15[[#This Row],[Min]],LEN(Table15[[#This Row],[Min]])-FIND("-",Table15[[#This Row],[Min]])))&gt;INDIRECT(ADDRESS(11+MATCH(LEFT(Table15[[#This Row],[Min]],FIND("-",Table15[[#This Row],[Min]])-1),Table1[Content Sku],0),16,1,1,"Entities")),"review","ok"),"ok")</f>
        <v>ok</v>
      </c>
      <c r="AK258" t="s">
        <v>313</v>
      </c>
      <c r="AL258">
        <v>28000</v>
      </c>
      <c r="AM258">
        <v>0</v>
      </c>
      <c r="AN258" t="s">
        <v>205</v>
      </c>
      <c r="AO258" s="74" t="str">
        <f ca="1">IF(Table20[[#This Row],[Type]]="KILL",IF(_xlfn.NUMBERVALUE(RIGHT(Table20[[#This Row],[Min]],LEN(Table20[[#This Row],[Min]])-FIND("-",Table20[[#This Row],[Min]])))&gt;INDIRECT(ADDRESS(11+MATCH(LEFT(Table20[[#This Row],[Min]],FIND("-",Table20[[#This Row],[Min]])-1),Table1[Content Sku],0),18,1,1,"Entities")),"review","ok"),"ok")</f>
        <v>ok</v>
      </c>
    </row>
    <row r="259" spans="5:41" x14ac:dyDescent="0.25">
      <c r="E259" t="s">
        <v>311</v>
      </c>
      <c r="F259">
        <v>0</v>
      </c>
      <c r="G259">
        <v>0</v>
      </c>
      <c r="H259" t="s">
        <v>8</v>
      </c>
      <c r="I259" s="74" t="str">
        <f ca="1">IF(Table7[[#This Row],[Type]]="KILL",IF(_xlfn.NUMBERVALUE(RIGHT(Table7[[#This Row],[Min]],LEN(Table7[[#This Row],[Min]])-FIND("-",Table7[[#This Row],[Min]])))&gt;INDIRECT(ADDRESS(11+MATCH(LEFT(Table7[[#This Row],[Min]],FIND("-",Table7[[#This Row],[Min]])-1),Table1[Content Sku],0),16,1,1,"Entities")),"review","ok"),"ok")</f>
        <v>ok</v>
      </c>
      <c r="U259" t="s">
        <v>291</v>
      </c>
      <c r="V259">
        <v>0</v>
      </c>
      <c r="W259">
        <v>29000</v>
      </c>
      <c r="X259" t="s">
        <v>205</v>
      </c>
      <c r="Y259" s="74" t="str">
        <f ca="1">IF(Table15[[#This Row],[Type]]="KILL",IF(_xlfn.NUMBERVALUE(RIGHT(Table15[[#This Row],[Min]],LEN(Table15[[#This Row],[Min]])-FIND("-",Table15[[#This Row],[Min]])))&gt;INDIRECT(ADDRESS(11+MATCH(LEFT(Table15[[#This Row],[Min]],FIND("-",Table15[[#This Row],[Min]])-1),Table1[Content Sku],0),16,1,1,"Entities")),"review","ok"),"ok")</f>
        <v>ok</v>
      </c>
      <c r="AK259" t="s">
        <v>2741</v>
      </c>
      <c r="AL259">
        <v>0</v>
      </c>
      <c r="AM259">
        <v>0</v>
      </c>
      <c r="AN259" t="s">
        <v>8</v>
      </c>
      <c r="AO259" s="74" t="str">
        <f ca="1">IF(Table20[[#This Row],[Type]]="KILL",IF(_xlfn.NUMBERVALUE(RIGHT(Table20[[#This Row],[Min]],LEN(Table20[[#This Row],[Min]])-FIND("-",Table20[[#This Row],[Min]])))&gt;INDIRECT(ADDRESS(11+MATCH(LEFT(Table20[[#This Row],[Min]],FIND("-",Table20[[#This Row],[Min]])-1),Table1[Content Sku],0),18,1,1,"Entities")),"review","ok"),"ok")</f>
        <v>ok</v>
      </c>
    </row>
    <row r="260" spans="5:41" x14ac:dyDescent="0.25">
      <c r="E260" t="s">
        <v>254</v>
      </c>
      <c r="F260">
        <v>0</v>
      </c>
      <c r="G260">
        <v>18000</v>
      </c>
      <c r="H260" t="s">
        <v>205</v>
      </c>
      <c r="I260" s="74" t="str">
        <f ca="1">IF(Table7[[#This Row],[Type]]="KILL",IF(_xlfn.NUMBERVALUE(RIGHT(Table7[[#This Row],[Min]],LEN(Table7[[#This Row],[Min]])-FIND("-",Table7[[#This Row],[Min]])))&gt;INDIRECT(ADDRESS(11+MATCH(LEFT(Table7[[#This Row],[Min]],FIND("-",Table7[[#This Row],[Min]])-1),Table1[Content Sku],0),16,1,1,"Entities")),"review","ok"),"ok")</f>
        <v>ok</v>
      </c>
      <c r="U260" t="s">
        <v>49</v>
      </c>
      <c r="V260">
        <v>0</v>
      </c>
      <c r="W260">
        <v>0</v>
      </c>
      <c r="X260" t="s">
        <v>8</v>
      </c>
      <c r="Y260" s="74" t="str">
        <f ca="1">IF(Table15[[#This Row],[Type]]="KILL",IF(_xlfn.NUMBERVALUE(RIGHT(Table15[[#This Row],[Min]],LEN(Table15[[#This Row],[Min]])-FIND("-",Table15[[#This Row],[Min]])))&gt;INDIRECT(ADDRESS(11+MATCH(LEFT(Table15[[#This Row],[Min]],FIND("-",Table15[[#This Row],[Min]])-1),Table1[Content Sku],0),16,1,1,"Entities")),"review","ok"),"ok")</f>
        <v>ok</v>
      </c>
      <c r="AK260" t="s">
        <v>2676</v>
      </c>
      <c r="AL260">
        <v>45000</v>
      </c>
      <c r="AM260">
        <v>0</v>
      </c>
      <c r="AN260" t="s">
        <v>205</v>
      </c>
      <c r="AO260" s="74" t="str">
        <f ca="1">IF(Table20[[#This Row],[Type]]="KILL",IF(_xlfn.NUMBERVALUE(RIGHT(Table20[[#This Row],[Min]],LEN(Table20[[#This Row],[Min]])-FIND("-",Table20[[#This Row],[Min]])))&gt;INDIRECT(ADDRESS(11+MATCH(LEFT(Table20[[#This Row],[Min]],FIND("-",Table20[[#This Row],[Min]])-1),Table1[Content Sku],0),18,1,1,"Entities")),"review","ok"),"ok")</f>
        <v>ok</v>
      </c>
    </row>
    <row r="261" spans="5:41" x14ac:dyDescent="0.25">
      <c r="E261" t="s">
        <v>95</v>
      </c>
      <c r="F261">
        <v>0</v>
      </c>
      <c r="G261">
        <v>0</v>
      </c>
      <c r="H261" t="s">
        <v>8</v>
      </c>
      <c r="I261" s="74" t="str">
        <f ca="1">IF(Table7[[#This Row],[Type]]="KILL",IF(_xlfn.NUMBERVALUE(RIGHT(Table7[[#This Row],[Min]],LEN(Table7[[#This Row],[Min]])-FIND("-",Table7[[#This Row],[Min]])))&gt;INDIRECT(ADDRESS(11+MATCH(LEFT(Table7[[#This Row],[Min]],FIND("-",Table7[[#This Row],[Min]])-1),Table1[Content Sku],0),16,1,1,"Entities")),"review","ok"),"ok")</f>
        <v>ok</v>
      </c>
      <c r="U261" t="s">
        <v>1</v>
      </c>
      <c r="V261">
        <v>30000</v>
      </c>
      <c r="W261">
        <v>0</v>
      </c>
      <c r="X261" t="s">
        <v>205</v>
      </c>
      <c r="Y261" s="74" t="str">
        <f ca="1">IF(Table15[[#This Row],[Type]]="KILL",IF(_xlfn.NUMBERVALUE(RIGHT(Table15[[#This Row],[Min]],LEN(Table15[[#This Row],[Min]])-FIND("-",Table15[[#This Row],[Min]])))&gt;INDIRECT(ADDRESS(11+MATCH(LEFT(Table15[[#This Row],[Min]],FIND("-",Table15[[#This Row],[Min]])-1),Table1[Content Sku],0),16,1,1,"Entities")),"review","ok"),"ok")</f>
        <v>ok</v>
      </c>
      <c r="AK261" t="s">
        <v>2662</v>
      </c>
      <c r="AL261" t="s">
        <v>4471</v>
      </c>
      <c r="AM261" t="s">
        <v>4467</v>
      </c>
      <c r="AN261" t="s">
        <v>4468</v>
      </c>
      <c r="AO261" s="74" t="str">
        <f ca="1">IF(Table20[[#This Row],[Type]]="KILL",IF(_xlfn.NUMBERVALUE(RIGHT(Table20[[#This Row],[Min]],LEN(Table20[[#This Row],[Min]])-FIND("-",Table20[[#This Row],[Min]])))&gt;INDIRECT(ADDRESS(11+MATCH(LEFT(Table20[[#This Row],[Min]],FIND("-",Table20[[#This Row],[Min]])-1),Table1[Content Sku],0),18,1,1,"Entities")),"review","ok"),"ok")</f>
        <v>ok</v>
      </c>
    </row>
    <row r="262" spans="5:41" x14ac:dyDescent="0.25">
      <c r="E262" t="s">
        <v>548</v>
      </c>
      <c r="F262">
        <v>0</v>
      </c>
      <c r="G262">
        <v>0</v>
      </c>
      <c r="H262" t="s">
        <v>8</v>
      </c>
      <c r="I262" s="74" t="str">
        <f ca="1">IF(Table7[[#This Row],[Type]]="KILL",IF(_xlfn.NUMBERVALUE(RIGHT(Table7[[#This Row],[Min]],LEN(Table7[[#This Row],[Min]])-FIND("-",Table7[[#This Row],[Min]])))&gt;INDIRECT(ADDRESS(11+MATCH(LEFT(Table7[[#This Row],[Min]],FIND("-",Table7[[#This Row],[Min]])-1),Table1[Content Sku],0),16,1,1,"Entities")),"review","ok"),"ok")</f>
        <v>ok</v>
      </c>
      <c r="U262" t="s">
        <v>315</v>
      </c>
      <c r="V262">
        <v>0</v>
      </c>
      <c r="W262">
        <v>31000</v>
      </c>
      <c r="X262" t="s">
        <v>205</v>
      </c>
      <c r="Y262" s="74" t="str">
        <f ca="1">IF(Table15[[#This Row],[Type]]="KILL",IF(_xlfn.NUMBERVALUE(RIGHT(Table15[[#This Row],[Min]],LEN(Table15[[#This Row],[Min]])-FIND("-",Table15[[#This Row],[Min]])))&gt;INDIRECT(ADDRESS(11+MATCH(LEFT(Table15[[#This Row],[Min]],FIND("-",Table15[[#This Row],[Min]])-1),Table1[Content Sku],0),16,1,1,"Entities")),"review","ok"),"ok")</f>
        <v>ok</v>
      </c>
      <c r="AK262" t="s">
        <v>37</v>
      </c>
      <c r="AL262">
        <v>0</v>
      </c>
      <c r="AM262">
        <v>0</v>
      </c>
      <c r="AN262" t="s">
        <v>8</v>
      </c>
      <c r="AO262" s="74" t="str">
        <f ca="1">IF(Table20[[#This Row],[Type]]="KILL",IF(_xlfn.NUMBERVALUE(RIGHT(Table20[[#This Row],[Min]],LEN(Table20[[#This Row],[Min]])-FIND("-",Table20[[#This Row],[Min]])))&gt;INDIRECT(ADDRESS(11+MATCH(LEFT(Table20[[#This Row],[Min]],FIND("-",Table20[[#This Row],[Min]])-1),Table1[Content Sku],0),18,1,1,"Entities")),"review","ok"),"ok")</f>
        <v>ok</v>
      </c>
    </row>
    <row r="263" spans="5:41" x14ac:dyDescent="0.25">
      <c r="E263" t="s">
        <v>253</v>
      </c>
      <c r="F263">
        <v>0</v>
      </c>
      <c r="G263">
        <v>0</v>
      </c>
      <c r="H263" t="s">
        <v>8</v>
      </c>
      <c r="I263" s="74" t="str">
        <f ca="1">IF(Table7[[#This Row],[Type]]="KILL",IF(_xlfn.NUMBERVALUE(RIGHT(Table7[[#This Row],[Min]],LEN(Table7[[#This Row],[Min]])-FIND("-",Table7[[#This Row],[Min]])))&gt;INDIRECT(ADDRESS(11+MATCH(LEFT(Table7[[#This Row],[Min]],FIND("-",Table7[[#This Row],[Min]])-1),Table1[Content Sku],0),16,1,1,"Entities")),"review","ok"),"ok")</f>
        <v>ok</v>
      </c>
      <c r="U263" t="s">
        <v>280</v>
      </c>
      <c r="V263">
        <v>35000</v>
      </c>
      <c r="W263">
        <v>0</v>
      </c>
      <c r="X263" t="s">
        <v>205</v>
      </c>
      <c r="Y263" s="74" t="str">
        <f ca="1">IF(Table15[[#This Row],[Type]]="KILL",IF(_xlfn.NUMBERVALUE(RIGHT(Table15[[#This Row],[Min]],LEN(Table15[[#This Row],[Min]])-FIND("-",Table15[[#This Row],[Min]])))&gt;INDIRECT(ADDRESS(11+MATCH(LEFT(Table15[[#This Row],[Min]],FIND("-",Table15[[#This Row],[Min]])-1),Table1[Content Sku],0),16,1,1,"Entities")),"review","ok"),"ok")</f>
        <v>ok</v>
      </c>
      <c r="AK263" t="s">
        <v>2675</v>
      </c>
      <c r="AL263">
        <v>0</v>
      </c>
      <c r="AM263">
        <v>0</v>
      </c>
      <c r="AN263" t="s">
        <v>8</v>
      </c>
      <c r="AO263" s="74" t="str">
        <f ca="1">IF(Table20[[#This Row],[Type]]="KILL",IF(_xlfn.NUMBERVALUE(RIGHT(Table20[[#This Row],[Min]],LEN(Table20[[#This Row],[Min]])-FIND("-",Table20[[#This Row],[Min]])))&gt;INDIRECT(ADDRESS(11+MATCH(LEFT(Table20[[#This Row],[Min]],FIND("-",Table20[[#This Row],[Min]])-1),Table1[Content Sku],0),18,1,1,"Entities")),"review","ok"),"ok")</f>
        <v>ok</v>
      </c>
    </row>
    <row r="264" spans="5:41" x14ac:dyDescent="0.25">
      <c r="E264" t="s">
        <v>42</v>
      </c>
      <c r="F264">
        <v>35000</v>
      </c>
      <c r="G264">
        <v>0</v>
      </c>
      <c r="H264" t="s">
        <v>205</v>
      </c>
      <c r="I264" s="74" t="str">
        <f ca="1">IF(Table7[[#This Row],[Type]]="KILL",IF(_xlfn.NUMBERVALUE(RIGHT(Table7[[#This Row],[Min]],LEN(Table7[[#This Row],[Min]])-FIND("-",Table7[[#This Row],[Min]])))&gt;INDIRECT(ADDRESS(11+MATCH(LEFT(Table7[[#This Row],[Min]],FIND("-",Table7[[#This Row],[Min]])-1),Table1[Content Sku],0),16,1,1,"Entities")),"review","ok"),"ok")</f>
        <v>ok</v>
      </c>
      <c r="U264" t="s">
        <v>392</v>
      </c>
      <c r="V264">
        <v>0</v>
      </c>
      <c r="W264">
        <v>17000</v>
      </c>
      <c r="X264" t="s">
        <v>205</v>
      </c>
      <c r="Y264" s="74" t="str">
        <f ca="1">IF(Table15[[#This Row],[Type]]="KILL",IF(_xlfn.NUMBERVALUE(RIGHT(Table15[[#This Row],[Min]],LEN(Table15[[#This Row],[Min]])-FIND("-",Table15[[#This Row],[Min]])))&gt;INDIRECT(ADDRESS(11+MATCH(LEFT(Table15[[#This Row],[Min]],FIND("-",Table15[[#This Row],[Min]])-1),Table1[Content Sku],0),16,1,1,"Entities")),"review","ok"),"ok")</f>
        <v>ok</v>
      </c>
      <c r="AK264" t="s">
        <v>2767</v>
      </c>
      <c r="AL264">
        <v>0</v>
      </c>
      <c r="AM264">
        <v>0</v>
      </c>
      <c r="AN264" t="s">
        <v>8</v>
      </c>
      <c r="AO264" s="74" t="str">
        <f ca="1">IF(Table20[[#This Row],[Type]]="KILL",IF(_xlfn.NUMBERVALUE(RIGHT(Table20[[#This Row],[Min]],LEN(Table20[[#This Row],[Min]])-FIND("-",Table20[[#This Row],[Min]])))&gt;INDIRECT(ADDRESS(11+MATCH(LEFT(Table20[[#This Row],[Min]],FIND("-",Table20[[#This Row],[Min]])-1),Table1[Content Sku],0),18,1,1,"Entities")),"review","ok"),"ok")</f>
        <v>ok</v>
      </c>
    </row>
    <row r="265" spans="5:41" x14ac:dyDescent="0.25">
      <c r="E265" t="s">
        <v>4430</v>
      </c>
      <c r="F265">
        <v>0</v>
      </c>
      <c r="G265">
        <v>0</v>
      </c>
      <c r="H265" t="s">
        <v>8</v>
      </c>
      <c r="I265" s="74" t="str">
        <f ca="1">IF(Table7[[#This Row],[Type]]="KILL",IF(_xlfn.NUMBERVALUE(RIGHT(Table7[[#This Row],[Min]],LEN(Table7[[#This Row],[Min]])-FIND("-",Table7[[#This Row],[Min]])))&gt;INDIRECT(ADDRESS(11+MATCH(LEFT(Table7[[#This Row],[Min]],FIND("-",Table7[[#This Row],[Min]])-1),Table1[Content Sku],0),16,1,1,"Entities")),"review","ok"),"ok")</f>
        <v>ok</v>
      </c>
      <c r="U265" t="s">
        <v>2741</v>
      </c>
      <c r="V265">
        <v>0</v>
      </c>
      <c r="W265">
        <v>0</v>
      </c>
      <c r="X265" t="s">
        <v>8</v>
      </c>
      <c r="Y265" s="74" t="str">
        <f ca="1">IF(Table15[[#This Row],[Type]]="KILL",IF(_xlfn.NUMBERVALUE(RIGHT(Table15[[#This Row],[Min]],LEN(Table15[[#This Row],[Min]])-FIND("-",Table15[[#This Row],[Min]])))&gt;INDIRECT(ADDRESS(11+MATCH(LEFT(Table15[[#This Row],[Min]],FIND("-",Table15[[#This Row],[Min]])-1),Table1[Content Sku],0),16,1,1,"Entities")),"review","ok"),"ok")</f>
        <v>ok</v>
      </c>
      <c r="AK265" t="s">
        <v>548</v>
      </c>
      <c r="AL265">
        <v>0</v>
      </c>
      <c r="AM265">
        <v>0</v>
      </c>
      <c r="AN265" t="s">
        <v>8</v>
      </c>
      <c r="AO265" s="74" t="str">
        <f ca="1">IF(Table20[[#This Row],[Type]]="KILL",IF(_xlfn.NUMBERVALUE(RIGHT(Table20[[#This Row],[Min]],LEN(Table20[[#This Row],[Min]])-FIND("-",Table20[[#This Row],[Min]])))&gt;INDIRECT(ADDRESS(11+MATCH(LEFT(Table20[[#This Row],[Min]],FIND("-",Table20[[#This Row],[Min]])-1),Table1[Content Sku],0),18,1,1,"Entities")),"review","ok"),"ok")</f>
        <v>ok</v>
      </c>
    </row>
    <row r="266" spans="5:41" x14ac:dyDescent="0.25">
      <c r="E266" t="s">
        <v>39</v>
      </c>
      <c r="F266">
        <v>12000</v>
      </c>
      <c r="G266">
        <v>0</v>
      </c>
      <c r="H266" t="s">
        <v>205</v>
      </c>
      <c r="I266" s="74" t="str">
        <f ca="1">IF(Table7[[#This Row],[Type]]="KILL",IF(_xlfn.NUMBERVALUE(RIGHT(Table7[[#This Row],[Min]],LEN(Table7[[#This Row],[Min]])-FIND("-",Table7[[#This Row],[Min]])))&gt;INDIRECT(ADDRESS(11+MATCH(LEFT(Table7[[#This Row],[Min]],FIND("-",Table7[[#This Row],[Min]])-1),Table1[Content Sku],0),16,1,1,"Entities")),"review","ok"),"ok")</f>
        <v>ok</v>
      </c>
      <c r="U266" t="s">
        <v>2736</v>
      </c>
      <c r="V266">
        <v>0</v>
      </c>
      <c r="W266">
        <v>0</v>
      </c>
      <c r="X266" t="s">
        <v>8</v>
      </c>
      <c r="Y266" s="74" t="str">
        <f ca="1">IF(Table15[[#This Row],[Type]]="KILL",IF(_xlfn.NUMBERVALUE(RIGHT(Table15[[#This Row],[Min]],LEN(Table15[[#This Row],[Min]])-FIND("-",Table15[[#This Row],[Min]])))&gt;INDIRECT(ADDRESS(11+MATCH(LEFT(Table15[[#This Row],[Min]],FIND("-",Table15[[#This Row],[Min]])-1),Table1[Content Sku],0),16,1,1,"Entities")),"review","ok"),"ok")</f>
        <v>ok</v>
      </c>
      <c r="AK266" t="s">
        <v>2666</v>
      </c>
      <c r="AL266">
        <v>0</v>
      </c>
      <c r="AM266">
        <v>0</v>
      </c>
      <c r="AN266" t="s">
        <v>8</v>
      </c>
      <c r="AO266" s="74" t="str">
        <f ca="1">IF(Table20[[#This Row],[Type]]="KILL",IF(_xlfn.NUMBERVALUE(RIGHT(Table20[[#This Row],[Min]],LEN(Table20[[#This Row],[Min]])-FIND("-",Table20[[#This Row],[Min]])))&gt;INDIRECT(ADDRESS(11+MATCH(LEFT(Table20[[#This Row],[Min]],FIND("-",Table20[[#This Row],[Min]])-1),Table1[Content Sku],0),18,1,1,"Entities")),"review","ok"),"ok")</f>
        <v>ok</v>
      </c>
    </row>
    <row r="267" spans="5:41" x14ac:dyDescent="0.25">
      <c r="E267" t="s">
        <v>393</v>
      </c>
      <c r="F267">
        <v>0</v>
      </c>
      <c r="G267">
        <v>0</v>
      </c>
      <c r="H267" t="s">
        <v>8</v>
      </c>
      <c r="I267" s="74" t="str">
        <f ca="1">IF(Table7[[#This Row],[Type]]="KILL",IF(_xlfn.NUMBERVALUE(RIGHT(Table7[[#This Row],[Min]],LEN(Table7[[#This Row],[Min]])-FIND("-",Table7[[#This Row],[Min]])))&gt;INDIRECT(ADDRESS(11+MATCH(LEFT(Table7[[#This Row],[Min]],FIND("-",Table7[[#This Row],[Min]])-1),Table1[Content Sku],0),16,1,1,"Entities")),"review","ok"),"ok")</f>
        <v>ok</v>
      </c>
      <c r="U267" t="s">
        <v>545</v>
      </c>
      <c r="V267">
        <v>0</v>
      </c>
      <c r="W267">
        <v>0</v>
      </c>
      <c r="X267" t="s">
        <v>8</v>
      </c>
      <c r="Y267" s="74" t="str">
        <f ca="1">IF(Table15[[#This Row],[Type]]="KILL",IF(_xlfn.NUMBERVALUE(RIGHT(Table15[[#This Row],[Min]],LEN(Table15[[#This Row],[Min]])-FIND("-",Table15[[#This Row],[Min]])))&gt;INDIRECT(ADDRESS(11+MATCH(LEFT(Table15[[#This Row],[Min]],FIND("-",Table15[[#This Row],[Min]])-1),Table1[Content Sku],0),16,1,1,"Entities")),"review","ok"),"ok")</f>
        <v>ok</v>
      </c>
      <c r="AK267" t="s">
        <v>2741</v>
      </c>
      <c r="AL267">
        <v>0</v>
      </c>
      <c r="AM267">
        <v>0</v>
      </c>
      <c r="AN267" t="s">
        <v>8</v>
      </c>
      <c r="AO267" s="74" t="str">
        <f ca="1">IF(Table20[[#This Row],[Type]]="KILL",IF(_xlfn.NUMBERVALUE(RIGHT(Table20[[#This Row],[Min]],LEN(Table20[[#This Row],[Min]])-FIND("-",Table20[[#This Row],[Min]])))&gt;INDIRECT(ADDRESS(11+MATCH(LEFT(Table20[[#This Row],[Min]],FIND("-",Table20[[#This Row],[Min]])-1),Table1[Content Sku],0),18,1,1,"Entities")),"review","ok"),"ok")</f>
        <v>ok</v>
      </c>
    </row>
    <row r="268" spans="5:41" x14ac:dyDescent="0.25">
      <c r="E268" t="s">
        <v>313</v>
      </c>
      <c r="F268">
        <v>0</v>
      </c>
      <c r="G268">
        <v>0</v>
      </c>
      <c r="H268" t="s">
        <v>8</v>
      </c>
      <c r="I268" s="74" t="str">
        <f ca="1">IF(Table7[[#This Row],[Type]]="KILL",IF(_xlfn.NUMBERVALUE(RIGHT(Table7[[#This Row],[Min]],LEN(Table7[[#This Row],[Min]])-FIND("-",Table7[[#This Row],[Min]])))&gt;INDIRECT(ADDRESS(11+MATCH(LEFT(Table7[[#This Row],[Min]],FIND("-",Table7[[#This Row],[Min]])-1),Table1[Content Sku],0),16,1,1,"Entities")),"review","ok"),"ok")</f>
        <v>ok</v>
      </c>
      <c r="U268" t="s">
        <v>2726</v>
      </c>
      <c r="V268">
        <v>0</v>
      </c>
      <c r="W268">
        <v>0</v>
      </c>
      <c r="X268" t="s">
        <v>8</v>
      </c>
      <c r="Y268" s="74" t="str">
        <f ca="1">IF(Table15[[#This Row],[Type]]="KILL",IF(_xlfn.NUMBERVALUE(RIGHT(Table15[[#This Row],[Min]],LEN(Table15[[#This Row],[Min]])-FIND("-",Table15[[#This Row],[Min]])))&gt;INDIRECT(ADDRESS(11+MATCH(LEFT(Table15[[#This Row],[Min]],FIND("-",Table15[[#This Row],[Min]])-1),Table1[Content Sku],0),16,1,1,"Entities")),"review","ok"),"ok")</f>
        <v>ok</v>
      </c>
      <c r="AK268" t="s">
        <v>2677</v>
      </c>
      <c r="AL268">
        <v>20000</v>
      </c>
      <c r="AM268">
        <v>0</v>
      </c>
      <c r="AN268" t="s">
        <v>205</v>
      </c>
      <c r="AO268" s="74" t="str">
        <f ca="1">IF(Table20[[#This Row],[Type]]="KILL",IF(_xlfn.NUMBERVALUE(RIGHT(Table20[[#This Row],[Min]],LEN(Table20[[#This Row],[Min]])-FIND("-",Table20[[#This Row],[Min]])))&gt;INDIRECT(ADDRESS(11+MATCH(LEFT(Table20[[#This Row],[Min]],FIND("-",Table20[[#This Row],[Min]])-1),Table1[Content Sku],0),18,1,1,"Entities")),"review","ok"),"ok")</f>
        <v>ok</v>
      </c>
    </row>
    <row r="269" spans="5:41" x14ac:dyDescent="0.25">
      <c r="E269" t="s">
        <v>21</v>
      </c>
      <c r="F269">
        <v>58000</v>
      </c>
      <c r="G269">
        <v>0</v>
      </c>
      <c r="H269" t="s">
        <v>205</v>
      </c>
      <c r="I269" s="74" t="str">
        <f ca="1">IF(Table7[[#This Row],[Type]]="KILL",IF(_xlfn.NUMBERVALUE(RIGHT(Table7[[#This Row],[Min]],LEN(Table7[[#This Row],[Min]])-FIND("-",Table7[[#This Row],[Min]])))&gt;INDIRECT(ADDRESS(11+MATCH(LEFT(Table7[[#This Row],[Min]],FIND("-",Table7[[#This Row],[Min]])-1),Table1[Content Sku],0),16,1,1,"Entities")),"review","ok"),"ok")</f>
        <v>ok</v>
      </c>
      <c r="U269" t="s">
        <v>45</v>
      </c>
      <c r="V269">
        <v>24000</v>
      </c>
      <c r="W269">
        <v>0</v>
      </c>
      <c r="X269" t="s">
        <v>205</v>
      </c>
      <c r="Y269" s="74" t="str">
        <f ca="1">IF(Table15[[#This Row],[Type]]="KILL",IF(_xlfn.NUMBERVALUE(RIGHT(Table15[[#This Row],[Min]],LEN(Table15[[#This Row],[Min]])-FIND("-",Table15[[#This Row],[Min]])))&gt;INDIRECT(ADDRESS(11+MATCH(LEFT(Table15[[#This Row],[Min]],FIND("-",Table15[[#This Row],[Min]])-1),Table1[Content Sku],0),16,1,1,"Entities")),"review","ok"),"ok")</f>
        <v>ok</v>
      </c>
      <c r="AK269" t="s">
        <v>2741</v>
      </c>
      <c r="AL269">
        <v>0</v>
      </c>
      <c r="AM269">
        <v>0</v>
      </c>
      <c r="AN269" t="s">
        <v>8</v>
      </c>
      <c r="AO269" s="74" t="str">
        <f ca="1">IF(Table20[[#This Row],[Type]]="KILL",IF(_xlfn.NUMBERVALUE(RIGHT(Table20[[#This Row],[Min]],LEN(Table20[[#This Row],[Min]])-FIND("-",Table20[[#This Row],[Min]])))&gt;INDIRECT(ADDRESS(11+MATCH(LEFT(Table20[[#This Row],[Min]],FIND("-",Table20[[#This Row],[Min]])-1),Table1[Content Sku],0),18,1,1,"Entities")),"review","ok"),"ok")</f>
        <v>ok</v>
      </c>
    </row>
    <row r="270" spans="5:41" x14ac:dyDescent="0.25">
      <c r="E270" t="s">
        <v>396</v>
      </c>
      <c r="F270">
        <v>6500</v>
      </c>
      <c r="G270">
        <v>0</v>
      </c>
      <c r="H270" t="s">
        <v>205</v>
      </c>
      <c r="I270" s="74" t="str">
        <f ca="1">IF(Table7[[#This Row],[Type]]="KILL",IF(_xlfn.NUMBERVALUE(RIGHT(Table7[[#This Row],[Min]],LEN(Table7[[#This Row],[Min]])-FIND("-",Table7[[#This Row],[Min]])))&gt;INDIRECT(ADDRESS(11+MATCH(LEFT(Table7[[#This Row],[Min]],FIND("-",Table7[[#This Row],[Min]])-1),Table1[Content Sku],0),16,1,1,"Entities")),"review","ok"),"ok")</f>
        <v>ok</v>
      </c>
      <c r="U270" t="s">
        <v>22</v>
      </c>
      <c r="V270">
        <v>0</v>
      </c>
      <c r="W270">
        <v>0</v>
      </c>
      <c r="X270" t="s">
        <v>8</v>
      </c>
      <c r="Y270" s="74" t="str">
        <f ca="1">IF(Table15[[#This Row],[Type]]="KILL",IF(_xlfn.NUMBERVALUE(RIGHT(Table15[[#This Row],[Min]],LEN(Table15[[#This Row],[Min]])-FIND("-",Table15[[#This Row],[Min]])))&gt;INDIRECT(ADDRESS(11+MATCH(LEFT(Table15[[#This Row],[Min]],FIND("-",Table15[[#This Row],[Min]])-1),Table1[Content Sku],0),16,1,1,"Entities")),"review","ok"),"ok")</f>
        <v>ok</v>
      </c>
      <c r="AK270" t="s">
        <v>2676</v>
      </c>
      <c r="AL270">
        <v>0</v>
      </c>
      <c r="AM270">
        <v>0</v>
      </c>
      <c r="AN270" t="s">
        <v>8</v>
      </c>
      <c r="AO270" s="74" t="str">
        <f ca="1">IF(Table20[[#This Row],[Type]]="KILL",IF(_xlfn.NUMBERVALUE(RIGHT(Table20[[#This Row],[Min]],LEN(Table20[[#This Row],[Min]])-FIND("-",Table20[[#This Row],[Min]])))&gt;INDIRECT(ADDRESS(11+MATCH(LEFT(Table20[[#This Row],[Min]],FIND("-",Table20[[#This Row],[Min]])-1),Table1[Content Sku],0),18,1,1,"Entities")),"review","ok"),"ok")</f>
        <v>ok</v>
      </c>
    </row>
    <row r="271" spans="5:41" x14ac:dyDescent="0.25">
      <c r="E271" t="s">
        <v>253</v>
      </c>
      <c r="F271">
        <v>0</v>
      </c>
      <c r="G271">
        <v>0</v>
      </c>
      <c r="H271" t="s">
        <v>8</v>
      </c>
      <c r="I271" s="74" t="str">
        <f ca="1">IF(Table7[[#This Row],[Type]]="KILL",IF(_xlfn.NUMBERVALUE(RIGHT(Table7[[#This Row],[Min]],LEN(Table7[[#This Row],[Min]])-FIND("-",Table7[[#This Row],[Min]])))&gt;INDIRECT(ADDRESS(11+MATCH(LEFT(Table7[[#This Row],[Min]],FIND("-",Table7[[#This Row],[Min]])-1),Table1[Content Sku],0),16,1,1,"Entities")),"review","ok"),"ok")</f>
        <v>ok</v>
      </c>
      <c r="U271" t="s">
        <v>313</v>
      </c>
      <c r="V271">
        <v>0</v>
      </c>
      <c r="W271">
        <v>0</v>
      </c>
      <c r="X271" t="s">
        <v>8</v>
      </c>
      <c r="Y271" s="74" t="str">
        <f ca="1">IF(Table15[[#This Row],[Type]]="KILL",IF(_xlfn.NUMBERVALUE(RIGHT(Table15[[#This Row],[Min]],LEN(Table15[[#This Row],[Min]])-FIND("-",Table15[[#This Row],[Min]])))&gt;INDIRECT(ADDRESS(11+MATCH(LEFT(Table15[[#This Row],[Min]],FIND("-",Table15[[#This Row],[Min]])-1),Table1[Content Sku],0),16,1,1,"Entities")),"review","ok"),"ok")</f>
        <v>ok</v>
      </c>
      <c r="AK271" t="s">
        <v>400</v>
      </c>
      <c r="AL271">
        <v>0</v>
      </c>
      <c r="AM271">
        <v>0</v>
      </c>
      <c r="AN271" t="s">
        <v>8</v>
      </c>
      <c r="AO271" s="74" t="str">
        <f ca="1">IF(Table20[[#This Row],[Type]]="KILL",IF(_xlfn.NUMBERVALUE(RIGHT(Table20[[#This Row],[Min]],LEN(Table20[[#This Row],[Min]])-FIND("-",Table20[[#This Row],[Min]])))&gt;INDIRECT(ADDRESS(11+MATCH(LEFT(Table20[[#This Row],[Min]],FIND("-",Table20[[#This Row],[Min]])-1),Table1[Content Sku],0),18,1,1,"Entities")),"review","ok"),"ok")</f>
        <v>ok</v>
      </c>
    </row>
    <row r="272" spans="5:41" x14ac:dyDescent="0.25">
      <c r="E272" t="s">
        <v>254</v>
      </c>
      <c r="F272">
        <v>0</v>
      </c>
      <c r="G272">
        <v>0</v>
      </c>
      <c r="H272" t="s">
        <v>8</v>
      </c>
      <c r="I272" s="74" t="str">
        <f ca="1">IF(Table7[[#This Row],[Type]]="KILL",IF(_xlfn.NUMBERVALUE(RIGHT(Table7[[#This Row],[Min]],LEN(Table7[[#This Row],[Min]])-FIND("-",Table7[[#This Row],[Min]])))&gt;INDIRECT(ADDRESS(11+MATCH(LEFT(Table7[[#This Row],[Min]],FIND("-",Table7[[#This Row],[Min]])-1),Table1[Content Sku],0),16,1,1,"Entities")),"review","ok"),"ok")</f>
        <v>ok</v>
      </c>
      <c r="U272" t="s">
        <v>254</v>
      </c>
      <c r="V272">
        <v>0</v>
      </c>
      <c r="W272">
        <v>0</v>
      </c>
      <c r="X272" t="s">
        <v>8</v>
      </c>
      <c r="Y272" s="74" t="str">
        <f ca="1">IF(Table15[[#This Row],[Type]]="KILL",IF(_xlfn.NUMBERVALUE(RIGHT(Table15[[#This Row],[Min]],LEN(Table15[[#This Row],[Min]])-FIND("-",Table15[[#This Row],[Min]])))&gt;INDIRECT(ADDRESS(11+MATCH(LEFT(Table15[[#This Row],[Min]],FIND("-",Table15[[#This Row],[Min]])-1),Table1[Content Sku],0),16,1,1,"Entities")),"review","ok"),"ok")</f>
        <v>ok</v>
      </c>
      <c r="AK272" t="s">
        <v>398</v>
      </c>
      <c r="AL272">
        <v>0</v>
      </c>
      <c r="AM272">
        <v>0</v>
      </c>
      <c r="AN272" t="s">
        <v>8</v>
      </c>
      <c r="AO272" s="74" t="str">
        <f ca="1">IF(Table20[[#This Row],[Type]]="KILL",IF(_xlfn.NUMBERVALUE(RIGHT(Table20[[#This Row],[Min]],LEN(Table20[[#This Row],[Min]])-FIND("-",Table20[[#This Row],[Min]])))&gt;INDIRECT(ADDRESS(11+MATCH(LEFT(Table20[[#This Row],[Min]],FIND("-",Table20[[#This Row],[Min]])-1),Table1[Content Sku],0),18,1,1,"Entities")),"review","ok"),"ok")</f>
        <v>ok</v>
      </c>
    </row>
    <row r="273" spans="5:41" x14ac:dyDescent="0.25">
      <c r="E273" t="s">
        <v>313</v>
      </c>
      <c r="F273">
        <v>0</v>
      </c>
      <c r="G273">
        <v>0</v>
      </c>
      <c r="H273" t="s">
        <v>8</v>
      </c>
      <c r="I273" s="74" t="str">
        <f ca="1">IF(Table7[[#This Row],[Type]]="KILL",IF(_xlfn.NUMBERVALUE(RIGHT(Table7[[#This Row],[Min]],LEN(Table7[[#This Row],[Min]])-FIND("-",Table7[[#This Row],[Min]])))&gt;INDIRECT(ADDRESS(11+MATCH(LEFT(Table7[[#This Row],[Min]],FIND("-",Table7[[#This Row],[Min]])-1),Table1[Content Sku],0),16,1,1,"Entities")),"review","ok"),"ok")</f>
        <v>ok</v>
      </c>
      <c r="U273" t="s">
        <v>289</v>
      </c>
      <c r="V273">
        <v>0</v>
      </c>
      <c r="W273">
        <v>0</v>
      </c>
      <c r="X273" t="s">
        <v>8</v>
      </c>
      <c r="Y273" s="74" t="str">
        <f ca="1">IF(Table15[[#This Row],[Type]]="KILL",IF(_xlfn.NUMBERVALUE(RIGHT(Table15[[#This Row],[Min]],LEN(Table15[[#This Row],[Min]])-FIND("-",Table15[[#This Row],[Min]])))&gt;INDIRECT(ADDRESS(11+MATCH(LEFT(Table15[[#This Row],[Min]],FIND("-",Table15[[#This Row],[Min]])-1),Table1[Content Sku],0),16,1,1,"Entities")),"review","ok"),"ok")</f>
        <v>ok</v>
      </c>
      <c r="AK273" t="s">
        <v>2673</v>
      </c>
      <c r="AL273">
        <v>0</v>
      </c>
      <c r="AM273">
        <v>98000</v>
      </c>
      <c r="AN273" t="s">
        <v>205</v>
      </c>
      <c r="AO273" s="74" t="str">
        <f ca="1">IF(Table20[[#This Row],[Type]]="KILL",IF(_xlfn.NUMBERVALUE(RIGHT(Table20[[#This Row],[Min]],LEN(Table20[[#This Row],[Min]])-FIND("-",Table20[[#This Row],[Min]])))&gt;INDIRECT(ADDRESS(11+MATCH(LEFT(Table20[[#This Row],[Min]],FIND("-",Table20[[#This Row],[Min]])-1),Table1[Content Sku],0),18,1,1,"Entities")),"review","ok"),"ok")</f>
        <v>ok</v>
      </c>
    </row>
    <row r="274" spans="5:41" x14ac:dyDescent="0.25">
      <c r="E274" t="s">
        <v>257</v>
      </c>
      <c r="F274">
        <v>16000</v>
      </c>
      <c r="G274">
        <v>0</v>
      </c>
      <c r="H274" t="s">
        <v>205</v>
      </c>
      <c r="I274" s="74" t="str">
        <f ca="1">IF(Table7[[#This Row],[Type]]="KILL",IF(_xlfn.NUMBERVALUE(RIGHT(Table7[[#This Row],[Min]],LEN(Table7[[#This Row],[Min]])-FIND("-",Table7[[#This Row],[Min]])))&gt;INDIRECT(ADDRESS(11+MATCH(LEFT(Table7[[#This Row],[Min]],FIND("-",Table7[[#This Row],[Min]])-1),Table1[Content Sku],0),16,1,1,"Entities")),"review","ok"),"ok")</f>
        <v>ok</v>
      </c>
      <c r="U274" t="s">
        <v>460</v>
      </c>
      <c r="V274">
        <v>0</v>
      </c>
      <c r="W274">
        <v>0</v>
      </c>
      <c r="X274" t="s">
        <v>8</v>
      </c>
      <c r="Y274" s="74" t="str">
        <f ca="1">IF(Table15[[#This Row],[Type]]="KILL",IF(_xlfn.NUMBERVALUE(RIGHT(Table15[[#This Row],[Min]],LEN(Table15[[#This Row],[Min]])-FIND("-",Table15[[#This Row],[Min]])))&gt;INDIRECT(ADDRESS(11+MATCH(LEFT(Table15[[#This Row],[Min]],FIND("-",Table15[[#This Row],[Min]])-1),Table1[Content Sku],0),16,1,1,"Entities")),"review","ok"),"ok")</f>
        <v>ok</v>
      </c>
      <c r="AK274" t="s">
        <v>2670</v>
      </c>
      <c r="AL274">
        <v>0</v>
      </c>
      <c r="AM274">
        <v>0</v>
      </c>
      <c r="AN274" t="s">
        <v>8</v>
      </c>
      <c r="AO274" s="74" t="str">
        <f ca="1">IF(Table20[[#This Row],[Type]]="KILL",IF(_xlfn.NUMBERVALUE(RIGHT(Table20[[#This Row],[Min]],LEN(Table20[[#This Row],[Min]])-FIND("-",Table20[[#This Row],[Min]])))&gt;INDIRECT(ADDRESS(11+MATCH(LEFT(Table20[[#This Row],[Min]],FIND("-",Table20[[#This Row],[Min]])-1),Table1[Content Sku],0),18,1,1,"Entities")),"review","ok"),"ok")</f>
        <v>ok</v>
      </c>
    </row>
    <row r="275" spans="5:41" x14ac:dyDescent="0.25">
      <c r="E275" t="s">
        <v>306</v>
      </c>
      <c r="F275">
        <v>0</v>
      </c>
      <c r="G275">
        <v>0</v>
      </c>
      <c r="H275" t="s">
        <v>8</v>
      </c>
      <c r="I275" s="74" t="str">
        <f ca="1">IF(Table7[[#This Row],[Type]]="KILL",IF(_xlfn.NUMBERVALUE(RIGHT(Table7[[#This Row],[Min]],LEN(Table7[[#This Row],[Min]])-FIND("-",Table7[[#This Row],[Min]])))&gt;INDIRECT(ADDRESS(11+MATCH(LEFT(Table7[[#This Row],[Min]],FIND("-",Table7[[#This Row],[Min]])-1),Table1[Content Sku],0),16,1,1,"Entities")),"review","ok"),"ok")</f>
        <v>ok</v>
      </c>
      <c r="U275" t="s">
        <v>39</v>
      </c>
      <c r="V275">
        <v>0</v>
      </c>
      <c r="W275">
        <v>34000</v>
      </c>
      <c r="X275" t="s">
        <v>205</v>
      </c>
      <c r="Y275" s="74" t="str">
        <f ca="1">IF(Table15[[#This Row],[Type]]="KILL",IF(_xlfn.NUMBERVALUE(RIGHT(Table15[[#This Row],[Min]],LEN(Table15[[#This Row],[Min]])-FIND("-",Table15[[#This Row],[Min]])))&gt;INDIRECT(ADDRESS(11+MATCH(LEFT(Table15[[#This Row],[Min]],FIND("-",Table15[[#This Row],[Min]])-1),Table1[Content Sku],0),16,1,1,"Entities")),"review","ok"),"ok")</f>
        <v>ok</v>
      </c>
      <c r="AK275" t="s">
        <v>2676</v>
      </c>
      <c r="AL275">
        <v>0</v>
      </c>
      <c r="AM275">
        <v>0</v>
      </c>
      <c r="AN275" t="s">
        <v>8</v>
      </c>
      <c r="AO275" s="74" t="str">
        <f ca="1">IF(Table20[[#This Row],[Type]]="KILL",IF(_xlfn.NUMBERVALUE(RIGHT(Table20[[#This Row],[Min]],LEN(Table20[[#This Row],[Min]])-FIND("-",Table20[[#This Row],[Min]])))&gt;INDIRECT(ADDRESS(11+MATCH(LEFT(Table20[[#This Row],[Min]],FIND("-",Table20[[#This Row],[Min]])-1),Table1[Content Sku],0),18,1,1,"Entities")),"review","ok"),"ok")</f>
        <v>ok</v>
      </c>
    </row>
    <row r="276" spans="5:41" x14ac:dyDescent="0.25">
      <c r="E276" t="s">
        <v>289</v>
      </c>
      <c r="F276">
        <v>0</v>
      </c>
      <c r="G276">
        <v>0</v>
      </c>
      <c r="H276" t="s">
        <v>8</v>
      </c>
      <c r="I276" s="74" t="str">
        <f ca="1">IF(Table7[[#This Row],[Type]]="KILL",IF(_xlfn.NUMBERVALUE(RIGHT(Table7[[#This Row],[Min]],LEN(Table7[[#This Row],[Min]])-FIND("-",Table7[[#This Row],[Min]])))&gt;INDIRECT(ADDRESS(11+MATCH(LEFT(Table7[[#This Row],[Min]],FIND("-",Table7[[#This Row],[Min]])-1),Table1[Content Sku],0),16,1,1,"Entities")),"review","ok"),"ok")</f>
        <v>ok</v>
      </c>
      <c r="U276" t="s">
        <v>2734</v>
      </c>
      <c r="V276">
        <v>0</v>
      </c>
      <c r="W276">
        <v>0</v>
      </c>
      <c r="X276" t="s">
        <v>8</v>
      </c>
      <c r="Y276" s="74" t="str">
        <f ca="1">IF(Table15[[#This Row],[Type]]="KILL",IF(_xlfn.NUMBERVALUE(RIGHT(Table15[[#This Row],[Min]],LEN(Table15[[#This Row],[Min]])-FIND("-",Table15[[#This Row],[Min]])))&gt;INDIRECT(ADDRESS(11+MATCH(LEFT(Table15[[#This Row],[Min]],FIND("-",Table15[[#This Row],[Min]])-1),Table1[Content Sku],0),16,1,1,"Entities")),"review","ok"),"ok")</f>
        <v>ok</v>
      </c>
      <c r="AK276" t="s">
        <v>2662</v>
      </c>
      <c r="AL276">
        <v>30000</v>
      </c>
      <c r="AM276">
        <v>0</v>
      </c>
      <c r="AN276" t="s">
        <v>205</v>
      </c>
      <c r="AO276" s="74" t="str">
        <f ca="1">IF(Table20[[#This Row],[Type]]="KILL",IF(_xlfn.NUMBERVALUE(RIGHT(Table20[[#This Row],[Min]],LEN(Table20[[#This Row],[Min]])-FIND("-",Table20[[#This Row],[Min]])))&gt;INDIRECT(ADDRESS(11+MATCH(LEFT(Table20[[#This Row],[Min]],FIND("-",Table20[[#This Row],[Min]])-1),Table1[Content Sku],0),18,1,1,"Entities")),"review","ok"),"ok")</f>
        <v>ok</v>
      </c>
    </row>
    <row r="277" spans="5:41" x14ac:dyDescent="0.25">
      <c r="E277" t="s">
        <v>393</v>
      </c>
      <c r="F277">
        <v>0</v>
      </c>
      <c r="G277">
        <v>0</v>
      </c>
      <c r="H277" t="s">
        <v>8</v>
      </c>
      <c r="I277" s="74" t="str">
        <f ca="1">IF(Table7[[#This Row],[Type]]="KILL",IF(_xlfn.NUMBERVALUE(RIGHT(Table7[[#This Row],[Min]],LEN(Table7[[#This Row],[Min]])-FIND("-",Table7[[#This Row],[Min]])))&gt;INDIRECT(ADDRESS(11+MATCH(LEFT(Table7[[#This Row],[Min]],FIND("-",Table7[[#This Row],[Min]])-1),Table1[Content Sku],0),16,1,1,"Entities")),"review","ok"),"ok")</f>
        <v>ok</v>
      </c>
      <c r="U277" t="s">
        <v>391</v>
      </c>
      <c r="V277">
        <v>0</v>
      </c>
      <c r="W277">
        <v>0</v>
      </c>
      <c r="X277" t="s">
        <v>8</v>
      </c>
      <c r="Y277" s="74" t="str">
        <f ca="1">IF(Table15[[#This Row],[Type]]="KILL",IF(_xlfn.NUMBERVALUE(RIGHT(Table15[[#This Row],[Min]],LEN(Table15[[#This Row],[Min]])-FIND("-",Table15[[#This Row],[Min]])))&gt;INDIRECT(ADDRESS(11+MATCH(LEFT(Table15[[#This Row],[Min]],FIND("-",Table15[[#This Row],[Min]])-1),Table1[Content Sku],0),16,1,1,"Entities")),"review","ok"),"ok")</f>
        <v>ok</v>
      </c>
      <c r="AK277" t="s">
        <v>2741</v>
      </c>
      <c r="AL277">
        <v>0</v>
      </c>
      <c r="AM277">
        <v>0</v>
      </c>
      <c r="AN277" t="s">
        <v>8</v>
      </c>
      <c r="AO277" s="74" t="str">
        <f ca="1">IF(Table20[[#This Row],[Type]]="KILL",IF(_xlfn.NUMBERVALUE(RIGHT(Table20[[#This Row],[Min]],LEN(Table20[[#This Row],[Min]])-FIND("-",Table20[[#This Row],[Min]])))&gt;INDIRECT(ADDRESS(11+MATCH(LEFT(Table20[[#This Row],[Min]],FIND("-",Table20[[#This Row],[Min]])-1),Table1[Content Sku],0),18,1,1,"Entities")),"review","ok"),"ok")</f>
        <v>ok</v>
      </c>
    </row>
    <row r="278" spans="5:41" x14ac:dyDescent="0.25">
      <c r="E278" t="s">
        <v>318</v>
      </c>
      <c r="F278">
        <v>0</v>
      </c>
      <c r="G278">
        <v>0</v>
      </c>
      <c r="H278" t="s">
        <v>8</v>
      </c>
      <c r="I278" s="74" t="str">
        <f ca="1">IF(Table7[[#This Row],[Type]]="KILL",IF(_xlfn.NUMBERVALUE(RIGHT(Table7[[#This Row],[Min]],LEN(Table7[[#This Row],[Min]])-FIND("-",Table7[[#This Row],[Min]])))&gt;INDIRECT(ADDRESS(11+MATCH(LEFT(Table7[[#This Row],[Min]],FIND("-",Table7[[#This Row],[Min]])-1),Table1[Content Sku],0),16,1,1,"Entities")),"review","ok"),"ok")</f>
        <v>ok</v>
      </c>
      <c r="U278" t="s">
        <v>122</v>
      </c>
      <c r="V278">
        <v>0</v>
      </c>
      <c r="W278">
        <v>0</v>
      </c>
      <c r="X278" t="s">
        <v>8</v>
      </c>
      <c r="Y278" s="74" t="str">
        <f ca="1">IF(Table15[[#This Row],[Type]]="KILL",IF(_xlfn.NUMBERVALUE(RIGHT(Table15[[#This Row],[Min]],LEN(Table15[[#This Row],[Min]])-FIND("-",Table15[[#This Row],[Min]])))&gt;INDIRECT(ADDRESS(11+MATCH(LEFT(Table15[[#This Row],[Min]],FIND("-",Table15[[#This Row],[Min]])-1),Table1[Content Sku],0),16,1,1,"Entities")),"review","ok"),"ok")</f>
        <v>ok</v>
      </c>
      <c r="AK278" t="s">
        <v>543</v>
      </c>
      <c r="AL278">
        <v>24000</v>
      </c>
      <c r="AM278">
        <v>0</v>
      </c>
      <c r="AN278" t="s">
        <v>205</v>
      </c>
      <c r="AO278" s="74" t="str">
        <f ca="1">IF(Table20[[#This Row],[Type]]="KILL",IF(_xlfn.NUMBERVALUE(RIGHT(Table20[[#This Row],[Min]],LEN(Table20[[#This Row],[Min]])-FIND("-",Table20[[#This Row],[Min]])))&gt;INDIRECT(ADDRESS(11+MATCH(LEFT(Table20[[#This Row],[Min]],FIND("-",Table20[[#This Row],[Min]])-1),Table1[Content Sku],0),18,1,1,"Entities")),"review","ok"),"ok")</f>
        <v>ok</v>
      </c>
    </row>
    <row r="279" spans="5:41" x14ac:dyDescent="0.25">
      <c r="E279" t="s">
        <v>313</v>
      </c>
      <c r="F279">
        <v>0</v>
      </c>
      <c r="G279">
        <v>0</v>
      </c>
      <c r="H279" t="s">
        <v>8</v>
      </c>
      <c r="I279" s="74" t="str">
        <f ca="1">IF(Table7[[#This Row],[Type]]="KILL",IF(_xlfn.NUMBERVALUE(RIGHT(Table7[[#This Row],[Min]],LEN(Table7[[#This Row],[Min]])-FIND("-",Table7[[#This Row],[Min]])))&gt;INDIRECT(ADDRESS(11+MATCH(LEFT(Table7[[#This Row],[Min]],FIND("-",Table7[[#This Row],[Min]])-1),Table1[Content Sku],0),16,1,1,"Entities")),"review","ok"),"ok")</f>
        <v>ok</v>
      </c>
      <c r="U279" t="s">
        <v>460</v>
      </c>
      <c r="V279">
        <v>0</v>
      </c>
      <c r="W279">
        <v>0</v>
      </c>
      <c r="X279" t="s">
        <v>8</v>
      </c>
      <c r="Y279" s="74" t="str">
        <f ca="1">IF(Table15[[#This Row],[Type]]="KILL",IF(_xlfn.NUMBERVALUE(RIGHT(Table15[[#This Row],[Min]],LEN(Table15[[#This Row],[Min]])-FIND("-",Table15[[#This Row],[Min]])))&gt;INDIRECT(ADDRESS(11+MATCH(LEFT(Table15[[#This Row],[Min]],FIND("-",Table15[[#This Row],[Min]])-1),Table1[Content Sku],0),16,1,1,"Entities")),"review","ok"),"ok")</f>
        <v>ok</v>
      </c>
      <c r="AK279" t="s">
        <v>2674</v>
      </c>
      <c r="AL279">
        <v>0</v>
      </c>
      <c r="AM279">
        <v>0</v>
      </c>
      <c r="AN279" t="s">
        <v>8</v>
      </c>
      <c r="AO279" s="74" t="str">
        <f ca="1">IF(Table20[[#This Row],[Type]]="KILL",IF(_xlfn.NUMBERVALUE(RIGHT(Table20[[#This Row],[Min]],LEN(Table20[[#This Row],[Min]])-FIND("-",Table20[[#This Row],[Min]])))&gt;INDIRECT(ADDRESS(11+MATCH(LEFT(Table20[[#This Row],[Min]],FIND("-",Table20[[#This Row],[Min]])-1),Table1[Content Sku],0),18,1,1,"Entities")),"review","ok"),"ok")</f>
        <v>ok</v>
      </c>
    </row>
    <row r="280" spans="5:41" x14ac:dyDescent="0.25">
      <c r="E280" t="s">
        <v>40</v>
      </c>
      <c r="F280">
        <v>0</v>
      </c>
      <c r="G280">
        <v>0</v>
      </c>
      <c r="H280" t="s">
        <v>8</v>
      </c>
      <c r="I280" s="74" t="str">
        <f ca="1">IF(Table7[[#This Row],[Type]]="KILL",IF(_xlfn.NUMBERVALUE(RIGHT(Table7[[#This Row],[Min]],LEN(Table7[[#This Row],[Min]])-FIND("-",Table7[[#This Row],[Min]])))&gt;INDIRECT(ADDRESS(11+MATCH(LEFT(Table7[[#This Row],[Min]],FIND("-",Table7[[#This Row],[Min]])-1),Table1[Content Sku],0),16,1,1,"Entities")),"review","ok"),"ok")</f>
        <v>ok</v>
      </c>
      <c r="U280" t="s">
        <v>254</v>
      </c>
      <c r="V280">
        <v>0</v>
      </c>
      <c r="W280">
        <v>0</v>
      </c>
      <c r="X280" t="s">
        <v>8</v>
      </c>
      <c r="Y280" s="74" t="str">
        <f ca="1">IF(Table15[[#This Row],[Type]]="KILL",IF(_xlfn.NUMBERVALUE(RIGHT(Table15[[#This Row],[Min]],LEN(Table15[[#This Row],[Min]])-FIND("-",Table15[[#This Row],[Min]])))&gt;INDIRECT(ADDRESS(11+MATCH(LEFT(Table15[[#This Row],[Min]],FIND("-",Table15[[#This Row],[Min]])-1),Table1[Content Sku],0),16,1,1,"Entities")),"review","ok"),"ok")</f>
        <v>ok</v>
      </c>
      <c r="AK280" t="s">
        <v>2676</v>
      </c>
      <c r="AL280">
        <v>0</v>
      </c>
      <c r="AM280">
        <v>75000</v>
      </c>
      <c r="AN280" t="s">
        <v>205</v>
      </c>
      <c r="AO280" s="74" t="str">
        <f ca="1">IF(Table20[[#This Row],[Type]]="KILL",IF(_xlfn.NUMBERVALUE(RIGHT(Table20[[#This Row],[Min]],LEN(Table20[[#This Row],[Min]])-FIND("-",Table20[[#This Row],[Min]])))&gt;INDIRECT(ADDRESS(11+MATCH(LEFT(Table20[[#This Row],[Min]],FIND("-",Table20[[#This Row],[Min]])-1),Table1[Content Sku],0),18,1,1,"Entities")),"review","ok"),"ok")</f>
        <v>ok</v>
      </c>
    </row>
    <row r="281" spans="5:41" x14ac:dyDescent="0.25">
      <c r="E281" t="s">
        <v>289</v>
      </c>
      <c r="F281">
        <v>0</v>
      </c>
      <c r="G281">
        <v>24000</v>
      </c>
      <c r="H281" t="s">
        <v>205</v>
      </c>
      <c r="I281" s="74" t="str">
        <f ca="1">IF(Table7[[#This Row],[Type]]="KILL",IF(_xlfn.NUMBERVALUE(RIGHT(Table7[[#This Row],[Min]],LEN(Table7[[#This Row],[Min]])-FIND("-",Table7[[#This Row],[Min]])))&gt;INDIRECT(ADDRESS(11+MATCH(LEFT(Table7[[#This Row],[Min]],FIND("-",Table7[[#This Row],[Min]])-1),Table1[Content Sku],0),16,1,1,"Entities")),"review","ok"),"ok")</f>
        <v>ok</v>
      </c>
      <c r="U281" t="s">
        <v>286</v>
      </c>
      <c r="V281">
        <v>0</v>
      </c>
      <c r="W281">
        <v>0</v>
      </c>
      <c r="X281" t="s">
        <v>8</v>
      </c>
      <c r="Y281" s="74" t="str">
        <f ca="1">IF(Table15[[#This Row],[Type]]="KILL",IF(_xlfn.NUMBERVALUE(RIGHT(Table15[[#This Row],[Min]],LEN(Table15[[#This Row],[Min]])-FIND("-",Table15[[#This Row],[Min]])))&gt;INDIRECT(ADDRESS(11+MATCH(LEFT(Table15[[#This Row],[Min]],FIND("-",Table15[[#This Row],[Min]])-1),Table1[Content Sku],0),16,1,1,"Entities")),"review","ok"),"ok")</f>
        <v>ok</v>
      </c>
      <c r="AK281" t="s">
        <v>2745</v>
      </c>
      <c r="AL281">
        <v>0</v>
      </c>
      <c r="AM281">
        <v>0</v>
      </c>
      <c r="AN281" t="s">
        <v>8</v>
      </c>
      <c r="AO281" s="74" t="str">
        <f ca="1">IF(Table20[[#This Row],[Type]]="KILL",IF(_xlfn.NUMBERVALUE(RIGHT(Table20[[#This Row],[Min]],LEN(Table20[[#This Row],[Min]])-FIND("-",Table20[[#This Row],[Min]])))&gt;INDIRECT(ADDRESS(11+MATCH(LEFT(Table20[[#This Row],[Min]],FIND("-",Table20[[#This Row],[Min]])-1),Table1[Content Sku],0),18,1,1,"Entities")),"review","ok"),"ok")</f>
        <v>ok</v>
      </c>
    </row>
    <row r="282" spans="5:41" x14ac:dyDescent="0.25">
      <c r="E282" t="s">
        <v>36</v>
      </c>
      <c r="F282">
        <v>18500</v>
      </c>
      <c r="G282">
        <v>0</v>
      </c>
      <c r="H282" t="s">
        <v>205</v>
      </c>
      <c r="I282" s="74" t="str">
        <f ca="1">IF(Table7[[#This Row],[Type]]="KILL",IF(_xlfn.NUMBERVALUE(RIGHT(Table7[[#This Row],[Min]],LEN(Table7[[#This Row],[Min]])-FIND("-",Table7[[#This Row],[Min]])))&gt;INDIRECT(ADDRESS(11+MATCH(LEFT(Table7[[#This Row],[Min]],FIND("-",Table7[[#This Row],[Min]])-1),Table1[Content Sku],0),16,1,1,"Entities")),"review","ok"),"ok")</f>
        <v>ok</v>
      </c>
      <c r="U282" t="s">
        <v>311</v>
      </c>
      <c r="V282">
        <v>0</v>
      </c>
      <c r="W282">
        <v>0</v>
      </c>
      <c r="X282" t="s">
        <v>8</v>
      </c>
      <c r="Y282" s="74" t="str">
        <f ca="1">IF(Table15[[#This Row],[Type]]="KILL",IF(_xlfn.NUMBERVALUE(RIGHT(Table15[[#This Row],[Min]],LEN(Table15[[#This Row],[Min]])-FIND("-",Table15[[#This Row],[Min]])))&gt;INDIRECT(ADDRESS(11+MATCH(LEFT(Table15[[#This Row],[Min]],FIND("-",Table15[[#This Row],[Min]])-1),Table1[Content Sku],0),16,1,1,"Entities")),"review","ok"),"ok")</f>
        <v>ok</v>
      </c>
      <c r="AK282" t="s">
        <v>2662</v>
      </c>
      <c r="AL282">
        <v>0</v>
      </c>
      <c r="AM282">
        <v>0</v>
      </c>
      <c r="AN282" t="s">
        <v>8</v>
      </c>
      <c r="AO282" s="74" t="str">
        <f ca="1">IF(Table20[[#This Row],[Type]]="KILL",IF(_xlfn.NUMBERVALUE(RIGHT(Table20[[#This Row],[Min]],LEN(Table20[[#This Row],[Min]])-FIND("-",Table20[[#This Row],[Min]])))&gt;INDIRECT(ADDRESS(11+MATCH(LEFT(Table20[[#This Row],[Min]],FIND("-",Table20[[#This Row],[Min]])-1),Table1[Content Sku],0),18,1,1,"Entities")),"review","ok"),"ok")</f>
        <v>ok</v>
      </c>
    </row>
    <row r="283" spans="5:41" x14ac:dyDescent="0.25">
      <c r="E283" t="s">
        <v>254</v>
      </c>
      <c r="F283">
        <v>0</v>
      </c>
      <c r="G283">
        <v>0</v>
      </c>
      <c r="H283" t="s">
        <v>8</v>
      </c>
      <c r="I283" s="74" t="str">
        <f ca="1">IF(Table7[[#This Row],[Type]]="KILL",IF(_xlfn.NUMBERVALUE(RIGHT(Table7[[#This Row],[Min]],LEN(Table7[[#This Row],[Min]])-FIND("-",Table7[[#This Row],[Min]])))&gt;INDIRECT(ADDRESS(11+MATCH(LEFT(Table7[[#This Row],[Min]],FIND("-",Table7[[#This Row],[Min]])-1),Table1[Content Sku],0),16,1,1,"Entities")),"review","ok"),"ok")</f>
        <v>ok</v>
      </c>
      <c r="U283" t="s">
        <v>293</v>
      </c>
      <c r="V283">
        <v>0</v>
      </c>
      <c r="W283">
        <v>0</v>
      </c>
      <c r="X283" t="s">
        <v>8</v>
      </c>
      <c r="Y283" s="74" t="str">
        <f ca="1">IF(Table15[[#This Row],[Type]]="KILL",IF(_xlfn.NUMBERVALUE(RIGHT(Table15[[#This Row],[Min]],LEN(Table15[[#This Row],[Min]])-FIND("-",Table15[[#This Row],[Min]])))&gt;INDIRECT(ADDRESS(11+MATCH(LEFT(Table15[[#This Row],[Min]],FIND("-",Table15[[#This Row],[Min]])-1),Table1[Content Sku],0),16,1,1,"Entities")),"review","ok"),"ok")</f>
        <v>ok</v>
      </c>
      <c r="AK283" t="s">
        <v>2678</v>
      </c>
      <c r="AL283">
        <v>32000</v>
      </c>
      <c r="AM283">
        <v>0</v>
      </c>
      <c r="AN283" t="s">
        <v>205</v>
      </c>
      <c r="AO283" s="74" t="str">
        <f ca="1">IF(Table20[[#This Row],[Type]]="KILL",IF(_xlfn.NUMBERVALUE(RIGHT(Table20[[#This Row],[Min]],LEN(Table20[[#This Row],[Min]])-FIND("-",Table20[[#This Row],[Min]])))&gt;INDIRECT(ADDRESS(11+MATCH(LEFT(Table20[[#This Row],[Min]],FIND("-",Table20[[#This Row],[Min]])-1),Table1[Content Sku],0),18,1,1,"Entities")),"review","ok"),"ok")</f>
        <v>ok</v>
      </c>
    </row>
    <row r="284" spans="5:41" x14ac:dyDescent="0.25">
      <c r="E284" t="s">
        <v>313</v>
      </c>
      <c r="F284">
        <v>0</v>
      </c>
      <c r="G284">
        <v>0</v>
      </c>
      <c r="H284" t="s">
        <v>8</v>
      </c>
      <c r="I284" s="74" t="str">
        <f ca="1">IF(Table7[[#This Row],[Type]]="KILL",IF(_xlfn.NUMBERVALUE(RIGHT(Table7[[#This Row],[Min]],LEN(Table7[[#This Row],[Min]])-FIND("-",Table7[[#This Row],[Min]])))&gt;INDIRECT(ADDRESS(11+MATCH(LEFT(Table7[[#This Row],[Min]],FIND("-",Table7[[#This Row],[Min]])-1),Table1[Content Sku],0),16,1,1,"Entities")),"review","ok"),"ok")</f>
        <v>ok</v>
      </c>
      <c r="U284" t="s">
        <v>318</v>
      </c>
      <c r="V284">
        <v>0</v>
      </c>
      <c r="W284">
        <v>0</v>
      </c>
      <c r="X284" t="s">
        <v>8</v>
      </c>
      <c r="Y284" s="74" t="str">
        <f ca="1">IF(Table15[[#This Row],[Type]]="KILL",IF(_xlfn.NUMBERVALUE(RIGHT(Table15[[#This Row],[Min]],LEN(Table15[[#This Row],[Min]])-FIND("-",Table15[[#This Row],[Min]])))&gt;INDIRECT(ADDRESS(11+MATCH(LEFT(Table15[[#This Row],[Min]],FIND("-",Table15[[#This Row],[Min]])-1),Table1[Content Sku],0),16,1,1,"Entities")),"review","ok"),"ok")</f>
        <v>ok</v>
      </c>
      <c r="AK284" t="s">
        <v>37</v>
      </c>
      <c r="AL284">
        <v>0</v>
      </c>
      <c r="AM284">
        <v>0</v>
      </c>
      <c r="AN284" t="s">
        <v>8</v>
      </c>
      <c r="AO284" s="74" t="str">
        <f ca="1">IF(Table20[[#This Row],[Type]]="KILL",IF(_xlfn.NUMBERVALUE(RIGHT(Table20[[#This Row],[Min]],LEN(Table20[[#This Row],[Min]])-FIND("-",Table20[[#This Row],[Min]])))&gt;INDIRECT(ADDRESS(11+MATCH(LEFT(Table20[[#This Row],[Min]],FIND("-",Table20[[#This Row],[Min]])-1),Table1[Content Sku],0),18,1,1,"Entities")),"review","ok"),"ok")</f>
        <v>ok</v>
      </c>
    </row>
    <row r="285" spans="5:41" x14ac:dyDescent="0.25">
      <c r="E285" t="s">
        <v>548</v>
      </c>
      <c r="F285">
        <v>0</v>
      </c>
      <c r="G285">
        <v>0</v>
      </c>
      <c r="H285" t="s">
        <v>8</v>
      </c>
      <c r="I285" s="74" t="str">
        <f ca="1">IF(Table7[[#This Row],[Type]]="KILL",IF(_xlfn.NUMBERVALUE(RIGHT(Table7[[#This Row],[Min]],LEN(Table7[[#This Row],[Min]])-FIND("-",Table7[[#This Row],[Min]])))&gt;INDIRECT(ADDRESS(11+MATCH(LEFT(Table7[[#This Row],[Min]],FIND("-",Table7[[#This Row],[Min]])-1),Table1[Content Sku],0),16,1,1,"Entities")),"review","ok"),"ok")</f>
        <v>ok</v>
      </c>
      <c r="U285" t="s">
        <v>391</v>
      </c>
      <c r="V285">
        <v>0</v>
      </c>
      <c r="W285">
        <v>0</v>
      </c>
      <c r="X285" t="s">
        <v>8</v>
      </c>
      <c r="Y285" s="74" t="str">
        <f ca="1">IF(Table15[[#This Row],[Type]]="KILL",IF(_xlfn.NUMBERVALUE(RIGHT(Table15[[#This Row],[Min]],LEN(Table15[[#This Row],[Min]])-FIND("-",Table15[[#This Row],[Min]])))&gt;INDIRECT(ADDRESS(11+MATCH(LEFT(Table15[[#This Row],[Min]],FIND("-",Table15[[#This Row],[Min]])-1),Table1[Content Sku],0),16,1,1,"Entities")),"review","ok"),"ok")</f>
        <v>ok</v>
      </c>
      <c r="AK285" t="s">
        <v>2663</v>
      </c>
      <c r="AL285">
        <v>0</v>
      </c>
      <c r="AM285">
        <v>0</v>
      </c>
      <c r="AN285" t="s">
        <v>8</v>
      </c>
      <c r="AO285" s="74" t="str">
        <f ca="1">IF(Table20[[#This Row],[Type]]="KILL",IF(_xlfn.NUMBERVALUE(RIGHT(Table20[[#This Row],[Min]],LEN(Table20[[#This Row],[Min]])-FIND("-",Table20[[#This Row],[Min]])))&gt;INDIRECT(ADDRESS(11+MATCH(LEFT(Table20[[#This Row],[Min]],FIND("-",Table20[[#This Row],[Min]])-1),Table1[Content Sku],0),18,1,1,"Entities")),"review","ok"),"ok")</f>
        <v>ok</v>
      </c>
    </row>
    <row r="286" spans="5:41" x14ac:dyDescent="0.25">
      <c r="E286" t="s">
        <v>286</v>
      </c>
      <c r="F286">
        <v>0</v>
      </c>
      <c r="G286">
        <v>0</v>
      </c>
      <c r="H286" t="s">
        <v>8</v>
      </c>
      <c r="I286" s="74" t="str">
        <f ca="1">IF(Table7[[#This Row],[Type]]="KILL",IF(_xlfn.NUMBERVALUE(RIGHT(Table7[[#This Row],[Min]],LEN(Table7[[#This Row],[Min]])-FIND("-",Table7[[#This Row],[Min]])))&gt;INDIRECT(ADDRESS(11+MATCH(LEFT(Table7[[#This Row],[Min]],FIND("-",Table7[[#This Row],[Min]])-1),Table1[Content Sku],0),16,1,1,"Entities")),"review","ok"),"ok")</f>
        <v>ok</v>
      </c>
      <c r="U286" t="s">
        <v>338</v>
      </c>
      <c r="V286">
        <v>0</v>
      </c>
      <c r="W286">
        <v>0</v>
      </c>
      <c r="X286" t="s">
        <v>8</v>
      </c>
      <c r="Y286" s="74" t="str">
        <f ca="1">IF(Table15[[#This Row],[Type]]="KILL",IF(_xlfn.NUMBERVALUE(RIGHT(Table15[[#This Row],[Min]],LEN(Table15[[#This Row],[Min]])-FIND("-",Table15[[#This Row],[Min]])))&gt;INDIRECT(ADDRESS(11+MATCH(LEFT(Table15[[#This Row],[Min]],FIND("-",Table15[[#This Row],[Min]])-1),Table1[Content Sku],0),16,1,1,"Entities")),"review","ok"),"ok")</f>
        <v>ok</v>
      </c>
      <c r="AK286" t="s">
        <v>2736</v>
      </c>
      <c r="AL286">
        <v>0</v>
      </c>
      <c r="AM286">
        <v>0</v>
      </c>
      <c r="AN286" t="s">
        <v>8</v>
      </c>
      <c r="AO286" s="74" t="str">
        <f ca="1">IF(Table20[[#This Row],[Type]]="KILL",IF(_xlfn.NUMBERVALUE(RIGHT(Table20[[#This Row],[Min]],LEN(Table20[[#This Row],[Min]])-FIND("-",Table20[[#This Row],[Min]])))&gt;INDIRECT(ADDRESS(11+MATCH(LEFT(Table20[[#This Row],[Min]],FIND("-",Table20[[#This Row],[Min]])-1),Table1[Content Sku],0),18,1,1,"Entities")),"review","ok"),"ok")</f>
        <v>ok</v>
      </c>
    </row>
    <row r="287" spans="5:41" x14ac:dyDescent="0.25">
      <c r="E287" t="s">
        <v>346</v>
      </c>
      <c r="F287">
        <v>17000</v>
      </c>
      <c r="G287">
        <v>0</v>
      </c>
      <c r="H287" t="s">
        <v>205</v>
      </c>
      <c r="I287" s="74" t="str">
        <f ca="1">IF(Table7[[#This Row],[Type]]="KILL",IF(_xlfn.NUMBERVALUE(RIGHT(Table7[[#This Row],[Min]],LEN(Table7[[#This Row],[Min]])-FIND("-",Table7[[#This Row],[Min]])))&gt;INDIRECT(ADDRESS(11+MATCH(LEFT(Table7[[#This Row],[Min]],FIND("-",Table7[[#This Row],[Min]])-1),Table1[Content Sku],0),16,1,1,"Entities")),"review","ok"),"ok")</f>
        <v>ok</v>
      </c>
      <c r="U287" t="s">
        <v>2741</v>
      </c>
      <c r="V287">
        <v>0</v>
      </c>
      <c r="W287">
        <v>0</v>
      </c>
      <c r="X287" t="s">
        <v>8</v>
      </c>
      <c r="Y287" s="74" t="str">
        <f ca="1">IF(Table15[[#This Row],[Type]]="KILL",IF(_xlfn.NUMBERVALUE(RIGHT(Table15[[#This Row],[Min]],LEN(Table15[[#This Row],[Min]])-FIND("-",Table15[[#This Row],[Min]])))&gt;INDIRECT(ADDRESS(11+MATCH(LEFT(Table15[[#This Row],[Min]],FIND("-",Table15[[#This Row],[Min]])-1),Table1[Content Sku],0),16,1,1,"Entities")),"review","ok"),"ok")</f>
        <v>ok</v>
      </c>
      <c r="AK287" t="s">
        <v>418</v>
      </c>
      <c r="AL287">
        <v>0</v>
      </c>
      <c r="AM287">
        <v>0</v>
      </c>
      <c r="AN287" t="s">
        <v>8</v>
      </c>
      <c r="AO287" s="74" t="str">
        <f ca="1">IF(Table20[[#This Row],[Type]]="KILL",IF(_xlfn.NUMBERVALUE(RIGHT(Table20[[#This Row],[Min]],LEN(Table20[[#This Row],[Min]])-FIND("-",Table20[[#This Row],[Min]])))&gt;INDIRECT(ADDRESS(11+MATCH(LEFT(Table20[[#This Row],[Min]],FIND("-",Table20[[#This Row],[Min]])-1),Table1[Content Sku],0),18,1,1,"Entities")),"review","ok"),"ok")</f>
        <v>ok</v>
      </c>
    </row>
    <row r="288" spans="5:41" x14ac:dyDescent="0.25">
      <c r="E288" t="s">
        <v>39</v>
      </c>
      <c r="F288">
        <v>0</v>
      </c>
      <c r="G288">
        <v>0</v>
      </c>
      <c r="H288" t="s">
        <v>8</v>
      </c>
      <c r="I288" s="74" t="str">
        <f ca="1">IF(Table7[[#This Row],[Type]]="KILL",IF(_xlfn.NUMBERVALUE(RIGHT(Table7[[#This Row],[Min]],LEN(Table7[[#This Row],[Min]])-FIND("-",Table7[[#This Row],[Min]])))&gt;INDIRECT(ADDRESS(11+MATCH(LEFT(Table7[[#This Row],[Min]],FIND("-",Table7[[#This Row],[Min]])-1),Table1[Content Sku],0),16,1,1,"Entities")),"review","ok"),"ok")</f>
        <v>ok</v>
      </c>
      <c r="U288" t="s">
        <v>313</v>
      </c>
      <c r="V288">
        <v>0</v>
      </c>
      <c r="W288">
        <v>0</v>
      </c>
      <c r="X288" t="s">
        <v>8</v>
      </c>
      <c r="Y288" s="74" t="str">
        <f ca="1">IF(Table15[[#This Row],[Type]]="KILL",IF(_xlfn.NUMBERVALUE(RIGHT(Table15[[#This Row],[Min]],LEN(Table15[[#This Row],[Min]])-FIND("-",Table15[[#This Row],[Min]])))&gt;INDIRECT(ADDRESS(11+MATCH(LEFT(Table15[[#This Row],[Min]],FIND("-",Table15[[#This Row],[Min]])-1),Table1[Content Sku],0),16,1,1,"Entities")),"review","ok"),"ok")</f>
        <v>ok</v>
      </c>
      <c r="AK288" t="s">
        <v>346</v>
      </c>
      <c r="AL288">
        <v>20000</v>
      </c>
      <c r="AM288">
        <v>0</v>
      </c>
      <c r="AN288" t="s">
        <v>205</v>
      </c>
      <c r="AO288" s="74" t="str">
        <f ca="1">IF(Table20[[#This Row],[Type]]="KILL",IF(_xlfn.NUMBERVALUE(RIGHT(Table20[[#This Row],[Min]],LEN(Table20[[#This Row],[Min]])-FIND("-",Table20[[#This Row],[Min]])))&gt;INDIRECT(ADDRESS(11+MATCH(LEFT(Table20[[#This Row],[Min]],FIND("-",Table20[[#This Row],[Min]])-1),Table1[Content Sku],0),18,1,1,"Entities")),"review","ok"),"ok")</f>
        <v>ok</v>
      </c>
    </row>
    <row r="289" spans="5:41" x14ac:dyDescent="0.25">
      <c r="E289" t="s">
        <v>21</v>
      </c>
      <c r="F289">
        <v>38000</v>
      </c>
      <c r="G289">
        <v>0</v>
      </c>
      <c r="H289" t="s">
        <v>205</v>
      </c>
      <c r="I289" s="74" t="str">
        <f ca="1">IF(Table7[[#This Row],[Type]]="KILL",IF(_xlfn.NUMBERVALUE(RIGHT(Table7[[#This Row],[Min]],LEN(Table7[[#This Row],[Min]])-FIND("-",Table7[[#This Row],[Min]])))&gt;INDIRECT(ADDRESS(11+MATCH(LEFT(Table7[[#This Row],[Min]],FIND("-",Table7[[#This Row],[Min]])-1),Table1[Content Sku],0),16,1,1,"Entities")),"review","ok"),"ok")</f>
        <v>ok</v>
      </c>
      <c r="U289" t="s">
        <v>289</v>
      </c>
      <c r="V289">
        <v>0</v>
      </c>
      <c r="W289">
        <v>0</v>
      </c>
      <c r="X289" t="s">
        <v>8</v>
      </c>
      <c r="Y289" s="74" t="str">
        <f ca="1">IF(Table15[[#This Row],[Type]]="KILL",IF(_xlfn.NUMBERVALUE(RIGHT(Table15[[#This Row],[Min]],LEN(Table15[[#This Row],[Min]])-FIND("-",Table15[[#This Row],[Min]])))&gt;INDIRECT(ADDRESS(11+MATCH(LEFT(Table15[[#This Row],[Min]],FIND("-",Table15[[#This Row],[Min]])-1),Table1[Content Sku],0),16,1,1,"Entities")),"review","ok"),"ok")</f>
        <v>ok</v>
      </c>
      <c r="AK289" t="s">
        <v>2672</v>
      </c>
      <c r="AL289">
        <v>78000</v>
      </c>
      <c r="AM289">
        <v>0</v>
      </c>
      <c r="AN289" t="s">
        <v>205</v>
      </c>
      <c r="AO289" s="74" t="str">
        <f ca="1">IF(Table20[[#This Row],[Type]]="KILL",IF(_xlfn.NUMBERVALUE(RIGHT(Table20[[#This Row],[Min]],LEN(Table20[[#This Row],[Min]])-FIND("-",Table20[[#This Row],[Min]])))&gt;INDIRECT(ADDRESS(11+MATCH(LEFT(Table20[[#This Row],[Min]],FIND("-",Table20[[#This Row],[Min]])-1),Table1[Content Sku],0),18,1,1,"Entities")),"review","ok"),"ok")</f>
        <v>ok</v>
      </c>
    </row>
    <row r="290" spans="5:41" x14ac:dyDescent="0.25">
      <c r="E290" t="s">
        <v>306</v>
      </c>
      <c r="F290">
        <v>0</v>
      </c>
      <c r="G290">
        <v>0</v>
      </c>
      <c r="H290" t="s">
        <v>8</v>
      </c>
      <c r="I290" s="74" t="str">
        <f ca="1">IF(Table7[[#This Row],[Type]]="KILL",IF(_xlfn.NUMBERVALUE(RIGHT(Table7[[#This Row],[Min]],LEN(Table7[[#This Row],[Min]])-FIND("-",Table7[[#This Row],[Min]])))&gt;INDIRECT(ADDRESS(11+MATCH(LEFT(Table7[[#This Row],[Min]],FIND("-",Table7[[#This Row],[Min]])-1),Table1[Content Sku],0),16,1,1,"Entities")),"review","ok"),"ok")</f>
        <v>ok</v>
      </c>
      <c r="U290" t="s">
        <v>309</v>
      </c>
      <c r="V290">
        <v>35000</v>
      </c>
      <c r="W290">
        <v>0</v>
      </c>
      <c r="X290" t="s">
        <v>205</v>
      </c>
      <c r="Y290" s="74" t="str">
        <f ca="1">IF(Table15[[#This Row],[Type]]="KILL",IF(_xlfn.NUMBERVALUE(RIGHT(Table15[[#This Row],[Min]],LEN(Table15[[#This Row],[Min]])-FIND("-",Table15[[#This Row],[Min]])))&gt;INDIRECT(ADDRESS(11+MATCH(LEFT(Table15[[#This Row],[Min]],FIND("-",Table15[[#This Row],[Min]])-1),Table1[Content Sku],0),16,1,1,"Entities")),"review","ok"),"ok")</f>
        <v>ok</v>
      </c>
      <c r="AK290" t="s">
        <v>95</v>
      </c>
      <c r="AL290">
        <v>0</v>
      </c>
      <c r="AM290">
        <v>0</v>
      </c>
      <c r="AN290" t="s">
        <v>8</v>
      </c>
      <c r="AO290" s="74" t="str">
        <f ca="1">IF(Table20[[#This Row],[Type]]="KILL",IF(_xlfn.NUMBERVALUE(RIGHT(Table20[[#This Row],[Min]],LEN(Table20[[#This Row],[Min]])-FIND("-",Table20[[#This Row],[Min]])))&gt;INDIRECT(ADDRESS(11+MATCH(LEFT(Table20[[#This Row],[Min]],FIND("-",Table20[[#This Row],[Min]])-1),Table1[Content Sku],0),18,1,1,"Entities")),"review","ok"),"ok")</f>
        <v>ok</v>
      </c>
    </row>
    <row r="291" spans="5:41" x14ac:dyDescent="0.25">
      <c r="E291" t="s">
        <v>63</v>
      </c>
      <c r="F291">
        <v>0</v>
      </c>
      <c r="G291">
        <v>0</v>
      </c>
      <c r="H291" t="s">
        <v>8</v>
      </c>
      <c r="I291" s="74" t="str">
        <f ca="1">IF(Table7[[#This Row],[Type]]="KILL",IF(_xlfn.NUMBERVALUE(RIGHT(Table7[[#This Row],[Min]],LEN(Table7[[#This Row],[Min]])-FIND("-",Table7[[#This Row],[Min]])))&gt;INDIRECT(ADDRESS(11+MATCH(LEFT(Table7[[#This Row],[Min]],FIND("-",Table7[[#This Row],[Min]])-1),Table1[Content Sku],0),16,1,1,"Entities")),"review","ok"),"ok")</f>
        <v>ok</v>
      </c>
      <c r="U291" t="s">
        <v>2732</v>
      </c>
      <c r="V291">
        <v>0</v>
      </c>
      <c r="W291">
        <v>0</v>
      </c>
      <c r="X291" t="s">
        <v>8</v>
      </c>
      <c r="Y291" s="74" t="str">
        <f ca="1">IF(Table15[[#This Row],[Type]]="KILL",IF(_xlfn.NUMBERVALUE(RIGHT(Table15[[#This Row],[Min]],LEN(Table15[[#This Row],[Min]])-FIND("-",Table15[[#This Row],[Min]])))&gt;INDIRECT(ADDRESS(11+MATCH(LEFT(Table15[[#This Row],[Min]],FIND("-",Table15[[#This Row],[Min]])-1),Table1[Content Sku],0),16,1,1,"Entities")),"review","ok"),"ok")</f>
        <v>ok</v>
      </c>
      <c r="AK291" t="s">
        <v>2741</v>
      </c>
      <c r="AL291">
        <v>0</v>
      </c>
      <c r="AM291">
        <v>0</v>
      </c>
      <c r="AN291" t="s">
        <v>8</v>
      </c>
      <c r="AO291" s="74" t="str">
        <f ca="1">IF(Table20[[#This Row],[Type]]="KILL",IF(_xlfn.NUMBERVALUE(RIGHT(Table20[[#This Row],[Min]],LEN(Table20[[#This Row],[Min]])-FIND("-",Table20[[#This Row],[Min]])))&gt;INDIRECT(ADDRESS(11+MATCH(LEFT(Table20[[#This Row],[Min]],FIND("-",Table20[[#This Row],[Min]])-1),Table1[Content Sku],0),18,1,1,"Entities")),"review","ok"),"ok")</f>
        <v>ok</v>
      </c>
    </row>
    <row r="292" spans="5:41" x14ac:dyDescent="0.25">
      <c r="E292" t="s">
        <v>315</v>
      </c>
      <c r="F292">
        <v>0</v>
      </c>
      <c r="G292">
        <v>18000</v>
      </c>
      <c r="H292" t="s">
        <v>205</v>
      </c>
      <c r="I292" s="74" t="str">
        <f ca="1">IF(Table7[[#This Row],[Type]]="KILL",IF(_xlfn.NUMBERVALUE(RIGHT(Table7[[#This Row],[Min]],LEN(Table7[[#This Row],[Min]])-FIND("-",Table7[[#This Row],[Min]])))&gt;INDIRECT(ADDRESS(11+MATCH(LEFT(Table7[[#This Row],[Min]],FIND("-",Table7[[#This Row],[Min]])-1),Table1[Content Sku],0),16,1,1,"Entities")),"review","ok"),"ok")</f>
        <v>ok</v>
      </c>
      <c r="U292" t="s">
        <v>313</v>
      </c>
      <c r="V292">
        <v>0</v>
      </c>
      <c r="W292">
        <v>0</v>
      </c>
      <c r="X292" t="s">
        <v>8</v>
      </c>
      <c r="Y292" s="74" t="str">
        <f ca="1">IF(Table15[[#This Row],[Type]]="KILL",IF(_xlfn.NUMBERVALUE(RIGHT(Table15[[#This Row],[Min]],LEN(Table15[[#This Row],[Min]])-FIND("-",Table15[[#This Row],[Min]])))&gt;INDIRECT(ADDRESS(11+MATCH(LEFT(Table15[[#This Row],[Min]],FIND("-",Table15[[#This Row],[Min]])-1),Table1[Content Sku],0),16,1,1,"Entities")),"review","ok"),"ok")</f>
        <v>ok</v>
      </c>
      <c r="AK292" t="s">
        <v>2664</v>
      </c>
      <c r="AL292">
        <v>0</v>
      </c>
      <c r="AM292">
        <v>20000</v>
      </c>
      <c r="AN292" t="s">
        <v>205</v>
      </c>
      <c r="AO292" s="74" t="str">
        <f ca="1">IF(Table20[[#This Row],[Type]]="KILL",IF(_xlfn.NUMBERVALUE(RIGHT(Table20[[#This Row],[Min]],LEN(Table20[[#This Row],[Min]])-FIND("-",Table20[[#This Row],[Min]])))&gt;INDIRECT(ADDRESS(11+MATCH(LEFT(Table20[[#This Row],[Min]],FIND("-",Table20[[#This Row],[Min]])-1),Table1[Content Sku],0),18,1,1,"Entities")),"review","ok"),"ok")</f>
        <v>ok</v>
      </c>
    </row>
    <row r="293" spans="5:41" x14ac:dyDescent="0.25">
      <c r="E293" t="s">
        <v>0</v>
      </c>
      <c r="F293">
        <v>300</v>
      </c>
      <c r="G293">
        <v>0</v>
      </c>
      <c r="H293" t="s">
        <v>4431</v>
      </c>
      <c r="I293" s="74" t="str">
        <f ca="1">IF(Table7[[#This Row],[Type]]="KILL",IF(_xlfn.NUMBERVALUE(RIGHT(Table7[[#This Row],[Min]],LEN(Table7[[#This Row],[Min]])-FIND("-",Table7[[#This Row],[Min]])))&gt;INDIRECT(ADDRESS(11+MATCH(LEFT(Table7[[#This Row],[Min]],FIND("-",Table7[[#This Row],[Min]])-1),Table1[Content Sku],0),16,1,1,"Entities")),"review","ok"),"ok")</f>
        <v>ok</v>
      </c>
      <c r="U293" t="s">
        <v>313</v>
      </c>
      <c r="V293">
        <v>0</v>
      </c>
      <c r="W293">
        <v>0</v>
      </c>
      <c r="X293" t="s">
        <v>8</v>
      </c>
      <c r="Y293" s="74" t="str">
        <f ca="1">IF(Table15[[#This Row],[Type]]="KILL",IF(_xlfn.NUMBERVALUE(RIGHT(Table15[[#This Row],[Min]],LEN(Table15[[#This Row],[Min]])-FIND("-",Table15[[#This Row],[Min]])))&gt;INDIRECT(ADDRESS(11+MATCH(LEFT(Table15[[#This Row],[Min]],FIND("-",Table15[[#This Row],[Min]])-1),Table1[Content Sku],0),16,1,1,"Entities")),"review","ok"),"ok")</f>
        <v>ok</v>
      </c>
      <c r="AK293" t="s">
        <v>4428</v>
      </c>
      <c r="AL293">
        <v>0</v>
      </c>
      <c r="AM293">
        <v>0</v>
      </c>
      <c r="AN293" t="s">
        <v>8</v>
      </c>
      <c r="AO293" s="74" t="str">
        <f ca="1">IF(Table20[[#This Row],[Type]]="KILL",IF(_xlfn.NUMBERVALUE(RIGHT(Table20[[#This Row],[Min]],LEN(Table20[[#This Row],[Min]])-FIND("-",Table20[[#This Row],[Min]])))&gt;INDIRECT(ADDRESS(11+MATCH(LEFT(Table20[[#This Row],[Min]],FIND("-",Table20[[#This Row],[Min]])-1),Table1[Content Sku],0),18,1,1,"Entities")),"review","ok"),"ok")</f>
        <v>ok</v>
      </c>
    </row>
    <row r="294" spans="5:41" x14ac:dyDescent="0.25">
      <c r="E294" t="s">
        <v>313</v>
      </c>
      <c r="F294">
        <v>0</v>
      </c>
      <c r="G294">
        <v>0</v>
      </c>
      <c r="H294" t="s">
        <v>8</v>
      </c>
      <c r="I294" s="74" t="str">
        <f ca="1">IF(Table7[[#This Row],[Type]]="KILL",IF(_xlfn.NUMBERVALUE(RIGHT(Table7[[#This Row],[Min]],LEN(Table7[[#This Row],[Min]])-FIND("-",Table7[[#This Row],[Min]])))&gt;INDIRECT(ADDRESS(11+MATCH(LEFT(Table7[[#This Row],[Min]],FIND("-",Table7[[#This Row],[Min]])-1),Table1[Content Sku],0),16,1,1,"Entities")),"review","ok"),"ok")</f>
        <v>ok</v>
      </c>
      <c r="U294" t="s">
        <v>391</v>
      </c>
      <c r="V294">
        <v>22000</v>
      </c>
      <c r="W294">
        <v>0</v>
      </c>
      <c r="X294" t="s">
        <v>205</v>
      </c>
      <c r="Y294" s="74" t="str">
        <f ca="1">IF(Table15[[#This Row],[Type]]="KILL",IF(_xlfn.NUMBERVALUE(RIGHT(Table15[[#This Row],[Min]],LEN(Table15[[#This Row],[Min]])-FIND("-",Table15[[#This Row],[Min]])))&gt;INDIRECT(ADDRESS(11+MATCH(LEFT(Table15[[#This Row],[Min]],FIND("-",Table15[[#This Row],[Min]])-1),Table1[Content Sku],0),16,1,1,"Entities")),"review","ok"),"ok")</f>
        <v>ok</v>
      </c>
      <c r="AK294" t="s">
        <v>2662</v>
      </c>
      <c r="AL294">
        <v>0</v>
      </c>
      <c r="AM294">
        <v>0</v>
      </c>
      <c r="AN294" t="s">
        <v>8</v>
      </c>
      <c r="AO294" s="74" t="str">
        <f ca="1">IF(Table20[[#This Row],[Type]]="KILL",IF(_xlfn.NUMBERVALUE(RIGHT(Table20[[#This Row],[Min]],LEN(Table20[[#This Row],[Min]])-FIND("-",Table20[[#This Row],[Min]])))&gt;INDIRECT(ADDRESS(11+MATCH(LEFT(Table20[[#This Row],[Min]],FIND("-",Table20[[#This Row],[Min]])-1),Table1[Content Sku],0),18,1,1,"Entities")),"review","ok"),"ok")</f>
        <v>ok</v>
      </c>
    </row>
    <row r="295" spans="5:41" x14ac:dyDescent="0.25">
      <c r="E295" t="s">
        <v>391</v>
      </c>
      <c r="F295">
        <v>0</v>
      </c>
      <c r="G295">
        <v>0</v>
      </c>
      <c r="H295" t="s">
        <v>8</v>
      </c>
      <c r="I295" s="74" t="str">
        <f ca="1">IF(Table7[[#This Row],[Type]]="KILL",IF(_xlfn.NUMBERVALUE(RIGHT(Table7[[#This Row],[Min]],LEN(Table7[[#This Row],[Min]])-FIND("-",Table7[[#This Row],[Min]])))&gt;INDIRECT(ADDRESS(11+MATCH(LEFT(Table7[[#This Row],[Min]],FIND("-",Table7[[#This Row],[Min]])-1),Table1[Content Sku],0),16,1,1,"Entities")),"review","ok"),"ok")</f>
        <v>ok</v>
      </c>
      <c r="U295" t="s">
        <v>8133</v>
      </c>
      <c r="V295">
        <v>0</v>
      </c>
      <c r="W295">
        <v>0</v>
      </c>
      <c r="X295" t="s">
        <v>8</v>
      </c>
      <c r="Y295" s="74" t="str">
        <f ca="1">IF(Table15[[#This Row],[Type]]="KILL",IF(_xlfn.NUMBERVALUE(RIGHT(Table15[[#This Row],[Min]],LEN(Table15[[#This Row],[Min]])-FIND("-",Table15[[#This Row],[Min]])))&gt;INDIRECT(ADDRESS(11+MATCH(LEFT(Table15[[#This Row],[Min]],FIND("-",Table15[[#This Row],[Min]])-1),Table1[Content Sku],0),16,1,1,"Entities")),"review","ok"),"ok")</f>
        <v>ok</v>
      </c>
      <c r="AK295" t="s">
        <v>2726</v>
      </c>
      <c r="AL295">
        <v>0</v>
      </c>
      <c r="AM295">
        <v>0</v>
      </c>
      <c r="AN295" t="s">
        <v>8</v>
      </c>
      <c r="AO295" s="74" t="str">
        <f ca="1">IF(Table20[[#This Row],[Type]]="KILL",IF(_xlfn.NUMBERVALUE(RIGHT(Table20[[#This Row],[Min]],LEN(Table20[[#This Row],[Min]])-FIND("-",Table20[[#This Row],[Min]])))&gt;INDIRECT(ADDRESS(11+MATCH(LEFT(Table20[[#This Row],[Min]],FIND("-",Table20[[#This Row],[Min]])-1),Table1[Content Sku],0),18,1,1,"Entities")),"review","ok"),"ok")</f>
        <v>ok</v>
      </c>
    </row>
    <row r="296" spans="5:41" x14ac:dyDescent="0.25">
      <c r="E296" t="s">
        <v>313</v>
      </c>
      <c r="F296">
        <v>0</v>
      </c>
      <c r="G296">
        <v>25000</v>
      </c>
      <c r="H296" t="s">
        <v>205</v>
      </c>
      <c r="I296" s="74" t="str">
        <f ca="1">IF(Table7[[#This Row],[Type]]="KILL",IF(_xlfn.NUMBERVALUE(RIGHT(Table7[[#This Row],[Min]],LEN(Table7[[#This Row],[Min]])-FIND("-",Table7[[#This Row],[Min]])))&gt;INDIRECT(ADDRESS(11+MATCH(LEFT(Table7[[#This Row],[Min]],FIND("-",Table7[[#This Row],[Min]])-1),Table1[Content Sku],0),16,1,1,"Entities")),"review","ok"),"ok")</f>
        <v>ok</v>
      </c>
      <c r="U296" t="s">
        <v>313</v>
      </c>
      <c r="V296">
        <v>0</v>
      </c>
      <c r="W296">
        <v>0</v>
      </c>
      <c r="X296" t="s">
        <v>8</v>
      </c>
      <c r="Y296" s="74" t="str">
        <f ca="1">IF(Table15[[#This Row],[Type]]="KILL",IF(_xlfn.NUMBERVALUE(RIGHT(Table15[[#This Row],[Min]],LEN(Table15[[#This Row],[Min]])-FIND("-",Table15[[#This Row],[Min]])))&gt;INDIRECT(ADDRESS(11+MATCH(LEFT(Table15[[#This Row],[Min]],FIND("-",Table15[[#This Row],[Min]])-1),Table1[Content Sku],0),16,1,1,"Entities")),"review","ok"),"ok")</f>
        <v>ok</v>
      </c>
      <c r="AK296" t="s">
        <v>95</v>
      </c>
      <c r="AL296">
        <v>0</v>
      </c>
      <c r="AM296">
        <v>0</v>
      </c>
      <c r="AN296" t="s">
        <v>8</v>
      </c>
      <c r="AO296" s="74" t="str">
        <f ca="1">IF(Table20[[#This Row],[Type]]="KILL",IF(_xlfn.NUMBERVALUE(RIGHT(Table20[[#This Row],[Min]],LEN(Table20[[#This Row],[Min]])-FIND("-",Table20[[#This Row],[Min]])))&gt;INDIRECT(ADDRESS(11+MATCH(LEFT(Table20[[#This Row],[Min]],FIND("-",Table20[[#This Row],[Min]])-1),Table1[Content Sku],0),18,1,1,"Entities")),"review","ok"),"ok")</f>
        <v>ok</v>
      </c>
    </row>
    <row r="297" spans="5:41" x14ac:dyDescent="0.25">
      <c r="E297" t="s">
        <v>95</v>
      </c>
      <c r="F297">
        <v>36000</v>
      </c>
      <c r="G297">
        <v>0</v>
      </c>
      <c r="H297" t="s">
        <v>205</v>
      </c>
      <c r="I297" s="74" t="str">
        <f ca="1">IF(Table7[[#This Row],[Type]]="KILL",IF(_xlfn.NUMBERVALUE(RIGHT(Table7[[#This Row],[Min]],LEN(Table7[[#This Row],[Min]])-FIND("-",Table7[[#This Row],[Min]])))&gt;INDIRECT(ADDRESS(11+MATCH(LEFT(Table7[[#This Row],[Min]],FIND("-",Table7[[#This Row],[Min]])-1),Table1[Content Sku],0),16,1,1,"Entities")),"review","ok"),"ok")</f>
        <v>ok</v>
      </c>
      <c r="U297" t="s">
        <v>315</v>
      </c>
      <c r="V297">
        <v>38000</v>
      </c>
      <c r="W297">
        <v>0</v>
      </c>
      <c r="X297" t="s">
        <v>205</v>
      </c>
      <c r="Y297" s="74" t="str">
        <f ca="1">IF(Table15[[#This Row],[Type]]="KILL",IF(_xlfn.NUMBERVALUE(RIGHT(Table15[[#This Row],[Min]],LEN(Table15[[#This Row],[Min]])-FIND("-",Table15[[#This Row],[Min]])))&gt;INDIRECT(ADDRESS(11+MATCH(LEFT(Table15[[#This Row],[Min]],FIND("-",Table15[[#This Row],[Min]])-1),Table1[Content Sku],0),16,1,1,"Entities")),"review","ok"),"ok")</f>
        <v>ok</v>
      </c>
      <c r="AK297" t="s">
        <v>2662</v>
      </c>
      <c r="AL297">
        <v>0</v>
      </c>
      <c r="AM297">
        <v>0</v>
      </c>
      <c r="AN297" t="s">
        <v>8</v>
      </c>
      <c r="AO297" s="74" t="str">
        <f ca="1">IF(Table20[[#This Row],[Type]]="KILL",IF(_xlfn.NUMBERVALUE(RIGHT(Table20[[#This Row],[Min]],LEN(Table20[[#This Row],[Min]])-FIND("-",Table20[[#This Row],[Min]])))&gt;INDIRECT(ADDRESS(11+MATCH(LEFT(Table20[[#This Row],[Min]],FIND("-",Table20[[#This Row],[Min]])-1),Table1[Content Sku],0),18,1,1,"Entities")),"review","ok"),"ok")</f>
        <v>ok</v>
      </c>
    </row>
    <row r="298" spans="5:41" x14ac:dyDescent="0.25">
      <c r="E298" t="s">
        <v>280</v>
      </c>
      <c r="F298">
        <v>0</v>
      </c>
      <c r="G298">
        <v>0</v>
      </c>
      <c r="H298" t="s">
        <v>8</v>
      </c>
      <c r="I298" s="74" t="str">
        <f ca="1">IF(Table7[[#This Row],[Type]]="KILL",IF(_xlfn.NUMBERVALUE(RIGHT(Table7[[#This Row],[Min]],LEN(Table7[[#This Row],[Min]])-FIND("-",Table7[[#This Row],[Min]])))&gt;INDIRECT(ADDRESS(11+MATCH(LEFT(Table7[[#This Row],[Min]],FIND("-",Table7[[#This Row],[Min]])-1),Table1[Content Sku],0),16,1,1,"Entities")),"review","ok"),"ok")</f>
        <v>ok</v>
      </c>
      <c r="U298" t="s">
        <v>291</v>
      </c>
      <c r="V298">
        <v>0</v>
      </c>
      <c r="W298">
        <v>20000</v>
      </c>
      <c r="X298" t="s">
        <v>205</v>
      </c>
      <c r="Y298" s="74" t="str">
        <f ca="1">IF(Table15[[#This Row],[Type]]="KILL",IF(_xlfn.NUMBERVALUE(RIGHT(Table15[[#This Row],[Min]],LEN(Table15[[#This Row],[Min]])-FIND("-",Table15[[#This Row],[Min]])))&gt;INDIRECT(ADDRESS(11+MATCH(LEFT(Table15[[#This Row],[Min]],FIND("-",Table15[[#This Row],[Min]])-1),Table1[Content Sku],0),16,1,1,"Entities")),"review","ok"),"ok")</f>
        <v>ok</v>
      </c>
      <c r="AK298" t="s">
        <v>2670</v>
      </c>
      <c r="AL298">
        <v>0</v>
      </c>
      <c r="AM298">
        <v>0</v>
      </c>
      <c r="AN298" t="s">
        <v>8</v>
      </c>
      <c r="AO298" s="74" t="str">
        <f ca="1">IF(Table20[[#This Row],[Type]]="KILL",IF(_xlfn.NUMBERVALUE(RIGHT(Table20[[#This Row],[Min]],LEN(Table20[[#This Row],[Min]])-FIND("-",Table20[[#This Row],[Min]])))&gt;INDIRECT(ADDRESS(11+MATCH(LEFT(Table20[[#This Row],[Min]],FIND("-",Table20[[#This Row],[Min]])-1),Table1[Content Sku],0),18,1,1,"Entities")),"review","ok"),"ok")</f>
        <v>ok</v>
      </c>
    </row>
    <row r="299" spans="5:41" x14ac:dyDescent="0.25">
      <c r="E299" t="s">
        <v>306</v>
      </c>
      <c r="F299">
        <v>0</v>
      </c>
      <c r="G299">
        <v>0</v>
      </c>
      <c r="H299" t="s">
        <v>8</v>
      </c>
      <c r="I299" s="74" t="str">
        <f ca="1">IF(Table7[[#This Row],[Type]]="KILL",IF(_xlfn.NUMBERVALUE(RIGHT(Table7[[#This Row],[Min]],LEN(Table7[[#This Row],[Min]])-FIND("-",Table7[[#This Row],[Min]])))&gt;INDIRECT(ADDRESS(11+MATCH(LEFT(Table7[[#This Row],[Min]],FIND("-",Table7[[#This Row],[Min]])-1),Table1[Content Sku],0),16,1,1,"Entities")),"review","ok"),"ok")</f>
        <v>ok</v>
      </c>
      <c r="U299" t="s">
        <v>2747</v>
      </c>
      <c r="V299">
        <v>0</v>
      </c>
      <c r="W299">
        <v>0</v>
      </c>
      <c r="X299" t="s">
        <v>8</v>
      </c>
      <c r="Y299" s="74" t="str">
        <f ca="1">IF(Table15[[#This Row],[Type]]="KILL",IF(_xlfn.NUMBERVALUE(RIGHT(Table15[[#This Row],[Min]],LEN(Table15[[#This Row],[Min]])-FIND("-",Table15[[#This Row],[Min]])))&gt;INDIRECT(ADDRESS(11+MATCH(LEFT(Table15[[#This Row],[Min]],FIND("-",Table15[[#This Row],[Min]])-1),Table1[Content Sku],0),16,1,1,"Entities")),"review","ok"),"ok")</f>
        <v>ok</v>
      </c>
      <c r="AK299" t="s">
        <v>49</v>
      </c>
      <c r="AL299">
        <v>0</v>
      </c>
      <c r="AM299">
        <v>0</v>
      </c>
      <c r="AN299" t="s">
        <v>8</v>
      </c>
      <c r="AO299" s="74" t="str">
        <f ca="1">IF(Table20[[#This Row],[Type]]="KILL",IF(_xlfn.NUMBERVALUE(RIGHT(Table20[[#This Row],[Min]],LEN(Table20[[#This Row],[Min]])-FIND("-",Table20[[#This Row],[Min]])))&gt;INDIRECT(ADDRESS(11+MATCH(LEFT(Table20[[#This Row],[Min]],FIND("-",Table20[[#This Row],[Min]])-1),Table1[Content Sku],0),18,1,1,"Entities")),"review","ok"),"ok")</f>
        <v>ok</v>
      </c>
    </row>
    <row r="300" spans="5:41" x14ac:dyDescent="0.25">
      <c r="E300" t="s">
        <v>122</v>
      </c>
      <c r="F300">
        <v>0</v>
      </c>
      <c r="G300">
        <v>0</v>
      </c>
      <c r="H300" t="s">
        <v>8</v>
      </c>
      <c r="I300" s="74" t="str">
        <f ca="1">IF(Table7[[#This Row],[Type]]="KILL",IF(_xlfn.NUMBERVALUE(RIGHT(Table7[[#This Row],[Min]],LEN(Table7[[#This Row],[Min]])-FIND("-",Table7[[#This Row],[Min]])))&gt;INDIRECT(ADDRESS(11+MATCH(LEFT(Table7[[#This Row],[Min]],FIND("-",Table7[[#This Row],[Min]])-1),Table1[Content Sku],0),16,1,1,"Entities")),"review","ok"),"ok")</f>
        <v>ok</v>
      </c>
      <c r="U300" t="s">
        <v>391</v>
      </c>
      <c r="V300">
        <v>0</v>
      </c>
      <c r="W300">
        <v>0</v>
      </c>
      <c r="X300" t="s">
        <v>8</v>
      </c>
      <c r="Y300" s="74" t="str">
        <f ca="1">IF(Table15[[#This Row],[Type]]="KILL",IF(_xlfn.NUMBERVALUE(RIGHT(Table15[[#This Row],[Min]],LEN(Table15[[#This Row],[Min]])-FIND("-",Table15[[#This Row],[Min]])))&gt;INDIRECT(ADDRESS(11+MATCH(LEFT(Table15[[#This Row],[Min]],FIND("-",Table15[[#This Row],[Min]])-1),Table1[Content Sku],0),16,1,1,"Entities")),"review","ok"),"ok")</f>
        <v>ok</v>
      </c>
      <c r="AK300" t="s">
        <v>46</v>
      </c>
      <c r="AL300">
        <v>0</v>
      </c>
      <c r="AM300">
        <v>0</v>
      </c>
      <c r="AN300" t="s">
        <v>8</v>
      </c>
      <c r="AO300" s="74" t="str">
        <f ca="1">IF(Table20[[#This Row],[Type]]="KILL",IF(_xlfn.NUMBERVALUE(RIGHT(Table20[[#This Row],[Min]],LEN(Table20[[#This Row],[Min]])-FIND("-",Table20[[#This Row],[Min]])))&gt;INDIRECT(ADDRESS(11+MATCH(LEFT(Table20[[#This Row],[Min]],FIND("-",Table20[[#This Row],[Min]])-1),Table1[Content Sku],0),18,1,1,"Entities")),"review","ok"),"ok")</f>
        <v>ok</v>
      </c>
    </row>
    <row r="301" spans="5:41" x14ac:dyDescent="0.25">
      <c r="E301" t="s">
        <v>63</v>
      </c>
      <c r="F301">
        <v>0</v>
      </c>
      <c r="G301">
        <v>0</v>
      </c>
      <c r="H301" t="s">
        <v>8</v>
      </c>
      <c r="I301" s="74" t="str">
        <f ca="1">IF(Table7[[#This Row],[Type]]="KILL",IF(_xlfn.NUMBERVALUE(RIGHT(Table7[[#This Row],[Min]],LEN(Table7[[#This Row],[Min]])-FIND("-",Table7[[#This Row],[Min]])))&gt;INDIRECT(ADDRESS(11+MATCH(LEFT(Table7[[#This Row],[Min]],FIND("-",Table7[[#This Row],[Min]])-1),Table1[Content Sku],0),16,1,1,"Entities")),"review","ok"),"ok")</f>
        <v>ok</v>
      </c>
      <c r="U301" t="s">
        <v>2766</v>
      </c>
      <c r="V301">
        <v>0</v>
      </c>
      <c r="W301">
        <v>0</v>
      </c>
      <c r="X301" t="s">
        <v>8</v>
      </c>
      <c r="Y301" s="74" t="str">
        <f ca="1">IF(Table15[[#This Row],[Type]]="KILL",IF(_xlfn.NUMBERVALUE(RIGHT(Table15[[#This Row],[Min]],LEN(Table15[[#This Row],[Min]])-FIND("-",Table15[[#This Row],[Min]])))&gt;INDIRECT(ADDRESS(11+MATCH(LEFT(Table15[[#This Row],[Min]],FIND("-",Table15[[#This Row],[Min]])-1),Table1[Content Sku],0),16,1,1,"Entities")),"review","ok"),"ok")</f>
        <v>ok</v>
      </c>
      <c r="AK301" t="s">
        <v>122</v>
      </c>
      <c r="AL301">
        <v>0</v>
      </c>
      <c r="AM301">
        <v>0</v>
      </c>
      <c r="AN301" t="s">
        <v>8</v>
      </c>
      <c r="AO301" s="74" t="str">
        <f ca="1">IF(Table20[[#This Row],[Type]]="KILL",IF(_xlfn.NUMBERVALUE(RIGHT(Table20[[#This Row],[Min]],LEN(Table20[[#This Row],[Min]])-FIND("-",Table20[[#This Row],[Min]])))&gt;INDIRECT(ADDRESS(11+MATCH(LEFT(Table20[[#This Row],[Min]],FIND("-",Table20[[#This Row],[Min]])-1),Table1[Content Sku],0),18,1,1,"Entities")),"review","ok"),"ok")</f>
        <v>ok</v>
      </c>
    </row>
    <row r="302" spans="5:41" x14ac:dyDescent="0.25">
      <c r="E302" t="s">
        <v>276</v>
      </c>
      <c r="F302">
        <v>0</v>
      </c>
      <c r="G302">
        <v>0</v>
      </c>
      <c r="H302" t="s">
        <v>8</v>
      </c>
      <c r="I302" s="74" t="str">
        <f ca="1">IF(Table7[[#This Row],[Type]]="KILL",IF(_xlfn.NUMBERVALUE(RIGHT(Table7[[#This Row],[Min]],LEN(Table7[[#This Row],[Min]])-FIND("-",Table7[[#This Row],[Min]])))&gt;INDIRECT(ADDRESS(11+MATCH(LEFT(Table7[[#This Row],[Min]],FIND("-",Table7[[#This Row],[Min]])-1),Table1[Content Sku],0),16,1,1,"Entities")),"review","ok"),"ok")</f>
        <v>ok</v>
      </c>
      <c r="U302" t="s">
        <v>391</v>
      </c>
      <c r="V302">
        <v>0</v>
      </c>
      <c r="W302">
        <v>0</v>
      </c>
      <c r="X302" t="s">
        <v>8</v>
      </c>
      <c r="Y302" s="74" t="str">
        <f ca="1">IF(Table15[[#This Row],[Type]]="KILL",IF(_xlfn.NUMBERVALUE(RIGHT(Table15[[#This Row],[Min]],LEN(Table15[[#This Row],[Min]])-FIND("-",Table15[[#This Row],[Min]])))&gt;INDIRECT(ADDRESS(11+MATCH(LEFT(Table15[[#This Row],[Min]],FIND("-",Table15[[#This Row],[Min]])-1),Table1[Content Sku],0),16,1,1,"Entities")),"review","ok"),"ok")</f>
        <v>ok</v>
      </c>
      <c r="AK302" t="s">
        <v>2664</v>
      </c>
      <c r="AL302">
        <v>0</v>
      </c>
      <c r="AM302">
        <v>0</v>
      </c>
      <c r="AN302" t="s">
        <v>8</v>
      </c>
      <c r="AO302" s="74" t="str">
        <f ca="1">IF(Table20[[#This Row],[Type]]="KILL",IF(_xlfn.NUMBERVALUE(RIGHT(Table20[[#This Row],[Min]],LEN(Table20[[#This Row],[Min]])-FIND("-",Table20[[#This Row],[Min]])))&gt;INDIRECT(ADDRESS(11+MATCH(LEFT(Table20[[#This Row],[Min]],FIND("-",Table20[[#This Row],[Min]])-1),Table1[Content Sku],0),18,1,1,"Entities")),"review","ok"),"ok")</f>
        <v>ok</v>
      </c>
    </row>
    <row r="303" spans="5:41" x14ac:dyDescent="0.25">
      <c r="E303" t="s">
        <v>39</v>
      </c>
      <c r="F303">
        <v>0</v>
      </c>
      <c r="G303">
        <v>0</v>
      </c>
      <c r="H303" t="s">
        <v>8</v>
      </c>
      <c r="I303" s="74" t="str">
        <f ca="1">IF(Table7[[#This Row],[Type]]="KILL",IF(_xlfn.NUMBERVALUE(RIGHT(Table7[[#This Row],[Min]],LEN(Table7[[#This Row],[Min]])-FIND("-",Table7[[#This Row],[Min]])))&gt;INDIRECT(ADDRESS(11+MATCH(LEFT(Table7[[#This Row],[Min]],FIND("-",Table7[[#This Row],[Min]])-1),Table1[Content Sku],0),16,1,1,"Entities")),"review","ok"),"ok")</f>
        <v>ok</v>
      </c>
      <c r="U303" t="s">
        <v>286</v>
      </c>
      <c r="V303">
        <v>0</v>
      </c>
      <c r="W303">
        <v>0</v>
      </c>
      <c r="X303" t="s">
        <v>8</v>
      </c>
      <c r="Y303" s="74" t="str">
        <f ca="1">IF(Table15[[#This Row],[Type]]="KILL",IF(_xlfn.NUMBERVALUE(RIGHT(Table15[[#This Row],[Min]],LEN(Table15[[#This Row],[Min]])-FIND("-",Table15[[#This Row],[Min]])))&gt;INDIRECT(ADDRESS(11+MATCH(LEFT(Table15[[#This Row],[Min]],FIND("-",Table15[[#This Row],[Min]])-1),Table1[Content Sku],0),16,1,1,"Entities")),"review","ok"),"ok")</f>
        <v>ok</v>
      </c>
      <c r="AK303" t="s">
        <v>37</v>
      </c>
      <c r="AL303">
        <v>0</v>
      </c>
      <c r="AM303">
        <v>0</v>
      </c>
      <c r="AN303" t="s">
        <v>8</v>
      </c>
      <c r="AO303" s="74" t="str">
        <f ca="1">IF(Table20[[#This Row],[Type]]="KILL",IF(_xlfn.NUMBERVALUE(RIGHT(Table20[[#This Row],[Min]],LEN(Table20[[#This Row],[Min]])-FIND("-",Table20[[#This Row],[Min]])))&gt;INDIRECT(ADDRESS(11+MATCH(LEFT(Table20[[#This Row],[Min]],FIND("-",Table20[[#This Row],[Min]])-1),Table1[Content Sku],0),18,1,1,"Entities")),"review","ok"),"ok")</f>
        <v>ok</v>
      </c>
    </row>
    <row r="304" spans="5:41" x14ac:dyDescent="0.25">
      <c r="E304" t="s">
        <v>548</v>
      </c>
      <c r="F304">
        <v>0</v>
      </c>
      <c r="G304">
        <v>0</v>
      </c>
      <c r="H304" t="s">
        <v>8</v>
      </c>
      <c r="I304" s="74" t="str">
        <f ca="1">IF(Table7[[#This Row],[Type]]="KILL",IF(_xlfn.NUMBERVALUE(RIGHT(Table7[[#This Row],[Min]],LEN(Table7[[#This Row],[Min]])-FIND("-",Table7[[#This Row],[Min]])))&gt;INDIRECT(ADDRESS(11+MATCH(LEFT(Table7[[#This Row],[Min]],FIND("-",Table7[[#This Row],[Min]])-1),Table1[Content Sku],0),16,1,1,"Entities")),"review","ok"),"ok")</f>
        <v>ok</v>
      </c>
      <c r="U304" t="s">
        <v>313</v>
      </c>
      <c r="V304">
        <v>0</v>
      </c>
      <c r="W304">
        <v>0</v>
      </c>
      <c r="X304" t="s">
        <v>8</v>
      </c>
      <c r="Y304" s="74" t="str">
        <f ca="1">IF(Table15[[#This Row],[Type]]="KILL",IF(_xlfn.NUMBERVALUE(RIGHT(Table15[[#This Row],[Min]],LEN(Table15[[#This Row],[Min]])-FIND("-",Table15[[#This Row],[Min]])))&gt;INDIRECT(ADDRESS(11+MATCH(LEFT(Table15[[#This Row],[Min]],FIND("-",Table15[[#This Row],[Min]])-1),Table1[Content Sku],0),16,1,1,"Entities")),"review","ok"),"ok")</f>
        <v>ok</v>
      </c>
      <c r="AK304" t="s">
        <v>2741</v>
      </c>
      <c r="AL304">
        <v>0</v>
      </c>
      <c r="AM304">
        <v>0</v>
      </c>
      <c r="AN304" t="s">
        <v>8</v>
      </c>
      <c r="AO304" s="74" t="str">
        <f ca="1">IF(Table20[[#This Row],[Type]]="KILL",IF(_xlfn.NUMBERVALUE(RIGHT(Table20[[#This Row],[Min]],LEN(Table20[[#This Row],[Min]])-FIND("-",Table20[[#This Row],[Min]])))&gt;INDIRECT(ADDRESS(11+MATCH(LEFT(Table20[[#This Row],[Min]],FIND("-",Table20[[#This Row],[Min]])-1),Table1[Content Sku],0),18,1,1,"Entities")),"review","ok"),"ok")</f>
        <v>ok</v>
      </c>
    </row>
    <row r="305" spans="5:41" x14ac:dyDescent="0.25">
      <c r="E305" t="s">
        <v>315</v>
      </c>
      <c r="F305">
        <v>0</v>
      </c>
      <c r="G305">
        <v>16000</v>
      </c>
      <c r="H305" t="s">
        <v>205</v>
      </c>
      <c r="I305" s="74" t="str">
        <f ca="1">IF(Table7[[#This Row],[Type]]="KILL",IF(_xlfn.NUMBERVALUE(RIGHT(Table7[[#This Row],[Min]],LEN(Table7[[#This Row],[Min]])-FIND("-",Table7[[#This Row],[Min]])))&gt;INDIRECT(ADDRESS(11+MATCH(LEFT(Table7[[#This Row],[Min]],FIND("-",Table7[[#This Row],[Min]])-1),Table1[Content Sku],0),16,1,1,"Entities")),"review","ok"),"ok")</f>
        <v>ok</v>
      </c>
      <c r="U305" t="s">
        <v>460</v>
      </c>
      <c r="V305">
        <v>0</v>
      </c>
      <c r="W305">
        <v>0</v>
      </c>
      <c r="X305" t="s">
        <v>8</v>
      </c>
      <c r="Y305" s="74" t="str">
        <f ca="1">IF(Table15[[#This Row],[Type]]="KILL",IF(_xlfn.NUMBERVALUE(RIGHT(Table15[[#This Row],[Min]],LEN(Table15[[#This Row],[Min]])-FIND("-",Table15[[#This Row],[Min]])))&gt;INDIRECT(ADDRESS(11+MATCH(LEFT(Table15[[#This Row],[Min]],FIND("-",Table15[[#This Row],[Min]])-1),Table1[Content Sku],0),16,1,1,"Entities")),"review","ok"),"ok")</f>
        <v>ok</v>
      </c>
      <c r="AK305" t="s">
        <v>2741</v>
      </c>
      <c r="AL305">
        <v>0</v>
      </c>
      <c r="AM305">
        <v>0</v>
      </c>
      <c r="AN305" t="s">
        <v>8</v>
      </c>
      <c r="AO305" s="74" t="str">
        <f ca="1">IF(Table20[[#This Row],[Type]]="KILL",IF(_xlfn.NUMBERVALUE(RIGHT(Table20[[#This Row],[Min]],LEN(Table20[[#This Row],[Min]])-FIND("-",Table20[[#This Row],[Min]])))&gt;INDIRECT(ADDRESS(11+MATCH(LEFT(Table20[[#This Row],[Min]],FIND("-",Table20[[#This Row],[Min]])-1),Table1[Content Sku],0),18,1,1,"Entities")),"review","ok"),"ok")</f>
        <v>ok</v>
      </c>
    </row>
    <row r="306" spans="5:41" x14ac:dyDescent="0.25">
      <c r="E306" t="s">
        <v>548</v>
      </c>
      <c r="F306">
        <v>0</v>
      </c>
      <c r="G306">
        <v>0</v>
      </c>
      <c r="H306" t="s">
        <v>8</v>
      </c>
      <c r="I306" s="74" t="str">
        <f ca="1">IF(Table7[[#This Row],[Type]]="KILL",IF(_xlfn.NUMBERVALUE(RIGHT(Table7[[#This Row],[Min]],LEN(Table7[[#This Row],[Min]])-FIND("-",Table7[[#This Row],[Min]])))&gt;INDIRECT(ADDRESS(11+MATCH(LEFT(Table7[[#This Row],[Min]],FIND("-",Table7[[#This Row],[Min]])-1),Table1[Content Sku],0),16,1,1,"Entities")),"review","ok"),"ok")</f>
        <v>ok</v>
      </c>
      <c r="U306" t="s">
        <v>49</v>
      </c>
      <c r="V306">
        <v>35000</v>
      </c>
      <c r="W306">
        <v>0</v>
      </c>
      <c r="X306" t="s">
        <v>205</v>
      </c>
      <c r="Y306" s="74" t="str">
        <f ca="1">IF(Table15[[#This Row],[Type]]="KILL",IF(_xlfn.NUMBERVALUE(RIGHT(Table15[[#This Row],[Min]],LEN(Table15[[#This Row],[Min]])-FIND("-",Table15[[#This Row],[Min]])))&gt;INDIRECT(ADDRESS(11+MATCH(LEFT(Table15[[#This Row],[Min]],FIND("-",Table15[[#This Row],[Min]])-1),Table1[Content Sku],0),16,1,1,"Entities")),"review","ok"),"ok")</f>
        <v>ok</v>
      </c>
      <c r="AK306" t="s">
        <v>37</v>
      </c>
      <c r="AL306">
        <v>0</v>
      </c>
      <c r="AM306">
        <v>0</v>
      </c>
      <c r="AN306" t="s">
        <v>8</v>
      </c>
      <c r="AO306" s="74" t="str">
        <f ca="1">IF(Table20[[#This Row],[Type]]="KILL",IF(_xlfn.NUMBERVALUE(RIGHT(Table20[[#This Row],[Min]],LEN(Table20[[#This Row],[Min]])-FIND("-",Table20[[#This Row],[Min]])))&gt;INDIRECT(ADDRESS(11+MATCH(LEFT(Table20[[#This Row],[Min]],FIND("-",Table20[[#This Row],[Min]])-1),Table1[Content Sku],0),18,1,1,"Entities")),"review","ok"),"ok")</f>
        <v>ok</v>
      </c>
    </row>
    <row r="307" spans="5:41" x14ac:dyDescent="0.25">
      <c r="E307" t="s">
        <v>4430</v>
      </c>
      <c r="F307">
        <v>0</v>
      </c>
      <c r="G307">
        <v>0</v>
      </c>
      <c r="H307" t="s">
        <v>8</v>
      </c>
      <c r="I307" s="74" t="str">
        <f ca="1">IF(Table7[[#This Row],[Type]]="KILL",IF(_xlfn.NUMBERVALUE(RIGHT(Table7[[#This Row],[Min]],LEN(Table7[[#This Row],[Min]])-FIND("-",Table7[[#This Row],[Min]])))&gt;INDIRECT(ADDRESS(11+MATCH(LEFT(Table7[[#This Row],[Min]],FIND("-",Table7[[#This Row],[Min]])-1),Table1[Content Sku],0),16,1,1,"Entities")),"review","ok"),"ok")</f>
        <v>ok</v>
      </c>
      <c r="U307" t="s">
        <v>273</v>
      </c>
      <c r="V307">
        <v>24000</v>
      </c>
      <c r="W307">
        <v>0</v>
      </c>
      <c r="X307" t="s">
        <v>205</v>
      </c>
      <c r="Y307" s="74" t="str">
        <f ca="1">IF(Table15[[#This Row],[Type]]="KILL",IF(_xlfn.NUMBERVALUE(RIGHT(Table15[[#This Row],[Min]],LEN(Table15[[#This Row],[Min]])-FIND("-",Table15[[#This Row],[Min]])))&gt;INDIRECT(ADDRESS(11+MATCH(LEFT(Table15[[#This Row],[Min]],FIND("-",Table15[[#This Row],[Min]])-1),Table1[Content Sku],0),16,1,1,"Entities")),"review","ok"),"ok")</f>
        <v>ok</v>
      </c>
      <c r="AK307" t="s">
        <v>122</v>
      </c>
      <c r="AL307">
        <v>0</v>
      </c>
      <c r="AM307">
        <v>0</v>
      </c>
      <c r="AN307" t="s">
        <v>8</v>
      </c>
      <c r="AO307" s="74" t="str">
        <f ca="1">IF(Table20[[#This Row],[Type]]="KILL",IF(_xlfn.NUMBERVALUE(RIGHT(Table20[[#This Row],[Min]],LEN(Table20[[#This Row],[Min]])-FIND("-",Table20[[#This Row],[Min]])))&gt;INDIRECT(ADDRESS(11+MATCH(LEFT(Table20[[#This Row],[Min]],FIND("-",Table20[[#This Row],[Min]])-1),Table1[Content Sku],0),18,1,1,"Entities")),"review","ok"),"ok")</f>
        <v>ok</v>
      </c>
    </row>
    <row r="308" spans="5:41" x14ac:dyDescent="0.25">
      <c r="E308" t="s">
        <v>93</v>
      </c>
      <c r="F308">
        <v>0</v>
      </c>
      <c r="G308">
        <v>0</v>
      </c>
      <c r="H308" t="s">
        <v>8</v>
      </c>
      <c r="I308" s="74" t="str">
        <f ca="1">IF(Table7[[#This Row],[Type]]="KILL",IF(_xlfn.NUMBERVALUE(RIGHT(Table7[[#This Row],[Min]],LEN(Table7[[#This Row],[Min]])-FIND("-",Table7[[#This Row],[Min]])))&gt;INDIRECT(ADDRESS(11+MATCH(LEFT(Table7[[#This Row],[Min]],FIND("-",Table7[[#This Row],[Min]])-1),Table1[Content Sku],0),16,1,1,"Entities")),"review","ok"),"ok")</f>
        <v>ok</v>
      </c>
      <c r="U308" t="s">
        <v>313</v>
      </c>
      <c r="V308">
        <v>0</v>
      </c>
      <c r="W308">
        <v>0</v>
      </c>
      <c r="X308" t="s">
        <v>8</v>
      </c>
      <c r="Y308" s="74" t="str">
        <f ca="1">IF(Table15[[#This Row],[Type]]="KILL",IF(_xlfn.NUMBERVALUE(RIGHT(Table15[[#This Row],[Min]],LEN(Table15[[#This Row],[Min]])-FIND("-",Table15[[#This Row],[Min]])))&gt;INDIRECT(ADDRESS(11+MATCH(LEFT(Table15[[#This Row],[Min]],FIND("-",Table15[[#This Row],[Min]])-1),Table1[Content Sku],0),16,1,1,"Entities")),"review","ok"),"ok")</f>
        <v>ok</v>
      </c>
      <c r="AK308" t="s">
        <v>95</v>
      </c>
      <c r="AL308">
        <v>0</v>
      </c>
      <c r="AM308">
        <v>0</v>
      </c>
      <c r="AN308" t="s">
        <v>8</v>
      </c>
      <c r="AO308" s="74" t="str">
        <f ca="1">IF(Table20[[#This Row],[Type]]="KILL",IF(_xlfn.NUMBERVALUE(RIGHT(Table20[[#This Row],[Min]],LEN(Table20[[#This Row],[Min]])-FIND("-",Table20[[#This Row],[Min]])))&gt;INDIRECT(ADDRESS(11+MATCH(LEFT(Table20[[#This Row],[Min]],FIND("-",Table20[[#This Row],[Min]])-1),Table1[Content Sku],0),18,1,1,"Entities")),"review","ok"),"ok")</f>
        <v>ok</v>
      </c>
    </row>
    <row r="309" spans="5:41" x14ac:dyDescent="0.25">
      <c r="E309" t="s">
        <v>254</v>
      </c>
      <c r="F309">
        <v>0</v>
      </c>
      <c r="G309">
        <v>0</v>
      </c>
      <c r="H309" t="s">
        <v>8</v>
      </c>
      <c r="I309" s="74" t="str">
        <f ca="1">IF(Table7[[#This Row],[Type]]="KILL",IF(_xlfn.NUMBERVALUE(RIGHT(Table7[[#This Row],[Min]],LEN(Table7[[#This Row],[Min]])-FIND("-",Table7[[#This Row],[Min]])))&gt;INDIRECT(ADDRESS(11+MATCH(LEFT(Table7[[#This Row],[Min]],FIND("-",Table7[[#This Row],[Min]])-1),Table1[Content Sku],0),16,1,1,"Entities")),"review","ok"),"ok")</f>
        <v>ok</v>
      </c>
      <c r="U309" t="s">
        <v>40</v>
      </c>
      <c r="V309">
        <v>29000</v>
      </c>
      <c r="W309">
        <v>0</v>
      </c>
      <c r="X309" t="s">
        <v>205</v>
      </c>
      <c r="Y309" s="74" t="str">
        <f ca="1">IF(Table15[[#This Row],[Type]]="KILL",IF(_xlfn.NUMBERVALUE(RIGHT(Table15[[#This Row],[Min]],LEN(Table15[[#This Row],[Min]])-FIND("-",Table15[[#This Row],[Min]])))&gt;INDIRECT(ADDRESS(11+MATCH(LEFT(Table15[[#This Row],[Min]],FIND("-",Table15[[#This Row],[Min]])-1),Table1[Content Sku],0),16,1,1,"Entities")),"review","ok"),"ok")</f>
        <v>ok</v>
      </c>
      <c r="AK309" t="s">
        <v>2662</v>
      </c>
      <c r="AL309">
        <v>0</v>
      </c>
      <c r="AM309">
        <v>0</v>
      </c>
      <c r="AN309" t="s">
        <v>8</v>
      </c>
      <c r="AO309" s="74" t="str">
        <f ca="1">IF(Table20[[#This Row],[Type]]="KILL",IF(_xlfn.NUMBERVALUE(RIGHT(Table20[[#This Row],[Min]],LEN(Table20[[#This Row],[Min]])-FIND("-",Table20[[#This Row],[Min]])))&gt;INDIRECT(ADDRESS(11+MATCH(LEFT(Table20[[#This Row],[Min]],FIND("-",Table20[[#This Row],[Min]])-1),Table1[Content Sku],0),18,1,1,"Entities")),"review","ok"),"ok")</f>
        <v>ok</v>
      </c>
    </row>
    <row r="310" spans="5:41" x14ac:dyDescent="0.25">
      <c r="E310" t="s">
        <v>286</v>
      </c>
      <c r="F310">
        <v>0</v>
      </c>
      <c r="G310">
        <v>0</v>
      </c>
      <c r="H310" t="s">
        <v>8</v>
      </c>
      <c r="I310" s="74" t="str">
        <f ca="1">IF(Table7[[#This Row],[Type]]="KILL",IF(_xlfn.NUMBERVALUE(RIGHT(Table7[[#This Row],[Min]],LEN(Table7[[#This Row],[Min]])-FIND("-",Table7[[#This Row],[Min]])))&gt;INDIRECT(ADDRESS(11+MATCH(LEFT(Table7[[#This Row],[Min]],FIND("-",Table7[[#This Row],[Min]])-1),Table1[Content Sku],0),16,1,1,"Entities")),"review","ok"),"ok")</f>
        <v>ok</v>
      </c>
      <c r="U310" t="s">
        <v>46</v>
      </c>
      <c r="V310">
        <v>0</v>
      </c>
      <c r="W310">
        <v>0</v>
      </c>
      <c r="X310" t="s">
        <v>8</v>
      </c>
      <c r="Y310" s="74" t="str">
        <f ca="1">IF(Table15[[#This Row],[Type]]="KILL",IF(_xlfn.NUMBERVALUE(RIGHT(Table15[[#This Row],[Min]],LEN(Table15[[#This Row],[Min]])-FIND("-",Table15[[#This Row],[Min]])))&gt;INDIRECT(ADDRESS(11+MATCH(LEFT(Table15[[#This Row],[Min]],FIND("-",Table15[[#This Row],[Min]])-1),Table1[Content Sku],0),16,1,1,"Entities")),"review","ok"),"ok")</f>
        <v>ok</v>
      </c>
      <c r="AK310" t="s">
        <v>400</v>
      </c>
      <c r="AL310">
        <v>0</v>
      </c>
      <c r="AM310">
        <v>38000</v>
      </c>
      <c r="AN310" t="s">
        <v>205</v>
      </c>
      <c r="AO310" s="74" t="str">
        <f ca="1">IF(Table20[[#This Row],[Type]]="KILL",IF(_xlfn.NUMBERVALUE(RIGHT(Table20[[#This Row],[Min]],LEN(Table20[[#This Row],[Min]])-FIND("-",Table20[[#This Row],[Min]])))&gt;INDIRECT(ADDRESS(11+MATCH(LEFT(Table20[[#This Row],[Min]],FIND("-",Table20[[#This Row],[Min]])-1),Table1[Content Sku],0),18,1,1,"Entities")),"review","ok"),"ok")</f>
        <v>ok</v>
      </c>
    </row>
    <row r="311" spans="5:41" x14ac:dyDescent="0.25">
      <c r="E311" t="s">
        <v>289</v>
      </c>
      <c r="F311">
        <v>0</v>
      </c>
      <c r="G311">
        <v>24000</v>
      </c>
      <c r="H311" t="s">
        <v>205</v>
      </c>
      <c r="I311" s="74" t="str">
        <f ca="1">IF(Table7[[#This Row],[Type]]="KILL",IF(_xlfn.NUMBERVALUE(RIGHT(Table7[[#This Row],[Min]],LEN(Table7[[#This Row],[Min]])-FIND("-",Table7[[#This Row],[Min]])))&gt;INDIRECT(ADDRESS(11+MATCH(LEFT(Table7[[#This Row],[Min]],FIND("-",Table7[[#This Row],[Min]])-1),Table1[Content Sku],0),16,1,1,"Entities")),"review","ok"),"ok")</f>
        <v>ok</v>
      </c>
      <c r="U311" t="s">
        <v>2736</v>
      </c>
      <c r="V311">
        <v>0</v>
      </c>
      <c r="W311">
        <v>0</v>
      </c>
      <c r="X311" t="s">
        <v>8</v>
      </c>
      <c r="Y311" s="74" t="str">
        <f ca="1">IF(Table15[[#This Row],[Type]]="KILL",IF(_xlfn.NUMBERVALUE(RIGHT(Table15[[#This Row],[Min]],LEN(Table15[[#This Row],[Min]])-FIND("-",Table15[[#This Row],[Min]])))&gt;INDIRECT(ADDRESS(11+MATCH(LEFT(Table15[[#This Row],[Min]],FIND("-",Table15[[#This Row],[Min]])-1),Table1[Content Sku],0),16,1,1,"Entities")),"review","ok"),"ok")</f>
        <v>ok</v>
      </c>
      <c r="AK311" t="s">
        <v>8103</v>
      </c>
      <c r="AL311">
        <v>50000</v>
      </c>
      <c r="AM311">
        <v>0</v>
      </c>
      <c r="AN311" t="s">
        <v>205</v>
      </c>
      <c r="AO311" s="74" t="str">
        <f ca="1">IF(Table20[[#This Row],[Type]]="KILL",IF(_xlfn.NUMBERVALUE(RIGHT(Table20[[#This Row],[Min]],LEN(Table20[[#This Row],[Min]])-FIND("-",Table20[[#This Row],[Min]])))&gt;INDIRECT(ADDRESS(11+MATCH(LEFT(Table20[[#This Row],[Min]],FIND("-",Table20[[#This Row],[Min]])-1),Table1[Content Sku],0),18,1,1,"Entities")),"review","ok"),"ok")</f>
        <v>ok</v>
      </c>
    </row>
    <row r="312" spans="5:41" x14ac:dyDescent="0.25">
      <c r="E312" t="s">
        <v>254</v>
      </c>
      <c r="F312">
        <v>0</v>
      </c>
      <c r="G312">
        <v>0</v>
      </c>
      <c r="H312" t="s">
        <v>8</v>
      </c>
      <c r="I312" s="74" t="str">
        <f ca="1">IF(Table7[[#This Row],[Type]]="KILL",IF(_xlfn.NUMBERVALUE(RIGHT(Table7[[#This Row],[Min]],LEN(Table7[[#This Row],[Min]])-FIND("-",Table7[[#This Row],[Min]])))&gt;INDIRECT(ADDRESS(11+MATCH(LEFT(Table7[[#This Row],[Min]],FIND("-",Table7[[#This Row],[Min]])-1),Table1[Content Sku],0),16,1,1,"Entities")),"review","ok"),"ok")</f>
        <v>ok</v>
      </c>
      <c r="U312" t="s">
        <v>291</v>
      </c>
      <c r="V312">
        <v>0</v>
      </c>
      <c r="W312">
        <v>29000</v>
      </c>
      <c r="X312" t="s">
        <v>205</v>
      </c>
      <c r="Y312" s="74" t="str">
        <f ca="1">IF(Table15[[#This Row],[Type]]="KILL",IF(_xlfn.NUMBERVALUE(RIGHT(Table15[[#This Row],[Min]],LEN(Table15[[#This Row],[Min]])-FIND("-",Table15[[#This Row],[Min]])))&gt;INDIRECT(ADDRESS(11+MATCH(LEFT(Table15[[#This Row],[Min]],FIND("-",Table15[[#This Row],[Min]])-1),Table1[Content Sku],0),16,1,1,"Entities")),"review","ok"),"ok")</f>
        <v>ok</v>
      </c>
      <c r="AK312" t="s">
        <v>2670</v>
      </c>
      <c r="AL312">
        <v>0</v>
      </c>
      <c r="AM312">
        <v>0</v>
      </c>
      <c r="AN312" t="s">
        <v>8</v>
      </c>
      <c r="AO312" s="74" t="str">
        <f ca="1">IF(Table20[[#This Row],[Type]]="KILL",IF(_xlfn.NUMBERVALUE(RIGHT(Table20[[#This Row],[Min]],LEN(Table20[[#This Row],[Min]])-FIND("-",Table20[[#This Row],[Min]])))&gt;INDIRECT(ADDRESS(11+MATCH(LEFT(Table20[[#This Row],[Min]],FIND("-",Table20[[#This Row],[Min]])-1),Table1[Content Sku],0),18,1,1,"Entities")),"review","ok"),"ok")</f>
        <v>ok</v>
      </c>
    </row>
    <row r="313" spans="5:41" x14ac:dyDescent="0.25">
      <c r="E313" t="s">
        <v>393</v>
      </c>
      <c r="F313">
        <v>0</v>
      </c>
      <c r="G313">
        <v>0</v>
      </c>
      <c r="H313" t="s">
        <v>8</v>
      </c>
      <c r="I313" s="74" t="str">
        <f ca="1">IF(Table7[[#This Row],[Type]]="KILL",IF(_xlfn.NUMBERVALUE(RIGHT(Table7[[#This Row],[Min]],LEN(Table7[[#This Row],[Min]])-FIND("-",Table7[[#This Row],[Min]])))&gt;INDIRECT(ADDRESS(11+MATCH(LEFT(Table7[[#This Row],[Min]],FIND("-",Table7[[#This Row],[Min]])-1),Table1[Content Sku],0),16,1,1,"Entities")),"review","ok"),"ok")</f>
        <v>ok</v>
      </c>
      <c r="U313" t="s">
        <v>37</v>
      </c>
      <c r="V313">
        <v>0</v>
      </c>
      <c r="W313">
        <v>0</v>
      </c>
      <c r="X313" t="s">
        <v>8</v>
      </c>
      <c r="Y313" s="74" t="str">
        <f ca="1">IF(Table15[[#This Row],[Type]]="KILL",IF(_xlfn.NUMBERVALUE(RIGHT(Table15[[#This Row],[Min]],LEN(Table15[[#This Row],[Min]])-FIND("-",Table15[[#This Row],[Min]])))&gt;INDIRECT(ADDRESS(11+MATCH(LEFT(Table15[[#This Row],[Min]],FIND("-",Table15[[#This Row],[Min]])-1),Table1[Content Sku],0),16,1,1,"Entities")),"review","ok"),"ok")</f>
        <v>ok</v>
      </c>
      <c r="AK313" t="s">
        <v>2672</v>
      </c>
      <c r="AL313" t="s">
        <v>5007</v>
      </c>
      <c r="AM313" t="s">
        <v>4467</v>
      </c>
      <c r="AN313" t="s">
        <v>4468</v>
      </c>
      <c r="AO313" s="74" t="str">
        <f ca="1">IF(Table20[[#This Row],[Type]]="KILL",IF(_xlfn.NUMBERVALUE(RIGHT(Table20[[#This Row],[Min]],LEN(Table20[[#This Row],[Min]])-FIND("-",Table20[[#This Row],[Min]])))&gt;INDIRECT(ADDRESS(11+MATCH(LEFT(Table20[[#This Row],[Min]],FIND("-",Table20[[#This Row],[Min]])-1),Table1[Content Sku],0),18,1,1,"Entities")),"review","ok"),"ok")</f>
        <v>ok</v>
      </c>
    </row>
    <row r="314" spans="5:41" x14ac:dyDescent="0.25">
      <c r="E314" t="s">
        <v>91</v>
      </c>
      <c r="F314">
        <v>0</v>
      </c>
      <c r="G314">
        <v>0</v>
      </c>
      <c r="H314" t="s">
        <v>8</v>
      </c>
      <c r="I314" s="74" t="str">
        <f ca="1">IF(Table7[[#This Row],[Type]]="KILL",IF(_xlfn.NUMBERVALUE(RIGHT(Table7[[#This Row],[Min]],LEN(Table7[[#This Row],[Min]])-FIND("-",Table7[[#This Row],[Min]])))&gt;INDIRECT(ADDRESS(11+MATCH(LEFT(Table7[[#This Row],[Min]],FIND("-",Table7[[#This Row],[Min]])-1),Table1[Content Sku],0),16,1,1,"Entities")),"review","ok"),"ok")</f>
        <v>ok</v>
      </c>
      <c r="U314" t="s">
        <v>254</v>
      </c>
      <c r="V314">
        <v>0</v>
      </c>
      <c r="W314">
        <v>0</v>
      </c>
      <c r="X314" t="s">
        <v>8</v>
      </c>
      <c r="Y314" s="74" t="str">
        <f ca="1">IF(Table15[[#This Row],[Type]]="KILL",IF(_xlfn.NUMBERVALUE(RIGHT(Table15[[#This Row],[Min]],LEN(Table15[[#This Row],[Min]])-FIND("-",Table15[[#This Row],[Min]])))&gt;INDIRECT(ADDRESS(11+MATCH(LEFT(Table15[[#This Row],[Min]],FIND("-",Table15[[#This Row],[Min]])-1),Table1[Content Sku],0),16,1,1,"Entities")),"review","ok"),"ok")</f>
        <v>ok</v>
      </c>
      <c r="AK314" t="s">
        <v>2672</v>
      </c>
      <c r="AL314">
        <v>82000</v>
      </c>
      <c r="AM314">
        <v>0</v>
      </c>
      <c r="AN314" t="s">
        <v>205</v>
      </c>
      <c r="AO314" s="74" t="str">
        <f ca="1">IF(Table20[[#This Row],[Type]]="KILL",IF(_xlfn.NUMBERVALUE(RIGHT(Table20[[#This Row],[Min]],LEN(Table20[[#This Row],[Min]])-FIND("-",Table20[[#This Row],[Min]])))&gt;INDIRECT(ADDRESS(11+MATCH(LEFT(Table20[[#This Row],[Min]],FIND("-",Table20[[#This Row],[Min]])-1),Table1[Content Sku],0),18,1,1,"Entities")),"review","ok"),"ok")</f>
        <v>ok</v>
      </c>
    </row>
    <row r="315" spans="5:41" x14ac:dyDescent="0.25">
      <c r="E315" t="s">
        <v>63</v>
      </c>
      <c r="F315">
        <v>0</v>
      </c>
      <c r="G315">
        <v>0</v>
      </c>
      <c r="H315" t="s">
        <v>8</v>
      </c>
      <c r="I315" s="74" t="str">
        <f ca="1">IF(Table7[[#This Row],[Type]]="KILL",IF(_xlfn.NUMBERVALUE(RIGHT(Table7[[#This Row],[Min]],LEN(Table7[[#This Row],[Min]])-FIND("-",Table7[[#This Row],[Min]])))&gt;INDIRECT(ADDRESS(11+MATCH(LEFT(Table7[[#This Row],[Min]],FIND("-",Table7[[#This Row],[Min]])-1),Table1[Content Sku],0),16,1,1,"Entities")),"review","ok"),"ok")</f>
        <v>ok</v>
      </c>
      <c r="U315" t="s">
        <v>258</v>
      </c>
      <c r="V315">
        <v>36000</v>
      </c>
      <c r="W315">
        <v>0</v>
      </c>
      <c r="X315" t="s">
        <v>205</v>
      </c>
      <c r="Y315" s="74" t="str">
        <f ca="1">IF(Table15[[#This Row],[Type]]="KILL",IF(_xlfn.NUMBERVALUE(RIGHT(Table15[[#This Row],[Min]],LEN(Table15[[#This Row],[Min]])-FIND("-",Table15[[#This Row],[Min]])))&gt;INDIRECT(ADDRESS(11+MATCH(LEFT(Table15[[#This Row],[Min]],FIND("-",Table15[[#This Row],[Min]])-1),Table1[Content Sku],0),16,1,1,"Entities")),"review","ok"),"ok")</f>
        <v>ok</v>
      </c>
      <c r="AK315" t="s">
        <v>2675</v>
      </c>
      <c r="AL315">
        <v>0</v>
      </c>
      <c r="AM315">
        <v>0</v>
      </c>
      <c r="AN315" t="s">
        <v>8</v>
      </c>
      <c r="AO315" s="74" t="str">
        <f ca="1">IF(Table20[[#This Row],[Type]]="KILL",IF(_xlfn.NUMBERVALUE(RIGHT(Table20[[#This Row],[Min]],LEN(Table20[[#This Row],[Min]])-FIND("-",Table20[[#This Row],[Min]])))&gt;INDIRECT(ADDRESS(11+MATCH(LEFT(Table20[[#This Row],[Min]],FIND("-",Table20[[#This Row],[Min]])-1),Table1[Content Sku],0),18,1,1,"Entities")),"review","ok"),"ok")</f>
        <v>ok</v>
      </c>
    </row>
    <row r="316" spans="5:41" x14ac:dyDescent="0.25">
      <c r="E316" t="s">
        <v>393</v>
      </c>
      <c r="F316">
        <v>0</v>
      </c>
      <c r="G316">
        <v>0</v>
      </c>
      <c r="H316" t="s">
        <v>8</v>
      </c>
      <c r="I316" s="74" t="str">
        <f ca="1">IF(Table7[[#This Row],[Type]]="KILL",IF(_xlfn.NUMBERVALUE(RIGHT(Table7[[#This Row],[Min]],LEN(Table7[[#This Row],[Min]])-FIND("-",Table7[[#This Row],[Min]])))&gt;INDIRECT(ADDRESS(11+MATCH(LEFT(Table7[[#This Row],[Min]],FIND("-",Table7[[#This Row],[Min]])-1),Table1[Content Sku],0),16,1,1,"Entities")),"review","ok"),"ok")</f>
        <v>ok</v>
      </c>
      <c r="U316" t="s">
        <v>391</v>
      </c>
      <c r="V316">
        <v>0</v>
      </c>
      <c r="W316">
        <v>0</v>
      </c>
      <c r="X316" t="s">
        <v>8</v>
      </c>
      <c r="Y316" s="74" t="str">
        <f ca="1">IF(Table15[[#This Row],[Type]]="KILL",IF(_xlfn.NUMBERVALUE(RIGHT(Table15[[#This Row],[Min]],LEN(Table15[[#This Row],[Min]])-FIND("-",Table15[[#This Row],[Min]])))&gt;INDIRECT(ADDRESS(11+MATCH(LEFT(Table15[[#This Row],[Min]],FIND("-",Table15[[#This Row],[Min]])-1),Table1[Content Sku],0),16,1,1,"Entities")),"review","ok"),"ok")</f>
        <v>ok</v>
      </c>
      <c r="AK316" t="s">
        <v>2678</v>
      </c>
      <c r="AL316">
        <v>0</v>
      </c>
      <c r="AM316">
        <v>0</v>
      </c>
      <c r="AN316" t="s">
        <v>8</v>
      </c>
      <c r="AO316" s="74" t="str">
        <f ca="1">IF(Table20[[#This Row],[Type]]="KILL",IF(_xlfn.NUMBERVALUE(RIGHT(Table20[[#This Row],[Min]],LEN(Table20[[#This Row],[Min]])-FIND("-",Table20[[#This Row],[Min]])))&gt;INDIRECT(ADDRESS(11+MATCH(LEFT(Table20[[#This Row],[Min]],FIND("-",Table20[[#This Row],[Min]])-1),Table1[Content Sku],0),18,1,1,"Entities")),"review","ok"),"ok")</f>
        <v>ok</v>
      </c>
    </row>
    <row r="317" spans="5:41" x14ac:dyDescent="0.25">
      <c r="E317" t="s">
        <v>286</v>
      </c>
      <c r="F317">
        <v>0</v>
      </c>
      <c r="G317">
        <v>0</v>
      </c>
      <c r="H317" t="s">
        <v>8</v>
      </c>
      <c r="I317" s="74" t="str">
        <f ca="1">IF(Table7[[#This Row],[Type]]="KILL",IF(_xlfn.NUMBERVALUE(RIGHT(Table7[[#This Row],[Min]],LEN(Table7[[#This Row],[Min]])-FIND("-",Table7[[#This Row],[Min]])))&gt;INDIRECT(ADDRESS(11+MATCH(LEFT(Table7[[#This Row],[Min]],FIND("-",Table7[[#This Row],[Min]])-1),Table1[Content Sku],0),16,1,1,"Entities")),"review","ok"),"ok")</f>
        <v>ok</v>
      </c>
      <c r="U317" t="s">
        <v>315</v>
      </c>
      <c r="V317">
        <v>0</v>
      </c>
      <c r="W317">
        <v>0</v>
      </c>
      <c r="X317" t="s">
        <v>8</v>
      </c>
      <c r="Y317" s="74" t="str">
        <f ca="1">IF(Table15[[#This Row],[Type]]="KILL",IF(_xlfn.NUMBERVALUE(RIGHT(Table15[[#This Row],[Min]],LEN(Table15[[#This Row],[Min]])-FIND("-",Table15[[#This Row],[Min]])))&gt;INDIRECT(ADDRESS(11+MATCH(LEFT(Table15[[#This Row],[Min]],FIND("-",Table15[[#This Row],[Min]])-1),Table1[Content Sku],0),16,1,1,"Entities")),"review","ok"),"ok")</f>
        <v>ok</v>
      </c>
      <c r="AK317" t="s">
        <v>2745</v>
      </c>
      <c r="AL317">
        <v>0</v>
      </c>
      <c r="AM317">
        <v>0</v>
      </c>
      <c r="AN317" t="s">
        <v>8</v>
      </c>
      <c r="AO317" s="74" t="str">
        <f ca="1">IF(Table20[[#This Row],[Type]]="KILL",IF(_xlfn.NUMBERVALUE(RIGHT(Table20[[#This Row],[Min]],LEN(Table20[[#This Row],[Min]])-FIND("-",Table20[[#This Row],[Min]])))&gt;INDIRECT(ADDRESS(11+MATCH(LEFT(Table20[[#This Row],[Min]],FIND("-",Table20[[#This Row],[Min]])-1),Table1[Content Sku],0),18,1,1,"Entities")),"review","ok"),"ok")</f>
        <v>ok</v>
      </c>
    </row>
    <row r="318" spans="5:41" x14ac:dyDescent="0.25">
      <c r="E318" t="s">
        <v>47</v>
      </c>
      <c r="F318">
        <v>3600</v>
      </c>
      <c r="G318">
        <v>0</v>
      </c>
      <c r="H318" t="s">
        <v>205</v>
      </c>
      <c r="I318" s="74" t="str">
        <f ca="1">IF(Table7[[#This Row],[Type]]="KILL",IF(_xlfn.NUMBERVALUE(RIGHT(Table7[[#This Row],[Min]],LEN(Table7[[#This Row],[Min]])-FIND("-",Table7[[#This Row],[Min]])))&gt;INDIRECT(ADDRESS(11+MATCH(LEFT(Table7[[#This Row],[Min]],FIND("-",Table7[[#This Row],[Min]])-1),Table1[Content Sku],0),16,1,1,"Entities")),"review","ok"),"ok")</f>
        <v>ok</v>
      </c>
      <c r="U318" t="s">
        <v>258</v>
      </c>
      <c r="V318">
        <v>180</v>
      </c>
      <c r="W318">
        <v>0</v>
      </c>
      <c r="X318" t="s">
        <v>4431</v>
      </c>
      <c r="Y318" s="74" t="str">
        <f ca="1">IF(Table15[[#This Row],[Type]]="KILL",IF(_xlfn.NUMBERVALUE(RIGHT(Table15[[#This Row],[Min]],LEN(Table15[[#This Row],[Min]])-FIND("-",Table15[[#This Row],[Min]])))&gt;INDIRECT(ADDRESS(11+MATCH(LEFT(Table15[[#This Row],[Min]],FIND("-",Table15[[#This Row],[Min]])-1),Table1[Content Sku],0),16,1,1,"Entities")),"review","ok"),"ok")</f>
        <v>ok</v>
      </c>
      <c r="AK318" t="s">
        <v>576</v>
      </c>
      <c r="AL318">
        <v>0</v>
      </c>
      <c r="AM318">
        <v>0</v>
      </c>
      <c r="AN318" t="s">
        <v>8</v>
      </c>
      <c r="AO318" s="74" t="str">
        <f ca="1">IF(Table20[[#This Row],[Type]]="KILL",IF(_xlfn.NUMBERVALUE(RIGHT(Table20[[#This Row],[Min]],LEN(Table20[[#This Row],[Min]])-FIND("-",Table20[[#This Row],[Min]])))&gt;INDIRECT(ADDRESS(11+MATCH(LEFT(Table20[[#This Row],[Min]],FIND("-",Table20[[#This Row],[Min]])-1),Table1[Content Sku],0),18,1,1,"Entities")),"review","ok"),"ok")</f>
        <v>ok</v>
      </c>
    </row>
    <row r="319" spans="5:41" x14ac:dyDescent="0.25">
      <c r="E319" t="s">
        <v>257</v>
      </c>
      <c r="F319">
        <v>20000</v>
      </c>
      <c r="G319">
        <v>0</v>
      </c>
      <c r="H319" t="s">
        <v>205</v>
      </c>
      <c r="I319" s="74" t="str">
        <f ca="1">IF(Table7[[#This Row],[Type]]="KILL",IF(_xlfn.NUMBERVALUE(RIGHT(Table7[[#This Row],[Min]],LEN(Table7[[#This Row],[Min]])-FIND("-",Table7[[#This Row],[Min]])))&gt;INDIRECT(ADDRESS(11+MATCH(LEFT(Table7[[#This Row],[Min]],FIND("-",Table7[[#This Row],[Min]])-1),Table1[Content Sku],0),16,1,1,"Entities")),"review","ok"),"ok")</f>
        <v>ok</v>
      </c>
      <c r="U319" t="s">
        <v>392</v>
      </c>
      <c r="V319">
        <v>0</v>
      </c>
      <c r="W319">
        <v>0</v>
      </c>
      <c r="X319" t="s">
        <v>8</v>
      </c>
      <c r="Y319" s="74" t="str">
        <f ca="1">IF(Table15[[#This Row],[Type]]="KILL",IF(_xlfn.NUMBERVALUE(RIGHT(Table15[[#This Row],[Min]],LEN(Table15[[#This Row],[Min]])-FIND("-",Table15[[#This Row],[Min]])))&gt;INDIRECT(ADDRESS(11+MATCH(LEFT(Table15[[#This Row],[Min]],FIND("-",Table15[[#This Row],[Min]])-1),Table1[Content Sku],0),16,1,1,"Entities")),"review","ok"),"ok")</f>
        <v>ok</v>
      </c>
      <c r="AK319" t="s">
        <v>540</v>
      </c>
      <c r="AL319">
        <v>0</v>
      </c>
      <c r="AM319">
        <v>0</v>
      </c>
      <c r="AN319" t="s">
        <v>8</v>
      </c>
      <c r="AO319" s="74" t="str">
        <f ca="1">IF(Table20[[#This Row],[Type]]="KILL",IF(_xlfn.NUMBERVALUE(RIGHT(Table20[[#This Row],[Min]],LEN(Table20[[#This Row],[Min]])-FIND("-",Table20[[#This Row],[Min]])))&gt;INDIRECT(ADDRESS(11+MATCH(LEFT(Table20[[#This Row],[Min]],FIND("-",Table20[[#This Row],[Min]])-1),Table1[Content Sku],0),18,1,1,"Entities")),"review","ok"),"ok")</f>
        <v>ok</v>
      </c>
    </row>
    <row r="320" spans="5:41" x14ac:dyDescent="0.25">
      <c r="E320" t="s">
        <v>2443</v>
      </c>
      <c r="F320">
        <v>0</v>
      </c>
      <c r="G320">
        <v>0</v>
      </c>
      <c r="H320" t="s">
        <v>8</v>
      </c>
      <c r="I320" s="74" t="str">
        <f ca="1">IF(Table7[[#This Row],[Type]]="KILL",IF(_xlfn.NUMBERVALUE(RIGHT(Table7[[#This Row],[Min]],LEN(Table7[[#This Row],[Min]])-FIND("-",Table7[[#This Row],[Min]])))&gt;INDIRECT(ADDRESS(11+MATCH(LEFT(Table7[[#This Row],[Min]],FIND("-",Table7[[#This Row],[Min]])-1),Table1[Content Sku],0),16,1,1,"Entities")),"review","ok"),"ok")</f>
        <v>ok</v>
      </c>
      <c r="U320" t="s">
        <v>293</v>
      </c>
      <c r="V320">
        <v>0</v>
      </c>
      <c r="W320">
        <v>0</v>
      </c>
      <c r="X320" t="s">
        <v>8</v>
      </c>
      <c r="Y320" s="74" t="str">
        <f ca="1">IF(Table15[[#This Row],[Type]]="KILL",IF(_xlfn.NUMBERVALUE(RIGHT(Table15[[#This Row],[Min]],LEN(Table15[[#This Row],[Min]])-FIND("-",Table15[[#This Row],[Min]])))&gt;INDIRECT(ADDRESS(11+MATCH(LEFT(Table15[[#This Row],[Min]],FIND("-",Table15[[#This Row],[Min]])-1),Table1[Content Sku],0),16,1,1,"Entities")),"review","ok"),"ok")</f>
        <v>ok</v>
      </c>
      <c r="AK320" t="s">
        <v>398</v>
      </c>
      <c r="AL320">
        <v>0</v>
      </c>
      <c r="AM320">
        <v>0</v>
      </c>
      <c r="AN320" t="s">
        <v>8</v>
      </c>
      <c r="AO320" s="74" t="str">
        <f ca="1">IF(Table20[[#This Row],[Type]]="KILL",IF(_xlfn.NUMBERVALUE(RIGHT(Table20[[#This Row],[Min]],LEN(Table20[[#This Row],[Min]])-FIND("-",Table20[[#This Row],[Min]])))&gt;INDIRECT(ADDRESS(11+MATCH(LEFT(Table20[[#This Row],[Min]],FIND("-",Table20[[#This Row],[Min]])-1),Table1[Content Sku],0),18,1,1,"Entities")),"review","ok"),"ok")</f>
        <v>ok</v>
      </c>
    </row>
    <row r="321" spans="5:41" x14ac:dyDescent="0.25">
      <c r="E321" t="s">
        <v>90</v>
      </c>
      <c r="F321">
        <v>0</v>
      </c>
      <c r="G321">
        <v>15000</v>
      </c>
      <c r="H321" t="s">
        <v>205</v>
      </c>
      <c r="I321" s="74" t="str">
        <f ca="1">IF(Table7[[#This Row],[Type]]="KILL",IF(_xlfn.NUMBERVALUE(RIGHT(Table7[[#This Row],[Min]],LEN(Table7[[#This Row],[Min]])-FIND("-",Table7[[#This Row],[Min]])))&gt;INDIRECT(ADDRESS(11+MATCH(LEFT(Table7[[#This Row],[Min]],FIND("-",Table7[[#This Row],[Min]])-1),Table1[Content Sku],0),16,1,1,"Entities")),"review","ok"),"ok")</f>
        <v>ok</v>
      </c>
      <c r="U321" t="s">
        <v>313</v>
      </c>
      <c r="V321">
        <v>29000</v>
      </c>
      <c r="W321">
        <v>0</v>
      </c>
      <c r="X321" t="s">
        <v>205</v>
      </c>
      <c r="Y321" s="74" t="str">
        <f ca="1">IF(Table15[[#This Row],[Type]]="KILL",IF(_xlfn.NUMBERVALUE(RIGHT(Table15[[#This Row],[Min]],LEN(Table15[[#This Row],[Min]])-FIND("-",Table15[[#This Row],[Min]])))&gt;INDIRECT(ADDRESS(11+MATCH(LEFT(Table15[[#This Row],[Min]],FIND("-",Table15[[#This Row],[Min]])-1),Table1[Content Sku],0),16,1,1,"Entities")),"review","ok"),"ok")</f>
        <v>ok</v>
      </c>
      <c r="AK321" t="s">
        <v>49</v>
      </c>
      <c r="AL321">
        <v>0</v>
      </c>
      <c r="AM321">
        <v>30000</v>
      </c>
      <c r="AN321" t="s">
        <v>205</v>
      </c>
      <c r="AO321" s="74" t="str">
        <f ca="1">IF(Table20[[#This Row],[Type]]="KILL",IF(_xlfn.NUMBERVALUE(RIGHT(Table20[[#This Row],[Min]],LEN(Table20[[#This Row],[Min]])-FIND("-",Table20[[#This Row],[Min]])))&gt;INDIRECT(ADDRESS(11+MATCH(LEFT(Table20[[#This Row],[Min]],FIND("-",Table20[[#This Row],[Min]])-1),Table1[Content Sku],0),18,1,1,"Entities")),"review","ok"),"ok")</f>
        <v>ok</v>
      </c>
    </row>
    <row r="322" spans="5:41" x14ac:dyDescent="0.25">
      <c r="E322" t="s">
        <v>313</v>
      </c>
      <c r="F322">
        <v>0</v>
      </c>
      <c r="G322">
        <v>0</v>
      </c>
      <c r="H322" t="s">
        <v>8</v>
      </c>
      <c r="I322" s="74" t="str">
        <f ca="1">IF(Table7[[#This Row],[Type]]="KILL",IF(_xlfn.NUMBERVALUE(RIGHT(Table7[[#This Row],[Min]],LEN(Table7[[#This Row],[Min]])-FIND("-",Table7[[#This Row],[Min]])))&gt;INDIRECT(ADDRESS(11+MATCH(LEFT(Table7[[#This Row],[Min]],FIND("-",Table7[[#This Row],[Min]])-1),Table1[Content Sku],0),16,1,1,"Entities")),"review","ok"),"ok")</f>
        <v>ok</v>
      </c>
      <c r="U322" t="s">
        <v>306</v>
      </c>
      <c r="V322">
        <v>0</v>
      </c>
      <c r="W322">
        <v>0</v>
      </c>
      <c r="X322" t="s">
        <v>8</v>
      </c>
      <c r="Y322" s="74" t="str">
        <f ca="1">IF(Table15[[#This Row],[Type]]="KILL",IF(_xlfn.NUMBERVALUE(RIGHT(Table15[[#This Row],[Min]],LEN(Table15[[#This Row],[Min]])-FIND("-",Table15[[#This Row],[Min]])))&gt;INDIRECT(ADDRESS(11+MATCH(LEFT(Table15[[#This Row],[Min]],FIND("-",Table15[[#This Row],[Min]])-1),Table1[Content Sku],0),16,1,1,"Entities")),"review","ok"),"ok")</f>
        <v>ok</v>
      </c>
      <c r="AK322" t="s">
        <v>2670</v>
      </c>
      <c r="AL322">
        <v>0</v>
      </c>
      <c r="AM322">
        <v>0</v>
      </c>
      <c r="AN322" t="s">
        <v>8</v>
      </c>
      <c r="AO322" s="74" t="str">
        <f ca="1">IF(Table20[[#This Row],[Type]]="KILL",IF(_xlfn.NUMBERVALUE(RIGHT(Table20[[#This Row],[Min]],LEN(Table20[[#This Row],[Min]])-FIND("-",Table20[[#This Row],[Min]])))&gt;INDIRECT(ADDRESS(11+MATCH(LEFT(Table20[[#This Row],[Min]],FIND("-",Table20[[#This Row],[Min]])-1),Table1[Content Sku],0),18,1,1,"Entities")),"review","ok"),"ok")</f>
        <v>ok</v>
      </c>
    </row>
    <row r="323" spans="5:41" x14ac:dyDescent="0.25">
      <c r="E323" t="s">
        <v>46</v>
      </c>
      <c r="F323">
        <v>0</v>
      </c>
      <c r="G323">
        <v>0</v>
      </c>
      <c r="H323" t="s">
        <v>8</v>
      </c>
      <c r="I323" s="74" t="str">
        <f ca="1">IF(Table7[[#This Row],[Type]]="KILL",IF(_xlfn.NUMBERVALUE(RIGHT(Table7[[#This Row],[Min]],LEN(Table7[[#This Row],[Min]])-FIND("-",Table7[[#This Row],[Min]])))&gt;INDIRECT(ADDRESS(11+MATCH(LEFT(Table7[[#This Row],[Min]],FIND("-",Table7[[#This Row],[Min]])-1),Table1[Content Sku],0),16,1,1,"Entities")),"review","ok"),"ok")</f>
        <v>ok</v>
      </c>
      <c r="U323" t="s">
        <v>49</v>
      </c>
      <c r="V323">
        <v>0</v>
      </c>
      <c r="W323">
        <v>0</v>
      </c>
      <c r="X323" t="s">
        <v>8</v>
      </c>
      <c r="Y323" s="74" t="str">
        <f ca="1">IF(Table15[[#This Row],[Type]]="KILL",IF(_xlfn.NUMBERVALUE(RIGHT(Table15[[#This Row],[Min]],LEN(Table15[[#This Row],[Min]])-FIND("-",Table15[[#This Row],[Min]])))&gt;INDIRECT(ADDRESS(11+MATCH(LEFT(Table15[[#This Row],[Min]],FIND("-",Table15[[#This Row],[Min]])-1),Table1[Content Sku],0),16,1,1,"Entities")),"review","ok"),"ok")</f>
        <v>ok</v>
      </c>
      <c r="AK323" t="s">
        <v>256</v>
      </c>
      <c r="AL323">
        <v>0</v>
      </c>
      <c r="AM323">
        <v>32000</v>
      </c>
      <c r="AN323" t="s">
        <v>205</v>
      </c>
      <c r="AO323" s="74" t="str">
        <f ca="1">IF(Table20[[#This Row],[Type]]="KILL",IF(_xlfn.NUMBERVALUE(RIGHT(Table20[[#This Row],[Min]],LEN(Table20[[#This Row],[Min]])-FIND("-",Table20[[#This Row],[Min]])))&gt;INDIRECT(ADDRESS(11+MATCH(LEFT(Table20[[#This Row],[Min]],FIND("-",Table20[[#This Row],[Min]])-1),Table1[Content Sku],0),18,1,1,"Entities")),"review","ok"),"ok")</f>
        <v>ok</v>
      </c>
    </row>
    <row r="324" spans="5:41" x14ac:dyDescent="0.25">
      <c r="E324" t="s">
        <v>95</v>
      </c>
      <c r="F324">
        <v>36000</v>
      </c>
      <c r="G324">
        <v>0</v>
      </c>
      <c r="H324" t="s">
        <v>205</v>
      </c>
      <c r="I324" s="74" t="str">
        <f ca="1">IF(Table7[[#This Row],[Type]]="KILL",IF(_xlfn.NUMBERVALUE(RIGHT(Table7[[#This Row],[Min]],LEN(Table7[[#This Row],[Min]])-FIND("-",Table7[[#This Row],[Min]])))&gt;INDIRECT(ADDRESS(11+MATCH(LEFT(Table7[[#This Row],[Min]],FIND("-",Table7[[#This Row],[Min]])-1),Table1[Content Sku],0),16,1,1,"Entities")),"review","ok"),"ok")</f>
        <v>ok</v>
      </c>
      <c r="U324" t="s">
        <v>54</v>
      </c>
      <c r="V324">
        <v>0</v>
      </c>
      <c r="W324">
        <v>0</v>
      </c>
      <c r="X324" t="s">
        <v>8</v>
      </c>
      <c r="Y324" s="74" t="str">
        <f ca="1">IF(Table15[[#This Row],[Type]]="KILL",IF(_xlfn.NUMBERVALUE(RIGHT(Table15[[#This Row],[Min]],LEN(Table15[[#This Row],[Min]])-FIND("-",Table15[[#This Row],[Min]])))&gt;INDIRECT(ADDRESS(11+MATCH(LEFT(Table15[[#This Row],[Min]],FIND("-",Table15[[#This Row],[Min]])-1),Table1[Content Sku],0),16,1,1,"Entities")),"review","ok"),"ok")</f>
        <v>ok</v>
      </c>
      <c r="AK324" t="s">
        <v>2664</v>
      </c>
      <c r="AL324">
        <v>0</v>
      </c>
      <c r="AM324">
        <v>0</v>
      </c>
      <c r="AN324" t="s">
        <v>8</v>
      </c>
      <c r="AO324" s="74" t="str">
        <f ca="1">IF(Table20[[#This Row],[Type]]="KILL",IF(_xlfn.NUMBERVALUE(RIGHT(Table20[[#This Row],[Min]],LEN(Table20[[#This Row],[Min]])-FIND("-",Table20[[#This Row],[Min]])))&gt;INDIRECT(ADDRESS(11+MATCH(LEFT(Table20[[#This Row],[Min]],FIND("-",Table20[[#This Row],[Min]])-1),Table1[Content Sku],0),18,1,1,"Entities")),"review","ok"),"ok")</f>
        <v>ok</v>
      </c>
    </row>
    <row r="325" spans="5:41" x14ac:dyDescent="0.25">
      <c r="E325" t="s">
        <v>548</v>
      </c>
      <c r="F325">
        <v>0</v>
      </c>
      <c r="G325">
        <v>0</v>
      </c>
      <c r="H325" t="s">
        <v>8</v>
      </c>
      <c r="I325" s="74" t="str">
        <f ca="1">IF(Table7[[#This Row],[Type]]="KILL",IF(_xlfn.NUMBERVALUE(RIGHT(Table7[[#This Row],[Min]],LEN(Table7[[#This Row],[Min]])-FIND("-",Table7[[#This Row],[Min]])))&gt;INDIRECT(ADDRESS(11+MATCH(LEFT(Table7[[#This Row],[Min]],FIND("-",Table7[[#This Row],[Min]])-1),Table1[Content Sku],0),16,1,1,"Entities")),"review","ok"),"ok")</f>
        <v>ok</v>
      </c>
      <c r="U325" t="s">
        <v>460</v>
      </c>
      <c r="V325">
        <v>0</v>
      </c>
      <c r="W325">
        <v>0</v>
      </c>
      <c r="X325" t="s">
        <v>8</v>
      </c>
      <c r="Y325" s="74" t="str">
        <f ca="1">IF(Table15[[#This Row],[Type]]="KILL",IF(_xlfn.NUMBERVALUE(RIGHT(Table15[[#This Row],[Min]],LEN(Table15[[#This Row],[Min]])-FIND("-",Table15[[#This Row],[Min]])))&gt;INDIRECT(ADDRESS(11+MATCH(LEFT(Table15[[#This Row],[Min]],FIND("-",Table15[[#This Row],[Min]])-1),Table1[Content Sku],0),16,1,1,"Entities")),"review","ok"),"ok")</f>
        <v>ok</v>
      </c>
      <c r="AK325" t="s">
        <v>400</v>
      </c>
      <c r="AL325">
        <v>0</v>
      </c>
      <c r="AM325">
        <v>0</v>
      </c>
      <c r="AN325" t="s">
        <v>8</v>
      </c>
      <c r="AO325" s="74" t="str">
        <f ca="1">IF(Table20[[#This Row],[Type]]="KILL",IF(_xlfn.NUMBERVALUE(RIGHT(Table20[[#This Row],[Min]],LEN(Table20[[#This Row],[Min]])-FIND("-",Table20[[#This Row],[Min]])))&gt;INDIRECT(ADDRESS(11+MATCH(LEFT(Table20[[#This Row],[Min]],FIND("-",Table20[[#This Row],[Min]])-1),Table1[Content Sku],0),18,1,1,"Entities")),"review","ok"),"ok")</f>
        <v>ok</v>
      </c>
    </row>
    <row r="326" spans="5:41" x14ac:dyDescent="0.25">
      <c r="E326" t="s">
        <v>346</v>
      </c>
      <c r="F326">
        <v>20200</v>
      </c>
      <c r="G326">
        <v>0</v>
      </c>
      <c r="H326" t="s">
        <v>205</v>
      </c>
      <c r="I326" s="74" t="str">
        <f ca="1">IF(Table7[[#This Row],[Type]]="KILL",IF(_xlfn.NUMBERVALUE(RIGHT(Table7[[#This Row],[Min]],LEN(Table7[[#This Row],[Min]])-FIND("-",Table7[[#This Row],[Min]])))&gt;INDIRECT(ADDRESS(11+MATCH(LEFT(Table7[[#This Row],[Min]],FIND("-",Table7[[#This Row],[Min]])-1),Table1[Content Sku],0),16,1,1,"Entities")),"review","ok"),"ok")</f>
        <v>ok</v>
      </c>
      <c r="U326" t="s">
        <v>400</v>
      </c>
      <c r="V326">
        <v>0</v>
      </c>
      <c r="W326">
        <v>0</v>
      </c>
      <c r="X326" t="s">
        <v>8</v>
      </c>
      <c r="Y326" s="74" t="str">
        <f ca="1">IF(Table15[[#This Row],[Type]]="KILL",IF(_xlfn.NUMBERVALUE(RIGHT(Table15[[#This Row],[Min]],LEN(Table15[[#This Row],[Min]])-FIND("-",Table15[[#This Row],[Min]])))&gt;INDIRECT(ADDRESS(11+MATCH(LEFT(Table15[[#This Row],[Min]],FIND("-",Table15[[#This Row],[Min]])-1),Table1[Content Sku],0),16,1,1,"Entities")),"review","ok"),"ok")</f>
        <v>ok</v>
      </c>
      <c r="AK326" t="s">
        <v>2667</v>
      </c>
      <c r="AL326">
        <v>0</v>
      </c>
      <c r="AM326">
        <v>0</v>
      </c>
      <c r="AN326" t="s">
        <v>8</v>
      </c>
      <c r="AO326" s="74" t="str">
        <f ca="1">IF(Table20[[#This Row],[Type]]="KILL",IF(_xlfn.NUMBERVALUE(RIGHT(Table20[[#This Row],[Min]],LEN(Table20[[#This Row],[Min]])-FIND("-",Table20[[#This Row],[Min]])))&gt;INDIRECT(ADDRESS(11+MATCH(LEFT(Table20[[#This Row],[Min]],FIND("-",Table20[[#This Row],[Min]])-1),Table1[Content Sku],0),18,1,1,"Entities")),"review","ok"),"ok")</f>
        <v>ok</v>
      </c>
    </row>
    <row r="327" spans="5:41" x14ac:dyDescent="0.25">
      <c r="E327" t="s">
        <v>254</v>
      </c>
      <c r="F327">
        <v>0</v>
      </c>
      <c r="G327">
        <v>0</v>
      </c>
      <c r="H327" t="s">
        <v>8</v>
      </c>
      <c r="I327" s="74" t="str">
        <f ca="1">IF(Table7[[#This Row],[Type]]="KILL",IF(_xlfn.NUMBERVALUE(RIGHT(Table7[[#This Row],[Min]],LEN(Table7[[#This Row],[Min]])-FIND("-",Table7[[#This Row],[Min]])))&gt;INDIRECT(ADDRESS(11+MATCH(LEFT(Table7[[#This Row],[Min]],FIND("-",Table7[[#This Row],[Min]])-1),Table1[Content Sku],0),16,1,1,"Entities")),"review","ok"),"ok")</f>
        <v>ok</v>
      </c>
      <c r="U327" t="s">
        <v>283</v>
      </c>
      <c r="V327">
        <v>0</v>
      </c>
      <c r="W327">
        <v>0</v>
      </c>
      <c r="X327" t="s">
        <v>8</v>
      </c>
      <c r="Y327" s="74" t="str">
        <f ca="1">IF(Table15[[#This Row],[Type]]="KILL",IF(_xlfn.NUMBERVALUE(RIGHT(Table15[[#This Row],[Min]],LEN(Table15[[#This Row],[Min]])-FIND("-",Table15[[#This Row],[Min]])))&gt;INDIRECT(ADDRESS(11+MATCH(LEFT(Table15[[#This Row],[Min]],FIND("-",Table15[[#This Row],[Min]])-1),Table1[Content Sku],0),16,1,1,"Entities")),"review","ok"),"ok")</f>
        <v>ok</v>
      </c>
      <c r="AK327" t="s">
        <v>39</v>
      </c>
      <c r="AL327">
        <v>0</v>
      </c>
      <c r="AM327">
        <v>0</v>
      </c>
      <c r="AN327" t="s">
        <v>8</v>
      </c>
      <c r="AO327" s="74" t="str">
        <f ca="1">IF(Table20[[#This Row],[Type]]="KILL",IF(_xlfn.NUMBERVALUE(RIGHT(Table20[[#This Row],[Min]],LEN(Table20[[#This Row],[Min]])-FIND("-",Table20[[#This Row],[Min]])))&gt;INDIRECT(ADDRESS(11+MATCH(LEFT(Table20[[#This Row],[Min]],FIND("-",Table20[[#This Row],[Min]])-1),Table1[Content Sku],0),18,1,1,"Entities")),"review","ok"),"ok")</f>
        <v>ok</v>
      </c>
    </row>
    <row r="328" spans="5:41" x14ac:dyDescent="0.25">
      <c r="E328" t="s">
        <v>418</v>
      </c>
      <c r="F328">
        <v>0</v>
      </c>
      <c r="G328">
        <v>0</v>
      </c>
      <c r="H328" t="s">
        <v>8</v>
      </c>
      <c r="I328" s="74" t="str">
        <f ca="1">IF(Table7[[#This Row],[Type]]="KILL",IF(_xlfn.NUMBERVALUE(RIGHT(Table7[[#This Row],[Min]],LEN(Table7[[#This Row],[Min]])-FIND("-",Table7[[#This Row],[Min]])))&gt;INDIRECT(ADDRESS(11+MATCH(LEFT(Table7[[#This Row],[Min]],FIND("-",Table7[[#This Row],[Min]])-1),Table1[Content Sku],0),16,1,1,"Entities")),"review","ok"),"ok")</f>
        <v>ok</v>
      </c>
      <c r="U328" t="s">
        <v>460</v>
      </c>
      <c r="V328">
        <v>0</v>
      </c>
      <c r="W328">
        <v>0</v>
      </c>
      <c r="X328" t="s">
        <v>8</v>
      </c>
      <c r="Y328" s="74" t="str">
        <f ca="1">IF(Table15[[#This Row],[Type]]="KILL",IF(_xlfn.NUMBERVALUE(RIGHT(Table15[[#This Row],[Min]],LEN(Table15[[#This Row],[Min]])-FIND("-",Table15[[#This Row],[Min]])))&gt;INDIRECT(ADDRESS(11+MATCH(LEFT(Table15[[#This Row],[Min]],FIND("-",Table15[[#This Row],[Min]])-1),Table1[Content Sku],0),16,1,1,"Entities")),"review","ok"),"ok")</f>
        <v>ok</v>
      </c>
      <c r="AK328" t="s">
        <v>37</v>
      </c>
      <c r="AL328">
        <v>0</v>
      </c>
      <c r="AM328">
        <v>0</v>
      </c>
      <c r="AN328" t="s">
        <v>8</v>
      </c>
      <c r="AO328" s="74" t="str">
        <f ca="1">IF(Table20[[#This Row],[Type]]="KILL",IF(_xlfn.NUMBERVALUE(RIGHT(Table20[[#This Row],[Min]],LEN(Table20[[#This Row],[Min]])-FIND("-",Table20[[#This Row],[Min]])))&gt;INDIRECT(ADDRESS(11+MATCH(LEFT(Table20[[#This Row],[Min]],FIND("-",Table20[[#This Row],[Min]])-1),Table1[Content Sku],0),18,1,1,"Entities")),"review","ok"),"ok")</f>
        <v>ok</v>
      </c>
    </row>
    <row r="329" spans="5:41" x14ac:dyDescent="0.25">
      <c r="E329" t="s">
        <v>254</v>
      </c>
      <c r="F329">
        <v>0</v>
      </c>
      <c r="G329">
        <v>0</v>
      </c>
      <c r="H329" t="s">
        <v>8</v>
      </c>
      <c r="I329" s="74" t="str">
        <f ca="1">IF(Table7[[#This Row],[Type]]="KILL",IF(_xlfn.NUMBERVALUE(RIGHT(Table7[[#This Row],[Min]],LEN(Table7[[#This Row],[Min]])-FIND("-",Table7[[#This Row],[Min]])))&gt;INDIRECT(ADDRESS(11+MATCH(LEFT(Table7[[#This Row],[Min]],FIND("-",Table7[[#This Row],[Min]])-1),Table1[Content Sku],0),16,1,1,"Entities")),"review","ok"),"ok")</f>
        <v>ok</v>
      </c>
      <c r="U329" t="s">
        <v>95</v>
      </c>
      <c r="V329">
        <v>0</v>
      </c>
      <c r="W329">
        <v>0</v>
      </c>
      <c r="X329" t="s">
        <v>8</v>
      </c>
      <c r="Y329" s="74" t="str">
        <f ca="1">IF(Table15[[#This Row],[Type]]="KILL",IF(_xlfn.NUMBERVALUE(RIGHT(Table15[[#This Row],[Min]],LEN(Table15[[#This Row],[Min]])-FIND("-",Table15[[#This Row],[Min]])))&gt;INDIRECT(ADDRESS(11+MATCH(LEFT(Table15[[#This Row],[Min]],FIND("-",Table15[[#This Row],[Min]])-1),Table1[Content Sku],0),16,1,1,"Entities")),"review","ok"),"ok")</f>
        <v>ok</v>
      </c>
      <c r="AK329" t="s">
        <v>122</v>
      </c>
      <c r="AL329">
        <v>0</v>
      </c>
      <c r="AM329">
        <v>0</v>
      </c>
      <c r="AN329" t="s">
        <v>8</v>
      </c>
      <c r="AO329" s="74" t="str">
        <f ca="1">IF(Table20[[#This Row],[Type]]="KILL",IF(_xlfn.NUMBERVALUE(RIGHT(Table20[[#This Row],[Min]],LEN(Table20[[#This Row],[Min]])-FIND("-",Table20[[#This Row],[Min]])))&gt;INDIRECT(ADDRESS(11+MATCH(LEFT(Table20[[#This Row],[Min]],FIND("-",Table20[[#This Row],[Min]])-1),Table1[Content Sku],0),18,1,1,"Entities")),"review","ok"),"ok")</f>
        <v>ok</v>
      </c>
    </row>
    <row r="330" spans="5:41" x14ac:dyDescent="0.25">
      <c r="E330" t="s">
        <v>37</v>
      </c>
      <c r="F330">
        <v>0</v>
      </c>
      <c r="G330">
        <v>0</v>
      </c>
      <c r="H330" t="s">
        <v>8</v>
      </c>
      <c r="I330" s="74" t="str">
        <f ca="1">IF(Table7[[#This Row],[Type]]="KILL",IF(_xlfn.NUMBERVALUE(RIGHT(Table7[[#This Row],[Min]],LEN(Table7[[#This Row],[Min]])-FIND("-",Table7[[#This Row],[Min]])))&gt;INDIRECT(ADDRESS(11+MATCH(LEFT(Table7[[#This Row],[Min]],FIND("-",Table7[[#This Row],[Min]])-1),Table1[Content Sku],0),16,1,1,"Entities")),"review","ok"),"ok")</f>
        <v>ok</v>
      </c>
      <c r="U330" t="s">
        <v>49</v>
      </c>
      <c r="V330">
        <v>45000</v>
      </c>
      <c r="W330">
        <v>0</v>
      </c>
      <c r="X330" t="s">
        <v>205</v>
      </c>
      <c r="Y330" s="74" t="str">
        <f ca="1">IF(Table15[[#This Row],[Type]]="KILL",IF(_xlfn.NUMBERVALUE(RIGHT(Table15[[#This Row],[Min]],LEN(Table15[[#This Row],[Min]])-FIND("-",Table15[[#This Row],[Min]])))&gt;INDIRECT(ADDRESS(11+MATCH(LEFT(Table15[[#This Row],[Min]],FIND("-",Table15[[#This Row],[Min]])-1),Table1[Content Sku],0),16,1,1,"Entities")),"review","ok"),"ok")</f>
        <v>ok</v>
      </c>
      <c r="AK330" t="s">
        <v>2741</v>
      </c>
      <c r="AL330">
        <v>0</v>
      </c>
      <c r="AM330">
        <v>0</v>
      </c>
      <c r="AN330" t="s">
        <v>8</v>
      </c>
      <c r="AO330" s="74" t="str">
        <f ca="1">IF(Table20[[#This Row],[Type]]="KILL",IF(_xlfn.NUMBERVALUE(RIGHT(Table20[[#This Row],[Min]],LEN(Table20[[#This Row],[Min]])-FIND("-",Table20[[#This Row],[Min]])))&gt;INDIRECT(ADDRESS(11+MATCH(LEFT(Table20[[#This Row],[Min]],FIND("-",Table20[[#This Row],[Min]])-1),Table1[Content Sku],0),18,1,1,"Entities")),"review","ok"),"ok")</f>
        <v>ok</v>
      </c>
    </row>
    <row r="331" spans="5:41" x14ac:dyDescent="0.25">
      <c r="E331" t="s">
        <v>393</v>
      </c>
      <c r="F331">
        <v>0</v>
      </c>
      <c r="G331">
        <v>0</v>
      </c>
      <c r="H331" t="s">
        <v>8</v>
      </c>
      <c r="I331" s="74" t="str">
        <f ca="1">IF(Table7[[#This Row],[Type]]="KILL",IF(_xlfn.NUMBERVALUE(RIGHT(Table7[[#This Row],[Min]],LEN(Table7[[#This Row],[Min]])-FIND("-",Table7[[#This Row],[Min]])))&gt;INDIRECT(ADDRESS(11+MATCH(LEFT(Table7[[#This Row],[Min]],FIND("-",Table7[[#This Row],[Min]])-1),Table1[Content Sku],0),16,1,1,"Entities")),"review","ok"),"ok")</f>
        <v>ok</v>
      </c>
      <c r="U331" t="s">
        <v>460</v>
      </c>
      <c r="V331">
        <v>0</v>
      </c>
      <c r="W331">
        <v>0</v>
      </c>
      <c r="X331" t="s">
        <v>8</v>
      </c>
      <c r="Y331" s="74" t="str">
        <f ca="1">IF(Table15[[#This Row],[Type]]="KILL",IF(_xlfn.NUMBERVALUE(RIGHT(Table15[[#This Row],[Min]],LEN(Table15[[#This Row],[Min]])-FIND("-",Table15[[#This Row],[Min]])))&gt;INDIRECT(ADDRESS(11+MATCH(LEFT(Table15[[#This Row],[Min]],FIND("-",Table15[[#This Row],[Min]])-1),Table1[Content Sku],0),16,1,1,"Entities")),"review","ok"),"ok")</f>
        <v>ok</v>
      </c>
      <c r="AK331" t="s">
        <v>418</v>
      </c>
      <c r="AL331">
        <v>0</v>
      </c>
      <c r="AM331">
        <v>0</v>
      </c>
      <c r="AN331" t="s">
        <v>8</v>
      </c>
      <c r="AO331" s="74" t="str">
        <f ca="1">IF(Table20[[#This Row],[Type]]="KILL",IF(_xlfn.NUMBERVALUE(RIGHT(Table20[[#This Row],[Min]],LEN(Table20[[#This Row],[Min]])-FIND("-",Table20[[#This Row],[Min]])))&gt;INDIRECT(ADDRESS(11+MATCH(LEFT(Table20[[#This Row],[Min]],FIND("-",Table20[[#This Row],[Min]])-1),Table1[Content Sku],0),18,1,1,"Entities")),"review","ok"),"ok")</f>
        <v>ok</v>
      </c>
    </row>
    <row r="332" spans="5:41" x14ac:dyDescent="0.25">
      <c r="E332" t="s">
        <v>21</v>
      </c>
      <c r="F332">
        <v>24000</v>
      </c>
      <c r="G332">
        <v>0</v>
      </c>
      <c r="H332" t="s">
        <v>205</v>
      </c>
      <c r="I332" s="74" t="str">
        <f ca="1">IF(Table7[[#This Row],[Type]]="KILL",IF(_xlfn.NUMBERVALUE(RIGHT(Table7[[#This Row],[Min]],LEN(Table7[[#This Row],[Min]])-FIND("-",Table7[[#This Row],[Min]])))&gt;INDIRECT(ADDRESS(11+MATCH(LEFT(Table7[[#This Row],[Min]],FIND("-",Table7[[#This Row],[Min]])-1),Table1[Content Sku],0),16,1,1,"Entities")),"review","ok"),"ok")</f>
        <v>ok</v>
      </c>
      <c r="U332" t="s">
        <v>391</v>
      </c>
      <c r="V332">
        <v>0</v>
      </c>
      <c r="W332">
        <v>0</v>
      </c>
      <c r="X332" t="s">
        <v>8</v>
      </c>
      <c r="Y332" s="74" t="str">
        <f ca="1">IF(Table15[[#This Row],[Type]]="KILL",IF(_xlfn.NUMBERVALUE(RIGHT(Table15[[#This Row],[Min]],LEN(Table15[[#This Row],[Min]])-FIND("-",Table15[[#This Row],[Min]])))&gt;INDIRECT(ADDRESS(11+MATCH(LEFT(Table15[[#This Row],[Min]],FIND("-",Table15[[#This Row],[Min]])-1),Table1[Content Sku],0),16,1,1,"Entities")),"review","ok"),"ok")</f>
        <v>ok</v>
      </c>
      <c r="AK332" t="s">
        <v>40</v>
      </c>
      <c r="AL332">
        <v>0</v>
      </c>
      <c r="AM332">
        <v>35000</v>
      </c>
      <c r="AN332" t="s">
        <v>205</v>
      </c>
      <c r="AO332" s="74" t="str">
        <f ca="1">IF(Table20[[#This Row],[Type]]="KILL",IF(_xlfn.NUMBERVALUE(RIGHT(Table20[[#This Row],[Min]],LEN(Table20[[#This Row],[Min]])-FIND("-",Table20[[#This Row],[Min]])))&gt;INDIRECT(ADDRESS(11+MATCH(LEFT(Table20[[#This Row],[Min]],FIND("-",Table20[[#This Row],[Min]])-1),Table1[Content Sku],0),18,1,1,"Entities")),"review","ok"),"ok")</f>
        <v>ok</v>
      </c>
    </row>
    <row r="333" spans="5:41" x14ac:dyDescent="0.25">
      <c r="E333" t="s">
        <v>254</v>
      </c>
      <c r="F333">
        <v>0</v>
      </c>
      <c r="G333">
        <v>22000</v>
      </c>
      <c r="H333" t="s">
        <v>205</v>
      </c>
      <c r="I333" s="74" t="str">
        <f ca="1">IF(Table7[[#This Row],[Type]]="KILL",IF(_xlfn.NUMBERVALUE(RIGHT(Table7[[#This Row],[Min]],LEN(Table7[[#This Row],[Min]])-FIND("-",Table7[[#This Row],[Min]])))&gt;INDIRECT(ADDRESS(11+MATCH(LEFT(Table7[[#This Row],[Min]],FIND("-",Table7[[#This Row],[Min]])-1),Table1[Content Sku],0),16,1,1,"Entities")),"review","ok"),"ok")</f>
        <v>ok</v>
      </c>
      <c r="U333" t="s">
        <v>258</v>
      </c>
      <c r="V333">
        <v>38500</v>
      </c>
      <c r="W333">
        <v>0</v>
      </c>
      <c r="X333" t="s">
        <v>205</v>
      </c>
      <c r="Y333" s="74" t="str">
        <f ca="1">IF(Table15[[#This Row],[Type]]="KILL",IF(_xlfn.NUMBERVALUE(RIGHT(Table15[[#This Row],[Min]],LEN(Table15[[#This Row],[Min]])-FIND("-",Table15[[#This Row],[Min]])))&gt;INDIRECT(ADDRESS(11+MATCH(LEFT(Table15[[#This Row],[Min]],FIND("-",Table15[[#This Row],[Min]])-1),Table1[Content Sku],0),16,1,1,"Entities")),"review","ok"),"ok")</f>
        <v>ok</v>
      </c>
      <c r="AK333" t="s">
        <v>576</v>
      </c>
      <c r="AL333">
        <v>0</v>
      </c>
      <c r="AM333">
        <v>0</v>
      </c>
      <c r="AN333" t="s">
        <v>8</v>
      </c>
      <c r="AO333" s="74" t="str">
        <f ca="1">IF(Table20[[#This Row],[Type]]="KILL",IF(_xlfn.NUMBERVALUE(RIGHT(Table20[[#This Row],[Min]],LEN(Table20[[#This Row],[Min]])-FIND("-",Table20[[#This Row],[Min]])))&gt;INDIRECT(ADDRESS(11+MATCH(LEFT(Table20[[#This Row],[Min]],FIND("-",Table20[[#This Row],[Min]])-1),Table1[Content Sku],0),18,1,1,"Entities")),"review","ok"),"ok")</f>
        <v>ok</v>
      </c>
    </row>
    <row r="334" spans="5:41" x14ac:dyDescent="0.25">
      <c r="E334" t="s">
        <v>313</v>
      </c>
      <c r="F334">
        <v>0</v>
      </c>
      <c r="G334">
        <v>25000</v>
      </c>
      <c r="H334" t="s">
        <v>205</v>
      </c>
      <c r="I334" s="74" t="str">
        <f ca="1">IF(Table7[[#This Row],[Type]]="KILL",IF(_xlfn.NUMBERVALUE(RIGHT(Table7[[#This Row],[Min]],LEN(Table7[[#This Row],[Min]])-FIND("-",Table7[[#This Row],[Min]])))&gt;INDIRECT(ADDRESS(11+MATCH(LEFT(Table7[[#This Row],[Min]],FIND("-",Table7[[#This Row],[Min]])-1),Table1[Content Sku],0),16,1,1,"Entities")),"review","ok"),"ok")</f>
        <v>ok</v>
      </c>
      <c r="U334" t="s">
        <v>392</v>
      </c>
      <c r="V334">
        <v>0</v>
      </c>
      <c r="W334">
        <v>0</v>
      </c>
      <c r="X334" t="s">
        <v>8</v>
      </c>
      <c r="Y334" s="74" t="str">
        <f ca="1">IF(Table15[[#This Row],[Type]]="KILL",IF(_xlfn.NUMBERVALUE(RIGHT(Table15[[#This Row],[Min]],LEN(Table15[[#This Row],[Min]])-FIND("-",Table15[[#This Row],[Min]])))&gt;INDIRECT(ADDRESS(11+MATCH(LEFT(Table15[[#This Row],[Min]],FIND("-",Table15[[#This Row],[Min]])-1),Table1[Content Sku],0),16,1,1,"Entities")),"review","ok"),"ok")</f>
        <v>ok</v>
      </c>
      <c r="AK334" t="s">
        <v>2667</v>
      </c>
      <c r="AL334">
        <v>0</v>
      </c>
      <c r="AM334">
        <v>0</v>
      </c>
      <c r="AN334" t="s">
        <v>8</v>
      </c>
      <c r="AO334" s="74" t="str">
        <f ca="1">IF(Table20[[#This Row],[Type]]="KILL",IF(_xlfn.NUMBERVALUE(RIGHT(Table20[[#This Row],[Min]],LEN(Table20[[#This Row],[Min]])-FIND("-",Table20[[#This Row],[Min]])))&gt;INDIRECT(ADDRESS(11+MATCH(LEFT(Table20[[#This Row],[Min]],FIND("-",Table20[[#This Row],[Min]])-1),Table1[Content Sku],0),18,1,1,"Entities")),"review","ok"),"ok")</f>
        <v>ok</v>
      </c>
    </row>
    <row r="335" spans="5:41" x14ac:dyDescent="0.25">
      <c r="E335" t="s">
        <v>42</v>
      </c>
      <c r="F335">
        <v>25000</v>
      </c>
      <c r="G335">
        <v>0</v>
      </c>
      <c r="H335" t="s">
        <v>205</v>
      </c>
      <c r="I335" s="74" t="str">
        <f ca="1">IF(Table7[[#This Row],[Type]]="KILL",IF(_xlfn.NUMBERVALUE(RIGHT(Table7[[#This Row],[Min]],LEN(Table7[[#This Row],[Min]])-FIND("-",Table7[[#This Row],[Min]])))&gt;INDIRECT(ADDRESS(11+MATCH(LEFT(Table7[[#This Row],[Min]],FIND("-",Table7[[#This Row],[Min]])-1),Table1[Content Sku],0),16,1,1,"Entities")),"review","ok"),"ok")</f>
        <v>ok</v>
      </c>
      <c r="U335" t="s">
        <v>254</v>
      </c>
      <c r="V335">
        <v>0</v>
      </c>
      <c r="W335">
        <v>0</v>
      </c>
      <c r="X335" t="s">
        <v>8</v>
      </c>
      <c r="Y335" s="74" t="str">
        <f ca="1">IF(Table15[[#This Row],[Type]]="KILL",IF(_xlfn.NUMBERVALUE(RIGHT(Table15[[#This Row],[Min]],LEN(Table15[[#This Row],[Min]])-FIND("-",Table15[[#This Row],[Min]])))&gt;INDIRECT(ADDRESS(11+MATCH(LEFT(Table15[[#This Row],[Min]],FIND("-",Table15[[#This Row],[Min]])-1),Table1[Content Sku],0),16,1,1,"Entities")),"review","ok"),"ok")</f>
        <v>ok</v>
      </c>
      <c r="AK335" t="s">
        <v>4430</v>
      </c>
      <c r="AL335">
        <v>0</v>
      </c>
      <c r="AM335">
        <v>0</v>
      </c>
      <c r="AN335" t="s">
        <v>8</v>
      </c>
      <c r="AO335" s="74" t="str">
        <f ca="1">IF(Table20[[#This Row],[Type]]="KILL",IF(_xlfn.NUMBERVALUE(RIGHT(Table20[[#This Row],[Min]],LEN(Table20[[#This Row],[Min]])-FIND("-",Table20[[#This Row],[Min]])))&gt;INDIRECT(ADDRESS(11+MATCH(LEFT(Table20[[#This Row],[Min]],FIND("-",Table20[[#This Row],[Min]])-1),Table1[Content Sku],0),18,1,1,"Entities")),"review","ok"),"ok")</f>
        <v>ok</v>
      </c>
    </row>
    <row r="336" spans="5:41" x14ac:dyDescent="0.25">
      <c r="E336" t="s">
        <v>48</v>
      </c>
      <c r="F336">
        <v>5000</v>
      </c>
      <c r="G336">
        <v>0</v>
      </c>
      <c r="H336" t="s">
        <v>205</v>
      </c>
      <c r="I336" s="74" t="str">
        <f ca="1">IF(Table7[[#This Row],[Type]]="KILL",IF(_xlfn.NUMBERVALUE(RIGHT(Table7[[#This Row],[Min]],LEN(Table7[[#This Row],[Min]])-FIND("-",Table7[[#This Row],[Min]])))&gt;INDIRECT(ADDRESS(11+MATCH(LEFT(Table7[[#This Row],[Min]],FIND("-",Table7[[#This Row],[Min]])-1),Table1[Content Sku],0),16,1,1,"Entities")),"review","ok"),"ok")</f>
        <v>ok</v>
      </c>
      <c r="U336" t="s">
        <v>300</v>
      </c>
      <c r="V336">
        <v>0</v>
      </c>
      <c r="W336">
        <v>0</v>
      </c>
      <c r="X336" t="s">
        <v>8</v>
      </c>
      <c r="Y336" s="74" t="str">
        <f ca="1">IF(Table15[[#This Row],[Type]]="KILL",IF(_xlfn.NUMBERVALUE(RIGHT(Table15[[#This Row],[Min]],LEN(Table15[[#This Row],[Min]])-FIND("-",Table15[[#This Row],[Min]])))&gt;INDIRECT(ADDRESS(11+MATCH(LEFT(Table15[[#This Row],[Min]],FIND("-",Table15[[#This Row],[Min]])-1),Table1[Content Sku],0),16,1,1,"Entities")),"review","ok"),"ok")</f>
        <v>ok</v>
      </c>
      <c r="AK336" t="s">
        <v>2667</v>
      </c>
      <c r="AL336">
        <v>0</v>
      </c>
      <c r="AM336">
        <v>0</v>
      </c>
      <c r="AN336" t="s">
        <v>8</v>
      </c>
      <c r="AO336" s="74" t="str">
        <f ca="1">IF(Table20[[#This Row],[Type]]="KILL",IF(_xlfn.NUMBERVALUE(RIGHT(Table20[[#This Row],[Min]],LEN(Table20[[#This Row],[Min]])-FIND("-",Table20[[#This Row],[Min]])))&gt;INDIRECT(ADDRESS(11+MATCH(LEFT(Table20[[#This Row],[Min]],FIND("-",Table20[[#This Row],[Min]])-1),Table1[Content Sku],0),18,1,1,"Entities")),"review","ok"),"ok")</f>
        <v>ok</v>
      </c>
    </row>
    <row r="337" spans="5:41" x14ac:dyDescent="0.25">
      <c r="E337" t="s">
        <v>254</v>
      </c>
      <c r="F337">
        <v>0</v>
      </c>
      <c r="G337">
        <v>0</v>
      </c>
      <c r="H337" t="s">
        <v>8</v>
      </c>
      <c r="I337" s="74" t="str">
        <f ca="1">IF(Table7[[#This Row],[Type]]="KILL",IF(_xlfn.NUMBERVALUE(RIGHT(Table7[[#This Row],[Min]],LEN(Table7[[#This Row],[Min]])-FIND("-",Table7[[#This Row],[Min]])))&gt;INDIRECT(ADDRESS(11+MATCH(LEFT(Table7[[#This Row],[Min]],FIND("-",Table7[[#This Row],[Min]])-1),Table1[Content Sku],0),16,1,1,"Entities")),"review","ok"),"ok")</f>
        <v>ok</v>
      </c>
      <c r="U337" t="s">
        <v>8133</v>
      </c>
      <c r="V337">
        <v>0</v>
      </c>
      <c r="W337">
        <v>0</v>
      </c>
      <c r="X337" t="s">
        <v>8</v>
      </c>
      <c r="Y337" s="74" t="str">
        <f ca="1">IF(Table15[[#This Row],[Type]]="KILL",IF(_xlfn.NUMBERVALUE(RIGHT(Table15[[#This Row],[Min]],LEN(Table15[[#This Row],[Min]])-FIND("-",Table15[[#This Row],[Min]])))&gt;INDIRECT(ADDRESS(11+MATCH(LEFT(Table15[[#This Row],[Min]],FIND("-",Table15[[#This Row],[Min]])-1),Table1[Content Sku],0),16,1,1,"Entities")),"review","ok"),"ok")</f>
        <v>ok</v>
      </c>
      <c r="AK337" t="s">
        <v>46</v>
      </c>
      <c r="AL337">
        <v>0</v>
      </c>
      <c r="AM337">
        <v>0</v>
      </c>
      <c r="AN337" t="s">
        <v>8</v>
      </c>
      <c r="AO337" s="74" t="str">
        <f ca="1">IF(Table20[[#This Row],[Type]]="KILL",IF(_xlfn.NUMBERVALUE(RIGHT(Table20[[#This Row],[Min]],LEN(Table20[[#This Row],[Min]])-FIND("-",Table20[[#This Row],[Min]])))&gt;INDIRECT(ADDRESS(11+MATCH(LEFT(Table20[[#This Row],[Min]],FIND("-",Table20[[#This Row],[Min]])-1),Table1[Content Sku],0),18,1,1,"Entities")),"review","ok"),"ok")</f>
        <v>ok</v>
      </c>
    </row>
    <row r="338" spans="5:41" x14ac:dyDescent="0.25">
      <c r="E338" t="s">
        <v>39</v>
      </c>
      <c r="F338">
        <v>0</v>
      </c>
      <c r="G338">
        <v>0</v>
      </c>
      <c r="H338" t="s">
        <v>8</v>
      </c>
      <c r="I338" s="74" t="str">
        <f ca="1">IF(Table7[[#This Row],[Type]]="KILL",IF(_xlfn.NUMBERVALUE(RIGHT(Table7[[#This Row],[Min]],LEN(Table7[[#This Row],[Min]])-FIND("-",Table7[[#This Row],[Min]])))&gt;INDIRECT(ADDRESS(11+MATCH(LEFT(Table7[[#This Row],[Min]],FIND("-",Table7[[#This Row],[Min]])-1),Table1[Content Sku],0),16,1,1,"Entities")),"review","ok"),"ok")</f>
        <v>ok</v>
      </c>
      <c r="U338" t="s">
        <v>122</v>
      </c>
      <c r="V338">
        <v>0</v>
      </c>
      <c r="W338">
        <v>0</v>
      </c>
      <c r="X338" t="s">
        <v>8</v>
      </c>
      <c r="Y338" s="74" t="str">
        <f ca="1">IF(Table15[[#This Row],[Type]]="KILL",IF(_xlfn.NUMBERVALUE(RIGHT(Table15[[#This Row],[Min]],LEN(Table15[[#This Row],[Min]])-FIND("-",Table15[[#This Row],[Min]])))&gt;INDIRECT(ADDRESS(11+MATCH(LEFT(Table15[[#This Row],[Min]],FIND("-",Table15[[#This Row],[Min]])-1),Table1[Content Sku],0),16,1,1,"Entities")),"review","ok"),"ok")</f>
        <v>ok</v>
      </c>
      <c r="AK338" t="s">
        <v>548</v>
      </c>
      <c r="AL338">
        <v>0</v>
      </c>
      <c r="AM338">
        <v>0</v>
      </c>
      <c r="AN338" t="s">
        <v>8</v>
      </c>
      <c r="AO338" s="74" t="str">
        <f ca="1">IF(Table20[[#This Row],[Type]]="KILL",IF(_xlfn.NUMBERVALUE(RIGHT(Table20[[#This Row],[Min]],LEN(Table20[[#This Row],[Min]])-FIND("-",Table20[[#This Row],[Min]])))&gt;INDIRECT(ADDRESS(11+MATCH(LEFT(Table20[[#This Row],[Min]],FIND("-",Table20[[#This Row],[Min]])-1),Table1[Content Sku],0),18,1,1,"Entities")),"review","ok"),"ok")</f>
        <v>ok</v>
      </c>
    </row>
    <row r="339" spans="5:41" x14ac:dyDescent="0.25">
      <c r="E339" t="s">
        <v>336</v>
      </c>
      <c r="F339">
        <v>0</v>
      </c>
      <c r="G339">
        <v>0</v>
      </c>
      <c r="H339" t="s">
        <v>8</v>
      </c>
      <c r="I339" s="74" t="str">
        <f ca="1">IF(Table7[[#This Row],[Type]]="KILL",IF(_xlfn.NUMBERVALUE(RIGHT(Table7[[#This Row],[Min]],LEN(Table7[[#This Row],[Min]])-FIND("-",Table7[[#This Row],[Min]])))&gt;INDIRECT(ADDRESS(11+MATCH(LEFT(Table7[[#This Row],[Min]],FIND("-",Table7[[#This Row],[Min]])-1),Table1[Content Sku],0),16,1,1,"Entities")),"review","ok"),"ok")</f>
        <v>ok</v>
      </c>
      <c r="U339" t="s">
        <v>315</v>
      </c>
      <c r="V339">
        <v>0</v>
      </c>
      <c r="W339">
        <v>0</v>
      </c>
      <c r="X339" t="s">
        <v>8</v>
      </c>
      <c r="Y339" s="74" t="str">
        <f ca="1">IF(Table15[[#This Row],[Type]]="KILL",IF(_xlfn.NUMBERVALUE(RIGHT(Table15[[#This Row],[Min]],LEN(Table15[[#This Row],[Min]])-FIND("-",Table15[[#This Row],[Min]])))&gt;INDIRECT(ADDRESS(11+MATCH(LEFT(Table15[[#This Row],[Min]],FIND("-",Table15[[#This Row],[Min]])-1),Table1[Content Sku],0),16,1,1,"Entities")),"review","ok"),"ok")</f>
        <v>ok</v>
      </c>
      <c r="AK339" t="s">
        <v>46</v>
      </c>
      <c r="AL339">
        <v>0</v>
      </c>
      <c r="AM339">
        <v>0</v>
      </c>
      <c r="AN339" t="s">
        <v>8</v>
      </c>
      <c r="AO339" s="74" t="str">
        <f ca="1">IF(Table20[[#This Row],[Type]]="KILL",IF(_xlfn.NUMBERVALUE(RIGHT(Table20[[#This Row],[Min]],LEN(Table20[[#This Row],[Min]])-FIND("-",Table20[[#This Row],[Min]])))&gt;INDIRECT(ADDRESS(11+MATCH(LEFT(Table20[[#This Row],[Min]],FIND("-",Table20[[#This Row],[Min]])-1),Table1[Content Sku],0),18,1,1,"Entities")),"review","ok"),"ok")</f>
        <v>ok</v>
      </c>
    </row>
    <row r="340" spans="5:41" x14ac:dyDescent="0.25">
      <c r="E340" t="s">
        <v>90</v>
      </c>
      <c r="F340">
        <v>0</v>
      </c>
      <c r="G340">
        <v>19000</v>
      </c>
      <c r="H340" t="s">
        <v>205</v>
      </c>
      <c r="I340" s="74" t="str">
        <f ca="1">IF(Table7[[#This Row],[Type]]="KILL",IF(_xlfn.NUMBERVALUE(RIGHT(Table7[[#This Row],[Min]],LEN(Table7[[#This Row],[Min]])-FIND("-",Table7[[#This Row],[Min]])))&gt;INDIRECT(ADDRESS(11+MATCH(LEFT(Table7[[#This Row],[Min]],FIND("-",Table7[[#This Row],[Min]])-1),Table1[Content Sku],0),16,1,1,"Entities")),"review","ok"),"ok")</f>
        <v>ok</v>
      </c>
      <c r="U340" t="s">
        <v>95</v>
      </c>
      <c r="V340">
        <v>0</v>
      </c>
      <c r="W340">
        <v>0</v>
      </c>
      <c r="X340" t="s">
        <v>8</v>
      </c>
      <c r="Y340" s="74" t="str">
        <f ca="1">IF(Table15[[#This Row],[Type]]="KILL",IF(_xlfn.NUMBERVALUE(RIGHT(Table15[[#This Row],[Min]],LEN(Table15[[#This Row],[Min]])-FIND("-",Table15[[#This Row],[Min]])))&gt;INDIRECT(ADDRESS(11+MATCH(LEFT(Table15[[#This Row],[Min]],FIND("-",Table15[[#This Row],[Min]])-1),Table1[Content Sku],0),16,1,1,"Entities")),"review","ok"),"ok")</f>
        <v>ok</v>
      </c>
      <c r="AK340" t="s">
        <v>37</v>
      </c>
      <c r="AL340">
        <v>0</v>
      </c>
      <c r="AM340">
        <v>0</v>
      </c>
      <c r="AN340" t="s">
        <v>8</v>
      </c>
      <c r="AO340" s="74" t="str">
        <f ca="1">IF(Table20[[#This Row],[Type]]="KILL",IF(_xlfn.NUMBERVALUE(RIGHT(Table20[[#This Row],[Min]],LEN(Table20[[#This Row],[Min]])-FIND("-",Table20[[#This Row],[Min]])))&gt;INDIRECT(ADDRESS(11+MATCH(LEFT(Table20[[#This Row],[Min]],FIND("-",Table20[[#This Row],[Min]])-1),Table1[Content Sku],0),18,1,1,"Entities")),"review","ok"),"ok")</f>
        <v>ok</v>
      </c>
    </row>
    <row r="341" spans="5:41" x14ac:dyDescent="0.25">
      <c r="E341" t="s">
        <v>313</v>
      </c>
      <c r="F341">
        <v>0</v>
      </c>
      <c r="G341">
        <v>0</v>
      </c>
      <c r="H341" t="s">
        <v>8</v>
      </c>
      <c r="I341" s="74" t="str">
        <f ca="1">IF(Table7[[#This Row],[Type]]="KILL",IF(_xlfn.NUMBERVALUE(RIGHT(Table7[[#This Row],[Min]],LEN(Table7[[#This Row],[Min]])-FIND("-",Table7[[#This Row],[Min]])))&gt;INDIRECT(ADDRESS(11+MATCH(LEFT(Table7[[#This Row],[Min]],FIND("-",Table7[[#This Row],[Min]])-1),Table1[Content Sku],0),16,1,1,"Entities")),"review","ok"),"ok")</f>
        <v>ok</v>
      </c>
      <c r="U341" t="s">
        <v>7991</v>
      </c>
      <c r="V341">
        <v>0</v>
      </c>
      <c r="W341">
        <v>0</v>
      </c>
      <c r="X341" t="s">
        <v>8</v>
      </c>
      <c r="Y341" s="74" t="str">
        <f ca="1">IF(Table15[[#This Row],[Type]]="KILL",IF(_xlfn.NUMBERVALUE(RIGHT(Table15[[#This Row],[Min]],LEN(Table15[[#This Row],[Min]])-FIND("-",Table15[[#This Row],[Min]])))&gt;INDIRECT(ADDRESS(11+MATCH(LEFT(Table15[[#This Row],[Min]],FIND("-",Table15[[#This Row],[Min]])-1),Table1[Content Sku],0),16,1,1,"Entities")),"review","ok"),"ok")</f>
        <v>ok</v>
      </c>
      <c r="AK341" t="s">
        <v>2673</v>
      </c>
      <c r="AL341" t="s">
        <v>5008</v>
      </c>
      <c r="AM341" t="s">
        <v>4467</v>
      </c>
      <c r="AN341" t="s">
        <v>4468</v>
      </c>
      <c r="AO341" s="74" t="str">
        <f ca="1">IF(Table20[[#This Row],[Type]]="KILL",IF(_xlfn.NUMBERVALUE(RIGHT(Table20[[#This Row],[Min]],LEN(Table20[[#This Row],[Min]])-FIND("-",Table20[[#This Row],[Min]])))&gt;INDIRECT(ADDRESS(11+MATCH(LEFT(Table20[[#This Row],[Min]],FIND("-",Table20[[#This Row],[Min]])-1),Table1[Content Sku],0),18,1,1,"Entities")),"review","ok"),"ok")</f>
        <v>ok</v>
      </c>
    </row>
    <row r="342" spans="5:41" x14ac:dyDescent="0.25">
      <c r="E342" t="s">
        <v>391</v>
      </c>
      <c r="F342">
        <v>0</v>
      </c>
      <c r="G342">
        <v>0</v>
      </c>
      <c r="H342" t="s">
        <v>8</v>
      </c>
      <c r="I342" s="74" t="str">
        <f ca="1">IF(Table7[[#This Row],[Type]]="KILL",IF(_xlfn.NUMBERVALUE(RIGHT(Table7[[#This Row],[Min]],LEN(Table7[[#This Row],[Min]])-FIND("-",Table7[[#This Row],[Min]])))&gt;INDIRECT(ADDRESS(11+MATCH(LEFT(Table7[[#This Row],[Min]],FIND("-",Table7[[#This Row],[Min]])-1),Table1[Content Sku],0),16,1,1,"Entities")),"review","ok"),"ok")</f>
        <v>ok</v>
      </c>
      <c r="U342" t="s">
        <v>43</v>
      </c>
      <c r="V342">
        <v>37000</v>
      </c>
      <c r="W342">
        <v>0</v>
      </c>
      <c r="X342" t="s">
        <v>205</v>
      </c>
      <c r="Y342" s="74" t="str">
        <f ca="1">IF(Table15[[#This Row],[Type]]="KILL",IF(_xlfn.NUMBERVALUE(RIGHT(Table15[[#This Row],[Min]],LEN(Table15[[#This Row],[Min]])-FIND("-",Table15[[#This Row],[Min]])))&gt;INDIRECT(ADDRESS(11+MATCH(LEFT(Table15[[#This Row],[Min]],FIND("-",Table15[[#This Row],[Min]])-1),Table1[Content Sku],0),16,1,1,"Entities")),"review","ok"),"ok")</f>
        <v>ok</v>
      </c>
      <c r="AK342" t="s">
        <v>416</v>
      </c>
      <c r="AL342">
        <v>0</v>
      </c>
      <c r="AM342">
        <v>0</v>
      </c>
      <c r="AN342" t="s">
        <v>8</v>
      </c>
      <c r="AO342" s="74" t="str">
        <f ca="1">IF(Table20[[#This Row],[Type]]="KILL",IF(_xlfn.NUMBERVALUE(RIGHT(Table20[[#This Row],[Min]],LEN(Table20[[#This Row],[Min]])-FIND("-",Table20[[#This Row],[Min]])))&gt;INDIRECT(ADDRESS(11+MATCH(LEFT(Table20[[#This Row],[Min]],FIND("-",Table20[[#This Row],[Min]])-1),Table1[Content Sku],0),18,1,1,"Entities")),"review","ok"),"ok")</f>
        <v>ok</v>
      </c>
    </row>
    <row r="343" spans="5:41" x14ac:dyDescent="0.25">
      <c r="E343" t="s">
        <v>400</v>
      </c>
      <c r="F343">
        <v>0</v>
      </c>
      <c r="G343">
        <v>0</v>
      </c>
      <c r="H343" t="s">
        <v>8</v>
      </c>
      <c r="I343" s="74" t="str">
        <f ca="1">IF(Table7[[#This Row],[Type]]="KILL",IF(_xlfn.NUMBERVALUE(RIGHT(Table7[[#This Row],[Min]],LEN(Table7[[#This Row],[Min]])-FIND("-",Table7[[#This Row],[Min]])))&gt;INDIRECT(ADDRESS(11+MATCH(LEFT(Table7[[#This Row],[Min]],FIND("-",Table7[[#This Row],[Min]])-1),Table1[Content Sku],0),16,1,1,"Entities")),"review","ok"),"ok")</f>
        <v>ok</v>
      </c>
      <c r="U343" t="s">
        <v>123</v>
      </c>
      <c r="V343">
        <v>0</v>
      </c>
      <c r="W343">
        <v>0</v>
      </c>
      <c r="X343" t="s">
        <v>8</v>
      </c>
      <c r="Y343" s="74" t="str">
        <f ca="1">IF(Table15[[#This Row],[Type]]="KILL",IF(_xlfn.NUMBERVALUE(RIGHT(Table15[[#This Row],[Min]],LEN(Table15[[#This Row],[Min]])-FIND("-",Table15[[#This Row],[Min]])))&gt;INDIRECT(ADDRESS(11+MATCH(LEFT(Table15[[#This Row],[Min]],FIND("-",Table15[[#This Row],[Min]])-1),Table1[Content Sku],0),16,1,1,"Entities")),"review","ok"),"ok")</f>
        <v>ok</v>
      </c>
      <c r="AK343" t="s">
        <v>2667</v>
      </c>
      <c r="AL343">
        <v>0</v>
      </c>
      <c r="AM343">
        <v>0</v>
      </c>
      <c r="AN343" t="s">
        <v>8</v>
      </c>
      <c r="AO343" s="74" t="str">
        <f ca="1">IF(Table20[[#This Row],[Type]]="KILL",IF(_xlfn.NUMBERVALUE(RIGHT(Table20[[#This Row],[Min]],LEN(Table20[[#This Row],[Min]])-FIND("-",Table20[[#This Row],[Min]])))&gt;INDIRECT(ADDRESS(11+MATCH(LEFT(Table20[[#This Row],[Min]],FIND("-",Table20[[#This Row],[Min]])-1),Table1[Content Sku],0),18,1,1,"Entities")),"review","ok"),"ok")</f>
        <v>ok</v>
      </c>
    </row>
    <row r="344" spans="5:41" x14ac:dyDescent="0.25">
      <c r="E344" t="s">
        <v>50</v>
      </c>
      <c r="F344">
        <v>9500</v>
      </c>
      <c r="G344">
        <v>0</v>
      </c>
      <c r="H344" t="s">
        <v>205</v>
      </c>
      <c r="I344" s="74" t="str">
        <f ca="1">IF(Table7[[#This Row],[Type]]="KILL",IF(_xlfn.NUMBERVALUE(RIGHT(Table7[[#This Row],[Min]],LEN(Table7[[#This Row],[Min]])-FIND("-",Table7[[#This Row],[Min]])))&gt;INDIRECT(ADDRESS(11+MATCH(LEFT(Table7[[#This Row],[Min]],FIND("-",Table7[[#This Row],[Min]])-1),Table1[Content Sku],0),16,1,1,"Entities")),"review","ok"),"ok")</f>
        <v>ok</v>
      </c>
      <c r="U344" t="s">
        <v>95</v>
      </c>
      <c r="V344">
        <v>0</v>
      </c>
      <c r="W344">
        <v>0</v>
      </c>
      <c r="X344" t="s">
        <v>8</v>
      </c>
      <c r="Y344" s="74" t="str">
        <f ca="1">IF(Table15[[#This Row],[Type]]="KILL",IF(_xlfn.NUMBERVALUE(RIGHT(Table15[[#This Row],[Min]],LEN(Table15[[#This Row],[Min]])-FIND("-",Table15[[#This Row],[Min]])))&gt;INDIRECT(ADDRESS(11+MATCH(LEFT(Table15[[#This Row],[Min]],FIND("-",Table15[[#This Row],[Min]])-1),Table1[Content Sku],0),16,1,1,"Entities")),"review","ok"),"ok")</f>
        <v>ok</v>
      </c>
      <c r="AK344" t="s">
        <v>2662</v>
      </c>
      <c r="AL344">
        <v>27000</v>
      </c>
      <c r="AM344">
        <v>0</v>
      </c>
      <c r="AN344" t="s">
        <v>205</v>
      </c>
      <c r="AO344" s="74" t="str">
        <f ca="1">IF(Table20[[#This Row],[Type]]="KILL",IF(_xlfn.NUMBERVALUE(RIGHT(Table20[[#This Row],[Min]],LEN(Table20[[#This Row],[Min]])-FIND("-",Table20[[#This Row],[Min]])))&gt;INDIRECT(ADDRESS(11+MATCH(LEFT(Table20[[#This Row],[Min]],FIND("-",Table20[[#This Row],[Min]])-1),Table1[Content Sku],0),18,1,1,"Entities")),"review","ok"),"ok")</f>
        <v>ok</v>
      </c>
    </row>
    <row r="345" spans="5:41" x14ac:dyDescent="0.25">
      <c r="E345" t="s">
        <v>36</v>
      </c>
      <c r="F345">
        <v>0</v>
      </c>
      <c r="G345">
        <v>0</v>
      </c>
      <c r="H345" t="s">
        <v>8</v>
      </c>
      <c r="I345" s="74" t="str">
        <f ca="1">IF(Table7[[#This Row],[Type]]="KILL",IF(_xlfn.NUMBERVALUE(RIGHT(Table7[[#This Row],[Min]],LEN(Table7[[#This Row],[Min]])-FIND("-",Table7[[#This Row],[Min]])))&gt;INDIRECT(ADDRESS(11+MATCH(LEFT(Table7[[#This Row],[Min]],FIND("-",Table7[[#This Row],[Min]])-1),Table1[Content Sku],0),16,1,1,"Entities")),"review","ok"),"ok")</f>
        <v>ok</v>
      </c>
      <c r="U345" t="s">
        <v>47</v>
      </c>
      <c r="V345">
        <v>0</v>
      </c>
      <c r="W345">
        <v>0</v>
      </c>
      <c r="X345" t="s">
        <v>8</v>
      </c>
      <c r="Y345" s="74" t="str">
        <f ca="1">IF(Table15[[#This Row],[Type]]="KILL",IF(_xlfn.NUMBERVALUE(RIGHT(Table15[[#This Row],[Min]],LEN(Table15[[#This Row],[Min]])-FIND("-",Table15[[#This Row],[Min]])))&gt;INDIRECT(ADDRESS(11+MATCH(LEFT(Table15[[#This Row],[Min]],FIND("-",Table15[[#This Row],[Min]])-1),Table1[Content Sku],0),16,1,1,"Entities")),"review","ok"),"ok")</f>
        <v>ok</v>
      </c>
      <c r="AK345" t="s">
        <v>2741</v>
      </c>
      <c r="AL345">
        <v>0</v>
      </c>
      <c r="AM345">
        <v>0</v>
      </c>
      <c r="AN345" t="s">
        <v>8</v>
      </c>
      <c r="AO345" s="74" t="str">
        <f ca="1">IF(Table20[[#This Row],[Type]]="KILL",IF(_xlfn.NUMBERVALUE(RIGHT(Table20[[#This Row],[Min]],LEN(Table20[[#This Row],[Min]])-FIND("-",Table20[[#This Row],[Min]])))&gt;INDIRECT(ADDRESS(11+MATCH(LEFT(Table20[[#This Row],[Min]],FIND("-",Table20[[#This Row],[Min]])-1),Table1[Content Sku],0),18,1,1,"Entities")),"review","ok"),"ok")</f>
        <v>ok</v>
      </c>
    </row>
    <row r="346" spans="5:41" x14ac:dyDescent="0.25">
      <c r="E346" t="s">
        <v>37</v>
      </c>
      <c r="F346">
        <v>0</v>
      </c>
      <c r="G346">
        <v>0</v>
      </c>
      <c r="H346" t="s">
        <v>8</v>
      </c>
      <c r="I346" s="74" t="str">
        <f ca="1">IF(Table7[[#This Row],[Type]]="KILL",IF(_xlfn.NUMBERVALUE(RIGHT(Table7[[#This Row],[Min]],LEN(Table7[[#This Row],[Min]])-FIND("-",Table7[[#This Row],[Min]])))&gt;INDIRECT(ADDRESS(11+MATCH(LEFT(Table7[[#This Row],[Min]],FIND("-",Table7[[#This Row],[Min]])-1),Table1[Content Sku],0),16,1,1,"Entities")),"review","ok"),"ok")</f>
        <v>ok</v>
      </c>
      <c r="U346" t="s">
        <v>123</v>
      </c>
      <c r="V346">
        <v>0</v>
      </c>
      <c r="W346">
        <v>30000</v>
      </c>
      <c r="X346" t="s">
        <v>205</v>
      </c>
      <c r="Y346" s="74" t="str">
        <f ca="1">IF(Table15[[#This Row],[Type]]="KILL",IF(_xlfn.NUMBERVALUE(RIGHT(Table15[[#This Row],[Min]],LEN(Table15[[#This Row],[Min]])-FIND("-",Table15[[#This Row],[Min]])))&gt;INDIRECT(ADDRESS(11+MATCH(LEFT(Table15[[#This Row],[Min]],FIND("-",Table15[[#This Row],[Min]])-1),Table1[Content Sku],0),16,1,1,"Entities")),"review","ok"),"ok")</f>
        <v>ok</v>
      </c>
      <c r="AK346" t="s">
        <v>257</v>
      </c>
      <c r="AL346">
        <v>40000</v>
      </c>
      <c r="AM346">
        <v>0</v>
      </c>
      <c r="AN346" t="s">
        <v>205</v>
      </c>
      <c r="AO346" s="74" t="str">
        <f ca="1">IF(Table20[[#This Row],[Type]]="KILL",IF(_xlfn.NUMBERVALUE(RIGHT(Table20[[#This Row],[Min]],LEN(Table20[[#This Row],[Min]])-FIND("-",Table20[[#This Row],[Min]])))&gt;INDIRECT(ADDRESS(11+MATCH(LEFT(Table20[[#This Row],[Min]],FIND("-",Table20[[#This Row],[Min]])-1),Table1[Content Sku],0),18,1,1,"Entities")),"review","ok"),"ok")</f>
        <v>ok</v>
      </c>
    </row>
    <row r="347" spans="5:41" x14ac:dyDescent="0.25">
      <c r="E347" t="s">
        <v>393</v>
      </c>
      <c r="F347">
        <v>0</v>
      </c>
      <c r="G347">
        <v>0</v>
      </c>
      <c r="H347" t="s">
        <v>8</v>
      </c>
      <c r="I347" s="74" t="str">
        <f ca="1">IF(Table7[[#This Row],[Type]]="KILL",IF(_xlfn.NUMBERVALUE(RIGHT(Table7[[#This Row],[Min]],LEN(Table7[[#This Row],[Min]])-FIND("-",Table7[[#This Row],[Min]])))&gt;INDIRECT(ADDRESS(11+MATCH(LEFT(Table7[[#This Row],[Min]],FIND("-",Table7[[#This Row],[Min]])-1),Table1[Content Sku],0),16,1,1,"Entities")),"review","ok"),"ok")</f>
        <v>ok</v>
      </c>
      <c r="U347" t="s">
        <v>8133</v>
      </c>
      <c r="V347">
        <v>0</v>
      </c>
      <c r="W347">
        <v>0</v>
      </c>
      <c r="X347" t="s">
        <v>8</v>
      </c>
      <c r="Y347" s="74" t="str">
        <f ca="1">IF(Table15[[#This Row],[Type]]="KILL",IF(_xlfn.NUMBERVALUE(RIGHT(Table15[[#This Row],[Min]],LEN(Table15[[#This Row],[Min]])-FIND("-",Table15[[#This Row],[Min]])))&gt;INDIRECT(ADDRESS(11+MATCH(LEFT(Table15[[#This Row],[Min]],FIND("-",Table15[[#This Row],[Min]])-1),Table1[Content Sku],0),16,1,1,"Entities")),"review","ok"),"ok")</f>
        <v>ok</v>
      </c>
      <c r="AK347" t="s">
        <v>2679</v>
      </c>
      <c r="AL347">
        <v>0</v>
      </c>
      <c r="AM347">
        <v>0</v>
      </c>
      <c r="AN347" t="s">
        <v>8</v>
      </c>
      <c r="AO347" s="74" t="str">
        <f ca="1">IF(Table20[[#This Row],[Type]]="KILL",IF(_xlfn.NUMBERVALUE(RIGHT(Table20[[#This Row],[Min]],LEN(Table20[[#This Row],[Min]])-FIND("-",Table20[[#This Row],[Min]])))&gt;INDIRECT(ADDRESS(11+MATCH(LEFT(Table20[[#This Row],[Min]],FIND("-",Table20[[#This Row],[Min]])-1),Table1[Content Sku],0),18,1,1,"Entities")),"review","ok"),"ok")</f>
        <v>ok</v>
      </c>
    </row>
    <row r="348" spans="5:41" x14ac:dyDescent="0.25">
      <c r="E348" t="s">
        <v>393</v>
      </c>
      <c r="F348">
        <v>0</v>
      </c>
      <c r="G348">
        <v>0</v>
      </c>
      <c r="H348" t="s">
        <v>8</v>
      </c>
      <c r="I348" s="74" t="str">
        <f ca="1">IF(Table7[[#This Row],[Type]]="KILL",IF(_xlfn.NUMBERVALUE(RIGHT(Table7[[#This Row],[Min]],LEN(Table7[[#This Row],[Min]])-FIND("-",Table7[[#This Row],[Min]])))&gt;INDIRECT(ADDRESS(11+MATCH(LEFT(Table7[[#This Row],[Min]],FIND("-",Table7[[#This Row],[Min]])-1),Table1[Content Sku],0),16,1,1,"Entities")),"review","ok"),"ok")</f>
        <v>ok</v>
      </c>
      <c r="U348" t="s">
        <v>40</v>
      </c>
      <c r="V348">
        <v>220</v>
      </c>
      <c r="W348">
        <v>0</v>
      </c>
      <c r="X348" t="s">
        <v>4431</v>
      </c>
      <c r="Y348" s="74" t="str">
        <f ca="1">IF(Table15[[#This Row],[Type]]="KILL",IF(_xlfn.NUMBERVALUE(RIGHT(Table15[[#This Row],[Min]],LEN(Table15[[#This Row],[Min]])-FIND("-",Table15[[#This Row],[Min]])))&gt;INDIRECT(ADDRESS(11+MATCH(LEFT(Table15[[#This Row],[Min]],FIND("-",Table15[[#This Row],[Min]])-1),Table1[Content Sku],0),16,1,1,"Entities")),"review","ok"),"ok")</f>
        <v>ok</v>
      </c>
      <c r="AK348" t="s">
        <v>37</v>
      </c>
      <c r="AL348">
        <v>0</v>
      </c>
      <c r="AM348">
        <v>40000</v>
      </c>
      <c r="AN348" t="s">
        <v>205</v>
      </c>
      <c r="AO348" s="74" t="str">
        <f ca="1">IF(Table20[[#This Row],[Type]]="KILL",IF(_xlfn.NUMBERVALUE(RIGHT(Table20[[#This Row],[Min]],LEN(Table20[[#This Row],[Min]])-FIND("-",Table20[[#This Row],[Min]])))&gt;INDIRECT(ADDRESS(11+MATCH(LEFT(Table20[[#This Row],[Min]],FIND("-",Table20[[#This Row],[Min]])-1),Table1[Content Sku],0),18,1,1,"Entities")),"review","ok"),"ok")</f>
        <v>ok</v>
      </c>
    </row>
    <row r="349" spans="5:41" x14ac:dyDescent="0.25">
      <c r="E349" t="s">
        <v>42</v>
      </c>
      <c r="F349">
        <v>55000</v>
      </c>
      <c r="G349">
        <v>0</v>
      </c>
      <c r="H349" t="s">
        <v>205</v>
      </c>
      <c r="I349" s="74" t="str">
        <f ca="1">IF(Table7[[#This Row],[Type]]="KILL",IF(_xlfn.NUMBERVALUE(RIGHT(Table7[[#This Row],[Min]],LEN(Table7[[#This Row],[Min]])-FIND("-",Table7[[#This Row],[Min]])))&gt;INDIRECT(ADDRESS(11+MATCH(LEFT(Table7[[#This Row],[Min]],FIND("-",Table7[[#This Row],[Min]])-1),Table1[Content Sku],0),16,1,1,"Entities")),"review","ok"),"ok")</f>
        <v>ok</v>
      </c>
      <c r="U349" t="s">
        <v>37</v>
      </c>
      <c r="V349">
        <v>0</v>
      </c>
      <c r="W349">
        <v>0</v>
      </c>
      <c r="X349" t="s">
        <v>8</v>
      </c>
      <c r="Y349" s="74" t="str">
        <f ca="1">IF(Table15[[#This Row],[Type]]="KILL",IF(_xlfn.NUMBERVALUE(RIGHT(Table15[[#This Row],[Min]],LEN(Table15[[#This Row],[Min]])-FIND("-",Table15[[#This Row],[Min]])))&gt;INDIRECT(ADDRESS(11+MATCH(LEFT(Table15[[#This Row],[Min]],FIND("-",Table15[[#This Row],[Min]])-1),Table1[Content Sku],0),16,1,1,"Entities")),"review","ok"),"ok")</f>
        <v>ok</v>
      </c>
      <c r="AK349" t="s">
        <v>37</v>
      </c>
      <c r="AL349">
        <v>0</v>
      </c>
      <c r="AM349">
        <v>0</v>
      </c>
      <c r="AN349" t="s">
        <v>8</v>
      </c>
      <c r="AO349" s="74" t="str">
        <f ca="1">IF(Table20[[#This Row],[Type]]="KILL",IF(_xlfn.NUMBERVALUE(RIGHT(Table20[[#This Row],[Min]],LEN(Table20[[#This Row],[Min]])-FIND("-",Table20[[#This Row],[Min]])))&gt;INDIRECT(ADDRESS(11+MATCH(LEFT(Table20[[#This Row],[Min]],FIND("-",Table20[[#This Row],[Min]])-1),Table1[Content Sku],0),18,1,1,"Entities")),"review","ok"),"ok")</f>
        <v>ok</v>
      </c>
    </row>
    <row r="350" spans="5:41" x14ac:dyDescent="0.25">
      <c r="E350" t="s">
        <v>391</v>
      </c>
      <c r="F350">
        <v>0</v>
      </c>
      <c r="G350">
        <v>0</v>
      </c>
      <c r="H350" t="s">
        <v>8</v>
      </c>
      <c r="I350" s="74" t="str">
        <f ca="1">IF(Table7[[#This Row],[Type]]="KILL",IF(_xlfn.NUMBERVALUE(RIGHT(Table7[[#This Row],[Min]],LEN(Table7[[#This Row],[Min]])-FIND("-",Table7[[#This Row],[Min]])))&gt;INDIRECT(ADDRESS(11+MATCH(LEFT(Table7[[#This Row],[Min]],FIND("-",Table7[[#This Row],[Min]])-1),Table1[Content Sku],0),16,1,1,"Entities")),"review","ok"),"ok")</f>
        <v>ok</v>
      </c>
      <c r="U350" t="s">
        <v>122</v>
      </c>
      <c r="V350">
        <v>0</v>
      </c>
      <c r="W350">
        <v>0</v>
      </c>
      <c r="X350" t="s">
        <v>8</v>
      </c>
      <c r="Y350" s="74" t="str">
        <f ca="1">IF(Table15[[#This Row],[Type]]="KILL",IF(_xlfn.NUMBERVALUE(RIGHT(Table15[[#This Row],[Min]],LEN(Table15[[#This Row],[Min]])-FIND("-",Table15[[#This Row],[Min]])))&gt;INDIRECT(ADDRESS(11+MATCH(LEFT(Table15[[#This Row],[Min]],FIND("-",Table15[[#This Row],[Min]])-1),Table1[Content Sku],0),16,1,1,"Entities")),"review","ok"),"ok")</f>
        <v>ok</v>
      </c>
      <c r="AK350" t="s">
        <v>548</v>
      </c>
      <c r="AL350">
        <v>0</v>
      </c>
      <c r="AM350">
        <v>0</v>
      </c>
      <c r="AN350" t="s">
        <v>8</v>
      </c>
      <c r="AO350" s="74" t="str">
        <f ca="1">IF(Table20[[#This Row],[Type]]="KILL",IF(_xlfn.NUMBERVALUE(RIGHT(Table20[[#This Row],[Min]],LEN(Table20[[#This Row],[Min]])-FIND("-",Table20[[#This Row],[Min]])))&gt;INDIRECT(ADDRESS(11+MATCH(LEFT(Table20[[#This Row],[Min]],FIND("-",Table20[[#This Row],[Min]])-1),Table1[Content Sku],0),18,1,1,"Entities")),"review","ok"),"ok")</f>
        <v>ok</v>
      </c>
    </row>
    <row r="351" spans="5:41" x14ac:dyDescent="0.25">
      <c r="E351" t="s">
        <v>548</v>
      </c>
      <c r="F351">
        <v>0</v>
      </c>
      <c r="G351">
        <v>0</v>
      </c>
      <c r="H351" t="s">
        <v>8</v>
      </c>
      <c r="I351" s="74" t="str">
        <f ca="1">IF(Table7[[#This Row],[Type]]="KILL",IF(_xlfn.NUMBERVALUE(RIGHT(Table7[[#This Row],[Min]],LEN(Table7[[#This Row],[Min]])-FIND("-",Table7[[#This Row],[Min]])))&gt;INDIRECT(ADDRESS(11+MATCH(LEFT(Table7[[#This Row],[Min]],FIND("-",Table7[[#This Row],[Min]])-1),Table1[Content Sku],0),16,1,1,"Entities")),"review","ok"),"ok")</f>
        <v>ok</v>
      </c>
      <c r="U351" t="s">
        <v>311</v>
      </c>
      <c r="V351">
        <v>0</v>
      </c>
      <c r="W351">
        <v>0</v>
      </c>
      <c r="X351" t="s">
        <v>8</v>
      </c>
      <c r="Y351" s="74" t="str">
        <f ca="1">IF(Table15[[#This Row],[Type]]="KILL",IF(_xlfn.NUMBERVALUE(RIGHT(Table15[[#This Row],[Min]],LEN(Table15[[#This Row],[Min]])-FIND("-",Table15[[#This Row],[Min]])))&gt;INDIRECT(ADDRESS(11+MATCH(LEFT(Table15[[#This Row],[Min]],FIND("-",Table15[[#This Row],[Min]])-1),Table1[Content Sku],0),16,1,1,"Entities")),"review","ok"),"ok")</f>
        <v>ok</v>
      </c>
      <c r="AK351" t="s">
        <v>2741</v>
      </c>
      <c r="AL351">
        <v>0</v>
      </c>
      <c r="AM351">
        <v>0</v>
      </c>
      <c r="AN351" t="s">
        <v>8</v>
      </c>
      <c r="AO351" s="74" t="str">
        <f ca="1">IF(Table20[[#This Row],[Type]]="KILL",IF(_xlfn.NUMBERVALUE(RIGHT(Table20[[#This Row],[Min]],LEN(Table20[[#This Row],[Min]])-FIND("-",Table20[[#This Row],[Min]])))&gt;INDIRECT(ADDRESS(11+MATCH(LEFT(Table20[[#This Row],[Min]],FIND("-",Table20[[#This Row],[Min]])-1),Table1[Content Sku],0),18,1,1,"Entities")),"review","ok"),"ok")</f>
        <v>ok</v>
      </c>
    </row>
    <row r="352" spans="5:41" x14ac:dyDescent="0.25">
      <c r="E352" t="s">
        <v>254</v>
      </c>
      <c r="F352">
        <v>0</v>
      </c>
      <c r="G352">
        <v>0</v>
      </c>
      <c r="H352" t="s">
        <v>8</v>
      </c>
      <c r="I352" s="74" t="str">
        <f ca="1">IF(Table7[[#This Row],[Type]]="KILL",IF(_xlfn.NUMBERVALUE(RIGHT(Table7[[#This Row],[Min]],LEN(Table7[[#This Row],[Min]])-FIND("-",Table7[[#This Row],[Min]])))&gt;INDIRECT(ADDRESS(11+MATCH(LEFT(Table7[[#This Row],[Min]],FIND("-",Table7[[#This Row],[Min]])-1),Table1[Content Sku],0),16,1,1,"Entities")),"review","ok"),"ok")</f>
        <v>ok</v>
      </c>
      <c r="U352" t="s">
        <v>403</v>
      </c>
      <c r="V352">
        <v>0</v>
      </c>
      <c r="W352">
        <v>0</v>
      </c>
      <c r="X352" t="s">
        <v>8</v>
      </c>
      <c r="Y352" s="74" t="str">
        <f ca="1">IF(Table15[[#This Row],[Type]]="KILL",IF(_xlfn.NUMBERVALUE(RIGHT(Table15[[#This Row],[Min]],LEN(Table15[[#This Row],[Min]])-FIND("-",Table15[[#This Row],[Min]])))&gt;INDIRECT(ADDRESS(11+MATCH(LEFT(Table15[[#This Row],[Min]],FIND("-",Table15[[#This Row],[Min]])-1),Table1[Content Sku],0),16,1,1,"Entities")),"review","ok"),"ok")</f>
        <v>ok</v>
      </c>
      <c r="AK352" t="s">
        <v>122</v>
      </c>
      <c r="AL352">
        <v>0</v>
      </c>
      <c r="AM352">
        <v>0</v>
      </c>
      <c r="AN352" t="s">
        <v>8</v>
      </c>
      <c r="AO352" s="74" t="str">
        <f ca="1">IF(Table20[[#This Row],[Type]]="KILL",IF(_xlfn.NUMBERVALUE(RIGHT(Table20[[#This Row],[Min]],LEN(Table20[[#This Row],[Min]])-FIND("-",Table20[[#This Row],[Min]])))&gt;INDIRECT(ADDRESS(11+MATCH(LEFT(Table20[[#This Row],[Min]],FIND("-",Table20[[#This Row],[Min]])-1),Table1[Content Sku],0),18,1,1,"Entities")),"review","ok"),"ok")</f>
        <v>ok</v>
      </c>
    </row>
    <row r="353" spans="5:41" x14ac:dyDescent="0.25">
      <c r="E353" t="s">
        <v>313</v>
      </c>
      <c r="F353">
        <v>0</v>
      </c>
      <c r="G353">
        <v>0</v>
      </c>
      <c r="H353" t="s">
        <v>8</v>
      </c>
      <c r="I353" s="74" t="str">
        <f ca="1">IF(Table7[[#This Row],[Type]]="KILL",IF(_xlfn.NUMBERVALUE(RIGHT(Table7[[#This Row],[Min]],LEN(Table7[[#This Row],[Min]])-FIND("-",Table7[[#This Row],[Min]])))&gt;INDIRECT(ADDRESS(11+MATCH(LEFT(Table7[[#This Row],[Min]],FIND("-",Table7[[#This Row],[Min]])-1),Table1[Content Sku],0),16,1,1,"Entities")),"review","ok"),"ok")</f>
        <v>ok</v>
      </c>
      <c r="U353" t="s">
        <v>392</v>
      </c>
      <c r="V353">
        <v>0</v>
      </c>
      <c r="W353">
        <v>15000</v>
      </c>
      <c r="X353" t="s">
        <v>205</v>
      </c>
      <c r="Y353" s="74" t="str">
        <f ca="1">IF(Table15[[#This Row],[Type]]="KILL",IF(_xlfn.NUMBERVALUE(RIGHT(Table15[[#This Row],[Min]],LEN(Table15[[#This Row],[Min]])-FIND("-",Table15[[#This Row],[Min]])))&gt;INDIRECT(ADDRESS(11+MATCH(LEFT(Table15[[#This Row],[Min]],FIND("-",Table15[[#This Row],[Min]])-1),Table1[Content Sku],0),16,1,1,"Entities")),"review","ok"),"ok")</f>
        <v>ok</v>
      </c>
      <c r="AK353" t="s">
        <v>336</v>
      </c>
      <c r="AL353">
        <v>45000</v>
      </c>
      <c r="AM353">
        <v>0</v>
      </c>
      <c r="AN353" t="s">
        <v>205</v>
      </c>
      <c r="AO353" s="74" t="str">
        <f ca="1">IF(Table20[[#This Row],[Type]]="KILL",IF(_xlfn.NUMBERVALUE(RIGHT(Table20[[#This Row],[Min]],LEN(Table20[[#This Row],[Min]])-FIND("-",Table20[[#This Row],[Min]])))&gt;INDIRECT(ADDRESS(11+MATCH(LEFT(Table20[[#This Row],[Min]],FIND("-",Table20[[#This Row],[Min]])-1),Table1[Content Sku],0),18,1,1,"Entities")),"review","ok"),"ok")</f>
        <v>ok</v>
      </c>
    </row>
    <row r="354" spans="5:41" x14ac:dyDescent="0.25">
      <c r="E354" t="s">
        <v>280</v>
      </c>
      <c r="F354">
        <v>0</v>
      </c>
      <c r="G354">
        <v>0</v>
      </c>
      <c r="H354" t="s">
        <v>8</v>
      </c>
      <c r="I354" s="74" t="str">
        <f ca="1">IF(Table7[[#This Row],[Type]]="KILL",IF(_xlfn.NUMBERVALUE(RIGHT(Table7[[#This Row],[Min]],LEN(Table7[[#This Row],[Min]])-FIND("-",Table7[[#This Row],[Min]])))&gt;INDIRECT(ADDRESS(11+MATCH(LEFT(Table7[[#This Row],[Min]],FIND("-",Table7[[#This Row],[Min]])-1),Table1[Content Sku],0),16,1,1,"Entities")),"review","ok"),"ok")</f>
        <v>ok</v>
      </c>
      <c r="U354" t="s">
        <v>37</v>
      </c>
      <c r="V354">
        <v>0</v>
      </c>
      <c r="W354">
        <v>0</v>
      </c>
      <c r="X354" t="s">
        <v>8</v>
      </c>
      <c r="Y354" s="74" t="str">
        <f ca="1">IF(Table15[[#This Row],[Type]]="KILL",IF(_xlfn.NUMBERVALUE(RIGHT(Table15[[#This Row],[Min]],LEN(Table15[[#This Row],[Min]])-FIND("-",Table15[[#This Row],[Min]])))&gt;INDIRECT(ADDRESS(11+MATCH(LEFT(Table15[[#This Row],[Min]],FIND("-",Table15[[#This Row],[Min]])-1),Table1[Content Sku],0),16,1,1,"Entities")),"review","ok"),"ok")</f>
        <v>ok</v>
      </c>
      <c r="AK354" t="s">
        <v>37</v>
      </c>
      <c r="AL354">
        <v>0</v>
      </c>
      <c r="AM354">
        <v>0</v>
      </c>
      <c r="AN354" t="s">
        <v>8</v>
      </c>
      <c r="AO354" s="74" t="str">
        <f ca="1">IF(Table20[[#This Row],[Type]]="KILL",IF(_xlfn.NUMBERVALUE(RIGHT(Table20[[#This Row],[Min]],LEN(Table20[[#This Row],[Min]])-FIND("-",Table20[[#This Row],[Min]])))&gt;INDIRECT(ADDRESS(11+MATCH(LEFT(Table20[[#This Row],[Min]],FIND("-",Table20[[#This Row],[Min]])-1),Table1[Content Sku],0),18,1,1,"Entities")),"review","ok"),"ok")</f>
        <v>ok</v>
      </c>
    </row>
    <row r="355" spans="5:41" x14ac:dyDescent="0.25">
      <c r="E355" t="s">
        <v>90</v>
      </c>
      <c r="F355">
        <v>0</v>
      </c>
      <c r="G355">
        <v>13000</v>
      </c>
      <c r="H355" t="s">
        <v>205</v>
      </c>
      <c r="I355" s="74" t="str">
        <f ca="1">IF(Table7[[#This Row],[Type]]="KILL",IF(_xlfn.NUMBERVALUE(RIGHT(Table7[[#This Row],[Min]],LEN(Table7[[#This Row],[Min]])-FIND("-",Table7[[#This Row],[Min]])))&gt;INDIRECT(ADDRESS(11+MATCH(LEFT(Table7[[#This Row],[Min]],FIND("-",Table7[[#This Row],[Min]])-1),Table1[Content Sku],0),16,1,1,"Entities")),"review","ok"),"ok")</f>
        <v>ok</v>
      </c>
      <c r="U355" t="s">
        <v>392</v>
      </c>
      <c r="V355">
        <v>15000</v>
      </c>
      <c r="W355">
        <v>0</v>
      </c>
      <c r="X355" t="s">
        <v>205</v>
      </c>
      <c r="Y355" s="74" t="str">
        <f ca="1">IF(Table15[[#This Row],[Type]]="KILL",IF(_xlfn.NUMBERVALUE(RIGHT(Table15[[#This Row],[Min]],LEN(Table15[[#This Row],[Min]])-FIND("-",Table15[[#This Row],[Min]])))&gt;INDIRECT(ADDRESS(11+MATCH(LEFT(Table15[[#This Row],[Min]],FIND("-",Table15[[#This Row],[Min]])-1),Table1[Content Sku],0),16,1,1,"Entities")),"review","ok"),"ok")</f>
        <v>ok</v>
      </c>
      <c r="AK355" t="s">
        <v>540</v>
      </c>
      <c r="AL355">
        <v>0</v>
      </c>
      <c r="AM355">
        <v>0</v>
      </c>
      <c r="AN355" t="s">
        <v>8</v>
      </c>
      <c r="AO355" s="74" t="str">
        <f ca="1">IF(Table20[[#This Row],[Type]]="KILL",IF(_xlfn.NUMBERVALUE(RIGHT(Table20[[#This Row],[Min]],LEN(Table20[[#This Row],[Min]])-FIND("-",Table20[[#This Row],[Min]])))&gt;INDIRECT(ADDRESS(11+MATCH(LEFT(Table20[[#This Row],[Min]],FIND("-",Table20[[#This Row],[Min]])-1),Table1[Content Sku],0),18,1,1,"Entities")),"review","ok"),"ok")</f>
        <v>ok</v>
      </c>
    </row>
    <row r="356" spans="5:41" x14ac:dyDescent="0.25">
      <c r="E356" t="s">
        <v>90</v>
      </c>
      <c r="F356">
        <v>0</v>
      </c>
      <c r="G356">
        <v>0</v>
      </c>
      <c r="H356" t="s">
        <v>8</v>
      </c>
      <c r="I356" s="74" t="str">
        <f ca="1">IF(Table7[[#This Row],[Type]]="KILL",IF(_xlfn.NUMBERVALUE(RIGHT(Table7[[#This Row],[Min]],LEN(Table7[[#This Row],[Min]])-FIND("-",Table7[[#This Row],[Min]])))&gt;INDIRECT(ADDRESS(11+MATCH(LEFT(Table7[[#This Row],[Min]],FIND("-",Table7[[#This Row],[Min]])-1),Table1[Content Sku],0),16,1,1,"Entities")),"review","ok"),"ok")</f>
        <v>ok</v>
      </c>
      <c r="U356" t="s">
        <v>2741</v>
      </c>
      <c r="V356">
        <v>0</v>
      </c>
      <c r="W356">
        <v>0</v>
      </c>
      <c r="X356" t="s">
        <v>8</v>
      </c>
      <c r="Y356" s="74" t="str">
        <f ca="1">IF(Table15[[#This Row],[Type]]="KILL",IF(_xlfn.NUMBERVALUE(RIGHT(Table15[[#This Row],[Min]],LEN(Table15[[#This Row],[Min]])-FIND("-",Table15[[#This Row],[Min]])))&gt;INDIRECT(ADDRESS(11+MATCH(LEFT(Table15[[#This Row],[Min]],FIND("-",Table15[[#This Row],[Min]])-1),Table1[Content Sku],0),16,1,1,"Entities")),"review","ok"),"ok")</f>
        <v>ok</v>
      </c>
      <c r="AK356" t="s">
        <v>137</v>
      </c>
      <c r="AL356">
        <v>0</v>
      </c>
      <c r="AM356">
        <v>0</v>
      </c>
      <c r="AN356" t="s">
        <v>8</v>
      </c>
      <c r="AO356" s="74" t="str">
        <f ca="1">IF(Table20[[#This Row],[Type]]="KILL",IF(_xlfn.NUMBERVALUE(RIGHT(Table20[[#This Row],[Min]],LEN(Table20[[#This Row],[Min]])-FIND("-",Table20[[#This Row],[Min]])))&gt;INDIRECT(ADDRESS(11+MATCH(LEFT(Table20[[#This Row],[Min]],FIND("-",Table20[[#This Row],[Min]])-1),Table1[Content Sku],0),18,1,1,"Entities")),"review","ok"),"ok")</f>
        <v>ok</v>
      </c>
    </row>
    <row r="357" spans="5:41" x14ac:dyDescent="0.25">
      <c r="E357" t="s">
        <v>346</v>
      </c>
      <c r="F357">
        <v>0</v>
      </c>
      <c r="G357">
        <v>0</v>
      </c>
      <c r="H357" t="s">
        <v>8</v>
      </c>
      <c r="I357" s="74" t="str">
        <f ca="1">IF(Table7[[#This Row],[Type]]="KILL",IF(_xlfn.NUMBERVALUE(RIGHT(Table7[[#This Row],[Min]],LEN(Table7[[#This Row],[Min]])-FIND("-",Table7[[#This Row],[Min]])))&gt;INDIRECT(ADDRESS(11+MATCH(LEFT(Table7[[#This Row],[Min]],FIND("-",Table7[[#This Row],[Min]])-1),Table1[Content Sku],0),16,1,1,"Entities")),"review","ok"),"ok")</f>
        <v>ok</v>
      </c>
      <c r="U357" t="s">
        <v>392</v>
      </c>
      <c r="V357">
        <v>0</v>
      </c>
      <c r="W357">
        <v>17000</v>
      </c>
      <c r="X357" t="s">
        <v>205</v>
      </c>
      <c r="Y357" s="74" t="str">
        <f ca="1">IF(Table15[[#This Row],[Type]]="KILL",IF(_xlfn.NUMBERVALUE(RIGHT(Table15[[#This Row],[Min]],LEN(Table15[[#This Row],[Min]])-FIND("-",Table15[[#This Row],[Min]])))&gt;INDIRECT(ADDRESS(11+MATCH(LEFT(Table15[[#This Row],[Min]],FIND("-",Table15[[#This Row],[Min]])-1),Table1[Content Sku],0),16,1,1,"Entities")),"review","ok"),"ok")</f>
        <v>ok</v>
      </c>
      <c r="AK357" t="s">
        <v>50</v>
      </c>
      <c r="AL357">
        <v>43000</v>
      </c>
      <c r="AM357">
        <v>0</v>
      </c>
      <c r="AN357" t="s">
        <v>205</v>
      </c>
      <c r="AO357" s="74" t="str">
        <f ca="1">IF(Table20[[#This Row],[Type]]="KILL",IF(_xlfn.NUMBERVALUE(RIGHT(Table20[[#This Row],[Min]],LEN(Table20[[#This Row],[Min]])-FIND("-",Table20[[#This Row],[Min]])))&gt;INDIRECT(ADDRESS(11+MATCH(LEFT(Table20[[#This Row],[Min]],FIND("-",Table20[[#This Row],[Min]])-1),Table1[Content Sku],0),18,1,1,"Entities")),"review","ok"),"ok")</f>
        <v>ok</v>
      </c>
    </row>
    <row r="358" spans="5:41" x14ac:dyDescent="0.25">
      <c r="E358" t="s">
        <v>516</v>
      </c>
      <c r="F358">
        <v>0</v>
      </c>
      <c r="G358">
        <v>0</v>
      </c>
      <c r="H358" t="s">
        <v>8</v>
      </c>
      <c r="I358" s="74" t="str">
        <f ca="1">IF(Table7[[#This Row],[Type]]="KILL",IF(_xlfn.NUMBERVALUE(RIGHT(Table7[[#This Row],[Min]],LEN(Table7[[#This Row],[Min]])-FIND("-",Table7[[#This Row],[Min]])))&gt;INDIRECT(ADDRESS(11+MATCH(LEFT(Table7[[#This Row],[Min]],FIND("-",Table7[[#This Row],[Min]])-1),Table1[Content Sku],0),16,1,1,"Entities")),"review","ok"),"ok")</f>
        <v>ok</v>
      </c>
      <c r="U358" t="s">
        <v>450</v>
      </c>
      <c r="V358">
        <v>420</v>
      </c>
      <c r="W358">
        <v>0</v>
      </c>
      <c r="X358" t="s">
        <v>4431</v>
      </c>
      <c r="Y358" s="74" t="str">
        <f ca="1">IF(Table15[[#This Row],[Type]]="KILL",IF(_xlfn.NUMBERVALUE(RIGHT(Table15[[#This Row],[Min]],LEN(Table15[[#This Row],[Min]])-FIND("-",Table15[[#This Row],[Min]])))&gt;INDIRECT(ADDRESS(11+MATCH(LEFT(Table15[[#This Row],[Min]],FIND("-",Table15[[#This Row],[Min]])-1),Table1[Content Sku],0),16,1,1,"Entities")),"review","ok"),"ok")</f>
        <v>ok</v>
      </c>
      <c r="AK358" t="s">
        <v>37</v>
      </c>
      <c r="AL358">
        <v>0</v>
      </c>
      <c r="AM358">
        <v>0</v>
      </c>
      <c r="AN358" t="s">
        <v>8</v>
      </c>
      <c r="AO358" s="74" t="str">
        <f ca="1">IF(Table20[[#This Row],[Type]]="KILL",IF(_xlfn.NUMBERVALUE(RIGHT(Table20[[#This Row],[Min]],LEN(Table20[[#This Row],[Min]])-FIND("-",Table20[[#This Row],[Min]])))&gt;INDIRECT(ADDRESS(11+MATCH(LEFT(Table20[[#This Row],[Min]],FIND("-",Table20[[#This Row],[Min]])-1),Table1[Content Sku],0),18,1,1,"Entities")),"review","ok"),"ok")</f>
        <v>ok</v>
      </c>
    </row>
    <row r="359" spans="5:41" x14ac:dyDescent="0.25">
      <c r="E359" t="s">
        <v>90</v>
      </c>
      <c r="F359">
        <v>0</v>
      </c>
      <c r="G359">
        <v>18000</v>
      </c>
      <c r="H359" t="s">
        <v>205</v>
      </c>
      <c r="I359" s="74" t="str">
        <f ca="1">IF(Table7[[#This Row],[Type]]="KILL",IF(_xlfn.NUMBERVALUE(RIGHT(Table7[[#This Row],[Min]],LEN(Table7[[#This Row],[Min]])-FIND("-",Table7[[#This Row],[Min]])))&gt;INDIRECT(ADDRESS(11+MATCH(LEFT(Table7[[#This Row],[Min]],FIND("-",Table7[[#This Row],[Min]])-1),Table1[Content Sku],0),16,1,1,"Entities")),"review","ok"),"ok")</f>
        <v>ok</v>
      </c>
      <c r="U359" t="s">
        <v>253</v>
      </c>
      <c r="V359">
        <v>0</v>
      </c>
      <c r="W359">
        <v>0</v>
      </c>
      <c r="X359" t="s">
        <v>8</v>
      </c>
      <c r="Y359" s="74" t="str">
        <f ca="1">IF(Table15[[#This Row],[Type]]="KILL",IF(_xlfn.NUMBERVALUE(RIGHT(Table15[[#This Row],[Min]],LEN(Table15[[#This Row],[Min]])-FIND("-",Table15[[#This Row],[Min]])))&gt;INDIRECT(ADDRESS(11+MATCH(LEFT(Table15[[#This Row],[Min]],FIND("-",Table15[[#This Row],[Min]])-1),Table1[Content Sku],0),16,1,1,"Entities")),"review","ok"),"ok")</f>
        <v>ok</v>
      </c>
      <c r="AK359" t="s">
        <v>37</v>
      </c>
      <c r="AL359">
        <v>0</v>
      </c>
      <c r="AM359">
        <v>0</v>
      </c>
      <c r="AN359" t="s">
        <v>8</v>
      </c>
      <c r="AO359" s="74" t="str">
        <f ca="1">IF(Table20[[#This Row],[Type]]="KILL",IF(_xlfn.NUMBERVALUE(RIGHT(Table20[[#This Row],[Min]],LEN(Table20[[#This Row],[Min]])-FIND("-",Table20[[#This Row],[Min]])))&gt;INDIRECT(ADDRESS(11+MATCH(LEFT(Table20[[#This Row],[Min]],FIND("-",Table20[[#This Row],[Min]])-1),Table1[Content Sku],0),18,1,1,"Entities")),"review","ok"),"ok")</f>
        <v>ok</v>
      </c>
    </row>
    <row r="360" spans="5:41" x14ac:dyDescent="0.25">
      <c r="E360" t="s">
        <v>123</v>
      </c>
      <c r="F360">
        <v>4000</v>
      </c>
      <c r="G360">
        <v>0</v>
      </c>
      <c r="H360" t="s">
        <v>205</v>
      </c>
      <c r="I360" s="74" t="str">
        <f ca="1">IF(Table7[[#This Row],[Type]]="KILL",IF(_xlfn.NUMBERVALUE(RIGHT(Table7[[#This Row],[Min]],LEN(Table7[[#This Row],[Min]])-FIND("-",Table7[[#This Row],[Min]])))&gt;INDIRECT(ADDRESS(11+MATCH(LEFT(Table7[[#This Row],[Min]],FIND("-",Table7[[#This Row],[Min]])-1),Table1[Content Sku],0),16,1,1,"Entities")),"review","ok"),"ok")</f>
        <v>ok</v>
      </c>
      <c r="U360" t="s">
        <v>37</v>
      </c>
      <c r="V360">
        <v>0</v>
      </c>
      <c r="W360">
        <v>0</v>
      </c>
      <c r="X360" t="s">
        <v>8</v>
      </c>
      <c r="Y360" s="74" t="str">
        <f ca="1">IF(Table15[[#This Row],[Type]]="KILL",IF(_xlfn.NUMBERVALUE(RIGHT(Table15[[#This Row],[Min]],LEN(Table15[[#This Row],[Min]])-FIND("-",Table15[[#This Row],[Min]])))&gt;INDIRECT(ADDRESS(11+MATCH(LEFT(Table15[[#This Row],[Min]],FIND("-",Table15[[#This Row],[Min]])-1),Table1[Content Sku],0),16,1,1,"Entities")),"review","ok"),"ok")</f>
        <v>ok</v>
      </c>
      <c r="AK360" t="s">
        <v>95</v>
      </c>
      <c r="AL360">
        <v>0</v>
      </c>
      <c r="AM360">
        <v>36000</v>
      </c>
      <c r="AN360" t="s">
        <v>205</v>
      </c>
      <c r="AO360" s="74" t="str">
        <f ca="1">IF(Table20[[#This Row],[Type]]="KILL",IF(_xlfn.NUMBERVALUE(RIGHT(Table20[[#This Row],[Min]],LEN(Table20[[#This Row],[Min]])-FIND("-",Table20[[#This Row],[Min]])))&gt;INDIRECT(ADDRESS(11+MATCH(LEFT(Table20[[#This Row],[Min]],FIND("-",Table20[[#This Row],[Min]])-1),Table1[Content Sku],0),18,1,1,"Entities")),"review","ok"),"ok")</f>
        <v>ok</v>
      </c>
    </row>
    <row r="361" spans="5:41" x14ac:dyDescent="0.25">
      <c r="E361" t="s">
        <v>346</v>
      </c>
      <c r="F361">
        <v>19000</v>
      </c>
      <c r="G361">
        <v>0</v>
      </c>
      <c r="H361" t="s">
        <v>205</v>
      </c>
      <c r="I361" s="74" t="str">
        <f ca="1">IF(Table7[[#This Row],[Type]]="KILL",IF(_xlfn.NUMBERVALUE(RIGHT(Table7[[#This Row],[Min]],LEN(Table7[[#This Row],[Min]])-FIND("-",Table7[[#This Row],[Min]])))&gt;INDIRECT(ADDRESS(11+MATCH(LEFT(Table7[[#This Row],[Min]],FIND("-",Table7[[#This Row],[Min]])-1),Table1[Content Sku],0),16,1,1,"Entities")),"review","ok"),"ok")</f>
        <v>ok</v>
      </c>
      <c r="U361" t="s">
        <v>313</v>
      </c>
      <c r="V361">
        <v>0</v>
      </c>
      <c r="W361">
        <v>0</v>
      </c>
      <c r="X361" t="s">
        <v>8</v>
      </c>
      <c r="Y361" s="74" t="str">
        <f ca="1">IF(Table15[[#This Row],[Type]]="KILL",IF(_xlfn.NUMBERVALUE(RIGHT(Table15[[#This Row],[Min]],LEN(Table15[[#This Row],[Min]])-FIND("-",Table15[[#This Row],[Min]])))&gt;INDIRECT(ADDRESS(11+MATCH(LEFT(Table15[[#This Row],[Min]],FIND("-",Table15[[#This Row],[Min]])-1),Table1[Content Sku],0),16,1,1,"Entities")),"review","ok"),"ok")</f>
        <v>ok</v>
      </c>
      <c r="AK361" t="s">
        <v>2670</v>
      </c>
      <c r="AL361">
        <v>0</v>
      </c>
      <c r="AM361">
        <v>0</v>
      </c>
      <c r="AN361" t="s">
        <v>8</v>
      </c>
      <c r="AO361" s="74" t="str">
        <f ca="1">IF(Table20[[#This Row],[Type]]="KILL",IF(_xlfn.NUMBERVALUE(RIGHT(Table20[[#This Row],[Min]],LEN(Table20[[#This Row],[Min]])-FIND("-",Table20[[#This Row],[Min]])))&gt;INDIRECT(ADDRESS(11+MATCH(LEFT(Table20[[#This Row],[Min]],FIND("-",Table20[[#This Row],[Min]])-1),Table1[Content Sku],0),18,1,1,"Entities")),"review","ok"),"ok")</f>
        <v>ok</v>
      </c>
    </row>
    <row r="362" spans="5:41" x14ac:dyDescent="0.25">
      <c r="E362" t="s">
        <v>313</v>
      </c>
      <c r="F362">
        <v>0</v>
      </c>
      <c r="G362">
        <v>0</v>
      </c>
      <c r="H362" t="s">
        <v>8</v>
      </c>
      <c r="I362" s="74" t="str">
        <f ca="1">IF(Table7[[#This Row],[Type]]="KILL",IF(_xlfn.NUMBERVALUE(RIGHT(Table7[[#This Row],[Min]],LEN(Table7[[#This Row],[Min]])-FIND("-",Table7[[#This Row],[Min]])))&gt;INDIRECT(ADDRESS(11+MATCH(LEFT(Table7[[#This Row],[Min]],FIND("-",Table7[[#This Row],[Min]])-1),Table1[Content Sku],0),16,1,1,"Entities")),"review","ok"),"ok")</f>
        <v>ok</v>
      </c>
      <c r="U362" t="s">
        <v>38</v>
      </c>
      <c r="V362">
        <v>0</v>
      </c>
      <c r="W362">
        <v>0</v>
      </c>
      <c r="X362" t="s">
        <v>8</v>
      </c>
      <c r="Y362" s="74" t="str">
        <f ca="1">IF(Table15[[#This Row],[Type]]="KILL",IF(_xlfn.NUMBERVALUE(RIGHT(Table15[[#This Row],[Min]],LEN(Table15[[#This Row],[Min]])-FIND("-",Table15[[#This Row],[Min]])))&gt;INDIRECT(ADDRESS(11+MATCH(LEFT(Table15[[#This Row],[Min]],FIND("-",Table15[[#This Row],[Min]])-1),Table1[Content Sku],0),16,1,1,"Entities")),"review","ok"),"ok")</f>
        <v>ok</v>
      </c>
      <c r="AK362" t="s">
        <v>400</v>
      </c>
      <c r="AL362">
        <v>0</v>
      </c>
      <c r="AM362">
        <v>0</v>
      </c>
      <c r="AN362" t="s">
        <v>8</v>
      </c>
      <c r="AO362" s="74" t="str">
        <f ca="1">IF(Table20[[#This Row],[Type]]="KILL",IF(_xlfn.NUMBERVALUE(RIGHT(Table20[[#This Row],[Min]],LEN(Table20[[#This Row],[Min]])-FIND("-",Table20[[#This Row],[Min]])))&gt;INDIRECT(ADDRESS(11+MATCH(LEFT(Table20[[#This Row],[Min]],FIND("-",Table20[[#This Row],[Min]])-1),Table1[Content Sku],0),18,1,1,"Entities")),"review","ok"),"ok")</f>
        <v>ok</v>
      </c>
    </row>
    <row r="363" spans="5:41" x14ac:dyDescent="0.25">
      <c r="E363" t="s">
        <v>276</v>
      </c>
      <c r="F363">
        <v>0</v>
      </c>
      <c r="G363">
        <v>0</v>
      </c>
      <c r="H363" t="s">
        <v>8</v>
      </c>
      <c r="I363" s="74" t="str">
        <f ca="1">IF(Table7[[#This Row],[Type]]="KILL",IF(_xlfn.NUMBERVALUE(RIGHT(Table7[[#This Row],[Min]],LEN(Table7[[#This Row],[Min]])-FIND("-",Table7[[#This Row],[Min]])))&gt;INDIRECT(ADDRESS(11+MATCH(LEFT(Table7[[#This Row],[Min]],FIND("-",Table7[[#This Row],[Min]])-1),Table1[Content Sku],0),16,1,1,"Entities")),"review","ok"),"ok")</f>
        <v>ok</v>
      </c>
      <c r="U363" t="s">
        <v>289</v>
      </c>
      <c r="V363">
        <v>0</v>
      </c>
      <c r="W363">
        <v>0</v>
      </c>
      <c r="X363" t="s">
        <v>8</v>
      </c>
      <c r="Y363" s="74" t="str">
        <f ca="1">IF(Table15[[#This Row],[Type]]="KILL",IF(_xlfn.NUMBERVALUE(RIGHT(Table15[[#This Row],[Min]],LEN(Table15[[#This Row],[Min]])-FIND("-",Table15[[#This Row],[Min]])))&gt;INDIRECT(ADDRESS(11+MATCH(LEFT(Table15[[#This Row],[Min]],FIND("-",Table15[[#This Row],[Min]])-1),Table1[Content Sku],0),16,1,1,"Entities")),"review","ok"),"ok")</f>
        <v>ok</v>
      </c>
      <c r="AK363" t="s">
        <v>311</v>
      </c>
      <c r="AL363">
        <v>0</v>
      </c>
      <c r="AM363">
        <v>0</v>
      </c>
      <c r="AN363" t="s">
        <v>8</v>
      </c>
      <c r="AO363" s="74" t="str">
        <f ca="1">IF(Table20[[#This Row],[Type]]="KILL",IF(_xlfn.NUMBERVALUE(RIGHT(Table20[[#This Row],[Min]],LEN(Table20[[#This Row],[Min]])-FIND("-",Table20[[#This Row],[Min]])))&gt;INDIRECT(ADDRESS(11+MATCH(LEFT(Table20[[#This Row],[Min]],FIND("-",Table20[[#This Row],[Min]])-1),Table1[Content Sku],0),18,1,1,"Entities")),"review","ok"),"ok")</f>
        <v>ok</v>
      </c>
    </row>
    <row r="364" spans="5:41" x14ac:dyDescent="0.25">
      <c r="E364" t="s">
        <v>403</v>
      </c>
      <c r="F364">
        <v>0</v>
      </c>
      <c r="G364">
        <v>0</v>
      </c>
      <c r="H364" t="s">
        <v>8</v>
      </c>
      <c r="I364" s="74" t="str">
        <f ca="1">IF(Table7[[#This Row],[Type]]="KILL",IF(_xlfn.NUMBERVALUE(RIGHT(Table7[[#This Row],[Min]],LEN(Table7[[#This Row],[Min]])-FIND("-",Table7[[#This Row],[Min]])))&gt;INDIRECT(ADDRESS(11+MATCH(LEFT(Table7[[#This Row],[Min]],FIND("-",Table7[[#This Row],[Min]])-1),Table1[Content Sku],0),16,1,1,"Entities")),"review","ok"),"ok")</f>
        <v>ok</v>
      </c>
      <c r="U364" t="s">
        <v>293</v>
      </c>
      <c r="V364">
        <v>0</v>
      </c>
      <c r="W364">
        <v>18000</v>
      </c>
      <c r="X364" t="s">
        <v>205</v>
      </c>
      <c r="Y364" s="74" t="str">
        <f ca="1">IF(Table15[[#This Row],[Type]]="KILL",IF(_xlfn.NUMBERVALUE(RIGHT(Table15[[#This Row],[Min]],LEN(Table15[[#This Row],[Min]])-FIND("-",Table15[[#This Row],[Min]])))&gt;INDIRECT(ADDRESS(11+MATCH(LEFT(Table15[[#This Row],[Min]],FIND("-",Table15[[#This Row],[Min]])-1),Table1[Content Sku],0),16,1,1,"Entities")),"review","ok"),"ok")</f>
        <v>ok</v>
      </c>
      <c r="AK364" t="s">
        <v>122</v>
      </c>
      <c r="AL364">
        <v>0</v>
      </c>
      <c r="AM364">
        <v>0</v>
      </c>
      <c r="AN364" t="s">
        <v>8</v>
      </c>
      <c r="AO364" s="74" t="str">
        <f ca="1">IF(Table20[[#This Row],[Type]]="KILL",IF(_xlfn.NUMBERVALUE(RIGHT(Table20[[#This Row],[Min]],LEN(Table20[[#This Row],[Min]])-FIND("-",Table20[[#This Row],[Min]])))&gt;INDIRECT(ADDRESS(11+MATCH(LEFT(Table20[[#This Row],[Min]],FIND("-",Table20[[#This Row],[Min]])-1),Table1[Content Sku],0),18,1,1,"Entities")),"review","ok"),"ok")</f>
        <v>ok</v>
      </c>
    </row>
    <row r="365" spans="5:41" x14ac:dyDescent="0.25">
      <c r="E365" t="s">
        <v>313</v>
      </c>
      <c r="F365">
        <v>0</v>
      </c>
      <c r="G365">
        <v>0</v>
      </c>
      <c r="H365" t="s">
        <v>8</v>
      </c>
      <c r="I365" s="74" t="str">
        <f ca="1">IF(Table7[[#This Row],[Type]]="KILL",IF(_xlfn.NUMBERVALUE(RIGHT(Table7[[#This Row],[Min]],LEN(Table7[[#This Row],[Min]])-FIND("-",Table7[[#This Row],[Min]])))&gt;INDIRECT(ADDRESS(11+MATCH(LEFT(Table7[[#This Row],[Min]],FIND("-",Table7[[#This Row],[Min]])-1),Table1[Content Sku],0),16,1,1,"Entities")),"review","ok"),"ok")</f>
        <v>ok</v>
      </c>
      <c r="U365" t="s">
        <v>8133</v>
      </c>
      <c r="V365">
        <v>0</v>
      </c>
      <c r="W365">
        <v>0</v>
      </c>
      <c r="X365" t="s">
        <v>8</v>
      </c>
      <c r="Y365" s="74" t="str">
        <f ca="1">IF(Table15[[#This Row],[Type]]="KILL",IF(_xlfn.NUMBERVALUE(RIGHT(Table15[[#This Row],[Min]],LEN(Table15[[#This Row],[Min]])-FIND("-",Table15[[#This Row],[Min]])))&gt;INDIRECT(ADDRESS(11+MATCH(LEFT(Table15[[#This Row],[Min]],FIND("-",Table15[[#This Row],[Min]])-1),Table1[Content Sku],0),16,1,1,"Entities")),"review","ok"),"ok")</f>
        <v>ok</v>
      </c>
      <c r="AK365" t="s">
        <v>346</v>
      </c>
      <c r="AL365">
        <v>25000</v>
      </c>
      <c r="AM365">
        <v>0</v>
      </c>
      <c r="AN365" t="s">
        <v>205</v>
      </c>
      <c r="AO365" s="74" t="str">
        <f ca="1">IF(Table20[[#This Row],[Type]]="KILL",IF(_xlfn.NUMBERVALUE(RIGHT(Table20[[#This Row],[Min]],LEN(Table20[[#This Row],[Min]])-FIND("-",Table20[[#This Row],[Min]])))&gt;INDIRECT(ADDRESS(11+MATCH(LEFT(Table20[[#This Row],[Min]],FIND("-",Table20[[#This Row],[Min]])-1),Table1[Content Sku],0),18,1,1,"Entities")),"review","ok"),"ok")</f>
        <v>ok</v>
      </c>
    </row>
    <row r="366" spans="5:41" x14ac:dyDescent="0.25">
      <c r="E366" t="s">
        <v>39</v>
      </c>
      <c r="F366">
        <v>0</v>
      </c>
      <c r="G366">
        <v>0</v>
      </c>
      <c r="H366" t="s">
        <v>8</v>
      </c>
      <c r="I366" s="74" t="str">
        <f ca="1">IF(Table7[[#This Row],[Type]]="KILL",IF(_xlfn.NUMBERVALUE(RIGHT(Table7[[#This Row],[Min]],LEN(Table7[[#This Row],[Min]])-FIND("-",Table7[[#This Row],[Min]])))&gt;INDIRECT(ADDRESS(11+MATCH(LEFT(Table7[[#This Row],[Min]],FIND("-",Table7[[#This Row],[Min]])-1),Table1[Content Sku],0),16,1,1,"Entities")),"review","ok"),"ok")</f>
        <v>ok</v>
      </c>
      <c r="U366" t="s">
        <v>258</v>
      </c>
      <c r="V366">
        <v>220</v>
      </c>
      <c r="W366">
        <v>0</v>
      </c>
      <c r="X366" t="s">
        <v>4431</v>
      </c>
      <c r="Y366" s="74" t="str">
        <f ca="1">IF(Table15[[#This Row],[Type]]="KILL",IF(_xlfn.NUMBERVALUE(RIGHT(Table15[[#This Row],[Min]],LEN(Table15[[#This Row],[Min]])-FIND("-",Table15[[#This Row],[Min]])))&gt;INDIRECT(ADDRESS(11+MATCH(LEFT(Table15[[#This Row],[Min]],FIND("-",Table15[[#This Row],[Min]])-1),Table1[Content Sku],0),16,1,1,"Entities")),"review","ok"),"ok")</f>
        <v>ok</v>
      </c>
      <c r="AK366" t="s">
        <v>37</v>
      </c>
      <c r="AL366">
        <v>0</v>
      </c>
      <c r="AM366">
        <v>0</v>
      </c>
      <c r="AN366" t="s">
        <v>8</v>
      </c>
      <c r="AO366" s="74" t="str">
        <f ca="1">IF(Table20[[#This Row],[Type]]="KILL",IF(_xlfn.NUMBERVALUE(RIGHT(Table20[[#This Row],[Min]],LEN(Table20[[#This Row],[Min]])-FIND("-",Table20[[#This Row],[Min]])))&gt;INDIRECT(ADDRESS(11+MATCH(LEFT(Table20[[#This Row],[Min]],FIND("-",Table20[[#This Row],[Min]])-1),Table1[Content Sku],0),18,1,1,"Entities")),"review","ok"),"ok")</f>
        <v>ok</v>
      </c>
    </row>
    <row r="367" spans="5:41" x14ac:dyDescent="0.25">
      <c r="E367" t="s">
        <v>548</v>
      </c>
      <c r="F367">
        <v>0</v>
      </c>
      <c r="G367">
        <v>0</v>
      </c>
      <c r="H367" t="s">
        <v>8</v>
      </c>
      <c r="I367" s="74" t="str">
        <f ca="1">IF(Table7[[#This Row],[Type]]="KILL",IF(_xlfn.NUMBERVALUE(RIGHT(Table7[[#This Row],[Min]],LEN(Table7[[#This Row],[Min]])-FIND("-",Table7[[#This Row],[Min]])))&gt;INDIRECT(ADDRESS(11+MATCH(LEFT(Table7[[#This Row],[Min]],FIND("-",Table7[[#This Row],[Min]])-1),Table1[Content Sku],0),16,1,1,"Entities")),"review","ok"),"ok")</f>
        <v>ok</v>
      </c>
      <c r="U367" t="s">
        <v>313</v>
      </c>
      <c r="V367">
        <v>23000</v>
      </c>
      <c r="W367">
        <v>0</v>
      </c>
      <c r="X367" t="s">
        <v>205</v>
      </c>
      <c r="Y367" s="74" t="str">
        <f ca="1">IF(Table15[[#This Row],[Type]]="KILL",IF(_xlfn.NUMBERVALUE(RIGHT(Table15[[#This Row],[Min]],LEN(Table15[[#This Row],[Min]])-FIND("-",Table15[[#This Row],[Min]])))&gt;INDIRECT(ADDRESS(11+MATCH(LEFT(Table15[[#This Row],[Min]],FIND("-",Table15[[#This Row],[Min]])-1),Table1[Content Sku],0),16,1,1,"Entities")),"review","ok"),"ok")</f>
        <v>ok</v>
      </c>
      <c r="AK367" t="s">
        <v>2663</v>
      </c>
      <c r="AL367">
        <v>0</v>
      </c>
      <c r="AM367">
        <v>0</v>
      </c>
      <c r="AN367" t="s">
        <v>8</v>
      </c>
      <c r="AO367" s="74" t="str">
        <f ca="1">IF(Table20[[#This Row],[Type]]="KILL",IF(_xlfn.NUMBERVALUE(RIGHT(Table20[[#This Row],[Min]],LEN(Table20[[#This Row],[Min]])-FIND("-",Table20[[#This Row],[Min]])))&gt;INDIRECT(ADDRESS(11+MATCH(LEFT(Table20[[#This Row],[Min]],FIND("-",Table20[[#This Row],[Min]])-1),Table1[Content Sku],0),18,1,1,"Entities")),"review","ok"),"ok")</f>
        <v>ok</v>
      </c>
    </row>
    <row r="368" spans="5:41" x14ac:dyDescent="0.25">
      <c r="E368" t="s">
        <v>276</v>
      </c>
      <c r="F368">
        <v>0</v>
      </c>
      <c r="G368">
        <v>0</v>
      </c>
      <c r="H368" t="s">
        <v>8</v>
      </c>
      <c r="I368" s="74" t="str">
        <f ca="1">IF(Table7[[#This Row],[Type]]="KILL",IF(_xlfn.NUMBERVALUE(RIGHT(Table7[[#This Row],[Min]],LEN(Table7[[#This Row],[Min]])-FIND("-",Table7[[#This Row],[Min]])))&gt;INDIRECT(ADDRESS(11+MATCH(LEFT(Table7[[#This Row],[Min]],FIND("-",Table7[[#This Row],[Min]])-1),Table1[Content Sku],0),16,1,1,"Entities")),"review","ok"),"ok")</f>
        <v>ok</v>
      </c>
      <c r="U368" t="s">
        <v>254</v>
      </c>
      <c r="V368">
        <v>0</v>
      </c>
      <c r="W368">
        <v>0</v>
      </c>
      <c r="X368" t="s">
        <v>8</v>
      </c>
      <c r="Y368" s="74" t="str">
        <f ca="1">IF(Table15[[#This Row],[Type]]="KILL",IF(_xlfn.NUMBERVALUE(RIGHT(Table15[[#This Row],[Min]],LEN(Table15[[#This Row],[Min]])-FIND("-",Table15[[#This Row],[Min]])))&gt;INDIRECT(ADDRESS(11+MATCH(LEFT(Table15[[#This Row],[Min]],FIND("-",Table15[[#This Row],[Min]])-1),Table1[Content Sku],0),16,1,1,"Entities")),"review","ok"),"ok")</f>
        <v>ok</v>
      </c>
      <c r="AK368" t="s">
        <v>2672</v>
      </c>
      <c r="AL368">
        <v>0</v>
      </c>
      <c r="AM368">
        <v>0</v>
      </c>
      <c r="AN368" t="s">
        <v>8</v>
      </c>
      <c r="AO368" s="74" t="str">
        <f ca="1">IF(Table20[[#This Row],[Type]]="KILL",IF(_xlfn.NUMBERVALUE(RIGHT(Table20[[#This Row],[Min]],LEN(Table20[[#This Row],[Min]])-FIND("-",Table20[[#This Row],[Min]])))&gt;INDIRECT(ADDRESS(11+MATCH(LEFT(Table20[[#This Row],[Min]],FIND("-",Table20[[#This Row],[Min]])-1),Table1[Content Sku],0),18,1,1,"Entities")),"review","ok"),"ok")</f>
        <v>ok</v>
      </c>
    </row>
    <row r="369" spans="5:41" x14ac:dyDescent="0.25">
      <c r="E369" t="s">
        <v>311</v>
      </c>
      <c r="F369">
        <v>0</v>
      </c>
      <c r="G369">
        <v>0</v>
      </c>
      <c r="H369" t="s">
        <v>8</v>
      </c>
      <c r="I369" s="74" t="str">
        <f ca="1">IF(Table7[[#This Row],[Type]]="KILL",IF(_xlfn.NUMBERVALUE(RIGHT(Table7[[#This Row],[Min]],LEN(Table7[[#This Row],[Min]])-FIND("-",Table7[[#This Row],[Min]])))&gt;INDIRECT(ADDRESS(11+MATCH(LEFT(Table7[[#This Row],[Min]],FIND("-",Table7[[#This Row],[Min]])-1),Table1[Content Sku],0),16,1,1,"Entities")),"review","ok"),"ok")</f>
        <v>ok</v>
      </c>
      <c r="U369" t="s">
        <v>393</v>
      </c>
      <c r="V369">
        <v>0</v>
      </c>
      <c r="W369">
        <v>0</v>
      </c>
      <c r="X369" t="s">
        <v>8</v>
      </c>
      <c r="Y369" s="74" t="str">
        <f ca="1">IF(Table15[[#This Row],[Type]]="KILL",IF(_xlfn.NUMBERVALUE(RIGHT(Table15[[#This Row],[Min]],LEN(Table15[[#This Row],[Min]])-FIND("-",Table15[[#This Row],[Min]])))&gt;INDIRECT(ADDRESS(11+MATCH(LEFT(Table15[[#This Row],[Min]],FIND("-",Table15[[#This Row],[Min]])-1),Table1[Content Sku],0),16,1,1,"Entities")),"review","ok"),"ok")</f>
        <v>ok</v>
      </c>
      <c r="AK369" t="s">
        <v>37</v>
      </c>
      <c r="AL369">
        <v>0</v>
      </c>
      <c r="AM369">
        <v>33000</v>
      </c>
      <c r="AN369" t="s">
        <v>205</v>
      </c>
      <c r="AO369" s="74" t="str">
        <f ca="1">IF(Table20[[#This Row],[Type]]="KILL",IF(_xlfn.NUMBERVALUE(RIGHT(Table20[[#This Row],[Min]],LEN(Table20[[#This Row],[Min]])-FIND("-",Table20[[#This Row],[Min]])))&gt;INDIRECT(ADDRESS(11+MATCH(LEFT(Table20[[#This Row],[Min]],FIND("-",Table20[[#This Row],[Min]])-1),Table1[Content Sku],0),18,1,1,"Entities")),"review","ok"),"ok")</f>
        <v>ok</v>
      </c>
    </row>
    <row r="370" spans="5:41" x14ac:dyDescent="0.25">
      <c r="E370" t="s">
        <v>313</v>
      </c>
      <c r="F370">
        <v>0</v>
      </c>
      <c r="G370">
        <v>19000</v>
      </c>
      <c r="H370" t="s">
        <v>205</v>
      </c>
      <c r="I370" s="74" t="str">
        <f ca="1">IF(Table7[[#This Row],[Type]]="KILL",IF(_xlfn.NUMBERVALUE(RIGHT(Table7[[#This Row],[Min]],LEN(Table7[[#This Row],[Min]])-FIND("-",Table7[[#This Row],[Min]])))&gt;INDIRECT(ADDRESS(11+MATCH(LEFT(Table7[[#This Row],[Min]],FIND("-",Table7[[#This Row],[Min]])-1),Table1[Content Sku],0),16,1,1,"Entities")),"review","ok"),"ok")</f>
        <v>ok</v>
      </c>
      <c r="U370" t="s">
        <v>8103</v>
      </c>
      <c r="V370">
        <v>40000</v>
      </c>
      <c r="W370">
        <v>0</v>
      </c>
      <c r="X370" t="s">
        <v>205</v>
      </c>
      <c r="Y370" s="74" t="str">
        <f ca="1">IF(Table15[[#This Row],[Type]]="KILL",IF(_xlfn.NUMBERVALUE(RIGHT(Table15[[#This Row],[Min]],LEN(Table15[[#This Row],[Min]])-FIND("-",Table15[[#This Row],[Min]])))&gt;INDIRECT(ADDRESS(11+MATCH(LEFT(Table15[[#This Row],[Min]],FIND("-",Table15[[#This Row],[Min]])-1),Table1[Content Sku],0),16,1,1,"Entities")),"review","ok"),"ok")</f>
        <v>ok</v>
      </c>
      <c r="AK370" t="s">
        <v>2767</v>
      </c>
      <c r="AL370">
        <v>0</v>
      </c>
      <c r="AM370">
        <v>0</v>
      </c>
      <c r="AN370" t="s">
        <v>8</v>
      </c>
      <c r="AO370" s="74" t="str">
        <f ca="1">IF(Table20[[#This Row],[Type]]="KILL",IF(_xlfn.NUMBERVALUE(RIGHT(Table20[[#This Row],[Min]],LEN(Table20[[#This Row],[Min]])-FIND("-",Table20[[#This Row],[Min]])))&gt;INDIRECT(ADDRESS(11+MATCH(LEFT(Table20[[#This Row],[Min]],FIND("-",Table20[[#This Row],[Min]])-1),Table1[Content Sku],0),18,1,1,"Entities")),"review","ok"),"ok")</f>
        <v>ok</v>
      </c>
    </row>
    <row r="371" spans="5:41" x14ac:dyDescent="0.25">
      <c r="E371" t="s">
        <v>548</v>
      </c>
      <c r="F371">
        <v>0</v>
      </c>
      <c r="G371">
        <v>0</v>
      </c>
      <c r="H371" t="s">
        <v>8</v>
      </c>
      <c r="I371" s="74" t="str">
        <f ca="1">IF(Table7[[#This Row],[Type]]="KILL",IF(_xlfn.NUMBERVALUE(RIGHT(Table7[[#This Row],[Min]],LEN(Table7[[#This Row],[Min]])-FIND("-",Table7[[#This Row],[Min]])))&gt;INDIRECT(ADDRESS(11+MATCH(LEFT(Table7[[#This Row],[Min]],FIND("-",Table7[[#This Row],[Min]])-1),Table1[Content Sku],0),16,1,1,"Entities")),"review","ok"),"ok")</f>
        <v>ok</v>
      </c>
      <c r="U371" t="s">
        <v>391</v>
      </c>
      <c r="V371">
        <v>0</v>
      </c>
      <c r="W371">
        <v>0</v>
      </c>
      <c r="X371" t="s">
        <v>8</v>
      </c>
      <c r="Y371" s="74" t="str">
        <f ca="1">IF(Table15[[#This Row],[Type]]="KILL",IF(_xlfn.NUMBERVALUE(RIGHT(Table15[[#This Row],[Min]],LEN(Table15[[#This Row],[Min]])-FIND("-",Table15[[#This Row],[Min]])))&gt;INDIRECT(ADDRESS(11+MATCH(LEFT(Table15[[#This Row],[Min]],FIND("-",Table15[[#This Row],[Min]])-1),Table1[Content Sku],0),16,1,1,"Entities")),"review","ok"),"ok")</f>
        <v>ok</v>
      </c>
      <c r="AK371" t="s">
        <v>46</v>
      </c>
      <c r="AL371">
        <v>0</v>
      </c>
      <c r="AM371">
        <v>0</v>
      </c>
      <c r="AN371" t="s">
        <v>8</v>
      </c>
      <c r="AO371" s="74" t="str">
        <f ca="1">IF(Table20[[#This Row],[Type]]="KILL",IF(_xlfn.NUMBERVALUE(RIGHT(Table20[[#This Row],[Min]],LEN(Table20[[#This Row],[Min]])-FIND("-",Table20[[#This Row],[Min]])))&gt;INDIRECT(ADDRESS(11+MATCH(LEFT(Table20[[#This Row],[Min]],FIND("-",Table20[[#This Row],[Min]])-1),Table1[Content Sku],0),18,1,1,"Entities")),"review","ok"),"ok")</f>
        <v>ok</v>
      </c>
    </row>
    <row r="372" spans="5:41" x14ac:dyDescent="0.25">
      <c r="E372" t="s">
        <v>286</v>
      </c>
      <c r="F372">
        <v>0</v>
      </c>
      <c r="G372">
        <v>0</v>
      </c>
      <c r="H372" t="s">
        <v>8</v>
      </c>
      <c r="I372" s="74" t="str">
        <f ca="1">IF(Table7[[#This Row],[Type]]="KILL",IF(_xlfn.NUMBERVALUE(RIGHT(Table7[[#This Row],[Min]],LEN(Table7[[#This Row],[Min]])-FIND("-",Table7[[#This Row],[Min]])))&gt;INDIRECT(ADDRESS(11+MATCH(LEFT(Table7[[#This Row],[Min]],FIND("-",Table7[[#This Row],[Min]])-1),Table1[Content Sku],0),16,1,1,"Entities")),"review","ok"),"ok")</f>
        <v>ok</v>
      </c>
      <c r="U372" t="s">
        <v>43</v>
      </c>
      <c r="V372">
        <v>34000</v>
      </c>
      <c r="W372">
        <v>0</v>
      </c>
      <c r="X372" t="s">
        <v>205</v>
      </c>
      <c r="Y372" s="74" t="str">
        <f ca="1">IF(Table15[[#This Row],[Type]]="KILL",IF(_xlfn.NUMBERVALUE(RIGHT(Table15[[#This Row],[Min]],LEN(Table15[[#This Row],[Min]])-FIND("-",Table15[[#This Row],[Min]])))&gt;INDIRECT(ADDRESS(11+MATCH(LEFT(Table15[[#This Row],[Min]],FIND("-",Table15[[#This Row],[Min]])-1),Table1[Content Sku],0),16,1,1,"Entities")),"review","ok"),"ok")</f>
        <v>ok</v>
      </c>
      <c r="AK372" t="s">
        <v>37</v>
      </c>
      <c r="AL372">
        <v>0</v>
      </c>
      <c r="AM372">
        <v>0</v>
      </c>
      <c r="AN372" t="s">
        <v>8</v>
      </c>
      <c r="AO372" s="74" t="str">
        <f ca="1">IF(Table20[[#This Row],[Type]]="KILL",IF(_xlfn.NUMBERVALUE(RIGHT(Table20[[#This Row],[Min]],LEN(Table20[[#This Row],[Min]])-FIND("-",Table20[[#This Row],[Min]])))&gt;INDIRECT(ADDRESS(11+MATCH(LEFT(Table20[[#This Row],[Min]],FIND("-",Table20[[#This Row],[Min]])-1),Table1[Content Sku],0),18,1,1,"Entities")),"review","ok"),"ok")</f>
        <v>ok</v>
      </c>
    </row>
    <row r="373" spans="5:41" x14ac:dyDescent="0.25">
      <c r="E373" t="s">
        <v>393</v>
      </c>
      <c r="F373">
        <v>0</v>
      </c>
      <c r="G373">
        <v>0</v>
      </c>
      <c r="H373" t="s">
        <v>8</v>
      </c>
      <c r="I373" s="74" t="str">
        <f ca="1">IF(Table7[[#This Row],[Type]]="KILL",IF(_xlfn.NUMBERVALUE(RIGHT(Table7[[#This Row],[Min]],LEN(Table7[[#This Row],[Min]])-FIND("-",Table7[[#This Row],[Min]])))&gt;INDIRECT(ADDRESS(11+MATCH(LEFT(Table7[[#This Row],[Min]],FIND("-",Table7[[#This Row],[Min]])-1),Table1[Content Sku],0),16,1,1,"Entities")),"review","ok"),"ok")</f>
        <v>ok</v>
      </c>
      <c r="U373" t="s">
        <v>63</v>
      </c>
      <c r="V373">
        <v>0</v>
      </c>
      <c r="W373">
        <v>0</v>
      </c>
      <c r="X373" t="s">
        <v>8</v>
      </c>
      <c r="Y373" s="74" t="str">
        <f ca="1">IF(Table15[[#This Row],[Type]]="KILL",IF(_xlfn.NUMBERVALUE(RIGHT(Table15[[#This Row],[Min]],LEN(Table15[[#This Row],[Min]])-FIND("-",Table15[[#This Row],[Min]])))&gt;INDIRECT(ADDRESS(11+MATCH(LEFT(Table15[[#This Row],[Min]],FIND("-",Table15[[#This Row],[Min]])-1),Table1[Content Sku],0),16,1,1,"Entities")),"review","ok"),"ok")</f>
        <v>ok</v>
      </c>
      <c r="AK373" t="s">
        <v>313</v>
      </c>
      <c r="AL373">
        <v>0</v>
      </c>
      <c r="AM373">
        <v>0</v>
      </c>
      <c r="AN373" t="s">
        <v>8</v>
      </c>
      <c r="AO373" s="74" t="str">
        <f ca="1">IF(Table20[[#This Row],[Type]]="KILL",IF(_xlfn.NUMBERVALUE(RIGHT(Table20[[#This Row],[Min]],LEN(Table20[[#This Row],[Min]])-FIND("-",Table20[[#This Row],[Min]])))&gt;INDIRECT(ADDRESS(11+MATCH(LEFT(Table20[[#This Row],[Min]],FIND("-",Table20[[#This Row],[Min]])-1),Table1[Content Sku],0),18,1,1,"Entities")),"review","ok"),"ok")</f>
        <v>ok</v>
      </c>
    </row>
    <row r="374" spans="5:41" x14ac:dyDescent="0.25">
      <c r="E374" t="s">
        <v>21</v>
      </c>
      <c r="F374">
        <v>35000</v>
      </c>
      <c r="G374">
        <v>0</v>
      </c>
      <c r="H374" t="s">
        <v>205</v>
      </c>
      <c r="I374" s="74" t="str">
        <f ca="1">IF(Table7[[#This Row],[Type]]="KILL",IF(_xlfn.NUMBERVALUE(RIGHT(Table7[[#This Row],[Min]],LEN(Table7[[#This Row],[Min]])-FIND("-",Table7[[#This Row],[Min]])))&gt;INDIRECT(ADDRESS(11+MATCH(LEFT(Table7[[#This Row],[Min]],FIND("-",Table7[[#This Row],[Min]])-1),Table1[Content Sku],0),16,1,1,"Entities")),"review","ok"),"ok")</f>
        <v>ok</v>
      </c>
      <c r="U374" t="s">
        <v>22</v>
      </c>
      <c r="V374">
        <v>19000</v>
      </c>
      <c r="W374">
        <v>0</v>
      </c>
      <c r="X374" t="s">
        <v>205</v>
      </c>
      <c r="Y374" s="74" t="str">
        <f ca="1">IF(Table15[[#This Row],[Type]]="KILL",IF(_xlfn.NUMBERVALUE(RIGHT(Table15[[#This Row],[Min]],LEN(Table15[[#This Row],[Min]])-FIND("-",Table15[[#This Row],[Min]])))&gt;INDIRECT(ADDRESS(11+MATCH(LEFT(Table15[[#This Row],[Min]],FIND("-",Table15[[#This Row],[Min]])-1),Table1[Content Sku],0),16,1,1,"Entities")),"review","ok"),"ok")</f>
        <v>ok</v>
      </c>
      <c r="AK374" t="s">
        <v>482</v>
      </c>
      <c r="AL374">
        <v>0</v>
      </c>
      <c r="AM374">
        <v>0</v>
      </c>
      <c r="AN374" t="s">
        <v>8</v>
      </c>
      <c r="AO374" s="74" t="str">
        <f ca="1">IF(Table20[[#This Row],[Type]]="KILL",IF(_xlfn.NUMBERVALUE(RIGHT(Table20[[#This Row],[Min]],LEN(Table20[[#This Row],[Min]])-FIND("-",Table20[[#This Row],[Min]])))&gt;INDIRECT(ADDRESS(11+MATCH(LEFT(Table20[[#This Row],[Min]],FIND("-",Table20[[#This Row],[Min]])-1),Table1[Content Sku],0),18,1,1,"Entities")),"review","ok"),"ok")</f>
        <v>ok</v>
      </c>
    </row>
    <row r="375" spans="5:41" x14ac:dyDescent="0.25">
      <c r="E375" t="s">
        <v>289</v>
      </c>
      <c r="F375">
        <v>0</v>
      </c>
      <c r="G375">
        <v>28000</v>
      </c>
      <c r="H375" t="s">
        <v>205</v>
      </c>
      <c r="I375" s="74" t="str">
        <f ca="1">IF(Table7[[#This Row],[Type]]="KILL",IF(_xlfn.NUMBERVALUE(RIGHT(Table7[[#This Row],[Min]],LEN(Table7[[#This Row],[Min]])-FIND("-",Table7[[#This Row],[Min]])))&gt;INDIRECT(ADDRESS(11+MATCH(LEFT(Table7[[#This Row],[Min]],FIND("-",Table7[[#This Row],[Min]])-1),Table1[Content Sku],0),16,1,1,"Entities")),"review","ok"),"ok")</f>
        <v>ok</v>
      </c>
      <c r="U375" t="s">
        <v>258</v>
      </c>
      <c r="V375">
        <v>36000</v>
      </c>
      <c r="W375">
        <v>0</v>
      </c>
      <c r="X375" t="s">
        <v>205</v>
      </c>
      <c r="Y375" s="74" t="str">
        <f ca="1">IF(Table15[[#This Row],[Type]]="KILL",IF(_xlfn.NUMBERVALUE(RIGHT(Table15[[#This Row],[Min]],LEN(Table15[[#This Row],[Min]])-FIND("-",Table15[[#This Row],[Min]])))&gt;INDIRECT(ADDRESS(11+MATCH(LEFT(Table15[[#This Row],[Min]],FIND("-",Table15[[#This Row],[Min]])-1),Table1[Content Sku],0),16,1,1,"Entities")),"review","ok"),"ok")</f>
        <v>ok</v>
      </c>
      <c r="AK375" t="s">
        <v>41</v>
      </c>
      <c r="AL375">
        <v>32000</v>
      </c>
      <c r="AM375">
        <v>0</v>
      </c>
      <c r="AN375" t="s">
        <v>205</v>
      </c>
      <c r="AO375" s="74" t="str">
        <f ca="1">IF(Table20[[#This Row],[Type]]="KILL",IF(_xlfn.NUMBERVALUE(RIGHT(Table20[[#This Row],[Min]],LEN(Table20[[#This Row],[Min]])-FIND("-",Table20[[#This Row],[Min]])))&gt;INDIRECT(ADDRESS(11+MATCH(LEFT(Table20[[#This Row],[Min]],FIND("-",Table20[[#This Row],[Min]])-1),Table1[Content Sku],0),18,1,1,"Entities")),"review","ok"),"ok")</f>
        <v>ok</v>
      </c>
    </row>
    <row r="376" spans="5:41" x14ac:dyDescent="0.25">
      <c r="E376" t="s">
        <v>63</v>
      </c>
      <c r="F376">
        <v>0</v>
      </c>
      <c r="G376">
        <v>0</v>
      </c>
      <c r="H376" t="s">
        <v>8</v>
      </c>
      <c r="I376" s="74" t="str">
        <f ca="1">IF(Table7[[#This Row],[Type]]="KILL",IF(_xlfn.NUMBERVALUE(RIGHT(Table7[[#This Row],[Min]],LEN(Table7[[#This Row],[Min]])-FIND("-",Table7[[#This Row],[Min]])))&gt;INDIRECT(ADDRESS(11+MATCH(LEFT(Table7[[#This Row],[Min]],FIND("-",Table7[[#This Row],[Min]])-1),Table1[Content Sku],0),16,1,1,"Entities")),"review","ok"),"ok")</f>
        <v>ok</v>
      </c>
      <c r="U376" t="s">
        <v>545</v>
      </c>
      <c r="V376">
        <v>0</v>
      </c>
      <c r="W376">
        <v>0</v>
      </c>
      <c r="X376" t="s">
        <v>8</v>
      </c>
      <c r="Y376" s="74" t="str">
        <f ca="1">IF(Table15[[#This Row],[Type]]="KILL",IF(_xlfn.NUMBERVALUE(RIGHT(Table15[[#This Row],[Min]],LEN(Table15[[#This Row],[Min]])-FIND("-",Table15[[#This Row],[Min]])))&gt;INDIRECT(ADDRESS(11+MATCH(LEFT(Table15[[#This Row],[Min]],FIND("-",Table15[[#This Row],[Min]])-1),Table1[Content Sku],0),16,1,1,"Entities")),"review","ok"),"ok")</f>
        <v>ok</v>
      </c>
      <c r="AK376" t="s">
        <v>2662</v>
      </c>
      <c r="AL376">
        <v>0</v>
      </c>
      <c r="AM376">
        <v>0</v>
      </c>
      <c r="AN376" t="s">
        <v>8</v>
      </c>
      <c r="AO376" s="74" t="str">
        <f ca="1">IF(Table20[[#This Row],[Type]]="KILL",IF(_xlfn.NUMBERVALUE(RIGHT(Table20[[#This Row],[Min]],LEN(Table20[[#This Row],[Min]])-FIND("-",Table20[[#This Row],[Min]])))&gt;INDIRECT(ADDRESS(11+MATCH(LEFT(Table20[[#This Row],[Min]],FIND("-",Table20[[#This Row],[Min]])-1),Table1[Content Sku],0),18,1,1,"Entities")),"review","ok"),"ok")</f>
        <v>ok</v>
      </c>
    </row>
    <row r="377" spans="5:41" x14ac:dyDescent="0.25">
      <c r="E377" t="s">
        <v>315</v>
      </c>
      <c r="F377">
        <v>0</v>
      </c>
      <c r="G377">
        <v>0</v>
      </c>
      <c r="H377" t="s">
        <v>8</v>
      </c>
      <c r="I377" s="74" t="str">
        <f ca="1">IF(Table7[[#This Row],[Type]]="KILL",IF(_xlfn.NUMBERVALUE(RIGHT(Table7[[#This Row],[Min]],LEN(Table7[[#This Row],[Min]])-FIND("-",Table7[[#This Row],[Min]])))&gt;INDIRECT(ADDRESS(11+MATCH(LEFT(Table7[[#This Row],[Min]],FIND("-",Table7[[#This Row],[Min]])-1),Table1[Content Sku],0),16,1,1,"Entities")),"review","ok"),"ok")</f>
        <v>ok</v>
      </c>
      <c r="U377" t="s">
        <v>313</v>
      </c>
      <c r="V377">
        <v>0</v>
      </c>
      <c r="W377">
        <v>0</v>
      </c>
      <c r="X377" t="s">
        <v>8</v>
      </c>
      <c r="Y377" s="74" t="str">
        <f ca="1">IF(Table15[[#This Row],[Type]]="KILL",IF(_xlfn.NUMBERVALUE(RIGHT(Table15[[#This Row],[Min]],LEN(Table15[[#This Row],[Min]])-FIND("-",Table15[[#This Row],[Min]])))&gt;INDIRECT(ADDRESS(11+MATCH(LEFT(Table15[[#This Row],[Min]],FIND("-",Table15[[#This Row],[Min]])-1),Table1[Content Sku],0),16,1,1,"Entities")),"review","ok"),"ok")</f>
        <v>ok</v>
      </c>
      <c r="AK377" t="s">
        <v>258</v>
      </c>
      <c r="AL377">
        <v>42000</v>
      </c>
      <c r="AM377">
        <v>0</v>
      </c>
      <c r="AN377" t="s">
        <v>205</v>
      </c>
      <c r="AO377" s="74" t="str">
        <f ca="1">IF(Table20[[#This Row],[Type]]="KILL",IF(_xlfn.NUMBERVALUE(RIGHT(Table20[[#This Row],[Min]],LEN(Table20[[#This Row],[Min]])-FIND("-",Table20[[#This Row],[Min]])))&gt;INDIRECT(ADDRESS(11+MATCH(LEFT(Table20[[#This Row],[Min]],FIND("-",Table20[[#This Row],[Min]])-1),Table1[Content Sku],0),18,1,1,"Entities")),"review","ok"),"ok")</f>
        <v>ok</v>
      </c>
    </row>
    <row r="378" spans="5:41" x14ac:dyDescent="0.25">
      <c r="E378" t="s">
        <v>37</v>
      </c>
      <c r="F378">
        <v>0</v>
      </c>
      <c r="G378">
        <v>32000</v>
      </c>
      <c r="H378" t="s">
        <v>205</v>
      </c>
      <c r="I378" s="74" t="str">
        <f ca="1">IF(Table7[[#This Row],[Type]]="KILL",IF(_xlfn.NUMBERVALUE(RIGHT(Table7[[#This Row],[Min]],LEN(Table7[[#This Row],[Min]])-FIND("-",Table7[[#This Row],[Min]])))&gt;INDIRECT(ADDRESS(11+MATCH(LEFT(Table7[[#This Row],[Min]],FIND("-",Table7[[#This Row],[Min]])-1),Table1[Content Sku],0),16,1,1,"Entities")),"review","ok"),"ok")</f>
        <v>ok</v>
      </c>
      <c r="U378" t="s">
        <v>315</v>
      </c>
      <c r="V378">
        <v>25000</v>
      </c>
      <c r="W378">
        <v>0</v>
      </c>
      <c r="X378" t="s">
        <v>205</v>
      </c>
      <c r="Y378" s="74" t="str">
        <f ca="1">IF(Table15[[#This Row],[Type]]="KILL",IF(_xlfn.NUMBERVALUE(RIGHT(Table15[[#This Row],[Min]],LEN(Table15[[#This Row],[Min]])-FIND("-",Table15[[#This Row],[Min]])))&gt;INDIRECT(ADDRESS(11+MATCH(LEFT(Table15[[#This Row],[Min]],FIND("-",Table15[[#This Row],[Min]])-1),Table1[Content Sku],0),16,1,1,"Entities")),"review","ok"),"ok")</f>
        <v>ok</v>
      </c>
      <c r="AK378" t="s">
        <v>46</v>
      </c>
      <c r="AL378">
        <v>0</v>
      </c>
      <c r="AM378">
        <v>0</v>
      </c>
      <c r="AN378" t="s">
        <v>8</v>
      </c>
      <c r="AO378" s="74" t="str">
        <f ca="1">IF(Table20[[#This Row],[Type]]="KILL",IF(_xlfn.NUMBERVALUE(RIGHT(Table20[[#This Row],[Min]],LEN(Table20[[#This Row],[Min]])-FIND("-",Table20[[#This Row],[Min]])))&gt;INDIRECT(ADDRESS(11+MATCH(LEFT(Table20[[#This Row],[Min]],FIND("-",Table20[[#This Row],[Min]])-1),Table1[Content Sku],0),18,1,1,"Entities")),"review","ok"),"ok")</f>
        <v>ok</v>
      </c>
    </row>
    <row r="379" spans="5:41" x14ac:dyDescent="0.25">
      <c r="E379" t="s">
        <v>391</v>
      </c>
      <c r="F379">
        <v>0</v>
      </c>
      <c r="G379">
        <v>0</v>
      </c>
      <c r="H379" t="s">
        <v>8</v>
      </c>
      <c r="I379" s="74" t="str">
        <f ca="1">IF(Table7[[#This Row],[Type]]="KILL",IF(_xlfn.NUMBERVALUE(RIGHT(Table7[[#This Row],[Min]],LEN(Table7[[#This Row],[Min]])-FIND("-",Table7[[#This Row],[Min]])))&gt;INDIRECT(ADDRESS(11+MATCH(LEFT(Table7[[#This Row],[Min]],FIND("-",Table7[[#This Row],[Min]])-1),Table1[Content Sku],0),16,1,1,"Entities")),"review","ok"),"ok")</f>
        <v>ok</v>
      </c>
      <c r="U379" t="s">
        <v>8133</v>
      </c>
      <c r="V379">
        <v>0</v>
      </c>
      <c r="W379">
        <v>0</v>
      </c>
      <c r="X379" t="s">
        <v>8</v>
      </c>
      <c r="Y379" s="74" t="str">
        <f ca="1">IF(Table15[[#This Row],[Type]]="KILL",IF(_xlfn.NUMBERVALUE(RIGHT(Table15[[#This Row],[Min]],LEN(Table15[[#This Row],[Min]])-FIND("-",Table15[[#This Row],[Min]])))&gt;INDIRECT(ADDRESS(11+MATCH(LEFT(Table15[[#This Row],[Min]],FIND("-",Table15[[#This Row],[Min]])-1),Table1[Content Sku],0),16,1,1,"Entities")),"review","ok"),"ok")</f>
        <v>ok</v>
      </c>
      <c r="AK379" t="s">
        <v>398</v>
      </c>
      <c r="AL379">
        <v>0</v>
      </c>
      <c r="AM379">
        <v>0</v>
      </c>
      <c r="AN379" t="s">
        <v>8</v>
      </c>
      <c r="AO379" s="74" t="str">
        <f ca="1">IF(Table20[[#This Row],[Type]]="KILL",IF(_xlfn.NUMBERVALUE(RIGHT(Table20[[#This Row],[Min]],LEN(Table20[[#This Row],[Min]])-FIND("-",Table20[[#This Row],[Min]])))&gt;INDIRECT(ADDRESS(11+MATCH(LEFT(Table20[[#This Row],[Min]],FIND("-",Table20[[#This Row],[Min]])-1),Table1[Content Sku],0),18,1,1,"Entities")),"review","ok"),"ok")</f>
        <v>ok</v>
      </c>
    </row>
    <row r="380" spans="5:41" x14ac:dyDescent="0.25">
      <c r="E380" t="s">
        <v>254</v>
      </c>
      <c r="F380">
        <v>0</v>
      </c>
      <c r="G380">
        <v>0</v>
      </c>
      <c r="H380" t="s">
        <v>8</v>
      </c>
      <c r="I380" s="74" t="str">
        <f ca="1">IF(Table7[[#This Row],[Type]]="KILL",IF(_xlfn.NUMBERVALUE(RIGHT(Table7[[#This Row],[Min]],LEN(Table7[[#This Row],[Min]])-FIND("-",Table7[[#This Row],[Min]])))&gt;INDIRECT(ADDRESS(11+MATCH(LEFT(Table7[[#This Row],[Min]],FIND("-",Table7[[#This Row],[Min]])-1),Table1[Content Sku],0),16,1,1,"Entities")),"review","ok"),"ok")</f>
        <v>ok</v>
      </c>
      <c r="U380" t="s">
        <v>8133</v>
      </c>
      <c r="V380">
        <v>0</v>
      </c>
      <c r="W380">
        <v>0</v>
      </c>
      <c r="X380" t="s">
        <v>8</v>
      </c>
      <c r="Y380" s="74" t="str">
        <f ca="1">IF(Table15[[#This Row],[Type]]="KILL",IF(_xlfn.NUMBERVALUE(RIGHT(Table15[[#This Row],[Min]],LEN(Table15[[#This Row],[Min]])-FIND("-",Table15[[#This Row],[Min]])))&gt;INDIRECT(ADDRESS(11+MATCH(LEFT(Table15[[#This Row],[Min]],FIND("-",Table15[[#This Row],[Min]])-1),Table1[Content Sku],0),16,1,1,"Entities")),"review","ok"),"ok")</f>
        <v>ok</v>
      </c>
      <c r="AK380" t="s">
        <v>2736</v>
      </c>
      <c r="AL380">
        <v>0</v>
      </c>
      <c r="AM380">
        <v>0</v>
      </c>
      <c r="AN380" t="s">
        <v>8</v>
      </c>
      <c r="AO380" s="74" t="str">
        <f ca="1">IF(Table20[[#This Row],[Type]]="KILL",IF(_xlfn.NUMBERVALUE(RIGHT(Table20[[#This Row],[Min]],LEN(Table20[[#This Row],[Min]])-FIND("-",Table20[[#This Row],[Min]])))&gt;INDIRECT(ADDRESS(11+MATCH(LEFT(Table20[[#This Row],[Min]],FIND("-",Table20[[#This Row],[Min]])-1),Table1[Content Sku],0),18,1,1,"Entities")),"review","ok"),"ok")</f>
        <v>ok</v>
      </c>
    </row>
    <row r="381" spans="5:41" x14ac:dyDescent="0.25">
      <c r="E381" t="s">
        <v>318</v>
      </c>
      <c r="F381">
        <v>20000</v>
      </c>
      <c r="G381">
        <v>0</v>
      </c>
      <c r="H381" t="s">
        <v>205</v>
      </c>
      <c r="I381" s="74" t="str">
        <f ca="1">IF(Table7[[#This Row],[Type]]="KILL",IF(_xlfn.NUMBERVALUE(RIGHT(Table7[[#This Row],[Min]],LEN(Table7[[#This Row],[Min]])-FIND("-",Table7[[#This Row],[Min]])))&gt;INDIRECT(ADDRESS(11+MATCH(LEFT(Table7[[#This Row],[Min]],FIND("-",Table7[[#This Row],[Min]])-1),Table1[Content Sku],0),16,1,1,"Entities")),"review","ok"),"ok")</f>
        <v>ok</v>
      </c>
      <c r="U381" t="s">
        <v>65</v>
      </c>
      <c r="V381">
        <v>0</v>
      </c>
      <c r="W381">
        <v>0</v>
      </c>
      <c r="X381" t="s">
        <v>8</v>
      </c>
      <c r="Y381" s="74" t="str">
        <f ca="1">IF(Table15[[#This Row],[Type]]="KILL",IF(_xlfn.NUMBERVALUE(RIGHT(Table15[[#This Row],[Min]],LEN(Table15[[#This Row],[Min]])-FIND("-",Table15[[#This Row],[Min]])))&gt;INDIRECT(ADDRESS(11+MATCH(LEFT(Table15[[#This Row],[Min]],FIND("-",Table15[[#This Row],[Min]])-1),Table1[Content Sku],0),16,1,1,"Entities")),"review","ok"),"ok")</f>
        <v>ok</v>
      </c>
      <c r="AK381" t="s">
        <v>36</v>
      </c>
      <c r="AL381">
        <v>28000</v>
      </c>
      <c r="AM381">
        <v>0</v>
      </c>
      <c r="AN381" t="s">
        <v>205</v>
      </c>
      <c r="AO381" s="74" t="str">
        <f ca="1">IF(Table20[[#This Row],[Type]]="KILL",IF(_xlfn.NUMBERVALUE(RIGHT(Table20[[#This Row],[Min]],LEN(Table20[[#This Row],[Min]])-FIND("-",Table20[[#This Row],[Min]])))&gt;INDIRECT(ADDRESS(11+MATCH(LEFT(Table20[[#This Row],[Min]],FIND("-",Table20[[#This Row],[Min]])-1),Table1[Content Sku],0),18,1,1,"Entities")),"review","ok"),"ok")</f>
        <v>ok</v>
      </c>
    </row>
    <row r="382" spans="5:41" x14ac:dyDescent="0.25">
      <c r="E382" t="s">
        <v>46</v>
      </c>
      <c r="F382">
        <v>0</v>
      </c>
      <c r="G382">
        <v>0</v>
      </c>
      <c r="H382" t="s">
        <v>8</v>
      </c>
      <c r="I382" s="74" t="str">
        <f ca="1">IF(Table7[[#This Row],[Type]]="KILL",IF(_xlfn.NUMBERVALUE(RIGHT(Table7[[#This Row],[Min]],LEN(Table7[[#This Row],[Min]])-FIND("-",Table7[[#This Row],[Min]])))&gt;INDIRECT(ADDRESS(11+MATCH(LEFT(Table7[[#This Row],[Min]],FIND("-",Table7[[#This Row],[Min]])-1),Table1[Content Sku],0),16,1,1,"Entities")),"review","ok"),"ok")</f>
        <v>ok</v>
      </c>
      <c r="U382" t="s">
        <v>309</v>
      </c>
      <c r="V382">
        <v>0</v>
      </c>
      <c r="W382">
        <v>0</v>
      </c>
      <c r="X382" t="s">
        <v>8</v>
      </c>
      <c r="Y382" s="74" t="str">
        <f ca="1">IF(Table15[[#This Row],[Type]]="KILL",IF(_xlfn.NUMBERVALUE(RIGHT(Table15[[#This Row],[Min]],LEN(Table15[[#This Row],[Min]])-FIND("-",Table15[[#This Row],[Min]])))&gt;INDIRECT(ADDRESS(11+MATCH(LEFT(Table15[[#This Row],[Min]],FIND("-",Table15[[#This Row],[Min]])-1),Table1[Content Sku],0),16,1,1,"Entities")),"review","ok"),"ok")</f>
        <v>ok</v>
      </c>
      <c r="AK382" t="s">
        <v>2662</v>
      </c>
      <c r="AL382">
        <v>0</v>
      </c>
      <c r="AM382">
        <v>0</v>
      </c>
      <c r="AN382" t="s">
        <v>8</v>
      </c>
      <c r="AO382" s="74" t="str">
        <f ca="1">IF(Table20[[#This Row],[Type]]="KILL",IF(_xlfn.NUMBERVALUE(RIGHT(Table20[[#This Row],[Min]],LEN(Table20[[#This Row],[Min]])-FIND("-",Table20[[#This Row],[Min]])))&gt;INDIRECT(ADDRESS(11+MATCH(LEFT(Table20[[#This Row],[Min]],FIND("-",Table20[[#This Row],[Min]])-1),Table1[Content Sku],0),18,1,1,"Entities")),"review","ok"),"ok")</f>
        <v>ok</v>
      </c>
    </row>
    <row r="383" spans="5:41" x14ac:dyDescent="0.25">
      <c r="E383" t="s">
        <v>45</v>
      </c>
      <c r="F383">
        <v>0</v>
      </c>
      <c r="G383">
        <v>0</v>
      </c>
      <c r="H383" t="s">
        <v>8</v>
      </c>
      <c r="I383" s="74" t="str">
        <f ca="1">IF(Table7[[#This Row],[Type]]="KILL",IF(_xlfn.NUMBERVALUE(RIGHT(Table7[[#This Row],[Min]],LEN(Table7[[#This Row],[Min]])-FIND("-",Table7[[#This Row],[Min]])))&gt;INDIRECT(ADDRESS(11+MATCH(LEFT(Table7[[#This Row],[Min]],FIND("-",Table7[[#This Row],[Min]])-1),Table1[Content Sku],0),16,1,1,"Entities")),"review","ok"),"ok")</f>
        <v>ok</v>
      </c>
      <c r="U383" t="s">
        <v>289</v>
      </c>
      <c r="V383">
        <v>0</v>
      </c>
      <c r="W383">
        <v>0</v>
      </c>
      <c r="X383" t="s">
        <v>8</v>
      </c>
      <c r="Y383" s="74" t="str">
        <f ca="1">IF(Table15[[#This Row],[Type]]="KILL",IF(_xlfn.NUMBERVALUE(RIGHT(Table15[[#This Row],[Min]],LEN(Table15[[#This Row],[Min]])-FIND("-",Table15[[#This Row],[Min]])))&gt;INDIRECT(ADDRESS(11+MATCH(LEFT(Table15[[#This Row],[Min]],FIND("-",Table15[[#This Row],[Min]])-1),Table1[Content Sku],0),16,1,1,"Entities")),"review","ok"),"ok")</f>
        <v>ok</v>
      </c>
      <c r="AK383" t="s">
        <v>2767</v>
      </c>
      <c r="AL383">
        <v>0</v>
      </c>
      <c r="AM383">
        <v>0</v>
      </c>
      <c r="AN383" t="s">
        <v>8</v>
      </c>
      <c r="AO383" s="74" t="str">
        <f ca="1">IF(Table20[[#This Row],[Type]]="KILL",IF(_xlfn.NUMBERVALUE(RIGHT(Table20[[#This Row],[Min]],LEN(Table20[[#This Row],[Min]])-FIND("-",Table20[[#This Row],[Min]])))&gt;INDIRECT(ADDRESS(11+MATCH(LEFT(Table20[[#This Row],[Min]],FIND("-",Table20[[#This Row],[Min]])-1),Table1[Content Sku],0),18,1,1,"Entities")),"review","ok"),"ok")</f>
        <v>ok</v>
      </c>
    </row>
    <row r="384" spans="5:41" x14ac:dyDescent="0.25">
      <c r="E384" t="s">
        <v>393</v>
      </c>
      <c r="F384">
        <v>0</v>
      </c>
      <c r="G384">
        <v>0</v>
      </c>
      <c r="H384" t="s">
        <v>8</v>
      </c>
      <c r="I384" s="74" t="str">
        <f ca="1">IF(Table7[[#This Row],[Type]]="KILL",IF(_xlfn.NUMBERVALUE(RIGHT(Table7[[#This Row],[Min]],LEN(Table7[[#This Row],[Min]])-FIND("-",Table7[[#This Row],[Min]])))&gt;INDIRECT(ADDRESS(11+MATCH(LEFT(Table7[[#This Row],[Min]],FIND("-",Table7[[#This Row],[Min]])-1),Table1[Content Sku],0),16,1,1,"Entities")),"review","ok"),"ok")</f>
        <v>ok</v>
      </c>
      <c r="U384" t="s">
        <v>313</v>
      </c>
      <c r="V384">
        <v>0</v>
      </c>
      <c r="W384">
        <v>0</v>
      </c>
      <c r="X384" t="s">
        <v>8</v>
      </c>
      <c r="Y384" s="74" t="str">
        <f ca="1">IF(Table15[[#This Row],[Type]]="KILL",IF(_xlfn.NUMBERVALUE(RIGHT(Table15[[#This Row],[Min]],LEN(Table15[[#This Row],[Min]])-FIND("-",Table15[[#This Row],[Min]])))&gt;INDIRECT(ADDRESS(11+MATCH(LEFT(Table15[[#This Row],[Min]],FIND("-",Table15[[#This Row],[Min]])-1),Table1[Content Sku],0),16,1,1,"Entities")),"review","ok"),"ok")</f>
        <v>ok</v>
      </c>
      <c r="AK384" t="s">
        <v>37</v>
      </c>
      <c r="AL384">
        <v>0</v>
      </c>
      <c r="AM384">
        <v>0</v>
      </c>
      <c r="AN384" t="s">
        <v>8</v>
      </c>
      <c r="AO384" s="74" t="str">
        <f ca="1">IF(Table20[[#This Row],[Type]]="KILL",IF(_xlfn.NUMBERVALUE(RIGHT(Table20[[#This Row],[Min]],LEN(Table20[[#This Row],[Min]])-FIND("-",Table20[[#This Row],[Min]])))&gt;INDIRECT(ADDRESS(11+MATCH(LEFT(Table20[[#This Row],[Min]],FIND("-",Table20[[#This Row],[Min]])-1),Table1[Content Sku],0),18,1,1,"Entities")),"review","ok"),"ok")</f>
        <v>ok</v>
      </c>
    </row>
    <row r="385" spans="5:41" x14ac:dyDescent="0.25">
      <c r="E385" t="s">
        <v>336</v>
      </c>
      <c r="F385">
        <v>20000</v>
      </c>
      <c r="G385">
        <v>0</v>
      </c>
      <c r="H385" t="s">
        <v>205</v>
      </c>
      <c r="I385" s="74" t="str">
        <f ca="1">IF(Table7[[#This Row],[Type]]="KILL",IF(_xlfn.NUMBERVALUE(RIGHT(Table7[[#This Row],[Min]],LEN(Table7[[#This Row],[Min]])-FIND("-",Table7[[#This Row],[Min]])))&gt;INDIRECT(ADDRESS(11+MATCH(LEFT(Table7[[#This Row],[Min]],FIND("-",Table7[[#This Row],[Min]])-1),Table1[Content Sku],0),16,1,1,"Entities")),"review","ok"),"ok")</f>
        <v>ok</v>
      </c>
      <c r="U385" t="s">
        <v>7991</v>
      </c>
      <c r="V385">
        <v>0</v>
      </c>
      <c r="W385">
        <v>0</v>
      </c>
      <c r="X385" t="s">
        <v>8</v>
      </c>
      <c r="Y385" s="74" t="str">
        <f ca="1">IF(Table15[[#This Row],[Type]]="KILL",IF(_xlfn.NUMBERVALUE(RIGHT(Table15[[#This Row],[Min]],LEN(Table15[[#This Row],[Min]])-FIND("-",Table15[[#This Row],[Min]])))&gt;INDIRECT(ADDRESS(11+MATCH(LEFT(Table15[[#This Row],[Min]],FIND("-",Table15[[#This Row],[Min]])-1),Table1[Content Sku],0),16,1,1,"Entities")),"review","ok"),"ok")</f>
        <v>ok</v>
      </c>
      <c r="AK385" t="s">
        <v>2741</v>
      </c>
      <c r="AL385">
        <v>0</v>
      </c>
      <c r="AM385">
        <v>0</v>
      </c>
      <c r="AN385" t="s">
        <v>8</v>
      </c>
      <c r="AO385" s="74" t="str">
        <f ca="1">IF(Table20[[#This Row],[Type]]="KILL",IF(_xlfn.NUMBERVALUE(RIGHT(Table20[[#This Row],[Min]],LEN(Table20[[#This Row],[Min]])-FIND("-",Table20[[#This Row],[Min]])))&gt;INDIRECT(ADDRESS(11+MATCH(LEFT(Table20[[#This Row],[Min]],FIND("-",Table20[[#This Row],[Min]])-1),Table1[Content Sku],0),18,1,1,"Entities")),"review","ok"),"ok")</f>
        <v>ok</v>
      </c>
    </row>
    <row r="386" spans="5:41" x14ac:dyDescent="0.25">
      <c r="E386" t="s">
        <v>276</v>
      </c>
      <c r="F386">
        <v>0</v>
      </c>
      <c r="G386">
        <v>0</v>
      </c>
      <c r="H386" t="s">
        <v>8</v>
      </c>
      <c r="I386" s="74" t="str">
        <f ca="1">IF(Table7[[#This Row],[Type]]="KILL",IF(_xlfn.NUMBERVALUE(RIGHT(Table7[[#This Row],[Min]],LEN(Table7[[#This Row],[Min]])-FIND("-",Table7[[#This Row],[Min]])))&gt;INDIRECT(ADDRESS(11+MATCH(LEFT(Table7[[#This Row],[Min]],FIND("-",Table7[[#This Row],[Min]])-1),Table1[Content Sku],0),16,1,1,"Entities")),"review","ok"),"ok")</f>
        <v>ok</v>
      </c>
      <c r="U386" t="s">
        <v>400</v>
      </c>
      <c r="V386">
        <v>0</v>
      </c>
      <c r="W386">
        <v>0</v>
      </c>
      <c r="X386" t="s">
        <v>8</v>
      </c>
      <c r="Y386" s="74" t="str">
        <f ca="1">IF(Table15[[#This Row],[Type]]="KILL",IF(_xlfn.NUMBERVALUE(RIGHT(Table15[[#This Row],[Min]],LEN(Table15[[#This Row],[Min]])-FIND("-",Table15[[#This Row],[Min]])))&gt;INDIRECT(ADDRESS(11+MATCH(LEFT(Table15[[#This Row],[Min]],FIND("-",Table15[[#This Row],[Min]])-1),Table1[Content Sku],0),16,1,1,"Entities")),"review","ok"),"ok")</f>
        <v>ok</v>
      </c>
      <c r="AK386" t="s">
        <v>553</v>
      </c>
      <c r="AL386">
        <v>0</v>
      </c>
      <c r="AM386">
        <v>0</v>
      </c>
      <c r="AN386" t="s">
        <v>8</v>
      </c>
      <c r="AO386" s="74" t="str">
        <f ca="1">IF(Table20[[#This Row],[Type]]="KILL",IF(_xlfn.NUMBERVALUE(RIGHT(Table20[[#This Row],[Min]],LEN(Table20[[#This Row],[Min]])-FIND("-",Table20[[#This Row],[Min]])))&gt;INDIRECT(ADDRESS(11+MATCH(LEFT(Table20[[#This Row],[Min]],FIND("-",Table20[[#This Row],[Min]])-1),Table1[Content Sku],0),18,1,1,"Entities")),"review","ok"),"ok")</f>
        <v>ok</v>
      </c>
    </row>
    <row r="387" spans="5:41" x14ac:dyDescent="0.25">
      <c r="E387" t="s">
        <v>254</v>
      </c>
      <c r="F387">
        <v>0</v>
      </c>
      <c r="G387">
        <v>0</v>
      </c>
      <c r="H387" t="s">
        <v>8</v>
      </c>
      <c r="I387" s="74" t="str">
        <f ca="1">IF(Table7[[#This Row],[Type]]="KILL",IF(_xlfn.NUMBERVALUE(RIGHT(Table7[[#This Row],[Min]],LEN(Table7[[#This Row],[Min]])-FIND("-",Table7[[#This Row],[Min]])))&gt;INDIRECT(ADDRESS(11+MATCH(LEFT(Table7[[#This Row],[Min]],FIND("-",Table7[[#This Row],[Min]])-1),Table1[Content Sku],0),16,1,1,"Entities")),"review","ok"),"ok")</f>
        <v>ok</v>
      </c>
      <c r="U387" t="s">
        <v>36</v>
      </c>
      <c r="V387">
        <v>0</v>
      </c>
      <c r="W387">
        <v>0</v>
      </c>
      <c r="X387" t="s">
        <v>8</v>
      </c>
      <c r="Y387" s="74" t="str">
        <f ca="1">IF(Table15[[#This Row],[Type]]="KILL",IF(_xlfn.NUMBERVALUE(RIGHT(Table15[[#This Row],[Min]],LEN(Table15[[#This Row],[Min]])-FIND("-",Table15[[#This Row],[Min]])))&gt;INDIRECT(ADDRESS(11+MATCH(LEFT(Table15[[#This Row],[Min]],FIND("-",Table15[[#This Row],[Min]])-1),Table1[Content Sku],0),16,1,1,"Entities")),"review","ok"),"ok")</f>
        <v>ok</v>
      </c>
      <c r="AK387" t="s">
        <v>37</v>
      </c>
      <c r="AL387">
        <v>0</v>
      </c>
      <c r="AM387">
        <v>0</v>
      </c>
      <c r="AN387" t="s">
        <v>8</v>
      </c>
      <c r="AO387" s="74" t="str">
        <f ca="1">IF(Table20[[#This Row],[Type]]="KILL",IF(_xlfn.NUMBERVALUE(RIGHT(Table20[[#This Row],[Min]],LEN(Table20[[#This Row],[Min]])-FIND("-",Table20[[#This Row],[Min]])))&gt;INDIRECT(ADDRESS(11+MATCH(LEFT(Table20[[#This Row],[Min]],FIND("-",Table20[[#This Row],[Min]])-1),Table1[Content Sku],0),18,1,1,"Entities")),"review","ok"),"ok")</f>
        <v>ok</v>
      </c>
    </row>
    <row r="388" spans="5:41" x14ac:dyDescent="0.25">
      <c r="E388" t="s">
        <v>37</v>
      </c>
      <c r="F388">
        <v>0</v>
      </c>
      <c r="G388">
        <v>24000</v>
      </c>
      <c r="H388" t="s">
        <v>205</v>
      </c>
      <c r="I388" s="74" t="str">
        <f ca="1">IF(Table7[[#This Row],[Type]]="KILL",IF(_xlfn.NUMBERVALUE(RIGHT(Table7[[#This Row],[Min]],LEN(Table7[[#This Row],[Min]])-FIND("-",Table7[[#This Row],[Min]])))&gt;INDIRECT(ADDRESS(11+MATCH(LEFT(Table7[[#This Row],[Min]],FIND("-",Table7[[#This Row],[Min]])-1),Table1[Content Sku],0),16,1,1,"Entities")),"review","ok"),"ok")</f>
        <v>ok</v>
      </c>
      <c r="U388" t="s">
        <v>254</v>
      </c>
      <c r="V388">
        <v>0</v>
      </c>
      <c r="W388">
        <v>0</v>
      </c>
      <c r="X388" t="s">
        <v>8</v>
      </c>
      <c r="Y388" s="74" t="str">
        <f ca="1">IF(Table15[[#This Row],[Type]]="KILL",IF(_xlfn.NUMBERVALUE(RIGHT(Table15[[#This Row],[Min]],LEN(Table15[[#This Row],[Min]])-FIND("-",Table15[[#This Row],[Min]])))&gt;INDIRECT(ADDRESS(11+MATCH(LEFT(Table15[[#This Row],[Min]],FIND("-",Table15[[#This Row],[Min]])-1),Table1[Content Sku],0),16,1,1,"Entities")),"review","ok"),"ok")</f>
        <v>ok</v>
      </c>
      <c r="AK388" t="s">
        <v>2680</v>
      </c>
      <c r="AL388">
        <v>0</v>
      </c>
      <c r="AM388">
        <v>0</v>
      </c>
      <c r="AN388" t="s">
        <v>8</v>
      </c>
      <c r="AO388" s="74" t="str">
        <f ca="1">IF(Table20[[#This Row],[Type]]="KILL",IF(_xlfn.NUMBERVALUE(RIGHT(Table20[[#This Row],[Min]],LEN(Table20[[#This Row],[Min]])-FIND("-",Table20[[#This Row],[Min]])))&gt;INDIRECT(ADDRESS(11+MATCH(LEFT(Table20[[#This Row],[Min]],FIND("-",Table20[[#This Row],[Min]])-1),Table1[Content Sku],0),18,1,1,"Entities")),"review","ok"),"ok")</f>
        <v>ok</v>
      </c>
    </row>
    <row r="389" spans="5:41" x14ac:dyDescent="0.25">
      <c r="E389" t="s">
        <v>289</v>
      </c>
      <c r="F389">
        <v>0</v>
      </c>
      <c r="G389">
        <v>0</v>
      </c>
      <c r="H389" t="s">
        <v>8</v>
      </c>
      <c r="I389" s="74" t="str">
        <f ca="1">IF(Table7[[#This Row],[Type]]="KILL",IF(_xlfn.NUMBERVALUE(RIGHT(Table7[[#This Row],[Min]],LEN(Table7[[#This Row],[Min]])-FIND("-",Table7[[#This Row],[Min]])))&gt;INDIRECT(ADDRESS(11+MATCH(LEFT(Table7[[#This Row],[Min]],FIND("-",Table7[[#This Row],[Min]])-1),Table1[Content Sku],0),16,1,1,"Entities")),"review","ok"),"ok")</f>
        <v>ok</v>
      </c>
      <c r="U389" t="s">
        <v>289</v>
      </c>
      <c r="V389">
        <v>0</v>
      </c>
      <c r="W389">
        <v>0</v>
      </c>
      <c r="X389" t="s">
        <v>8</v>
      </c>
      <c r="Y389" s="74" t="str">
        <f ca="1">IF(Table15[[#This Row],[Type]]="KILL",IF(_xlfn.NUMBERVALUE(RIGHT(Table15[[#This Row],[Min]],LEN(Table15[[#This Row],[Min]])-FIND("-",Table15[[#This Row],[Min]])))&gt;INDIRECT(ADDRESS(11+MATCH(LEFT(Table15[[#This Row],[Min]],FIND("-",Table15[[#This Row],[Min]])-1),Table1[Content Sku],0),16,1,1,"Entities")),"review","ok"),"ok")</f>
        <v>ok</v>
      </c>
      <c r="AK389" t="s">
        <v>540</v>
      </c>
      <c r="AL389">
        <v>0</v>
      </c>
      <c r="AM389">
        <v>0</v>
      </c>
      <c r="AN389" t="s">
        <v>8</v>
      </c>
      <c r="AO389" s="74" t="str">
        <f ca="1">IF(Table20[[#This Row],[Type]]="KILL",IF(_xlfn.NUMBERVALUE(RIGHT(Table20[[#This Row],[Min]],LEN(Table20[[#This Row],[Min]])-FIND("-",Table20[[#This Row],[Min]])))&gt;INDIRECT(ADDRESS(11+MATCH(LEFT(Table20[[#This Row],[Min]],FIND("-",Table20[[#This Row],[Min]])-1),Table1[Content Sku],0),18,1,1,"Entities")),"review","ok"),"ok")</f>
        <v>ok</v>
      </c>
    </row>
    <row r="390" spans="5:41" x14ac:dyDescent="0.25">
      <c r="E390" t="s">
        <v>253</v>
      </c>
      <c r="F390">
        <v>0</v>
      </c>
      <c r="G390">
        <v>0</v>
      </c>
      <c r="H390" t="s">
        <v>8</v>
      </c>
      <c r="I390" s="74" t="str">
        <f ca="1">IF(Table7[[#This Row],[Type]]="KILL",IF(_xlfn.NUMBERVALUE(RIGHT(Table7[[#This Row],[Min]],LEN(Table7[[#This Row],[Min]])-FIND("-",Table7[[#This Row],[Min]])))&gt;INDIRECT(ADDRESS(11+MATCH(LEFT(Table7[[#This Row],[Min]],FIND("-",Table7[[#This Row],[Min]])-1),Table1[Content Sku],0),16,1,1,"Entities")),"review","ok"),"ok")</f>
        <v>ok</v>
      </c>
      <c r="U390" t="s">
        <v>545</v>
      </c>
      <c r="V390">
        <v>0</v>
      </c>
      <c r="W390">
        <v>0</v>
      </c>
      <c r="X390" t="s">
        <v>8</v>
      </c>
      <c r="Y390" s="74" t="str">
        <f ca="1">IF(Table15[[#This Row],[Type]]="KILL",IF(_xlfn.NUMBERVALUE(RIGHT(Table15[[#This Row],[Min]],LEN(Table15[[#This Row],[Min]])-FIND("-",Table15[[#This Row],[Min]])))&gt;INDIRECT(ADDRESS(11+MATCH(LEFT(Table15[[#This Row],[Min]],FIND("-",Table15[[#This Row],[Min]])-1),Table1[Content Sku],0),16,1,1,"Entities")),"review","ok"),"ok")</f>
        <v>ok</v>
      </c>
      <c r="AK390" t="s">
        <v>37</v>
      </c>
      <c r="AL390">
        <v>0</v>
      </c>
      <c r="AM390">
        <v>0</v>
      </c>
      <c r="AN390" t="s">
        <v>8</v>
      </c>
      <c r="AO390" s="74" t="str">
        <f ca="1">IF(Table20[[#This Row],[Type]]="KILL",IF(_xlfn.NUMBERVALUE(RIGHT(Table20[[#This Row],[Min]],LEN(Table20[[#This Row],[Min]])-FIND("-",Table20[[#This Row],[Min]])))&gt;INDIRECT(ADDRESS(11+MATCH(LEFT(Table20[[#This Row],[Min]],FIND("-",Table20[[#This Row],[Min]])-1),Table1[Content Sku],0),18,1,1,"Entities")),"review","ok"),"ok")</f>
        <v>ok</v>
      </c>
    </row>
    <row r="391" spans="5:41" x14ac:dyDescent="0.25">
      <c r="E391" t="s">
        <v>315</v>
      </c>
      <c r="F391">
        <v>0</v>
      </c>
      <c r="G391">
        <v>0</v>
      </c>
      <c r="H391" t="s">
        <v>8</v>
      </c>
      <c r="I391" s="74" t="str">
        <f ca="1">IF(Table7[[#This Row],[Type]]="KILL",IF(_xlfn.NUMBERVALUE(RIGHT(Table7[[#This Row],[Min]],LEN(Table7[[#This Row],[Min]])-FIND("-",Table7[[#This Row],[Min]])))&gt;INDIRECT(ADDRESS(11+MATCH(LEFT(Table7[[#This Row],[Min]],FIND("-",Table7[[#This Row],[Min]])-1),Table1[Content Sku],0),16,1,1,"Entities")),"review","ok"),"ok")</f>
        <v>ok</v>
      </c>
      <c r="U391" t="s">
        <v>254</v>
      </c>
      <c r="V391">
        <v>0</v>
      </c>
      <c r="W391">
        <v>0</v>
      </c>
      <c r="X391" t="s">
        <v>8</v>
      </c>
      <c r="Y391" s="74" t="str">
        <f ca="1">IF(Table15[[#This Row],[Type]]="KILL",IF(_xlfn.NUMBERVALUE(RIGHT(Table15[[#This Row],[Min]],LEN(Table15[[#This Row],[Min]])-FIND("-",Table15[[#This Row],[Min]])))&gt;INDIRECT(ADDRESS(11+MATCH(LEFT(Table15[[#This Row],[Min]],FIND("-",Table15[[#This Row],[Min]])-1),Table1[Content Sku],0),16,1,1,"Entities")),"review","ok"),"ok")</f>
        <v>ok</v>
      </c>
      <c r="AK391" t="s">
        <v>346</v>
      </c>
      <c r="AL391">
        <v>25000</v>
      </c>
      <c r="AM391">
        <v>0</v>
      </c>
      <c r="AN391" t="s">
        <v>205</v>
      </c>
      <c r="AO391" s="74" t="str">
        <f ca="1">IF(Table20[[#This Row],[Type]]="KILL",IF(_xlfn.NUMBERVALUE(RIGHT(Table20[[#This Row],[Min]],LEN(Table20[[#This Row],[Min]])-FIND("-",Table20[[#This Row],[Min]])))&gt;INDIRECT(ADDRESS(11+MATCH(LEFT(Table20[[#This Row],[Min]],FIND("-",Table20[[#This Row],[Min]])-1),Table1[Content Sku],0),18,1,1,"Entities")),"review","ok"),"ok")</f>
        <v>ok</v>
      </c>
    </row>
    <row r="392" spans="5:41" x14ac:dyDescent="0.25">
      <c r="E392" t="s">
        <v>37</v>
      </c>
      <c r="F392">
        <v>0</v>
      </c>
      <c r="G392">
        <v>0</v>
      </c>
      <c r="H392" t="s">
        <v>8</v>
      </c>
      <c r="I392" s="74" t="str">
        <f ca="1">IF(Table7[[#This Row],[Type]]="KILL",IF(_xlfn.NUMBERVALUE(RIGHT(Table7[[#This Row],[Min]],LEN(Table7[[#This Row],[Min]])-FIND("-",Table7[[#This Row],[Min]])))&gt;INDIRECT(ADDRESS(11+MATCH(LEFT(Table7[[#This Row],[Min]],FIND("-",Table7[[#This Row],[Min]])-1),Table1[Content Sku],0),16,1,1,"Entities")),"review","ok"),"ok")</f>
        <v>ok</v>
      </c>
      <c r="U392" t="s">
        <v>95</v>
      </c>
      <c r="V392">
        <v>0</v>
      </c>
      <c r="W392">
        <v>0</v>
      </c>
      <c r="X392" t="s">
        <v>8</v>
      </c>
      <c r="Y392" s="74" t="str">
        <f ca="1">IF(Table15[[#This Row],[Type]]="KILL",IF(_xlfn.NUMBERVALUE(RIGHT(Table15[[#This Row],[Min]],LEN(Table15[[#This Row],[Min]])-FIND("-",Table15[[#This Row],[Min]])))&gt;INDIRECT(ADDRESS(11+MATCH(LEFT(Table15[[#This Row],[Min]],FIND("-",Table15[[#This Row],[Min]])-1),Table1[Content Sku],0),16,1,1,"Entities")),"review","ok"),"ok")</f>
        <v>ok</v>
      </c>
      <c r="AK392" t="s">
        <v>2664</v>
      </c>
      <c r="AL392">
        <v>0</v>
      </c>
      <c r="AM392">
        <v>0</v>
      </c>
      <c r="AN392" t="s">
        <v>8</v>
      </c>
      <c r="AO392" s="74" t="str">
        <f ca="1">IF(Table20[[#This Row],[Type]]="KILL",IF(_xlfn.NUMBERVALUE(RIGHT(Table20[[#This Row],[Min]],LEN(Table20[[#This Row],[Min]])-FIND("-",Table20[[#This Row],[Min]])))&gt;INDIRECT(ADDRESS(11+MATCH(LEFT(Table20[[#This Row],[Min]],FIND("-",Table20[[#This Row],[Min]])-1),Table1[Content Sku],0),18,1,1,"Entities")),"review","ok"),"ok")</f>
        <v>ok</v>
      </c>
    </row>
    <row r="393" spans="5:41" x14ac:dyDescent="0.25">
      <c r="E393" t="s">
        <v>548</v>
      </c>
      <c r="F393">
        <v>0</v>
      </c>
      <c r="G393">
        <v>0</v>
      </c>
      <c r="H393" t="s">
        <v>8</v>
      </c>
      <c r="I393" s="74" t="str">
        <f ca="1">IF(Table7[[#This Row],[Type]]="KILL",IF(_xlfn.NUMBERVALUE(RIGHT(Table7[[#This Row],[Min]],LEN(Table7[[#This Row],[Min]])-FIND("-",Table7[[#This Row],[Min]])))&gt;INDIRECT(ADDRESS(11+MATCH(LEFT(Table7[[#This Row],[Min]],FIND("-",Table7[[#This Row],[Min]])-1),Table1[Content Sku],0),16,1,1,"Entities")),"review","ok"),"ok")</f>
        <v>ok</v>
      </c>
      <c r="U393" t="s">
        <v>36</v>
      </c>
      <c r="V393">
        <v>17000</v>
      </c>
      <c r="W393">
        <v>0</v>
      </c>
      <c r="X393" t="s">
        <v>205</v>
      </c>
      <c r="Y393" s="74" t="str">
        <f ca="1">IF(Table15[[#This Row],[Type]]="KILL",IF(_xlfn.NUMBERVALUE(RIGHT(Table15[[#This Row],[Min]],LEN(Table15[[#This Row],[Min]])-FIND("-",Table15[[#This Row],[Min]])))&gt;INDIRECT(ADDRESS(11+MATCH(LEFT(Table15[[#This Row],[Min]],FIND("-",Table15[[#This Row],[Min]])-1),Table1[Content Sku],0),16,1,1,"Entities")),"review","ok"),"ok")</f>
        <v>ok</v>
      </c>
      <c r="AK393" t="s">
        <v>258</v>
      </c>
      <c r="AL393">
        <v>43000</v>
      </c>
      <c r="AM393">
        <v>0</v>
      </c>
      <c r="AN393" t="s">
        <v>205</v>
      </c>
      <c r="AO393" s="74" t="str">
        <f ca="1">IF(Table20[[#This Row],[Type]]="KILL",IF(_xlfn.NUMBERVALUE(RIGHT(Table20[[#This Row],[Min]],LEN(Table20[[#This Row],[Min]])-FIND("-",Table20[[#This Row],[Min]])))&gt;INDIRECT(ADDRESS(11+MATCH(LEFT(Table20[[#This Row],[Min]],FIND("-",Table20[[#This Row],[Min]])-1),Table1[Content Sku],0),18,1,1,"Entities")),"review","ok"),"ok")</f>
        <v>ok</v>
      </c>
    </row>
    <row r="394" spans="5:41" x14ac:dyDescent="0.25">
      <c r="E394" t="s">
        <v>253</v>
      </c>
      <c r="F394">
        <v>0</v>
      </c>
      <c r="G394">
        <v>0</v>
      </c>
      <c r="H394" t="s">
        <v>8</v>
      </c>
      <c r="I394" s="74" t="str">
        <f ca="1">IF(Table7[[#This Row],[Type]]="KILL",IF(_xlfn.NUMBERVALUE(RIGHT(Table7[[#This Row],[Min]],LEN(Table7[[#This Row],[Min]])-FIND("-",Table7[[#This Row],[Min]])))&gt;INDIRECT(ADDRESS(11+MATCH(LEFT(Table7[[#This Row],[Min]],FIND("-",Table7[[#This Row],[Min]])-1),Table1[Content Sku],0),16,1,1,"Entities")),"review","ok"),"ok")</f>
        <v>ok</v>
      </c>
      <c r="U394" t="s">
        <v>313</v>
      </c>
      <c r="V394">
        <v>0</v>
      </c>
      <c r="W394">
        <v>0</v>
      </c>
      <c r="X394" t="s">
        <v>8</v>
      </c>
      <c r="Y394" s="74" t="str">
        <f ca="1">IF(Table15[[#This Row],[Type]]="KILL",IF(_xlfn.NUMBERVALUE(RIGHT(Table15[[#This Row],[Min]],LEN(Table15[[#This Row],[Min]])-FIND("-",Table15[[#This Row],[Min]])))&gt;INDIRECT(ADDRESS(11+MATCH(LEFT(Table15[[#This Row],[Min]],FIND("-",Table15[[#This Row],[Min]])-1),Table1[Content Sku],0),16,1,1,"Entities")),"review","ok"),"ok")</f>
        <v>ok</v>
      </c>
      <c r="AK394" t="s">
        <v>412</v>
      </c>
      <c r="AL394">
        <v>31000</v>
      </c>
      <c r="AM394">
        <v>0</v>
      </c>
      <c r="AN394" t="s">
        <v>205</v>
      </c>
      <c r="AO394" s="74" t="str">
        <f ca="1">IF(Table20[[#This Row],[Type]]="KILL",IF(_xlfn.NUMBERVALUE(RIGHT(Table20[[#This Row],[Min]],LEN(Table20[[#This Row],[Min]])-FIND("-",Table20[[#This Row],[Min]])))&gt;INDIRECT(ADDRESS(11+MATCH(LEFT(Table20[[#This Row],[Min]],FIND("-",Table20[[#This Row],[Min]])-1),Table1[Content Sku],0),18,1,1,"Entities")),"review","ok"),"ok")</f>
        <v>ok</v>
      </c>
    </row>
    <row r="395" spans="5:41" x14ac:dyDescent="0.25">
      <c r="E395" t="s">
        <v>311</v>
      </c>
      <c r="F395">
        <v>0</v>
      </c>
      <c r="G395">
        <v>0</v>
      </c>
      <c r="H395" t="s">
        <v>8</v>
      </c>
      <c r="I395" s="74" t="str">
        <f ca="1">IF(Table7[[#This Row],[Type]]="KILL",IF(_xlfn.NUMBERVALUE(RIGHT(Table7[[#This Row],[Min]],LEN(Table7[[#This Row],[Min]])-FIND("-",Table7[[#This Row],[Min]])))&gt;INDIRECT(ADDRESS(11+MATCH(LEFT(Table7[[#This Row],[Min]],FIND("-",Table7[[#This Row],[Min]])-1),Table1[Content Sku],0),16,1,1,"Entities")),"review","ok"),"ok")</f>
        <v>ok</v>
      </c>
      <c r="U395" t="s">
        <v>41</v>
      </c>
      <c r="V395">
        <v>32000</v>
      </c>
      <c r="W395">
        <v>0</v>
      </c>
      <c r="X395" t="s">
        <v>205</v>
      </c>
      <c r="Y395" s="74" t="str">
        <f ca="1">IF(Table15[[#This Row],[Type]]="KILL",IF(_xlfn.NUMBERVALUE(RIGHT(Table15[[#This Row],[Min]],LEN(Table15[[#This Row],[Min]])-FIND("-",Table15[[#This Row],[Min]])))&gt;INDIRECT(ADDRESS(11+MATCH(LEFT(Table15[[#This Row],[Min]],FIND("-",Table15[[#This Row],[Min]])-1),Table1[Content Sku],0),16,1,1,"Entities")),"review","ok"),"ok")</f>
        <v>ok</v>
      </c>
      <c r="AK395" t="s">
        <v>2662</v>
      </c>
      <c r="AL395">
        <v>0</v>
      </c>
      <c r="AM395">
        <v>0</v>
      </c>
      <c r="AN395" t="s">
        <v>8</v>
      </c>
      <c r="AO395" s="74" t="str">
        <f ca="1">IF(Table20[[#This Row],[Type]]="KILL",IF(_xlfn.NUMBERVALUE(RIGHT(Table20[[#This Row],[Min]],LEN(Table20[[#This Row],[Min]])-FIND("-",Table20[[#This Row],[Min]])))&gt;INDIRECT(ADDRESS(11+MATCH(LEFT(Table20[[#This Row],[Min]],FIND("-",Table20[[#This Row],[Min]])-1),Table1[Content Sku],0),18,1,1,"Entities")),"review","ok"),"ok")</f>
        <v>ok</v>
      </c>
    </row>
    <row r="396" spans="5:41" x14ac:dyDescent="0.25">
      <c r="E396" t="s">
        <v>276</v>
      </c>
      <c r="F396">
        <v>0</v>
      </c>
      <c r="G396">
        <v>0</v>
      </c>
      <c r="H396" t="s">
        <v>8</v>
      </c>
      <c r="I396" s="74" t="str">
        <f ca="1">IF(Table7[[#This Row],[Type]]="KILL",IF(_xlfn.NUMBERVALUE(RIGHT(Table7[[#This Row],[Min]],LEN(Table7[[#This Row],[Min]])-FIND("-",Table7[[#This Row],[Min]])))&gt;INDIRECT(ADDRESS(11+MATCH(LEFT(Table7[[#This Row],[Min]],FIND("-",Table7[[#This Row],[Min]])-1),Table1[Content Sku],0),16,1,1,"Entities")),"review","ok"),"ok")</f>
        <v>ok</v>
      </c>
      <c r="U396" t="s">
        <v>122</v>
      </c>
      <c r="V396">
        <v>0</v>
      </c>
      <c r="W396">
        <v>0</v>
      </c>
      <c r="X396" t="s">
        <v>8</v>
      </c>
      <c r="Y396" s="74" t="str">
        <f ca="1">IF(Table15[[#This Row],[Type]]="KILL",IF(_xlfn.NUMBERVALUE(RIGHT(Table15[[#This Row],[Min]],LEN(Table15[[#This Row],[Min]])-FIND("-",Table15[[#This Row],[Min]])))&gt;INDIRECT(ADDRESS(11+MATCH(LEFT(Table15[[#This Row],[Min]],FIND("-",Table15[[#This Row],[Min]])-1),Table1[Content Sku],0),16,1,1,"Entities")),"review","ok"),"ok")</f>
        <v>ok</v>
      </c>
      <c r="AK396" t="s">
        <v>36</v>
      </c>
      <c r="AL396">
        <v>40000</v>
      </c>
      <c r="AM396">
        <v>0</v>
      </c>
      <c r="AN396" t="s">
        <v>205</v>
      </c>
      <c r="AO396" s="74" t="str">
        <f ca="1">IF(Table20[[#This Row],[Type]]="KILL",IF(_xlfn.NUMBERVALUE(RIGHT(Table20[[#This Row],[Min]],LEN(Table20[[#This Row],[Min]])-FIND("-",Table20[[#This Row],[Min]])))&gt;INDIRECT(ADDRESS(11+MATCH(LEFT(Table20[[#This Row],[Min]],FIND("-",Table20[[#This Row],[Min]])-1),Table1[Content Sku],0),18,1,1,"Entities")),"review","ok"),"ok")</f>
        <v>ok</v>
      </c>
    </row>
    <row r="397" spans="5:41" x14ac:dyDescent="0.25">
      <c r="E397" t="s">
        <v>36</v>
      </c>
      <c r="F397">
        <v>0</v>
      </c>
      <c r="G397">
        <v>0</v>
      </c>
      <c r="H397" t="s">
        <v>8</v>
      </c>
      <c r="I397" s="74" t="str">
        <f ca="1">IF(Table7[[#This Row],[Type]]="KILL",IF(_xlfn.NUMBERVALUE(RIGHT(Table7[[#This Row],[Min]],LEN(Table7[[#This Row],[Min]])-FIND("-",Table7[[#This Row],[Min]])))&gt;INDIRECT(ADDRESS(11+MATCH(LEFT(Table7[[#This Row],[Min]],FIND("-",Table7[[#This Row],[Min]])-1),Table1[Content Sku],0),16,1,1,"Entities")),"review","ok"),"ok")</f>
        <v>ok</v>
      </c>
      <c r="U397" t="s">
        <v>36</v>
      </c>
      <c r="V397">
        <v>41000</v>
      </c>
      <c r="W397">
        <v>0</v>
      </c>
      <c r="X397" t="s">
        <v>205</v>
      </c>
      <c r="Y397" s="74" t="str">
        <f ca="1">IF(Table15[[#This Row],[Type]]="KILL",IF(_xlfn.NUMBERVALUE(RIGHT(Table15[[#This Row],[Min]],LEN(Table15[[#This Row],[Min]])-FIND("-",Table15[[#This Row],[Min]])))&gt;INDIRECT(ADDRESS(11+MATCH(LEFT(Table15[[#This Row],[Min]],FIND("-",Table15[[#This Row],[Min]])-1),Table1[Content Sku],0),16,1,1,"Entities")),"review","ok"),"ok")</f>
        <v>ok</v>
      </c>
      <c r="AK397" t="s">
        <v>311</v>
      </c>
      <c r="AL397">
        <v>28000</v>
      </c>
      <c r="AM397">
        <v>0</v>
      </c>
      <c r="AN397" t="s">
        <v>205</v>
      </c>
      <c r="AO397" s="74" t="str">
        <f ca="1">IF(Table20[[#This Row],[Type]]="KILL",IF(_xlfn.NUMBERVALUE(RIGHT(Table20[[#This Row],[Min]],LEN(Table20[[#This Row],[Min]])-FIND("-",Table20[[#This Row],[Min]])))&gt;INDIRECT(ADDRESS(11+MATCH(LEFT(Table20[[#This Row],[Min]],FIND("-",Table20[[#This Row],[Min]])-1),Table1[Content Sku],0),18,1,1,"Entities")),"review","ok"),"ok")</f>
        <v>ok</v>
      </c>
    </row>
    <row r="398" spans="5:41" x14ac:dyDescent="0.25">
      <c r="E398" t="s">
        <v>63</v>
      </c>
      <c r="F398">
        <v>0</v>
      </c>
      <c r="G398">
        <v>0</v>
      </c>
      <c r="H398" t="s">
        <v>8</v>
      </c>
      <c r="I398" s="74" t="str">
        <f ca="1">IF(Table7[[#This Row],[Type]]="KILL",IF(_xlfn.NUMBERVALUE(RIGHT(Table7[[#This Row],[Min]],LEN(Table7[[#This Row],[Min]])-FIND("-",Table7[[#This Row],[Min]])))&gt;INDIRECT(ADDRESS(11+MATCH(LEFT(Table7[[#This Row],[Min]],FIND("-",Table7[[#This Row],[Min]])-1),Table1[Content Sku],0),16,1,1,"Entities")),"review","ok"),"ok")</f>
        <v>ok</v>
      </c>
      <c r="U398" t="s">
        <v>39</v>
      </c>
      <c r="V398">
        <v>0</v>
      </c>
      <c r="W398">
        <v>34000</v>
      </c>
      <c r="X398" t="s">
        <v>205</v>
      </c>
      <c r="Y398" s="74" t="str">
        <f ca="1">IF(Table15[[#This Row],[Type]]="KILL",IF(_xlfn.NUMBERVALUE(RIGHT(Table15[[#This Row],[Min]],LEN(Table15[[#This Row],[Min]])-FIND("-",Table15[[#This Row],[Min]])))&gt;INDIRECT(ADDRESS(11+MATCH(LEFT(Table15[[#This Row],[Min]],FIND("-",Table15[[#This Row],[Min]])-1),Table1[Content Sku],0),16,1,1,"Entities")),"review","ok"),"ok")</f>
        <v>ok</v>
      </c>
      <c r="AK398" t="s">
        <v>2662</v>
      </c>
      <c r="AL398">
        <v>0</v>
      </c>
      <c r="AM398">
        <v>0</v>
      </c>
      <c r="AN398" t="s">
        <v>8</v>
      </c>
      <c r="AO398" s="74" t="str">
        <f ca="1">IF(Table20[[#This Row],[Type]]="KILL",IF(_xlfn.NUMBERVALUE(RIGHT(Table20[[#This Row],[Min]],LEN(Table20[[#This Row],[Min]])-FIND("-",Table20[[#This Row],[Min]])))&gt;INDIRECT(ADDRESS(11+MATCH(LEFT(Table20[[#This Row],[Min]],FIND("-",Table20[[#This Row],[Min]])-1),Table1[Content Sku],0),18,1,1,"Entities")),"review","ok"),"ok")</f>
        <v>ok</v>
      </c>
    </row>
    <row r="399" spans="5:41" x14ac:dyDescent="0.25">
      <c r="E399" t="s">
        <v>313</v>
      </c>
      <c r="F399">
        <v>0</v>
      </c>
      <c r="G399">
        <v>0</v>
      </c>
      <c r="H399" t="s">
        <v>8</v>
      </c>
      <c r="I399" s="74" t="str">
        <f ca="1">IF(Table7[[#This Row],[Type]]="KILL",IF(_xlfn.NUMBERVALUE(RIGHT(Table7[[#This Row],[Min]],LEN(Table7[[#This Row],[Min]])-FIND("-",Table7[[#This Row],[Min]])))&gt;INDIRECT(ADDRESS(11+MATCH(LEFT(Table7[[#This Row],[Min]],FIND("-",Table7[[#This Row],[Min]])-1),Table1[Content Sku],0),16,1,1,"Entities")),"review","ok"),"ok")</f>
        <v>ok</v>
      </c>
      <c r="U399" t="s">
        <v>254</v>
      </c>
      <c r="V399">
        <v>0</v>
      </c>
      <c r="W399">
        <v>0</v>
      </c>
      <c r="X399" t="s">
        <v>8</v>
      </c>
      <c r="Y399" s="74" t="str">
        <f ca="1">IF(Table15[[#This Row],[Type]]="KILL",IF(_xlfn.NUMBERVALUE(RIGHT(Table15[[#This Row],[Min]],LEN(Table15[[#This Row],[Min]])-FIND("-",Table15[[#This Row],[Min]])))&gt;INDIRECT(ADDRESS(11+MATCH(LEFT(Table15[[#This Row],[Min]],FIND("-",Table15[[#This Row],[Min]])-1),Table1[Content Sku],0),16,1,1,"Entities")),"review","ok"),"ok")</f>
        <v>ok</v>
      </c>
      <c r="AK399" t="s">
        <v>2672</v>
      </c>
      <c r="AL399">
        <v>0</v>
      </c>
      <c r="AM399">
        <v>0</v>
      </c>
      <c r="AN399" t="s">
        <v>8</v>
      </c>
      <c r="AO399" s="74" t="str">
        <f ca="1">IF(Table20[[#This Row],[Type]]="KILL",IF(_xlfn.NUMBERVALUE(RIGHT(Table20[[#This Row],[Min]],LEN(Table20[[#This Row],[Min]])-FIND("-",Table20[[#This Row],[Min]])))&gt;INDIRECT(ADDRESS(11+MATCH(LEFT(Table20[[#This Row],[Min]],FIND("-",Table20[[#This Row],[Min]])-1),Table1[Content Sku],0),18,1,1,"Entities")),"review","ok"),"ok")</f>
        <v>ok</v>
      </c>
    </row>
    <row r="400" spans="5:41" x14ac:dyDescent="0.25">
      <c r="E400" t="s">
        <v>254</v>
      </c>
      <c r="F400">
        <v>0</v>
      </c>
      <c r="G400">
        <v>5000</v>
      </c>
      <c r="H400" t="s">
        <v>205</v>
      </c>
      <c r="I400" s="74" t="str">
        <f ca="1">IF(Table7[[#This Row],[Type]]="KILL",IF(_xlfn.NUMBERVALUE(RIGHT(Table7[[#This Row],[Min]],LEN(Table7[[#This Row],[Min]])-FIND("-",Table7[[#This Row],[Min]])))&gt;INDIRECT(ADDRESS(11+MATCH(LEFT(Table7[[#This Row],[Min]],FIND("-",Table7[[#This Row],[Min]])-1),Table1[Content Sku],0),16,1,1,"Entities")),"review","ok"),"ok")</f>
        <v>ok</v>
      </c>
      <c r="U400" t="s">
        <v>289</v>
      </c>
      <c r="V400">
        <v>0</v>
      </c>
      <c r="W400">
        <v>0</v>
      </c>
      <c r="X400" t="s">
        <v>8</v>
      </c>
      <c r="Y400" s="74" t="str">
        <f ca="1">IF(Table15[[#This Row],[Type]]="KILL",IF(_xlfn.NUMBERVALUE(RIGHT(Table15[[#This Row],[Min]],LEN(Table15[[#This Row],[Min]])-FIND("-",Table15[[#This Row],[Min]])))&gt;INDIRECT(ADDRESS(11+MATCH(LEFT(Table15[[#This Row],[Min]],FIND("-",Table15[[#This Row],[Min]])-1),Table1[Content Sku],0),16,1,1,"Entities")),"review","ok"),"ok")</f>
        <v>ok</v>
      </c>
      <c r="AK400" t="s">
        <v>40</v>
      </c>
      <c r="AL400">
        <v>0</v>
      </c>
      <c r="AM400">
        <v>68000</v>
      </c>
      <c r="AN400" t="s">
        <v>205</v>
      </c>
      <c r="AO400" s="74" t="str">
        <f ca="1">IF(Table20[[#This Row],[Type]]="KILL",IF(_xlfn.NUMBERVALUE(RIGHT(Table20[[#This Row],[Min]],LEN(Table20[[#This Row],[Min]])-FIND("-",Table20[[#This Row],[Min]])))&gt;INDIRECT(ADDRESS(11+MATCH(LEFT(Table20[[#This Row],[Min]],FIND("-",Table20[[#This Row],[Min]])-1),Table1[Content Sku],0),18,1,1,"Entities")),"review","ok"),"ok")</f>
        <v>ok</v>
      </c>
    </row>
    <row r="401" spans="5:41" x14ac:dyDescent="0.25">
      <c r="E401" t="s">
        <v>400</v>
      </c>
      <c r="F401">
        <v>0</v>
      </c>
      <c r="G401">
        <v>0</v>
      </c>
      <c r="H401" t="s">
        <v>8</v>
      </c>
      <c r="I401" s="74" t="str">
        <f ca="1">IF(Table7[[#This Row],[Type]]="KILL",IF(_xlfn.NUMBERVALUE(RIGHT(Table7[[#This Row],[Min]],LEN(Table7[[#This Row],[Min]])-FIND("-",Table7[[#This Row],[Min]])))&gt;INDIRECT(ADDRESS(11+MATCH(LEFT(Table7[[#This Row],[Min]],FIND("-",Table7[[#This Row],[Min]])-1),Table1[Content Sku],0),16,1,1,"Entities")),"review","ok"),"ok")</f>
        <v>ok</v>
      </c>
      <c r="U401" t="s">
        <v>254</v>
      </c>
      <c r="V401">
        <v>0</v>
      </c>
      <c r="W401">
        <v>40000</v>
      </c>
      <c r="X401" t="s">
        <v>205</v>
      </c>
      <c r="Y401" s="74" t="str">
        <f ca="1">IF(Table15[[#This Row],[Type]]="KILL",IF(_xlfn.NUMBERVALUE(RIGHT(Table15[[#This Row],[Min]],LEN(Table15[[#This Row],[Min]])-FIND("-",Table15[[#This Row],[Min]])))&gt;INDIRECT(ADDRESS(11+MATCH(LEFT(Table15[[#This Row],[Min]],FIND("-",Table15[[#This Row],[Min]])-1),Table1[Content Sku],0),16,1,1,"Entities")),"review","ok"),"ok")</f>
        <v>ok</v>
      </c>
      <c r="AK401" t="s">
        <v>2670</v>
      </c>
      <c r="AL401">
        <v>0</v>
      </c>
      <c r="AM401">
        <v>0</v>
      </c>
      <c r="AN401" t="s">
        <v>8</v>
      </c>
      <c r="AO401" s="74" t="str">
        <f ca="1">IF(Table20[[#This Row],[Type]]="KILL",IF(_xlfn.NUMBERVALUE(RIGHT(Table20[[#This Row],[Min]],LEN(Table20[[#This Row],[Min]])-FIND("-",Table20[[#This Row],[Min]])))&gt;INDIRECT(ADDRESS(11+MATCH(LEFT(Table20[[#This Row],[Min]],FIND("-",Table20[[#This Row],[Min]])-1),Table1[Content Sku],0),18,1,1,"Entities")),"review","ok"),"ok")</f>
        <v>ok</v>
      </c>
    </row>
    <row r="402" spans="5:41" x14ac:dyDescent="0.25">
      <c r="E402" t="s">
        <v>396</v>
      </c>
      <c r="F402">
        <v>20000</v>
      </c>
      <c r="G402">
        <v>0</v>
      </c>
      <c r="H402" t="s">
        <v>205</v>
      </c>
      <c r="I402" s="74" t="str">
        <f ca="1">IF(Table7[[#This Row],[Type]]="KILL",IF(_xlfn.NUMBERVALUE(RIGHT(Table7[[#This Row],[Min]],LEN(Table7[[#This Row],[Min]])-FIND("-",Table7[[#This Row],[Min]])))&gt;INDIRECT(ADDRESS(11+MATCH(LEFT(Table7[[#This Row],[Min]],FIND("-",Table7[[#This Row],[Min]])-1),Table1[Content Sku],0),16,1,1,"Entities")),"review","ok"),"ok")</f>
        <v>ok</v>
      </c>
      <c r="U402" t="s">
        <v>306</v>
      </c>
      <c r="V402">
        <v>0</v>
      </c>
      <c r="W402">
        <v>0</v>
      </c>
      <c r="X402" t="s">
        <v>8</v>
      </c>
      <c r="Y402" s="74" t="str">
        <f ca="1">IF(Table15[[#This Row],[Type]]="KILL",IF(_xlfn.NUMBERVALUE(RIGHT(Table15[[#This Row],[Min]],LEN(Table15[[#This Row],[Min]])-FIND("-",Table15[[#This Row],[Min]])))&gt;INDIRECT(ADDRESS(11+MATCH(LEFT(Table15[[#This Row],[Min]],FIND("-",Table15[[#This Row],[Min]])-1),Table1[Content Sku],0),16,1,1,"Entities")),"review","ok"),"ok")</f>
        <v>ok</v>
      </c>
      <c r="AK402" t="s">
        <v>8103</v>
      </c>
      <c r="AL402">
        <v>500</v>
      </c>
      <c r="AM402">
        <v>0</v>
      </c>
      <c r="AN402" t="s">
        <v>4431</v>
      </c>
      <c r="AO402" s="74" t="str">
        <f ca="1">IF(Table20[[#This Row],[Type]]="KILL",IF(_xlfn.NUMBERVALUE(RIGHT(Table20[[#This Row],[Min]],LEN(Table20[[#This Row],[Min]])-FIND("-",Table20[[#This Row],[Min]])))&gt;INDIRECT(ADDRESS(11+MATCH(LEFT(Table20[[#This Row],[Min]],FIND("-",Table20[[#This Row],[Min]])-1),Table1[Content Sku],0),18,1,1,"Entities")),"review","ok"),"ok")</f>
        <v>ok</v>
      </c>
    </row>
    <row r="403" spans="5:41" x14ac:dyDescent="0.25">
      <c r="E403" t="s">
        <v>95</v>
      </c>
      <c r="F403">
        <v>36000</v>
      </c>
      <c r="G403">
        <v>0</v>
      </c>
      <c r="H403" t="s">
        <v>205</v>
      </c>
      <c r="I403" s="74" t="str">
        <f ca="1">IF(Table7[[#This Row],[Type]]="KILL",IF(_xlfn.NUMBERVALUE(RIGHT(Table7[[#This Row],[Min]],LEN(Table7[[#This Row],[Min]])-FIND("-",Table7[[#This Row],[Min]])))&gt;INDIRECT(ADDRESS(11+MATCH(LEFT(Table7[[#This Row],[Min]],FIND("-",Table7[[#This Row],[Min]])-1),Table1[Content Sku],0),16,1,1,"Entities")),"review","ok"),"ok")</f>
        <v>ok</v>
      </c>
      <c r="U403" t="s">
        <v>313</v>
      </c>
      <c r="V403">
        <v>0</v>
      </c>
      <c r="W403">
        <v>0</v>
      </c>
      <c r="X403" t="s">
        <v>8</v>
      </c>
      <c r="Y403" s="74" t="str">
        <f ca="1">IF(Table15[[#This Row],[Type]]="KILL",IF(_xlfn.NUMBERVALUE(RIGHT(Table15[[#This Row],[Min]],LEN(Table15[[#This Row],[Min]])-FIND("-",Table15[[#This Row],[Min]])))&gt;INDIRECT(ADDRESS(11+MATCH(LEFT(Table15[[#This Row],[Min]],FIND("-",Table15[[#This Row],[Min]])-1),Table1[Content Sku],0),16,1,1,"Entities")),"review","ok"),"ok")</f>
        <v>ok</v>
      </c>
      <c r="AK403" t="s">
        <v>2741</v>
      </c>
      <c r="AL403">
        <v>0</v>
      </c>
      <c r="AM403">
        <v>0</v>
      </c>
      <c r="AN403" t="s">
        <v>8</v>
      </c>
      <c r="AO403" s="74" t="str">
        <f ca="1">IF(Table20[[#This Row],[Type]]="KILL",IF(_xlfn.NUMBERVALUE(RIGHT(Table20[[#This Row],[Min]],LEN(Table20[[#This Row],[Min]])-FIND("-",Table20[[#This Row],[Min]])))&gt;INDIRECT(ADDRESS(11+MATCH(LEFT(Table20[[#This Row],[Min]],FIND("-",Table20[[#This Row],[Min]])-1),Table1[Content Sku],0),18,1,1,"Entities")),"review","ok"),"ok")</f>
        <v>ok</v>
      </c>
    </row>
    <row r="404" spans="5:41" x14ac:dyDescent="0.25">
      <c r="E404" t="s">
        <v>548</v>
      </c>
      <c r="F404">
        <v>0</v>
      </c>
      <c r="G404">
        <v>0</v>
      </c>
      <c r="H404" t="s">
        <v>8</v>
      </c>
      <c r="I404" s="74" t="str">
        <f ca="1">IF(Table7[[#This Row],[Type]]="KILL",IF(_xlfn.NUMBERVALUE(RIGHT(Table7[[#This Row],[Min]],LEN(Table7[[#This Row],[Min]])-FIND("-",Table7[[#This Row],[Min]])))&gt;INDIRECT(ADDRESS(11+MATCH(LEFT(Table7[[#This Row],[Min]],FIND("-",Table7[[#This Row],[Min]])-1),Table1[Content Sku],0),16,1,1,"Entities")),"review","ok"),"ok")</f>
        <v>ok</v>
      </c>
      <c r="U404" t="s">
        <v>11</v>
      </c>
      <c r="V404">
        <v>0</v>
      </c>
      <c r="W404">
        <v>0</v>
      </c>
      <c r="X404" t="s">
        <v>8</v>
      </c>
      <c r="Y404" s="74" t="str">
        <f ca="1">IF(Table15[[#This Row],[Type]]="KILL",IF(_xlfn.NUMBERVALUE(RIGHT(Table15[[#This Row],[Min]],LEN(Table15[[#This Row],[Min]])-FIND("-",Table15[[#This Row],[Min]])))&gt;INDIRECT(ADDRESS(11+MATCH(LEFT(Table15[[#This Row],[Min]],FIND("-",Table15[[#This Row],[Min]])-1),Table1[Content Sku],0),16,1,1,"Entities")),"review","ok"),"ok")</f>
        <v>ok</v>
      </c>
      <c r="AK404" t="s">
        <v>2741</v>
      </c>
      <c r="AL404">
        <v>0</v>
      </c>
      <c r="AM404">
        <v>0</v>
      </c>
      <c r="AN404" t="s">
        <v>8</v>
      </c>
      <c r="AO404" s="74" t="str">
        <f ca="1">IF(Table20[[#This Row],[Type]]="KILL",IF(_xlfn.NUMBERVALUE(RIGHT(Table20[[#This Row],[Min]],LEN(Table20[[#This Row],[Min]])-FIND("-",Table20[[#This Row],[Min]])))&gt;INDIRECT(ADDRESS(11+MATCH(LEFT(Table20[[#This Row],[Min]],FIND("-",Table20[[#This Row],[Min]])-1),Table1[Content Sku],0),18,1,1,"Entities")),"review","ok"),"ok")</f>
        <v>ok</v>
      </c>
    </row>
    <row r="405" spans="5:41" x14ac:dyDescent="0.25">
      <c r="E405" t="s">
        <v>393</v>
      </c>
      <c r="F405">
        <v>0</v>
      </c>
      <c r="G405">
        <v>0</v>
      </c>
      <c r="H405" t="s">
        <v>8</v>
      </c>
      <c r="I405" s="74" t="str">
        <f ca="1">IF(Table7[[#This Row],[Type]]="KILL",IF(_xlfn.NUMBERVALUE(RIGHT(Table7[[#This Row],[Min]],LEN(Table7[[#This Row],[Min]])-FIND("-",Table7[[#This Row],[Min]])))&gt;INDIRECT(ADDRESS(11+MATCH(LEFT(Table7[[#This Row],[Min]],FIND("-",Table7[[#This Row],[Min]])-1),Table1[Content Sku],0),16,1,1,"Entities")),"review","ok"),"ok")</f>
        <v>ok</v>
      </c>
      <c r="U405" t="s">
        <v>258</v>
      </c>
      <c r="V405">
        <v>36000</v>
      </c>
      <c r="W405">
        <v>0</v>
      </c>
      <c r="X405" t="s">
        <v>205</v>
      </c>
      <c r="Y405" s="74" t="str">
        <f ca="1">IF(Table15[[#This Row],[Type]]="KILL",IF(_xlfn.NUMBERVALUE(RIGHT(Table15[[#This Row],[Min]],LEN(Table15[[#This Row],[Min]])-FIND("-",Table15[[#This Row],[Min]])))&gt;INDIRECT(ADDRESS(11+MATCH(LEFT(Table15[[#This Row],[Min]],FIND("-",Table15[[#This Row],[Min]])-1),Table1[Content Sku],0),16,1,1,"Entities")),"review","ok"),"ok")</f>
        <v>ok</v>
      </c>
      <c r="AK405" t="s">
        <v>2732</v>
      </c>
      <c r="AL405">
        <v>0</v>
      </c>
      <c r="AM405">
        <v>0</v>
      </c>
      <c r="AN405" t="s">
        <v>8</v>
      </c>
      <c r="AO405" s="74" t="str">
        <f ca="1">IF(Table20[[#This Row],[Type]]="KILL",IF(_xlfn.NUMBERVALUE(RIGHT(Table20[[#This Row],[Min]],LEN(Table20[[#This Row],[Min]])-FIND("-",Table20[[#This Row],[Min]])))&gt;INDIRECT(ADDRESS(11+MATCH(LEFT(Table20[[#This Row],[Min]],FIND("-",Table20[[#This Row],[Min]])-1),Table1[Content Sku],0),18,1,1,"Entities")),"review","ok"),"ok")</f>
        <v>ok</v>
      </c>
    </row>
    <row r="406" spans="5:41" x14ac:dyDescent="0.25">
      <c r="E406" t="s">
        <v>90</v>
      </c>
      <c r="F406">
        <v>0</v>
      </c>
      <c r="G406">
        <v>22000</v>
      </c>
      <c r="H406" t="s">
        <v>205</v>
      </c>
      <c r="I406" s="74" t="str">
        <f ca="1">IF(Table7[[#This Row],[Type]]="KILL",IF(_xlfn.NUMBERVALUE(RIGHT(Table7[[#This Row],[Min]],LEN(Table7[[#This Row],[Min]])-FIND("-",Table7[[#This Row],[Min]])))&gt;INDIRECT(ADDRESS(11+MATCH(LEFT(Table7[[#This Row],[Min]],FIND("-",Table7[[#This Row],[Min]])-1),Table1[Content Sku],0),16,1,1,"Entities")),"review","ok"),"ok")</f>
        <v>ok</v>
      </c>
      <c r="U406" t="s">
        <v>545</v>
      </c>
      <c r="V406">
        <v>0</v>
      </c>
      <c r="W406">
        <v>0</v>
      </c>
      <c r="X406" t="s">
        <v>8</v>
      </c>
      <c r="Y406" s="74" t="str">
        <f ca="1">IF(Table15[[#This Row],[Type]]="KILL",IF(_xlfn.NUMBERVALUE(RIGHT(Table15[[#This Row],[Min]],LEN(Table15[[#This Row],[Min]])-FIND("-",Table15[[#This Row],[Min]])))&gt;INDIRECT(ADDRESS(11+MATCH(LEFT(Table15[[#This Row],[Min]],FIND("-",Table15[[#This Row],[Min]])-1),Table1[Content Sku],0),16,1,1,"Entities")),"review","ok"),"ok")</f>
        <v>ok</v>
      </c>
      <c r="AK406" t="s">
        <v>46</v>
      </c>
      <c r="AL406">
        <v>0</v>
      </c>
      <c r="AM406">
        <v>0</v>
      </c>
      <c r="AN406" t="s">
        <v>8</v>
      </c>
      <c r="AO406" s="74" t="str">
        <f ca="1">IF(Table20[[#This Row],[Type]]="KILL",IF(_xlfn.NUMBERVALUE(RIGHT(Table20[[#This Row],[Min]],LEN(Table20[[#This Row],[Min]])-FIND("-",Table20[[#This Row],[Min]])))&gt;INDIRECT(ADDRESS(11+MATCH(LEFT(Table20[[#This Row],[Min]],FIND("-",Table20[[#This Row],[Min]])-1),Table1[Content Sku],0),18,1,1,"Entities")),"review","ok"),"ok")</f>
        <v>ok</v>
      </c>
    </row>
    <row r="407" spans="5:41" x14ac:dyDescent="0.25">
      <c r="E407" t="s">
        <v>39</v>
      </c>
      <c r="F407">
        <v>0</v>
      </c>
      <c r="G407">
        <v>53000</v>
      </c>
      <c r="H407" t="s">
        <v>205</v>
      </c>
      <c r="I407" s="74" t="str">
        <f ca="1">IF(Table7[[#This Row],[Type]]="KILL",IF(_xlfn.NUMBERVALUE(RIGHT(Table7[[#This Row],[Min]],LEN(Table7[[#This Row],[Min]])-FIND("-",Table7[[#This Row],[Min]])))&gt;INDIRECT(ADDRESS(11+MATCH(LEFT(Table7[[#This Row],[Min]],FIND("-",Table7[[#This Row],[Min]])-1),Table1[Content Sku],0),16,1,1,"Entities")),"review","ok"),"ok")</f>
        <v>ok</v>
      </c>
      <c r="U407" t="s">
        <v>45</v>
      </c>
      <c r="V407">
        <v>14000</v>
      </c>
      <c r="W407">
        <v>0</v>
      </c>
      <c r="X407" t="s">
        <v>205</v>
      </c>
      <c r="Y407" s="74" t="str">
        <f ca="1">IF(Table15[[#This Row],[Type]]="KILL",IF(_xlfn.NUMBERVALUE(RIGHT(Table15[[#This Row],[Min]],LEN(Table15[[#This Row],[Min]])-FIND("-",Table15[[#This Row],[Min]])))&gt;INDIRECT(ADDRESS(11+MATCH(LEFT(Table15[[#This Row],[Min]],FIND("-",Table15[[#This Row],[Min]])-1),Table1[Content Sku],0),16,1,1,"Entities")),"review","ok"),"ok")</f>
        <v>ok</v>
      </c>
      <c r="AK407" t="s">
        <v>37</v>
      </c>
      <c r="AL407">
        <v>0</v>
      </c>
      <c r="AM407">
        <v>0</v>
      </c>
      <c r="AN407" t="s">
        <v>8</v>
      </c>
      <c r="AO407" s="74" t="str">
        <f ca="1">IF(Table20[[#This Row],[Type]]="KILL",IF(_xlfn.NUMBERVALUE(RIGHT(Table20[[#This Row],[Min]],LEN(Table20[[#This Row],[Min]])-FIND("-",Table20[[#This Row],[Min]])))&gt;INDIRECT(ADDRESS(11+MATCH(LEFT(Table20[[#This Row],[Min]],FIND("-",Table20[[#This Row],[Min]])-1),Table1[Content Sku],0),18,1,1,"Entities")),"review","ok"),"ok")</f>
        <v>ok</v>
      </c>
    </row>
    <row r="408" spans="5:41" x14ac:dyDescent="0.25">
      <c r="E408" t="s">
        <v>289</v>
      </c>
      <c r="F408">
        <v>0</v>
      </c>
      <c r="G408">
        <v>0</v>
      </c>
      <c r="H408" t="s">
        <v>8</v>
      </c>
      <c r="I408" s="74" t="str">
        <f ca="1">IF(Table7[[#This Row],[Type]]="KILL",IF(_xlfn.NUMBERVALUE(RIGHT(Table7[[#This Row],[Min]],LEN(Table7[[#This Row],[Min]])-FIND("-",Table7[[#This Row],[Min]])))&gt;INDIRECT(ADDRESS(11+MATCH(LEFT(Table7[[#This Row],[Min]],FIND("-",Table7[[#This Row],[Min]])-1),Table1[Content Sku],0),16,1,1,"Entities")),"review","ok"),"ok")</f>
        <v>ok</v>
      </c>
      <c r="U408" t="s">
        <v>313</v>
      </c>
      <c r="V408">
        <v>0</v>
      </c>
      <c r="W408">
        <v>0</v>
      </c>
      <c r="X408" t="s">
        <v>8</v>
      </c>
      <c r="Y408" s="74" t="str">
        <f ca="1">IF(Table15[[#This Row],[Type]]="KILL",IF(_xlfn.NUMBERVALUE(RIGHT(Table15[[#This Row],[Min]],LEN(Table15[[#This Row],[Min]])-FIND("-",Table15[[#This Row],[Min]])))&gt;INDIRECT(ADDRESS(11+MATCH(LEFT(Table15[[#This Row],[Min]],FIND("-",Table15[[#This Row],[Min]])-1),Table1[Content Sku],0),16,1,1,"Entities")),"review","ok"),"ok")</f>
        <v>ok</v>
      </c>
      <c r="AK408" t="s">
        <v>540</v>
      </c>
      <c r="AL408">
        <v>0</v>
      </c>
      <c r="AM408">
        <v>0</v>
      </c>
      <c r="AN408" t="s">
        <v>8</v>
      </c>
      <c r="AO408" s="74" t="str">
        <f ca="1">IF(Table20[[#This Row],[Type]]="KILL",IF(_xlfn.NUMBERVALUE(RIGHT(Table20[[#This Row],[Min]],LEN(Table20[[#This Row],[Min]])-FIND("-",Table20[[#This Row],[Min]])))&gt;INDIRECT(ADDRESS(11+MATCH(LEFT(Table20[[#This Row],[Min]],FIND("-",Table20[[#This Row],[Min]])-1),Table1[Content Sku],0),18,1,1,"Entities")),"review","ok"),"ok")</f>
        <v>ok</v>
      </c>
    </row>
    <row r="409" spans="5:41" x14ac:dyDescent="0.25">
      <c r="E409" t="s">
        <v>346</v>
      </c>
      <c r="F409">
        <v>12000</v>
      </c>
      <c r="G409">
        <v>0</v>
      </c>
      <c r="H409" t="s">
        <v>205</v>
      </c>
      <c r="I409" s="74" t="str">
        <f ca="1">IF(Table7[[#This Row],[Type]]="KILL",IF(_xlfn.NUMBERVALUE(RIGHT(Table7[[#This Row],[Min]],LEN(Table7[[#This Row],[Min]])-FIND("-",Table7[[#This Row],[Min]])))&gt;INDIRECT(ADDRESS(11+MATCH(LEFT(Table7[[#This Row],[Min]],FIND("-",Table7[[#This Row],[Min]])-1),Table1[Content Sku],0),16,1,1,"Entities")),"review","ok"),"ok")</f>
        <v>ok</v>
      </c>
      <c r="U409" t="s">
        <v>392</v>
      </c>
      <c r="V409">
        <v>0</v>
      </c>
      <c r="W409">
        <v>23000</v>
      </c>
      <c r="X409" t="s">
        <v>205</v>
      </c>
      <c r="Y409" s="74" t="str">
        <f ca="1">IF(Table15[[#This Row],[Type]]="KILL",IF(_xlfn.NUMBERVALUE(RIGHT(Table15[[#This Row],[Min]],LEN(Table15[[#This Row],[Min]])-FIND("-",Table15[[#This Row],[Min]])))&gt;INDIRECT(ADDRESS(11+MATCH(LEFT(Table15[[#This Row],[Min]],FIND("-",Table15[[#This Row],[Min]])-1),Table1[Content Sku],0),16,1,1,"Entities")),"review","ok"),"ok")</f>
        <v>ok</v>
      </c>
      <c r="AK409" t="s">
        <v>40</v>
      </c>
      <c r="AL409">
        <v>0</v>
      </c>
      <c r="AM409">
        <v>66000</v>
      </c>
      <c r="AN409" t="s">
        <v>205</v>
      </c>
      <c r="AO409" s="74" t="str">
        <f ca="1">IF(Table20[[#This Row],[Type]]="KILL",IF(_xlfn.NUMBERVALUE(RIGHT(Table20[[#This Row],[Min]],LEN(Table20[[#This Row],[Min]])-FIND("-",Table20[[#This Row],[Min]])))&gt;INDIRECT(ADDRESS(11+MATCH(LEFT(Table20[[#This Row],[Min]],FIND("-",Table20[[#This Row],[Min]])-1),Table1[Content Sku],0),18,1,1,"Entities")),"review","ok"),"ok")</f>
        <v>ok</v>
      </c>
    </row>
    <row r="410" spans="5:41" x14ac:dyDescent="0.25">
      <c r="E410" t="s">
        <v>313</v>
      </c>
      <c r="F410">
        <v>0</v>
      </c>
      <c r="G410">
        <v>0</v>
      </c>
      <c r="H410" t="s">
        <v>8</v>
      </c>
      <c r="I410" s="74" t="str">
        <f ca="1">IF(Table7[[#This Row],[Type]]="KILL",IF(_xlfn.NUMBERVALUE(RIGHT(Table7[[#This Row],[Min]],LEN(Table7[[#This Row],[Min]])-FIND("-",Table7[[#This Row],[Min]])))&gt;INDIRECT(ADDRESS(11+MATCH(LEFT(Table7[[#This Row],[Min]],FIND("-",Table7[[#This Row],[Min]])-1),Table1[Content Sku],0),16,1,1,"Entities")),"review","ok"),"ok")</f>
        <v>ok</v>
      </c>
      <c r="U410" t="s">
        <v>123</v>
      </c>
      <c r="V410">
        <v>0</v>
      </c>
      <c r="W410">
        <v>30000</v>
      </c>
      <c r="X410" t="s">
        <v>205</v>
      </c>
      <c r="Y410" s="74" t="str">
        <f ca="1">IF(Table15[[#This Row],[Type]]="KILL",IF(_xlfn.NUMBERVALUE(RIGHT(Table15[[#This Row],[Min]],LEN(Table15[[#This Row],[Min]])-FIND("-",Table15[[#This Row],[Min]])))&gt;INDIRECT(ADDRESS(11+MATCH(LEFT(Table15[[#This Row],[Min]],FIND("-",Table15[[#This Row],[Min]])-1),Table1[Content Sku],0),16,1,1,"Entities")),"review","ok"),"ok")</f>
        <v>ok</v>
      </c>
      <c r="AK410" t="s">
        <v>2676</v>
      </c>
      <c r="AL410">
        <v>0</v>
      </c>
      <c r="AM410">
        <v>80000</v>
      </c>
      <c r="AN410" t="s">
        <v>205</v>
      </c>
      <c r="AO410" s="74" t="str">
        <f ca="1">IF(Table20[[#This Row],[Type]]="KILL",IF(_xlfn.NUMBERVALUE(RIGHT(Table20[[#This Row],[Min]],LEN(Table20[[#This Row],[Min]])-FIND("-",Table20[[#This Row],[Min]])))&gt;INDIRECT(ADDRESS(11+MATCH(LEFT(Table20[[#This Row],[Min]],FIND("-",Table20[[#This Row],[Min]])-1),Table1[Content Sku],0),18,1,1,"Entities")),"review","ok"),"ok")</f>
        <v>ok</v>
      </c>
    </row>
    <row r="411" spans="5:41" x14ac:dyDescent="0.25">
      <c r="E411" t="s">
        <v>4430</v>
      </c>
      <c r="F411">
        <v>0</v>
      </c>
      <c r="G411">
        <v>0</v>
      </c>
      <c r="H411" t="s">
        <v>8</v>
      </c>
      <c r="I411" s="74" t="str">
        <f ca="1">IF(Table7[[#This Row],[Type]]="KILL",IF(_xlfn.NUMBERVALUE(RIGHT(Table7[[#This Row],[Min]],LEN(Table7[[#This Row],[Min]])-FIND("-",Table7[[#This Row],[Min]])))&gt;INDIRECT(ADDRESS(11+MATCH(LEFT(Table7[[#This Row],[Min]],FIND("-",Table7[[#This Row],[Min]])-1),Table1[Content Sku],0),16,1,1,"Entities")),"review","ok"),"ok")</f>
        <v>ok</v>
      </c>
      <c r="U411" t="s">
        <v>286</v>
      </c>
      <c r="V411">
        <v>0</v>
      </c>
      <c r="W411">
        <v>0</v>
      </c>
      <c r="X411" t="s">
        <v>8</v>
      </c>
      <c r="Y411" s="74" t="str">
        <f ca="1">IF(Table15[[#This Row],[Type]]="KILL",IF(_xlfn.NUMBERVALUE(RIGHT(Table15[[#This Row],[Min]],LEN(Table15[[#This Row],[Min]])-FIND("-",Table15[[#This Row],[Min]])))&gt;INDIRECT(ADDRESS(11+MATCH(LEFT(Table15[[#This Row],[Min]],FIND("-",Table15[[#This Row],[Min]])-1),Table1[Content Sku],0),16,1,1,"Entities")),"review","ok"),"ok")</f>
        <v>ok</v>
      </c>
      <c r="AK411" t="s">
        <v>545</v>
      </c>
      <c r="AL411">
        <v>0</v>
      </c>
      <c r="AM411">
        <v>0</v>
      </c>
      <c r="AN411" t="s">
        <v>8</v>
      </c>
      <c r="AO411" s="74" t="str">
        <f ca="1">IF(Table20[[#This Row],[Type]]="KILL",IF(_xlfn.NUMBERVALUE(RIGHT(Table20[[#This Row],[Min]],LEN(Table20[[#This Row],[Min]])-FIND("-",Table20[[#This Row],[Min]])))&gt;INDIRECT(ADDRESS(11+MATCH(LEFT(Table20[[#This Row],[Min]],FIND("-",Table20[[#This Row],[Min]])-1),Table1[Content Sku],0),18,1,1,"Entities")),"review","ok"),"ok")</f>
        <v>ok</v>
      </c>
    </row>
    <row r="412" spans="5:41" x14ac:dyDescent="0.25">
      <c r="E412" t="s">
        <v>548</v>
      </c>
      <c r="F412">
        <v>0</v>
      </c>
      <c r="G412">
        <v>0</v>
      </c>
      <c r="H412" t="s">
        <v>8</v>
      </c>
      <c r="I412" s="74" t="str">
        <f ca="1">IF(Table7[[#This Row],[Type]]="KILL",IF(_xlfn.NUMBERVALUE(RIGHT(Table7[[#This Row],[Min]],LEN(Table7[[#This Row],[Min]])-FIND("-",Table7[[#This Row],[Min]])))&gt;INDIRECT(ADDRESS(11+MATCH(LEFT(Table7[[#This Row],[Min]],FIND("-",Table7[[#This Row],[Min]])-1),Table1[Content Sku],0),16,1,1,"Entities")),"review","ok"),"ok")</f>
        <v>ok</v>
      </c>
      <c r="U412" t="s">
        <v>95</v>
      </c>
      <c r="V412">
        <v>0</v>
      </c>
      <c r="W412">
        <v>0</v>
      </c>
      <c r="X412" t="s">
        <v>8</v>
      </c>
      <c r="Y412" s="74" t="str">
        <f ca="1">IF(Table15[[#This Row],[Type]]="KILL",IF(_xlfn.NUMBERVALUE(RIGHT(Table15[[#This Row],[Min]],LEN(Table15[[#This Row],[Min]])-FIND("-",Table15[[#This Row],[Min]])))&gt;INDIRECT(ADDRESS(11+MATCH(LEFT(Table15[[#This Row],[Min]],FIND("-",Table15[[#This Row],[Min]])-1),Table1[Content Sku],0),16,1,1,"Entities")),"review","ok"),"ok")</f>
        <v>ok</v>
      </c>
      <c r="AK412" t="s">
        <v>2747</v>
      </c>
      <c r="AL412">
        <v>0</v>
      </c>
      <c r="AM412">
        <v>0</v>
      </c>
      <c r="AN412" t="s">
        <v>8</v>
      </c>
      <c r="AO412" s="74" t="str">
        <f ca="1">IF(Table20[[#This Row],[Type]]="KILL",IF(_xlfn.NUMBERVALUE(RIGHT(Table20[[#This Row],[Min]],LEN(Table20[[#This Row],[Min]])-FIND("-",Table20[[#This Row],[Min]])))&gt;INDIRECT(ADDRESS(11+MATCH(LEFT(Table20[[#This Row],[Min]],FIND("-",Table20[[#This Row],[Min]])-1),Table1[Content Sku],0),18,1,1,"Entities")),"review","ok"),"ok")</f>
        <v>ok</v>
      </c>
    </row>
    <row r="413" spans="5:41" x14ac:dyDescent="0.25">
      <c r="E413" t="s">
        <v>311</v>
      </c>
      <c r="F413">
        <v>0</v>
      </c>
      <c r="G413">
        <v>0</v>
      </c>
      <c r="H413" t="s">
        <v>8</v>
      </c>
      <c r="I413" s="74" t="str">
        <f ca="1">IF(Table7[[#This Row],[Type]]="KILL",IF(_xlfn.NUMBERVALUE(RIGHT(Table7[[#This Row],[Min]],LEN(Table7[[#This Row],[Min]])-FIND("-",Table7[[#This Row],[Min]])))&gt;INDIRECT(ADDRESS(11+MATCH(LEFT(Table7[[#This Row],[Min]],FIND("-",Table7[[#This Row],[Min]])-1),Table1[Content Sku],0),16,1,1,"Entities")),"review","ok"),"ok")</f>
        <v>ok</v>
      </c>
      <c r="U413" t="s">
        <v>49</v>
      </c>
      <c r="V413">
        <v>18000</v>
      </c>
      <c r="W413">
        <v>0</v>
      </c>
      <c r="X413" t="s">
        <v>205</v>
      </c>
      <c r="Y413" s="74" t="str">
        <f ca="1">IF(Table15[[#This Row],[Type]]="KILL",IF(_xlfn.NUMBERVALUE(RIGHT(Table15[[#This Row],[Min]],LEN(Table15[[#This Row],[Min]])-FIND("-",Table15[[#This Row],[Min]])))&gt;INDIRECT(ADDRESS(11+MATCH(LEFT(Table15[[#This Row],[Min]],FIND("-",Table15[[#This Row],[Min]])-1),Table1[Content Sku],0),16,1,1,"Entities")),"review","ok"),"ok")</f>
        <v>ok</v>
      </c>
      <c r="AK413" t="s">
        <v>482</v>
      </c>
      <c r="AL413">
        <v>0</v>
      </c>
      <c r="AM413">
        <v>0</v>
      </c>
      <c r="AN413" t="s">
        <v>8</v>
      </c>
      <c r="AO413" s="74" t="str">
        <f ca="1">IF(Table20[[#This Row],[Type]]="KILL",IF(_xlfn.NUMBERVALUE(RIGHT(Table20[[#This Row],[Min]],LEN(Table20[[#This Row],[Min]])-FIND("-",Table20[[#This Row],[Min]])))&gt;INDIRECT(ADDRESS(11+MATCH(LEFT(Table20[[#This Row],[Min]],FIND("-",Table20[[#This Row],[Min]])-1),Table1[Content Sku],0),18,1,1,"Entities")),"review","ok"),"ok")</f>
        <v>ok</v>
      </c>
    </row>
    <row r="414" spans="5:41" x14ac:dyDescent="0.25">
      <c r="E414" t="s">
        <v>315</v>
      </c>
      <c r="F414">
        <v>0</v>
      </c>
      <c r="G414">
        <v>0</v>
      </c>
      <c r="H414" t="s">
        <v>8</v>
      </c>
      <c r="I414" s="74" t="str">
        <f ca="1">IF(Table7[[#This Row],[Type]]="KILL",IF(_xlfn.NUMBERVALUE(RIGHT(Table7[[#This Row],[Min]],LEN(Table7[[#This Row],[Min]])-FIND("-",Table7[[#This Row],[Min]])))&gt;INDIRECT(ADDRESS(11+MATCH(LEFT(Table7[[#This Row],[Min]],FIND("-",Table7[[#This Row],[Min]])-1),Table1[Content Sku],0),16,1,1,"Entities")),"review","ok"),"ok")</f>
        <v>ok</v>
      </c>
      <c r="U414" t="s">
        <v>2726</v>
      </c>
      <c r="V414">
        <v>0</v>
      </c>
      <c r="W414">
        <v>0</v>
      </c>
      <c r="X414" t="s">
        <v>8</v>
      </c>
      <c r="Y414" s="74" t="str">
        <f ca="1">IF(Table15[[#This Row],[Type]]="KILL",IF(_xlfn.NUMBERVALUE(RIGHT(Table15[[#This Row],[Min]],LEN(Table15[[#This Row],[Min]])-FIND("-",Table15[[#This Row],[Min]])))&gt;INDIRECT(ADDRESS(11+MATCH(LEFT(Table15[[#This Row],[Min]],FIND("-",Table15[[#This Row],[Min]])-1),Table1[Content Sku],0),16,1,1,"Entities")),"review","ok"),"ok")</f>
        <v>ok</v>
      </c>
      <c r="AK414" t="s">
        <v>36</v>
      </c>
      <c r="AL414">
        <v>0</v>
      </c>
      <c r="AM414">
        <v>0</v>
      </c>
      <c r="AN414" t="s">
        <v>8</v>
      </c>
      <c r="AO414" s="74" t="str">
        <f ca="1">IF(Table20[[#This Row],[Type]]="KILL",IF(_xlfn.NUMBERVALUE(RIGHT(Table20[[#This Row],[Min]],LEN(Table20[[#This Row],[Min]])-FIND("-",Table20[[#This Row],[Min]])))&gt;INDIRECT(ADDRESS(11+MATCH(LEFT(Table20[[#This Row],[Min]],FIND("-",Table20[[#This Row],[Min]])-1),Table1[Content Sku],0),18,1,1,"Entities")),"review","ok"),"ok")</f>
        <v>ok</v>
      </c>
    </row>
    <row r="415" spans="5:41" x14ac:dyDescent="0.25">
      <c r="E415" t="s">
        <v>257</v>
      </c>
      <c r="F415">
        <v>0</v>
      </c>
      <c r="G415">
        <v>0</v>
      </c>
      <c r="H415" t="s">
        <v>8</v>
      </c>
      <c r="I415" s="74" t="str">
        <f ca="1">IF(Table7[[#This Row],[Type]]="KILL",IF(_xlfn.NUMBERVALUE(RIGHT(Table7[[#This Row],[Min]],LEN(Table7[[#This Row],[Min]])-FIND("-",Table7[[#This Row],[Min]])))&gt;INDIRECT(ADDRESS(11+MATCH(LEFT(Table7[[#This Row],[Min]],FIND("-",Table7[[#This Row],[Min]])-1),Table1[Content Sku],0),16,1,1,"Entities")),"review","ok"),"ok")</f>
        <v>ok</v>
      </c>
      <c r="U415" t="s">
        <v>37</v>
      </c>
      <c r="V415">
        <v>0</v>
      </c>
      <c r="W415">
        <v>0</v>
      </c>
      <c r="X415" t="s">
        <v>8</v>
      </c>
      <c r="Y415" s="74" t="str">
        <f ca="1">IF(Table15[[#This Row],[Type]]="KILL",IF(_xlfn.NUMBERVALUE(RIGHT(Table15[[#This Row],[Min]],LEN(Table15[[#This Row],[Min]])-FIND("-",Table15[[#This Row],[Min]])))&gt;INDIRECT(ADDRESS(11+MATCH(LEFT(Table15[[#This Row],[Min]],FIND("-",Table15[[#This Row],[Min]])-1),Table1[Content Sku],0),16,1,1,"Entities")),"review","ok"),"ok")</f>
        <v>ok</v>
      </c>
      <c r="AK415" t="s">
        <v>2664</v>
      </c>
      <c r="AL415">
        <v>31000</v>
      </c>
      <c r="AM415">
        <v>0</v>
      </c>
      <c r="AN415" t="s">
        <v>205</v>
      </c>
      <c r="AO415" s="74" t="str">
        <f ca="1">IF(Table20[[#This Row],[Type]]="KILL",IF(_xlfn.NUMBERVALUE(RIGHT(Table20[[#This Row],[Min]],LEN(Table20[[#This Row],[Min]])-FIND("-",Table20[[#This Row],[Min]])))&gt;INDIRECT(ADDRESS(11+MATCH(LEFT(Table20[[#This Row],[Min]],FIND("-",Table20[[#This Row],[Min]])-1),Table1[Content Sku],0),18,1,1,"Entities")),"review","ok"),"ok")</f>
        <v>ok</v>
      </c>
    </row>
    <row r="416" spans="5:41" x14ac:dyDescent="0.25">
      <c r="E416" t="s">
        <v>254</v>
      </c>
      <c r="F416">
        <v>0</v>
      </c>
      <c r="G416">
        <v>24000</v>
      </c>
      <c r="H416" t="s">
        <v>205</v>
      </c>
      <c r="I416" s="74" t="str">
        <f ca="1">IF(Table7[[#This Row],[Type]]="KILL",IF(_xlfn.NUMBERVALUE(RIGHT(Table7[[#This Row],[Min]],LEN(Table7[[#This Row],[Min]])-FIND("-",Table7[[#This Row],[Min]])))&gt;INDIRECT(ADDRESS(11+MATCH(LEFT(Table7[[#This Row],[Min]],FIND("-",Table7[[#This Row],[Min]])-1),Table1[Content Sku],0),16,1,1,"Entities")),"review","ok"),"ok")</f>
        <v>ok</v>
      </c>
      <c r="U416" t="s">
        <v>8133</v>
      </c>
      <c r="V416">
        <v>0</v>
      </c>
      <c r="W416">
        <v>0</v>
      </c>
      <c r="X416" t="s">
        <v>8</v>
      </c>
      <c r="Y416" s="74" t="str">
        <f ca="1">IF(Table15[[#This Row],[Type]]="KILL",IF(_xlfn.NUMBERVALUE(RIGHT(Table15[[#This Row],[Min]],LEN(Table15[[#This Row],[Min]])-FIND("-",Table15[[#This Row],[Min]])))&gt;INDIRECT(ADDRESS(11+MATCH(LEFT(Table15[[#This Row],[Min]],FIND("-",Table15[[#This Row],[Min]])-1),Table1[Content Sku],0),16,1,1,"Entities")),"review","ok"),"ok")</f>
        <v>ok</v>
      </c>
      <c r="AK416" t="s">
        <v>482</v>
      </c>
      <c r="AL416">
        <v>0</v>
      </c>
      <c r="AM416">
        <v>0</v>
      </c>
      <c r="AN416" t="s">
        <v>8</v>
      </c>
      <c r="AO416" s="74" t="str">
        <f ca="1">IF(Table20[[#This Row],[Type]]="KILL",IF(_xlfn.NUMBERVALUE(RIGHT(Table20[[#This Row],[Min]],LEN(Table20[[#This Row],[Min]])-FIND("-",Table20[[#This Row],[Min]])))&gt;INDIRECT(ADDRESS(11+MATCH(LEFT(Table20[[#This Row],[Min]],FIND("-",Table20[[#This Row],[Min]])-1),Table1[Content Sku],0),18,1,1,"Entities")),"review","ok"),"ok")</f>
        <v>ok</v>
      </c>
    </row>
    <row r="417" spans="5:41" x14ac:dyDescent="0.25">
      <c r="E417" t="s">
        <v>36</v>
      </c>
      <c r="F417">
        <v>0</v>
      </c>
      <c r="G417">
        <v>0</v>
      </c>
      <c r="H417" t="s">
        <v>8</v>
      </c>
      <c r="I417" s="74" t="str">
        <f ca="1">IF(Table7[[#This Row],[Type]]="KILL",IF(_xlfn.NUMBERVALUE(RIGHT(Table7[[#This Row],[Min]],LEN(Table7[[#This Row],[Min]])-FIND("-",Table7[[#This Row],[Min]])))&gt;INDIRECT(ADDRESS(11+MATCH(LEFT(Table7[[#This Row],[Min]],FIND("-",Table7[[#This Row],[Min]])-1),Table1[Content Sku],0),16,1,1,"Entities")),"review","ok"),"ok")</f>
        <v>ok</v>
      </c>
      <c r="U417" t="s">
        <v>49</v>
      </c>
      <c r="V417">
        <v>0</v>
      </c>
      <c r="W417">
        <v>0</v>
      </c>
      <c r="X417" t="s">
        <v>8</v>
      </c>
      <c r="Y417" s="74" t="str">
        <f ca="1">IF(Table15[[#This Row],[Type]]="KILL",IF(_xlfn.NUMBERVALUE(RIGHT(Table15[[#This Row],[Min]],LEN(Table15[[#This Row],[Min]])-FIND("-",Table15[[#This Row],[Min]])))&gt;INDIRECT(ADDRESS(11+MATCH(LEFT(Table15[[#This Row],[Min]],FIND("-",Table15[[#This Row],[Min]])-1),Table1[Content Sku],0),16,1,1,"Entities")),"review","ok"),"ok")</f>
        <v>ok</v>
      </c>
      <c r="AK417" t="s">
        <v>95</v>
      </c>
      <c r="AL417">
        <v>0</v>
      </c>
      <c r="AM417">
        <v>0</v>
      </c>
      <c r="AN417" t="s">
        <v>8</v>
      </c>
      <c r="AO417" s="74" t="str">
        <f ca="1">IF(Table20[[#This Row],[Type]]="KILL",IF(_xlfn.NUMBERVALUE(RIGHT(Table20[[#This Row],[Min]],LEN(Table20[[#This Row],[Min]])-FIND("-",Table20[[#This Row],[Min]])))&gt;INDIRECT(ADDRESS(11+MATCH(LEFT(Table20[[#This Row],[Min]],FIND("-",Table20[[#This Row],[Min]])-1),Table1[Content Sku],0),18,1,1,"Entities")),"review","ok"),"ok")</f>
        <v>ok</v>
      </c>
    </row>
    <row r="418" spans="5:41" x14ac:dyDescent="0.25">
      <c r="E418" t="s">
        <v>313</v>
      </c>
      <c r="F418">
        <v>0</v>
      </c>
      <c r="G418">
        <v>14000</v>
      </c>
      <c r="H418" t="s">
        <v>205</v>
      </c>
      <c r="I418" s="74" t="str">
        <f ca="1">IF(Table7[[#This Row],[Type]]="KILL",IF(_xlfn.NUMBERVALUE(RIGHT(Table7[[#This Row],[Min]],LEN(Table7[[#This Row],[Min]])-FIND("-",Table7[[#This Row],[Min]])))&gt;INDIRECT(ADDRESS(11+MATCH(LEFT(Table7[[#This Row],[Min]],FIND("-",Table7[[#This Row],[Min]])-1),Table1[Content Sku],0),16,1,1,"Entities")),"review","ok"),"ok")</f>
        <v>ok</v>
      </c>
      <c r="U418" t="s">
        <v>49</v>
      </c>
      <c r="V418">
        <v>0</v>
      </c>
      <c r="W418">
        <v>0</v>
      </c>
      <c r="X418" t="s">
        <v>8</v>
      </c>
      <c r="Y418" s="74" t="str">
        <f ca="1">IF(Table15[[#This Row],[Type]]="KILL",IF(_xlfn.NUMBERVALUE(RIGHT(Table15[[#This Row],[Min]],LEN(Table15[[#This Row],[Min]])-FIND("-",Table15[[#This Row],[Min]])))&gt;INDIRECT(ADDRESS(11+MATCH(LEFT(Table15[[#This Row],[Min]],FIND("-",Table15[[#This Row],[Min]])-1),Table1[Content Sku],0),16,1,1,"Entities")),"review","ok"),"ok")</f>
        <v>ok</v>
      </c>
      <c r="AK418" t="s">
        <v>2686</v>
      </c>
      <c r="AL418">
        <v>0</v>
      </c>
      <c r="AM418">
        <v>0</v>
      </c>
      <c r="AN418" t="s">
        <v>8</v>
      </c>
      <c r="AO418" s="74" t="str">
        <f ca="1">IF(Table20[[#This Row],[Type]]="KILL",IF(_xlfn.NUMBERVALUE(RIGHT(Table20[[#This Row],[Min]],LEN(Table20[[#This Row],[Min]])-FIND("-",Table20[[#This Row],[Min]])))&gt;INDIRECT(ADDRESS(11+MATCH(LEFT(Table20[[#This Row],[Min]],FIND("-",Table20[[#This Row],[Min]])-1),Table1[Content Sku],0),18,1,1,"Entities")),"review","ok"),"ok")</f>
        <v>ok</v>
      </c>
    </row>
    <row r="419" spans="5:41" x14ac:dyDescent="0.25">
      <c r="E419" t="s">
        <v>475</v>
      </c>
      <c r="F419">
        <v>5000</v>
      </c>
      <c r="G419">
        <v>0</v>
      </c>
      <c r="H419" t="s">
        <v>205</v>
      </c>
      <c r="I419" s="74" t="str">
        <f ca="1">IF(Table7[[#This Row],[Type]]="KILL",IF(_xlfn.NUMBERVALUE(RIGHT(Table7[[#This Row],[Min]],LEN(Table7[[#This Row],[Min]])-FIND("-",Table7[[#This Row],[Min]])))&gt;INDIRECT(ADDRESS(11+MATCH(LEFT(Table7[[#This Row],[Min]],FIND("-",Table7[[#This Row],[Min]])-1),Table1[Content Sku],0),16,1,1,"Entities")),"review","ok"),"ok")</f>
        <v>ok</v>
      </c>
      <c r="U419" t="s">
        <v>545</v>
      </c>
      <c r="V419">
        <v>0</v>
      </c>
      <c r="W419">
        <v>0</v>
      </c>
      <c r="X419" t="s">
        <v>8</v>
      </c>
      <c r="Y419" s="74" t="str">
        <f ca="1">IF(Table15[[#This Row],[Type]]="KILL",IF(_xlfn.NUMBERVALUE(RIGHT(Table15[[#This Row],[Min]],LEN(Table15[[#This Row],[Min]])-FIND("-",Table15[[#This Row],[Min]])))&gt;INDIRECT(ADDRESS(11+MATCH(LEFT(Table15[[#This Row],[Min]],FIND("-",Table15[[#This Row],[Min]])-1),Table1[Content Sku],0),16,1,1,"Entities")),"review","ok"),"ok")</f>
        <v>ok</v>
      </c>
      <c r="AK419" t="s">
        <v>2741</v>
      </c>
      <c r="AL419">
        <v>0</v>
      </c>
      <c r="AM419">
        <v>0</v>
      </c>
      <c r="AN419" t="s">
        <v>8</v>
      </c>
      <c r="AO419" s="74" t="str">
        <f ca="1">IF(Table20[[#This Row],[Type]]="KILL",IF(_xlfn.NUMBERVALUE(RIGHT(Table20[[#This Row],[Min]],LEN(Table20[[#This Row],[Min]])-FIND("-",Table20[[#This Row],[Min]])))&gt;INDIRECT(ADDRESS(11+MATCH(LEFT(Table20[[#This Row],[Min]],FIND("-",Table20[[#This Row],[Min]])-1),Table1[Content Sku],0),18,1,1,"Entities")),"review","ok"),"ok")</f>
        <v>ok</v>
      </c>
    </row>
    <row r="420" spans="5:41" x14ac:dyDescent="0.25">
      <c r="E420" t="s">
        <v>545</v>
      </c>
      <c r="F420">
        <v>28000</v>
      </c>
      <c r="G420">
        <v>0</v>
      </c>
      <c r="H420" t="s">
        <v>205</v>
      </c>
      <c r="I420" s="74" t="str">
        <f ca="1">IF(Table7[[#This Row],[Type]]="KILL",IF(_xlfn.NUMBERVALUE(RIGHT(Table7[[#This Row],[Min]],LEN(Table7[[#This Row],[Min]])-FIND("-",Table7[[#This Row],[Min]])))&gt;INDIRECT(ADDRESS(11+MATCH(LEFT(Table7[[#This Row],[Min]],FIND("-",Table7[[#This Row],[Min]])-1),Table1[Content Sku],0),16,1,1,"Entities")),"review","ok"),"ok")</f>
        <v>ok</v>
      </c>
      <c r="U420" t="s">
        <v>44</v>
      </c>
      <c r="V420">
        <v>20000</v>
      </c>
      <c r="W420">
        <v>0</v>
      </c>
      <c r="X420" t="s">
        <v>205</v>
      </c>
      <c r="Y420" s="74" t="str">
        <f ca="1">IF(Table15[[#This Row],[Type]]="KILL",IF(_xlfn.NUMBERVALUE(RIGHT(Table15[[#This Row],[Min]],LEN(Table15[[#This Row],[Min]])-FIND("-",Table15[[#This Row],[Min]])))&gt;INDIRECT(ADDRESS(11+MATCH(LEFT(Table15[[#This Row],[Min]],FIND("-",Table15[[#This Row],[Min]])-1),Table1[Content Sku],0),16,1,1,"Entities")),"review","ok"),"ok")</f>
        <v>ok</v>
      </c>
      <c r="AK420" t="s">
        <v>46</v>
      </c>
      <c r="AL420">
        <v>0</v>
      </c>
      <c r="AM420">
        <v>0</v>
      </c>
      <c r="AN420" t="s">
        <v>8</v>
      </c>
      <c r="AO420" s="74" t="str">
        <f ca="1">IF(Table20[[#This Row],[Type]]="KILL",IF(_xlfn.NUMBERVALUE(RIGHT(Table20[[#This Row],[Min]],LEN(Table20[[#This Row],[Min]])-FIND("-",Table20[[#This Row],[Min]])))&gt;INDIRECT(ADDRESS(11+MATCH(LEFT(Table20[[#This Row],[Min]],FIND("-",Table20[[#This Row],[Min]])-1),Table1[Content Sku],0),18,1,1,"Entities")),"review","ok"),"ok")</f>
        <v>ok</v>
      </c>
    </row>
    <row r="421" spans="5:41" x14ac:dyDescent="0.25">
      <c r="E421" t="s">
        <v>280</v>
      </c>
      <c r="F421">
        <v>0</v>
      </c>
      <c r="G421">
        <v>0</v>
      </c>
      <c r="H421" t="s">
        <v>8</v>
      </c>
      <c r="I421" s="74" t="str">
        <f ca="1">IF(Table7[[#This Row],[Type]]="KILL",IF(_xlfn.NUMBERVALUE(RIGHT(Table7[[#This Row],[Min]],LEN(Table7[[#This Row],[Min]])-FIND("-",Table7[[#This Row],[Min]])))&gt;INDIRECT(ADDRESS(11+MATCH(LEFT(Table7[[#This Row],[Min]],FIND("-",Table7[[#This Row],[Min]])-1),Table1[Content Sku],0),16,1,1,"Entities")),"review","ok"),"ok")</f>
        <v>ok</v>
      </c>
      <c r="U421" t="s">
        <v>418</v>
      </c>
      <c r="V421">
        <v>80000</v>
      </c>
      <c r="W421">
        <v>0</v>
      </c>
      <c r="X421" t="s">
        <v>205</v>
      </c>
      <c r="Y421" s="74" t="str">
        <f ca="1">IF(Table15[[#This Row],[Type]]="KILL",IF(_xlfn.NUMBERVALUE(RIGHT(Table15[[#This Row],[Min]],LEN(Table15[[#This Row],[Min]])-FIND("-",Table15[[#This Row],[Min]])))&gt;INDIRECT(ADDRESS(11+MATCH(LEFT(Table15[[#This Row],[Min]],FIND("-",Table15[[#This Row],[Min]])-1),Table1[Content Sku],0),16,1,1,"Entities")),"review","ok"),"ok")</f>
        <v>ok</v>
      </c>
      <c r="AK421" t="s">
        <v>95</v>
      </c>
      <c r="AL421">
        <v>0</v>
      </c>
      <c r="AM421">
        <v>0</v>
      </c>
      <c r="AN421" t="s">
        <v>8</v>
      </c>
      <c r="AO421" s="74" t="str">
        <f ca="1">IF(Table20[[#This Row],[Type]]="KILL",IF(_xlfn.NUMBERVALUE(RIGHT(Table20[[#This Row],[Min]],LEN(Table20[[#This Row],[Min]])-FIND("-",Table20[[#This Row],[Min]])))&gt;INDIRECT(ADDRESS(11+MATCH(LEFT(Table20[[#This Row],[Min]],FIND("-",Table20[[#This Row],[Min]])-1),Table1[Content Sku],0),18,1,1,"Entities")),"review","ok"),"ok")</f>
        <v>ok</v>
      </c>
    </row>
    <row r="422" spans="5:41" x14ac:dyDescent="0.25">
      <c r="E422" t="s">
        <v>286</v>
      </c>
      <c r="F422">
        <v>0</v>
      </c>
      <c r="G422">
        <v>0</v>
      </c>
      <c r="H422" t="s">
        <v>8</v>
      </c>
      <c r="I422" s="74" t="str">
        <f ca="1">IF(Table7[[#This Row],[Type]]="KILL",IF(_xlfn.NUMBERVALUE(RIGHT(Table7[[#This Row],[Min]],LEN(Table7[[#This Row],[Min]])-FIND("-",Table7[[#This Row],[Min]])))&gt;INDIRECT(ADDRESS(11+MATCH(LEFT(Table7[[#This Row],[Min]],FIND("-",Table7[[#This Row],[Min]])-1),Table1[Content Sku],0),16,1,1,"Entities")),"review","ok"),"ok")</f>
        <v>ok</v>
      </c>
      <c r="U422" t="s">
        <v>313</v>
      </c>
      <c r="V422">
        <v>0</v>
      </c>
      <c r="W422">
        <v>0</v>
      </c>
      <c r="X422" t="s">
        <v>8</v>
      </c>
      <c r="Y422" s="74" t="str">
        <f ca="1">IF(Table15[[#This Row],[Type]]="KILL",IF(_xlfn.NUMBERVALUE(RIGHT(Table15[[#This Row],[Min]],LEN(Table15[[#This Row],[Min]])-FIND("-",Table15[[#This Row],[Min]])))&gt;INDIRECT(ADDRESS(11+MATCH(LEFT(Table15[[#This Row],[Min]],FIND("-",Table15[[#This Row],[Min]])-1),Table1[Content Sku],0),16,1,1,"Entities")),"review","ok"),"ok")</f>
        <v>ok</v>
      </c>
      <c r="AK422" t="s">
        <v>578</v>
      </c>
      <c r="AL422">
        <v>0</v>
      </c>
      <c r="AM422">
        <v>0</v>
      </c>
      <c r="AN422" t="s">
        <v>8</v>
      </c>
      <c r="AO422" s="74" t="str">
        <f ca="1">IF(Table20[[#This Row],[Type]]="KILL",IF(_xlfn.NUMBERVALUE(RIGHT(Table20[[#This Row],[Min]],LEN(Table20[[#This Row],[Min]])-FIND("-",Table20[[#This Row],[Min]])))&gt;INDIRECT(ADDRESS(11+MATCH(LEFT(Table20[[#This Row],[Min]],FIND("-",Table20[[#This Row],[Min]])-1),Table1[Content Sku],0),18,1,1,"Entities")),"review","ok"),"ok")</f>
        <v>ok</v>
      </c>
    </row>
    <row r="423" spans="5:41" x14ac:dyDescent="0.25">
      <c r="E423" t="s">
        <v>313</v>
      </c>
      <c r="F423">
        <v>0</v>
      </c>
      <c r="G423">
        <v>0</v>
      </c>
      <c r="H423" t="s">
        <v>8</v>
      </c>
      <c r="I423" s="74" t="str">
        <f ca="1">IF(Table7[[#This Row],[Type]]="KILL",IF(_xlfn.NUMBERVALUE(RIGHT(Table7[[#This Row],[Min]],LEN(Table7[[#This Row],[Min]])-FIND("-",Table7[[#This Row],[Min]])))&gt;INDIRECT(ADDRESS(11+MATCH(LEFT(Table7[[#This Row],[Min]],FIND("-",Table7[[#This Row],[Min]])-1),Table1[Content Sku],0),16,1,1,"Entities")),"review","ok"),"ok")</f>
        <v>ok</v>
      </c>
      <c r="U423" t="s">
        <v>254</v>
      </c>
      <c r="V423">
        <v>0</v>
      </c>
      <c r="W423">
        <v>0</v>
      </c>
      <c r="X423" t="s">
        <v>8</v>
      </c>
      <c r="Y423" s="74" t="str">
        <f ca="1">IF(Table15[[#This Row],[Type]]="KILL",IF(_xlfn.NUMBERVALUE(RIGHT(Table15[[#This Row],[Min]],LEN(Table15[[#This Row],[Min]])-FIND("-",Table15[[#This Row],[Min]])))&gt;INDIRECT(ADDRESS(11+MATCH(LEFT(Table15[[#This Row],[Min]],FIND("-",Table15[[#This Row],[Min]])-1),Table1[Content Sku],0),16,1,1,"Entities")),"review","ok"),"ok")</f>
        <v>ok</v>
      </c>
      <c r="AK423" t="s">
        <v>40</v>
      </c>
      <c r="AL423">
        <v>31000</v>
      </c>
      <c r="AM423">
        <v>0</v>
      </c>
      <c r="AN423" t="s">
        <v>205</v>
      </c>
      <c r="AO423" s="74" t="str">
        <f ca="1">IF(Table20[[#This Row],[Type]]="KILL",IF(_xlfn.NUMBERVALUE(RIGHT(Table20[[#This Row],[Min]],LEN(Table20[[#This Row],[Min]])-FIND("-",Table20[[#This Row],[Min]])))&gt;INDIRECT(ADDRESS(11+MATCH(LEFT(Table20[[#This Row],[Min]],FIND("-",Table20[[#This Row],[Min]])-1),Table1[Content Sku],0),18,1,1,"Entities")),"review","ok"),"ok")</f>
        <v>ok</v>
      </c>
    </row>
    <row r="424" spans="5:41" x14ac:dyDescent="0.25">
      <c r="E424" t="s">
        <v>289</v>
      </c>
      <c r="F424">
        <v>0</v>
      </c>
      <c r="G424">
        <v>0</v>
      </c>
      <c r="H424" t="s">
        <v>8</v>
      </c>
      <c r="I424" s="74" t="str">
        <f ca="1">IF(Table7[[#This Row],[Type]]="KILL",IF(_xlfn.NUMBERVALUE(RIGHT(Table7[[#This Row],[Min]],LEN(Table7[[#This Row],[Min]])-FIND("-",Table7[[#This Row],[Min]])))&gt;INDIRECT(ADDRESS(11+MATCH(LEFT(Table7[[#This Row],[Min]],FIND("-",Table7[[#This Row],[Min]])-1),Table1[Content Sku],0),16,1,1,"Entities")),"review","ok"),"ok")</f>
        <v>ok</v>
      </c>
      <c r="U424" t="s">
        <v>391</v>
      </c>
      <c r="V424">
        <v>0</v>
      </c>
      <c r="W424">
        <v>0</v>
      </c>
      <c r="X424" t="s">
        <v>8</v>
      </c>
      <c r="Y424" s="74" t="str">
        <f ca="1">IF(Table15[[#This Row],[Type]]="KILL",IF(_xlfn.NUMBERVALUE(RIGHT(Table15[[#This Row],[Min]],LEN(Table15[[#This Row],[Min]])-FIND("-",Table15[[#This Row],[Min]])))&gt;INDIRECT(ADDRESS(11+MATCH(LEFT(Table15[[#This Row],[Min]],FIND("-",Table15[[#This Row],[Min]])-1),Table1[Content Sku],0),16,1,1,"Entities")),"review","ok"),"ok")</f>
        <v>ok</v>
      </c>
      <c r="AK424" t="s">
        <v>2662</v>
      </c>
      <c r="AL424">
        <v>0</v>
      </c>
      <c r="AM424">
        <v>0</v>
      </c>
      <c r="AN424" t="s">
        <v>8</v>
      </c>
      <c r="AO424" s="74" t="str">
        <f ca="1">IF(Table20[[#This Row],[Type]]="KILL",IF(_xlfn.NUMBERVALUE(RIGHT(Table20[[#This Row],[Min]],LEN(Table20[[#This Row],[Min]])-FIND("-",Table20[[#This Row],[Min]])))&gt;INDIRECT(ADDRESS(11+MATCH(LEFT(Table20[[#This Row],[Min]],FIND("-",Table20[[#This Row],[Min]])-1),Table1[Content Sku],0),18,1,1,"Entities")),"review","ok"),"ok")</f>
        <v>ok</v>
      </c>
    </row>
    <row r="425" spans="5:41" x14ac:dyDescent="0.25">
      <c r="E425" t="s">
        <v>39</v>
      </c>
      <c r="F425">
        <v>0</v>
      </c>
      <c r="G425">
        <v>0</v>
      </c>
      <c r="H425" t="s">
        <v>8</v>
      </c>
      <c r="I425" s="74" t="str">
        <f ca="1">IF(Table7[[#This Row],[Type]]="KILL",IF(_xlfn.NUMBERVALUE(RIGHT(Table7[[#This Row],[Min]],LEN(Table7[[#This Row],[Min]])-FIND("-",Table7[[#This Row],[Min]])))&gt;INDIRECT(ADDRESS(11+MATCH(LEFT(Table7[[#This Row],[Min]],FIND("-",Table7[[#This Row],[Min]])-1),Table1[Content Sku],0),16,1,1,"Entities")),"review","ok"),"ok")</f>
        <v>ok</v>
      </c>
      <c r="U425" t="s">
        <v>40</v>
      </c>
      <c r="V425">
        <v>20000</v>
      </c>
      <c r="W425">
        <v>0</v>
      </c>
      <c r="X425" t="s">
        <v>205</v>
      </c>
      <c r="Y425" s="74" t="str">
        <f ca="1">IF(Table15[[#This Row],[Type]]="KILL",IF(_xlfn.NUMBERVALUE(RIGHT(Table15[[#This Row],[Min]],LEN(Table15[[#This Row],[Min]])-FIND("-",Table15[[#This Row],[Min]])))&gt;INDIRECT(ADDRESS(11+MATCH(LEFT(Table15[[#This Row],[Min]],FIND("-",Table15[[#This Row],[Min]])-1),Table1[Content Sku],0),16,1,1,"Entities")),"review","ok"),"ok")</f>
        <v>ok</v>
      </c>
      <c r="AK425" t="s">
        <v>37</v>
      </c>
      <c r="AL425">
        <v>0</v>
      </c>
      <c r="AM425">
        <v>0</v>
      </c>
      <c r="AN425" t="s">
        <v>8</v>
      </c>
      <c r="AO425" s="74" t="str">
        <f ca="1">IF(Table20[[#This Row],[Type]]="KILL",IF(_xlfn.NUMBERVALUE(RIGHT(Table20[[#This Row],[Min]],LEN(Table20[[#This Row],[Min]])-FIND("-",Table20[[#This Row],[Min]])))&gt;INDIRECT(ADDRESS(11+MATCH(LEFT(Table20[[#This Row],[Min]],FIND("-",Table20[[#This Row],[Min]])-1),Table1[Content Sku],0),18,1,1,"Entities")),"review","ok"),"ok")</f>
        <v>ok</v>
      </c>
    </row>
    <row r="426" spans="5:41" x14ac:dyDescent="0.25">
      <c r="E426" t="s">
        <v>257</v>
      </c>
      <c r="F426">
        <v>0</v>
      </c>
      <c r="G426">
        <v>0</v>
      </c>
      <c r="H426" t="s">
        <v>8</v>
      </c>
      <c r="I426" s="74" t="str">
        <f ca="1">IF(Table7[[#This Row],[Type]]="KILL",IF(_xlfn.NUMBERVALUE(RIGHT(Table7[[#This Row],[Min]],LEN(Table7[[#This Row],[Min]])-FIND("-",Table7[[#This Row],[Min]])))&gt;INDIRECT(ADDRESS(11+MATCH(LEFT(Table7[[#This Row],[Min]],FIND("-",Table7[[#This Row],[Min]])-1),Table1[Content Sku],0),16,1,1,"Entities")),"review","ok"),"ok")</f>
        <v>ok</v>
      </c>
      <c r="U426" t="s">
        <v>39</v>
      </c>
      <c r="V426">
        <v>15000</v>
      </c>
      <c r="W426">
        <v>0</v>
      </c>
      <c r="X426" t="s">
        <v>205</v>
      </c>
      <c r="Y426" s="74" t="str">
        <f ca="1">IF(Table15[[#This Row],[Type]]="KILL",IF(_xlfn.NUMBERVALUE(RIGHT(Table15[[#This Row],[Min]],LEN(Table15[[#This Row],[Min]])-FIND("-",Table15[[#This Row],[Min]])))&gt;INDIRECT(ADDRESS(11+MATCH(LEFT(Table15[[#This Row],[Min]],FIND("-",Table15[[#This Row],[Min]])-1),Table1[Content Sku],0),16,1,1,"Entities")),"review","ok"),"ok")</f>
        <v>ok</v>
      </c>
      <c r="AK426" t="s">
        <v>548</v>
      </c>
      <c r="AL426">
        <v>0</v>
      </c>
      <c r="AM426">
        <v>0</v>
      </c>
      <c r="AN426" t="s">
        <v>8</v>
      </c>
      <c r="AO426" s="74" t="str">
        <f ca="1">IF(Table20[[#This Row],[Type]]="KILL",IF(_xlfn.NUMBERVALUE(RIGHT(Table20[[#This Row],[Min]],LEN(Table20[[#This Row],[Min]])-FIND("-",Table20[[#This Row],[Min]])))&gt;INDIRECT(ADDRESS(11+MATCH(LEFT(Table20[[#This Row],[Min]],FIND("-",Table20[[#This Row],[Min]])-1),Table1[Content Sku],0),18,1,1,"Entities")),"review","ok"),"ok")</f>
        <v>ok</v>
      </c>
    </row>
    <row r="427" spans="5:41" x14ac:dyDescent="0.25">
      <c r="E427" t="s">
        <v>254</v>
      </c>
      <c r="F427">
        <v>0</v>
      </c>
      <c r="G427">
        <v>0</v>
      </c>
      <c r="H427" t="s">
        <v>8</v>
      </c>
      <c r="I427" s="74" t="str">
        <f ca="1">IF(Table7[[#This Row],[Type]]="KILL",IF(_xlfn.NUMBERVALUE(RIGHT(Table7[[#This Row],[Min]],LEN(Table7[[#This Row],[Min]])-FIND("-",Table7[[#This Row],[Min]])))&gt;INDIRECT(ADDRESS(11+MATCH(LEFT(Table7[[#This Row],[Min]],FIND("-",Table7[[#This Row],[Min]])-1),Table1[Content Sku],0),16,1,1,"Entities")),"review","ok"),"ok")</f>
        <v>ok</v>
      </c>
      <c r="U427" t="s">
        <v>391</v>
      </c>
      <c r="V427">
        <v>0</v>
      </c>
      <c r="W427">
        <v>45000</v>
      </c>
      <c r="X427" t="s">
        <v>205</v>
      </c>
      <c r="Y427" s="74" t="str">
        <f ca="1">IF(Table15[[#This Row],[Type]]="KILL",IF(_xlfn.NUMBERVALUE(RIGHT(Table15[[#This Row],[Min]],LEN(Table15[[#This Row],[Min]])-FIND("-",Table15[[#This Row],[Min]])))&gt;INDIRECT(ADDRESS(11+MATCH(LEFT(Table15[[#This Row],[Min]],FIND("-",Table15[[#This Row],[Min]])-1),Table1[Content Sku],0),16,1,1,"Entities")),"review","ok"),"ok")</f>
        <v>ok</v>
      </c>
      <c r="AK427" t="s">
        <v>540</v>
      </c>
      <c r="AL427">
        <v>0</v>
      </c>
      <c r="AM427">
        <v>0</v>
      </c>
      <c r="AN427" t="s">
        <v>8</v>
      </c>
      <c r="AO427" s="74" t="str">
        <f ca="1">IF(Table20[[#This Row],[Type]]="KILL",IF(_xlfn.NUMBERVALUE(RIGHT(Table20[[#This Row],[Min]],LEN(Table20[[#This Row],[Min]])-FIND("-",Table20[[#This Row],[Min]])))&gt;INDIRECT(ADDRESS(11+MATCH(LEFT(Table20[[#This Row],[Min]],FIND("-",Table20[[#This Row],[Min]])-1),Table1[Content Sku],0),18,1,1,"Entities")),"review","ok"),"ok")</f>
        <v>ok</v>
      </c>
    </row>
    <row r="428" spans="5:41" x14ac:dyDescent="0.25">
      <c r="E428" t="s">
        <v>47</v>
      </c>
      <c r="F428">
        <v>0</v>
      </c>
      <c r="G428">
        <v>0</v>
      </c>
      <c r="H428" t="s">
        <v>8</v>
      </c>
      <c r="I428" s="74" t="str">
        <f ca="1">IF(Table7[[#This Row],[Type]]="KILL",IF(_xlfn.NUMBERVALUE(RIGHT(Table7[[#This Row],[Min]],LEN(Table7[[#This Row],[Min]])-FIND("-",Table7[[#This Row],[Min]])))&gt;INDIRECT(ADDRESS(11+MATCH(LEFT(Table7[[#This Row],[Min]],FIND("-",Table7[[#This Row],[Min]])-1),Table1[Content Sku],0),16,1,1,"Entities")),"review","ok"),"ok")</f>
        <v>ok</v>
      </c>
      <c r="U428" t="s">
        <v>2732</v>
      </c>
      <c r="V428">
        <v>0</v>
      </c>
      <c r="W428">
        <v>0</v>
      </c>
      <c r="X428" t="s">
        <v>8</v>
      </c>
      <c r="Y428" s="74" t="str">
        <f ca="1">IF(Table15[[#This Row],[Type]]="KILL",IF(_xlfn.NUMBERVALUE(RIGHT(Table15[[#This Row],[Min]],LEN(Table15[[#This Row],[Min]])-FIND("-",Table15[[#This Row],[Min]])))&gt;INDIRECT(ADDRESS(11+MATCH(LEFT(Table15[[#This Row],[Min]],FIND("-",Table15[[#This Row],[Min]])-1),Table1[Content Sku],0),16,1,1,"Entities")),"review","ok"),"ok")</f>
        <v>ok</v>
      </c>
      <c r="AK428" t="s">
        <v>2767</v>
      </c>
      <c r="AL428">
        <v>0</v>
      </c>
      <c r="AM428">
        <v>0</v>
      </c>
      <c r="AN428" t="s">
        <v>8</v>
      </c>
      <c r="AO428" s="74" t="str">
        <f ca="1">IF(Table20[[#This Row],[Type]]="KILL",IF(_xlfn.NUMBERVALUE(RIGHT(Table20[[#This Row],[Min]],LEN(Table20[[#This Row],[Min]])-FIND("-",Table20[[#This Row],[Min]])))&gt;INDIRECT(ADDRESS(11+MATCH(LEFT(Table20[[#This Row],[Min]],FIND("-",Table20[[#This Row],[Min]])-1),Table1[Content Sku],0),18,1,1,"Entities")),"review","ok"),"ok")</f>
        <v>ok</v>
      </c>
    </row>
    <row r="429" spans="5:41" x14ac:dyDescent="0.25">
      <c r="E429" t="s">
        <v>289</v>
      </c>
      <c r="F429">
        <v>0</v>
      </c>
      <c r="G429">
        <v>0</v>
      </c>
      <c r="H429" t="s">
        <v>8</v>
      </c>
      <c r="I429" s="74" t="str">
        <f ca="1">IF(Table7[[#This Row],[Type]]="KILL",IF(_xlfn.NUMBERVALUE(RIGHT(Table7[[#This Row],[Min]],LEN(Table7[[#This Row],[Min]])-FIND("-",Table7[[#This Row],[Min]])))&gt;INDIRECT(ADDRESS(11+MATCH(LEFT(Table7[[#This Row],[Min]],FIND("-",Table7[[#This Row],[Min]])-1),Table1[Content Sku],0),16,1,1,"Entities")),"review","ok"),"ok")</f>
        <v>ok</v>
      </c>
      <c r="U429" t="s">
        <v>8133</v>
      </c>
      <c r="V429">
        <v>0</v>
      </c>
      <c r="W429">
        <v>0</v>
      </c>
      <c r="X429" t="s">
        <v>8</v>
      </c>
      <c r="Y429" s="74" t="str">
        <f ca="1">IF(Table15[[#This Row],[Type]]="KILL",IF(_xlfn.NUMBERVALUE(RIGHT(Table15[[#This Row],[Min]],LEN(Table15[[#This Row],[Min]])-FIND("-",Table15[[#This Row],[Min]])))&gt;INDIRECT(ADDRESS(11+MATCH(LEFT(Table15[[#This Row],[Min]],FIND("-",Table15[[#This Row],[Min]])-1),Table1[Content Sku],0),16,1,1,"Entities")),"review","ok"),"ok")</f>
        <v>ok</v>
      </c>
      <c r="AK429" t="s">
        <v>578</v>
      </c>
      <c r="AL429">
        <v>0</v>
      </c>
      <c r="AM429">
        <v>25000</v>
      </c>
      <c r="AN429" t="s">
        <v>205</v>
      </c>
      <c r="AO429" s="74" t="str">
        <f ca="1">IF(Table20[[#This Row],[Type]]="KILL",IF(_xlfn.NUMBERVALUE(RIGHT(Table20[[#This Row],[Min]],LEN(Table20[[#This Row],[Min]])-FIND("-",Table20[[#This Row],[Min]])))&gt;INDIRECT(ADDRESS(11+MATCH(LEFT(Table20[[#This Row],[Min]],FIND("-",Table20[[#This Row],[Min]])-1),Table1[Content Sku],0),18,1,1,"Entities")),"review","ok"),"ok")</f>
        <v>ok</v>
      </c>
    </row>
    <row r="430" spans="5:41" x14ac:dyDescent="0.25">
      <c r="E430" t="s">
        <v>289</v>
      </c>
      <c r="F430">
        <v>0</v>
      </c>
      <c r="G430">
        <v>24000</v>
      </c>
      <c r="H430" t="s">
        <v>205</v>
      </c>
      <c r="I430" s="74" t="str">
        <f ca="1">IF(Table7[[#This Row],[Type]]="KILL",IF(_xlfn.NUMBERVALUE(RIGHT(Table7[[#This Row],[Min]],LEN(Table7[[#This Row],[Min]])-FIND("-",Table7[[#This Row],[Min]])))&gt;INDIRECT(ADDRESS(11+MATCH(LEFT(Table7[[#This Row],[Min]],FIND("-",Table7[[#This Row],[Min]])-1),Table1[Content Sku],0),16,1,1,"Entities")),"review","ok"),"ok")</f>
        <v>ok</v>
      </c>
      <c r="U430" t="s">
        <v>49</v>
      </c>
      <c r="V430">
        <v>35000</v>
      </c>
      <c r="W430">
        <v>0</v>
      </c>
      <c r="X430" t="s">
        <v>205</v>
      </c>
      <c r="Y430" s="74" t="str">
        <f ca="1">IF(Table15[[#This Row],[Type]]="KILL",IF(_xlfn.NUMBERVALUE(RIGHT(Table15[[#This Row],[Min]],LEN(Table15[[#This Row],[Min]])-FIND("-",Table15[[#This Row],[Min]])))&gt;INDIRECT(ADDRESS(11+MATCH(LEFT(Table15[[#This Row],[Min]],FIND("-",Table15[[#This Row],[Min]])-1),Table1[Content Sku],0),16,1,1,"Entities")),"review","ok"),"ok")</f>
        <v>ok</v>
      </c>
      <c r="AK430" t="s">
        <v>2767</v>
      </c>
      <c r="AL430">
        <v>0</v>
      </c>
      <c r="AM430">
        <v>0</v>
      </c>
      <c r="AN430" t="s">
        <v>8</v>
      </c>
      <c r="AO430" s="74" t="str">
        <f ca="1">IF(Table20[[#This Row],[Type]]="KILL",IF(_xlfn.NUMBERVALUE(RIGHT(Table20[[#This Row],[Min]],LEN(Table20[[#This Row],[Min]])-FIND("-",Table20[[#This Row],[Min]])))&gt;INDIRECT(ADDRESS(11+MATCH(LEFT(Table20[[#This Row],[Min]],FIND("-",Table20[[#This Row],[Min]])-1),Table1[Content Sku],0),18,1,1,"Entities")),"review","ok"),"ok")</f>
        <v>ok</v>
      </c>
    </row>
    <row r="431" spans="5:41" x14ac:dyDescent="0.25">
      <c r="E431" t="s">
        <v>313</v>
      </c>
      <c r="F431">
        <v>0</v>
      </c>
      <c r="G431">
        <v>0</v>
      </c>
      <c r="H431" t="s">
        <v>8</v>
      </c>
      <c r="I431" s="74" t="str">
        <f ca="1">IF(Table7[[#This Row],[Type]]="KILL",IF(_xlfn.NUMBERVALUE(RIGHT(Table7[[#This Row],[Min]],LEN(Table7[[#This Row],[Min]])-FIND("-",Table7[[#This Row],[Min]])))&gt;INDIRECT(ADDRESS(11+MATCH(LEFT(Table7[[#This Row],[Min]],FIND("-",Table7[[#This Row],[Min]])-1),Table1[Content Sku],0),16,1,1,"Entities")),"review","ok"),"ok")</f>
        <v>ok</v>
      </c>
      <c r="U431" t="s">
        <v>311</v>
      </c>
      <c r="V431">
        <v>0</v>
      </c>
      <c r="W431">
        <v>0</v>
      </c>
      <c r="X431" t="s">
        <v>8</v>
      </c>
      <c r="Y431" s="74" t="str">
        <f ca="1">IF(Table15[[#This Row],[Type]]="KILL",IF(_xlfn.NUMBERVALUE(RIGHT(Table15[[#This Row],[Min]],LEN(Table15[[#This Row],[Min]])-FIND("-",Table15[[#This Row],[Min]])))&gt;INDIRECT(ADDRESS(11+MATCH(LEFT(Table15[[#This Row],[Min]],FIND("-",Table15[[#This Row],[Min]])-1),Table1[Content Sku],0),16,1,1,"Entities")),"review","ok"),"ok")</f>
        <v>ok</v>
      </c>
      <c r="AK431" t="s">
        <v>2743</v>
      </c>
      <c r="AL431">
        <v>0</v>
      </c>
      <c r="AM431">
        <v>0</v>
      </c>
      <c r="AN431" t="s">
        <v>8</v>
      </c>
      <c r="AO431" s="74" t="str">
        <f ca="1">IF(Table20[[#This Row],[Type]]="KILL",IF(_xlfn.NUMBERVALUE(RIGHT(Table20[[#This Row],[Min]],LEN(Table20[[#This Row],[Min]])-FIND("-",Table20[[#This Row],[Min]])))&gt;INDIRECT(ADDRESS(11+MATCH(LEFT(Table20[[#This Row],[Min]],FIND("-",Table20[[#This Row],[Min]])-1),Table1[Content Sku],0),18,1,1,"Entities")),"review","ok"),"ok")</f>
        <v>ok</v>
      </c>
    </row>
    <row r="432" spans="5:41" x14ac:dyDescent="0.25">
      <c r="E432" t="s">
        <v>309</v>
      </c>
      <c r="F432">
        <v>180</v>
      </c>
      <c r="G432">
        <v>0</v>
      </c>
      <c r="H432" t="s">
        <v>4431</v>
      </c>
      <c r="I432" s="74" t="str">
        <f ca="1">IF(Table7[[#This Row],[Type]]="KILL",IF(_xlfn.NUMBERVALUE(RIGHT(Table7[[#This Row],[Min]],LEN(Table7[[#This Row],[Min]])-FIND("-",Table7[[#This Row],[Min]])))&gt;INDIRECT(ADDRESS(11+MATCH(LEFT(Table7[[#This Row],[Min]],FIND("-",Table7[[#This Row],[Min]])-1),Table1[Content Sku],0),16,1,1,"Entities")),"review","ok"),"ok")</f>
        <v>ok</v>
      </c>
      <c r="U432" t="s">
        <v>315</v>
      </c>
      <c r="V432">
        <v>0</v>
      </c>
      <c r="W432">
        <v>0</v>
      </c>
      <c r="X432" t="s">
        <v>8</v>
      </c>
      <c r="Y432" s="74" t="str">
        <f ca="1">IF(Table15[[#This Row],[Type]]="KILL",IF(_xlfn.NUMBERVALUE(RIGHT(Table15[[#This Row],[Min]],LEN(Table15[[#This Row],[Min]])-FIND("-",Table15[[#This Row],[Min]])))&gt;INDIRECT(ADDRESS(11+MATCH(LEFT(Table15[[#This Row],[Min]],FIND("-",Table15[[#This Row],[Min]])-1),Table1[Content Sku],0),16,1,1,"Entities")),"review","ok"),"ok")</f>
        <v>ok</v>
      </c>
      <c r="AK432" t="s">
        <v>548</v>
      </c>
      <c r="AL432">
        <v>0</v>
      </c>
      <c r="AM432">
        <v>0</v>
      </c>
      <c r="AN432" t="s">
        <v>8</v>
      </c>
      <c r="AO432" s="74" t="str">
        <f ca="1">IF(Table20[[#This Row],[Type]]="KILL",IF(_xlfn.NUMBERVALUE(RIGHT(Table20[[#This Row],[Min]],LEN(Table20[[#This Row],[Min]])-FIND("-",Table20[[#This Row],[Min]])))&gt;INDIRECT(ADDRESS(11+MATCH(LEFT(Table20[[#This Row],[Min]],FIND("-",Table20[[#This Row],[Min]])-1),Table1[Content Sku],0),18,1,1,"Entities")),"review","ok"),"ok")</f>
        <v>ok</v>
      </c>
    </row>
    <row r="433" spans="5:41" x14ac:dyDescent="0.25">
      <c r="E433" t="s">
        <v>313</v>
      </c>
      <c r="F433">
        <v>0</v>
      </c>
      <c r="G433">
        <v>0</v>
      </c>
      <c r="H433" t="s">
        <v>8</v>
      </c>
      <c r="I433" s="74" t="str">
        <f ca="1">IF(Table7[[#This Row],[Type]]="KILL",IF(_xlfn.NUMBERVALUE(RIGHT(Table7[[#This Row],[Min]],LEN(Table7[[#This Row],[Min]])-FIND("-",Table7[[#This Row],[Min]])))&gt;INDIRECT(ADDRESS(11+MATCH(LEFT(Table7[[#This Row],[Min]],FIND("-",Table7[[#This Row],[Min]])-1),Table1[Content Sku],0),16,1,1,"Entities")),"review","ok"),"ok")</f>
        <v>ok</v>
      </c>
      <c r="U433" t="s">
        <v>450</v>
      </c>
      <c r="V433">
        <v>0</v>
      </c>
      <c r="W433">
        <v>0</v>
      </c>
      <c r="X433" t="s">
        <v>8</v>
      </c>
      <c r="Y433" s="74" t="str">
        <f ca="1">IF(Table15[[#This Row],[Type]]="KILL",IF(_xlfn.NUMBERVALUE(RIGHT(Table15[[#This Row],[Min]],LEN(Table15[[#This Row],[Min]])-FIND("-",Table15[[#This Row],[Min]])))&gt;INDIRECT(ADDRESS(11+MATCH(LEFT(Table15[[#This Row],[Min]],FIND("-",Table15[[#This Row],[Min]])-1),Table1[Content Sku],0),16,1,1,"Entities")),"review","ok"),"ok")</f>
        <v>ok</v>
      </c>
      <c r="AK433" t="s">
        <v>2767</v>
      </c>
      <c r="AL433">
        <v>0</v>
      </c>
      <c r="AM433">
        <v>0</v>
      </c>
      <c r="AN433" t="s">
        <v>8</v>
      </c>
      <c r="AO433" s="74" t="str">
        <f ca="1">IF(Table20[[#This Row],[Type]]="KILL",IF(_xlfn.NUMBERVALUE(RIGHT(Table20[[#This Row],[Min]],LEN(Table20[[#This Row],[Min]])-FIND("-",Table20[[#This Row],[Min]])))&gt;INDIRECT(ADDRESS(11+MATCH(LEFT(Table20[[#This Row],[Min]],FIND("-",Table20[[#This Row],[Min]])-1),Table1[Content Sku],0),18,1,1,"Entities")),"review","ok"),"ok")</f>
        <v>ok</v>
      </c>
    </row>
    <row r="434" spans="5:41" x14ac:dyDescent="0.25">
      <c r="E434" t="s">
        <v>8103</v>
      </c>
      <c r="F434">
        <v>500</v>
      </c>
      <c r="G434">
        <v>0</v>
      </c>
      <c r="H434" t="s">
        <v>4431</v>
      </c>
      <c r="I434" s="74" t="str">
        <f ca="1">IF(Table7[[#This Row],[Type]]="KILL",IF(_xlfn.NUMBERVALUE(RIGHT(Table7[[#This Row],[Min]],LEN(Table7[[#This Row],[Min]])-FIND("-",Table7[[#This Row],[Min]])))&gt;INDIRECT(ADDRESS(11+MATCH(LEFT(Table7[[#This Row],[Min]],FIND("-",Table7[[#This Row],[Min]])-1),Table1[Content Sku],0),16,1,1,"Entities")),"review","ok"),"ok")</f>
        <v>ok</v>
      </c>
      <c r="U434" t="s">
        <v>392</v>
      </c>
      <c r="V434">
        <v>0</v>
      </c>
      <c r="W434">
        <v>0</v>
      </c>
      <c r="X434" t="s">
        <v>8</v>
      </c>
      <c r="Y434" s="74" t="str">
        <f ca="1">IF(Table15[[#This Row],[Type]]="KILL",IF(_xlfn.NUMBERVALUE(RIGHT(Table15[[#This Row],[Min]],LEN(Table15[[#This Row],[Min]])-FIND("-",Table15[[#This Row],[Min]])))&gt;INDIRECT(ADDRESS(11+MATCH(LEFT(Table15[[#This Row],[Min]],FIND("-",Table15[[#This Row],[Min]])-1),Table1[Content Sku],0),16,1,1,"Entities")),"review","ok"),"ok")</f>
        <v>ok</v>
      </c>
      <c r="AK434" t="s">
        <v>2679</v>
      </c>
      <c r="AL434">
        <v>0</v>
      </c>
      <c r="AM434">
        <v>40000</v>
      </c>
      <c r="AN434" t="s">
        <v>205</v>
      </c>
      <c r="AO434" s="74" t="str">
        <f ca="1">IF(Table20[[#This Row],[Type]]="KILL",IF(_xlfn.NUMBERVALUE(RIGHT(Table20[[#This Row],[Min]],LEN(Table20[[#This Row],[Min]])-FIND("-",Table20[[#This Row],[Min]])))&gt;INDIRECT(ADDRESS(11+MATCH(LEFT(Table20[[#This Row],[Min]],FIND("-",Table20[[#This Row],[Min]])-1),Table1[Content Sku],0),18,1,1,"Entities")),"review","ok"),"ok")</f>
        <v>ok</v>
      </c>
    </row>
    <row r="435" spans="5:41" x14ac:dyDescent="0.25">
      <c r="E435" t="s">
        <v>39</v>
      </c>
      <c r="F435">
        <v>0</v>
      </c>
      <c r="G435">
        <v>0</v>
      </c>
      <c r="H435" t="s">
        <v>8</v>
      </c>
      <c r="I435" s="74" t="str">
        <f ca="1">IF(Table7[[#This Row],[Type]]="KILL",IF(_xlfn.NUMBERVALUE(RIGHT(Table7[[#This Row],[Min]],LEN(Table7[[#This Row],[Min]])-FIND("-",Table7[[#This Row],[Min]])))&gt;INDIRECT(ADDRESS(11+MATCH(LEFT(Table7[[#This Row],[Min]],FIND("-",Table7[[#This Row],[Min]])-1),Table1[Content Sku],0),16,1,1,"Entities")),"review","ok"),"ok")</f>
        <v>ok</v>
      </c>
      <c r="U435" t="s">
        <v>313</v>
      </c>
      <c r="V435">
        <v>0</v>
      </c>
      <c r="W435">
        <v>0</v>
      </c>
      <c r="X435" t="s">
        <v>8</v>
      </c>
      <c r="Y435" s="74" t="str">
        <f ca="1">IF(Table15[[#This Row],[Type]]="KILL",IF(_xlfn.NUMBERVALUE(RIGHT(Table15[[#This Row],[Min]],LEN(Table15[[#This Row],[Min]])-FIND("-",Table15[[#This Row],[Min]])))&gt;INDIRECT(ADDRESS(11+MATCH(LEFT(Table15[[#This Row],[Min]],FIND("-",Table15[[#This Row],[Min]])-1),Table1[Content Sku],0),16,1,1,"Entities")),"review","ok"),"ok")</f>
        <v>ok</v>
      </c>
      <c r="AK435" t="s">
        <v>2673</v>
      </c>
      <c r="AL435">
        <v>0</v>
      </c>
      <c r="AM435">
        <v>0</v>
      </c>
      <c r="AN435" t="s">
        <v>8</v>
      </c>
      <c r="AO435" s="74" t="str">
        <f ca="1">IF(Table20[[#This Row],[Type]]="KILL",IF(_xlfn.NUMBERVALUE(RIGHT(Table20[[#This Row],[Min]],LEN(Table20[[#This Row],[Min]])-FIND("-",Table20[[#This Row],[Min]])))&gt;INDIRECT(ADDRESS(11+MATCH(LEFT(Table20[[#This Row],[Min]],FIND("-",Table20[[#This Row],[Min]])-1),Table1[Content Sku],0),18,1,1,"Entities")),"review","ok"),"ok")</f>
        <v>ok</v>
      </c>
    </row>
    <row r="436" spans="5:41" x14ac:dyDescent="0.25">
      <c r="E436" t="s">
        <v>280</v>
      </c>
      <c r="F436">
        <v>0</v>
      </c>
      <c r="G436">
        <v>0</v>
      </c>
      <c r="H436" t="s">
        <v>8</v>
      </c>
      <c r="I436" s="74" t="str">
        <f ca="1">IF(Table7[[#This Row],[Type]]="KILL",IF(_xlfn.NUMBERVALUE(RIGHT(Table7[[#This Row],[Min]],LEN(Table7[[#This Row],[Min]])-FIND("-",Table7[[#This Row],[Min]])))&gt;INDIRECT(ADDRESS(11+MATCH(LEFT(Table7[[#This Row],[Min]],FIND("-",Table7[[#This Row],[Min]])-1),Table1[Content Sku],0),16,1,1,"Entities")),"review","ok"),"ok")</f>
        <v>ok</v>
      </c>
      <c r="U436" t="s">
        <v>313</v>
      </c>
      <c r="V436">
        <v>0</v>
      </c>
      <c r="W436">
        <v>0</v>
      </c>
      <c r="X436" t="s">
        <v>8</v>
      </c>
      <c r="Y436" s="74" t="str">
        <f ca="1">IF(Table15[[#This Row],[Type]]="KILL",IF(_xlfn.NUMBERVALUE(RIGHT(Table15[[#This Row],[Min]],LEN(Table15[[#This Row],[Min]])-FIND("-",Table15[[#This Row],[Min]])))&gt;INDIRECT(ADDRESS(11+MATCH(LEFT(Table15[[#This Row],[Min]],FIND("-",Table15[[#This Row],[Min]])-1),Table1[Content Sku],0),16,1,1,"Entities")),"review","ok"),"ok")</f>
        <v>ok</v>
      </c>
      <c r="AK436" t="s">
        <v>313</v>
      </c>
      <c r="AL436">
        <v>0</v>
      </c>
      <c r="AM436">
        <v>0</v>
      </c>
      <c r="AN436" t="s">
        <v>8</v>
      </c>
      <c r="AO436" s="74" t="str">
        <f ca="1">IF(Table20[[#This Row],[Type]]="KILL",IF(_xlfn.NUMBERVALUE(RIGHT(Table20[[#This Row],[Min]],LEN(Table20[[#This Row],[Min]])-FIND("-",Table20[[#This Row],[Min]])))&gt;INDIRECT(ADDRESS(11+MATCH(LEFT(Table20[[#This Row],[Min]],FIND("-",Table20[[#This Row],[Min]])-1),Table1[Content Sku],0),18,1,1,"Entities")),"review","ok"),"ok")</f>
        <v>ok</v>
      </c>
    </row>
    <row r="437" spans="5:41" x14ac:dyDescent="0.25">
      <c r="E437" t="s">
        <v>51</v>
      </c>
      <c r="F437">
        <v>28000</v>
      </c>
      <c r="G437">
        <v>0</v>
      </c>
      <c r="H437" t="s">
        <v>205</v>
      </c>
      <c r="I437" s="74" t="str">
        <f ca="1">IF(Table7[[#This Row],[Type]]="KILL",IF(_xlfn.NUMBERVALUE(RIGHT(Table7[[#This Row],[Min]],LEN(Table7[[#This Row],[Min]])-FIND("-",Table7[[#This Row],[Min]])))&gt;INDIRECT(ADDRESS(11+MATCH(LEFT(Table7[[#This Row],[Min]],FIND("-",Table7[[#This Row],[Min]])-1),Table1[Content Sku],0),16,1,1,"Entities")),"review","ok"),"ok")</f>
        <v>ok</v>
      </c>
      <c r="U437" t="s">
        <v>313</v>
      </c>
      <c r="V437">
        <v>0</v>
      </c>
      <c r="W437">
        <v>0</v>
      </c>
      <c r="X437" t="s">
        <v>8</v>
      </c>
      <c r="Y437" s="74" t="str">
        <f ca="1">IF(Table15[[#This Row],[Type]]="KILL",IF(_xlfn.NUMBERVALUE(RIGHT(Table15[[#This Row],[Min]],LEN(Table15[[#This Row],[Min]])-FIND("-",Table15[[#This Row],[Min]])))&gt;INDIRECT(ADDRESS(11+MATCH(LEFT(Table15[[#This Row],[Min]],FIND("-",Table15[[#This Row],[Min]])-1),Table1[Content Sku],0),16,1,1,"Entities")),"review","ok"),"ok")</f>
        <v>ok</v>
      </c>
      <c r="AK437" t="s">
        <v>37</v>
      </c>
      <c r="AL437">
        <v>0</v>
      </c>
      <c r="AM437">
        <v>0</v>
      </c>
      <c r="AN437" t="s">
        <v>8</v>
      </c>
      <c r="AO437" s="74" t="str">
        <f ca="1">IF(Table20[[#This Row],[Type]]="KILL",IF(_xlfn.NUMBERVALUE(RIGHT(Table20[[#This Row],[Min]],LEN(Table20[[#This Row],[Min]])-FIND("-",Table20[[#This Row],[Min]])))&gt;INDIRECT(ADDRESS(11+MATCH(LEFT(Table20[[#This Row],[Min]],FIND("-",Table20[[#This Row],[Min]])-1),Table1[Content Sku],0),18,1,1,"Entities")),"review","ok"),"ok")</f>
        <v>ok</v>
      </c>
    </row>
    <row r="438" spans="5:41" x14ac:dyDescent="0.25">
      <c r="E438" t="s">
        <v>283</v>
      </c>
      <c r="F438">
        <v>5000</v>
      </c>
      <c r="G438">
        <v>0</v>
      </c>
      <c r="H438" t="s">
        <v>205</v>
      </c>
      <c r="I438" s="74" t="str">
        <f ca="1">IF(Table7[[#This Row],[Type]]="KILL",IF(_xlfn.NUMBERVALUE(RIGHT(Table7[[#This Row],[Min]],LEN(Table7[[#This Row],[Min]])-FIND("-",Table7[[#This Row],[Min]])))&gt;INDIRECT(ADDRESS(11+MATCH(LEFT(Table7[[#This Row],[Min]],FIND("-",Table7[[#This Row],[Min]])-1),Table1[Content Sku],0),16,1,1,"Entities")),"review","ok"),"ok")</f>
        <v>ok</v>
      </c>
      <c r="U438" t="s">
        <v>2741</v>
      </c>
      <c r="V438">
        <v>0</v>
      </c>
      <c r="W438">
        <v>0</v>
      </c>
      <c r="X438" t="s">
        <v>8</v>
      </c>
      <c r="Y438" s="74" t="str">
        <f ca="1">IF(Table15[[#This Row],[Type]]="KILL",IF(_xlfn.NUMBERVALUE(RIGHT(Table15[[#This Row],[Min]],LEN(Table15[[#This Row],[Min]])-FIND("-",Table15[[#This Row],[Min]])))&gt;INDIRECT(ADDRESS(11+MATCH(LEFT(Table15[[#This Row],[Min]],FIND("-",Table15[[#This Row],[Min]])-1),Table1[Content Sku],0),16,1,1,"Entities")),"review","ok"),"ok")</f>
        <v>ok</v>
      </c>
      <c r="AK438" t="s">
        <v>36</v>
      </c>
      <c r="AL438">
        <v>25000</v>
      </c>
      <c r="AM438">
        <v>0</v>
      </c>
      <c r="AN438" t="s">
        <v>205</v>
      </c>
      <c r="AO438" s="74" t="str">
        <f ca="1">IF(Table20[[#This Row],[Type]]="KILL",IF(_xlfn.NUMBERVALUE(RIGHT(Table20[[#This Row],[Min]],LEN(Table20[[#This Row],[Min]])-FIND("-",Table20[[#This Row],[Min]])))&gt;INDIRECT(ADDRESS(11+MATCH(LEFT(Table20[[#This Row],[Min]],FIND("-",Table20[[#This Row],[Min]])-1),Table1[Content Sku],0),18,1,1,"Entities")),"review","ok"),"ok")</f>
        <v>ok</v>
      </c>
    </row>
    <row r="439" spans="5:41" x14ac:dyDescent="0.25">
      <c r="E439" t="s">
        <v>63</v>
      </c>
      <c r="F439">
        <v>0</v>
      </c>
      <c r="G439">
        <v>0</v>
      </c>
      <c r="H439" t="s">
        <v>8</v>
      </c>
      <c r="I439" s="74" t="str">
        <f ca="1">IF(Table7[[#This Row],[Type]]="KILL",IF(_xlfn.NUMBERVALUE(RIGHT(Table7[[#This Row],[Min]],LEN(Table7[[#This Row],[Min]])-FIND("-",Table7[[#This Row],[Min]])))&gt;INDIRECT(ADDRESS(11+MATCH(LEFT(Table7[[#This Row],[Min]],FIND("-",Table7[[#This Row],[Min]])-1),Table1[Content Sku],0),16,1,1,"Entities")),"review","ok"),"ok")</f>
        <v>ok</v>
      </c>
      <c r="U439" t="s">
        <v>313</v>
      </c>
      <c r="V439">
        <v>0</v>
      </c>
      <c r="W439">
        <v>0</v>
      </c>
      <c r="X439" t="s">
        <v>8</v>
      </c>
      <c r="Y439" s="74" t="str">
        <f ca="1">IF(Table15[[#This Row],[Type]]="KILL",IF(_xlfn.NUMBERVALUE(RIGHT(Table15[[#This Row],[Min]],LEN(Table15[[#This Row],[Min]])-FIND("-",Table15[[#This Row],[Min]])))&gt;INDIRECT(ADDRESS(11+MATCH(LEFT(Table15[[#This Row],[Min]],FIND("-",Table15[[#This Row],[Min]])-1),Table1[Content Sku],0),16,1,1,"Entities")),"review","ok"),"ok")</f>
        <v>ok</v>
      </c>
      <c r="AK439" t="s">
        <v>2667</v>
      </c>
      <c r="AL439">
        <v>0</v>
      </c>
      <c r="AM439">
        <v>0</v>
      </c>
      <c r="AN439" t="s">
        <v>8</v>
      </c>
      <c r="AO439" s="74" t="str">
        <f ca="1">IF(Table20[[#This Row],[Type]]="KILL",IF(_xlfn.NUMBERVALUE(RIGHT(Table20[[#This Row],[Min]],LEN(Table20[[#This Row],[Min]])-FIND("-",Table20[[#This Row],[Min]])))&gt;INDIRECT(ADDRESS(11+MATCH(LEFT(Table20[[#This Row],[Min]],FIND("-",Table20[[#This Row],[Min]])-1),Table1[Content Sku],0),18,1,1,"Entities")),"review","ok"),"ok")</f>
        <v>ok</v>
      </c>
    </row>
    <row r="440" spans="5:41" x14ac:dyDescent="0.25">
      <c r="E440" t="s">
        <v>393</v>
      </c>
      <c r="F440">
        <v>0</v>
      </c>
      <c r="G440">
        <v>0</v>
      </c>
      <c r="H440" t="s">
        <v>8</v>
      </c>
      <c r="I440" s="74" t="str">
        <f ca="1">IF(Table7[[#This Row],[Type]]="KILL",IF(_xlfn.NUMBERVALUE(RIGHT(Table7[[#This Row],[Min]],LEN(Table7[[#This Row],[Min]])-FIND("-",Table7[[#This Row],[Min]])))&gt;INDIRECT(ADDRESS(11+MATCH(LEFT(Table7[[#This Row],[Min]],FIND("-",Table7[[#This Row],[Min]])-1),Table1[Content Sku],0),16,1,1,"Entities")),"review","ok"),"ok")</f>
        <v>ok</v>
      </c>
      <c r="U440" t="s">
        <v>11</v>
      </c>
      <c r="V440">
        <v>0</v>
      </c>
      <c r="W440">
        <v>0</v>
      </c>
      <c r="X440" t="s">
        <v>8</v>
      </c>
      <c r="Y440" s="74" t="str">
        <f ca="1">IF(Table15[[#This Row],[Type]]="KILL",IF(_xlfn.NUMBERVALUE(RIGHT(Table15[[#This Row],[Min]],LEN(Table15[[#This Row],[Min]])-FIND("-",Table15[[#This Row],[Min]])))&gt;INDIRECT(ADDRESS(11+MATCH(LEFT(Table15[[#This Row],[Min]],FIND("-",Table15[[#This Row],[Min]])-1),Table1[Content Sku],0),16,1,1,"Entities")),"review","ok"),"ok")</f>
        <v>ok</v>
      </c>
      <c r="AK440" t="s">
        <v>2745</v>
      </c>
      <c r="AL440">
        <v>0</v>
      </c>
      <c r="AM440">
        <v>0</v>
      </c>
      <c r="AN440" t="s">
        <v>8</v>
      </c>
      <c r="AO440" s="74" t="str">
        <f ca="1">IF(Table20[[#This Row],[Type]]="KILL",IF(_xlfn.NUMBERVALUE(RIGHT(Table20[[#This Row],[Min]],LEN(Table20[[#This Row],[Min]])-FIND("-",Table20[[#This Row],[Min]])))&gt;INDIRECT(ADDRESS(11+MATCH(LEFT(Table20[[#This Row],[Min]],FIND("-",Table20[[#This Row],[Min]])-1),Table1[Content Sku],0),18,1,1,"Entities")),"review","ok"),"ok")</f>
        <v>ok</v>
      </c>
    </row>
    <row r="441" spans="5:41" x14ac:dyDescent="0.25">
      <c r="E441" t="s">
        <v>21</v>
      </c>
      <c r="F441">
        <v>4000</v>
      </c>
      <c r="G441">
        <v>0</v>
      </c>
      <c r="H441" t="s">
        <v>205</v>
      </c>
      <c r="I441" s="74" t="str">
        <f ca="1">IF(Table7[[#This Row],[Type]]="KILL",IF(_xlfn.NUMBERVALUE(RIGHT(Table7[[#This Row],[Min]],LEN(Table7[[#This Row],[Min]])-FIND("-",Table7[[#This Row],[Min]])))&gt;INDIRECT(ADDRESS(11+MATCH(LEFT(Table7[[#This Row],[Min]],FIND("-",Table7[[#This Row],[Min]])-1),Table1[Content Sku],0),16,1,1,"Entities")),"review","ok"),"ok")</f>
        <v>ok</v>
      </c>
      <c r="U441" t="s">
        <v>313</v>
      </c>
      <c r="V441">
        <v>0</v>
      </c>
      <c r="W441">
        <v>0</v>
      </c>
      <c r="X441" t="s">
        <v>8</v>
      </c>
      <c r="Y441" s="74" t="str">
        <f ca="1">IF(Table15[[#This Row],[Type]]="KILL",IF(_xlfn.NUMBERVALUE(RIGHT(Table15[[#This Row],[Min]],LEN(Table15[[#This Row],[Min]])-FIND("-",Table15[[#This Row],[Min]])))&gt;INDIRECT(ADDRESS(11+MATCH(LEFT(Table15[[#This Row],[Min]],FIND("-",Table15[[#This Row],[Min]])-1),Table1[Content Sku],0),16,1,1,"Entities")),"review","ok"),"ok")</f>
        <v>ok</v>
      </c>
      <c r="AK441" t="s">
        <v>2673</v>
      </c>
      <c r="AL441" t="s">
        <v>4471</v>
      </c>
      <c r="AM441" t="s">
        <v>4472</v>
      </c>
      <c r="AN441" t="s">
        <v>4468</v>
      </c>
      <c r="AO441" s="74" t="str">
        <f ca="1">IF(Table20[[#This Row],[Type]]="KILL",IF(_xlfn.NUMBERVALUE(RIGHT(Table20[[#This Row],[Min]],LEN(Table20[[#This Row],[Min]])-FIND("-",Table20[[#This Row],[Min]])))&gt;INDIRECT(ADDRESS(11+MATCH(LEFT(Table20[[#This Row],[Min]],FIND("-",Table20[[#This Row],[Min]])-1),Table1[Content Sku],0),18,1,1,"Entities")),"review","ok"),"ok")</f>
        <v>ok</v>
      </c>
    </row>
    <row r="442" spans="5:41" x14ac:dyDescent="0.25">
      <c r="E442" t="s">
        <v>253</v>
      </c>
      <c r="F442">
        <v>0</v>
      </c>
      <c r="G442">
        <v>20000</v>
      </c>
      <c r="H442" t="s">
        <v>205</v>
      </c>
      <c r="I442" s="74" t="str">
        <f ca="1">IF(Table7[[#This Row],[Type]]="KILL",IF(_xlfn.NUMBERVALUE(RIGHT(Table7[[#This Row],[Min]],LEN(Table7[[#This Row],[Min]])-FIND("-",Table7[[#This Row],[Min]])))&gt;INDIRECT(ADDRESS(11+MATCH(LEFT(Table7[[#This Row],[Min]],FIND("-",Table7[[#This Row],[Min]])-1),Table1[Content Sku],0),16,1,1,"Entities")),"review","ok"),"ok")</f>
        <v>ok</v>
      </c>
      <c r="U442" t="s">
        <v>37</v>
      </c>
      <c r="V442">
        <v>14000</v>
      </c>
      <c r="W442">
        <v>0</v>
      </c>
      <c r="X442" t="s">
        <v>205</v>
      </c>
      <c r="Y442" s="74" t="str">
        <f ca="1">IF(Table15[[#This Row],[Type]]="KILL",IF(_xlfn.NUMBERVALUE(RIGHT(Table15[[#This Row],[Min]],LEN(Table15[[#This Row],[Min]])-FIND("-",Table15[[#This Row],[Min]])))&gt;INDIRECT(ADDRESS(11+MATCH(LEFT(Table15[[#This Row],[Min]],FIND("-",Table15[[#This Row],[Min]])-1),Table1[Content Sku],0),16,1,1,"Entities")),"review","ok"),"ok")</f>
        <v>ok</v>
      </c>
      <c r="AK442" t="s">
        <v>46</v>
      </c>
      <c r="AL442">
        <v>0</v>
      </c>
      <c r="AM442">
        <v>0</v>
      </c>
      <c r="AN442" t="s">
        <v>8</v>
      </c>
      <c r="AO442" s="74" t="str">
        <f ca="1">IF(Table20[[#This Row],[Type]]="KILL",IF(_xlfn.NUMBERVALUE(RIGHT(Table20[[#This Row],[Min]],LEN(Table20[[#This Row],[Min]])-FIND("-",Table20[[#This Row],[Min]])))&gt;INDIRECT(ADDRESS(11+MATCH(LEFT(Table20[[#This Row],[Min]],FIND("-",Table20[[#This Row],[Min]])-1),Table1[Content Sku],0),18,1,1,"Entities")),"review","ok"),"ok")</f>
        <v>ok</v>
      </c>
    </row>
    <row r="443" spans="5:41" x14ac:dyDescent="0.25">
      <c r="E443" t="s">
        <v>46</v>
      </c>
      <c r="F443">
        <v>0</v>
      </c>
      <c r="G443">
        <v>0</v>
      </c>
      <c r="H443" t="s">
        <v>8</v>
      </c>
      <c r="I443" s="74" t="str">
        <f ca="1">IF(Table7[[#This Row],[Type]]="KILL",IF(_xlfn.NUMBERVALUE(RIGHT(Table7[[#This Row],[Min]],LEN(Table7[[#This Row],[Min]])-FIND("-",Table7[[#This Row],[Min]])))&gt;INDIRECT(ADDRESS(11+MATCH(LEFT(Table7[[#This Row],[Min]],FIND("-",Table7[[#This Row],[Min]])-1),Table1[Content Sku],0),16,1,1,"Entities")),"review","ok"),"ok")</f>
        <v>ok</v>
      </c>
      <c r="U443" t="s">
        <v>391</v>
      </c>
      <c r="V443">
        <v>20000</v>
      </c>
      <c r="W443">
        <v>0</v>
      </c>
      <c r="X443" t="s">
        <v>205</v>
      </c>
      <c r="Y443" s="74" t="str">
        <f ca="1">IF(Table15[[#This Row],[Type]]="KILL",IF(_xlfn.NUMBERVALUE(RIGHT(Table15[[#This Row],[Min]],LEN(Table15[[#This Row],[Min]])-FIND("-",Table15[[#This Row],[Min]])))&gt;INDIRECT(ADDRESS(11+MATCH(LEFT(Table15[[#This Row],[Min]],FIND("-",Table15[[#This Row],[Min]])-1),Table1[Content Sku],0),16,1,1,"Entities")),"review","ok"),"ok")</f>
        <v>ok</v>
      </c>
      <c r="AK443" t="s">
        <v>46</v>
      </c>
      <c r="AL443">
        <v>0</v>
      </c>
      <c r="AM443">
        <v>0</v>
      </c>
      <c r="AN443" t="s">
        <v>8</v>
      </c>
      <c r="AO443" s="74" t="str">
        <f ca="1">IF(Table20[[#This Row],[Type]]="KILL",IF(_xlfn.NUMBERVALUE(RIGHT(Table20[[#This Row],[Min]],LEN(Table20[[#This Row],[Min]])-FIND("-",Table20[[#This Row],[Min]])))&gt;INDIRECT(ADDRESS(11+MATCH(LEFT(Table20[[#This Row],[Min]],FIND("-",Table20[[#This Row],[Min]])-1),Table1[Content Sku],0),18,1,1,"Entities")),"review","ok"),"ok")</f>
        <v>ok</v>
      </c>
    </row>
    <row r="444" spans="5:41" x14ac:dyDescent="0.25">
      <c r="E444" t="s">
        <v>396</v>
      </c>
      <c r="F444">
        <v>26000</v>
      </c>
      <c r="G444">
        <v>0</v>
      </c>
      <c r="H444" t="s">
        <v>205</v>
      </c>
      <c r="I444" s="74" t="str">
        <f ca="1">IF(Table7[[#This Row],[Type]]="KILL",IF(_xlfn.NUMBERVALUE(RIGHT(Table7[[#This Row],[Min]],LEN(Table7[[#This Row],[Min]])-FIND("-",Table7[[#This Row],[Min]])))&gt;INDIRECT(ADDRESS(11+MATCH(LEFT(Table7[[#This Row],[Min]],FIND("-",Table7[[#This Row],[Min]])-1),Table1[Content Sku],0),16,1,1,"Entities")),"review","ok"),"ok")</f>
        <v>ok</v>
      </c>
      <c r="U444" t="s">
        <v>51</v>
      </c>
      <c r="V444">
        <v>45000</v>
      </c>
      <c r="W444">
        <v>0</v>
      </c>
      <c r="X444" t="s">
        <v>205</v>
      </c>
      <c r="Y444" s="74" t="str">
        <f ca="1">IF(Table15[[#This Row],[Type]]="KILL",IF(_xlfn.NUMBERVALUE(RIGHT(Table15[[#This Row],[Min]],LEN(Table15[[#This Row],[Min]])-FIND("-",Table15[[#This Row],[Min]])))&gt;INDIRECT(ADDRESS(11+MATCH(LEFT(Table15[[#This Row],[Min]],FIND("-",Table15[[#This Row],[Min]])-1),Table1[Content Sku],0),16,1,1,"Entities")),"review","ok"),"ok")</f>
        <v>ok</v>
      </c>
      <c r="AK444" t="s">
        <v>2680</v>
      </c>
      <c r="AL444">
        <v>0</v>
      </c>
      <c r="AM444">
        <v>0</v>
      </c>
      <c r="AN444" t="s">
        <v>8</v>
      </c>
      <c r="AO444" s="74" t="str">
        <f ca="1">IF(Table20[[#This Row],[Type]]="KILL",IF(_xlfn.NUMBERVALUE(RIGHT(Table20[[#This Row],[Min]],LEN(Table20[[#This Row],[Min]])-FIND("-",Table20[[#This Row],[Min]])))&gt;INDIRECT(ADDRESS(11+MATCH(LEFT(Table20[[#This Row],[Min]],FIND("-",Table20[[#This Row],[Min]])-1),Table1[Content Sku],0),18,1,1,"Entities")),"review","ok"),"ok")</f>
        <v>ok</v>
      </c>
    </row>
    <row r="445" spans="5:41" x14ac:dyDescent="0.25">
      <c r="E445" t="s">
        <v>416</v>
      </c>
      <c r="F445">
        <v>0</v>
      </c>
      <c r="G445">
        <v>6000</v>
      </c>
      <c r="H445" t="s">
        <v>205</v>
      </c>
      <c r="I445" s="74" t="str">
        <f ca="1">IF(Table7[[#This Row],[Type]]="KILL",IF(_xlfn.NUMBERVALUE(RIGHT(Table7[[#This Row],[Min]],LEN(Table7[[#This Row],[Min]])-FIND("-",Table7[[#This Row],[Min]])))&gt;INDIRECT(ADDRESS(11+MATCH(LEFT(Table7[[#This Row],[Min]],FIND("-",Table7[[#This Row],[Min]])-1),Table1[Content Sku],0),16,1,1,"Entities")),"review","ok"),"ok")</f>
        <v>ok</v>
      </c>
      <c r="U445" t="s">
        <v>122</v>
      </c>
      <c r="V445">
        <v>0</v>
      </c>
      <c r="W445">
        <v>0</v>
      </c>
      <c r="X445" t="s">
        <v>8</v>
      </c>
      <c r="Y445" s="74" t="str">
        <f ca="1">IF(Table15[[#This Row],[Type]]="KILL",IF(_xlfn.NUMBERVALUE(RIGHT(Table15[[#This Row],[Min]],LEN(Table15[[#This Row],[Min]])-FIND("-",Table15[[#This Row],[Min]])))&gt;INDIRECT(ADDRESS(11+MATCH(LEFT(Table15[[#This Row],[Min]],FIND("-",Table15[[#This Row],[Min]])-1),Table1[Content Sku],0),16,1,1,"Entities")),"review","ok"),"ok")</f>
        <v>ok</v>
      </c>
      <c r="AK445" t="s">
        <v>398</v>
      </c>
      <c r="AL445">
        <v>0</v>
      </c>
      <c r="AM445">
        <v>0</v>
      </c>
      <c r="AN445" t="s">
        <v>8</v>
      </c>
      <c r="AO445" s="74" t="str">
        <f ca="1">IF(Table20[[#This Row],[Type]]="KILL",IF(_xlfn.NUMBERVALUE(RIGHT(Table20[[#This Row],[Min]],LEN(Table20[[#This Row],[Min]])-FIND("-",Table20[[#This Row],[Min]])))&gt;INDIRECT(ADDRESS(11+MATCH(LEFT(Table20[[#This Row],[Min]],FIND("-",Table20[[#This Row],[Min]])-1),Table1[Content Sku],0),18,1,1,"Entities")),"review","ok"),"ok")</f>
        <v>ok</v>
      </c>
    </row>
    <row r="446" spans="5:41" x14ac:dyDescent="0.25">
      <c r="E446" t="s">
        <v>396</v>
      </c>
      <c r="F446">
        <v>0</v>
      </c>
      <c r="G446">
        <v>0</v>
      </c>
      <c r="H446" t="s">
        <v>8</v>
      </c>
      <c r="I446" s="74" t="str">
        <f ca="1">IF(Table7[[#This Row],[Type]]="KILL",IF(_xlfn.NUMBERVALUE(RIGHT(Table7[[#This Row],[Min]],LEN(Table7[[#This Row],[Min]])-FIND("-",Table7[[#This Row],[Min]])))&gt;INDIRECT(ADDRESS(11+MATCH(LEFT(Table7[[#This Row],[Min]],FIND("-",Table7[[#This Row],[Min]])-1),Table1[Content Sku],0),16,1,1,"Entities")),"review","ok"),"ok")</f>
        <v>ok</v>
      </c>
      <c r="U446" t="s">
        <v>545</v>
      </c>
      <c r="V446">
        <v>0</v>
      </c>
      <c r="W446">
        <v>0</v>
      </c>
      <c r="X446" t="s">
        <v>8</v>
      </c>
      <c r="Y446" s="74" t="str">
        <f ca="1">IF(Table15[[#This Row],[Type]]="KILL",IF(_xlfn.NUMBERVALUE(RIGHT(Table15[[#This Row],[Min]],LEN(Table15[[#This Row],[Min]])-FIND("-",Table15[[#This Row],[Min]])))&gt;INDIRECT(ADDRESS(11+MATCH(LEFT(Table15[[#This Row],[Min]],FIND("-",Table15[[#This Row],[Min]])-1),Table1[Content Sku],0),16,1,1,"Entities")),"review","ok"),"ok")</f>
        <v>ok</v>
      </c>
      <c r="AK446" t="s">
        <v>2741</v>
      </c>
      <c r="AL446">
        <v>0</v>
      </c>
      <c r="AM446">
        <v>0</v>
      </c>
      <c r="AN446" t="s">
        <v>8</v>
      </c>
      <c r="AO446" s="74" t="str">
        <f ca="1">IF(Table20[[#This Row],[Type]]="KILL",IF(_xlfn.NUMBERVALUE(RIGHT(Table20[[#This Row],[Min]],LEN(Table20[[#This Row],[Min]])-FIND("-",Table20[[#This Row],[Min]])))&gt;INDIRECT(ADDRESS(11+MATCH(LEFT(Table20[[#This Row],[Min]],FIND("-",Table20[[#This Row],[Min]])-1),Table1[Content Sku],0),18,1,1,"Entities")),"review","ok"),"ok")</f>
        <v>ok</v>
      </c>
    </row>
    <row r="447" spans="5:41" x14ac:dyDescent="0.25">
      <c r="E447" t="s">
        <v>37</v>
      </c>
      <c r="F447">
        <v>0</v>
      </c>
      <c r="G447">
        <v>28000</v>
      </c>
      <c r="H447" t="s">
        <v>205</v>
      </c>
      <c r="I447" s="74" t="str">
        <f ca="1">IF(Table7[[#This Row],[Type]]="KILL",IF(_xlfn.NUMBERVALUE(RIGHT(Table7[[#This Row],[Min]],LEN(Table7[[#This Row],[Min]])-FIND("-",Table7[[#This Row],[Min]])))&gt;INDIRECT(ADDRESS(11+MATCH(LEFT(Table7[[#This Row],[Min]],FIND("-",Table7[[#This Row],[Min]])-1),Table1[Content Sku],0),16,1,1,"Entities")),"review","ok"),"ok")</f>
        <v>ok</v>
      </c>
      <c r="U447" t="s">
        <v>313</v>
      </c>
      <c r="V447">
        <v>0</v>
      </c>
      <c r="W447">
        <v>0</v>
      </c>
      <c r="X447" t="s">
        <v>8</v>
      </c>
      <c r="Y447" s="74" t="str">
        <f ca="1">IF(Table15[[#This Row],[Type]]="KILL",IF(_xlfn.NUMBERVALUE(RIGHT(Table15[[#This Row],[Min]],LEN(Table15[[#This Row],[Min]])-FIND("-",Table15[[#This Row],[Min]])))&gt;INDIRECT(ADDRESS(11+MATCH(LEFT(Table15[[#This Row],[Min]],FIND("-",Table15[[#This Row],[Min]])-1),Table1[Content Sku],0),16,1,1,"Entities")),"review","ok"),"ok")</f>
        <v>ok</v>
      </c>
      <c r="AK447" t="s">
        <v>2667</v>
      </c>
      <c r="AL447">
        <v>0</v>
      </c>
      <c r="AM447">
        <v>0</v>
      </c>
      <c r="AN447" t="s">
        <v>8</v>
      </c>
      <c r="AO447" s="74" t="str">
        <f ca="1">IF(Table20[[#This Row],[Type]]="KILL",IF(_xlfn.NUMBERVALUE(RIGHT(Table20[[#This Row],[Min]],LEN(Table20[[#This Row],[Min]])-FIND("-",Table20[[#This Row],[Min]])))&gt;INDIRECT(ADDRESS(11+MATCH(LEFT(Table20[[#This Row],[Min]],FIND("-",Table20[[#This Row],[Min]])-1),Table1[Content Sku],0),18,1,1,"Entities")),"review","ok"),"ok")</f>
        <v>ok</v>
      </c>
    </row>
    <row r="448" spans="5:41" x14ac:dyDescent="0.25">
      <c r="E448" t="s">
        <v>286</v>
      </c>
      <c r="F448">
        <v>0</v>
      </c>
      <c r="G448">
        <v>0</v>
      </c>
      <c r="H448" t="s">
        <v>8</v>
      </c>
      <c r="I448" s="74" t="str">
        <f ca="1">IF(Table7[[#This Row],[Type]]="KILL",IF(_xlfn.NUMBERVALUE(RIGHT(Table7[[#This Row],[Min]],LEN(Table7[[#This Row],[Min]])-FIND("-",Table7[[#This Row],[Min]])))&gt;INDIRECT(ADDRESS(11+MATCH(LEFT(Table7[[#This Row],[Min]],FIND("-",Table7[[#This Row],[Min]])-1),Table1[Content Sku],0),16,1,1,"Entities")),"review","ok"),"ok")</f>
        <v>ok</v>
      </c>
      <c r="U448" t="s">
        <v>391</v>
      </c>
      <c r="V448">
        <v>0</v>
      </c>
      <c r="W448">
        <v>0</v>
      </c>
      <c r="X448" t="s">
        <v>8</v>
      </c>
      <c r="Y448" s="74" t="str">
        <f ca="1">IF(Table15[[#This Row],[Type]]="KILL",IF(_xlfn.NUMBERVALUE(RIGHT(Table15[[#This Row],[Min]],LEN(Table15[[#This Row],[Min]])-FIND("-",Table15[[#This Row],[Min]])))&gt;INDIRECT(ADDRESS(11+MATCH(LEFT(Table15[[#This Row],[Min]],FIND("-",Table15[[#This Row],[Min]])-1),Table1[Content Sku],0),16,1,1,"Entities")),"review","ok"),"ok")</f>
        <v>ok</v>
      </c>
      <c r="AK448" t="s">
        <v>2741</v>
      </c>
      <c r="AL448">
        <v>0</v>
      </c>
      <c r="AM448">
        <v>0</v>
      </c>
      <c r="AN448" t="s">
        <v>8</v>
      </c>
      <c r="AO448" s="74" t="str">
        <f ca="1">IF(Table20[[#This Row],[Type]]="KILL",IF(_xlfn.NUMBERVALUE(RIGHT(Table20[[#This Row],[Min]],LEN(Table20[[#This Row],[Min]])-FIND("-",Table20[[#This Row],[Min]])))&gt;INDIRECT(ADDRESS(11+MATCH(LEFT(Table20[[#This Row],[Min]],FIND("-",Table20[[#This Row],[Min]])-1),Table1[Content Sku],0),18,1,1,"Entities")),"review","ok"),"ok")</f>
        <v>ok</v>
      </c>
    </row>
    <row r="449" spans="5:41" x14ac:dyDescent="0.25">
      <c r="E449" t="s">
        <v>306</v>
      </c>
      <c r="F449">
        <v>0</v>
      </c>
      <c r="G449">
        <v>0</v>
      </c>
      <c r="H449" t="s">
        <v>8</v>
      </c>
      <c r="I449" s="74" t="str">
        <f ca="1">IF(Table7[[#This Row],[Type]]="KILL",IF(_xlfn.NUMBERVALUE(RIGHT(Table7[[#This Row],[Min]],LEN(Table7[[#This Row],[Min]])-FIND("-",Table7[[#This Row],[Min]])))&gt;INDIRECT(ADDRESS(11+MATCH(LEFT(Table7[[#This Row],[Min]],FIND("-",Table7[[#This Row],[Min]])-1),Table1[Content Sku],0),16,1,1,"Entities")),"review","ok"),"ok")</f>
        <v>ok</v>
      </c>
      <c r="U449" t="s">
        <v>254</v>
      </c>
      <c r="V449">
        <v>0</v>
      </c>
      <c r="W449">
        <v>0</v>
      </c>
      <c r="X449" t="s">
        <v>8</v>
      </c>
      <c r="Y449" s="74" t="str">
        <f ca="1">IF(Table15[[#This Row],[Type]]="KILL",IF(_xlfn.NUMBERVALUE(RIGHT(Table15[[#This Row],[Min]],LEN(Table15[[#This Row],[Min]])-FIND("-",Table15[[#This Row],[Min]])))&gt;INDIRECT(ADDRESS(11+MATCH(LEFT(Table15[[#This Row],[Min]],FIND("-",Table15[[#This Row],[Min]])-1),Table1[Content Sku],0),16,1,1,"Entities")),"review","ok"),"ok")</f>
        <v>ok</v>
      </c>
      <c r="AK449" t="s">
        <v>2680</v>
      </c>
      <c r="AL449">
        <v>0</v>
      </c>
      <c r="AM449">
        <v>0</v>
      </c>
      <c r="AN449" t="s">
        <v>8</v>
      </c>
      <c r="AO449" s="74" t="str">
        <f ca="1">IF(Table20[[#This Row],[Type]]="KILL",IF(_xlfn.NUMBERVALUE(RIGHT(Table20[[#This Row],[Min]],LEN(Table20[[#This Row],[Min]])-FIND("-",Table20[[#This Row],[Min]])))&gt;INDIRECT(ADDRESS(11+MATCH(LEFT(Table20[[#This Row],[Min]],FIND("-",Table20[[#This Row],[Min]])-1),Table1[Content Sku],0),18,1,1,"Entities")),"review","ok"),"ok")</f>
        <v>ok</v>
      </c>
    </row>
    <row r="450" spans="5:41" x14ac:dyDescent="0.25">
      <c r="E450" t="s">
        <v>276</v>
      </c>
      <c r="F450">
        <v>0</v>
      </c>
      <c r="G450">
        <v>10000</v>
      </c>
      <c r="H450" t="s">
        <v>205</v>
      </c>
      <c r="I450" s="74" t="str">
        <f ca="1">IF(Table7[[#This Row],[Type]]="KILL",IF(_xlfn.NUMBERVALUE(RIGHT(Table7[[#This Row],[Min]],LEN(Table7[[#This Row],[Min]])-FIND("-",Table7[[#This Row],[Min]])))&gt;INDIRECT(ADDRESS(11+MATCH(LEFT(Table7[[#This Row],[Min]],FIND("-",Table7[[#This Row],[Min]])-1),Table1[Content Sku],0),16,1,1,"Entities")),"review","ok"),"ok")</f>
        <v>ok</v>
      </c>
      <c r="U450" t="s">
        <v>548</v>
      </c>
      <c r="V450">
        <v>0</v>
      </c>
      <c r="W450">
        <v>0</v>
      </c>
      <c r="X450" t="s">
        <v>8</v>
      </c>
      <c r="Y450" s="74" t="str">
        <f ca="1">IF(Table15[[#This Row],[Type]]="KILL",IF(_xlfn.NUMBERVALUE(RIGHT(Table15[[#This Row],[Min]],LEN(Table15[[#This Row],[Min]])-FIND("-",Table15[[#This Row],[Min]])))&gt;INDIRECT(ADDRESS(11+MATCH(LEFT(Table15[[#This Row],[Min]],FIND("-",Table15[[#This Row],[Min]])-1),Table1[Content Sku],0),16,1,1,"Entities")),"review","ok"),"ok")</f>
        <v>ok</v>
      </c>
      <c r="AK450" t="s">
        <v>37</v>
      </c>
      <c r="AL450">
        <v>0</v>
      </c>
      <c r="AM450">
        <v>0</v>
      </c>
      <c r="AN450" t="s">
        <v>8</v>
      </c>
      <c r="AO450" s="74" t="str">
        <f ca="1">IF(Table20[[#This Row],[Type]]="KILL",IF(_xlfn.NUMBERVALUE(RIGHT(Table20[[#This Row],[Min]],LEN(Table20[[#This Row],[Min]])-FIND("-",Table20[[#This Row],[Min]])))&gt;INDIRECT(ADDRESS(11+MATCH(LEFT(Table20[[#This Row],[Min]],FIND("-",Table20[[#This Row],[Min]])-1),Table1[Content Sku],0),18,1,1,"Entities")),"review","ok"),"ok")</f>
        <v>ok</v>
      </c>
    </row>
    <row r="451" spans="5:41" x14ac:dyDescent="0.25">
      <c r="E451" t="s">
        <v>311</v>
      </c>
      <c r="F451">
        <v>0</v>
      </c>
      <c r="G451">
        <v>0</v>
      </c>
      <c r="H451" t="s">
        <v>8</v>
      </c>
      <c r="I451" s="74" t="str">
        <f ca="1">IF(Table7[[#This Row],[Type]]="KILL",IF(_xlfn.NUMBERVALUE(RIGHT(Table7[[#This Row],[Min]],LEN(Table7[[#This Row],[Min]])-FIND("-",Table7[[#This Row],[Min]])))&gt;INDIRECT(ADDRESS(11+MATCH(LEFT(Table7[[#This Row],[Min]],FIND("-",Table7[[#This Row],[Min]])-1),Table1[Content Sku],0),16,1,1,"Entities")),"review","ok"),"ok")</f>
        <v>ok</v>
      </c>
      <c r="U451" t="s">
        <v>286</v>
      </c>
      <c r="V451">
        <v>0</v>
      </c>
      <c r="W451">
        <v>0</v>
      </c>
      <c r="X451" t="s">
        <v>8</v>
      </c>
      <c r="Y451" s="74" t="str">
        <f ca="1">IF(Table15[[#This Row],[Type]]="KILL",IF(_xlfn.NUMBERVALUE(RIGHT(Table15[[#This Row],[Min]],LEN(Table15[[#This Row],[Min]])-FIND("-",Table15[[#This Row],[Min]])))&gt;INDIRECT(ADDRESS(11+MATCH(LEFT(Table15[[#This Row],[Min]],FIND("-",Table15[[#This Row],[Min]])-1),Table1[Content Sku],0),16,1,1,"Entities")),"review","ok"),"ok")</f>
        <v>ok</v>
      </c>
      <c r="AK451" t="s">
        <v>2674</v>
      </c>
      <c r="AL451">
        <v>0</v>
      </c>
      <c r="AM451">
        <v>0</v>
      </c>
      <c r="AN451" t="s">
        <v>8</v>
      </c>
      <c r="AO451" s="74" t="str">
        <f ca="1">IF(Table20[[#This Row],[Type]]="KILL",IF(_xlfn.NUMBERVALUE(RIGHT(Table20[[#This Row],[Min]],LEN(Table20[[#This Row],[Min]])-FIND("-",Table20[[#This Row],[Min]])))&gt;INDIRECT(ADDRESS(11+MATCH(LEFT(Table20[[#This Row],[Min]],FIND("-",Table20[[#This Row],[Min]])-1),Table1[Content Sku],0),18,1,1,"Entities")),"review","ok"),"ok")</f>
        <v>ok</v>
      </c>
    </row>
    <row r="452" spans="5:41" x14ac:dyDescent="0.25">
      <c r="E452" t="s">
        <v>254</v>
      </c>
      <c r="F452">
        <v>0</v>
      </c>
      <c r="G452">
        <v>12000</v>
      </c>
      <c r="H452" t="s">
        <v>205</v>
      </c>
      <c r="I452" s="74" t="str">
        <f ca="1">IF(Table7[[#This Row],[Type]]="KILL",IF(_xlfn.NUMBERVALUE(RIGHT(Table7[[#This Row],[Min]],LEN(Table7[[#This Row],[Min]])-FIND("-",Table7[[#This Row],[Min]])))&gt;INDIRECT(ADDRESS(11+MATCH(LEFT(Table7[[#This Row],[Min]],FIND("-",Table7[[#This Row],[Min]])-1),Table1[Content Sku],0),16,1,1,"Entities")),"review","ok"),"ok")</f>
        <v>ok</v>
      </c>
      <c r="U452" t="s">
        <v>8133</v>
      </c>
      <c r="V452">
        <v>0</v>
      </c>
      <c r="W452">
        <v>0</v>
      </c>
      <c r="X452" t="s">
        <v>8</v>
      </c>
      <c r="Y452" s="74" t="str">
        <f ca="1">IF(Table15[[#This Row],[Type]]="KILL",IF(_xlfn.NUMBERVALUE(RIGHT(Table15[[#This Row],[Min]],LEN(Table15[[#This Row],[Min]])-FIND("-",Table15[[#This Row],[Min]])))&gt;INDIRECT(ADDRESS(11+MATCH(LEFT(Table15[[#This Row],[Min]],FIND("-",Table15[[#This Row],[Min]])-1),Table1[Content Sku],0),16,1,1,"Entities")),"review","ok"),"ok")</f>
        <v>ok</v>
      </c>
      <c r="AK452" t="s">
        <v>46</v>
      </c>
      <c r="AL452">
        <v>0</v>
      </c>
      <c r="AM452">
        <v>0</v>
      </c>
      <c r="AN452" t="s">
        <v>8</v>
      </c>
      <c r="AO452" s="74" t="str">
        <f ca="1">IF(Table20[[#This Row],[Type]]="KILL",IF(_xlfn.NUMBERVALUE(RIGHT(Table20[[#This Row],[Min]],LEN(Table20[[#This Row],[Min]])-FIND("-",Table20[[#This Row],[Min]])))&gt;INDIRECT(ADDRESS(11+MATCH(LEFT(Table20[[#This Row],[Min]],FIND("-",Table20[[#This Row],[Min]])-1),Table1[Content Sku],0),18,1,1,"Entities")),"review","ok"),"ok")</f>
        <v>ok</v>
      </c>
    </row>
    <row r="453" spans="5:41" x14ac:dyDescent="0.25">
      <c r="E453" t="s">
        <v>548</v>
      </c>
      <c r="F453">
        <v>0</v>
      </c>
      <c r="G453">
        <v>0</v>
      </c>
      <c r="H453" t="s">
        <v>8</v>
      </c>
      <c r="I453" s="74" t="str">
        <f ca="1">IF(Table7[[#This Row],[Type]]="KILL",IF(_xlfn.NUMBERVALUE(RIGHT(Table7[[#This Row],[Min]],LEN(Table7[[#This Row],[Min]])-FIND("-",Table7[[#This Row],[Min]])))&gt;INDIRECT(ADDRESS(11+MATCH(LEFT(Table7[[#This Row],[Min]],FIND("-",Table7[[#This Row],[Min]])-1),Table1[Content Sku],0),16,1,1,"Entities")),"review","ok"),"ok")</f>
        <v>ok</v>
      </c>
      <c r="U453" t="s">
        <v>1</v>
      </c>
      <c r="V453">
        <v>19000</v>
      </c>
      <c r="W453">
        <v>30000</v>
      </c>
      <c r="X453" t="s">
        <v>205</v>
      </c>
      <c r="Y453" s="74" t="str">
        <f ca="1">IF(Table15[[#This Row],[Type]]="KILL",IF(_xlfn.NUMBERVALUE(RIGHT(Table15[[#This Row],[Min]],LEN(Table15[[#This Row],[Min]])-FIND("-",Table15[[#This Row],[Min]])))&gt;INDIRECT(ADDRESS(11+MATCH(LEFT(Table15[[#This Row],[Min]],FIND("-",Table15[[#This Row],[Min]])-1),Table1[Content Sku],0),16,1,1,"Entities")),"review","ok"),"ok")</f>
        <v>ok</v>
      </c>
      <c r="AK453" t="s">
        <v>418</v>
      </c>
      <c r="AL453">
        <v>0</v>
      </c>
      <c r="AM453">
        <v>0</v>
      </c>
      <c r="AN453" t="s">
        <v>8</v>
      </c>
      <c r="AO453" s="74" t="str">
        <f ca="1">IF(Table20[[#This Row],[Type]]="KILL",IF(_xlfn.NUMBERVALUE(RIGHT(Table20[[#This Row],[Min]],LEN(Table20[[#This Row],[Min]])-FIND("-",Table20[[#This Row],[Min]])))&gt;INDIRECT(ADDRESS(11+MATCH(LEFT(Table20[[#This Row],[Min]],FIND("-",Table20[[#This Row],[Min]])-1),Table1[Content Sku],0),18,1,1,"Entities")),"review","ok"),"ok")</f>
        <v>ok</v>
      </c>
    </row>
    <row r="454" spans="5:41" x14ac:dyDescent="0.25">
      <c r="E454" t="s">
        <v>44</v>
      </c>
      <c r="F454">
        <v>0</v>
      </c>
      <c r="G454">
        <v>0</v>
      </c>
      <c r="H454" t="s">
        <v>8</v>
      </c>
      <c r="I454" s="74" t="str">
        <f ca="1">IF(Table7[[#This Row],[Type]]="KILL",IF(_xlfn.NUMBERVALUE(RIGHT(Table7[[#This Row],[Min]],LEN(Table7[[#This Row],[Min]])-FIND("-",Table7[[#This Row],[Min]])))&gt;INDIRECT(ADDRESS(11+MATCH(LEFT(Table7[[#This Row],[Min]],FIND("-",Table7[[#This Row],[Min]])-1),Table1[Content Sku],0),16,1,1,"Entities")),"review","ok"),"ok")</f>
        <v>ok</v>
      </c>
      <c r="U454" t="s">
        <v>293</v>
      </c>
      <c r="V454">
        <v>0</v>
      </c>
      <c r="W454">
        <v>0</v>
      </c>
      <c r="X454" t="s">
        <v>8</v>
      </c>
      <c r="Y454" s="74" t="str">
        <f ca="1">IF(Table15[[#This Row],[Type]]="KILL",IF(_xlfn.NUMBERVALUE(RIGHT(Table15[[#This Row],[Min]],LEN(Table15[[#This Row],[Min]])-FIND("-",Table15[[#This Row],[Min]])))&gt;INDIRECT(ADDRESS(11+MATCH(LEFT(Table15[[#This Row],[Min]],FIND("-",Table15[[#This Row],[Min]])-1),Table1[Content Sku],0),16,1,1,"Entities")),"review","ok"),"ok")</f>
        <v>ok</v>
      </c>
      <c r="AK454" t="s">
        <v>40</v>
      </c>
      <c r="AL454">
        <v>27500</v>
      </c>
      <c r="AM454">
        <v>0</v>
      </c>
      <c r="AN454" t="s">
        <v>205</v>
      </c>
      <c r="AO454" s="74" t="str">
        <f ca="1">IF(Table20[[#This Row],[Type]]="KILL",IF(_xlfn.NUMBERVALUE(RIGHT(Table20[[#This Row],[Min]],LEN(Table20[[#This Row],[Min]])-FIND("-",Table20[[#This Row],[Min]])))&gt;INDIRECT(ADDRESS(11+MATCH(LEFT(Table20[[#This Row],[Min]],FIND("-",Table20[[#This Row],[Min]])-1),Table1[Content Sku],0),18,1,1,"Entities")),"review","ok"),"ok")</f>
        <v>ok</v>
      </c>
    </row>
    <row r="455" spans="5:41" x14ac:dyDescent="0.25">
      <c r="E455" t="s">
        <v>313</v>
      </c>
      <c r="F455">
        <v>0</v>
      </c>
      <c r="G455">
        <v>0</v>
      </c>
      <c r="H455" t="s">
        <v>8</v>
      </c>
      <c r="I455" s="74" t="str">
        <f ca="1">IF(Table7[[#This Row],[Type]]="KILL",IF(_xlfn.NUMBERVALUE(RIGHT(Table7[[#This Row],[Min]],LEN(Table7[[#This Row],[Min]])-FIND("-",Table7[[#This Row],[Min]])))&gt;INDIRECT(ADDRESS(11+MATCH(LEFT(Table7[[#This Row],[Min]],FIND("-",Table7[[#This Row],[Min]])-1),Table1[Content Sku],0),16,1,1,"Entities")),"review","ok"),"ok")</f>
        <v>ok</v>
      </c>
      <c r="U455" t="s">
        <v>391</v>
      </c>
      <c r="V455">
        <v>0</v>
      </c>
      <c r="W455">
        <v>0</v>
      </c>
      <c r="X455" t="s">
        <v>8</v>
      </c>
      <c r="Y455" s="74" t="str">
        <f ca="1">IF(Table15[[#This Row],[Type]]="KILL",IF(_xlfn.NUMBERVALUE(RIGHT(Table15[[#This Row],[Min]],LEN(Table15[[#This Row],[Min]])-FIND("-",Table15[[#This Row],[Min]])))&gt;INDIRECT(ADDRESS(11+MATCH(LEFT(Table15[[#This Row],[Min]],FIND("-",Table15[[#This Row],[Min]])-1),Table1[Content Sku],0),16,1,1,"Entities")),"review","ok"),"ok")</f>
        <v>ok</v>
      </c>
      <c r="AK455" t="s">
        <v>2667</v>
      </c>
      <c r="AL455">
        <v>0</v>
      </c>
      <c r="AM455">
        <v>0</v>
      </c>
      <c r="AN455" t="s">
        <v>8</v>
      </c>
      <c r="AO455" s="74" t="str">
        <f ca="1">IF(Table20[[#This Row],[Type]]="KILL",IF(_xlfn.NUMBERVALUE(RIGHT(Table20[[#This Row],[Min]],LEN(Table20[[#This Row],[Min]])-FIND("-",Table20[[#This Row],[Min]])))&gt;INDIRECT(ADDRESS(11+MATCH(LEFT(Table20[[#This Row],[Min]],FIND("-",Table20[[#This Row],[Min]])-1),Table1[Content Sku],0),18,1,1,"Entities")),"review","ok"),"ok")</f>
        <v>ok</v>
      </c>
    </row>
    <row r="456" spans="5:41" x14ac:dyDescent="0.25">
      <c r="E456" t="s">
        <v>309</v>
      </c>
      <c r="F456">
        <v>0</v>
      </c>
      <c r="G456">
        <v>0</v>
      </c>
      <c r="H456" t="s">
        <v>8</v>
      </c>
      <c r="I456" s="74" t="str">
        <f ca="1">IF(Table7[[#This Row],[Type]]="KILL",IF(_xlfn.NUMBERVALUE(RIGHT(Table7[[#This Row],[Min]],LEN(Table7[[#This Row],[Min]])-FIND("-",Table7[[#This Row],[Min]])))&gt;INDIRECT(ADDRESS(11+MATCH(LEFT(Table7[[#This Row],[Min]],FIND("-",Table7[[#This Row],[Min]])-1),Table1[Content Sku],0),16,1,1,"Entities")),"review","ok"),"ok")</f>
        <v>ok</v>
      </c>
      <c r="U456" t="s">
        <v>95</v>
      </c>
      <c r="V456">
        <v>0</v>
      </c>
      <c r="W456">
        <v>0</v>
      </c>
      <c r="X456" t="s">
        <v>8</v>
      </c>
      <c r="Y456" s="74" t="str">
        <f ca="1">IF(Table15[[#This Row],[Type]]="KILL",IF(_xlfn.NUMBERVALUE(RIGHT(Table15[[#This Row],[Min]],LEN(Table15[[#This Row],[Min]])-FIND("-",Table15[[#This Row],[Min]])))&gt;INDIRECT(ADDRESS(11+MATCH(LEFT(Table15[[#This Row],[Min]],FIND("-",Table15[[#This Row],[Min]])-1),Table1[Content Sku],0),16,1,1,"Entities")),"review","ok"),"ok")</f>
        <v>ok</v>
      </c>
      <c r="AK456" t="s">
        <v>122</v>
      </c>
      <c r="AL456">
        <v>0</v>
      </c>
      <c r="AM456">
        <v>0</v>
      </c>
      <c r="AN456" t="s">
        <v>8</v>
      </c>
      <c r="AO456" s="74" t="str">
        <f ca="1">IF(Table20[[#This Row],[Type]]="KILL",IF(_xlfn.NUMBERVALUE(RIGHT(Table20[[#This Row],[Min]],LEN(Table20[[#This Row],[Min]])-FIND("-",Table20[[#This Row],[Min]])))&gt;INDIRECT(ADDRESS(11+MATCH(LEFT(Table20[[#This Row],[Min]],FIND("-",Table20[[#This Row],[Min]])-1),Table1[Content Sku],0),18,1,1,"Entities")),"review","ok"),"ok")</f>
        <v>ok</v>
      </c>
    </row>
    <row r="457" spans="5:41" x14ac:dyDescent="0.25">
      <c r="E457" t="s">
        <v>306</v>
      </c>
      <c r="F457">
        <v>0</v>
      </c>
      <c r="G457">
        <v>0</v>
      </c>
      <c r="H457" t="s">
        <v>8</v>
      </c>
      <c r="I457" s="74" t="str">
        <f ca="1">IF(Table7[[#This Row],[Type]]="KILL",IF(_xlfn.NUMBERVALUE(RIGHT(Table7[[#This Row],[Min]],LEN(Table7[[#This Row],[Min]])-FIND("-",Table7[[#This Row],[Min]])))&gt;INDIRECT(ADDRESS(11+MATCH(LEFT(Table7[[#This Row],[Min]],FIND("-",Table7[[#This Row],[Min]])-1),Table1[Content Sku],0),16,1,1,"Entities")),"review","ok"),"ok")</f>
        <v>ok</v>
      </c>
      <c r="U457" t="s">
        <v>313</v>
      </c>
      <c r="V457">
        <v>0</v>
      </c>
      <c r="W457">
        <v>0</v>
      </c>
      <c r="X457" t="s">
        <v>8</v>
      </c>
      <c r="Y457" s="74" t="str">
        <f ca="1">IF(Table15[[#This Row],[Type]]="KILL",IF(_xlfn.NUMBERVALUE(RIGHT(Table15[[#This Row],[Min]],LEN(Table15[[#This Row],[Min]])-FIND("-",Table15[[#This Row],[Min]])))&gt;INDIRECT(ADDRESS(11+MATCH(LEFT(Table15[[#This Row],[Min]],FIND("-",Table15[[#This Row],[Min]])-1),Table1[Content Sku],0),16,1,1,"Entities")),"review","ok"),"ok")</f>
        <v>ok</v>
      </c>
      <c r="AK457" t="s">
        <v>39</v>
      </c>
      <c r="AL457">
        <v>0</v>
      </c>
      <c r="AM457">
        <v>64000</v>
      </c>
      <c r="AN457" t="s">
        <v>205</v>
      </c>
      <c r="AO457" s="74" t="str">
        <f ca="1">IF(Table20[[#This Row],[Type]]="KILL",IF(_xlfn.NUMBERVALUE(RIGHT(Table20[[#This Row],[Min]],LEN(Table20[[#This Row],[Min]])-FIND("-",Table20[[#This Row],[Min]])))&gt;INDIRECT(ADDRESS(11+MATCH(LEFT(Table20[[#This Row],[Min]],FIND("-",Table20[[#This Row],[Min]])-1),Table1[Content Sku],0),18,1,1,"Entities")),"review","ok"),"ok")</f>
        <v>ok</v>
      </c>
    </row>
    <row r="458" spans="5:41" x14ac:dyDescent="0.25">
      <c r="E458" t="s">
        <v>393</v>
      </c>
      <c r="F458">
        <v>0</v>
      </c>
      <c r="G458">
        <v>0</v>
      </c>
      <c r="H458" t="s">
        <v>8</v>
      </c>
      <c r="I458" s="74" t="str">
        <f ca="1">IF(Table7[[#This Row],[Type]]="KILL",IF(_xlfn.NUMBERVALUE(RIGHT(Table7[[#This Row],[Min]],LEN(Table7[[#This Row],[Min]])-FIND("-",Table7[[#This Row],[Min]])))&gt;INDIRECT(ADDRESS(11+MATCH(LEFT(Table7[[#This Row],[Min]],FIND("-",Table7[[#This Row],[Min]])-1),Table1[Content Sku],0),16,1,1,"Entities")),"review","ok"),"ok")</f>
        <v>ok</v>
      </c>
      <c r="U458" t="s">
        <v>391</v>
      </c>
      <c r="V458">
        <v>0</v>
      </c>
      <c r="W458">
        <v>0</v>
      </c>
      <c r="X458" t="s">
        <v>8</v>
      </c>
      <c r="Y458" s="74" t="str">
        <f ca="1">IF(Table15[[#This Row],[Type]]="KILL",IF(_xlfn.NUMBERVALUE(RIGHT(Table15[[#This Row],[Min]],LEN(Table15[[#This Row],[Min]])-FIND("-",Table15[[#This Row],[Min]])))&gt;INDIRECT(ADDRESS(11+MATCH(LEFT(Table15[[#This Row],[Min]],FIND("-",Table15[[#This Row],[Min]])-1),Table1[Content Sku],0),16,1,1,"Entities")),"review","ok"),"ok")</f>
        <v>ok</v>
      </c>
      <c r="AK458" t="s">
        <v>576</v>
      </c>
      <c r="AL458">
        <v>0</v>
      </c>
      <c r="AM458">
        <v>0</v>
      </c>
      <c r="AN458" t="s">
        <v>8</v>
      </c>
      <c r="AO458" s="74" t="str">
        <f ca="1">IF(Table20[[#This Row],[Type]]="KILL",IF(_xlfn.NUMBERVALUE(RIGHT(Table20[[#This Row],[Min]],LEN(Table20[[#This Row],[Min]])-FIND("-",Table20[[#This Row],[Min]])))&gt;INDIRECT(ADDRESS(11+MATCH(LEFT(Table20[[#This Row],[Min]],FIND("-",Table20[[#This Row],[Min]])-1),Table1[Content Sku],0),18,1,1,"Entities")),"review","ok"),"ok")</f>
        <v>ok</v>
      </c>
    </row>
    <row r="459" spans="5:41" x14ac:dyDescent="0.25">
      <c r="E459" t="s">
        <v>393</v>
      </c>
      <c r="F459">
        <v>0</v>
      </c>
      <c r="G459">
        <v>0</v>
      </c>
      <c r="H459" t="s">
        <v>8</v>
      </c>
      <c r="I459" s="74" t="str">
        <f ca="1">IF(Table7[[#This Row],[Type]]="KILL",IF(_xlfn.NUMBERVALUE(RIGHT(Table7[[#This Row],[Min]],LEN(Table7[[#This Row],[Min]])-FIND("-",Table7[[#This Row],[Min]])))&gt;INDIRECT(ADDRESS(11+MATCH(LEFT(Table7[[#This Row],[Min]],FIND("-",Table7[[#This Row],[Min]])-1),Table1[Content Sku],0),16,1,1,"Entities")),"review","ok"),"ok")</f>
        <v>ok</v>
      </c>
      <c r="U459" t="s">
        <v>47</v>
      </c>
      <c r="V459">
        <v>0</v>
      </c>
      <c r="W459">
        <v>0</v>
      </c>
      <c r="X459" t="s">
        <v>8</v>
      </c>
      <c r="Y459" s="74" t="str">
        <f ca="1">IF(Table15[[#This Row],[Type]]="KILL",IF(_xlfn.NUMBERVALUE(RIGHT(Table15[[#This Row],[Min]],LEN(Table15[[#This Row],[Min]])-FIND("-",Table15[[#This Row],[Min]])))&gt;INDIRECT(ADDRESS(11+MATCH(LEFT(Table15[[#This Row],[Min]],FIND("-",Table15[[#This Row],[Min]])-1),Table1[Content Sku],0),16,1,1,"Entities")),"review","ok"),"ok")</f>
        <v>ok</v>
      </c>
      <c r="AK459" t="s">
        <v>540</v>
      </c>
      <c r="AL459">
        <v>0</v>
      </c>
      <c r="AM459">
        <v>0</v>
      </c>
      <c r="AN459" t="s">
        <v>8</v>
      </c>
      <c r="AO459" s="74" t="str">
        <f ca="1">IF(Table20[[#This Row],[Type]]="KILL",IF(_xlfn.NUMBERVALUE(RIGHT(Table20[[#This Row],[Min]],LEN(Table20[[#This Row],[Min]])-FIND("-",Table20[[#This Row],[Min]])))&gt;INDIRECT(ADDRESS(11+MATCH(LEFT(Table20[[#This Row],[Min]],FIND("-",Table20[[#This Row],[Min]])-1),Table1[Content Sku],0),18,1,1,"Entities")),"review","ok"),"ok")</f>
        <v>ok</v>
      </c>
    </row>
    <row r="460" spans="5:41" x14ac:dyDescent="0.25">
      <c r="E460" t="s">
        <v>123</v>
      </c>
      <c r="F460">
        <v>0</v>
      </c>
      <c r="G460">
        <v>0</v>
      </c>
      <c r="H460" t="s">
        <v>8</v>
      </c>
      <c r="I460" s="74" t="str">
        <f ca="1">IF(Table7[[#This Row],[Type]]="KILL",IF(_xlfn.NUMBERVALUE(RIGHT(Table7[[#This Row],[Min]],LEN(Table7[[#This Row],[Min]])-FIND("-",Table7[[#This Row],[Min]])))&gt;INDIRECT(ADDRESS(11+MATCH(LEFT(Table7[[#This Row],[Min]],FIND("-",Table7[[#This Row],[Min]])-1),Table1[Content Sku],0),16,1,1,"Entities")),"review","ok"),"ok")</f>
        <v>ok</v>
      </c>
      <c r="U460" t="s">
        <v>403</v>
      </c>
      <c r="V460">
        <v>0</v>
      </c>
      <c r="W460">
        <v>0</v>
      </c>
      <c r="X460" t="s">
        <v>8</v>
      </c>
      <c r="Y460" s="74" t="str">
        <f ca="1">IF(Table15[[#This Row],[Type]]="KILL",IF(_xlfn.NUMBERVALUE(RIGHT(Table15[[#This Row],[Min]],LEN(Table15[[#This Row],[Min]])-FIND("-",Table15[[#This Row],[Min]])))&gt;INDIRECT(ADDRESS(11+MATCH(LEFT(Table15[[#This Row],[Min]],FIND("-",Table15[[#This Row],[Min]])-1),Table1[Content Sku],0),16,1,1,"Entities")),"review","ok"),"ok")</f>
        <v>ok</v>
      </c>
      <c r="AK460" t="s">
        <v>257</v>
      </c>
      <c r="AL460">
        <v>0</v>
      </c>
      <c r="AM460">
        <v>0</v>
      </c>
      <c r="AN460" t="s">
        <v>8</v>
      </c>
      <c r="AO460" s="74" t="str">
        <f ca="1">IF(Table20[[#This Row],[Type]]="KILL",IF(_xlfn.NUMBERVALUE(RIGHT(Table20[[#This Row],[Min]],LEN(Table20[[#This Row],[Min]])-FIND("-",Table20[[#This Row],[Min]])))&gt;INDIRECT(ADDRESS(11+MATCH(LEFT(Table20[[#This Row],[Min]],FIND("-",Table20[[#This Row],[Min]])-1),Table1[Content Sku],0),18,1,1,"Entities")),"review","ok"),"ok")</f>
        <v>ok</v>
      </c>
    </row>
    <row r="461" spans="5:41" x14ac:dyDescent="0.25">
      <c r="E461" t="s">
        <v>313</v>
      </c>
      <c r="F461">
        <v>0</v>
      </c>
      <c r="G461">
        <v>0</v>
      </c>
      <c r="H461" t="s">
        <v>8</v>
      </c>
      <c r="I461" s="74" t="str">
        <f ca="1">IF(Table7[[#This Row],[Type]]="KILL",IF(_xlfn.NUMBERVALUE(RIGHT(Table7[[#This Row],[Min]],LEN(Table7[[#This Row],[Min]])-FIND("-",Table7[[#This Row],[Min]])))&gt;INDIRECT(ADDRESS(11+MATCH(LEFT(Table7[[#This Row],[Min]],FIND("-",Table7[[#This Row],[Min]])-1),Table1[Content Sku],0),16,1,1,"Entities")),"review","ok"),"ok")</f>
        <v>ok</v>
      </c>
      <c r="U461" t="s">
        <v>400</v>
      </c>
      <c r="V461">
        <v>0</v>
      </c>
      <c r="W461">
        <v>0</v>
      </c>
      <c r="X461" t="s">
        <v>8</v>
      </c>
      <c r="Y461" s="74" t="str">
        <f ca="1">IF(Table15[[#This Row],[Type]]="KILL",IF(_xlfn.NUMBERVALUE(RIGHT(Table15[[#This Row],[Min]],LEN(Table15[[#This Row],[Min]])-FIND("-",Table15[[#This Row],[Min]])))&gt;INDIRECT(ADDRESS(11+MATCH(LEFT(Table15[[#This Row],[Min]],FIND("-",Table15[[#This Row],[Min]])-1),Table1[Content Sku],0),16,1,1,"Entities")),"review","ok"),"ok")</f>
        <v>ok</v>
      </c>
      <c r="AK461" t="s">
        <v>313</v>
      </c>
      <c r="AL461">
        <v>0</v>
      </c>
      <c r="AM461">
        <v>0</v>
      </c>
      <c r="AN461" t="s">
        <v>8</v>
      </c>
      <c r="AO461" s="74" t="str">
        <f ca="1">IF(Table20[[#This Row],[Type]]="KILL",IF(_xlfn.NUMBERVALUE(RIGHT(Table20[[#This Row],[Min]],LEN(Table20[[#This Row],[Min]])-FIND("-",Table20[[#This Row],[Min]])))&gt;INDIRECT(ADDRESS(11+MATCH(LEFT(Table20[[#This Row],[Min]],FIND("-",Table20[[#This Row],[Min]])-1),Table1[Content Sku],0),18,1,1,"Entities")),"review","ok"),"ok")</f>
        <v>ok</v>
      </c>
    </row>
    <row r="462" spans="5:41" x14ac:dyDescent="0.25">
      <c r="E462" t="s">
        <v>40</v>
      </c>
      <c r="F462">
        <v>10000</v>
      </c>
      <c r="G462">
        <v>0</v>
      </c>
      <c r="H462" t="s">
        <v>205</v>
      </c>
      <c r="I462" s="74" t="str">
        <f ca="1">IF(Table7[[#This Row],[Type]]="KILL",IF(_xlfn.NUMBERVALUE(RIGHT(Table7[[#This Row],[Min]],LEN(Table7[[#This Row],[Min]])-FIND("-",Table7[[#This Row],[Min]])))&gt;INDIRECT(ADDRESS(11+MATCH(LEFT(Table7[[#This Row],[Min]],FIND("-",Table7[[#This Row],[Min]])-1),Table1[Content Sku],0),16,1,1,"Entities")),"review","ok"),"ok")</f>
        <v>ok</v>
      </c>
      <c r="U462" t="s">
        <v>545</v>
      </c>
      <c r="V462">
        <v>0</v>
      </c>
      <c r="W462">
        <v>0</v>
      </c>
      <c r="X462" t="s">
        <v>8</v>
      </c>
      <c r="Y462" s="74" t="str">
        <f ca="1">IF(Table15[[#This Row],[Type]]="KILL",IF(_xlfn.NUMBERVALUE(RIGHT(Table15[[#This Row],[Min]],LEN(Table15[[#This Row],[Min]])-FIND("-",Table15[[#This Row],[Min]])))&gt;INDIRECT(ADDRESS(11+MATCH(LEFT(Table15[[#This Row],[Min]],FIND("-",Table15[[#This Row],[Min]])-1),Table1[Content Sku],0),16,1,1,"Entities")),"review","ok"),"ok")</f>
        <v>ok</v>
      </c>
      <c r="AK462" t="s">
        <v>46</v>
      </c>
      <c r="AL462">
        <v>0</v>
      </c>
      <c r="AM462">
        <v>0</v>
      </c>
      <c r="AN462" t="s">
        <v>8</v>
      </c>
      <c r="AO462" s="74" t="str">
        <f ca="1">IF(Table20[[#This Row],[Type]]="KILL",IF(_xlfn.NUMBERVALUE(RIGHT(Table20[[#This Row],[Min]],LEN(Table20[[#This Row],[Min]])-FIND("-",Table20[[#This Row],[Min]])))&gt;INDIRECT(ADDRESS(11+MATCH(LEFT(Table20[[#This Row],[Min]],FIND("-",Table20[[#This Row],[Min]])-1),Table1[Content Sku],0),18,1,1,"Entities")),"review","ok"),"ok")</f>
        <v>ok</v>
      </c>
    </row>
    <row r="463" spans="5:41" x14ac:dyDescent="0.25">
      <c r="E463" t="s">
        <v>39</v>
      </c>
      <c r="F463">
        <v>0</v>
      </c>
      <c r="G463">
        <v>0</v>
      </c>
      <c r="H463" t="s">
        <v>8</v>
      </c>
      <c r="I463" s="74" t="str">
        <f ca="1">IF(Table7[[#This Row],[Type]]="KILL",IF(_xlfn.NUMBERVALUE(RIGHT(Table7[[#This Row],[Min]],LEN(Table7[[#This Row],[Min]])-FIND("-",Table7[[#This Row],[Min]])))&gt;INDIRECT(ADDRESS(11+MATCH(LEFT(Table7[[#This Row],[Min]],FIND("-",Table7[[#This Row],[Min]])-1),Table1[Content Sku],0),16,1,1,"Entities")),"review","ok"),"ok")</f>
        <v>ok</v>
      </c>
      <c r="U463" t="s">
        <v>460</v>
      </c>
      <c r="V463">
        <v>0</v>
      </c>
      <c r="W463">
        <v>0</v>
      </c>
      <c r="X463" t="s">
        <v>8</v>
      </c>
      <c r="Y463" s="74" t="str">
        <f ca="1">IF(Table15[[#This Row],[Type]]="KILL",IF(_xlfn.NUMBERVALUE(RIGHT(Table15[[#This Row],[Min]],LEN(Table15[[#This Row],[Min]])-FIND("-",Table15[[#This Row],[Min]])))&gt;INDIRECT(ADDRESS(11+MATCH(LEFT(Table15[[#This Row],[Min]],FIND("-",Table15[[#This Row],[Min]])-1),Table1[Content Sku],0),16,1,1,"Entities")),"review","ok"),"ok")</f>
        <v>ok</v>
      </c>
      <c r="AK463" t="s">
        <v>545</v>
      </c>
      <c r="AL463">
        <v>0</v>
      </c>
      <c r="AM463">
        <v>0</v>
      </c>
      <c r="AN463" t="s">
        <v>8</v>
      </c>
      <c r="AO463" s="74" t="str">
        <f ca="1">IF(Table20[[#This Row],[Type]]="KILL",IF(_xlfn.NUMBERVALUE(RIGHT(Table20[[#This Row],[Min]],LEN(Table20[[#This Row],[Min]])-FIND("-",Table20[[#This Row],[Min]])))&gt;INDIRECT(ADDRESS(11+MATCH(LEFT(Table20[[#This Row],[Min]],FIND("-",Table20[[#This Row],[Min]])-1),Table1[Content Sku],0),18,1,1,"Entities")),"review","ok"),"ok")</f>
        <v>ok</v>
      </c>
    </row>
    <row r="464" spans="5:41" x14ac:dyDescent="0.25">
      <c r="E464" t="s">
        <v>37</v>
      </c>
      <c r="F464">
        <v>0</v>
      </c>
      <c r="G464">
        <v>0</v>
      </c>
      <c r="H464" t="s">
        <v>8</v>
      </c>
      <c r="I464" s="74" t="str">
        <f ca="1">IF(Table7[[#This Row],[Type]]="KILL",IF(_xlfn.NUMBERVALUE(RIGHT(Table7[[#This Row],[Min]],LEN(Table7[[#This Row],[Min]])-FIND("-",Table7[[#This Row],[Min]])))&gt;INDIRECT(ADDRESS(11+MATCH(LEFT(Table7[[#This Row],[Min]],FIND("-",Table7[[#This Row],[Min]])-1),Table1[Content Sku],0),16,1,1,"Entities")),"review","ok"),"ok")</f>
        <v>ok</v>
      </c>
      <c r="U464" t="s">
        <v>54</v>
      </c>
      <c r="V464">
        <v>0</v>
      </c>
      <c r="W464">
        <v>0</v>
      </c>
      <c r="X464" t="s">
        <v>8</v>
      </c>
      <c r="Y464" s="74" t="str">
        <f ca="1">IF(Table15[[#This Row],[Type]]="KILL",IF(_xlfn.NUMBERVALUE(RIGHT(Table15[[#This Row],[Min]],LEN(Table15[[#This Row],[Min]])-FIND("-",Table15[[#This Row],[Min]])))&gt;INDIRECT(ADDRESS(11+MATCH(LEFT(Table15[[#This Row],[Min]],FIND("-",Table15[[#This Row],[Min]])-1),Table1[Content Sku],0),16,1,1,"Entities")),"review","ok"),"ok")</f>
        <v>ok</v>
      </c>
      <c r="AK464" t="s">
        <v>2663</v>
      </c>
      <c r="AL464">
        <v>0</v>
      </c>
      <c r="AM464">
        <v>0</v>
      </c>
      <c r="AN464" t="s">
        <v>8</v>
      </c>
      <c r="AO464" s="74" t="str">
        <f ca="1">IF(Table20[[#This Row],[Type]]="KILL",IF(_xlfn.NUMBERVALUE(RIGHT(Table20[[#This Row],[Min]],LEN(Table20[[#This Row],[Min]])-FIND("-",Table20[[#This Row],[Min]])))&gt;INDIRECT(ADDRESS(11+MATCH(LEFT(Table20[[#This Row],[Min]],FIND("-",Table20[[#This Row],[Min]])-1),Table1[Content Sku],0),18,1,1,"Entities")),"review","ok"),"ok")</f>
        <v>ok</v>
      </c>
    </row>
    <row r="465" spans="5:41" x14ac:dyDescent="0.25">
      <c r="E465" t="s">
        <v>254</v>
      </c>
      <c r="F465">
        <v>0</v>
      </c>
      <c r="G465">
        <v>28000</v>
      </c>
      <c r="H465" t="s">
        <v>205</v>
      </c>
      <c r="I465" s="74" t="str">
        <f ca="1">IF(Table7[[#This Row],[Type]]="KILL",IF(_xlfn.NUMBERVALUE(RIGHT(Table7[[#This Row],[Min]],LEN(Table7[[#This Row],[Min]])-FIND("-",Table7[[#This Row],[Min]])))&gt;INDIRECT(ADDRESS(11+MATCH(LEFT(Table7[[#This Row],[Min]],FIND("-",Table7[[#This Row],[Min]])-1),Table1[Content Sku],0),16,1,1,"Entities")),"review","ok"),"ok")</f>
        <v>ok</v>
      </c>
      <c r="U465" t="s">
        <v>254</v>
      </c>
      <c r="V465">
        <v>0</v>
      </c>
      <c r="W465">
        <v>0</v>
      </c>
      <c r="X465" t="s">
        <v>8</v>
      </c>
      <c r="Y465" s="74" t="str">
        <f ca="1">IF(Table15[[#This Row],[Type]]="KILL",IF(_xlfn.NUMBERVALUE(RIGHT(Table15[[#This Row],[Min]],LEN(Table15[[#This Row],[Min]])-FIND("-",Table15[[#This Row],[Min]])))&gt;INDIRECT(ADDRESS(11+MATCH(LEFT(Table15[[#This Row],[Min]],FIND("-",Table15[[#This Row],[Min]])-1),Table1[Content Sku],0),16,1,1,"Entities")),"review","ok"),"ok")</f>
        <v>ok</v>
      </c>
      <c r="AK465" t="s">
        <v>2665</v>
      </c>
      <c r="AL465">
        <v>0</v>
      </c>
      <c r="AM465">
        <v>88000</v>
      </c>
      <c r="AN465" t="s">
        <v>205</v>
      </c>
      <c r="AO465" s="74" t="str">
        <f ca="1">IF(Table20[[#This Row],[Type]]="KILL",IF(_xlfn.NUMBERVALUE(RIGHT(Table20[[#This Row],[Min]],LEN(Table20[[#This Row],[Min]])-FIND("-",Table20[[#This Row],[Min]])))&gt;INDIRECT(ADDRESS(11+MATCH(LEFT(Table20[[#This Row],[Min]],FIND("-",Table20[[#This Row],[Min]])-1),Table1[Content Sku],0),18,1,1,"Entities")),"review","ok"),"ok")</f>
        <v>ok</v>
      </c>
    </row>
    <row r="466" spans="5:41" x14ac:dyDescent="0.25">
      <c r="E466" t="s">
        <v>548</v>
      </c>
      <c r="F466">
        <v>0</v>
      </c>
      <c r="G466">
        <v>0</v>
      </c>
      <c r="H466" t="s">
        <v>8</v>
      </c>
      <c r="I466" s="74" t="str">
        <f ca="1">IF(Table7[[#This Row],[Type]]="KILL",IF(_xlfn.NUMBERVALUE(RIGHT(Table7[[#This Row],[Min]],LEN(Table7[[#This Row],[Min]])-FIND("-",Table7[[#This Row],[Min]])))&gt;INDIRECT(ADDRESS(11+MATCH(LEFT(Table7[[#This Row],[Min]],FIND("-",Table7[[#This Row],[Min]])-1),Table1[Content Sku],0),16,1,1,"Entities")),"review","ok"),"ok")</f>
        <v>ok</v>
      </c>
      <c r="U466" t="s">
        <v>313</v>
      </c>
      <c r="V466">
        <v>0</v>
      </c>
      <c r="W466">
        <v>0</v>
      </c>
      <c r="X466" t="s">
        <v>8</v>
      </c>
      <c r="Y466" s="74" t="str">
        <f ca="1">IF(Table15[[#This Row],[Type]]="KILL",IF(_xlfn.NUMBERVALUE(RIGHT(Table15[[#This Row],[Min]],LEN(Table15[[#This Row],[Min]])-FIND("-",Table15[[#This Row],[Min]])))&gt;INDIRECT(ADDRESS(11+MATCH(LEFT(Table15[[#This Row],[Min]],FIND("-",Table15[[#This Row],[Min]])-1),Table1[Content Sku],0),16,1,1,"Entities")),"review","ok"),"ok")</f>
        <v>ok</v>
      </c>
      <c r="AK466" t="s">
        <v>2741</v>
      </c>
      <c r="AL466">
        <v>0</v>
      </c>
      <c r="AM466">
        <v>0</v>
      </c>
      <c r="AN466" t="s">
        <v>8</v>
      </c>
      <c r="AO466" s="74" t="str">
        <f ca="1">IF(Table20[[#This Row],[Type]]="KILL",IF(_xlfn.NUMBERVALUE(RIGHT(Table20[[#This Row],[Min]],LEN(Table20[[#This Row],[Min]])-FIND("-",Table20[[#This Row],[Min]])))&gt;INDIRECT(ADDRESS(11+MATCH(LEFT(Table20[[#This Row],[Min]],FIND("-",Table20[[#This Row],[Min]])-1),Table1[Content Sku],0),18,1,1,"Entities")),"review","ok"),"ok")</f>
        <v>ok</v>
      </c>
    </row>
    <row r="467" spans="5:41" x14ac:dyDescent="0.25">
      <c r="E467" t="s">
        <v>318</v>
      </c>
      <c r="F467">
        <v>0</v>
      </c>
      <c r="G467">
        <v>0</v>
      </c>
      <c r="H467" t="s">
        <v>8</v>
      </c>
      <c r="I467" s="74" t="str">
        <f ca="1">IF(Table7[[#This Row],[Type]]="KILL",IF(_xlfn.NUMBERVALUE(RIGHT(Table7[[#This Row],[Min]],LEN(Table7[[#This Row],[Min]])-FIND("-",Table7[[#This Row],[Min]])))&gt;INDIRECT(ADDRESS(11+MATCH(LEFT(Table7[[#This Row],[Min]],FIND("-",Table7[[#This Row],[Min]])-1),Table1[Content Sku],0),16,1,1,"Entities")),"review","ok"),"ok")</f>
        <v>ok</v>
      </c>
      <c r="U467" t="s">
        <v>22</v>
      </c>
      <c r="V467">
        <v>0</v>
      </c>
      <c r="W467">
        <v>0</v>
      </c>
      <c r="X467" t="s">
        <v>8</v>
      </c>
      <c r="Y467" s="74" t="str">
        <f ca="1">IF(Table15[[#This Row],[Type]]="KILL",IF(_xlfn.NUMBERVALUE(RIGHT(Table15[[#This Row],[Min]],LEN(Table15[[#This Row],[Min]])-FIND("-",Table15[[#This Row],[Min]])))&gt;INDIRECT(ADDRESS(11+MATCH(LEFT(Table15[[#This Row],[Min]],FIND("-",Table15[[#This Row],[Min]])-1),Table1[Content Sku],0),16,1,1,"Entities")),"review","ok"),"ok")</f>
        <v>ok</v>
      </c>
      <c r="AK467" t="s">
        <v>48</v>
      </c>
      <c r="AL467">
        <v>0</v>
      </c>
      <c r="AM467">
        <v>0</v>
      </c>
      <c r="AN467" t="s">
        <v>8</v>
      </c>
      <c r="AO467" s="74" t="str">
        <f ca="1">IF(Table20[[#This Row],[Type]]="KILL",IF(_xlfn.NUMBERVALUE(RIGHT(Table20[[#This Row],[Min]],LEN(Table20[[#This Row],[Min]])-FIND("-",Table20[[#This Row],[Min]])))&gt;INDIRECT(ADDRESS(11+MATCH(LEFT(Table20[[#This Row],[Min]],FIND("-",Table20[[#This Row],[Min]])-1),Table1[Content Sku],0),18,1,1,"Entities")),"review","ok"),"ok")</f>
        <v>ok</v>
      </c>
    </row>
    <row r="468" spans="5:41" x14ac:dyDescent="0.25">
      <c r="E468" t="s">
        <v>254</v>
      </c>
      <c r="F468">
        <v>0</v>
      </c>
      <c r="G468">
        <v>0</v>
      </c>
      <c r="H468" t="s">
        <v>8</v>
      </c>
      <c r="I468" s="74" t="str">
        <f ca="1">IF(Table7[[#This Row],[Type]]="KILL",IF(_xlfn.NUMBERVALUE(RIGHT(Table7[[#This Row],[Min]],LEN(Table7[[#This Row],[Min]])-FIND("-",Table7[[#This Row],[Min]])))&gt;INDIRECT(ADDRESS(11+MATCH(LEFT(Table7[[#This Row],[Min]],FIND("-",Table7[[#This Row],[Min]])-1),Table1[Content Sku],0),16,1,1,"Entities")),"review","ok"),"ok")</f>
        <v>ok</v>
      </c>
      <c r="U468" t="s">
        <v>306</v>
      </c>
      <c r="V468">
        <v>0</v>
      </c>
      <c r="W468">
        <v>0</v>
      </c>
      <c r="X468" t="s">
        <v>8</v>
      </c>
      <c r="Y468" s="74" t="str">
        <f ca="1">IF(Table15[[#This Row],[Type]]="KILL",IF(_xlfn.NUMBERVALUE(RIGHT(Table15[[#This Row],[Min]],LEN(Table15[[#This Row],[Min]])-FIND("-",Table15[[#This Row],[Min]])))&gt;INDIRECT(ADDRESS(11+MATCH(LEFT(Table15[[#This Row],[Min]],FIND("-",Table15[[#This Row],[Min]])-1),Table1[Content Sku],0),16,1,1,"Entities")),"review","ok"),"ok")</f>
        <v>ok</v>
      </c>
      <c r="AK468" t="s">
        <v>2662</v>
      </c>
      <c r="AL468">
        <v>0</v>
      </c>
      <c r="AM468">
        <v>0</v>
      </c>
      <c r="AN468" t="s">
        <v>8</v>
      </c>
      <c r="AO468" s="74" t="str">
        <f ca="1">IF(Table20[[#This Row],[Type]]="KILL",IF(_xlfn.NUMBERVALUE(RIGHT(Table20[[#This Row],[Min]],LEN(Table20[[#This Row],[Min]])-FIND("-",Table20[[#This Row],[Min]])))&gt;INDIRECT(ADDRESS(11+MATCH(LEFT(Table20[[#This Row],[Min]],FIND("-",Table20[[#This Row],[Min]])-1),Table1[Content Sku],0),18,1,1,"Entities")),"review","ok"),"ok")</f>
        <v>ok</v>
      </c>
    </row>
    <row r="469" spans="5:41" x14ac:dyDescent="0.25">
      <c r="E469" t="s">
        <v>315</v>
      </c>
      <c r="F469">
        <v>0</v>
      </c>
      <c r="G469">
        <v>0</v>
      </c>
      <c r="H469" t="s">
        <v>8</v>
      </c>
      <c r="I469" s="74" t="str">
        <f ca="1">IF(Table7[[#This Row],[Type]]="KILL",IF(_xlfn.NUMBERVALUE(RIGHT(Table7[[#This Row],[Min]],LEN(Table7[[#This Row],[Min]])-FIND("-",Table7[[#This Row],[Min]])))&gt;INDIRECT(ADDRESS(11+MATCH(LEFT(Table7[[#This Row],[Min]],FIND("-",Table7[[#This Row],[Min]])-1),Table1[Content Sku],0),16,1,1,"Entities")),"review","ok"),"ok")</f>
        <v>ok</v>
      </c>
      <c r="U469" t="s">
        <v>48</v>
      </c>
      <c r="V469">
        <v>0</v>
      </c>
      <c r="W469">
        <v>0</v>
      </c>
      <c r="X469" t="s">
        <v>8</v>
      </c>
      <c r="Y469" s="74" t="str">
        <f ca="1">IF(Table15[[#This Row],[Type]]="KILL",IF(_xlfn.NUMBERVALUE(RIGHT(Table15[[#This Row],[Min]],LEN(Table15[[#This Row],[Min]])-FIND("-",Table15[[#This Row],[Min]])))&gt;INDIRECT(ADDRESS(11+MATCH(LEFT(Table15[[#This Row],[Min]],FIND("-",Table15[[#This Row],[Min]])-1),Table1[Content Sku],0),16,1,1,"Entities")),"review","ok"),"ok")</f>
        <v>ok</v>
      </c>
      <c r="AK469" t="s">
        <v>40</v>
      </c>
      <c r="AL469">
        <v>0</v>
      </c>
      <c r="AM469">
        <v>41000</v>
      </c>
      <c r="AN469" t="s">
        <v>205</v>
      </c>
      <c r="AO469" s="74" t="str">
        <f ca="1">IF(Table20[[#This Row],[Type]]="KILL",IF(_xlfn.NUMBERVALUE(RIGHT(Table20[[#This Row],[Min]],LEN(Table20[[#This Row],[Min]])-FIND("-",Table20[[#This Row],[Min]])))&gt;INDIRECT(ADDRESS(11+MATCH(LEFT(Table20[[#This Row],[Min]],FIND("-",Table20[[#This Row],[Min]])-1),Table1[Content Sku],0),18,1,1,"Entities")),"review","ok"),"ok")</f>
        <v>ok</v>
      </c>
    </row>
    <row r="470" spans="5:41" x14ac:dyDescent="0.25">
      <c r="E470" t="s">
        <v>44</v>
      </c>
      <c r="F470">
        <v>0</v>
      </c>
      <c r="G470">
        <v>0</v>
      </c>
      <c r="H470" t="s">
        <v>8</v>
      </c>
      <c r="I470" s="74" t="str">
        <f ca="1">IF(Table7[[#This Row],[Type]]="KILL",IF(_xlfn.NUMBERVALUE(RIGHT(Table7[[#This Row],[Min]],LEN(Table7[[#This Row],[Min]])-FIND("-",Table7[[#This Row],[Min]])))&gt;INDIRECT(ADDRESS(11+MATCH(LEFT(Table7[[#This Row],[Min]],FIND("-",Table7[[#This Row],[Min]])-1),Table1[Content Sku],0),16,1,1,"Entities")),"review","ok"),"ok")</f>
        <v>ok</v>
      </c>
      <c r="U470" t="s">
        <v>313</v>
      </c>
      <c r="V470">
        <v>0</v>
      </c>
      <c r="W470">
        <v>0</v>
      </c>
      <c r="X470" t="s">
        <v>8</v>
      </c>
      <c r="Y470" s="74" t="str">
        <f ca="1">IF(Table15[[#This Row],[Type]]="KILL",IF(_xlfn.NUMBERVALUE(RIGHT(Table15[[#This Row],[Min]],LEN(Table15[[#This Row],[Min]])-FIND("-",Table15[[#This Row],[Min]])))&gt;INDIRECT(ADDRESS(11+MATCH(LEFT(Table15[[#This Row],[Min]],FIND("-",Table15[[#This Row],[Min]])-1),Table1[Content Sku],0),16,1,1,"Entities")),"review","ok"),"ok")</f>
        <v>ok</v>
      </c>
      <c r="AK470" t="s">
        <v>39</v>
      </c>
      <c r="AL470">
        <v>0</v>
      </c>
      <c r="AM470">
        <v>60000</v>
      </c>
      <c r="AN470" t="s">
        <v>205</v>
      </c>
      <c r="AO470" s="74" t="str">
        <f ca="1">IF(Table20[[#This Row],[Type]]="KILL",IF(_xlfn.NUMBERVALUE(RIGHT(Table20[[#This Row],[Min]],LEN(Table20[[#This Row],[Min]])-FIND("-",Table20[[#This Row],[Min]])))&gt;INDIRECT(ADDRESS(11+MATCH(LEFT(Table20[[#This Row],[Min]],FIND("-",Table20[[#This Row],[Min]])-1),Table1[Content Sku],0),18,1,1,"Entities")),"review","ok"),"ok")</f>
        <v>ok</v>
      </c>
    </row>
    <row r="471" spans="5:41" x14ac:dyDescent="0.25">
      <c r="E471" t="s">
        <v>396</v>
      </c>
      <c r="F471">
        <v>0</v>
      </c>
      <c r="G471">
        <v>0</v>
      </c>
      <c r="H471" t="s">
        <v>8</v>
      </c>
      <c r="I471" s="74" t="str">
        <f ca="1">IF(Table7[[#This Row],[Type]]="KILL",IF(_xlfn.NUMBERVALUE(RIGHT(Table7[[#This Row],[Min]],LEN(Table7[[#This Row],[Min]])-FIND("-",Table7[[#This Row],[Min]])))&gt;INDIRECT(ADDRESS(11+MATCH(LEFT(Table7[[#This Row],[Min]],FIND("-",Table7[[#This Row],[Min]])-1),Table1[Content Sku],0),16,1,1,"Entities")),"review","ok"),"ok")</f>
        <v>ok</v>
      </c>
      <c r="U471" t="s">
        <v>286</v>
      </c>
      <c r="V471">
        <v>0</v>
      </c>
      <c r="W471">
        <v>0</v>
      </c>
      <c r="X471" t="s">
        <v>8</v>
      </c>
      <c r="Y471" s="74" t="str">
        <f ca="1">IF(Table15[[#This Row],[Type]]="KILL",IF(_xlfn.NUMBERVALUE(RIGHT(Table15[[#This Row],[Min]],LEN(Table15[[#This Row],[Min]])-FIND("-",Table15[[#This Row],[Min]])))&gt;INDIRECT(ADDRESS(11+MATCH(LEFT(Table15[[#This Row],[Min]],FIND("-",Table15[[#This Row],[Min]])-1),Table1[Content Sku],0),16,1,1,"Entities")),"review","ok"),"ok")</f>
        <v>ok</v>
      </c>
      <c r="AK471" t="s">
        <v>311</v>
      </c>
      <c r="AL471">
        <v>0</v>
      </c>
      <c r="AM471">
        <v>34000</v>
      </c>
      <c r="AN471" t="s">
        <v>205</v>
      </c>
      <c r="AO471" s="74" t="str">
        <f ca="1">IF(Table20[[#This Row],[Type]]="KILL",IF(_xlfn.NUMBERVALUE(RIGHT(Table20[[#This Row],[Min]],LEN(Table20[[#This Row],[Min]])-FIND("-",Table20[[#This Row],[Min]])))&gt;INDIRECT(ADDRESS(11+MATCH(LEFT(Table20[[#This Row],[Min]],FIND("-",Table20[[#This Row],[Min]])-1),Table1[Content Sku],0),18,1,1,"Entities")),"review","ok"),"ok")</f>
        <v>ok</v>
      </c>
    </row>
    <row r="472" spans="5:41" x14ac:dyDescent="0.25">
      <c r="E472" t="s">
        <v>545</v>
      </c>
      <c r="F472">
        <v>0</v>
      </c>
      <c r="G472">
        <v>0</v>
      </c>
      <c r="H472" t="s">
        <v>8</v>
      </c>
      <c r="I472" s="74" t="str">
        <f ca="1">IF(Table7[[#This Row],[Type]]="KILL",IF(_xlfn.NUMBERVALUE(RIGHT(Table7[[#This Row],[Min]],LEN(Table7[[#This Row],[Min]])-FIND("-",Table7[[#This Row],[Min]])))&gt;INDIRECT(ADDRESS(11+MATCH(LEFT(Table7[[#This Row],[Min]],FIND("-",Table7[[#This Row],[Min]])-1),Table1[Content Sku],0),16,1,1,"Entities")),"review","ok"),"ok")</f>
        <v>ok</v>
      </c>
      <c r="U472" t="s">
        <v>2732</v>
      </c>
      <c r="V472">
        <v>0</v>
      </c>
      <c r="W472">
        <v>0</v>
      </c>
      <c r="X472" t="s">
        <v>8</v>
      </c>
      <c r="Y472" s="74" t="str">
        <f ca="1">IF(Table15[[#This Row],[Type]]="KILL",IF(_xlfn.NUMBERVALUE(RIGHT(Table15[[#This Row],[Min]],LEN(Table15[[#This Row],[Min]])-FIND("-",Table15[[#This Row],[Min]])))&gt;INDIRECT(ADDRESS(11+MATCH(LEFT(Table15[[#This Row],[Min]],FIND("-",Table15[[#This Row],[Min]])-1),Table1[Content Sku],0),16,1,1,"Entities")),"review","ok"),"ok")</f>
        <v>ok</v>
      </c>
      <c r="AK472" t="s">
        <v>37</v>
      </c>
      <c r="AL472">
        <v>0</v>
      </c>
      <c r="AM472">
        <v>0</v>
      </c>
      <c r="AN472" t="s">
        <v>8</v>
      </c>
      <c r="AO472" s="74" t="str">
        <f ca="1">IF(Table20[[#This Row],[Type]]="KILL",IF(_xlfn.NUMBERVALUE(RIGHT(Table20[[#This Row],[Min]],LEN(Table20[[#This Row],[Min]])-FIND("-",Table20[[#This Row],[Min]])))&gt;INDIRECT(ADDRESS(11+MATCH(LEFT(Table20[[#This Row],[Min]],FIND("-",Table20[[#This Row],[Min]])-1),Table1[Content Sku],0),18,1,1,"Entities")),"review","ok"),"ok")</f>
        <v>ok</v>
      </c>
    </row>
    <row r="473" spans="5:41" x14ac:dyDescent="0.25">
      <c r="E473" t="s">
        <v>37</v>
      </c>
      <c r="F473">
        <v>0</v>
      </c>
      <c r="G473">
        <v>0</v>
      </c>
      <c r="H473" t="s">
        <v>8</v>
      </c>
      <c r="I473" s="74" t="str">
        <f ca="1">IF(Table7[[#This Row],[Type]]="KILL",IF(_xlfn.NUMBERVALUE(RIGHT(Table7[[#This Row],[Min]],LEN(Table7[[#This Row],[Min]])-FIND("-",Table7[[#This Row],[Min]])))&gt;INDIRECT(ADDRESS(11+MATCH(LEFT(Table7[[#This Row],[Min]],FIND("-",Table7[[#This Row],[Min]])-1),Table1[Content Sku],0),16,1,1,"Entities")),"review","ok"),"ok")</f>
        <v>ok</v>
      </c>
      <c r="U473" t="s">
        <v>95</v>
      </c>
      <c r="V473">
        <v>0</v>
      </c>
      <c r="W473">
        <v>0</v>
      </c>
      <c r="X473" t="s">
        <v>8</v>
      </c>
      <c r="Y473" s="74" t="str">
        <f ca="1">IF(Table15[[#This Row],[Type]]="KILL",IF(_xlfn.NUMBERVALUE(RIGHT(Table15[[#This Row],[Min]],LEN(Table15[[#This Row],[Min]])-FIND("-",Table15[[#This Row],[Min]])))&gt;INDIRECT(ADDRESS(11+MATCH(LEFT(Table15[[#This Row],[Min]],FIND("-",Table15[[#This Row],[Min]])-1),Table1[Content Sku],0),16,1,1,"Entities")),"review","ok"),"ok")</f>
        <v>ok</v>
      </c>
      <c r="AK473" t="s">
        <v>4430</v>
      </c>
      <c r="AL473">
        <v>0</v>
      </c>
      <c r="AM473">
        <v>0</v>
      </c>
      <c r="AN473" t="s">
        <v>8</v>
      </c>
      <c r="AO473" s="74" t="str">
        <f ca="1">IF(Table20[[#This Row],[Type]]="KILL",IF(_xlfn.NUMBERVALUE(RIGHT(Table20[[#This Row],[Min]],LEN(Table20[[#This Row],[Min]])-FIND("-",Table20[[#This Row],[Min]])))&gt;INDIRECT(ADDRESS(11+MATCH(LEFT(Table20[[#This Row],[Min]],FIND("-",Table20[[#This Row],[Min]])-1),Table1[Content Sku],0),18,1,1,"Entities")),"review","ok"),"ok")</f>
        <v>ok</v>
      </c>
    </row>
    <row r="474" spans="5:41" x14ac:dyDescent="0.25">
      <c r="E474" t="s">
        <v>253</v>
      </c>
      <c r="F474">
        <v>0</v>
      </c>
      <c r="G474">
        <v>0</v>
      </c>
      <c r="H474" t="s">
        <v>8</v>
      </c>
      <c r="I474" s="74" t="str">
        <f ca="1">IF(Table7[[#This Row],[Type]]="KILL",IF(_xlfn.NUMBERVALUE(RIGHT(Table7[[#This Row],[Min]],LEN(Table7[[#This Row],[Min]])-FIND("-",Table7[[#This Row],[Min]])))&gt;INDIRECT(ADDRESS(11+MATCH(LEFT(Table7[[#This Row],[Min]],FIND("-",Table7[[#This Row],[Min]])-1),Table1[Content Sku],0),16,1,1,"Entities")),"review","ok"),"ok")</f>
        <v>ok</v>
      </c>
      <c r="U474" t="s">
        <v>392</v>
      </c>
      <c r="V474">
        <v>0</v>
      </c>
      <c r="W474">
        <v>0</v>
      </c>
      <c r="X474" t="s">
        <v>8</v>
      </c>
      <c r="Y474" s="74" t="str">
        <f ca="1">IF(Table15[[#This Row],[Type]]="KILL",IF(_xlfn.NUMBERVALUE(RIGHT(Table15[[#This Row],[Min]],LEN(Table15[[#This Row],[Min]])-FIND("-",Table15[[#This Row],[Min]])))&gt;INDIRECT(ADDRESS(11+MATCH(LEFT(Table15[[#This Row],[Min]],FIND("-",Table15[[#This Row],[Min]])-1),Table1[Content Sku],0),16,1,1,"Entities")),"review","ok"),"ok")</f>
        <v>ok</v>
      </c>
      <c r="AK474" t="s">
        <v>2767</v>
      </c>
      <c r="AL474">
        <v>0</v>
      </c>
      <c r="AM474">
        <v>0</v>
      </c>
      <c r="AN474" t="s">
        <v>8</v>
      </c>
      <c r="AO474" s="74" t="str">
        <f ca="1">IF(Table20[[#This Row],[Type]]="KILL",IF(_xlfn.NUMBERVALUE(RIGHT(Table20[[#This Row],[Min]],LEN(Table20[[#This Row],[Min]])-FIND("-",Table20[[#This Row],[Min]])))&gt;INDIRECT(ADDRESS(11+MATCH(LEFT(Table20[[#This Row],[Min]],FIND("-",Table20[[#This Row],[Min]])-1),Table1[Content Sku],0),18,1,1,"Entities")),"review","ok"),"ok")</f>
        <v>ok</v>
      </c>
    </row>
    <row r="475" spans="5:41" x14ac:dyDescent="0.25">
      <c r="E475" t="s">
        <v>313</v>
      </c>
      <c r="F475">
        <v>0</v>
      </c>
      <c r="G475">
        <v>25000</v>
      </c>
      <c r="H475" t="s">
        <v>205</v>
      </c>
      <c r="I475" s="74" t="str">
        <f ca="1">IF(Table7[[#This Row],[Type]]="KILL",IF(_xlfn.NUMBERVALUE(RIGHT(Table7[[#This Row],[Min]],LEN(Table7[[#This Row],[Min]])-FIND("-",Table7[[#This Row],[Min]])))&gt;INDIRECT(ADDRESS(11+MATCH(LEFT(Table7[[#This Row],[Min]],FIND("-",Table7[[#This Row],[Min]])-1),Table1[Content Sku],0),16,1,1,"Entities")),"review","ok"),"ok")</f>
        <v>ok</v>
      </c>
      <c r="U475" t="s">
        <v>7991</v>
      </c>
      <c r="V475">
        <v>0</v>
      </c>
      <c r="W475">
        <v>0</v>
      </c>
      <c r="X475" t="s">
        <v>8</v>
      </c>
      <c r="Y475" s="74" t="str">
        <f ca="1">IF(Table15[[#This Row],[Type]]="KILL",IF(_xlfn.NUMBERVALUE(RIGHT(Table15[[#This Row],[Min]],LEN(Table15[[#This Row],[Min]])-FIND("-",Table15[[#This Row],[Min]])))&gt;INDIRECT(ADDRESS(11+MATCH(LEFT(Table15[[#This Row],[Min]],FIND("-",Table15[[#This Row],[Min]])-1),Table1[Content Sku],0),16,1,1,"Entities")),"review","ok"),"ok")</f>
        <v>ok</v>
      </c>
      <c r="AK475" t="s">
        <v>2667</v>
      </c>
      <c r="AL475">
        <v>0</v>
      </c>
      <c r="AM475">
        <v>0</v>
      </c>
      <c r="AN475" t="s">
        <v>8</v>
      </c>
      <c r="AO475" s="74" t="str">
        <f ca="1">IF(Table20[[#This Row],[Type]]="KILL",IF(_xlfn.NUMBERVALUE(RIGHT(Table20[[#This Row],[Min]],LEN(Table20[[#This Row],[Min]])-FIND("-",Table20[[#This Row],[Min]])))&gt;INDIRECT(ADDRESS(11+MATCH(LEFT(Table20[[#This Row],[Min]],FIND("-",Table20[[#This Row],[Min]])-1),Table1[Content Sku],0),18,1,1,"Entities")),"review","ok"),"ok")</f>
        <v>ok</v>
      </c>
    </row>
    <row r="476" spans="5:41" x14ac:dyDescent="0.25">
      <c r="E476" t="s">
        <v>313</v>
      </c>
      <c r="F476">
        <v>0</v>
      </c>
      <c r="G476">
        <v>0</v>
      </c>
      <c r="H476" t="s">
        <v>8</v>
      </c>
      <c r="I476" s="74" t="str">
        <f ca="1">IF(Table7[[#This Row],[Type]]="KILL",IF(_xlfn.NUMBERVALUE(RIGHT(Table7[[#This Row],[Min]],LEN(Table7[[#This Row],[Min]])-FIND("-",Table7[[#This Row],[Min]])))&gt;INDIRECT(ADDRESS(11+MATCH(LEFT(Table7[[#This Row],[Min]],FIND("-",Table7[[#This Row],[Min]])-1),Table1[Content Sku],0),16,1,1,"Entities")),"review","ok"),"ok")</f>
        <v>ok</v>
      </c>
      <c r="U476" t="s">
        <v>280</v>
      </c>
      <c r="V476">
        <v>0</v>
      </c>
      <c r="W476">
        <v>0</v>
      </c>
      <c r="X476" t="s">
        <v>8</v>
      </c>
      <c r="Y476" s="74" t="str">
        <f ca="1">IF(Table15[[#This Row],[Type]]="KILL",IF(_xlfn.NUMBERVALUE(RIGHT(Table15[[#This Row],[Min]],LEN(Table15[[#This Row],[Min]])-FIND("-",Table15[[#This Row],[Min]])))&gt;INDIRECT(ADDRESS(11+MATCH(LEFT(Table15[[#This Row],[Min]],FIND("-",Table15[[#This Row],[Min]])-1),Table1[Content Sku],0),16,1,1,"Entities")),"review","ok"),"ok")</f>
        <v>ok</v>
      </c>
      <c r="AK476" t="s">
        <v>313</v>
      </c>
      <c r="AL476">
        <v>0</v>
      </c>
      <c r="AM476">
        <v>0</v>
      </c>
      <c r="AN476" t="s">
        <v>8</v>
      </c>
      <c r="AO476" s="74" t="str">
        <f ca="1">IF(Table20[[#This Row],[Type]]="KILL",IF(_xlfn.NUMBERVALUE(RIGHT(Table20[[#This Row],[Min]],LEN(Table20[[#This Row],[Min]])-FIND("-",Table20[[#This Row],[Min]])))&gt;INDIRECT(ADDRESS(11+MATCH(LEFT(Table20[[#This Row],[Min]],FIND("-",Table20[[#This Row],[Min]])-1),Table1[Content Sku],0),18,1,1,"Entities")),"review","ok"),"ok")</f>
        <v>ok</v>
      </c>
    </row>
    <row r="477" spans="5:41" x14ac:dyDescent="0.25">
      <c r="E477" t="s">
        <v>336</v>
      </c>
      <c r="F477">
        <v>17000</v>
      </c>
      <c r="G477">
        <v>0</v>
      </c>
      <c r="H477" t="s">
        <v>205</v>
      </c>
      <c r="I477" s="74" t="str">
        <f ca="1">IF(Table7[[#This Row],[Type]]="KILL",IF(_xlfn.NUMBERVALUE(RIGHT(Table7[[#This Row],[Min]],LEN(Table7[[#This Row],[Min]])-FIND("-",Table7[[#This Row],[Min]])))&gt;INDIRECT(ADDRESS(11+MATCH(LEFT(Table7[[#This Row],[Min]],FIND("-",Table7[[#This Row],[Min]])-1),Table1[Content Sku],0),16,1,1,"Entities")),"review","ok"),"ok")</f>
        <v>ok</v>
      </c>
      <c r="U477" t="s">
        <v>313</v>
      </c>
      <c r="V477">
        <v>0</v>
      </c>
      <c r="W477">
        <v>0</v>
      </c>
      <c r="X477" t="s">
        <v>8</v>
      </c>
      <c r="Y477" s="74" t="str">
        <f ca="1">IF(Table15[[#This Row],[Type]]="KILL",IF(_xlfn.NUMBERVALUE(RIGHT(Table15[[#This Row],[Min]],LEN(Table15[[#This Row],[Min]])-FIND("-",Table15[[#This Row],[Min]])))&gt;INDIRECT(ADDRESS(11+MATCH(LEFT(Table15[[#This Row],[Min]],FIND("-",Table15[[#This Row],[Min]])-1),Table1[Content Sku],0),16,1,1,"Entities")),"review","ok"),"ok")</f>
        <v>ok</v>
      </c>
      <c r="AK477" t="s">
        <v>545</v>
      </c>
      <c r="AL477">
        <v>0</v>
      </c>
      <c r="AM477">
        <v>0</v>
      </c>
      <c r="AN477" t="s">
        <v>8</v>
      </c>
      <c r="AO477" s="74" t="str">
        <f ca="1">IF(Table20[[#This Row],[Type]]="KILL",IF(_xlfn.NUMBERVALUE(RIGHT(Table20[[#This Row],[Min]],LEN(Table20[[#This Row],[Min]])-FIND("-",Table20[[#This Row],[Min]])))&gt;INDIRECT(ADDRESS(11+MATCH(LEFT(Table20[[#This Row],[Min]],FIND("-",Table20[[#This Row],[Min]])-1),Table1[Content Sku],0),18,1,1,"Entities")),"review","ok"),"ok")</f>
        <v>ok</v>
      </c>
    </row>
    <row r="478" spans="5:41" x14ac:dyDescent="0.25">
      <c r="E478" t="s">
        <v>40</v>
      </c>
      <c r="F478">
        <v>0</v>
      </c>
      <c r="G478">
        <v>0</v>
      </c>
      <c r="H478" t="s">
        <v>8</v>
      </c>
      <c r="I478" s="74" t="str">
        <f ca="1">IF(Table7[[#This Row],[Type]]="KILL",IF(_xlfn.NUMBERVALUE(RIGHT(Table7[[#This Row],[Min]],LEN(Table7[[#This Row],[Min]])-FIND("-",Table7[[#This Row],[Min]])))&gt;INDIRECT(ADDRESS(11+MATCH(LEFT(Table7[[#This Row],[Min]],FIND("-",Table7[[#This Row],[Min]])-1),Table1[Content Sku],0),16,1,1,"Entities")),"review","ok"),"ok")</f>
        <v>ok</v>
      </c>
      <c r="U478" t="s">
        <v>1</v>
      </c>
      <c r="V478">
        <v>40000</v>
      </c>
      <c r="W478">
        <v>0</v>
      </c>
      <c r="X478" t="s">
        <v>205</v>
      </c>
      <c r="Y478" s="74" t="str">
        <f ca="1">IF(Table15[[#This Row],[Type]]="KILL",IF(_xlfn.NUMBERVALUE(RIGHT(Table15[[#This Row],[Min]],LEN(Table15[[#This Row],[Min]])-FIND("-",Table15[[#This Row],[Min]])))&gt;INDIRECT(ADDRESS(11+MATCH(LEFT(Table15[[#This Row],[Min]],FIND("-",Table15[[#This Row],[Min]])-1),Table1[Content Sku],0),16,1,1,"Entities")),"review","ok"),"ok")</f>
        <v>ok</v>
      </c>
      <c r="AK478" t="s">
        <v>2672</v>
      </c>
      <c r="AL478" t="s">
        <v>5008</v>
      </c>
      <c r="AM478" t="s">
        <v>4467</v>
      </c>
      <c r="AN478" t="s">
        <v>4468</v>
      </c>
      <c r="AO478" s="74" t="str">
        <f ca="1">IF(Table20[[#This Row],[Type]]="KILL",IF(_xlfn.NUMBERVALUE(RIGHT(Table20[[#This Row],[Min]],LEN(Table20[[#This Row],[Min]])-FIND("-",Table20[[#This Row],[Min]])))&gt;INDIRECT(ADDRESS(11+MATCH(LEFT(Table20[[#This Row],[Min]],FIND("-",Table20[[#This Row],[Min]])-1),Table1[Content Sku],0),18,1,1,"Entities")),"review","ok"),"ok")</f>
        <v>ok</v>
      </c>
    </row>
    <row r="479" spans="5:41" x14ac:dyDescent="0.25">
      <c r="E479" t="s">
        <v>90</v>
      </c>
      <c r="F479">
        <v>0</v>
      </c>
      <c r="G479">
        <v>0</v>
      </c>
      <c r="H479" t="s">
        <v>8</v>
      </c>
      <c r="I479" s="74" t="str">
        <f ca="1">IF(Table7[[#This Row],[Type]]="KILL",IF(_xlfn.NUMBERVALUE(RIGHT(Table7[[#This Row],[Min]],LEN(Table7[[#This Row],[Min]])-FIND("-",Table7[[#This Row],[Min]])))&gt;INDIRECT(ADDRESS(11+MATCH(LEFT(Table7[[#This Row],[Min]],FIND("-",Table7[[#This Row],[Min]])-1),Table1[Content Sku],0),16,1,1,"Entities")),"review","ok"),"ok")</f>
        <v>ok</v>
      </c>
      <c r="U479" t="s">
        <v>313</v>
      </c>
      <c r="V479">
        <v>0</v>
      </c>
      <c r="W479">
        <v>0</v>
      </c>
      <c r="X479" t="s">
        <v>8</v>
      </c>
      <c r="Y479" s="74" t="str">
        <f ca="1">IF(Table15[[#This Row],[Type]]="KILL",IF(_xlfn.NUMBERVALUE(RIGHT(Table15[[#This Row],[Min]],LEN(Table15[[#This Row],[Min]])-FIND("-",Table15[[#This Row],[Min]])))&gt;INDIRECT(ADDRESS(11+MATCH(LEFT(Table15[[#This Row],[Min]],FIND("-",Table15[[#This Row],[Min]])-1),Table1[Content Sku],0),16,1,1,"Entities")),"review","ok"),"ok")</f>
        <v>ok</v>
      </c>
      <c r="AK479" t="s">
        <v>482</v>
      </c>
      <c r="AL479">
        <v>0</v>
      </c>
      <c r="AM479">
        <v>0</v>
      </c>
      <c r="AN479" t="s">
        <v>8</v>
      </c>
      <c r="AO479" s="74" t="str">
        <f ca="1">IF(Table20[[#This Row],[Type]]="KILL",IF(_xlfn.NUMBERVALUE(RIGHT(Table20[[#This Row],[Min]],LEN(Table20[[#This Row],[Min]])-FIND("-",Table20[[#This Row],[Min]])))&gt;INDIRECT(ADDRESS(11+MATCH(LEFT(Table20[[#This Row],[Min]],FIND("-",Table20[[#This Row],[Min]])-1),Table1[Content Sku],0),18,1,1,"Entities")),"review","ok"),"ok")</f>
        <v>ok</v>
      </c>
    </row>
    <row r="480" spans="5:41" x14ac:dyDescent="0.25">
      <c r="E480" t="s">
        <v>311</v>
      </c>
      <c r="F480">
        <v>0</v>
      </c>
      <c r="G480">
        <v>0</v>
      </c>
      <c r="H480" t="s">
        <v>8</v>
      </c>
      <c r="I480" s="74" t="str">
        <f ca="1">IF(Table7[[#This Row],[Type]]="KILL",IF(_xlfn.NUMBERVALUE(RIGHT(Table7[[#This Row],[Min]],LEN(Table7[[#This Row],[Min]])-FIND("-",Table7[[#This Row],[Min]])))&gt;INDIRECT(ADDRESS(11+MATCH(LEFT(Table7[[#This Row],[Min]],FIND("-",Table7[[#This Row],[Min]])-1),Table1[Content Sku],0),16,1,1,"Entities")),"review","ok"),"ok")</f>
        <v>ok</v>
      </c>
      <c r="U480" t="s">
        <v>313</v>
      </c>
      <c r="V480">
        <v>0</v>
      </c>
      <c r="W480">
        <v>0</v>
      </c>
      <c r="X480" t="s">
        <v>8</v>
      </c>
      <c r="Y480" s="74" t="str">
        <f ca="1">IF(Table15[[#This Row],[Type]]="KILL",IF(_xlfn.NUMBERVALUE(RIGHT(Table15[[#This Row],[Min]],LEN(Table15[[#This Row],[Min]])-FIND("-",Table15[[#This Row],[Min]])))&gt;INDIRECT(ADDRESS(11+MATCH(LEFT(Table15[[#This Row],[Min]],FIND("-",Table15[[#This Row],[Min]])-1),Table1[Content Sku],0),16,1,1,"Entities")),"review","ok"),"ok")</f>
        <v>ok</v>
      </c>
      <c r="AK480" t="s">
        <v>2673</v>
      </c>
      <c r="AL480" t="s">
        <v>4469</v>
      </c>
      <c r="AM480" t="s">
        <v>4474</v>
      </c>
      <c r="AN480" t="s">
        <v>4468</v>
      </c>
      <c r="AO480" s="74" t="str">
        <f ca="1">IF(Table20[[#This Row],[Type]]="KILL",IF(_xlfn.NUMBERVALUE(RIGHT(Table20[[#This Row],[Min]],LEN(Table20[[#This Row],[Min]])-FIND("-",Table20[[#This Row],[Min]])))&gt;INDIRECT(ADDRESS(11+MATCH(LEFT(Table20[[#This Row],[Min]],FIND("-",Table20[[#This Row],[Min]])-1),Table1[Content Sku],0),18,1,1,"Entities")),"review","ok"),"ok")</f>
        <v>ok</v>
      </c>
    </row>
    <row r="481" spans="5:41" x14ac:dyDescent="0.25">
      <c r="E481" t="s">
        <v>548</v>
      </c>
      <c r="F481">
        <v>0</v>
      </c>
      <c r="G481">
        <v>0</v>
      </c>
      <c r="H481" t="s">
        <v>8</v>
      </c>
      <c r="I481" s="74" t="str">
        <f ca="1">IF(Table7[[#This Row],[Type]]="KILL",IF(_xlfn.NUMBERVALUE(RIGHT(Table7[[#This Row],[Min]],LEN(Table7[[#This Row],[Min]])-FIND("-",Table7[[#This Row],[Min]])))&gt;INDIRECT(ADDRESS(11+MATCH(LEFT(Table7[[#This Row],[Min]],FIND("-",Table7[[#This Row],[Min]])-1),Table1[Content Sku],0),16,1,1,"Entities")),"review","ok"),"ok")</f>
        <v>ok</v>
      </c>
      <c r="U481" t="s">
        <v>254</v>
      </c>
      <c r="V481">
        <v>12100</v>
      </c>
      <c r="W481">
        <v>30000</v>
      </c>
      <c r="X481" t="s">
        <v>205</v>
      </c>
      <c r="Y481" s="74" t="str">
        <f ca="1">IF(Table15[[#This Row],[Type]]="KILL",IF(_xlfn.NUMBERVALUE(RIGHT(Table15[[#This Row],[Min]],LEN(Table15[[#This Row],[Min]])-FIND("-",Table15[[#This Row],[Min]])))&gt;INDIRECT(ADDRESS(11+MATCH(LEFT(Table15[[#This Row],[Min]],FIND("-",Table15[[#This Row],[Min]])-1),Table1[Content Sku],0),16,1,1,"Entities")),"review","ok"),"ok")</f>
        <v>ok</v>
      </c>
      <c r="AK481" t="s">
        <v>2767</v>
      </c>
      <c r="AL481">
        <v>0</v>
      </c>
      <c r="AM481">
        <v>0</v>
      </c>
      <c r="AN481" t="s">
        <v>8</v>
      </c>
      <c r="AO481" s="74" t="str">
        <f ca="1">IF(Table20[[#This Row],[Type]]="KILL",IF(_xlfn.NUMBERVALUE(RIGHT(Table20[[#This Row],[Min]],LEN(Table20[[#This Row],[Min]])-FIND("-",Table20[[#This Row],[Min]])))&gt;INDIRECT(ADDRESS(11+MATCH(LEFT(Table20[[#This Row],[Min]],FIND("-",Table20[[#This Row],[Min]])-1),Table1[Content Sku],0),18,1,1,"Entities")),"review","ok"),"ok")</f>
        <v>ok</v>
      </c>
    </row>
    <row r="482" spans="5:41" x14ac:dyDescent="0.25">
      <c r="E482" t="s">
        <v>418</v>
      </c>
      <c r="F482">
        <v>0</v>
      </c>
      <c r="G482">
        <v>0</v>
      </c>
      <c r="H482" t="s">
        <v>8</v>
      </c>
      <c r="I482" s="74" t="str">
        <f ca="1">IF(Table7[[#This Row],[Type]]="KILL",IF(_xlfn.NUMBERVALUE(RIGHT(Table7[[#This Row],[Min]],LEN(Table7[[#This Row],[Min]])-FIND("-",Table7[[#This Row],[Min]])))&gt;INDIRECT(ADDRESS(11+MATCH(LEFT(Table7[[#This Row],[Min]],FIND("-",Table7[[#This Row],[Min]])-1),Table1[Content Sku],0),16,1,1,"Entities")),"review","ok"),"ok")</f>
        <v>ok</v>
      </c>
      <c r="U482" t="s">
        <v>309</v>
      </c>
      <c r="V482">
        <v>0</v>
      </c>
      <c r="W482">
        <v>0</v>
      </c>
      <c r="X482" t="s">
        <v>8</v>
      </c>
      <c r="Y482" s="74" t="str">
        <f ca="1">IF(Table15[[#This Row],[Type]]="KILL",IF(_xlfn.NUMBERVALUE(RIGHT(Table15[[#This Row],[Min]],LEN(Table15[[#This Row],[Min]])-FIND("-",Table15[[#This Row],[Min]])))&gt;INDIRECT(ADDRESS(11+MATCH(LEFT(Table15[[#This Row],[Min]],FIND("-",Table15[[#This Row],[Min]])-1),Table1[Content Sku],0),16,1,1,"Entities")),"review","ok"),"ok")</f>
        <v>ok</v>
      </c>
      <c r="AK482" t="s">
        <v>2662</v>
      </c>
      <c r="AL482">
        <v>38500</v>
      </c>
      <c r="AM482">
        <v>0</v>
      </c>
      <c r="AN482" t="s">
        <v>205</v>
      </c>
      <c r="AO482" s="74" t="str">
        <f ca="1">IF(Table20[[#This Row],[Type]]="KILL",IF(_xlfn.NUMBERVALUE(RIGHT(Table20[[#This Row],[Min]],LEN(Table20[[#This Row],[Min]])-FIND("-",Table20[[#This Row],[Min]])))&gt;INDIRECT(ADDRESS(11+MATCH(LEFT(Table20[[#This Row],[Min]],FIND("-",Table20[[#This Row],[Min]])-1),Table1[Content Sku],0),18,1,1,"Entities")),"review","ok"),"ok")</f>
        <v>ok</v>
      </c>
    </row>
    <row r="483" spans="5:41" x14ac:dyDescent="0.25">
      <c r="E483" t="s">
        <v>313</v>
      </c>
      <c r="F483">
        <v>0</v>
      </c>
      <c r="G483">
        <v>11000</v>
      </c>
      <c r="H483" t="s">
        <v>205</v>
      </c>
      <c r="I483" s="74" t="str">
        <f ca="1">IF(Table7[[#This Row],[Type]]="KILL",IF(_xlfn.NUMBERVALUE(RIGHT(Table7[[#This Row],[Min]],LEN(Table7[[#This Row],[Min]])-FIND("-",Table7[[#This Row],[Min]])))&gt;INDIRECT(ADDRESS(11+MATCH(LEFT(Table7[[#This Row],[Min]],FIND("-",Table7[[#This Row],[Min]])-1),Table1[Content Sku],0),16,1,1,"Entities")),"review","ok"),"ok")</f>
        <v>ok</v>
      </c>
      <c r="U483" t="s">
        <v>95</v>
      </c>
      <c r="V483">
        <v>0</v>
      </c>
      <c r="W483">
        <v>0</v>
      </c>
      <c r="X483" t="s">
        <v>8</v>
      </c>
      <c r="Y483" s="74" t="str">
        <f ca="1">IF(Table15[[#This Row],[Type]]="KILL",IF(_xlfn.NUMBERVALUE(RIGHT(Table15[[#This Row],[Min]],LEN(Table15[[#This Row],[Min]])-FIND("-",Table15[[#This Row],[Min]])))&gt;INDIRECT(ADDRESS(11+MATCH(LEFT(Table15[[#This Row],[Min]],FIND("-",Table15[[#This Row],[Min]])-1),Table1[Content Sku],0),16,1,1,"Entities")),"review","ok"),"ok")</f>
        <v>ok</v>
      </c>
      <c r="AK483" t="s">
        <v>2741</v>
      </c>
      <c r="AL483">
        <v>0</v>
      </c>
      <c r="AM483">
        <v>0</v>
      </c>
      <c r="AN483" t="s">
        <v>8</v>
      </c>
      <c r="AO483" s="74" t="str">
        <f ca="1">IF(Table20[[#This Row],[Type]]="KILL",IF(_xlfn.NUMBERVALUE(RIGHT(Table20[[#This Row],[Min]],LEN(Table20[[#This Row],[Min]])-FIND("-",Table20[[#This Row],[Min]])))&gt;INDIRECT(ADDRESS(11+MATCH(LEFT(Table20[[#This Row],[Min]],FIND("-",Table20[[#This Row],[Min]])-1),Table1[Content Sku],0),18,1,1,"Entities")),"review","ok"),"ok")</f>
        <v>ok</v>
      </c>
    </row>
    <row r="484" spans="5:41" x14ac:dyDescent="0.25">
      <c r="E484" t="s">
        <v>2443</v>
      </c>
      <c r="F484">
        <v>0</v>
      </c>
      <c r="G484">
        <v>0</v>
      </c>
      <c r="H484" t="s">
        <v>8</v>
      </c>
      <c r="I484" s="74" t="str">
        <f ca="1">IF(Table7[[#This Row],[Type]]="KILL",IF(_xlfn.NUMBERVALUE(RIGHT(Table7[[#This Row],[Min]],LEN(Table7[[#This Row],[Min]])-FIND("-",Table7[[#This Row],[Min]])))&gt;INDIRECT(ADDRESS(11+MATCH(LEFT(Table7[[#This Row],[Min]],FIND("-",Table7[[#This Row],[Min]])-1),Table1[Content Sku],0),16,1,1,"Entities")),"review","ok"),"ok")</f>
        <v>ok</v>
      </c>
      <c r="U484" t="s">
        <v>545</v>
      </c>
      <c r="V484">
        <v>0</v>
      </c>
      <c r="W484">
        <v>0</v>
      </c>
      <c r="X484" t="s">
        <v>8</v>
      </c>
      <c r="Y484" s="74" t="str">
        <f ca="1">IF(Table15[[#This Row],[Type]]="KILL",IF(_xlfn.NUMBERVALUE(RIGHT(Table15[[#This Row],[Min]],LEN(Table15[[#This Row],[Min]])-FIND("-",Table15[[#This Row],[Min]])))&gt;INDIRECT(ADDRESS(11+MATCH(LEFT(Table15[[#This Row],[Min]],FIND("-",Table15[[#This Row],[Min]])-1),Table1[Content Sku],0),16,1,1,"Entities")),"review","ok"),"ok")</f>
        <v>ok</v>
      </c>
      <c r="AK484" t="s">
        <v>2736</v>
      </c>
      <c r="AL484">
        <v>0</v>
      </c>
      <c r="AM484">
        <v>0</v>
      </c>
      <c r="AN484" t="s">
        <v>8</v>
      </c>
      <c r="AO484" s="74" t="str">
        <f ca="1">IF(Table20[[#This Row],[Type]]="KILL",IF(_xlfn.NUMBERVALUE(RIGHT(Table20[[#This Row],[Min]],LEN(Table20[[#This Row],[Min]])-FIND("-",Table20[[#This Row],[Min]])))&gt;INDIRECT(ADDRESS(11+MATCH(LEFT(Table20[[#This Row],[Min]],FIND("-",Table20[[#This Row],[Min]])-1),Table1[Content Sku],0),18,1,1,"Entities")),"review","ok"),"ok")</f>
        <v>ok</v>
      </c>
    </row>
    <row r="485" spans="5:41" x14ac:dyDescent="0.25">
      <c r="E485" t="s">
        <v>253</v>
      </c>
      <c r="F485">
        <v>0</v>
      </c>
      <c r="G485">
        <v>25000</v>
      </c>
      <c r="H485" t="s">
        <v>205</v>
      </c>
      <c r="I485" s="74" t="str">
        <f ca="1">IF(Table7[[#This Row],[Type]]="KILL",IF(_xlfn.NUMBERVALUE(RIGHT(Table7[[#This Row],[Min]],LEN(Table7[[#This Row],[Min]])-FIND("-",Table7[[#This Row],[Min]])))&gt;INDIRECT(ADDRESS(11+MATCH(LEFT(Table7[[#This Row],[Min]],FIND("-",Table7[[#This Row],[Min]])-1),Table1[Content Sku],0),16,1,1,"Entities")),"review","ok"),"ok")</f>
        <v>ok</v>
      </c>
      <c r="U485" t="s">
        <v>313</v>
      </c>
      <c r="V485">
        <v>19000</v>
      </c>
      <c r="W485">
        <v>0</v>
      </c>
      <c r="X485" t="s">
        <v>205</v>
      </c>
      <c r="Y485" s="74" t="str">
        <f ca="1">IF(Table15[[#This Row],[Type]]="KILL",IF(_xlfn.NUMBERVALUE(RIGHT(Table15[[#This Row],[Min]],LEN(Table15[[#This Row],[Min]])-FIND("-",Table15[[#This Row],[Min]])))&gt;INDIRECT(ADDRESS(11+MATCH(LEFT(Table15[[#This Row],[Min]],FIND("-",Table15[[#This Row],[Min]])-1),Table1[Content Sku],0),16,1,1,"Entities")),"review","ok"),"ok")</f>
        <v>ok</v>
      </c>
      <c r="AK485" t="s">
        <v>2672</v>
      </c>
      <c r="AL485">
        <v>0</v>
      </c>
      <c r="AM485">
        <v>0</v>
      </c>
      <c r="AN485" t="s">
        <v>8</v>
      </c>
      <c r="AO485" s="74" t="str">
        <f ca="1">IF(Table20[[#This Row],[Type]]="KILL",IF(_xlfn.NUMBERVALUE(RIGHT(Table20[[#This Row],[Min]],LEN(Table20[[#This Row],[Min]])-FIND("-",Table20[[#This Row],[Min]])))&gt;INDIRECT(ADDRESS(11+MATCH(LEFT(Table20[[#This Row],[Min]],FIND("-",Table20[[#This Row],[Min]])-1),Table1[Content Sku],0),18,1,1,"Entities")),"review","ok"),"ok")</f>
        <v>ok</v>
      </c>
    </row>
    <row r="486" spans="5:41" x14ac:dyDescent="0.25">
      <c r="E486" t="s">
        <v>44</v>
      </c>
      <c r="F486">
        <v>0</v>
      </c>
      <c r="G486">
        <v>0</v>
      </c>
      <c r="H486" t="s">
        <v>8</v>
      </c>
      <c r="I486" s="74" t="str">
        <f ca="1">IF(Table7[[#This Row],[Type]]="KILL",IF(_xlfn.NUMBERVALUE(RIGHT(Table7[[#This Row],[Min]],LEN(Table7[[#This Row],[Min]])-FIND("-",Table7[[#This Row],[Min]])))&gt;INDIRECT(ADDRESS(11+MATCH(LEFT(Table7[[#This Row],[Min]],FIND("-",Table7[[#This Row],[Min]])-1),Table1[Content Sku],0),16,1,1,"Entities")),"review","ok"),"ok")</f>
        <v>ok</v>
      </c>
      <c r="U486" t="s">
        <v>545</v>
      </c>
      <c r="V486">
        <v>0</v>
      </c>
      <c r="W486">
        <v>0</v>
      </c>
      <c r="X486" t="s">
        <v>8</v>
      </c>
      <c r="Y486" s="74" t="str">
        <f ca="1">IF(Table15[[#This Row],[Type]]="KILL",IF(_xlfn.NUMBERVALUE(RIGHT(Table15[[#This Row],[Min]],LEN(Table15[[#This Row],[Min]])-FIND("-",Table15[[#This Row],[Min]])))&gt;INDIRECT(ADDRESS(11+MATCH(LEFT(Table15[[#This Row],[Min]],FIND("-",Table15[[#This Row],[Min]])-1),Table1[Content Sku],0),16,1,1,"Entities")),"review","ok"),"ok")</f>
        <v>ok</v>
      </c>
      <c r="AK486" t="s">
        <v>46</v>
      </c>
      <c r="AL486">
        <v>0</v>
      </c>
      <c r="AM486">
        <v>0</v>
      </c>
      <c r="AN486" t="s">
        <v>8</v>
      </c>
      <c r="AO486" s="74" t="str">
        <f ca="1">IF(Table20[[#This Row],[Type]]="KILL",IF(_xlfn.NUMBERVALUE(RIGHT(Table20[[#This Row],[Min]],LEN(Table20[[#This Row],[Min]])-FIND("-",Table20[[#This Row],[Min]])))&gt;INDIRECT(ADDRESS(11+MATCH(LEFT(Table20[[#This Row],[Min]],FIND("-",Table20[[#This Row],[Min]])-1),Table1[Content Sku],0),18,1,1,"Entities")),"review","ok"),"ok")</f>
        <v>ok</v>
      </c>
    </row>
    <row r="487" spans="5:41" x14ac:dyDescent="0.25">
      <c r="E487" t="s">
        <v>39</v>
      </c>
      <c r="F487">
        <v>0</v>
      </c>
      <c r="G487">
        <v>0</v>
      </c>
      <c r="H487" t="s">
        <v>8</v>
      </c>
      <c r="I487" s="74" t="str">
        <f ca="1">IF(Table7[[#This Row],[Type]]="KILL",IF(_xlfn.NUMBERVALUE(RIGHT(Table7[[#This Row],[Min]],LEN(Table7[[#This Row],[Min]])-FIND("-",Table7[[#This Row],[Min]])))&gt;INDIRECT(ADDRESS(11+MATCH(LEFT(Table7[[#This Row],[Min]],FIND("-",Table7[[#This Row],[Min]])-1),Table1[Content Sku],0),16,1,1,"Entities")),"review","ok"),"ok")</f>
        <v>ok</v>
      </c>
      <c r="U487" t="s">
        <v>391</v>
      </c>
      <c r="V487">
        <v>0</v>
      </c>
      <c r="W487">
        <v>0</v>
      </c>
      <c r="X487" t="s">
        <v>8</v>
      </c>
      <c r="Y487" s="74" t="str">
        <f ca="1">IF(Table15[[#This Row],[Type]]="KILL",IF(_xlfn.NUMBERVALUE(RIGHT(Table15[[#This Row],[Min]],LEN(Table15[[#This Row],[Min]])-FIND("-",Table15[[#This Row],[Min]])))&gt;INDIRECT(ADDRESS(11+MATCH(LEFT(Table15[[#This Row],[Min]],FIND("-",Table15[[#This Row],[Min]])-1),Table1[Content Sku],0),16,1,1,"Entities")),"review","ok"),"ok")</f>
        <v>ok</v>
      </c>
      <c r="AK487" t="s">
        <v>37</v>
      </c>
      <c r="AL487">
        <v>0</v>
      </c>
      <c r="AM487">
        <v>0</v>
      </c>
      <c r="AN487" t="s">
        <v>8</v>
      </c>
      <c r="AO487" s="74" t="str">
        <f ca="1">IF(Table20[[#This Row],[Type]]="KILL",IF(_xlfn.NUMBERVALUE(RIGHT(Table20[[#This Row],[Min]],LEN(Table20[[#This Row],[Min]])-FIND("-",Table20[[#This Row],[Min]])))&gt;INDIRECT(ADDRESS(11+MATCH(LEFT(Table20[[#This Row],[Min]],FIND("-",Table20[[#This Row],[Min]])-1),Table1[Content Sku],0),18,1,1,"Entities")),"review","ok"),"ok")</f>
        <v>ok</v>
      </c>
    </row>
    <row r="488" spans="5:41" x14ac:dyDescent="0.25">
      <c r="E488" t="s">
        <v>276</v>
      </c>
      <c r="F488">
        <v>0</v>
      </c>
      <c r="G488">
        <v>0</v>
      </c>
      <c r="H488" t="s">
        <v>8</v>
      </c>
      <c r="I488" s="74" t="str">
        <f ca="1">IF(Table7[[#This Row],[Type]]="KILL",IF(_xlfn.NUMBERVALUE(RIGHT(Table7[[#This Row],[Min]],LEN(Table7[[#This Row],[Min]])-FIND("-",Table7[[#This Row],[Min]])))&gt;INDIRECT(ADDRESS(11+MATCH(LEFT(Table7[[#This Row],[Min]],FIND("-",Table7[[#This Row],[Min]])-1),Table1[Content Sku],0),16,1,1,"Entities")),"review","ok"),"ok")</f>
        <v>ok</v>
      </c>
      <c r="U488" t="s">
        <v>306</v>
      </c>
      <c r="V488">
        <v>22000</v>
      </c>
      <c r="W488">
        <v>0</v>
      </c>
      <c r="X488" t="s">
        <v>205</v>
      </c>
      <c r="Y488" s="74" t="str">
        <f ca="1">IF(Table15[[#This Row],[Type]]="KILL",IF(_xlfn.NUMBERVALUE(RIGHT(Table15[[#This Row],[Min]],LEN(Table15[[#This Row],[Min]])-FIND("-",Table15[[#This Row],[Min]])))&gt;INDIRECT(ADDRESS(11+MATCH(LEFT(Table15[[#This Row],[Min]],FIND("-",Table15[[#This Row],[Min]])-1),Table1[Content Sku],0),16,1,1,"Entities")),"review","ok"),"ok")</f>
        <v>ok</v>
      </c>
      <c r="AK488" t="s">
        <v>95</v>
      </c>
      <c r="AL488">
        <v>0</v>
      </c>
      <c r="AM488">
        <v>0</v>
      </c>
      <c r="AN488" t="s">
        <v>8</v>
      </c>
      <c r="AO488" s="74" t="str">
        <f ca="1">IF(Table20[[#This Row],[Type]]="KILL",IF(_xlfn.NUMBERVALUE(RIGHT(Table20[[#This Row],[Min]],LEN(Table20[[#This Row],[Min]])-FIND("-",Table20[[#This Row],[Min]])))&gt;INDIRECT(ADDRESS(11+MATCH(LEFT(Table20[[#This Row],[Min]],FIND("-",Table20[[#This Row],[Min]])-1),Table1[Content Sku],0),18,1,1,"Entities")),"review","ok"),"ok")</f>
        <v>ok</v>
      </c>
    </row>
    <row r="489" spans="5:41" x14ac:dyDescent="0.25">
      <c r="E489" t="s">
        <v>313</v>
      </c>
      <c r="F489">
        <v>0</v>
      </c>
      <c r="G489">
        <v>0</v>
      </c>
      <c r="H489" t="s">
        <v>8</v>
      </c>
      <c r="I489" s="74" t="str">
        <f ca="1">IF(Table7[[#This Row],[Type]]="KILL",IF(_xlfn.NUMBERVALUE(RIGHT(Table7[[#This Row],[Min]],LEN(Table7[[#This Row],[Min]])-FIND("-",Table7[[#This Row],[Min]])))&gt;INDIRECT(ADDRESS(11+MATCH(LEFT(Table7[[#This Row],[Min]],FIND("-",Table7[[#This Row],[Min]])-1),Table1[Content Sku],0),16,1,1,"Entities")),"review","ok"),"ok")</f>
        <v>ok</v>
      </c>
      <c r="U489" t="s">
        <v>313</v>
      </c>
      <c r="V489">
        <v>0</v>
      </c>
      <c r="W489">
        <v>0</v>
      </c>
      <c r="X489" t="s">
        <v>8</v>
      </c>
      <c r="Y489" s="74" t="str">
        <f ca="1">IF(Table15[[#This Row],[Type]]="KILL",IF(_xlfn.NUMBERVALUE(RIGHT(Table15[[#This Row],[Min]],LEN(Table15[[#This Row],[Min]])-FIND("-",Table15[[#This Row],[Min]])))&gt;INDIRECT(ADDRESS(11+MATCH(LEFT(Table15[[#This Row],[Min]],FIND("-",Table15[[#This Row],[Min]])-1),Table1[Content Sku],0),16,1,1,"Entities")),"review","ok"),"ok")</f>
        <v>ok</v>
      </c>
      <c r="AK489" t="s">
        <v>122</v>
      </c>
      <c r="AL489">
        <v>0</v>
      </c>
      <c r="AM489">
        <v>0</v>
      </c>
      <c r="AN489" t="s">
        <v>8</v>
      </c>
      <c r="AO489" s="74" t="str">
        <f ca="1">IF(Table20[[#This Row],[Type]]="KILL",IF(_xlfn.NUMBERVALUE(RIGHT(Table20[[#This Row],[Min]],LEN(Table20[[#This Row],[Min]])-FIND("-",Table20[[#This Row],[Min]])))&gt;INDIRECT(ADDRESS(11+MATCH(LEFT(Table20[[#This Row],[Min]],FIND("-",Table20[[#This Row],[Min]])-1),Table1[Content Sku],0),18,1,1,"Entities")),"review","ok"),"ok")</f>
        <v>ok</v>
      </c>
    </row>
    <row r="490" spans="5:41" x14ac:dyDescent="0.25">
      <c r="E490" t="s">
        <v>313</v>
      </c>
      <c r="F490">
        <v>0</v>
      </c>
      <c r="G490">
        <v>0</v>
      </c>
      <c r="H490" t="s">
        <v>8</v>
      </c>
      <c r="I490" s="74" t="str">
        <f ca="1">IF(Table7[[#This Row],[Type]]="KILL",IF(_xlfn.NUMBERVALUE(RIGHT(Table7[[#This Row],[Min]],LEN(Table7[[#This Row],[Min]])-FIND("-",Table7[[#This Row],[Min]])))&gt;INDIRECT(ADDRESS(11+MATCH(LEFT(Table7[[#This Row],[Min]],FIND("-",Table7[[#This Row],[Min]])-1),Table1[Content Sku],0),16,1,1,"Entities")),"review","ok"),"ok")</f>
        <v>ok</v>
      </c>
      <c r="U490" t="s">
        <v>2736</v>
      </c>
      <c r="V490">
        <v>0</v>
      </c>
      <c r="W490">
        <v>0</v>
      </c>
      <c r="X490" t="s">
        <v>8</v>
      </c>
      <c r="Y490" s="74" t="str">
        <f ca="1">IF(Table15[[#This Row],[Type]]="KILL",IF(_xlfn.NUMBERVALUE(RIGHT(Table15[[#This Row],[Min]],LEN(Table15[[#This Row],[Min]])-FIND("-",Table15[[#This Row],[Min]])))&gt;INDIRECT(ADDRESS(11+MATCH(LEFT(Table15[[#This Row],[Min]],FIND("-",Table15[[#This Row],[Min]])-1),Table1[Content Sku],0),16,1,1,"Entities")),"review","ok"),"ok")</f>
        <v>ok</v>
      </c>
      <c r="AK490" t="s">
        <v>37</v>
      </c>
      <c r="AL490">
        <v>26000</v>
      </c>
      <c r="AM490">
        <v>0</v>
      </c>
      <c r="AN490" t="s">
        <v>205</v>
      </c>
      <c r="AO490" s="74" t="str">
        <f ca="1">IF(Table20[[#This Row],[Type]]="KILL",IF(_xlfn.NUMBERVALUE(RIGHT(Table20[[#This Row],[Min]],LEN(Table20[[#This Row],[Min]])-FIND("-",Table20[[#This Row],[Min]])))&gt;INDIRECT(ADDRESS(11+MATCH(LEFT(Table20[[#This Row],[Min]],FIND("-",Table20[[#This Row],[Min]])-1),Table1[Content Sku],0),18,1,1,"Entities")),"review","ok"),"ok")</f>
        <v>ok</v>
      </c>
    </row>
    <row r="491" spans="5:41" x14ac:dyDescent="0.25">
      <c r="E491" t="s">
        <v>313</v>
      </c>
      <c r="F491">
        <v>0</v>
      </c>
      <c r="G491">
        <v>0</v>
      </c>
      <c r="H491" t="s">
        <v>8</v>
      </c>
      <c r="I491" s="74" t="str">
        <f ca="1">IF(Table7[[#This Row],[Type]]="KILL",IF(_xlfn.NUMBERVALUE(RIGHT(Table7[[#This Row],[Min]],LEN(Table7[[#This Row],[Min]])-FIND("-",Table7[[#This Row],[Min]])))&gt;INDIRECT(ADDRESS(11+MATCH(LEFT(Table7[[#This Row],[Min]],FIND("-",Table7[[#This Row],[Min]])-1),Table1[Content Sku],0),16,1,1,"Entities")),"review","ok"),"ok")</f>
        <v>ok</v>
      </c>
      <c r="U491" t="s">
        <v>460</v>
      </c>
      <c r="V491">
        <v>0</v>
      </c>
      <c r="W491">
        <v>0</v>
      </c>
      <c r="X491" t="s">
        <v>8</v>
      </c>
      <c r="Y491" s="74" t="str">
        <f ca="1">IF(Table15[[#This Row],[Type]]="KILL",IF(_xlfn.NUMBERVALUE(RIGHT(Table15[[#This Row],[Min]],LEN(Table15[[#This Row],[Min]])-FIND("-",Table15[[#This Row],[Min]])))&gt;INDIRECT(ADDRESS(11+MATCH(LEFT(Table15[[#This Row],[Min]],FIND("-",Table15[[#This Row],[Min]])-1),Table1[Content Sku],0),16,1,1,"Entities")),"review","ok"),"ok")</f>
        <v>ok</v>
      </c>
      <c r="AK491" t="s">
        <v>2741</v>
      </c>
      <c r="AL491">
        <v>0</v>
      </c>
      <c r="AM491">
        <v>0</v>
      </c>
      <c r="AN491" t="s">
        <v>8</v>
      </c>
      <c r="AO491" s="74" t="str">
        <f ca="1">IF(Table20[[#This Row],[Type]]="KILL",IF(_xlfn.NUMBERVALUE(RIGHT(Table20[[#This Row],[Min]],LEN(Table20[[#This Row],[Min]])-FIND("-",Table20[[#This Row],[Min]])))&gt;INDIRECT(ADDRESS(11+MATCH(LEFT(Table20[[#This Row],[Min]],FIND("-",Table20[[#This Row],[Min]])-1),Table1[Content Sku],0),18,1,1,"Entities")),"review","ok"),"ok")</f>
        <v>ok</v>
      </c>
    </row>
    <row r="492" spans="5:41" x14ac:dyDescent="0.25">
      <c r="E492" t="s">
        <v>254</v>
      </c>
      <c r="F492">
        <v>0</v>
      </c>
      <c r="G492">
        <v>0</v>
      </c>
      <c r="H492" t="s">
        <v>8</v>
      </c>
      <c r="I492" s="74" t="str">
        <f ca="1">IF(Table7[[#This Row],[Type]]="KILL",IF(_xlfn.NUMBERVALUE(RIGHT(Table7[[#This Row],[Min]],LEN(Table7[[#This Row],[Min]])-FIND("-",Table7[[#This Row],[Min]])))&gt;INDIRECT(ADDRESS(11+MATCH(LEFT(Table7[[#This Row],[Min]],FIND("-",Table7[[#This Row],[Min]])-1),Table1[Content Sku],0),16,1,1,"Entities")),"review","ok"),"ok")</f>
        <v>ok</v>
      </c>
      <c r="U492" t="s">
        <v>289</v>
      </c>
      <c r="V492">
        <v>0</v>
      </c>
      <c r="W492">
        <v>0</v>
      </c>
      <c r="X492" t="s">
        <v>8</v>
      </c>
      <c r="Y492" s="74" t="str">
        <f ca="1">IF(Table15[[#This Row],[Type]]="KILL",IF(_xlfn.NUMBERVALUE(RIGHT(Table15[[#This Row],[Min]],LEN(Table15[[#This Row],[Min]])-FIND("-",Table15[[#This Row],[Min]])))&gt;INDIRECT(ADDRESS(11+MATCH(LEFT(Table15[[#This Row],[Min]],FIND("-",Table15[[#This Row],[Min]])-1),Table1[Content Sku],0),16,1,1,"Entities")),"review","ok"),"ok")</f>
        <v>ok</v>
      </c>
      <c r="AK492" t="s">
        <v>2665</v>
      </c>
      <c r="AL492">
        <v>0</v>
      </c>
      <c r="AM492">
        <v>86000</v>
      </c>
      <c r="AN492" t="s">
        <v>205</v>
      </c>
      <c r="AO492" s="74" t="str">
        <f ca="1">IF(Table20[[#This Row],[Type]]="KILL",IF(_xlfn.NUMBERVALUE(RIGHT(Table20[[#This Row],[Min]],LEN(Table20[[#This Row],[Min]])-FIND("-",Table20[[#This Row],[Min]])))&gt;INDIRECT(ADDRESS(11+MATCH(LEFT(Table20[[#This Row],[Min]],FIND("-",Table20[[#This Row],[Min]])-1),Table1[Content Sku],0),18,1,1,"Entities")),"review","ok"),"ok")</f>
        <v>ok</v>
      </c>
    </row>
    <row r="493" spans="5:41" x14ac:dyDescent="0.25">
      <c r="E493" t="s">
        <v>393</v>
      </c>
      <c r="F493">
        <v>0</v>
      </c>
      <c r="G493">
        <v>0</v>
      </c>
      <c r="H493" t="s">
        <v>8</v>
      </c>
      <c r="I493" s="74" t="str">
        <f ca="1">IF(Table7[[#This Row],[Type]]="KILL",IF(_xlfn.NUMBERVALUE(RIGHT(Table7[[#This Row],[Min]],LEN(Table7[[#This Row],[Min]])-FIND("-",Table7[[#This Row],[Min]])))&gt;INDIRECT(ADDRESS(11+MATCH(LEFT(Table7[[#This Row],[Min]],FIND("-",Table7[[#This Row],[Min]])-1),Table1[Content Sku],0),16,1,1,"Entities")),"review","ok"),"ok")</f>
        <v>ok</v>
      </c>
      <c r="U493" t="s">
        <v>8133</v>
      </c>
      <c r="V493">
        <v>0</v>
      </c>
      <c r="W493">
        <v>0</v>
      </c>
      <c r="X493" t="s">
        <v>8</v>
      </c>
      <c r="Y493" s="74" t="str">
        <f ca="1">IF(Table15[[#This Row],[Type]]="KILL",IF(_xlfn.NUMBERVALUE(RIGHT(Table15[[#This Row],[Min]],LEN(Table15[[#This Row],[Min]])-FIND("-",Table15[[#This Row],[Min]])))&gt;INDIRECT(ADDRESS(11+MATCH(LEFT(Table15[[#This Row],[Min]],FIND("-",Table15[[#This Row],[Min]])-1),Table1[Content Sku],0),16,1,1,"Entities")),"review","ok"),"ok")</f>
        <v>ok</v>
      </c>
      <c r="AK493" t="s">
        <v>37</v>
      </c>
      <c r="AL493">
        <v>0</v>
      </c>
      <c r="AM493">
        <v>0</v>
      </c>
      <c r="AN493" t="s">
        <v>8</v>
      </c>
      <c r="AO493" s="74" t="str">
        <f ca="1">IF(Table20[[#This Row],[Type]]="KILL",IF(_xlfn.NUMBERVALUE(RIGHT(Table20[[#This Row],[Min]],LEN(Table20[[#This Row],[Min]])-FIND("-",Table20[[#This Row],[Min]])))&gt;INDIRECT(ADDRESS(11+MATCH(LEFT(Table20[[#This Row],[Min]],FIND("-",Table20[[#This Row],[Min]])-1),Table1[Content Sku],0),18,1,1,"Entities")),"review","ok"),"ok")</f>
        <v>ok</v>
      </c>
    </row>
    <row r="494" spans="5:41" x14ac:dyDescent="0.25">
      <c r="E494" t="s">
        <v>313</v>
      </c>
      <c r="F494">
        <v>0</v>
      </c>
      <c r="G494">
        <v>0</v>
      </c>
      <c r="H494" t="s">
        <v>8</v>
      </c>
      <c r="I494" s="74" t="str">
        <f ca="1">IF(Table7[[#This Row],[Type]]="KILL",IF(_xlfn.NUMBERVALUE(RIGHT(Table7[[#This Row],[Min]],LEN(Table7[[#This Row],[Min]])-FIND("-",Table7[[#This Row],[Min]])))&gt;INDIRECT(ADDRESS(11+MATCH(LEFT(Table7[[#This Row],[Min]],FIND("-",Table7[[#This Row],[Min]])-1),Table1[Content Sku],0),16,1,1,"Entities")),"review","ok"),"ok")</f>
        <v>ok</v>
      </c>
      <c r="U494" t="s">
        <v>39</v>
      </c>
      <c r="V494">
        <v>0</v>
      </c>
      <c r="W494">
        <v>0</v>
      </c>
      <c r="X494" t="s">
        <v>8</v>
      </c>
      <c r="Y494" s="74" t="str">
        <f ca="1">IF(Table15[[#This Row],[Type]]="KILL",IF(_xlfn.NUMBERVALUE(RIGHT(Table15[[#This Row],[Min]],LEN(Table15[[#This Row],[Min]])-FIND("-",Table15[[#This Row],[Min]])))&gt;INDIRECT(ADDRESS(11+MATCH(LEFT(Table15[[#This Row],[Min]],FIND("-",Table15[[#This Row],[Min]])-1),Table1[Content Sku],0),16,1,1,"Entities")),"review","ok"),"ok")</f>
        <v>ok</v>
      </c>
      <c r="AK494" t="s">
        <v>37</v>
      </c>
      <c r="AL494">
        <v>0</v>
      </c>
      <c r="AM494">
        <v>0</v>
      </c>
      <c r="AN494" t="s">
        <v>8</v>
      </c>
      <c r="AO494" s="74" t="str">
        <f ca="1">IF(Table20[[#This Row],[Type]]="KILL",IF(_xlfn.NUMBERVALUE(RIGHT(Table20[[#This Row],[Min]],LEN(Table20[[#This Row],[Min]])-FIND("-",Table20[[#This Row],[Min]])))&gt;INDIRECT(ADDRESS(11+MATCH(LEFT(Table20[[#This Row],[Min]],FIND("-",Table20[[#This Row],[Min]])-1),Table1[Content Sku],0),18,1,1,"Entities")),"review","ok"),"ok")</f>
        <v>ok</v>
      </c>
    </row>
    <row r="495" spans="5:41" x14ac:dyDescent="0.25">
      <c r="E495" t="s">
        <v>336</v>
      </c>
      <c r="F495">
        <v>0</v>
      </c>
      <c r="G495">
        <v>0</v>
      </c>
      <c r="H495" t="s">
        <v>8</v>
      </c>
      <c r="I495" s="74" t="str">
        <f ca="1">IF(Table7[[#This Row],[Type]]="KILL",IF(_xlfn.NUMBERVALUE(RIGHT(Table7[[#This Row],[Min]],LEN(Table7[[#This Row],[Min]])-FIND("-",Table7[[#This Row],[Min]])))&gt;INDIRECT(ADDRESS(11+MATCH(LEFT(Table7[[#This Row],[Min]],FIND("-",Table7[[#This Row],[Min]])-1),Table1[Content Sku],0),16,1,1,"Entities")),"review","ok"),"ok")</f>
        <v>ok</v>
      </c>
      <c r="U495" t="s">
        <v>278</v>
      </c>
      <c r="V495">
        <v>14000</v>
      </c>
      <c r="W495">
        <v>0</v>
      </c>
      <c r="X495" t="s">
        <v>205</v>
      </c>
      <c r="Y495" s="74" t="str">
        <f ca="1">IF(Table15[[#This Row],[Type]]="KILL",IF(_xlfn.NUMBERVALUE(RIGHT(Table15[[#This Row],[Min]],LEN(Table15[[#This Row],[Min]])-FIND("-",Table15[[#This Row],[Min]])))&gt;INDIRECT(ADDRESS(11+MATCH(LEFT(Table15[[#This Row],[Min]],FIND("-",Table15[[#This Row],[Min]])-1),Table1[Content Sku],0),16,1,1,"Entities")),"review","ok"),"ok")</f>
        <v>ok</v>
      </c>
      <c r="AK495" t="s">
        <v>2767</v>
      </c>
      <c r="AL495">
        <v>0</v>
      </c>
      <c r="AM495">
        <v>0</v>
      </c>
      <c r="AN495" t="s">
        <v>8</v>
      </c>
      <c r="AO495" s="74" t="str">
        <f ca="1">IF(Table20[[#This Row],[Type]]="KILL",IF(_xlfn.NUMBERVALUE(RIGHT(Table20[[#This Row],[Min]],LEN(Table20[[#This Row],[Min]])-FIND("-",Table20[[#This Row],[Min]])))&gt;INDIRECT(ADDRESS(11+MATCH(LEFT(Table20[[#This Row],[Min]],FIND("-",Table20[[#This Row],[Min]])-1),Table1[Content Sku],0),18,1,1,"Entities")),"review","ok"),"ok")</f>
        <v>ok</v>
      </c>
    </row>
    <row r="496" spans="5:41" x14ac:dyDescent="0.25">
      <c r="E496" t="s">
        <v>39</v>
      </c>
      <c r="F496">
        <v>0</v>
      </c>
      <c r="G496">
        <v>0</v>
      </c>
      <c r="H496" t="s">
        <v>8</v>
      </c>
      <c r="I496" s="74" t="str">
        <f ca="1">IF(Table7[[#This Row],[Type]]="KILL",IF(_xlfn.NUMBERVALUE(RIGHT(Table7[[#This Row],[Min]],LEN(Table7[[#This Row],[Min]])-FIND("-",Table7[[#This Row],[Min]])))&gt;INDIRECT(ADDRESS(11+MATCH(LEFT(Table7[[#This Row],[Min]],FIND("-",Table7[[#This Row],[Min]])-1),Table1[Content Sku],0),16,1,1,"Entities")),"review","ok"),"ok")</f>
        <v>ok</v>
      </c>
      <c r="U496" t="s">
        <v>391</v>
      </c>
      <c r="V496">
        <v>0</v>
      </c>
      <c r="W496">
        <v>0</v>
      </c>
      <c r="X496" t="s">
        <v>8</v>
      </c>
      <c r="Y496" s="74" t="str">
        <f ca="1">IF(Table15[[#This Row],[Type]]="KILL",IF(_xlfn.NUMBERVALUE(RIGHT(Table15[[#This Row],[Min]],LEN(Table15[[#This Row],[Min]])-FIND("-",Table15[[#This Row],[Min]])))&gt;INDIRECT(ADDRESS(11+MATCH(LEFT(Table15[[#This Row],[Min]],FIND("-",Table15[[#This Row],[Min]])-1),Table1[Content Sku],0),16,1,1,"Entities")),"review","ok"),"ok")</f>
        <v>ok</v>
      </c>
      <c r="AK496" t="s">
        <v>2741</v>
      </c>
      <c r="AL496">
        <v>0</v>
      </c>
      <c r="AM496">
        <v>0</v>
      </c>
      <c r="AN496" t="s">
        <v>8</v>
      </c>
      <c r="AO496" s="74" t="str">
        <f ca="1">IF(Table20[[#This Row],[Type]]="KILL",IF(_xlfn.NUMBERVALUE(RIGHT(Table20[[#This Row],[Min]],LEN(Table20[[#This Row],[Min]])-FIND("-",Table20[[#This Row],[Min]])))&gt;INDIRECT(ADDRESS(11+MATCH(LEFT(Table20[[#This Row],[Min]],FIND("-",Table20[[#This Row],[Min]])-1),Table1[Content Sku],0),18,1,1,"Entities")),"review","ok"),"ok")</f>
        <v>ok</v>
      </c>
    </row>
    <row r="497" spans="5:41" x14ac:dyDescent="0.25">
      <c r="E497" t="s">
        <v>42</v>
      </c>
      <c r="F497">
        <v>30000</v>
      </c>
      <c r="G497">
        <v>0</v>
      </c>
      <c r="H497" t="s">
        <v>205</v>
      </c>
      <c r="I497" s="74" t="str">
        <f ca="1">IF(Table7[[#This Row],[Type]]="KILL",IF(_xlfn.NUMBERVALUE(RIGHT(Table7[[#This Row],[Min]],LEN(Table7[[#This Row],[Min]])-FIND("-",Table7[[#This Row],[Min]])))&gt;INDIRECT(ADDRESS(11+MATCH(LEFT(Table7[[#This Row],[Min]],FIND("-",Table7[[#This Row],[Min]])-1),Table1[Content Sku],0),16,1,1,"Entities")),"review","ok"),"ok")</f>
        <v>ok</v>
      </c>
      <c r="U497" t="s">
        <v>391</v>
      </c>
      <c r="V497">
        <v>32000</v>
      </c>
      <c r="W497">
        <v>0</v>
      </c>
      <c r="X497" t="s">
        <v>205</v>
      </c>
      <c r="Y497" s="74" t="str">
        <f ca="1">IF(Table15[[#This Row],[Type]]="KILL",IF(_xlfn.NUMBERVALUE(RIGHT(Table15[[#This Row],[Min]],LEN(Table15[[#This Row],[Min]])-FIND("-",Table15[[#This Row],[Min]])))&gt;INDIRECT(ADDRESS(11+MATCH(LEFT(Table15[[#This Row],[Min]],FIND("-",Table15[[#This Row],[Min]])-1),Table1[Content Sku],0),16,1,1,"Entities")),"review","ok"),"ok")</f>
        <v>ok</v>
      </c>
      <c r="AK497" t="s">
        <v>482</v>
      </c>
      <c r="AL497">
        <v>38000</v>
      </c>
      <c r="AM497">
        <v>0</v>
      </c>
      <c r="AN497" t="s">
        <v>205</v>
      </c>
      <c r="AO497" s="74" t="str">
        <f ca="1">IF(Table20[[#This Row],[Type]]="KILL",IF(_xlfn.NUMBERVALUE(RIGHT(Table20[[#This Row],[Min]],LEN(Table20[[#This Row],[Min]])-FIND("-",Table20[[#This Row],[Min]])))&gt;INDIRECT(ADDRESS(11+MATCH(LEFT(Table20[[#This Row],[Min]],FIND("-",Table20[[#This Row],[Min]])-1),Table1[Content Sku],0),18,1,1,"Entities")),"review","ok"),"ok")</f>
        <v>ok</v>
      </c>
    </row>
    <row r="498" spans="5:41" x14ac:dyDescent="0.25">
      <c r="E498" t="s">
        <v>311</v>
      </c>
      <c r="F498">
        <v>0</v>
      </c>
      <c r="G498">
        <v>0</v>
      </c>
      <c r="H498" t="s">
        <v>8</v>
      </c>
      <c r="I498" s="74" t="str">
        <f ca="1">IF(Table7[[#This Row],[Type]]="KILL",IF(_xlfn.NUMBERVALUE(RIGHT(Table7[[#This Row],[Min]],LEN(Table7[[#This Row],[Min]])-FIND("-",Table7[[#This Row],[Min]])))&gt;INDIRECT(ADDRESS(11+MATCH(LEFT(Table7[[#This Row],[Min]],FIND("-",Table7[[#This Row],[Min]])-1),Table1[Content Sku],0),16,1,1,"Entities")),"review","ok"),"ok")</f>
        <v>ok</v>
      </c>
      <c r="U498" t="s">
        <v>50</v>
      </c>
      <c r="V498">
        <v>22000</v>
      </c>
      <c r="W498">
        <v>0</v>
      </c>
      <c r="X498" t="s">
        <v>205</v>
      </c>
      <c r="Y498" s="74" t="str">
        <f ca="1">IF(Table15[[#This Row],[Type]]="KILL",IF(_xlfn.NUMBERVALUE(RIGHT(Table15[[#This Row],[Min]],LEN(Table15[[#This Row],[Min]])-FIND("-",Table15[[#This Row],[Min]])))&gt;INDIRECT(ADDRESS(11+MATCH(LEFT(Table15[[#This Row],[Min]],FIND("-",Table15[[#This Row],[Min]])-1),Table1[Content Sku],0),16,1,1,"Entities")),"review","ok"),"ok")</f>
        <v>ok</v>
      </c>
      <c r="AK498" t="s">
        <v>548</v>
      </c>
      <c r="AL498">
        <v>0</v>
      </c>
      <c r="AM498">
        <v>0</v>
      </c>
      <c r="AN498" t="s">
        <v>8</v>
      </c>
      <c r="AO498" s="74" t="str">
        <f ca="1">IF(Table20[[#This Row],[Type]]="KILL",IF(_xlfn.NUMBERVALUE(RIGHT(Table20[[#This Row],[Min]],LEN(Table20[[#This Row],[Min]])-FIND("-",Table20[[#This Row],[Min]])))&gt;INDIRECT(ADDRESS(11+MATCH(LEFT(Table20[[#This Row],[Min]],FIND("-",Table20[[#This Row],[Min]])-1),Table1[Content Sku],0),18,1,1,"Entities")),"review","ok"),"ok")</f>
        <v>ok</v>
      </c>
    </row>
    <row r="499" spans="5:41" x14ac:dyDescent="0.25">
      <c r="E499" t="s">
        <v>313</v>
      </c>
      <c r="F499">
        <v>0</v>
      </c>
      <c r="G499">
        <v>0</v>
      </c>
      <c r="H499" t="s">
        <v>8</v>
      </c>
      <c r="I499" s="74" t="str">
        <f ca="1">IF(Table7[[#This Row],[Type]]="KILL",IF(_xlfn.NUMBERVALUE(RIGHT(Table7[[#This Row],[Min]],LEN(Table7[[#This Row],[Min]])-FIND("-",Table7[[#This Row],[Min]])))&gt;INDIRECT(ADDRESS(11+MATCH(LEFT(Table7[[#This Row],[Min]],FIND("-",Table7[[#This Row],[Min]])-1),Table1[Content Sku],0),16,1,1,"Entities")),"review","ok"),"ok")</f>
        <v>ok</v>
      </c>
      <c r="U499" t="s">
        <v>253</v>
      </c>
      <c r="V499">
        <v>0</v>
      </c>
      <c r="W499">
        <v>0</v>
      </c>
      <c r="X499" t="s">
        <v>8</v>
      </c>
      <c r="Y499" s="74" t="str">
        <f ca="1">IF(Table15[[#This Row],[Type]]="KILL",IF(_xlfn.NUMBERVALUE(RIGHT(Table15[[#This Row],[Min]],LEN(Table15[[#This Row],[Min]])-FIND("-",Table15[[#This Row],[Min]])))&gt;INDIRECT(ADDRESS(11+MATCH(LEFT(Table15[[#This Row],[Min]],FIND("-",Table15[[#This Row],[Min]])-1),Table1[Content Sku],0),16,1,1,"Entities")),"review","ok"),"ok")</f>
        <v>ok</v>
      </c>
      <c r="AK499" t="s">
        <v>2673</v>
      </c>
      <c r="AL499">
        <v>0</v>
      </c>
      <c r="AM499">
        <v>76000</v>
      </c>
      <c r="AN499" t="s">
        <v>205</v>
      </c>
      <c r="AO499" s="74" t="str">
        <f ca="1">IF(Table20[[#This Row],[Type]]="KILL",IF(_xlfn.NUMBERVALUE(RIGHT(Table20[[#This Row],[Min]],LEN(Table20[[#This Row],[Min]])-FIND("-",Table20[[#This Row],[Min]])))&gt;INDIRECT(ADDRESS(11+MATCH(LEFT(Table20[[#This Row],[Min]],FIND("-",Table20[[#This Row],[Min]])-1),Table1[Content Sku],0),18,1,1,"Entities")),"review","ok"),"ok")</f>
        <v>ok</v>
      </c>
    </row>
    <row r="500" spans="5:41" x14ac:dyDescent="0.25">
      <c r="E500" t="s">
        <v>254</v>
      </c>
      <c r="F500">
        <v>0</v>
      </c>
      <c r="G500">
        <v>0</v>
      </c>
      <c r="H500" t="s">
        <v>8</v>
      </c>
      <c r="I500" s="74" t="str">
        <f ca="1">IF(Table7[[#This Row],[Type]]="KILL",IF(_xlfn.NUMBERVALUE(RIGHT(Table7[[#This Row],[Min]],LEN(Table7[[#This Row],[Min]])-FIND("-",Table7[[#This Row],[Min]])))&gt;INDIRECT(ADDRESS(11+MATCH(LEFT(Table7[[#This Row],[Min]],FIND("-",Table7[[#This Row],[Min]])-1),Table1[Content Sku],0),16,1,1,"Entities")),"review","ok"),"ok")</f>
        <v>ok</v>
      </c>
      <c r="U500" t="s">
        <v>400</v>
      </c>
      <c r="V500">
        <v>0</v>
      </c>
      <c r="W500">
        <v>0</v>
      </c>
      <c r="X500" t="s">
        <v>8</v>
      </c>
      <c r="Y500" s="74" t="str">
        <f ca="1">IF(Table15[[#This Row],[Type]]="KILL",IF(_xlfn.NUMBERVALUE(RIGHT(Table15[[#This Row],[Min]],LEN(Table15[[#This Row],[Min]])-FIND("-",Table15[[#This Row],[Min]])))&gt;INDIRECT(ADDRESS(11+MATCH(LEFT(Table15[[#This Row],[Min]],FIND("-",Table15[[#This Row],[Min]])-1),Table1[Content Sku],0),16,1,1,"Entities")),"review","ok"),"ok")</f>
        <v>ok</v>
      </c>
      <c r="AK500" t="s">
        <v>2741</v>
      </c>
      <c r="AL500">
        <v>0</v>
      </c>
      <c r="AM500">
        <v>0</v>
      </c>
      <c r="AN500" t="s">
        <v>8</v>
      </c>
      <c r="AO500" s="74" t="str">
        <f ca="1">IF(Table20[[#This Row],[Type]]="KILL",IF(_xlfn.NUMBERVALUE(RIGHT(Table20[[#This Row],[Min]],LEN(Table20[[#This Row],[Min]])-FIND("-",Table20[[#This Row],[Min]])))&gt;INDIRECT(ADDRESS(11+MATCH(LEFT(Table20[[#This Row],[Min]],FIND("-",Table20[[#This Row],[Min]])-1),Table1[Content Sku],0),18,1,1,"Entities")),"review","ok"),"ok")</f>
        <v>ok</v>
      </c>
    </row>
    <row r="501" spans="5:41" x14ac:dyDescent="0.25">
      <c r="E501" t="s">
        <v>95</v>
      </c>
      <c r="F501">
        <v>0</v>
      </c>
      <c r="G501">
        <v>0</v>
      </c>
      <c r="H501" t="s">
        <v>8</v>
      </c>
      <c r="I501" s="74" t="str">
        <f ca="1">IF(Table7[[#This Row],[Type]]="KILL",IF(_xlfn.NUMBERVALUE(RIGHT(Table7[[#This Row],[Min]],LEN(Table7[[#This Row],[Min]])-FIND("-",Table7[[#This Row],[Min]])))&gt;INDIRECT(ADDRESS(11+MATCH(LEFT(Table7[[#This Row],[Min]],FIND("-",Table7[[#This Row],[Min]])-1),Table1[Content Sku],0),16,1,1,"Entities")),"review","ok"),"ok")</f>
        <v>ok</v>
      </c>
      <c r="U501" t="s">
        <v>280</v>
      </c>
      <c r="V501">
        <v>0</v>
      </c>
      <c r="W501">
        <v>0</v>
      </c>
      <c r="X501" t="s">
        <v>8</v>
      </c>
      <c r="Y501" s="74" t="str">
        <f ca="1">IF(Table15[[#This Row],[Type]]="KILL",IF(_xlfn.NUMBERVALUE(RIGHT(Table15[[#This Row],[Min]],LEN(Table15[[#This Row],[Min]])-FIND("-",Table15[[#This Row],[Min]])))&gt;INDIRECT(ADDRESS(11+MATCH(LEFT(Table15[[#This Row],[Min]],FIND("-",Table15[[#This Row],[Min]])-1),Table1[Content Sku],0),16,1,1,"Entities")),"review","ok"),"ok")</f>
        <v>ok</v>
      </c>
      <c r="AK501" t="s">
        <v>2675</v>
      </c>
      <c r="AL501">
        <v>0</v>
      </c>
      <c r="AM501">
        <v>0</v>
      </c>
      <c r="AN501" t="s">
        <v>8</v>
      </c>
      <c r="AO501" s="74" t="str">
        <f ca="1">IF(Table20[[#This Row],[Type]]="KILL",IF(_xlfn.NUMBERVALUE(RIGHT(Table20[[#This Row],[Min]],LEN(Table20[[#This Row],[Min]])-FIND("-",Table20[[#This Row],[Min]])))&gt;INDIRECT(ADDRESS(11+MATCH(LEFT(Table20[[#This Row],[Min]],FIND("-",Table20[[#This Row],[Min]])-1),Table1[Content Sku],0),18,1,1,"Entities")),"review","ok"),"ok")</f>
        <v>ok</v>
      </c>
    </row>
    <row r="502" spans="5:41" x14ac:dyDescent="0.25">
      <c r="E502" t="s">
        <v>283</v>
      </c>
      <c r="F502">
        <v>5000</v>
      </c>
      <c r="G502">
        <v>0</v>
      </c>
      <c r="H502" t="s">
        <v>205</v>
      </c>
      <c r="I502" s="74" t="str">
        <f ca="1">IF(Table7[[#This Row],[Type]]="KILL",IF(_xlfn.NUMBERVALUE(RIGHT(Table7[[#This Row],[Min]],LEN(Table7[[#This Row],[Min]])-FIND("-",Table7[[#This Row],[Min]])))&gt;INDIRECT(ADDRESS(11+MATCH(LEFT(Table7[[#This Row],[Min]],FIND("-",Table7[[#This Row],[Min]])-1),Table1[Content Sku],0),16,1,1,"Entities")),"review","ok"),"ok")</f>
        <v>ok</v>
      </c>
      <c r="U502" t="s">
        <v>37</v>
      </c>
      <c r="V502">
        <v>0</v>
      </c>
      <c r="W502">
        <v>45000</v>
      </c>
      <c r="X502" t="s">
        <v>205</v>
      </c>
      <c r="Y502" s="74" t="str">
        <f ca="1">IF(Table15[[#This Row],[Type]]="KILL",IF(_xlfn.NUMBERVALUE(RIGHT(Table15[[#This Row],[Min]],LEN(Table15[[#This Row],[Min]])-FIND("-",Table15[[#This Row],[Min]])))&gt;INDIRECT(ADDRESS(11+MATCH(LEFT(Table15[[#This Row],[Min]],FIND("-",Table15[[#This Row],[Min]])-1),Table1[Content Sku],0),16,1,1,"Entities")),"review","ok"),"ok")</f>
        <v>ok</v>
      </c>
      <c r="AK502" t="s">
        <v>2736</v>
      </c>
      <c r="AL502">
        <v>0</v>
      </c>
      <c r="AM502">
        <v>0</v>
      </c>
      <c r="AN502" t="s">
        <v>8</v>
      </c>
      <c r="AO502" s="74" t="str">
        <f ca="1">IF(Table20[[#This Row],[Type]]="KILL",IF(_xlfn.NUMBERVALUE(RIGHT(Table20[[#This Row],[Min]],LEN(Table20[[#This Row],[Min]])-FIND("-",Table20[[#This Row],[Min]])))&gt;INDIRECT(ADDRESS(11+MATCH(LEFT(Table20[[#This Row],[Min]],FIND("-",Table20[[#This Row],[Min]])-1),Table1[Content Sku],0),18,1,1,"Entities")),"review","ok"),"ok")</f>
        <v>ok</v>
      </c>
    </row>
    <row r="503" spans="5:41" x14ac:dyDescent="0.25">
      <c r="E503" t="s">
        <v>280</v>
      </c>
      <c r="F503">
        <v>0</v>
      </c>
      <c r="G503">
        <v>0</v>
      </c>
      <c r="H503" t="s">
        <v>8</v>
      </c>
      <c r="I503" s="74" t="str">
        <f ca="1">IF(Table7[[#This Row],[Type]]="KILL",IF(_xlfn.NUMBERVALUE(RIGHT(Table7[[#This Row],[Min]],LEN(Table7[[#This Row],[Min]])-FIND("-",Table7[[#This Row],[Min]])))&gt;INDIRECT(ADDRESS(11+MATCH(LEFT(Table7[[#This Row],[Min]],FIND("-",Table7[[#This Row],[Min]])-1),Table1[Content Sku],0),16,1,1,"Entities")),"review","ok"),"ok")</f>
        <v>ok</v>
      </c>
      <c r="U503" t="s">
        <v>8133</v>
      </c>
      <c r="V503">
        <v>0</v>
      </c>
      <c r="W503">
        <v>0</v>
      </c>
      <c r="X503" t="s">
        <v>8</v>
      </c>
      <c r="Y503" s="74" t="str">
        <f ca="1">IF(Table15[[#This Row],[Type]]="KILL",IF(_xlfn.NUMBERVALUE(RIGHT(Table15[[#This Row],[Min]],LEN(Table15[[#This Row],[Min]])-FIND("-",Table15[[#This Row],[Min]])))&gt;INDIRECT(ADDRESS(11+MATCH(LEFT(Table15[[#This Row],[Min]],FIND("-",Table15[[#This Row],[Min]])-1),Table1[Content Sku],0),16,1,1,"Entities")),"review","ok"),"ok")</f>
        <v>ok</v>
      </c>
      <c r="AK503" t="s">
        <v>2741</v>
      </c>
      <c r="AL503">
        <v>0</v>
      </c>
      <c r="AM503">
        <v>0</v>
      </c>
      <c r="AN503" t="s">
        <v>8</v>
      </c>
      <c r="AO503" s="74" t="str">
        <f ca="1">IF(Table20[[#This Row],[Type]]="KILL",IF(_xlfn.NUMBERVALUE(RIGHT(Table20[[#This Row],[Min]],LEN(Table20[[#This Row],[Min]])-FIND("-",Table20[[#This Row],[Min]])))&gt;INDIRECT(ADDRESS(11+MATCH(LEFT(Table20[[#This Row],[Min]],FIND("-",Table20[[#This Row],[Min]])-1),Table1[Content Sku],0),18,1,1,"Entities")),"review","ok"),"ok")</f>
        <v>ok</v>
      </c>
    </row>
    <row r="504" spans="5:41" x14ac:dyDescent="0.25">
      <c r="E504" t="s">
        <v>283</v>
      </c>
      <c r="F504">
        <v>0</v>
      </c>
      <c r="G504">
        <v>0</v>
      </c>
      <c r="H504" t="s">
        <v>8</v>
      </c>
      <c r="I504" s="74" t="str">
        <f ca="1">IF(Table7[[#This Row],[Type]]="KILL",IF(_xlfn.NUMBERVALUE(RIGHT(Table7[[#This Row],[Min]],LEN(Table7[[#This Row],[Min]])-FIND("-",Table7[[#This Row],[Min]])))&gt;INDIRECT(ADDRESS(11+MATCH(LEFT(Table7[[#This Row],[Min]],FIND("-",Table7[[#This Row],[Min]])-1),Table1[Content Sku],0),16,1,1,"Entities")),"review","ok"),"ok")</f>
        <v>ok</v>
      </c>
      <c r="U504" t="s">
        <v>393</v>
      </c>
      <c r="V504">
        <v>0</v>
      </c>
      <c r="W504">
        <v>0</v>
      </c>
      <c r="X504" t="s">
        <v>8</v>
      </c>
      <c r="Y504" s="74" t="str">
        <f ca="1">IF(Table15[[#This Row],[Type]]="KILL",IF(_xlfn.NUMBERVALUE(RIGHT(Table15[[#This Row],[Min]],LEN(Table15[[#This Row],[Min]])-FIND("-",Table15[[#This Row],[Min]])))&gt;INDIRECT(ADDRESS(11+MATCH(LEFT(Table15[[#This Row],[Min]],FIND("-",Table15[[#This Row],[Min]])-1),Table1[Content Sku],0),16,1,1,"Entities")),"review","ok"),"ok")</f>
        <v>ok</v>
      </c>
      <c r="AK504" t="s">
        <v>578</v>
      </c>
      <c r="AL504">
        <v>0</v>
      </c>
      <c r="AM504">
        <v>0</v>
      </c>
      <c r="AN504" t="s">
        <v>8</v>
      </c>
      <c r="AO504" s="74" t="str">
        <f ca="1">IF(Table20[[#This Row],[Type]]="KILL",IF(_xlfn.NUMBERVALUE(RIGHT(Table20[[#This Row],[Min]],LEN(Table20[[#This Row],[Min]])-FIND("-",Table20[[#This Row],[Min]])))&gt;INDIRECT(ADDRESS(11+MATCH(LEFT(Table20[[#This Row],[Min]],FIND("-",Table20[[#This Row],[Min]])-1),Table1[Content Sku],0),18,1,1,"Entities")),"review","ok"),"ok")</f>
        <v>ok</v>
      </c>
    </row>
    <row r="505" spans="5:41" x14ac:dyDescent="0.25">
      <c r="E505" t="s">
        <v>276</v>
      </c>
      <c r="F505">
        <v>0</v>
      </c>
      <c r="G505">
        <v>0</v>
      </c>
      <c r="H505" t="s">
        <v>8</v>
      </c>
      <c r="I505" s="74" t="str">
        <f ca="1">IF(Table7[[#This Row],[Type]]="KILL",IF(_xlfn.NUMBERVALUE(RIGHT(Table7[[#This Row],[Min]],LEN(Table7[[#This Row],[Min]])-FIND("-",Table7[[#This Row],[Min]])))&gt;INDIRECT(ADDRESS(11+MATCH(LEFT(Table7[[#This Row],[Min]],FIND("-",Table7[[#This Row],[Min]])-1),Table1[Content Sku],0),16,1,1,"Entities")),"review","ok"),"ok")</f>
        <v>ok</v>
      </c>
      <c r="U505" t="s">
        <v>392</v>
      </c>
      <c r="V505">
        <v>0</v>
      </c>
      <c r="W505">
        <v>0</v>
      </c>
      <c r="X505" t="s">
        <v>8</v>
      </c>
      <c r="Y505" s="74" t="str">
        <f ca="1">IF(Table15[[#This Row],[Type]]="KILL",IF(_xlfn.NUMBERVALUE(RIGHT(Table15[[#This Row],[Min]],LEN(Table15[[#This Row],[Min]])-FIND("-",Table15[[#This Row],[Min]])))&gt;INDIRECT(ADDRESS(11+MATCH(LEFT(Table15[[#This Row],[Min]],FIND("-",Table15[[#This Row],[Min]])-1),Table1[Content Sku],0),16,1,1,"Entities")),"review","ok"),"ok")</f>
        <v>ok</v>
      </c>
      <c r="AK505" t="s">
        <v>540</v>
      </c>
      <c r="AL505">
        <v>0</v>
      </c>
      <c r="AM505">
        <v>0</v>
      </c>
      <c r="AN505" t="s">
        <v>8</v>
      </c>
      <c r="AO505" s="74" t="str">
        <f ca="1">IF(Table20[[#This Row],[Type]]="KILL",IF(_xlfn.NUMBERVALUE(RIGHT(Table20[[#This Row],[Min]],LEN(Table20[[#This Row],[Min]])-FIND("-",Table20[[#This Row],[Min]])))&gt;INDIRECT(ADDRESS(11+MATCH(LEFT(Table20[[#This Row],[Min]],FIND("-",Table20[[#This Row],[Min]])-1),Table1[Content Sku],0),18,1,1,"Entities")),"review","ok"),"ok")</f>
        <v>ok</v>
      </c>
    </row>
    <row r="506" spans="5:41" x14ac:dyDescent="0.25">
      <c r="E506" t="s">
        <v>548</v>
      </c>
      <c r="F506">
        <v>0</v>
      </c>
      <c r="G506">
        <v>0</v>
      </c>
      <c r="H506" t="s">
        <v>8</v>
      </c>
      <c r="I506" s="74" t="str">
        <f ca="1">IF(Table7[[#This Row],[Type]]="KILL",IF(_xlfn.NUMBERVALUE(RIGHT(Table7[[#This Row],[Min]],LEN(Table7[[#This Row],[Min]])-FIND("-",Table7[[#This Row],[Min]])))&gt;INDIRECT(ADDRESS(11+MATCH(LEFT(Table7[[#This Row],[Min]],FIND("-",Table7[[#This Row],[Min]])-1),Table1[Content Sku],0),16,1,1,"Entities")),"review","ok"),"ok")</f>
        <v>ok</v>
      </c>
      <c r="U506" t="s">
        <v>2729</v>
      </c>
      <c r="V506">
        <v>0</v>
      </c>
      <c r="W506">
        <v>0</v>
      </c>
      <c r="X506" t="s">
        <v>8</v>
      </c>
      <c r="Y506" s="74" t="str">
        <f ca="1">IF(Table15[[#This Row],[Type]]="KILL",IF(_xlfn.NUMBERVALUE(RIGHT(Table15[[#This Row],[Min]],LEN(Table15[[#This Row],[Min]])-FIND("-",Table15[[#This Row],[Min]])))&gt;INDIRECT(ADDRESS(11+MATCH(LEFT(Table15[[#This Row],[Min]],FIND("-",Table15[[#This Row],[Min]])-1),Table1[Content Sku],0),16,1,1,"Entities")),"review","ok"),"ok")</f>
        <v>ok</v>
      </c>
      <c r="AK506" t="s">
        <v>2675</v>
      </c>
      <c r="AL506">
        <v>0</v>
      </c>
      <c r="AM506">
        <v>30000</v>
      </c>
      <c r="AN506" t="s">
        <v>205</v>
      </c>
      <c r="AO506" s="74" t="str">
        <f ca="1">IF(Table20[[#This Row],[Type]]="KILL",IF(_xlfn.NUMBERVALUE(RIGHT(Table20[[#This Row],[Min]],LEN(Table20[[#This Row],[Min]])-FIND("-",Table20[[#This Row],[Min]])))&gt;INDIRECT(ADDRESS(11+MATCH(LEFT(Table20[[#This Row],[Min]],FIND("-",Table20[[#This Row],[Min]])-1),Table1[Content Sku],0),18,1,1,"Entities")),"review","ok"),"ok")</f>
        <v>ok</v>
      </c>
    </row>
    <row r="507" spans="5:41" x14ac:dyDescent="0.25">
      <c r="E507" t="s">
        <v>276</v>
      </c>
      <c r="F507">
        <v>0</v>
      </c>
      <c r="G507">
        <v>0</v>
      </c>
      <c r="H507" t="s">
        <v>8</v>
      </c>
      <c r="I507" s="74" t="str">
        <f ca="1">IF(Table7[[#This Row],[Type]]="KILL",IF(_xlfn.NUMBERVALUE(RIGHT(Table7[[#This Row],[Min]],LEN(Table7[[#This Row],[Min]])-FIND("-",Table7[[#This Row],[Min]])))&gt;INDIRECT(ADDRESS(11+MATCH(LEFT(Table7[[#This Row],[Min]],FIND("-",Table7[[#This Row],[Min]])-1),Table1[Content Sku],0),16,1,1,"Entities")),"review","ok"),"ok")</f>
        <v>ok</v>
      </c>
      <c r="U507" t="s">
        <v>95</v>
      </c>
      <c r="V507">
        <v>0</v>
      </c>
      <c r="W507">
        <v>0</v>
      </c>
      <c r="X507" t="s">
        <v>8</v>
      </c>
      <c r="Y507" s="74" t="str">
        <f ca="1">IF(Table15[[#This Row],[Type]]="KILL",IF(_xlfn.NUMBERVALUE(RIGHT(Table15[[#This Row],[Min]],LEN(Table15[[#This Row],[Min]])-FIND("-",Table15[[#This Row],[Min]])))&gt;INDIRECT(ADDRESS(11+MATCH(LEFT(Table15[[#This Row],[Min]],FIND("-",Table15[[#This Row],[Min]])-1),Table1[Content Sku],0),16,1,1,"Entities")),"review","ok"),"ok")</f>
        <v>ok</v>
      </c>
      <c r="AK507" t="s">
        <v>95</v>
      </c>
      <c r="AL507">
        <v>0</v>
      </c>
      <c r="AM507">
        <v>0</v>
      </c>
      <c r="AN507" t="s">
        <v>8</v>
      </c>
      <c r="AO507" s="74" t="str">
        <f ca="1">IF(Table20[[#This Row],[Type]]="KILL",IF(_xlfn.NUMBERVALUE(RIGHT(Table20[[#This Row],[Min]],LEN(Table20[[#This Row],[Min]])-FIND("-",Table20[[#This Row],[Min]])))&gt;INDIRECT(ADDRESS(11+MATCH(LEFT(Table20[[#This Row],[Min]],FIND("-",Table20[[#This Row],[Min]])-1),Table1[Content Sku],0),18,1,1,"Entities")),"review","ok"),"ok")</f>
        <v>ok</v>
      </c>
    </row>
    <row r="508" spans="5:41" x14ac:dyDescent="0.25">
      <c r="E508" t="s">
        <v>254</v>
      </c>
      <c r="F508">
        <v>0</v>
      </c>
      <c r="G508">
        <v>0</v>
      </c>
      <c r="H508" t="s">
        <v>8</v>
      </c>
      <c r="I508" s="74" t="str">
        <f ca="1">IF(Table7[[#This Row],[Type]]="KILL",IF(_xlfn.NUMBERVALUE(RIGHT(Table7[[#This Row],[Min]],LEN(Table7[[#This Row],[Min]])-FIND("-",Table7[[#This Row],[Min]])))&gt;INDIRECT(ADDRESS(11+MATCH(LEFT(Table7[[#This Row],[Min]],FIND("-",Table7[[#This Row],[Min]])-1),Table1[Content Sku],0),16,1,1,"Entities")),"review","ok"),"ok")</f>
        <v>ok</v>
      </c>
      <c r="U508" t="s">
        <v>545</v>
      </c>
      <c r="V508">
        <v>0</v>
      </c>
      <c r="W508">
        <v>0</v>
      </c>
      <c r="X508" t="s">
        <v>8</v>
      </c>
      <c r="Y508" s="74" t="str">
        <f ca="1">IF(Table15[[#This Row],[Type]]="KILL",IF(_xlfn.NUMBERVALUE(RIGHT(Table15[[#This Row],[Min]],LEN(Table15[[#This Row],[Min]])-FIND("-",Table15[[#This Row],[Min]])))&gt;INDIRECT(ADDRESS(11+MATCH(LEFT(Table15[[#This Row],[Min]],FIND("-",Table15[[#This Row],[Min]])-1),Table1[Content Sku],0),16,1,1,"Entities")),"review","ok"),"ok")</f>
        <v>ok</v>
      </c>
      <c r="AK508" t="s">
        <v>416</v>
      </c>
      <c r="AL508">
        <v>0</v>
      </c>
      <c r="AM508">
        <v>26000</v>
      </c>
      <c r="AN508" t="s">
        <v>205</v>
      </c>
      <c r="AO508" s="74" t="str">
        <f ca="1">IF(Table20[[#This Row],[Type]]="KILL",IF(_xlfn.NUMBERVALUE(RIGHT(Table20[[#This Row],[Min]],LEN(Table20[[#This Row],[Min]])-FIND("-",Table20[[#This Row],[Min]])))&gt;INDIRECT(ADDRESS(11+MATCH(LEFT(Table20[[#This Row],[Min]],FIND("-",Table20[[#This Row],[Min]])-1),Table1[Content Sku],0),18,1,1,"Entities")),"review","ok"),"ok")</f>
        <v>ok</v>
      </c>
    </row>
    <row r="509" spans="5:41" x14ac:dyDescent="0.25">
      <c r="E509" t="s">
        <v>400</v>
      </c>
      <c r="F509">
        <v>0</v>
      </c>
      <c r="G509">
        <v>0</v>
      </c>
      <c r="H509" t="s">
        <v>8</v>
      </c>
      <c r="I509" s="74" t="str">
        <f ca="1">IF(Table7[[#This Row],[Type]]="KILL",IF(_xlfn.NUMBERVALUE(RIGHT(Table7[[#This Row],[Min]],LEN(Table7[[#This Row],[Min]])-FIND("-",Table7[[#This Row],[Min]])))&gt;INDIRECT(ADDRESS(11+MATCH(LEFT(Table7[[#This Row],[Min]],FIND("-",Table7[[#This Row],[Min]])-1),Table1[Content Sku],0),16,1,1,"Entities")),"review","ok"),"ok")</f>
        <v>ok</v>
      </c>
      <c r="U509" t="s">
        <v>8133</v>
      </c>
      <c r="V509">
        <v>0</v>
      </c>
      <c r="W509">
        <v>0</v>
      </c>
      <c r="X509" t="s">
        <v>8</v>
      </c>
      <c r="Y509" s="74" t="str">
        <f ca="1">IF(Table15[[#This Row],[Type]]="KILL",IF(_xlfn.NUMBERVALUE(RIGHT(Table15[[#This Row],[Min]],LEN(Table15[[#This Row],[Min]])-FIND("-",Table15[[#This Row],[Min]])))&gt;INDIRECT(ADDRESS(11+MATCH(LEFT(Table15[[#This Row],[Min]],FIND("-",Table15[[#This Row],[Min]])-1),Table1[Content Sku],0),16,1,1,"Entities")),"review","ok"),"ok")</f>
        <v>ok</v>
      </c>
      <c r="AK509" t="s">
        <v>540</v>
      </c>
      <c r="AL509">
        <v>0</v>
      </c>
      <c r="AM509">
        <v>0</v>
      </c>
      <c r="AN509" t="s">
        <v>8</v>
      </c>
      <c r="AO509" s="74" t="str">
        <f ca="1">IF(Table20[[#This Row],[Type]]="KILL",IF(_xlfn.NUMBERVALUE(RIGHT(Table20[[#This Row],[Min]],LEN(Table20[[#This Row],[Min]])-FIND("-",Table20[[#This Row],[Min]])))&gt;INDIRECT(ADDRESS(11+MATCH(LEFT(Table20[[#This Row],[Min]],FIND("-",Table20[[#This Row],[Min]])-1),Table1[Content Sku],0),18,1,1,"Entities")),"review","ok"),"ok")</f>
        <v>ok</v>
      </c>
    </row>
    <row r="510" spans="5:41" x14ac:dyDescent="0.25">
      <c r="E510" t="s">
        <v>63</v>
      </c>
      <c r="F510">
        <v>0</v>
      </c>
      <c r="G510">
        <v>0</v>
      </c>
      <c r="H510" t="s">
        <v>8</v>
      </c>
      <c r="I510" s="74" t="str">
        <f ca="1">IF(Table7[[#This Row],[Type]]="KILL",IF(_xlfn.NUMBERVALUE(RIGHT(Table7[[#This Row],[Min]],LEN(Table7[[#This Row],[Min]])-FIND("-",Table7[[#This Row],[Min]])))&gt;INDIRECT(ADDRESS(11+MATCH(LEFT(Table7[[#This Row],[Min]],FIND("-",Table7[[#This Row],[Min]])-1),Table1[Content Sku],0),16,1,1,"Entities")),"review","ok"),"ok")</f>
        <v>ok</v>
      </c>
      <c r="U510" t="s">
        <v>289</v>
      </c>
      <c r="V510">
        <v>0</v>
      </c>
      <c r="W510">
        <v>0</v>
      </c>
      <c r="X510" t="s">
        <v>8</v>
      </c>
      <c r="Y510" s="74" t="str">
        <f ca="1">IF(Table15[[#This Row],[Type]]="KILL",IF(_xlfn.NUMBERVALUE(RIGHT(Table15[[#This Row],[Min]],LEN(Table15[[#This Row],[Min]])-FIND("-",Table15[[#This Row],[Min]])))&gt;INDIRECT(ADDRESS(11+MATCH(LEFT(Table15[[#This Row],[Min]],FIND("-",Table15[[#This Row],[Min]])-1),Table1[Content Sku],0),16,1,1,"Entities")),"review","ok"),"ok")</f>
        <v>ok</v>
      </c>
      <c r="AK510" t="s">
        <v>2686</v>
      </c>
      <c r="AL510">
        <v>88000</v>
      </c>
      <c r="AM510">
        <v>0</v>
      </c>
      <c r="AN510" t="s">
        <v>205</v>
      </c>
      <c r="AO510" s="74" t="str">
        <f ca="1">IF(Table20[[#This Row],[Type]]="KILL",IF(_xlfn.NUMBERVALUE(RIGHT(Table20[[#This Row],[Min]],LEN(Table20[[#This Row],[Min]])-FIND("-",Table20[[#This Row],[Min]])))&gt;INDIRECT(ADDRESS(11+MATCH(LEFT(Table20[[#This Row],[Min]],FIND("-",Table20[[#This Row],[Min]])-1),Table1[Content Sku],0),18,1,1,"Entities")),"review","ok"),"ok")</f>
        <v>ok</v>
      </c>
    </row>
    <row r="511" spans="5:41" x14ac:dyDescent="0.25">
      <c r="E511" t="s">
        <v>254</v>
      </c>
      <c r="F511">
        <v>6000</v>
      </c>
      <c r="G511">
        <v>0</v>
      </c>
      <c r="H511" t="s">
        <v>205</v>
      </c>
      <c r="I511" s="74" t="str">
        <f ca="1">IF(Table7[[#This Row],[Type]]="KILL",IF(_xlfn.NUMBERVALUE(RIGHT(Table7[[#This Row],[Min]],LEN(Table7[[#This Row],[Min]])-FIND("-",Table7[[#This Row],[Min]])))&gt;INDIRECT(ADDRESS(11+MATCH(LEFT(Table7[[#This Row],[Min]],FIND("-",Table7[[#This Row],[Min]])-1),Table1[Content Sku],0),16,1,1,"Entities")),"review","ok"),"ok")</f>
        <v>ok</v>
      </c>
      <c r="U511" t="s">
        <v>122</v>
      </c>
      <c r="V511">
        <v>37000</v>
      </c>
      <c r="W511">
        <v>0</v>
      </c>
      <c r="X511" t="s">
        <v>205</v>
      </c>
      <c r="Y511" s="74" t="str">
        <f ca="1">IF(Table15[[#This Row],[Type]]="KILL",IF(_xlfn.NUMBERVALUE(RIGHT(Table15[[#This Row],[Min]],LEN(Table15[[#This Row],[Min]])-FIND("-",Table15[[#This Row],[Min]])))&gt;INDIRECT(ADDRESS(11+MATCH(LEFT(Table15[[#This Row],[Min]],FIND("-",Table15[[#This Row],[Min]])-1),Table1[Content Sku],0),16,1,1,"Entities")),"review","ok"),"ok")</f>
        <v>ok</v>
      </c>
      <c r="AK511" t="s">
        <v>346</v>
      </c>
      <c r="AL511">
        <v>0</v>
      </c>
      <c r="AM511">
        <v>0</v>
      </c>
      <c r="AN511" t="s">
        <v>8</v>
      </c>
      <c r="AO511" s="74" t="str">
        <f ca="1">IF(Table20[[#This Row],[Type]]="KILL",IF(_xlfn.NUMBERVALUE(RIGHT(Table20[[#This Row],[Min]],LEN(Table20[[#This Row],[Min]])-FIND("-",Table20[[#This Row],[Min]])))&gt;INDIRECT(ADDRESS(11+MATCH(LEFT(Table20[[#This Row],[Min]],FIND("-",Table20[[#This Row],[Min]])-1),Table1[Content Sku],0),18,1,1,"Entities")),"review","ok"),"ok")</f>
        <v>ok</v>
      </c>
    </row>
    <row r="512" spans="5:41" x14ac:dyDescent="0.25">
      <c r="E512" t="s">
        <v>42</v>
      </c>
      <c r="F512">
        <v>16500</v>
      </c>
      <c r="G512">
        <v>0</v>
      </c>
      <c r="H512" t="s">
        <v>205</v>
      </c>
      <c r="I512" s="74" t="str">
        <f ca="1">IF(Table7[[#This Row],[Type]]="KILL",IF(_xlfn.NUMBERVALUE(RIGHT(Table7[[#This Row],[Min]],LEN(Table7[[#This Row],[Min]])-FIND("-",Table7[[#This Row],[Min]])))&gt;INDIRECT(ADDRESS(11+MATCH(LEFT(Table7[[#This Row],[Min]],FIND("-",Table7[[#This Row],[Min]])-1),Table1[Content Sku],0),16,1,1,"Entities")),"review","ok"),"ok")</f>
        <v>ok</v>
      </c>
      <c r="U512" t="s">
        <v>37</v>
      </c>
      <c r="V512">
        <v>0</v>
      </c>
      <c r="W512">
        <v>0</v>
      </c>
      <c r="X512" t="s">
        <v>8</v>
      </c>
      <c r="Y512" s="74" t="str">
        <f ca="1">IF(Table15[[#This Row],[Type]]="KILL",IF(_xlfn.NUMBERVALUE(RIGHT(Table15[[#This Row],[Min]],LEN(Table15[[#This Row],[Min]])-FIND("-",Table15[[#This Row],[Min]])))&gt;INDIRECT(ADDRESS(11+MATCH(LEFT(Table15[[#This Row],[Min]],FIND("-",Table15[[#This Row],[Min]])-1),Table1[Content Sku],0),16,1,1,"Entities")),"review","ok"),"ok")</f>
        <v>ok</v>
      </c>
      <c r="AK512" t="s">
        <v>2676</v>
      </c>
      <c r="AL512">
        <v>0</v>
      </c>
      <c r="AM512">
        <v>90000</v>
      </c>
      <c r="AN512" t="s">
        <v>205</v>
      </c>
      <c r="AO512" s="74" t="str">
        <f ca="1">IF(Table20[[#This Row],[Type]]="KILL",IF(_xlfn.NUMBERVALUE(RIGHT(Table20[[#This Row],[Min]],LEN(Table20[[#This Row],[Min]])-FIND("-",Table20[[#This Row],[Min]])))&gt;INDIRECT(ADDRESS(11+MATCH(LEFT(Table20[[#This Row],[Min]],FIND("-",Table20[[#This Row],[Min]])-1),Table1[Content Sku],0),18,1,1,"Entities")),"review","ok"),"ok")</f>
        <v>ok</v>
      </c>
    </row>
    <row r="513" spans="5:41" x14ac:dyDescent="0.25">
      <c r="E513" t="s">
        <v>416</v>
      </c>
      <c r="F513">
        <v>0</v>
      </c>
      <c r="G513">
        <v>20000</v>
      </c>
      <c r="H513" t="s">
        <v>205</v>
      </c>
      <c r="I513" s="74" t="str">
        <f ca="1">IF(Table7[[#This Row],[Type]]="KILL",IF(_xlfn.NUMBERVALUE(RIGHT(Table7[[#This Row],[Min]],LEN(Table7[[#This Row],[Min]])-FIND("-",Table7[[#This Row],[Min]])))&gt;INDIRECT(ADDRESS(11+MATCH(LEFT(Table7[[#This Row],[Min]],FIND("-",Table7[[#This Row],[Min]])-1),Table1[Content Sku],0),16,1,1,"Entities")),"review","ok"),"ok")</f>
        <v>ok</v>
      </c>
      <c r="U513" t="s">
        <v>122</v>
      </c>
      <c r="V513">
        <v>0</v>
      </c>
      <c r="W513">
        <v>0</v>
      </c>
      <c r="X513" t="s">
        <v>8</v>
      </c>
      <c r="Y513" s="74" t="str">
        <f ca="1">IF(Table15[[#This Row],[Type]]="KILL",IF(_xlfn.NUMBERVALUE(RIGHT(Table15[[#This Row],[Min]],LEN(Table15[[#This Row],[Min]])-FIND("-",Table15[[#This Row],[Min]])))&gt;INDIRECT(ADDRESS(11+MATCH(LEFT(Table15[[#This Row],[Min]],FIND("-",Table15[[#This Row],[Min]])-1),Table1[Content Sku],0),16,1,1,"Entities")),"review","ok"),"ok")</f>
        <v>ok</v>
      </c>
      <c r="AK513" t="s">
        <v>122</v>
      </c>
      <c r="AL513">
        <v>0</v>
      </c>
      <c r="AM513">
        <v>0</v>
      </c>
      <c r="AN513" t="s">
        <v>8</v>
      </c>
      <c r="AO513" s="74" t="str">
        <f ca="1">IF(Table20[[#This Row],[Type]]="KILL",IF(_xlfn.NUMBERVALUE(RIGHT(Table20[[#This Row],[Min]],LEN(Table20[[#This Row],[Min]])-FIND("-",Table20[[#This Row],[Min]])))&gt;INDIRECT(ADDRESS(11+MATCH(LEFT(Table20[[#This Row],[Min]],FIND("-",Table20[[#This Row],[Min]])-1),Table1[Content Sku],0),18,1,1,"Entities")),"review","ok"),"ok")</f>
        <v>ok</v>
      </c>
    </row>
    <row r="514" spans="5:41" x14ac:dyDescent="0.25">
      <c r="E514" t="s">
        <v>313</v>
      </c>
      <c r="F514">
        <v>0</v>
      </c>
      <c r="G514">
        <v>0</v>
      </c>
      <c r="H514" t="s">
        <v>8</v>
      </c>
      <c r="I514" s="74" t="str">
        <f ca="1">IF(Table7[[#This Row],[Type]]="KILL",IF(_xlfn.NUMBERVALUE(RIGHT(Table7[[#This Row],[Min]],LEN(Table7[[#This Row],[Min]])-FIND("-",Table7[[#This Row],[Min]])))&gt;INDIRECT(ADDRESS(11+MATCH(LEFT(Table7[[#This Row],[Min]],FIND("-",Table7[[#This Row],[Min]])-1),Table1[Content Sku],0),16,1,1,"Entities")),"review","ok"),"ok")</f>
        <v>ok</v>
      </c>
      <c r="U514" t="s">
        <v>391</v>
      </c>
      <c r="V514">
        <v>0</v>
      </c>
      <c r="W514">
        <v>0</v>
      </c>
      <c r="X514" t="s">
        <v>8</v>
      </c>
      <c r="Y514" s="74" t="str">
        <f ca="1">IF(Table15[[#This Row],[Type]]="KILL",IF(_xlfn.NUMBERVALUE(RIGHT(Table15[[#This Row],[Min]],LEN(Table15[[#This Row],[Min]])-FIND("-",Table15[[#This Row],[Min]])))&gt;INDIRECT(ADDRESS(11+MATCH(LEFT(Table15[[#This Row],[Min]],FIND("-",Table15[[#This Row],[Min]])-1),Table1[Content Sku],0),16,1,1,"Entities")),"review","ok"),"ok")</f>
        <v>ok</v>
      </c>
      <c r="AK514" t="s">
        <v>2680</v>
      </c>
      <c r="AL514">
        <v>0</v>
      </c>
      <c r="AM514">
        <v>0</v>
      </c>
      <c r="AN514" t="s">
        <v>8</v>
      </c>
      <c r="AO514" s="74" t="str">
        <f ca="1">IF(Table20[[#This Row],[Type]]="KILL",IF(_xlfn.NUMBERVALUE(RIGHT(Table20[[#This Row],[Min]],LEN(Table20[[#This Row],[Min]])-FIND("-",Table20[[#This Row],[Min]])))&gt;INDIRECT(ADDRESS(11+MATCH(LEFT(Table20[[#This Row],[Min]],FIND("-",Table20[[#This Row],[Min]])-1),Table1[Content Sku],0),18,1,1,"Entities")),"review","ok"),"ok")</f>
        <v>ok</v>
      </c>
    </row>
    <row r="515" spans="5:41" x14ac:dyDescent="0.25">
      <c r="E515" t="s">
        <v>37</v>
      </c>
      <c r="F515">
        <v>0</v>
      </c>
      <c r="G515">
        <v>0</v>
      </c>
      <c r="H515" t="s">
        <v>8</v>
      </c>
      <c r="I515" s="74" t="str">
        <f ca="1">IF(Table7[[#This Row],[Type]]="KILL",IF(_xlfn.NUMBERVALUE(RIGHT(Table7[[#This Row],[Min]],LEN(Table7[[#This Row],[Min]])-FIND("-",Table7[[#This Row],[Min]])))&gt;INDIRECT(ADDRESS(11+MATCH(LEFT(Table7[[#This Row],[Min]],FIND("-",Table7[[#This Row],[Min]])-1),Table1[Content Sku],0),16,1,1,"Entities")),"review","ok"),"ok")</f>
        <v>ok</v>
      </c>
      <c r="U515" t="s">
        <v>122</v>
      </c>
      <c r="V515">
        <v>0</v>
      </c>
      <c r="W515">
        <v>0</v>
      </c>
      <c r="X515" t="s">
        <v>8</v>
      </c>
      <c r="Y515" s="74" t="str">
        <f ca="1">IF(Table15[[#This Row],[Type]]="KILL",IF(_xlfn.NUMBERVALUE(RIGHT(Table15[[#This Row],[Min]],LEN(Table15[[#This Row],[Min]])-FIND("-",Table15[[#This Row],[Min]])))&gt;INDIRECT(ADDRESS(11+MATCH(LEFT(Table15[[#This Row],[Min]],FIND("-",Table15[[#This Row],[Min]])-1),Table1[Content Sku],0),16,1,1,"Entities")),"review","ok"),"ok")</f>
        <v>ok</v>
      </c>
      <c r="AK515" t="s">
        <v>2672</v>
      </c>
      <c r="AL515">
        <v>43000</v>
      </c>
      <c r="AM515">
        <v>0</v>
      </c>
      <c r="AN515" t="s">
        <v>205</v>
      </c>
      <c r="AO515" s="74" t="str">
        <f ca="1">IF(Table20[[#This Row],[Type]]="KILL",IF(_xlfn.NUMBERVALUE(RIGHT(Table20[[#This Row],[Min]],LEN(Table20[[#This Row],[Min]])-FIND("-",Table20[[#This Row],[Min]])))&gt;INDIRECT(ADDRESS(11+MATCH(LEFT(Table20[[#This Row],[Min]],FIND("-",Table20[[#This Row],[Min]])-1),Table1[Content Sku],0),18,1,1,"Entities")),"review","ok"),"ok")</f>
        <v>ok</v>
      </c>
    </row>
    <row r="516" spans="5:41" x14ac:dyDescent="0.25">
      <c r="E516" t="s">
        <v>39</v>
      </c>
      <c r="F516">
        <v>0</v>
      </c>
      <c r="G516">
        <v>0</v>
      </c>
      <c r="H516" t="s">
        <v>8</v>
      </c>
      <c r="I516" s="74" t="str">
        <f ca="1">IF(Table7[[#This Row],[Type]]="KILL",IF(_xlfn.NUMBERVALUE(RIGHT(Table7[[#This Row],[Min]],LEN(Table7[[#This Row],[Min]])-FIND("-",Table7[[#This Row],[Min]])))&gt;INDIRECT(ADDRESS(11+MATCH(LEFT(Table7[[#This Row],[Min]],FIND("-",Table7[[#This Row],[Min]])-1),Table1[Content Sku],0),16,1,1,"Entities")),"review","ok"),"ok")</f>
        <v>ok</v>
      </c>
      <c r="U516" t="s">
        <v>313</v>
      </c>
      <c r="V516">
        <v>0</v>
      </c>
      <c r="W516">
        <v>0</v>
      </c>
      <c r="X516" t="s">
        <v>8</v>
      </c>
      <c r="Y516" s="74" t="str">
        <f ca="1">IF(Table15[[#This Row],[Type]]="KILL",IF(_xlfn.NUMBERVALUE(RIGHT(Table15[[#This Row],[Min]],LEN(Table15[[#This Row],[Min]])-FIND("-",Table15[[#This Row],[Min]])))&gt;INDIRECT(ADDRESS(11+MATCH(LEFT(Table15[[#This Row],[Min]],FIND("-",Table15[[#This Row],[Min]])-1),Table1[Content Sku],0),16,1,1,"Entities")),"review","ok"),"ok")</f>
        <v>ok</v>
      </c>
      <c r="AK516" t="s">
        <v>2673</v>
      </c>
      <c r="AL516">
        <v>50000</v>
      </c>
      <c r="AM516">
        <v>0</v>
      </c>
      <c r="AN516" t="s">
        <v>205</v>
      </c>
      <c r="AO516" s="74" t="str">
        <f ca="1">IF(Table20[[#This Row],[Type]]="KILL",IF(_xlfn.NUMBERVALUE(RIGHT(Table20[[#This Row],[Min]],LEN(Table20[[#This Row],[Min]])-FIND("-",Table20[[#This Row],[Min]])))&gt;INDIRECT(ADDRESS(11+MATCH(LEFT(Table20[[#This Row],[Min]],FIND("-",Table20[[#This Row],[Min]])-1),Table1[Content Sku],0),18,1,1,"Entities")),"review","ok"),"ok")</f>
        <v>ok</v>
      </c>
    </row>
    <row r="517" spans="5:41" x14ac:dyDescent="0.25">
      <c r="E517" t="s">
        <v>315</v>
      </c>
      <c r="F517">
        <v>0</v>
      </c>
      <c r="G517">
        <v>0</v>
      </c>
      <c r="H517" t="s">
        <v>8</v>
      </c>
      <c r="I517" s="74" t="str">
        <f ca="1">IF(Table7[[#This Row],[Type]]="KILL",IF(_xlfn.NUMBERVALUE(RIGHT(Table7[[#This Row],[Min]],LEN(Table7[[#This Row],[Min]])-FIND("-",Table7[[#This Row],[Min]])))&gt;INDIRECT(ADDRESS(11+MATCH(LEFT(Table7[[#This Row],[Min]],FIND("-",Table7[[#This Row],[Min]])-1),Table1[Content Sku],0),16,1,1,"Entities")),"review","ok"),"ok")</f>
        <v>ok</v>
      </c>
      <c r="U517" t="s">
        <v>391</v>
      </c>
      <c r="V517">
        <v>0</v>
      </c>
      <c r="W517">
        <v>0</v>
      </c>
      <c r="X517" t="s">
        <v>8</v>
      </c>
      <c r="Y517" s="74" t="str">
        <f ca="1">IF(Table15[[#This Row],[Type]]="KILL",IF(_xlfn.NUMBERVALUE(RIGHT(Table15[[#This Row],[Min]],LEN(Table15[[#This Row],[Min]])-FIND("-",Table15[[#This Row],[Min]])))&gt;INDIRECT(ADDRESS(11+MATCH(LEFT(Table15[[#This Row],[Min]],FIND("-",Table15[[#This Row],[Min]])-1),Table1[Content Sku],0),16,1,1,"Entities")),"review","ok"),"ok")</f>
        <v>ok</v>
      </c>
      <c r="AK517" t="s">
        <v>2674</v>
      </c>
      <c r="AL517">
        <v>0</v>
      </c>
      <c r="AM517">
        <v>0</v>
      </c>
      <c r="AN517" t="s">
        <v>8</v>
      </c>
      <c r="AO517" s="74" t="str">
        <f ca="1">IF(Table20[[#This Row],[Type]]="KILL",IF(_xlfn.NUMBERVALUE(RIGHT(Table20[[#This Row],[Min]],LEN(Table20[[#This Row],[Min]])-FIND("-",Table20[[#This Row],[Min]])))&gt;INDIRECT(ADDRESS(11+MATCH(LEFT(Table20[[#This Row],[Min]],FIND("-",Table20[[#This Row],[Min]])-1),Table1[Content Sku],0),18,1,1,"Entities")),"review","ok"),"ok")</f>
        <v>ok</v>
      </c>
    </row>
    <row r="518" spans="5:41" x14ac:dyDescent="0.25">
      <c r="E518" t="s">
        <v>37</v>
      </c>
      <c r="F518">
        <v>0</v>
      </c>
      <c r="G518">
        <v>0</v>
      </c>
      <c r="H518" t="s">
        <v>8</v>
      </c>
      <c r="I518" s="74" t="str">
        <f ca="1">IF(Table7[[#This Row],[Type]]="KILL",IF(_xlfn.NUMBERVALUE(RIGHT(Table7[[#This Row],[Min]],LEN(Table7[[#This Row],[Min]])-FIND("-",Table7[[#This Row],[Min]])))&gt;INDIRECT(ADDRESS(11+MATCH(LEFT(Table7[[#This Row],[Min]],FIND("-",Table7[[#This Row],[Min]])-1),Table1[Content Sku],0),16,1,1,"Entities")),"review","ok"),"ok")</f>
        <v>ok</v>
      </c>
      <c r="U518" t="s">
        <v>315</v>
      </c>
      <c r="V518">
        <v>0</v>
      </c>
      <c r="W518">
        <v>0</v>
      </c>
      <c r="X518" t="s">
        <v>8</v>
      </c>
      <c r="Y518" s="74" t="str">
        <f ca="1">IF(Table15[[#This Row],[Type]]="KILL",IF(_xlfn.NUMBERVALUE(RIGHT(Table15[[#This Row],[Min]],LEN(Table15[[#This Row],[Min]])-FIND("-",Table15[[#This Row],[Min]])))&gt;INDIRECT(ADDRESS(11+MATCH(LEFT(Table15[[#This Row],[Min]],FIND("-",Table15[[#This Row],[Min]])-1),Table1[Content Sku],0),16,1,1,"Entities")),"review","ok"),"ok")</f>
        <v>ok</v>
      </c>
      <c r="AK518" t="s">
        <v>398</v>
      </c>
      <c r="AL518">
        <v>0</v>
      </c>
      <c r="AM518">
        <v>0</v>
      </c>
      <c r="AN518" t="s">
        <v>8</v>
      </c>
      <c r="AO518" s="74" t="str">
        <f ca="1">IF(Table20[[#This Row],[Type]]="KILL",IF(_xlfn.NUMBERVALUE(RIGHT(Table20[[#This Row],[Min]],LEN(Table20[[#This Row],[Min]])-FIND("-",Table20[[#This Row],[Min]])))&gt;INDIRECT(ADDRESS(11+MATCH(LEFT(Table20[[#This Row],[Min]],FIND("-",Table20[[#This Row],[Min]])-1),Table1[Content Sku],0),18,1,1,"Entities")),"review","ok"),"ok")</f>
        <v>ok</v>
      </c>
    </row>
    <row r="519" spans="5:41" x14ac:dyDescent="0.25">
      <c r="E519" t="s">
        <v>280</v>
      </c>
      <c r="F519">
        <v>0</v>
      </c>
      <c r="G519">
        <v>0</v>
      </c>
      <c r="H519" t="s">
        <v>8</v>
      </c>
      <c r="I519" s="74" t="str">
        <f ca="1">IF(Table7[[#This Row],[Type]]="KILL",IF(_xlfn.NUMBERVALUE(RIGHT(Table7[[#This Row],[Min]],LEN(Table7[[#This Row],[Min]])-FIND("-",Table7[[#This Row],[Min]])))&gt;INDIRECT(ADDRESS(11+MATCH(LEFT(Table7[[#This Row],[Min]],FIND("-",Table7[[#This Row],[Min]])-1),Table1[Content Sku],0),16,1,1,"Entities")),"review","ok"),"ok")</f>
        <v>ok</v>
      </c>
      <c r="U519" t="s">
        <v>2741</v>
      </c>
      <c r="V519">
        <v>0</v>
      </c>
      <c r="W519">
        <v>0</v>
      </c>
      <c r="X519" t="s">
        <v>8</v>
      </c>
      <c r="Y519" s="74" t="str">
        <f ca="1">IF(Table15[[#This Row],[Type]]="KILL",IF(_xlfn.NUMBERVALUE(RIGHT(Table15[[#This Row],[Min]],LEN(Table15[[#This Row],[Min]])-FIND("-",Table15[[#This Row],[Min]])))&gt;INDIRECT(ADDRESS(11+MATCH(LEFT(Table15[[#This Row],[Min]],FIND("-",Table15[[#This Row],[Min]])-1),Table1[Content Sku],0),16,1,1,"Entities")),"review","ok"),"ok")</f>
        <v>ok</v>
      </c>
      <c r="AK519" t="s">
        <v>2670</v>
      </c>
      <c r="AL519">
        <v>0</v>
      </c>
      <c r="AM519">
        <v>30000</v>
      </c>
      <c r="AN519" t="s">
        <v>205</v>
      </c>
      <c r="AO519" s="74" t="str">
        <f ca="1">IF(Table20[[#This Row],[Type]]="KILL",IF(_xlfn.NUMBERVALUE(RIGHT(Table20[[#This Row],[Min]],LEN(Table20[[#This Row],[Min]])-FIND("-",Table20[[#This Row],[Min]])))&gt;INDIRECT(ADDRESS(11+MATCH(LEFT(Table20[[#This Row],[Min]],FIND("-",Table20[[#This Row],[Min]])-1),Table1[Content Sku],0),18,1,1,"Entities")),"review","ok"),"ok")</f>
        <v>ok</v>
      </c>
    </row>
    <row r="520" spans="5:41" x14ac:dyDescent="0.25">
      <c r="E520" t="s">
        <v>313</v>
      </c>
      <c r="F520">
        <v>0</v>
      </c>
      <c r="G520">
        <v>0</v>
      </c>
      <c r="H520" t="s">
        <v>8</v>
      </c>
      <c r="I520" s="74" t="str">
        <f ca="1">IF(Table7[[#This Row],[Type]]="KILL",IF(_xlfn.NUMBERVALUE(RIGHT(Table7[[#This Row],[Min]],LEN(Table7[[#This Row],[Min]])-FIND("-",Table7[[#This Row],[Min]])))&gt;INDIRECT(ADDRESS(11+MATCH(LEFT(Table7[[#This Row],[Min]],FIND("-",Table7[[#This Row],[Min]])-1),Table1[Content Sku],0),16,1,1,"Entities")),"review","ok"),"ok")</f>
        <v>ok</v>
      </c>
      <c r="U520" t="s">
        <v>313</v>
      </c>
      <c r="V520">
        <v>0</v>
      </c>
      <c r="W520">
        <v>0</v>
      </c>
      <c r="X520" t="s">
        <v>8</v>
      </c>
      <c r="Y520" s="74" t="str">
        <f ca="1">IF(Table15[[#This Row],[Type]]="KILL",IF(_xlfn.NUMBERVALUE(RIGHT(Table15[[#This Row],[Min]],LEN(Table15[[#This Row],[Min]])-FIND("-",Table15[[#This Row],[Min]])))&gt;INDIRECT(ADDRESS(11+MATCH(LEFT(Table15[[#This Row],[Min]],FIND("-",Table15[[#This Row],[Min]])-1),Table1[Content Sku],0),16,1,1,"Entities")),"review","ok"),"ok")</f>
        <v>ok</v>
      </c>
      <c r="AK520" t="s">
        <v>41</v>
      </c>
      <c r="AL520">
        <v>40000</v>
      </c>
      <c r="AM520">
        <v>0</v>
      </c>
      <c r="AN520" t="s">
        <v>205</v>
      </c>
      <c r="AO520" s="74" t="str">
        <f ca="1">IF(Table20[[#This Row],[Type]]="KILL",IF(_xlfn.NUMBERVALUE(RIGHT(Table20[[#This Row],[Min]],LEN(Table20[[#This Row],[Min]])-FIND("-",Table20[[#This Row],[Min]])))&gt;INDIRECT(ADDRESS(11+MATCH(LEFT(Table20[[#This Row],[Min]],FIND("-",Table20[[#This Row],[Min]])-1),Table1[Content Sku],0),18,1,1,"Entities")),"review","ok"),"ok")</f>
        <v>ok</v>
      </c>
    </row>
    <row r="521" spans="5:41" x14ac:dyDescent="0.25">
      <c r="E521" t="s">
        <v>306</v>
      </c>
      <c r="F521">
        <v>0</v>
      </c>
      <c r="G521">
        <v>0</v>
      </c>
      <c r="H521" t="s">
        <v>8</v>
      </c>
      <c r="I521" s="74" t="str">
        <f ca="1">IF(Table7[[#This Row],[Type]]="KILL",IF(_xlfn.NUMBERVALUE(RIGHT(Table7[[#This Row],[Min]],LEN(Table7[[#This Row],[Min]])-FIND("-",Table7[[#This Row],[Min]])))&gt;INDIRECT(ADDRESS(11+MATCH(LEFT(Table7[[#This Row],[Min]],FIND("-",Table7[[#This Row],[Min]])-1),Table1[Content Sku],0),16,1,1,"Entities")),"review","ok"),"ok")</f>
        <v>ok</v>
      </c>
      <c r="U521" t="s">
        <v>95</v>
      </c>
      <c r="V521">
        <v>0</v>
      </c>
      <c r="W521">
        <v>0</v>
      </c>
      <c r="X521" t="s">
        <v>8</v>
      </c>
      <c r="Y521" s="74" t="str">
        <f ca="1">IF(Table15[[#This Row],[Type]]="KILL",IF(_xlfn.NUMBERVALUE(RIGHT(Table15[[#This Row],[Min]],LEN(Table15[[#This Row],[Min]])-FIND("-",Table15[[#This Row],[Min]])))&gt;INDIRECT(ADDRESS(11+MATCH(LEFT(Table15[[#This Row],[Min]],FIND("-",Table15[[#This Row],[Min]])-1),Table1[Content Sku],0),16,1,1,"Entities")),"review","ok"),"ok")</f>
        <v>ok</v>
      </c>
      <c r="AK521" t="s">
        <v>2662</v>
      </c>
      <c r="AL521">
        <v>33000</v>
      </c>
      <c r="AM521">
        <v>0</v>
      </c>
      <c r="AN521" t="s">
        <v>205</v>
      </c>
      <c r="AO521" s="74" t="str">
        <f ca="1">IF(Table20[[#This Row],[Type]]="KILL",IF(_xlfn.NUMBERVALUE(RIGHT(Table20[[#This Row],[Min]],LEN(Table20[[#This Row],[Min]])-FIND("-",Table20[[#This Row],[Min]])))&gt;INDIRECT(ADDRESS(11+MATCH(LEFT(Table20[[#This Row],[Min]],FIND("-",Table20[[#This Row],[Min]])-1),Table1[Content Sku],0),18,1,1,"Entities")),"review","ok"),"ok")</f>
        <v>ok</v>
      </c>
    </row>
    <row r="522" spans="5:41" x14ac:dyDescent="0.25">
      <c r="E522" t="s">
        <v>289</v>
      </c>
      <c r="F522">
        <v>0</v>
      </c>
      <c r="G522">
        <v>0</v>
      </c>
      <c r="H522" t="s">
        <v>8</v>
      </c>
      <c r="I522" s="74" t="str">
        <f ca="1">IF(Table7[[#This Row],[Type]]="KILL",IF(_xlfn.NUMBERVALUE(RIGHT(Table7[[#This Row],[Min]],LEN(Table7[[#This Row],[Min]])-FIND("-",Table7[[#This Row],[Min]])))&gt;INDIRECT(ADDRESS(11+MATCH(LEFT(Table7[[#This Row],[Min]],FIND("-",Table7[[#This Row],[Min]])-1),Table1[Content Sku],0),16,1,1,"Entities")),"review","ok"),"ok")</f>
        <v>ok</v>
      </c>
      <c r="U522" t="s">
        <v>315</v>
      </c>
      <c r="V522">
        <v>0</v>
      </c>
      <c r="W522">
        <v>0</v>
      </c>
      <c r="X522" t="s">
        <v>8</v>
      </c>
      <c r="Y522" s="74" t="str">
        <f ca="1">IF(Table15[[#This Row],[Type]]="KILL",IF(_xlfn.NUMBERVALUE(RIGHT(Table15[[#This Row],[Min]],LEN(Table15[[#This Row],[Min]])-FIND("-",Table15[[#This Row],[Min]])))&gt;INDIRECT(ADDRESS(11+MATCH(LEFT(Table15[[#This Row],[Min]],FIND("-",Table15[[#This Row],[Min]])-1),Table1[Content Sku],0),16,1,1,"Entities")),"review","ok"),"ok")</f>
        <v>ok</v>
      </c>
      <c r="AK522" t="s">
        <v>545</v>
      </c>
      <c r="AL522">
        <v>0</v>
      </c>
      <c r="AM522">
        <v>0</v>
      </c>
      <c r="AN522" t="s">
        <v>8</v>
      </c>
      <c r="AO522" s="74" t="str">
        <f ca="1">IF(Table20[[#This Row],[Type]]="KILL",IF(_xlfn.NUMBERVALUE(RIGHT(Table20[[#This Row],[Min]],LEN(Table20[[#This Row],[Min]])-FIND("-",Table20[[#This Row],[Min]])))&gt;INDIRECT(ADDRESS(11+MATCH(LEFT(Table20[[#This Row],[Min]],FIND("-",Table20[[#This Row],[Min]])-1),Table1[Content Sku],0),18,1,1,"Entities")),"review","ok"),"ok")</f>
        <v>ok</v>
      </c>
    </row>
    <row r="523" spans="5:41" x14ac:dyDescent="0.25">
      <c r="E523" t="s">
        <v>39</v>
      </c>
      <c r="F523">
        <v>9000</v>
      </c>
      <c r="G523">
        <v>0</v>
      </c>
      <c r="H523" t="s">
        <v>205</v>
      </c>
      <c r="I523" s="74" t="str">
        <f ca="1">IF(Table7[[#This Row],[Type]]="KILL",IF(_xlfn.NUMBERVALUE(RIGHT(Table7[[#This Row],[Min]],LEN(Table7[[#This Row],[Min]])-FIND("-",Table7[[#This Row],[Min]])))&gt;INDIRECT(ADDRESS(11+MATCH(LEFT(Table7[[#This Row],[Min]],FIND("-",Table7[[#This Row],[Min]])-1),Table1[Content Sku],0),16,1,1,"Entities")),"review","ok"),"ok")</f>
        <v>ok</v>
      </c>
      <c r="U523" t="s">
        <v>400</v>
      </c>
      <c r="V523">
        <v>14000</v>
      </c>
      <c r="W523">
        <v>0</v>
      </c>
      <c r="X523" t="s">
        <v>205</v>
      </c>
      <c r="Y523" s="74" t="str">
        <f ca="1">IF(Table15[[#This Row],[Type]]="KILL",IF(_xlfn.NUMBERVALUE(RIGHT(Table15[[#This Row],[Min]],LEN(Table15[[#This Row],[Min]])-FIND("-",Table15[[#This Row],[Min]])))&gt;INDIRECT(ADDRESS(11+MATCH(LEFT(Table15[[#This Row],[Min]],FIND("-",Table15[[#This Row],[Min]])-1),Table1[Content Sku],0),16,1,1,"Entities")),"review","ok"),"ok")</f>
        <v>ok</v>
      </c>
      <c r="AK523" t="s">
        <v>37</v>
      </c>
      <c r="AL523">
        <v>0</v>
      </c>
      <c r="AM523">
        <v>0</v>
      </c>
      <c r="AN523" t="s">
        <v>8</v>
      </c>
      <c r="AO523" s="74" t="str">
        <f ca="1">IF(Table20[[#This Row],[Type]]="KILL",IF(_xlfn.NUMBERVALUE(RIGHT(Table20[[#This Row],[Min]],LEN(Table20[[#This Row],[Min]])-FIND("-",Table20[[#This Row],[Min]])))&gt;INDIRECT(ADDRESS(11+MATCH(LEFT(Table20[[#This Row],[Min]],FIND("-",Table20[[#This Row],[Min]])-1),Table1[Content Sku],0),18,1,1,"Entities")),"review","ok"),"ok")</f>
        <v>ok</v>
      </c>
    </row>
    <row r="524" spans="5:41" x14ac:dyDescent="0.25">
      <c r="E524" t="s">
        <v>90</v>
      </c>
      <c r="F524">
        <v>0</v>
      </c>
      <c r="G524">
        <v>0</v>
      </c>
      <c r="H524" t="s">
        <v>8</v>
      </c>
      <c r="I524" s="74" t="str">
        <f ca="1">IF(Table7[[#This Row],[Type]]="KILL",IF(_xlfn.NUMBERVALUE(RIGHT(Table7[[#This Row],[Min]],LEN(Table7[[#This Row],[Min]])-FIND("-",Table7[[#This Row],[Min]])))&gt;INDIRECT(ADDRESS(11+MATCH(LEFT(Table7[[#This Row],[Min]],FIND("-",Table7[[#This Row],[Min]])-1),Table1[Content Sku],0),16,1,1,"Entities")),"review","ok"),"ok")</f>
        <v>ok</v>
      </c>
      <c r="U524" t="s">
        <v>391</v>
      </c>
      <c r="V524">
        <v>19000</v>
      </c>
      <c r="W524">
        <v>0</v>
      </c>
      <c r="X524" t="s">
        <v>205</v>
      </c>
      <c r="Y524" s="74" t="str">
        <f ca="1">IF(Table15[[#This Row],[Type]]="KILL",IF(_xlfn.NUMBERVALUE(RIGHT(Table15[[#This Row],[Min]],LEN(Table15[[#This Row],[Min]])-FIND("-",Table15[[#This Row],[Min]])))&gt;INDIRECT(ADDRESS(11+MATCH(LEFT(Table15[[#This Row],[Min]],FIND("-",Table15[[#This Row],[Min]])-1),Table1[Content Sku],0),16,1,1,"Entities")),"review","ok"),"ok")</f>
        <v>ok</v>
      </c>
      <c r="AK524" t="s">
        <v>578</v>
      </c>
      <c r="AL524">
        <v>0</v>
      </c>
      <c r="AM524">
        <v>0</v>
      </c>
      <c r="AN524" t="s">
        <v>8</v>
      </c>
      <c r="AO524" s="74" t="str">
        <f ca="1">IF(Table20[[#This Row],[Type]]="KILL",IF(_xlfn.NUMBERVALUE(RIGHT(Table20[[#This Row],[Min]],LEN(Table20[[#This Row],[Min]])-FIND("-",Table20[[#This Row],[Min]])))&gt;INDIRECT(ADDRESS(11+MATCH(LEFT(Table20[[#This Row],[Min]],FIND("-",Table20[[#This Row],[Min]])-1),Table1[Content Sku],0),18,1,1,"Entities")),"review","ok"),"ok")</f>
        <v>ok</v>
      </c>
    </row>
    <row r="525" spans="5:41" x14ac:dyDescent="0.25">
      <c r="E525" t="s">
        <v>280</v>
      </c>
      <c r="F525">
        <v>0</v>
      </c>
      <c r="G525">
        <v>0</v>
      </c>
      <c r="H525" t="s">
        <v>8</v>
      </c>
      <c r="I525" s="74" t="str">
        <f ca="1">IF(Table7[[#This Row],[Type]]="KILL",IF(_xlfn.NUMBERVALUE(RIGHT(Table7[[#This Row],[Min]],LEN(Table7[[#This Row],[Min]])-FIND("-",Table7[[#This Row],[Min]])))&gt;INDIRECT(ADDRESS(11+MATCH(LEFT(Table7[[#This Row],[Min]],FIND("-",Table7[[#This Row],[Min]])-1),Table1[Content Sku],0),16,1,1,"Entities")),"review","ok"),"ok")</f>
        <v>ok</v>
      </c>
      <c r="U525" t="s">
        <v>403</v>
      </c>
      <c r="V525">
        <v>0</v>
      </c>
      <c r="W525">
        <v>0</v>
      </c>
      <c r="X525" t="s">
        <v>8</v>
      </c>
      <c r="Y525" s="74" t="str">
        <f ca="1">IF(Table15[[#This Row],[Type]]="KILL",IF(_xlfn.NUMBERVALUE(RIGHT(Table15[[#This Row],[Min]],LEN(Table15[[#This Row],[Min]])-FIND("-",Table15[[#This Row],[Min]])))&gt;INDIRECT(ADDRESS(11+MATCH(LEFT(Table15[[#This Row],[Min]],FIND("-",Table15[[#This Row],[Min]])-1),Table1[Content Sku],0),16,1,1,"Entities")),"review","ok"),"ok")</f>
        <v>ok</v>
      </c>
      <c r="AK525" t="s">
        <v>416</v>
      </c>
      <c r="AL525">
        <v>0</v>
      </c>
      <c r="AM525">
        <v>0</v>
      </c>
      <c r="AN525" t="s">
        <v>8</v>
      </c>
      <c r="AO525" s="74" t="str">
        <f ca="1">IF(Table20[[#This Row],[Type]]="KILL",IF(_xlfn.NUMBERVALUE(RIGHT(Table20[[#This Row],[Min]],LEN(Table20[[#This Row],[Min]])-FIND("-",Table20[[#This Row],[Min]])))&gt;INDIRECT(ADDRESS(11+MATCH(LEFT(Table20[[#This Row],[Min]],FIND("-",Table20[[#This Row],[Min]])-1),Table1[Content Sku],0),18,1,1,"Entities")),"review","ok"),"ok")</f>
        <v>ok</v>
      </c>
    </row>
    <row r="526" spans="5:41" x14ac:dyDescent="0.25">
      <c r="E526" t="s">
        <v>289</v>
      </c>
      <c r="F526">
        <v>0</v>
      </c>
      <c r="G526">
        <v>0</v>
      </c>
      <c r="H526" t="s">
        <v>8</v>
      </c>
      <c r="I526" s="74" t="str">
        <f ca="1">IF(Table7[[#This Row],[Type]]="KILL",IF(_xlfn.NUMBERVALUE(RIGHT(Table7[[#This Row],[Min]],LEN(Table7[[#This Row],[Min]])-FIND("-",Table7[[#This Row],[Min]])))&gt;INDIRECT(ADDRESS(11+MATCH(LEFT(Table7[[#This Row],[Min]],FIND("-",Table7[[#This Row],[Min]])-1),Table1[Content Sku],0),16,1,1,"Entities")),"review","ok"),"ok")</f>
        <v>ok</v>
      </c>
      <c r="U526" t="s">
        <v>1</v>
      </c>
      <c r="V526">
        <v>35000</v>
      </c>
      <c r="W526">
        <v>0</v>
      </c>
      <c r="X526" t="s">
        <v>205</v>
      </c>
      <c r="Y526" s="74" t="str">
        <f ca="1">IF(Table15[[#This Row],[Type]]="KILL",IF(_xlfn.NUMBERVALUE(RIGHT(Table15[[#This Row],[Min]],LEN(Table15[[#This Row],[Min]])-FIND("-",Table15[[#This Row],[Min]])))&gt;INDIRECT(ADDRESS(11+MATCH(LEFT(Table15[[#This Row],[Min]],FIND("-",Table15[[#This Row],[Min]])-1),Table1[Content Sku],0),16,1,1,"Entities")),"review","ok"),"ok")</f>
        <v>ok</v>
      </c>
      <c r="AK526" t="s">
        <v>37</v>
      </c>
      <c r="AL526">
        <v>0</v>
      </c>
      <c r="AM526">
        <v>0</v>
      </c>
      <c r="AN526" t="s">
        <v>8</v>
      </c>
      <c r="AO526" s="74" t="str">
        <f ca="1">IF(Table20[[#This Row],[Type]]="KILL",IF(_xlfn.NUMBERVALUE(RIGHT(Table20[[#This Row],[Min]],LEN(Table20[[#This Row],[Min]])-FIND("-",Table20[[#This Row],[Min]])))&gt;INDIRECT(ADDRESS(11+MATCH(LEFT(Table20[[#This Row],[Min]],FIND("-",Table20[[#This Row],[Min]])-1),Table1[Content Sku],0),18,1,1,"Entities")),"review","ok"),"ok")</f>
        <v>ok</v>
      </c>
    </row>
    <row r="527" spans="5:41" x14ac:dyDescent="0.25">
      <c r="E527" t="s">
        <v>36</v>
      </c>
      <c r="F527">
        <v>0</v>
      </c>
      <c r="G527">
        <v>0</v>
      </c>
      <c r="H527" t="s">
        <v>8</v>
      </c>
      <c r="I527" s="74" t="str">
        <f ca="1">IF(Table7[[#This Row],[Type]]="KILL",IF(_xlfn.NUMBERVALUE(RIGHT(Table7[[#This Row],[Min]],LEN(Table7[[#This Row],[Min]])-FIND("-",Table7[[#This Row],[Min]])))&gt;INDIRECT(ADDRESS(11+MATCH(LEFT(Table7[[#This Row],[Min]],FIND("-",Table7[[#This Row],[Min]])-1),Table1[Content Sku],0),16,1,1,"Entities")),"review","ok"),"ok")</f>
        <v>ok</v>
      </c>
      <c r="U527" t="s">
        <v>309</v>
      </c>
      <c r="V527">
        <v>0</v>
      </c>
      <c r="W527">
        <v>0</v>
      </c>
      <c r="X527" t="s">
        <v>8</v>
      </c>
      <c r="Y527" s="74" t="str">
        <f ca="1">IF(Table15[[#This Row],[Type]]="KILL",IF(_xlfn.NUMBERVALUE(RIGHT(Table15[[#This Row],[Min]],LEN(Table15[[#This Row],[Min]])-FIND("-",Table15[[#This Row],[Min]])))&gt;INDIRECT(ADDRESS(11+MATCH(LEFT(Table15[[#This Row],[Min]],FIND("-",Table15[[#This Row],[Min]])-1),Table1[Content Sku],0),16,1,1,"Entities")),"review","ok"),"ok")</f>
        <v>ok</v>
      </c>
      <c r="AK527" t="s">
        <v>2680</v>
      </c>
      <c r="AL527">
        <v>0</v>
      </c>
      <c r="AM527">
        <v>20000</v>
      </c>
      <c r="AN527" t="s">
        <v>205</v>
      </c>
      <c r="AO527" s="74" t="str">
        <f ca="1">IF(Table20[[#This Row],[Type]]="KILL",IF(_xlfn.NUMBERVALUE(RIGHT(Table20[[#This Row],[Min]],LEN(Table20[[#This Row],[Min]])-FIND("-",Table20[[#This Row],[Min]])))&gt;INDIRECT(ADDRESS(11+MATCH(LEFT(Table20[[#This Row],[Min]],FIND("-",Table20[[#This Row],[Min]])-1),Table1[Content Sku],0),18,1,1,"Entities")),"review","ok"),"ok")</f>
        <v>ok</v>
      </c>
    </row>
    <row r="528" spans="5:41" x14ac:dyDescent="0.25">
      <c r="E528" t="s">
        <v>95</v>
      </c>
      <c r="F528">
        <v>0</v>
      </c>
      <c r="G528">
        <v>0</v>
      </c>
      <c r="H528" t="s">
        <v>8</v>
      </c>
      <c r="I528" s="74" t="str">
        <f ca="1">IF(Table7[[#This Row],[Type]]="KILL",IF(_xlfn.NUMBERVALUE(RIGHT(Table7[[#This Row],[Min]],LEN(Table7[[#This Row],[Min]])-FIND("-",Table7[[#This Row],[Min]])))&gt;INDIRECT(ADDRESS(11+MATCH(LEFT(Table7[[#This Row],[Min]],FIND("-",Table7[[#This Row],[Min]])-1),Table1[Content Sku],0),16,1,1,"Entities")),"review","ok"),"ok")</f>
        <v>ok</v>
      </c>
      <c r="U528" t="s">
        <v>8133</v>
      </c>
      <c r="V528">
        <v>0</v>
      </c>
      <c r="W528">
        <v>0</v>
      </c>
      <c r="X528" t="s">
        <v>8</v>
      </c>
      <c r="Y528" s="74" t="str">
        <f ca="1">IF(Table15[[#This Row],[Type]]="KILL",IF(_xlfn.NUMBERVALUE(RIGHT(Table15[[#This Row],[Min]],LEN(Table15[[#This Row],[Min]])-FIND("-",Table15[[#This Row],[Min]])))&gt;INDIRECT(ADDRESS(11+MATCH(LEFT(Table15[[#This Row],[Min]],FIND("-",Table15[[#This Row],[Min]])-1),Table1[Content Sku],0),16,1,1,"Entities")),"review","ok"),"ok")</f>
        <v>ok</v>
      </c>
      <c r="AK528" t="s">
        <v>346</v>
      </c>
      <c r="AL528">
        <v>36000</v>
      </c>
      <c r="AM528">
        <v>0</v>
      </c>
      <c r="AN528" t="s">
        <v>205</v>
      </c>
      <c r="AO528" s="74" t="str">
        <f ca="1">IF(Table20[[#This Row],[Type]]="KILL",IF(_xlfn.NUMBERVALUE(RIGHT(Table20[[#This Row],[Min]],LEN(Table20[[#This Row],[Min]])-FIND("-",Table20[[#This Row],[Min]])))&gt;INDIRECT(ADDRESS(11+MATCH(LEFT(Table20[[#This Row],[Min]],FIND("-",Table20[[#This Row],[Min]])-1),Table1[Content Sku],0),18,1,1,"Entities")),"review","ok"),"ok")</f>
        <v>ok</v>
      </c>
    </row>
    <row r="529" spans="5:41" x14ac:dyDescent="0.25">
      <c r="E529" t="s">
        <v>280</v>
      </c>
      <c r="F529">
        <v>0</v>
      </c>
      <c r="G529">
        <v>0</v>
      </c>
      <c r="H529" t="s">
        <v>8</v>
      </c>
      <c r="I529" s="74" t="str">
        <f ca="1">IF(Table7[[#This Row],[Type]]="KILL",IF(_xlfn.NUMBERVALUE(RIGHT(Table7[[#This Row],[Min]],LEN(Table7[[#This Row],[Min]])-FIND("-",Table7[[#This Row],[Min]])))&gt;INDIRECT(ADDRESS(11+MATCH(LEFT(Table7[[#This Row],[Min]],FIND("-",Table7[[#This Row],[Min]])-1),Table1[Content Sku],0),16,1,1,"Entities")),"review","ok"),"ok")</f>
        <v>ok</v>
      </c>
      <c r="U529" t="s">
        <v>286</v>
      </c>
      <c r="V529">
        <v>0</v>
      </c>
      <c r="W529">
        <v>0</v>
      </c>
      <c r="X529" t="s">
        <v>8</v>
      </c>
      <c r="Y529" s="74" t="str">
        <f ca="1">IF(Table15[[#This Row],[Type]]="KILL",IF(_xlfn.NUMBERVALUE(RIGHT(Table15[[#This Row],[Min]],LEN(Table15[[#This Row],[Min]])-FIND("-",Table15[[#This Row],[Min]])))&gt;INDIRECT(ADDRESS(11+MATCH(LEFT(Table15[[#This Row],[Min]],FIND("-",Table15[[#This Row],[Min]])-1),Table1[Content Sku],0),16,1,1,"Entities")),"review","ok"),"ok")</f>
        <v>ok</v>
      </c>
      <c r="AK529" t="s">
        <v>2672</v>
      </c>
      <c r="AL529">
        <v>86000</v>
      </c>
      <c r="AM529">
        <v>0</v>
      </c>
      <c r="AN529" t="s">
        <v>205</v>
      </c>
      <c r="AO529" s="74" t="str">
        <f ca="1">IF(Table20[[#This Row],[Type]]="KILL",IF(_xlfn.NUMBERVALUE(RIGHT(Table20[[#This Row],[Min]],LEN(Table20[[#This Row],[Min]])-FIND("-",Table20[[#This Row],[Min]])))&gt;INDIRECT(ADDRESS(11+MATCH(LEFT(Table20[[#This Row],[Min]],FIND("-",Table20[[#This Row],[Min]])-1),Table1[Content Sku],0),18,1,1,"Entities")),"review","ok"),"ok")</f>
        <v>ok</v>
      </c>
    </row>
    <row r="530" spans="5:41" x14ac:dyDescent="0.25">
      <c r="E530" t="s">
        <v>313</v>
      </c>
      <c r="F530">
        <v>0</v>
      </c>
      <c r="G530">
        <v>18000</v>
      </c>
      <c r="H530" t="s">
        <v>205</v>
      </c>
      <c r="I530" s="74" t="str">
        <f ca="1">IF(Table7[[#This Row],[Type]]="KILL",IF(_xlfn.NUMBERVALUE(RIGHT(Table7[[#This Row],[Min]],LEN(Table7[[#This Row],[Min]])-FIND("-",Table7[[#This Row],[Min]])))&gt;INDIRECT(ADDRESS(11+MATCH(LEFT(Table7[[#This Row],[Min]],FIND("-",Table7[[#This Row],[Min]])-1),Table1[Content Sku],0),16,1,1,"Entities")),"review","ok"),"ok")</f>
        <v>ok</v>
      </c>
      <c r="U530" t="s">
        <v>2729</v>
      </c>
      <c r="V530">
        <v>0</v>
      </c>
      <c r="W530">
        <v>0</v>
      </c>
      <c r="X530" t="s">
        <v>8</v>
      </c>
      <c r="Y530" s="74" t="str">
        <f ca="1">IF(Table15[[#This Row],[Type]]="KILL",IF(_xlfn.NUMBERVALUE(RIGHT(Table15[[#This Row],[Min]],LEN(Table15[[#This Row],[Min]])-FIND("-",Table15[[#This Row],[Min]])))&gt;INDIRECT(ADDRESS(11+MATCH(LEFT(Table15[[#This Row],[Min]],FIND("-",Table15[[#This Row],[Min]])-1),Table1[Content Sku],0),16,1,1,"Entities")),"review","ok"),"ok")</f>
        <v>ok</v>
      </c>
      <c r="AK530" t="s">
        <v>548</v>
      </c>
      <c r="AL530">
        <v>0</v>
      </c>
      <c r="AM530">
        <v>0</v>
      </c>
      <c r="AN530" t="s">
        <v>8</v>
      </c>
      <c r="AO530" s="74" t="str">
        <f ca="1">IF(Table20[[#This Row],[Type]]="KILL",IF(_xlfn.NUMBERVALUE(RIGHT(Table20[[#This Row],[Min]],LEN(Table20[[#This Row],[Min]])-FIND("-",Table20[[#This Row],[Min]])))&gt;INDIRECT(ADDRESS(11+MATCH(LEFT(Table20[[#This Row],[Min]],FIND("-",Table20[[#This Row],[Min]])-1),Table1[Content Sku],0),18,1,1,"Entities")),"review","ok"),"ok")</f>
        <v>ok</v>
      </c>
    </row>
    <row r="531" spans="5:41" x14ac:dyDescent="0.25">
      <c r="E531" t="s">
        <v>123</v>
      </c>
      <c r="F531">
        <v>0</v>
      </c>
      <c r="G531">
        <v>0</v>
      </c>
      <c r="H531" t="s">
        <v>8</v>
      </c>
      <c r="I531" s="74" t="str">
        <f ca="1">IF(Table7[[#This Row],[Type]]="KILL",IF(_xlfn.NUMBERVALUE(RIGHT(Table7[[#This Row],[Min]],LEN(Table7[[#This Row],[Min]])-FIND("-",Table7[[#This Row],[Min]])))&gt;INDIRECT(ADDRESS(11+MATCH(LEFT(Table7[[#This Row],[Min]],FIND("-",Table7[[#This Row],[Min]])-1),Table1[Content Sku],0),16,1,1,"Entities")),"review","ok"),"ok")</f>
        <v>ok</v>
      </c>
      <c r="U531" t="s">
        <v>391</v>
      </c>
      <c r="V531">
        <v>0</v>
      </c>
      <c r="W531">
        <v>0</v>
      </c>
      <c r="X531" t="s">
        <v>8</v>
      </c>
      <c r="Y531" s="74" t="str">
        <f ca="1">IF(Table15[[#This Row],[Type]]="KILL",IF(_xlfn.NUMBERVALUE(RIGHT(Table15[[#This Row],[Min]],LEN(Table15[[#This Row],[Min]])-FIND("-",Table15[[#This Row],[Min]])))&gt;INDIRECT(ADDRESS(11+MATCH(LEFT(Table15[[#This Row],[Min]],FIND("-",Table15[[#This Row],[Min]])-1),Table1[Content Sku],0),16,1,1,"Entities")),"review","ok"),"ok")</f>
        <v>ok</v>
      </c>
      <c r="AK531" t="s">
        <v>2668</v>
      </c>
      <c r="AL531">
        <v>0</v>
      </c>
      <c r="AM531">
        <v>0</v>
      </c>
      <c r="AN531" t="s">
        <v>8</v>
      </c>
      <c r="AO531" s="74" t="str">
        <f ca="1">IF(Table20[[#This Row],[Type]]="KILL",IF(_xlfn.NUMBERVALUE(RIGHT(Table20[[#This Row],[Min]],LEN(Table20[[#This Row],[Min]])-FIND("-",Table20[[#This Row],[Min]])))&gt;INDIRECT(ADDRESS(11+MATCH(LEFT(Table20[[#This Row],[Min]],FIND("-",Table20[[#This Row],[Min]])-1),Table1[Content Sku],0),18,1,1,"Entities")),"review","ok"),"ok")</f>
        <v>ok</v>
      </c>
    </row>
    <row r="532" spans="5:41" x14ac:dyDescent="0.25">
      <c r="E532" t="s">
        <v>346</v>
      </c>
      <c r="F532">
        <v>0</v>
      </c>
      <c r="G532">
        <v>0</v>
      </c>
      <c r="H532" t="s">
        <v>8</v>
      </c>
      <c r="I532" s="74" t="str">
        <f ca="1">IF(Table7[[#This Row],[Type]]="KILL",IF(_xlfn.NUMBERVALUE(RIGHT(Table7[[#This Row],[Min]],LEN(Table7[[#This Row],[Min]])-FIND("-",Table7[[#This Row],[Min]])))&gt;INDIRECT(ADDRESS(11+MATCH(LEFT(Table7[[#This Row],[Min]],FIND("-",Table7[[#This Row],[Min]])-1),Table1[Content Sku],0),16,1,1,"Entities")),"review","ok"),"ok")</f>
        <v>ok</v>
      </c>
      <c r="U532" t="s">
        <v>309</v>
      </c>
      <c r="V532">
        <v>0</v>
      </c>
      <c r="W532">
        <v>0</v>
      </c>
      <c r="X532" t="s">
        <v>8</v>
      </c>
      <c r="Y532" s="74" t="str">
        <f ca="1">IF(Table15[[#This Row],[Type]]="KILL",IF(_xlfn.NUMBERVALUE(RIGHT(Table15[[#This Row],[Min]],LEN(Table15[[#This Row],[Min]])-FIND("-",Table15[[#This Row],[Min]])))&gt;INDIRECT(ADDRESS(11+MATCH(LEFT(Table15[[#This Row],[Min]],FIND("-",Table15[[#This Row],[Min]])-1),Table1[Content Sku],0),16,1,1,"Entities")),"review","ok"),"ok")</f>
        <v>ok</v>
      </c>
      <c r="AK532" t="s">
        <v>4430</v>
      </c>
      <c r="AL532">
        <v>0</v>
      </c>
      <c r="AM532">
        <v>0</v>
      </c>
      <c r="AN532" t="s">
        <v>8</v>
      </c>
      <c r="AO532" s="74" t="str">
        <f ca="1">IF(Table20[[#This Row],[Type]]="KILL",IF(_xlfn.NUMBERVALUE(RIGHT(Table20[[#This Row],[Min]],LEN(Table20[[#This Row],[Min]])-FIND("-",Table20[[#This Row],[Min]])))&gt;INDIRECT(ADDRESS(11+MATCH(LEFT(Table20[[#This Row],[Min]],FIND("-",Table20[[#This Row],[Min]])-1),Table1[Content Sku],0),18,1,1,"Entities")),"review","ok"),"ok")</f>
        <v>ok</v>
      </c>
    </row>
    <row r="533" spans="5:41" x14ac:dyDescent="0.25">
      <c r="E533" t="s">
        <v>396</v>
      </c>
      <c r="F533">
        <v>0</v>
      </c>
      <c r="G533">
        <v>0</v>
      </c>
      <c r="H533" t="s">
        <v>8</v>
      </c>
      <c r="I533" s="74" t="str">
        <f ca="1">IF(Table7[[#This Row],[Type]]="KILL",IF(_xlfn.NUMBERVALUE(RIGHT(Table7[[#This Row],[Min]],LEN(Table7[[#This Row],[Min]])-FIND("-",Table7[[#This Row],[Min]])))&gt;INDIRECT(ADDRESS(11+MATCH(LEFT(Table7[[#This Row],[Min]],FIND("-",Table7[[#This Row],[Min]])-1),Table1[Content Sku],0),16,1,1,"Entities")),"review","ok"),"ok")</f>
        <v>ok</v>
      </c>
      <c r="U533" t="s">
        <v>391</v>
      </c>
      <c r="V533">
        <v>15000</v>
      </c>
      <c r="W533">
        <v>0</v>
      </c>
      <c r="X533" t="s">
        <v>205</v>
      </c>
      <c r="Y533" s="74" t="str">
        <f ca="1">IF(Table15[[#This Row],[Type]]="KILL",IF(_xlfn.NUMBERVALUE(RIGHT(Table15[[#This Row],[Min]],LEN(Table15[[#This Row],[Min]])-FIND("-",Table15[[#This Row],[Min]])))&gt;INDIRECT(ADDRESS(11+MATCH(LEFT(Table15[[#This Row],[Min]],FIND("-",Table15[[#This Row],[Min]])-1),Table1[Content Sku],0),16,1,1,"Entities")),"review","ok"),"ok")</f>
        <v>ok</v>
      </c>
      <c r="AK533" t="s">
        <v>2767</v>
      </c>
      <c r="AL533">
        <v>0</v>
      </c>
      <c r="AM533">
        <v>0</v>
      </c>
      <c r="AN533" t="s">
        <v>8</v>
      </c>
      <c r="AO533" s="74" t="str">
        <f ca="1">IF(Table20[[#This Row],[Type]]="KILL",IF(_xlfn.NUMBERVALUE(RIGHT(Table20[[#This Row],[Min]],LEN(Table20[[#This Row],[Min]])-FIND("-",Table20[[#This Row],[Min]])))&gt;INDIRECT(ADDRESS(11+MATCH(LEFT(Table20[[#This Row],[Min]],FIND("-",Table20[[#This Row],[Min]])-1),Table1[Content Sku],0),18,1,1,"Entities")),"review","ok"),"ok")</f>
        <v>ok</v>
      </c>
    </row>
    <row r="534" spans="5:41" x14ac:dyDescent="0.25">
      <c r="E534" t="s">
        <v>313</v>
      </c>
      <c r="F534">
        <v>0</v>
      </c>
      <c r="G534">
        <v>0</v>
      </c>
      <c r="H534" t="s">
        <v>8</v>
      </c>
      <c r="I534" s="74" t="str">
        <f ca="1">IF(Table7[[#This Row],[Type]]="KILL",IF(_xlfn.NUMBERVALUE(RIGHT(Table7[[#This Row],[Min]],LEN(Table7[[#This Row],[Min]])-FIND("-",Table7[[#This Row],[Min]])))&gt;INDIRECT(ADDRESS(11+MATCH(LEFT(Table7[[#This Row],[Min]],FIND("-",Table7[[#This Row],[Min]])-1),Table1[Content Sku],0),16,1,1,"Entities")),"review","ok"),"ok")</f>
        <v>ok</v>
      </c>
      <c r="U534" t="s">
        <v>340</v>
      </c>
      <c r="V534">
        <v>0</v>
      </c>
      <c r="W534">
        <v>16000</v>
      </c>
      <c r="X534" t="s">
        <v>205</v>
      </c>
      <c r="Y534" s="74" t="str">
        <f ca="1">IF(Table15[[#This Row],[Type]]="KILL",IF(_xlfn.NUMBERVALUE(RIGHT(Table15[[#This Row],[Min]],LEN(Table15[[#This Row],[Min]])-FIND("-",Table15[[#This Row],[Min]])))&gt;INDIRECT(ADDRESS(11+MATCH(LEFT(Table15[[#This Row],[Min]],FIND("-",Table15[[#This Row],[Min]])-1),Table1[Content Sku],0),16,1,1,"Entities")),"review","ok"),"ok")</f>
        <v>ok</v>
      </c>
      <c r="AK534" t="s">
        <v>37</v>
      </c>
      <c r="AL534">
        <v>0</v>
      </c>
      <c r="AM534">
        <v>0</v>
      </c>
      <c r="AN534" t="s">
        <v>8</v>
      </c>
      <c r="AO534" s="74" t="str">
        <f ca="1">IF(Table20[[#This Row],[Type]]="KILL",IF(_xlfn.NUMBERVALUE(RIGHT(Table20[[#This Row],[Min]],LEN(Table20[[#This Row],[Min]])-FIND("-",Table20[[#This Row],[Min]])))&gt;INDIRECT(ADDRESS(11+MATCH(LEFT(Table20[[#This Row],[Min]],FIND("-",Table20[[#This Row],[Min]])-1),Table1[Content Sku],0),18,1,1,"Entities")),"review","ok"),"ok")</f>
        <v>ok</v>
      </c>
    </row>
    <row r="535" spans="5:41" x14ac:dyDescent="0.25">
      <c r="E535" t="s">
        <v>283</v>
      </c>
      <c r="F535">
        <v>6000</v>
      </c>
      <c r="G535">
        <v>0</v>
      </c>
      <c r="H535" t="s">
        <v>205</v>
      </c>
      <c r="I535" s="74" t="str">
        <f ca="1">IF(Table7[[#This Row],[Type]]="KILL",IF(_xlfn.NUMBERVALUE(RIGHT(Table7[[#This Row],[Min]],LEN(Table7[[#This Row],[Min]])-FIND("-",Table7[[#This Row],[Min]])))&gt;INDIRECT(ADDRESS(11+MATCH(LEFT(Table7[[#This Row],[Min]],FIND("-",Table7[[#This Row],[Min]])-1),Table1[Content Sku],0),16,1,1,"Entities")),"review","ok"),"ok")</f>
        <v>ok</v>
      </c>
      <c r="U535" t="s">
        <v>313</v>
      </c>
      <c r="V535">
        <v>0</v>
      </c>
      <c r="W535">
        <v>0</v>
      </c>
      <c r="X535" t="s">
        <v>8</v>
      </c>
      <c r="Y535" s="74" t="str">
        <f ca="1">IF(Table15[[#This Row],[Type]]="KILL",IF(_xlfn.NUMBERVALUE(RIGHT(Table15[[#This Row],[Min]],LEN(Table15[[#This Row],[Min]])-FIND("-",Table15[[#This Row],[Min]])))&gt;INDIRECT(ADDRESS(11+MATCH(LEFT(Table15[[#This Row],[Min]],FIND("-",Table15[[#This Row],[Min]])-1),Table1[Content Sku],0),16,1,1,"Entities")),"review","ok"),"ok")</f>
        <v>ok</v>
      </c>
      <c r="AK535" t="s">
        <v>400</v>
      </c>
      <c r="AL535">
        <v>0</v>
      </c>
      <c r="AM535">
        <v>0</v>
      </c>
      <c r="AN535" t="s">
        <v>8</v>
      </c>
      <c r="AO535" s="74" t="str">
        <f ca="1">IF(Table20[[#This Row],[Type]]="KILL",IF(_xlfn.NUMBERVALUE(RIGHT(Table20[[#This Row],[Min]],LEN(Table20[[#This Row],[Min]])-FIND("-",Table20[[#This Row],[Min]])))&gt;INDIRECT(ADDRESS(11+MATCH(LEFT(Table20[[#This Row],[Min]],FIND("-",Table20[[#This Row],[Min]])-1),Table1[Content Sku],0),18,1,1,"Entities")),"review","ok"),"ok")</f>
        <v>ok</v>
      </c>
    </row>
    <row r="536" spans="5:41" x14ac:dyDescent="0.25">
      <c r="E536" t="s">
        <v>315</v>
      </c>
      <c r="F536">
        <v>0</v>
      </c>
      <c r="G536">
        <v>0</v>
      </c>
      <c r="H536" t="s">
        <v>8</v>
      </c>
      <c r="I536" s="74" t="str">
        <f ca="1">IF(Table7[[#This Row],[Type]]="KILL",IF(_xlfn.NUMBERVALUE(RIGHT(Table7[[#This Row],[Min]],LEN(Table7[[#This Row],[Min]])-FIND("-",Table7[[#This Row],[Min]])))&gt;INDIRECT(ADDRESS(11+MATCH(LEFT(Table7[[#This Row],[Min]],FIND("-",Table7[[#This Row],[Min]])-1),Table1[Content Sku],0),16,1,1,"Entities")),"review","ok"),"ok")</f>
        <v>ok</v>
      </c>
      <c r="U536" t="s">
        <v>392</v>
      </c>
      <c r="V536">
        <v>150</v>
      </c>
      <c r="W536">
        <v>0</v>
      </c>
      <c r="X536" t="s">
        <v>4431</v>
      </c>
      <c r="Y536" s="74" t="str">
        <f ca="1">IF(Table15[[#This Row],[Type]]="KILL",IF(_xlfn.NUMBERVALUE(RIGHT(Table15[[#This Row],[Min]],LEN(Table15[[#This Row],[Min]])-FIND("-",Table15[[#This Row],[Min]])))&gt;INDIRECT(ADDRESS(11+MATCH(LEFT(Table15[[#This Row],[Min]],FIND("-",Table15[[#This Row],[Min]])-1),Table1[Content Sku],0),16,1,1,"Entities")),"review","ok"),"ok")</f>
        <v>ok</v>
      </c>
      <c r="AK536" t="s">
        <v>482</v>
      </c>
      <c r="AL536">
        <v>0</v>
      </c>
      <c r="AM536">
        <v>0</v>
      </c>
      <c r="AN536" t="s">
        <v>8</v>
      </c>
      <c r="AO536" s="74" t="str">
        <f ca="1">IF(Table20[[#This Row],[Type]]="KILL",IF(_xlfn.NUMBERVALUE(RIGHT(Table20[[#This Row],[Min]],LEN(Table20[[#This Row],[Min]])-FIND("-",Table20[[#This Row],[Min]])))&gt;INDIRECT(ADDRESS(11+MATCH(LEFT(Table20[[#This Row],[Min]],FIND("-",Table20[[#This Row],[Min]])-1),Table1[Content Sku],0),18,1,1,"Entities")),"review","ok"),"ok")</f>
        <v>ok</v>
      </c>
    </row>
    <row r="537" spans="5:41" x14ac:dyDescent="0.25">
      <c r="E537" t="s">
        <v>313</v>
      </c>
      <c r="F537">
        <v>0</v>
      </c>
      <c r="G537">
        <v>0</v>
      </c>
      <c r="H537" t="s">
        <v>8</v>
      </c>
      <c r="I537" s="74" t="str">
        <f ca="1">IF(Table7[[#This Row],[Type]]="KILL",IF(_xlfn.NUMBERVALUE(RIGHT(Table7[[#This Row],[Min]],LEN(Table7[[#This Row],[Min]])-FIND("-",Table7[[#This Row],[Min]])))&gt;INDIRECT(ADDRESS(11+MATCH(LEFT(Table7[[#This Row],[Min]],FIND("-",Table7[[#This Row],[Min]])-1),Table1[Content Sku],0),16,1,1,"Entities")),"review","ok"),"ok")</f>
        <v>ok</v>
      </c>
      <c r="U537" t="s">
        <v>48</v>
      </c>
      <c r="V537">
        <v>0</v>
      </c>
      <c r="W537">
        <v>0</v>
      </c>
      <c r="X537" t="s">
        <v>8</v>
      </c>
      <c r="Y537" s="74" t="str">
        <f ca="1">IF(Table15[[#This Row],[Type]]="KILL",IF(_xlfn.NUMBERVALUE(RIGHT(Table15[[#This Row],[Min]],LEN(Table15[[#This Row],[Min]])-FIND("-",Table15[[#This Row],[Min]])))&gt;INDIRECT(ADDRESS(11+MATCH(LEFT(Table15[[#This Row],[Min]],FIND("-",Table15[[#This Row],[Min]])-1),Table1[Content Sku],0),16,1,1,"Entities")),"review","ok"),"ok")</f>
        <v>ok</v>
      </c>
      <c r="AK537" t="s">
        <v>416</v>
      </c>
      <c r="AL537">
        <v>0</v>
      </c>
      <c r="AM537">
        <v>28000</v>
      </c>
      <c r="AN537" t="s">
        <v>205</v>
      </c>
      <c r="AO537" s="74" t="str">
        <f ca="1">IF(Table20[[#This Row],[Type]]="KILL",IF(_xlfn.NUMBERVALUE(RIGHT(Table20[[#This Row],[Min]],LEN(Table20[[#This Row],[Min]])-FIND("-",Table20[[#This Row],[Min]])))&gt;INDIRECT(ADDRESS(11+MATCH(LEFT(Table20[[#This Row],[Min]],FIND("-",Table20[[#This Row],[Min]])-1),Table1[Content Sku],0),18,1,1,"Entities")),"review","ok"),"ok")</f>
        <v>ok</v>
      </c>
    </row>
    <row r="538" spans="5:41" x14ac:dyDescent="0.25">
      <c r="E538" t="s">
        <v>391</v>
      </c>
      <c r="F538">
        <v>0</v>
      </c>
      <c r="G538">
        <v>0</v>
      </c>
      <c r="H538" t="s">
        <v>8</v>
      </c>
      <c r="I538" s="74" t="str">
        <f ca="1">IF(Table7[[#This Row],[Type]]="KILL",IF(_xlfn.NUMBERVALUE(RIGHT(Table7[[#This Row],[Min]],LEN(Table7[[#This Row],[Min]])-FIND("-",Table7[[#This Row],[Min]])))&gt;INDIRECT(ADDRESS(11+MATCH(LEFT(Table7[[#This Row],[Min]],FIND("-",Table7[[#This Row],[Min]])-1),Table1[Content Sku],0),16,1,1,"Entities")),"review","ok"),"ok")</f>
        <v>ok</v>
      </c>
      <c r="U538" t="s">
        <v>289</v>
      </c>
      <c r="V538">
        <v>14000</v>
      </c>
      <c r="W538">
        <v>0</v>
      </c>
      <c r="X538" t="s">
        <v>205</v>
      </c>
      <c r="Y538" s="74" t="str">
        <f ca="1">IF(Table15[[#This Row],[Type]]="KILL",IF(_xlfn.NUMBERVALUE(RIGHT(Table15[[#This Row],[Min]],LEN(Table15[[#This Row],[Min]])-FIND("-",Table15[[#This Row],[Min]])))&gt;INDIRECT(ADDRESS(11+MATCH(LEFT(Table15[[#This Row],[Min]],FIND("-",Table15[[#This Row],[Min]])-1),Table1[Content Sku],0),16,1,1,"Entities")),"review","ok"),"ok")</f>
        <v>ok</v>
      </c>
      <c r="AK538" t="s">
        <v>50</v>
      </c>
      <c r="AL538">
        <v>30000</v>
      </c>
      <c r="AM538">
        <v>0</v>
      </c>
      <c r="AN538" t="s">
        <v>205</v>
      </c>
      <c r="AO538" s="74" t="str">
        <f ca="1">IF(Table20[[#This Row],[Type]]="KILL",IF(_xlfn.NUMBERVALUE(RIGHT(Table20[[#This Row],[Min]],LEN(Table20[[#This Row],[Min]])-FIND("-",Table20[[#This Row],[Min]])))&gt;INDIRECT(ADDRESS(11+MATCH(LEFT(Table20[[#This Row],[Min]],FIND("-",Table20[[#This Row],[Min]])-1),Table1[Content Sku],0),18,1,1,"Entities")),"review","ok"),"ok")</f>
        <v>ok</v>
      </c>
    </row>
    <row r="539" spans="5:41" x14ac:dyDescent="0.25">
      <c r="E539" t="s">
        <v>37</v>
      </c>
      <c r="F539">
        <v>0</v>
      </c>
      <c r="G539">
        <v>20000</v>
      </c>
      <c r="H539" t="s">
        <v>205</v>
      </c>
      <c r="I539" s="74" t="str">
        <f ca="1">IF(Table7[[#This Row],[Type]]="KILL",IF(_xlfn.NUMBERVALUE(RIGHT(Table7[[#This Row],[Min]],LEN(Table7[[#This Row],[Min]])-FIND("-",Table7[[#This Row],[Min]])))&gt;INDIRECT(ADDRESS(11+MATCH(LEFT(Table7[[#This Row],[Min]],FIND("-",Table7[[#This Row],[Min]])-1),Table1[Content Sku],0),16,1,1,"Entities")),"review","ok"),"ok")</f>
        <v>ok</v>
      </c>
      <c r="U539" t="s">
        <v>95</v>
      </c>
      <c r="V539">
        <v>0</v>
      </c>
      <c r="W539">
        <v>0</v>
      </c>
      <c r="X539" t="s">
        <v>8</v>
      </c>
      <c r="Y539" s="74" t="str">
        <f ca="1">IF(Table15[[#This Row],[Type]]="KILL",IF(_xlfn.NUMBERVALUE(RIGHT(Table15[[#This Row],[Min]],LEN(Table15[[#This Row],[Min]])-FIND("-",Table15[[#This Row],[Min]])))&gt;INDIRECT(ADDRESS(11+MATCH(LEFT(Table15[[#This Row],[Min]],FIND("-",Table15[[#This Row],[Min]])-1),Table1[Content Sku],0),16,1,1,"Entities")),"review","ok"),"ok")</f>
        <v>ok</v>
      </c>
      <c r="AK539" t="s">
        <v>480</v>
      </c>
      <c r="AL539">
        <v>40000</v>
      </c>
      <c r="AM539">
        <v>0</v>
      </c>
      <c r="AN539" t="s">
        <v>205</v>
      </c>
      <c r="AO539" s="74" t="str">
        <f ca="1">IF(Table20[[#This Row],[Type]]="KILL",IF(_xlfn.NUMBERVALUE(RIGHT(Table20[[#This Row],[Min]],LEN(Table20[[#This Row],[Min]])-FIND("-",Table20[[#This Row],[Min]])))&gt;INDIRECT(ADDRESS(11+MATCH(LEFT(Table20[[#This Row],[Min]],FIND("-",Table20[[#This Row],[Min]])-1),Table1[Content Sku],0),18,1,1,"Entities")),"review","ok"),"ok")</f>
        <v>ok</v>
      </c>
    </row>
    <row r="540" spans="5:41" x14ac:dyDescent="0.25">
      <c r="E540" t="s">
        <v>21</v>
      </c>
      <c r="F540">
        <v>30000</v>
      </c>
      <c r="G540">
        <v>0</v>
      </c>
      <c r="H540" t="s">
        <v>205</v>
      </c>
      <c r="I540" s="74" t="str">
        <f ca="1">IF(Table7[[#This Row],[Type]]="KILL",IF(_xlfn.NUMBERVALUE(RIGHT(Table7[[#This Row],[Min]],LEN(Table7[[#This Row],[Min]])-FIND("-",Table7[[#This Row],[Min]])))&gt;INDIRECT(ADDRESS(11+MATCH(LEFT(Table7[[#This Row],[Min]],FIND("-",Table7[[#This Row],[Min]])-1),Table1[Content Sku],0),16,1,1,"Entities")),"review","ok"),"ok")</f>
        <v>ok</v>
      </c>
      <c r="U540" t="s">
        <v>280</v>
      </c>
      <c r="V540">
        <v>0</v>
      </c>
      <c r="W540">
        <v>45000</v>
      </c>
      <c r="X540" t="s">
        <v>205</v>
      </c>
      <c r="Y540" s="74" t="str">
        <f ca="1">IF(Table15[[#This Row],[Type]]="KILL",IF(_xlfn.NUMBERVALUE(RIGHT(Table15[[#This Row],[Min]],LEN(Table15[[#This Row],[Min]])-FIND("-",Table15[[#This Row],[Min]])))&gt;INDIRECT(ADDRESS(11+MATCH(LEFT(Table15[[#This Row],[Min]],FIND("-",Table15[[#This Row],[Min]])-1),Table1[Content Sku],0),16,1,1,"Entities")),"review","ok"),"ok")</f>
        <v>ok</v>
      </c>
      <c r="AK540" t="s">
        <v>2662</v>
      </c>
      <c r="AL540">
        <v>0</v>
      </c>
      <c r="AM540">
        <v>0</v>
      </c>
      <c r="AN540" t="s">
        <v>8</v>
      </c>
      <c r="AO540" s="74" t="str">
        <f ca="1">IF(Table20[[#This Row],[Type]]="KILL",IF(_xlfn.NUMBERVALUE(RIGHT(Table20[[#This Row],[Min]],LEN(Table20[[#This Row],[Min]])-FIND("-",Table20[[#This Row],[Min]])))&gt;INDIRECT(ADDRESS(11+MATCH(LEFT(Table20[[#This Row],[Min]],FIND("-",Table20[[#This Row],[Min]])-1),Table1[Content Sku],0),18,1,1,"Entities")),"review","ok"),"ok")</f>
        <v>ok</v>
      </c>
    </row>
    <row r="541" spans="5:41" x14ac:dyDescent="0.25">
      <c r="E541" t="s">
        <v>37</v>
      </c>
      <c r="F541">
        <v>0</v>
      </c>
      <c r="G541">
        <v>0</v>
      </c>
      <c r="H541" t="s">
        <v>8</v>
      </c>
      <c r="I541" s="74" t="str">
        <f ca="1">IF(Table7[[#This Row],[Type]]="KILL",IF(_xlfn.NUMBERVALUE(RIGHT(Table7[[#This Row],[Min]],LEN(Table7[[#This Row],[Min]])-FIND("-",Table7[[#This Row],[Min]])))&gt;INDIRECT(ADDRESS(11+MATCH(LEFT(Table7[[#This Row],[Min]],FIND("-",Table7[[#This Row],[Min]])-1),Table1[Content Sku],0),16,1,1,"Entities")),"review","ok"),"ok")</f>
        <v>ok</v>
      </c>
      <c r="U541" t="s">
        <v>313</v>
      </c>
      <c r="V541">
        <v>0</v>
      </c>
      <c r="W541">
        <v>0</v>
      </c>
      <c r="X541" t="s">
        <v>8</v>
      </c>
      <c r="Y541" s="74" t="str">
        <f ca="1">IF(Table15[[#This Row],[Type]]="KILL",IF(_xlfn.NUMBERVALUE(RIGHT(Table15[[#This Row],[Min]],LEN(Table15[[#This Row],[Min]])-FIND("-",Table15[[#This Row],[Min]])))&gt;INDIRECT(ADDRESS(11+MATCH(LEFT(Table15[[#This Row],[Min]],FIND("-",Table15[[#This Row],[Min]])-1),Table1[Content Sku],0),16,1,1,"Entities")),"review","ok"),"ok")</f>
        <v>ok</v>
      </c>
      <c r="AK541" t="s">
        <v>2736</v>
      </c>
      <c r="AL541">
        <v>0</v>
      </c>
      <c r="AM541">
        <v>0</v>
      </c>
      <c r="AN541" t="s">
        <v>8</v>
      </c>
      <c r="AO541" s="74" t="str">
        <f ca="1">IF(Table20[[#This Row],[Type]]="KILL",IF(_xlfn.NUMBERVALUE(RIGHT(Table20[[#This Row],[Min]],LEN(Table20[[#This Row],[Min]])-FIND("-",Table20[[#This Row],[Min]])))&gt;INDIRECT(ADDRESS(11+MATCH(LEFT(Table20[[#This Row],[Min]],FIND("-",Table20[[#This Row],[Min]])-1),Table1[Content Sku],0),18,1,1,"Entities")),"review","ok"),"ok")</f>
        <v>ok</v>
      </c>
    </row>
    <row r="542" spans="5:41" x14ac:dyDescent="0.25">
      <c r="E542" t="s">
        <v>315</v>
      </c>
      <c r="F542">
        <v>0</v>
      </c>
      <c r="G542">
        <v>20000</v>
      </c>
      <c r="H542" t="s">
        <v>205</v>
      </c>
      <c r="I542" s="74" t="str">
        <f ca="1">IF(Table7[[#This Row],[Type]]="KILL",IF(_xlfn.NUMBERVALUE(RIGHT(Table7[[#This Row],[Min]],LEN(Table7[[#This Row],[Min]])-FIND("-",Table7[[#This Row],[Min]])))&gt;INDIRECT(ADDRESS(11+MATCH(LEFT(Table7[[#This Row],[Min]],FIND("-",Table7[[#This Row],[Min]])-1),Table1[Content Sku],0),16,1,1,"Entities")),"review","ok"),"ok")</f>
        <v>ok</v>
      </c>
      <c r="U542" t="s">
        <v>22</v>
      </c>
      <c r="V542">
        <v>0</v>
      </c>
      <c r="W542">
        <v>0</v>
      </c>
      <c r="X542" t="s">
        <v>8</v>
      </c>
      <c r="Y542" s="74" t="str">
        <f ca="1">IF(Table15[[#This Row],[Type]]="KILL",IF(_xlfn.NUMBERVALUE(RIGHT(Table15[[#This Row],[Min]],LEN(Table15[[#This Row],[Min]])-FIND("-",Table15[[#This Row],[Min]])))&gt;INDIRECT(ADDRESS(11+MATCH(LEFT(Table15[[#This Row],[Min]],FIND("-",Table15[[#This Row],[Min]])-1),Table1[Content Sku],0),16,1,1,"Entities")),"review","ok"),"ok")</f>
        <v>ok</v>
      </c>
      <c r="AK542" t="s">
        <v>400</v>
      </c>
      <c r="AL542">
        <v>0</v>
      </c>
      <c r="AM542">
        <v>0</v>
      </c>
      <c r="AN542" t="s">
        <v>8</v>
      </c>
      <c r="AO542" s="74" t="str">
        <f ca="1">IF(Table20[[#This Row],[Type]]="KILL",IF(_xlfn.NUMBERVALUE(RIGHT(Table20[[#This Row],[Min]],LEN(Table20[[#This Row],[Min]])-FIND("-",Table20[[#This Row],[Min]])))&gt;INDIRECT(ADDRESS(11+MATCH(LEFT(Table20[[#This Row],[Min]],FIND("-",Table20[[#This Row],[Min]])-1),Table1[Content Sku],0),18,1,1,"Entities")),"review","ok"),"ok")</f>
        <v>ok</v>
      </c>
    </row>
    <row r="543" spans="5:41" x14ac:dyDescent="0.25">
      <c r="E543" t="s">
        <v>254</v>
      </c>
      <c r="F543">
        <v>0</v>
      </c>
      <c r="G543">
        <v>0</v>
      </c>
      <c r="H543" t="s">
        <v>8</v>
      </c>
      <c r="I543" s="74" t="str">
        <f ca="1">IF(Table7[[#This Row],[Type]]="KILL",IF(_xlfn.NUMBERVALUE(RIGHT(Table7[[#This Row],[Min]],LEN(Table7[[#This Row],[Min]])-FIND("-",Table7[[#This Row],[Min]])))&gt;INDIRECT(ADDRESS(11+MATCH(LEFT(Table7[[#This Row],[Min]],FIND("-",Table7[[#This Row],[Min]])-1),Table1[Content Sku],0),16,1,1,"Entities")),"review","ok"),"ok")</f>
        <v>ok</v>
      </c>
      <c r="U543" t="s">
        <v>37</v>
      </c>
      <c r="V543">
        <v>0</v>
      </c>
      <c r="W543">
        <v>0</v>
      </c>
      <c r="X543" t="s">
        <v>8</v>
      </c>
      <c r="Y543" s="74" t="str">
        <f ca="1">IF(Table15[[#This Row],[Type]]="KILL",IF(_xlfn.NUMBERVALUE(RIGHT(Table15[[#This Row],[Min]],LEN(Table15[[#This Row],[Min]])-FIND("-",Table15[[#This Row],[Min]])))&gt;INDIRECT(ADDRESS(11+MATCH(LEFT(Table15[[#This Row],[Min]],FIND("-",Table15[[#This Row],[Min]])-1),Table1[Content Sku],0),16,1,1,"Entities")),"review","ok"),"ok")</f>
        <v>ok</v>
      </c>
      <c r="AK543" t="s">
        <v>41</v>
      </c>
      <c r="AL543">
        <v>0</v>
      </c>
      <c r="AM543">
        <v>0</v>
      </c>
      <c r="AN543" t="s">
        <v>8</v>
      </c>
      <c r="AO543" s="74" t="str">
        <f ca="1">IF(Table20[[#This Row],[Type]]="KILL",IF(_xlfn.NUMBERVALUE(RIGHT(Table20[[#This Row],[Min]],LEN(Table20[[#This Row],[Min]])-FIND("-",Table20[[#This Row],[Min]])))&gt;INDIRECT(ADDRESS(11+MATCH(LEFT(Table20[[#This Row],[Min]],FIND("-",Table20[[#This Row],[Min]])-1),Table1[Content Sku],0),18,1,1,"Entities")),"review","ok"),"ok")</f>
        <v>ok</v>
      </c>
    </row>
    <row r="544" spans="5:41" x14ac:dyDescent="0.25">
      <c r="E544" t="s">
        <v>122</v>
      </c>
      <c r="F544">
        <v>18000</v>
      </c>
      <c r="G544">
        <v>0</v>
      </c>
      <c r="H544" t="s">
        <v>205</v>
      </c>
      <c r="I544" s="74" t="str">
        <f ca="1">IF(Table7[[#This Row],[Type]]="KILL",IF(_xlfn.NUMBERVALUE(RIGHT(Table7[[#This Row],[Min]],LEN(Table7[[#This Row],[Min]])-FIND("-",Table7[[#This Row],[Min]])))&gt;INDIRECT(ADDRESS(11+MATCH(LEFT(Table7[[#This Row],[Min]],FIND("-",Table7[[#This Row],[Min]])-1),Table1[Content Sku],0),16,1,1,"Entities")),"review","ok"),"ok")</f>
        <v>ok</v>
      </c>
      <c r="U544" t="s">
        <v>280</v>
      </c>
      <c r="V544">
        <v>0</v>
      </c>
      <c r="W544">
        <v>0</v>
      </c>
      <c r="X544" t="s">
        <v>8</v>
      </c>
      <c r="Y544" s="74" t="str">
        <f ca="1">IF(Table15[[#This Row],[Type]]="KILL",IF(_xlfn.NUMBERVALUE(RIGHT(Table15[[#This Row],[Min]],LEN(Table15[[#This Row],[Min]])-FIND("-",Table15[[#This Row],[Min]])))&gt;INDIRECT(ADDRESS(11+MATCH(LEFT(Table15[[#This Row],[Min]],FIND("-",Table15[[#This Row],[Min]])-1),Table1[Content Sku],0),16,1,1,"Entities")),"review","ok"),"ok")</f>
        <v>ok</v>
      </c>
      <c r="AK544" t="s">
        <v>480</v>
      </c>
      <c r="AL544">
        <v>40000</v>
      </c>
      <c r="AM544">
        <v>0</v>
      </c>
      <c r="AN544" t="s">
        <v>205</v>
      </c>
      <c r="AO544" s="74" t="str">
        <f ca="1">IF(Table20[[#This Row],[Type]]="KILL",IF(_xlfn.NUMBERVALUE(RIGHT(Table20[[#This Row],[Min]],LEN(Table20[[#This Row],[Min]])-FIND("-",Table20[[#This Row],[Min]])))&gt;INDIRECT(ADDRESS(11+MATCH(LEFT(Table20[[#This Row],[Min]],FIND("-",Table20[[#This Row],[Min]])-1),Table1[Content Sku],0),18,1,1,"Entities")),"review","ok"),"ok")</f>
        <v>ok</v>
      </c>
    </row>
    <row r="545" spans="5:41" x14ac:dyDescent="0.25">
      <c r="E545" t="s">
        <v>391</v>
      </c>
      <c r="F545">
        <v>0</v>
      </c>
      <c r="G545">
        <v>0</v>
      </c>
      <c r="H545" t="s">
        <v>8</v>
      </c>
      <c r="I545" s="74" t="str">
        <f ca="1">IF(Table7[[#This Row],[Type]]="KILL",IF(_xlfn.NUMBERVALUE(RIGHT(Table7[[#This Row],[Min]],LEN(Table7[[#This Row],[Min]])-FIND("-",Table7[[#This Row],[Min]])))&gt;INDIRECT(ADDRESS(11+MATCH(LEFT(Table7[[#This Row],[Min]],FIND("-",Table7[[#This Row],[Min]])-1),Table1[Content Sku],0),16,1,1,"Entities")),"review","ok"),"ok")</f>
        <v>ok</v>
      </c>
      <c r="U545" t="s">
        <v>313</v>
      </c>
      <c r="V545">
        <v>0</v>
      </c>
      <c r="W545">
        <v>0</v>
      </c>
      <c r="X545" t="s">
        <v>8</v>
      </c>
      <c r="Y545" s="74" t="str">
        <f ca="1">IF(Table15[[#This Row],[Type]]="KILL",IF(_xlfn.NUMBERVALUE(RIGHT(Table15[[#This Row],[Min]],LEN(Table15[[#This Row],[Min]])-FIND("-",Table15[[#This Row],[Min]])))&gt;INDIRECT(ADDRESS(11+MATCH(LEFT(Table15[[#This Row],[Min]],FIND("-",Table15[[#This Row],[Min]])-1),Table1[Content Sku],0),16,1,1,"Entities")),"review","ok"),"ok")</f>
        <v>ok</v>
      </c>
      <c r="AK545" t="s">
        <v>2670</v>
      </c>
      <c r="AL545">
        <v>0</v>
      </c>
      <c r="AM545">
        <v>0</v>
      </c>
      <c r="AN545" t="s">
        <v>8</v>
      </c>
      <c r="AO545" s="74" t="str">
        <f ca="1">IF(Table20[[#This Row],[Type]]="KILL",IF(_xlfn.NUMBERVALUE(RIGHT(Table20[[#This Row],[Min]],LEN(Table20[[#This Row],[Min]])-FIND("-",Table20[[#This Row],[Min]])))&gt;INDIRECT(ADDRESS(11+MATCH(LEFT(Table20[[#This Row],[Min]],FIND("-",Table20[[#This Row],[Min]])-1),Table1[Content Sku],0),18,1,1,"Entities")),"review","ok"),"ok")</f>
        <v>ok</v>
      </c>
    </row>
    <row r="546" spans="5:41" x14ac:dyDescent="0.25">
      <c r="E546" t="s">
        <v>311</v>
      </c>
      <c r="F546">
        <v>0</v>
      </c>
      <c r="G546">
        <v>0</v>
      </c>
      <c r="H546" t="s">
        <v>8</v>
      </c>
      <c r="I546" s="74" t="str">
        <f ca="1">IF(Table7[[#This Row],[Type]]="KILL",IF(_xlfn.NUMBERVALUE(RIGHT(Table7[[#This Row],[Min]],LEN(Table7[[#This Row],[Min]])-FIND("-",Table7[[#This Row],[Min]])))&gt;INDIRECT(ADDRESS(11+MATCH(LEFT(Table7[[#This Row],[Min]],FIND("-",Table7[[#This Row],[Min]])-1),Table1[Content Sku],0),16,1,1,"Entities")),"review","ok"),"ok")</f>
        <v>ok</v>
      </c>
      <c r="U546" t="s">
        <v>51</v>
      </c>
      <c r="V546">
        <v>0</v>
      </c>
      <c r="W546">
        <v>0</v>
      </c>
      <c r="X546" t="s">
        <v>8</v>
      </c>
      <c r="Y546" s="74" t="str">
        <f ca="1">IF(Table15[[#This Row],[Type]]="KILL",IF(_xlfn.NUMBERVALUE(RIGHT(Table15[[#This Row],[Min]],LEN(Table15[[#This Row],[Min]])-FIND("-",Table15[[#This Row],[Min]])))&gt;INDIRECT(ADDRESS(11+MATCH(LEFT(Table15[[#This Row],[Min]],FIND("-",Table15[[#This Row],[Min]])-1),Table1[Content Sku],0),16,1,1,"Entities")),"review","ok"),"ok")</f>
        <v>ok</v>
      </c>
      <c r="AK546" t="s">
        <v>36</v>
      </c>
      <c r="AL546">
        <v>26000</v>
      </c>
      <c r="AM546">
        <v>0</v>
      </c>
      <c r="AN546" t="s">
        <v>205</v>
      </c>
      <c r="AO546" s="74" t="str">
        <f ca="1">IF(Table20[[#This Row],[Type]]="KILL",IF(_xlfn.NUMBERVALUE(RIGHT(Table20[[#This Row],[Min]],LEN(Table20[[#This Row],[Min]])-FIND("-",Table20[[#This Row],[Min]])))&gt;INDIRECT(ADDRESS(11+MATCH(LEFT(Table20[[#This Row],[Min]],FIND("-",Table20[[#This Row],[Min]])-1),Table1[Content Sku],0),18,1,1,"Entities")),"review","ok"),"ok")</f>
        <v>ok</v>
      </c>
    </row>
    <row r="547" spans="5:41" x14ac:dyDescent="0.25">
      <c r="E547" t="s">
        <v>548</v>
      </c>
      <c r="F547">
        <v>0</v>
      </c>
      <c r="G547">
        <v>0</v>
      </c>
      <c r="H547" t="s">
        <v>8</v>
      </c>
      <c r="I547" s="74" t="str">
        <f ca="1">IF(Table7[[#This Row],[Type]]="KILL",IF(_xlfn.NUMBERVALUE(RIGHT(Table7[[#This Row],[Min]],LEN(Table7[[#This Row],[Min]])-FIND("-",Table7[[#This Row],[Min]])))&gt;INDIRECT(ADDRESS(11+MATCH(LEFT(Table7[[#This Row],[Min]],FIND("-",Table7[[#This Row],[Min]])-1),Table1[Content Sku],0),16,1,1,"Entities")),"review","ok"),"ok")</f>
        <v>ok</v>
      </c>
      <c r="U547" t="s">
        <v>393</v>
      </c>
      <c r="V547">
        <v>0</v>
      </c>
      <c r="W547">
        <v>0</v>
      </c>
      <c r="X547" t="s">
        <v>8</v>
      </c>
      <c r="Y547" s="74" t="str">
        <f ca="1">IF(Table15[[#This Row],[Type]]="KILL",IF(_xlfn.NUMBERVALUE(RIGHT(Table15[[#This Row],[Min]],LEN(Table15[[#This Row],[Min]])-FIND("-",Table15[[#This Row],[Min]])))&gt;INDIRECT(ADDRESS(11+MATCH(LEFT(Table15[[#This Row],[Min]],FIND("-",Table15[[#This Row],[Min]])-1),Table1[Content Sku],0),16,1,1,"Entities")),"review","ok"),"ok")</f>
        <v>ok</v>
      </c>
      <c r="AK547" t="s">
        <v>2668</v>
      </c>
      <c r="AL547" t="s">
        <v>5009</v>
      </c>
      <c r="AM547" t="s">
        <v>4467</v>
      </c>
      <c r="AN547" t="s">
        <v>4468</v>
      </c>
      <c r="AO547" s="74" t="str">
        <f ca="1">IF(Table20[[#This Row],[Type]]="KILL",IF(_xlfn.NUMBERVALUE(RIGHT(Table20[[#This Row],[Min]],LEN(Table20[[#This Row],[Min]])-FIND("-",Table20[[#This Row],[Min]])))&gt;INDIRECT(ADDRESS(11+MATCH(LEFT(Table20[[#This Row],[Min]],FIND("-",Table20[[#This Row],[Min]])-1),Table1[Content Sku],0),18,1,1,"Entities")),"review","ok"),"ok")</f>
        <v>ok</v>
      </c>
    </row>
    <row r="548" spans="5:41" x14ac:dyDescent="0.25">
      <c r="E548" t="s">
        <v>137</v>
      </c>
      <c r="F548">
        <v>0</v>
      </c>
      <c r="G548">
        <v>0</v>
      </c>
      <c r="H548" t="s">
        <v>8</v>
      </c>
      <c r="I548" s="74" t="str">
        <f ca="1">IF(Table7[[#This Row],[Type]]="KILL",IF(_xlfn.NUMBERVALUE(RIGHT(Table7[[#This Row],[Min]],LEN(Table7[[#This Row],[Min]])-FIND("-",Table7[[#This Row],[Min]])))&gt;INDIRECT(ADDRESS(11+MATCH(LEFT(Table7[[#This Row],[Min]],FIND("-",Table7[[#This Row],[Min]])-1),Table1[Content Sku],0),16,1,1,"Entities")),"review","ok"),"ok")</f>
        <v>ok</v>
      </c>
      <c r="U548" t="s">
        <v>545</v>
      </c>
      <c r="V548">
        <v>0</v>
      </c>
      <c r="W548">
        <v>0</v>
      </c>
      <c r="X548" t="s">
        <v>8</v>
      </c>
      <c r="Y548" s="74" t="str">
        <f ca="1">IF(Table15[[#This Row],[Type]]="KILL",IF(_xlfn.NUMBERVALUE(RIGHT(Table15[[#This Row],[Min]],LEN(Table15[[#This Row],[Min]])-FIND("-",Table15[[#This Row],[Min]])))&gt;INDIRECT(ADDRESS(11+MATCH(LEFT(Table15[[#This Row],[Min]],FIND("-",Table15[[#This Row],[Min]])-1),Table1[Content Sku],0),16,1,1,"Entities")),"review","ok"),"ok")</f>
        <v>ok</v>
      </c>
      <c r="AK548" t="s">
        <v>400</v>
      </c>
      <c r="AL548">
        <v>0</v>
      </c>
      <c r="AM548">
        <v>0</v>
      </c>
      <c r="AN548" t="s">
        <v>8</v>
      </c>
      <c r="AO548" s="74" t="str">
        <f ca="1">IF(Table20[[#This Row],[Type]]="KILL",IF(_xlfn.NUMBERVALUE(RIGHT(Table20[[#This Row],[Min]],LEN(Table20[[#This Row],[Min]])-FIND("-",Table20[[#This Row],[Min]])))&gt;INDIRECT(ADDRESS(11+MATCH(LEFT(Table20[[#This Row],[Min]],FIND("-",Table20[[#This Row],[Min]])-1),Table1[Content Sku],0),18,1,1,"Entities")),"review","ok"),"ok")</f>
        <v>ok</v>
      </c>
    </row>
    <row r="549" spans="5:41" x14ac:dyDescent="0.25">
      <c r="E549" t="s">
        <v>37</v>
      </c>
      <c r="F549">
        <v>0</v>
      </c>
      <c r="G549">
        <v>0</v>
      </c>
      <c r="H549" t="s">
        <v>8</v>
      </c>
      <c r="I549" s="74" t="str">
        <f ca="1">IF(Table7[[#This Row],[Type]]="KILL",IF(_xlfn.NUMBERVALUE(RIGHT(Table7[[#This Row],[Min]],LEN(Table7[[#This Row],[Min]])-FIND("-",Table7[[#This Row],[Min]])))&gt;INDIRECT(ADDRESS(11+MATCH(LEFT(Table7[[#This Row],[Min]],FIND("-",Table7[[#This Row],[Min]])-1),Table1[Content Sku],0),16,1,1,"Entities")),"review","ok"),"ok")</f>
        <v>ok</v>
      </c>
      <c r="U549" t="s">
        <v>392</v>
      </c>
      <c r="V549">
        <v>0</v>
      </c>
      <c r="W549">
        <v>0</v>
      </c>
      <c r="X549" t="s">
        <v>8</v>
      </c>
      <c r="Y549" s="74" t="str">
        <f ca="1">IF(Table15[[#This Row],[Type]]="KILL",IF(_xlfn.NUMBERVALUE(RIGHT(Table15[[#This Row],[Min]],LEN(Table15[[#This Row],[Min]])-FIND("-",Table15[[#This Row],[Min]])))&gt;INDIRECT(ADDRESS(11+MATCH(LEFT(Table15[[#This Row],[Min]],FIND("-",Table15[[#This Row],[Min]])-1),Table1[Content Sku],0),16,1,1,"Entities")),"review","ok"),"ok")</f>
        <v>ok</v>
      </c>
      <c r="AK549" t="s">
        <v>2673</v>
      </c>
      <c r="AL549">
        <v>0</v>
      </c>
      <c r="AM549">
        <v>82000</v>
      </c>
      <c r="AN549" t="s">
        <v>205</v>
      </c>
      <c r="AO549" s="74" t="str">
        <f ca="1">IF(Table20[[#This Row],[Type]]="KILL",IF(_xlfn.NUMBERVALUE(RIGHT(Table20[[#This Row],[Min]],LEN(Table20[[#This Row],[Min]])-FIND("-",Table20[[#This Row],[Min]])))&gt;INDIRECT(ADDRESS(11+MATCH(LEFT(Table20[[#This Row],[Min]],FIND("-",Table20[[#This Row],[Min]])-1),Table1[Content Sku],0),18,1,1,"Entities")),"review","ok"),"ok")</f>
        <v>ok</v>
      </c>
    </row>
    <row r="550" spans="5:41" x14ac:dyDescent="0.25">
      <c r="E550" t="s">
        <v>91</v>
      </c>
      <c r="F550">
        <v>3600</v>
      </c>
      <c r="G550">
        <v>0</v>
      </c>
      <c r="H550" t="s">
        <v>205</v>
      </c>
      <c r="I550" s="74" t="str">
        <f ca="1">IF(Table7[[#This Row],[Type]]="KILL",IF(_xlfn.NUMBERVALUE(RIGHT(Table7[[#This Row],[Min]],LEN(Table7[[#This Row],[Min]])-FIND("-",Table7[[#This Row],[Min]])))&gt;INDIRECT(ADDRESS(11+MATCH(LEFT(Table7[[#This Row],[Min]],FIND("-",Table7[[#This Row],[Min]])-1),Table1[Content Sku],0),16,1,1,"Entities")),"review","ok"),"ok")</f>
        <v>ok</v>
      </c>
      <c r="U550" t="s">
        <v>95</v>
      </c>
      <c r="V550">
        <v>0</v>
      </c>
      <c r="W550">
        <v>0</v>
      </c>
      <c r="X550" t="s">
        <v>8</v>
      </c>
      <c r="Y550" s="74" t="str">
        <f ca="1">IF(Table15[[#This Row],[Type]]="KILL",IF(_xlfn.NUMBERVALUE(RIGHT(Table15[[#This Row],[Min]],LEN(Table15[[#This Row],[Min]])-FIND("-",Table15[[#This Row],[Min]])))&gt;INDIRECT(ADDRESS(11+MATCH(LEFT(Table15[[#This Row],[Min]],FIND("-",Table15[[#This Row],[Min]])-1),Table1[Content Sku],0),16,1,1,"Entities")),"review","ok"),"ok")</f>
        <v>ok</v>
      </c>
      <c r="AK550" t="s">
        <v>418</v>
      </c>
      <c r="AL550">
        <v>0</v>
      </c>
      <c r="AM550">
        <v>0</v>
      </c>
      <c r="AN550" t="s">
        <v>8</v>
      </c>
      <c r="AO550" s="74" t="str">
        <f ca="1">IF(Table20[[#This Row],[Type]]="KILL",IF(_xlfn.NUMBERVALUE(RIGHT(Table20[[#This Row],[Min]],LEN(Table20[[#This Row],[Min]])-FIND("-",Table20[[#This Row],[Min]])))&gt;INDIRECT(ADDRESS(11+MATCH(LEFT(Table20[[#This Row],[Min]],FIND("-",Table20[[#This Row],[Min]])-1),Table1[Content Sku],0),18,1,1,"Entities")),"review","ok"),"ok")</f>
        <v>ok</v>
      </c>
    </row>
    <row r="551" spans="5:41" x14ac:dyDescent="0.25">
      <c r="E551" t="s">
        <v>39</v>
      </c>
      <c r="F551">
        <v>0</v>
      </c>
      <c r="G551">
        <v>0</v>
      </c>
      <c r="H551" t="s">
        <v>8</v>
      </c>
      <c r="I551" s="74" t="str">
        <f ca="1">IF(Table7[[#This Row],[Type]]="KILL",IF(_xlfn.NUMBERVALUE(RIGHT(Table7[[#This Row],[Min]],LEN(Table7[[#This Row],[Min]])-FIND("-",Table7[[#This Row],[Min]])))&gt;INDIRECT(ADDRESS(11+MATCH(LEFT(Table7[[#This Row],[Min]],FIND("-",Table7[[#This Row],[Min]])-1),Table1[Content Sku],0),16,1,1,"Entities")),"review","ok"),"ok")</f>
        <v>ok</v>
      </c>
      <c r="U551" t="s">
        <v>313</v>
      </c>
      <c r="V551">
        <v>0</v>
      </c>
      <c r="W551">
        <v>0</v>
      </c>
      <c r="X551" t="s">
        <v>8</v>
      </c>
      <c r="Y551" s="74" t="str">
        <f ca="1">IF(Table15[[#This Row],[Type]]="KILL",IF(_xlfn.NUMBERVALUE(RIGHT(Table15[[#This Row],[Min]],LEN(Table15[[#This Row],[Min]])-FIND("-",Table15[[#This Row],[Min]])))&gt;INDIRECT(ADDRESS(11+MATCH(LEFT(Table15[[#This Row],[Min]],FIND("-",Table15[[#This Row],[Min]])-1),Table1[Content Sku],0),16,1,1,"Entities")),"review","ok"),"ok")</f>
        <v>ok</v>
      </c>
      <c r="AK551" t="s">
        <v>2767</v>
      </c>
      <c r="AL551">
        <v>0</v>
      </c>
      <c r="AM551">
        <v>0</v>
      </c>
      <c r="AN551" t="s">
        <v>8</v>
      </c>
      <c r="AO551" s="74" t="str">
        <f ca="1">IF(Table20[[#This Row],[Type]]="KILL",IF(_xlfn.NUMBERVALUE(RIGHT(Table20[[#This Row],[Min]],LEN(Table20[[#This Row],[Min]])-FIND("-",Table20[[#This Row],[Min]])))&gt;INDIRECT(ADDRESS(11+MATCH(LEFT(Table20[[#This Row],[Min]],FIND("-",Table20[[#This Row],[Min]])-1),Table1[Content Sku],0),18,1,1,"Entities")),"review","ok"),"ok")</f>
        <v>ok</v>
      </c>
    </row>
    <row r="552" spans="5:41" x14ac:dyDescent="0.25">
      <c r="E552" t="s">
        <v>548</v>
      </c>
      <c r="F552">
        <v>0</v>
      </c>
      <c r="G552">
        <v>0</v>
      </c>
      <c r="H552" t="s">
        <v>8</v>
      </c>
      <c r="I552" s="74" t="str">
        <f ca="1">IF(Table7[[#This Row],[Type]]="KILL",IF(_xlfn.NUMBERVALUE(RIGHT(Table7[[#This Row],[Min]],LEN(Table7[[#This Row],[Min]])-FIND("-",Table7[[#This Row],[Min]])))&gt;INDIRECT(ADDRESS(11+MATCH(LEFT(Table7[[#This Row],[Min]],FIND("-",Table7[[#This Row],[Min]])-1),Table1[Content Sku],0),16,1,1,"Entities")),"review","ok"),"ok")</f>
        <v>ok</v>
      </c>
      <c r="U552" t="s">
        <v>45</v>
      </c>
      <c r="V552">
        <v>18000</v>
      </c>
      <c r="W552">
        <v>0</v>
      </c>
      <c r="X552" t="s">
        <v>205</v>
      </c>
      <c r="Y552" s="74" t="str">
        <f ca="1">IF(Table15[[#This Row],[Type]]="KILL",IF(_xlfn.NUMBERVALUE(RIGHT(Table15[[#This Row],[Min]],LEN(Table15[[#This Row],[Min]])-FIND("-",Table15[[#This Row],[Min]])))&gt;INDIRECT(ADDRESS(11+MATCH(LEFT(Table15[[#This Row],[Min]],FIND("-",Table15[[#This Row],[Min]])-1),Table1[Content Sku],0),16,1,1,"Entities")),"review","ok"),"ok")</f>
        <v>ok</v>
      </c>
      <c r="AK552" t="s">
        <v>548</v>
      </c>
      <c r="AL552">
        <v>0</v>
      </c>
      <c r="AM552">
        <v>0</v>
      </c>
      <c r="AN552" t="s">
        <v>8</v>
      </c>
      <c r="AO552" s="74" t="str">
        <f ca="1">IF(Table20[[#This Row],[Type]]="KILL",IF(_xlfn.NUMBERVALUE(RIGHT(Table20[[#This Row],[Min]],LEN(Table20[[#This Row],[Min]])-FIND("-",Table20[[#This Row],[Min]])))&gt;INDIRECT(ADDRESS(11+MATCH(LEFT(Table20[[#This Row],[Min]],FIND("-",Table20[[#This Row],[Min]])-1),Table1[Content Sku],0),18,1,1,"Entities")),"review","ok"),"ok")</f>
        <v>ok</v>
      </c>
    </row>
    <row r="553" spans="5:41" x14ac:dyDescent="0.25">
      <c r="E553" t="s">
        <v>315</v>
      </c>
      <c r="F553">
        <v>0</v>
      </c>
      <c r="G553">
        <v>0</v>
      </c>
      <c r="H553" t="s">
        <v>8</v>
      </c>
      <c r="I553" s="74" t="str">
        <f ca="1">IF(Table7[[#This Row],[Type]]="KILL",IF(_xlfn.NUMBERVALUE(RIGHT(Table7[[#This Row],[Min]],LEN(Table7[[#This Row],[Min]])-FIND("-",Table7[[#This Row],[Min]])))&gt;INDIRECT(ADDRESS(11+MATCH(LEFT(Table7[[#This Row],[Min]],FIND("-",Table7[[#This Row],[Min]])-1),Table1[Content Sku],0),16,1,1,"Entities")),"review","ok"),"ok")</f>
        <v>ok</v>
      </c>
      <c r="U553" t="s">
        <v>61</v>
      </c>
      <c r="V553">
        <v>35000</v>
      </c>
      <c r="W553">
        <v>0</v>
      </c>
      <c r="X553" t="s">
        <v>205</v>
      </c>
      <c r="Y553" s="74" t="str">
        <f ca="1">IF(Table15[[#This Row],[Type]]="KILL",IF(_xlfn.NUMBERVALUE(RIGHT(Table15[[#This Row],[Min]],LEN(Table15[[#This Row],[Min]])-FIND("-",Table15[[#This Row],[Min]])))&gt;INDIRECT(ADDRESS(11+MATCH(LEFT(Table15[[#This Row],[Min]],FIND("-",Table15[[#This Row],[Min]])-1),Table1[Content Sku],0),16,1,1,"Entities")),"review","ok"),"ok")</f>
        <v>ok</v>
      </c>
      <c r="AK553" t="s">
        <v>315</v>
      </c>
      <c r="AL553">
        <v>0</v>
      </c>
      <c r="AM553">
        <v>0</v>
      </c>
      <c r="AN553" t="s">
        <v>8</v>
      </c>
      <c r="AO553" s="74" t="str">
        <f ca="1">IF(Table20[[#This Row],[Type]]="KILL",IF(_xlfn.NUMBERVALUE(RIGHT(Table20[[#This Row],[Min]],LEN(Table20[[#This Row],[Min]])-FIND("-",Table20[[#This Row],[Min]])))&gt;INDIRECT(ADDRESS(11+MATCH(LEFT(Table20[[#This Row],[Min]],FIND("-",Table20[[#This Row],[Min]])-1),Table1[Content Sku],0),18,1,1,"Entities")),"review","ok"),"ok")</f>
        <v>ok</v>
      </c>
    </row>
    <row r="554" spans="5:41" x14ac:dyDescent="0.25">
      <c r="E554" t="s">
        <v>400</v>
      </c>
      <c r="F554">
        <v>0</v>
      </c>
      <c r="G554">
        <v>0</v>
      </c>
      <c r="H554" t="s">
        <v>8</v>
      </c>
      <c r="I554" s="74" t="str">
        <f ca="1">IF(Table7[[#This Row],[Type]]="KILL",IF(_xlfn.NUMBERVALUE(RIGHT(Table7[[#This Row],[Min]],LEN(Table7[[#This Row],[Min]])-FIND("-",Table7[[#This Row],[Min]])))&gt;INDIRECT(ADDRESS(11+MATCH(LEFT(Table7[[#This Row],[Min]],FIND("-",Table7[[#This Row],[Min]])-1),Table1[Content Sku],0),16,1,1,"Entities")),"review","ok"),"ok")</f>
        <v>ok</v>
      </c>
      <c r="U554" t="s">
        <v>254</v>
      </c>
      <c r="V554">
        <v>0</v>
      </c>
      <c r="W554">
        <v>0</v>
      </c>
      <c r="X554" t="s">
        <v>8</v>
      </c>
      <c r="Y554" s="74" t="str">
        <f ca="1">IF(Table15[[#This Row],[Type]]="KILL",IF(_xlfn.NUMBERVALUE(RIGHT(Table15[[#This Row],[Min]],LEN(Table15[[#This Row],[Min]])-FIND("-",Table15[[#This Row],[Min]])))&gt;INDIRECT(ADDRESS(11+MATCH(LEFT(Table15[[#This Row],[Min]],FIND("-",Table15[[#This Row],[Min]])-1),Table1[Content Sku],0),16,1,1,"Entities")),"review","ok"),"ok")</f>
        <v>ok</v>
      </c>
      <c r="AK554" t="s">
        <v>480</v>
      </c>
      <c r="AL554">
        <v>35000</v>
      </c>
      <c r="AM554">
        <v>0</v>
      </c>
      <c r="AN554" t="s">
        <v>205</v>
      </c>
      <c r="AO554" s="74" t="str">
        <f ca="1">IF(Table20[[#This Row],[Type]]="KILL",IF(_xlfn.NUMBERVALUE(RIGHT(Table20[[#This Row],[Min]],LEN(Table20[[#This Row],[Min]])-FIND("-",Table20[[#This Row],[Min]])))&gt;INDIRECT(ADDRESS(11+MATCH(LEFT(Table20[[#This Row],[Min]],FIND("-",Table20[[#This Row],[Min]])-1),Table1[Content Sku],0),18,1,1,"Entities")),"review","ok"),"ok")</f>
        <v>ok</v>
      </c>
    </row>
    <row r="555" spans="5:41" x14ac:dyDescent="0.25">
      <c r="E555" t="s">
        <v>311</v>
      </c>
      <c r="F555">
        <v>0</v>
      </c>
      <c r="G555">
        <v>0</v>
      </c>
      <c r="H555" t="s">
        <v>8</v>
      </c>
      <c r="I555" s="74" t="str">
        <f ca="1">IF(Table7[[#This Row],[Type]]="KILL",IF(_xlfn.NUMBERVALUE(RIGHT(Table7[[#This Row],[Min]],LEN(Table7[[#This Row],[Min]])-FIND("-",Table7[[#This Row],[Min]])))&gt;INDIRECT(ADDRESS(11+MATCH(LEFT(Table7[[#This Row],[Min]],FIND("-",Table7[[#This Row],[Min]])-1),Table1[Content Sku],0),16,1,1,"Entities")),"review","ok"),"ok")</f>
        <v>ok</v>
      </c>
      <c r="U555" t="s">
        <v>280</v>
      </c>
      <c r="V555">
        <v>35000</v>
      </c>
      <c r="W555">
        <v>0</v>
      </c>
      <c r="X555" t="s">
        <v>205</v>
      </c>
      <c r="Y555" s="74" t="str">
        <f ca="1">IF(Table15[[#This Row],[Type]]="KILL",IF(_xlfn.NUMBERVALUE(RIGHT(Table15[[#This Row],[Min]],LEN(Table15[[#This Row],[Min]])-FIND("-",Table15[[#This Row],[Min]])))&gt;INDIRECT(ADDRESS(11+MATCH(LEFT(Table15[[#This Row],[Min]],FIND("-",Table15[[#This Row],[Min]])-1),Table1[Content Sku],0),16,1,1,"Entities")),"review","ok"),"ok")</f>
        <v>ok</v>
      </c>
      <c r="AK555" t="s">
        <v>2667</v>
      </c>
      <c r="AL555">
        <v>0</v>
      </c>
      <c r="AM555">
        <v>0</v>
      </c>
      <c r="AN555" t="s">
        <v>8</v>
      </c>
      <c r="AO555" s="74" t="str">
        <f ca="1">IF(Table20[[#This Row],[Type]]="KILL",IF(_xlfn.NUMBERVALUE(RIGHT(Table20[[#This Row],[Min]],LEN(Table20[[#This Row],[Min]])-FIND("-",Table20[[#This Row],[Min]])))&gt;INDIRECT(ADDRESS(11+MATCH(LEFT(Table20[[#This Row],[Min]],FIND("-",Table20[[#This Row],[Min]])-1),Table1[Content Sku],0),18,1,1,"Entities")),"review","ok"),"ok")</f>
        <v>ok</v>
      </c>
    </row>
    <row r="556" spans="5:41" x14ac:dyDescent="0.25">
      <c r="E556" t="s">
        <v>391</v>
      </c>
      <c r="F556">
        <v>0</v>
      </c>
      <c r="G556">
        <v>0</v>
      </c>
      <c r="H556" t="s">
        <v>8</v>
      </c>
      <c r="I556" s="74" t="str">
        <f ca="1">IF(Table7[[#This Row],[Type]]="KILL",IF(_xlfn.NUMBERVALUE(RIGHT(Table7[[#This Row],[Min]],LEN(Table7[[#This Row],[Min]])-FIND("-",Table7[[#This Row],[Min]])))&gt;INDIRECT(ADDRESS(11+MATCH(LEFT(Table7[[#This Row],[Min]],FIND("-",Table7[[#This Row],[Min]])-1),Table1[Content Sku],0),16,1,1,"Entities")),"review","ok"),"ok")</f>
        <v>ok</v>
      </c>
      <c r="U556" t="s">
        <v>280</v>
      </c>
      <c r="V556">
        <v>0</v>
      </c>
      <c r="W556">
        <v>0</v>
      </c>
      <c r="X556" t="s">
        <v>8</v>
      </c>
      <c r="Y556" s="74" t="str">
        <f ca="1">IF(Table15[[#This Row],[Type]]="KILL",IF(_xlfn.NUMBERVALUE(RIGHT(Table15[[#This Row],[Min]],LEN(Table15[[#This Row],[Min]])-FIND("-",Table15[[#This Row],[Min]])))&gt;INDIRECT(ADDRESS(11+MATCH(LEFT(Table15[[#This Row],[Min]],FIND("-",Table15[[#This Row],[Min]])-1),Table1[Content Sku],0),16,1,1,"Entities")),"review","ok"),"ok")</f>
        <v>ok</v>
      </c>
      <c r="AK556" t="s">
        <v>122</v>
      </c>
      <c r="AL556">
        <v>0</v>
      </c>
      <c r="AM556">
        <v>0</v>
      </c>
      <c r="AN556" t="s">
        <v>8</v>
      </c>
      <c r="AO556" s="74" t="str">
        <f ca="1">IF(Table20[[#This Row],[Type]]="KILL",IF(_xlfn.NUMBERVALUE(RIGHT(Table20[[#This Row],[Min]],LEN(Table20[[#This Row],[Min]])-FIND("-",Table20[[#This Row],[Min]])))&gt;INDIRECT(ADDRESS(11+MATCH(LEFT(Table20[[#This Row],[Min]],FIND("-",Table20[[#This Row],[Min]])-1),Table1[Content Sku],0),18,1,1,"Entities")),"review","ok"),"ok")</f>
        <v>ok</v>
      </c>
    </row>
    <row r="557" spans="5:41" x14ac:dyDescent="0.25">
      <c r="E557" t="s">
        <v>393</v>
      </c>
      <c r="F557">
        <v>0</v>
      </c>
      <c r="G557">
        <v>0</v>
      </c>
      <c r="H557" t="s">
        <v>8</v>
      </c>
      <c r="I557" s="74" t="str">
        <f ca="1">IF(Table7[[#This Row],[Type]]="KILL",IF(_xlfn.NUMBERVALUE(RIGHT(Table7[[#This Row],[Min]],LEN(Table7[[#This Row],[Min]])-FIND("-",Table7[[#This Row],[Min]])))&gt;INDIRECT(ADDRESS(11+MATCH(LEFT(Table7[[#This Row],[Min]],FIND("-",Table7[[#This Row],[Min]])-1),Table1[Content Sku],0),16,1,1,"Entities")),"review","ok"),"ok")</f>
        <v>ok</v>
      </c>
      <c r="U557" t="s">
        <v>4430</v>
      </c>
      <c r="V557">
        <v>20000</v>
      </c>
      <c r="W557">
        <v>0</v>
      </c>
      <c r="X557" t="s">
        <v>205</v>
      </c>
      <c r="Y557" s="74" t="str">
        <f ca="1">IF(Table15[[#This Row],[Type]]="KILL",IF(_xlfn.NUMBERVALUE(RIGHT(Table15[[#This Row],[Min]],LEN(Table15[[#This Row],[Min]])-FIND("-",Table15[[#This Row],[Min]])))&gt;INDIRECT(ADDRESS(11+MATCH(LEFT(Table15[[#This Row],[Min]],FIND("-",Table15[[#This Row],[Min]])-1),Table1[Content Sku],0),16,1,1,"Entities")),"review","ok"),"ok")</f>
        <v>ok</v>
      </c>
      <c r="AK557" t="s">
        <v>578</v>
      </c>
      <c r="AL557">
        <v>30000</v>
      </c>
      <c r="AM557">
        <v>0</v>
      </c>
      <c r="AN557" t="s">
        <v>205</v>
      </c>
      <c r="AO557" s="74" t="str">
        <f ca="1">IF(Table20[[#This Row],[Type]]="KILL",IF(_xlfn.NUMBERVALUE(RIGHT(Table20[[#This Row],[Min]],LEN(Table20[[#This Row],[Min]])-FIND("-",Table20[[#This Row],[Min]])))&gt;INDIRECT(ADDRESS(11+MATCH(LEFT(Table20[[#This Row],[Min]],FIND("-",Table20[[#This Row],[Min]])-1),Table1[Content Sku],0),18,1,1,"Entities")),"review","ok"),"ok")</f>
        <v>ok</v>
      </c>
    </row>
    <row r="558" spans="5:41" x14ac:dyDescent="0.25">
      <c r="E558" t="s">
        <v>258</v>
      </c>
      <c r="F558">
        <v>38000</v>
      </c>
      <c r="G558">
        <v>0</v>
      </c>
      <c r="H558" t="s">
        <v>205</v>
      </c>
      <c r="I558" s="74" t="str">
        <f ca="1">IF(Table7[[#This Row],[Type]]="KILL",IF(_xlfn.NUMBERVALUE(RIGHT(Table7[[#This Row],[Min]],LEN(Table7[[#This Row],[Min]])-FIND("-",Table7[[#This Row],[Min]])))&gt;INDIRECT(ADDRESS(11+MATCH(LEFT(Table7[[#This Row],[Min]],FIND("-",Table7[[#This Row],[Min]])-1),Table1[Content Sku],0),16,1,1,"Entities")),"review","ok"),"ok")</f>
        <v>ok</v>
      </c>
      <c r="U558" t="s">
        <v>548</v>
      </c>
      <c r="V558">
        <v>0</v>
      </c>
      <c r="W558">
        <v>0</v>
      </c>
      <c r="X558" t="s">
        <v>8</v>
      </c>
      <c r="Y558" s="74" t="str">
        <f ca="1">IF(Table15[[#This Row],[Type]]="KILL",IF(_xlfn.NUMBERVALUE(RIGHT(Table15[[#This Row],[Min]],LEN(Table15[[#This Row],[Min]])-FIND("-",Table15[[#This Row],[Min]])))&gt;INDIRECT(ADDRESS(11+MATCH(LEFT(Table15[[#This Row],[Min]],FIND("-",Table15[[#This Row],[Min]])-1),Table1[Content Sku],0),16,1,1,"Entities")),"review","ok"),"ok")</f>
        <v>ok</v>
      </c>
      <c r="AK558" t="s">
        <v>2667</v>
      </c>
      <c r="AL558">
        <v>0</v>
      </c>
      <c r="AM558">
        <v>0</v>
      </c>
      <c r="AN558" t="s">
        <v>8</v>
      </c>
      <c r="AO558" s="74" t="str">
        <f ca="1">IF(Table20[[#This Row],[Type]]="KILL",IF(_xlfn.NUMBERVALUE(RIGHT(Table20[[#This Row],[Min]],LEN(Table20[[#This Row],[Min]])-FIND("-",Table20[[#This Row],[Min]])))&gt;INDIRECT(ADDRESS(11+MATCH(LEFT(Table20[[#This Row],[Min]],FIND("-",Table20[[#This Row],[Min]])-1),Table1[Content Sku],0),18,1,1,"Entities")),"review","ok"),"ok")</f>
        <v>ok</v>
      </c>
    </row>
    <row r="559" spans="5:41" x14ac:dyDescent="0.25">
      <c r="E559" t="s">
        <v>313</v>
      </c>
      <c r="F559">
        <v>0</v>
      </c>
      <c r="G559">
        <v>0</v>
      </c>
      <c r="H559" t="s">
        <v>8</v>
      </c>
      <c r="I559" s="74" t="str">
        <f ca="1">IF(Table7[[#This Row],[Type]]="KILL",IF(_xlfn.NUMBERVALUE(RIGHT(Table7[[#This Row],[Min]],LEN(Table7[[#This Row],[Min]])-FIND("-",Table7[[#This Row],[Min]])))&gt;INDIRECT(ADDRESS(11+MATCH(LEFT(Table7[[#This Row],[Min]],FIND("-",Table7[[#This Row],[Min]])-1),Table1[Content Sku],0),16,1,1,"Entities")),"review","ok"),"ok")</f>
        <v>ok</v>
      </c>
      <c r="U559" t="s">
        <v>37</v>
      </c>
      <c r="V559">
        <v>0</v>
      </c>
      <c r="W559">
        <v>0</v>
      </c>
      <c r="X559" t="s">
        <v>8</v>
      </c>
      <c r="Y559" s="74" t="str">
        <f ca="1">IF(Table15[[#This Row],[Type]]="KILL",IF(_xlfn.NUMBERVALUE(RIGHT(Table15[[#This Row],[Min]],LEN(Table15[[#This Row],[Min]])-FIND("-",Table15[[#This Row],[Min]])))&gt;INDIRECT(ADDRESS(11+MATCH(LEFT(Table15[[#This Row],[Min]],FIND("-",Table15[[#This Row],[Min]])-1),Table1[Content Sku],0),16,1,1,"Entities")),"review","ok"),"ok")</f>
        <v>ok</v>
      </c>
      <c r="AK559" t="s">
        <v>2741</v>
      </c>
      <c r="AL559">
        <v>0</v>
      </c>
      <c r="AM559">
        <v>0</v>
      </c>
      <c r="AN559" t="s">
        <v>8</v>
      </c>
      <c r="AO559" s="74" t="str">
        <f ca="1">IF(Table20[[#This Row],[Type]]="KILL",IF(_xlfn.NUMBERVALUE(RIGHT(Table20[[#This Row],[Min]],LEN(Table20[[#This Row],[Min]])-FIND("-",Table20[[#This Row],[Min]])))&gt;INDIRECT(ADDRESS(11+MATCH(LEFT(Table20[[#This Row],[Min]],FIND("-",Table20[[#This Row],[Min]])-1),Table1[Content Sku],0),18,1,1,"Entities")),"review","ok"),"ok")</f>
        <v>ok</v>
      </c>
    </row>
    <row r="560" spans="5:41" x14ac:dyDescent="0.25">
      <c r="E560" t="s">
        <v>313</v>
      </c>
      <c r="F560">
        <v>0</v>
      </c>
      <c r="G560">
        <v>0</v>
      </c>
      <c r="H560" t="s">
        <v>8</v>
      </c>
      <c r="I560" s="74" t="str">
        <f ca="1">IF(Table7[[#This Row],[Type]]="KILL",IF(_xlfn.NUMBERVALUE(RIGHT(Table7[[#This Row],[Min]],LEN(Table7[[#This Row],[Min]])-FIND("-",Table7[[#This Row],[Min]])))&gt;INDIRECT(ADDRESS(11+MATCH(LEFT(Table7[[#This Row],[Min]],FIND("-",Table7[[#This Row],[Min]])-1),Table1[Content Sku],0),16,1,1,"Entities")),"review","ok"),"ok")</f>
        <v>ok</v>
      </c>
      <c r="U560" t="s">
        <v>95</v>
      </c>
      <c r="V560">
        <v>0</v>
      </c>
      <c r="W560">
        <v>0</v>
      </c>
      <c r="X560" t="s">
        <v>8</v>
      </c>
      <c r="Y560" s="74" t="str">
        <f ca="1">IF(Table15[[#This Row],[Type]]="KILL",IF(_xlfn.NUMBERVALUE(RIGHT(Table15[[#This Row],[Min]],LEN(Table15[[#This Row],[Min]])-FIND("-",Table15[[#This Row],[Min]])))&gt;INDIRECT(ADDRESS(11+MATCH(LEFT(Table15[[#This Row],[Min]],FIND("-",Table15[[#This Row],[Min]])-1),Table1[Content Sku],0),16,1,1,"Entities")),"review","ok"),"ok")</f>
        <v>ok</v>
      </c>
      <c r="AK560" t="s">
        <v>416</v>
      </c>
      <c r="AL560">
        <v>32000</v>
      </c>
      <c r="AM560">
        <v>0</v>
      </c>
      <c r="AN560" t="s">
        <v>205</v>
      </c>
      <c r="AO560" s="74" t="str">
        <f ca="1">IF(Table20[[#This Row],[Type]]="KILL",IF(_xlfn.NUMBERVALUE(RIGHT(Table20[[#This Row],[Min]],LEN(Table20[[#This Row],[Min]])-FIND("-",Table20[[#This Row],[Min]])))&gt;INDIRECT(ADDRESS(11+MATCH(LEFT(Table20[[#This Row],[Min]],FIND("-",Table20[[#This Row],[Min]])-1),Table1[Content Sku],0),18,1,1,"Entities")),"review","ok"),"ok")</f>
        <v>ok</v>
      </c>
    </row>
    <row r="561" spans="5:41" x14ac:dyDescent="0.25">
      <c r="E561" t="s">
        <v>91</v>
      </c>
      <c r="F561">
        <v>0</v>
      </c>
      <c r="G561">
        <v>16000</v>
      </c>
      <c r="H561" t="s">
        <v>205</v>
      </c>
      <c r="I561" s="74" t="str">
        <f ca="1">IF(Table7[[#This Row],[Type]]="KILL",IF(_xlfn.NUMBERVALUE(RIGHT(Table7[[#This Row],[Min]],LEN(Table7[[#This Row],[Min]])-FIND("-",Table7[[#This Row],[Min]])))&gt;INDIRECT(ADDRESS(11+MATCH(LEFT(Table7[[#This Row],[Min]],FIND("-",Table7[[#This Row],[Min]])-1),Table1[Content Sku],0),16,1,1,"Entities")),"review","ok"),"ok")</f>
        <v>ok</v>
      </c>
      <c r="U561" t="s">
        <v>306</v>
      </c>
      <c r="V561">
        <v>0</v>
      </c>
      <c r="W561">
        <v>0</v>
      </c>
      <c r="X561" t="s">
        <v>8</v>
      </c>
      <c r="Y561" s="74" t="str">
        <f ca="1">IF(Table15[[#This Row],[Type]]="KILL",IF(_xlfn.NUMBERVALUE(RIGHT(Table15[[#This Row],[Min]],LEN(Table15[[#This Row],[Min]])-FIND("-",Table15[[#This Row],[Min]])))&gt;INDIRECT(ADDRESS(11+MATCH(LEFT(Table15[[#This Row],[Min]],FIND("-",Table15[[#This Row],[Min]])-1),Table1[Content Sku],0),16,1,1,"Entities")),"review","ok"),"ok")</f>
        <v>ok</v>
      </c>
      <c r="AK561" t="s">
        <v>2668</v>
      </c>
      <c r="AL561">
        <v>0</v>
      </c>
      <c r="AM561">
        <v>40000</v>
      </c>
      <c r="AN561" t="s">
        <v>205</v>
      </c>
      <c r="AO561" s="74" t="str">
        <f ca="1">IF(Table20[[#This Row],[Type]]="KILL",IF(_xlfn.NUMBERVALUE(RIGHT(Table20[[#This Row],[Min]],LEN(Table20[[#This Row],[Min]])-FIND("-",Table20[[#This Row],[Min]])))&gt;INDIRECT(ADDRESS(11+MATCH(LEFT(Table20[[#This Row],[Min]],FIND("-",Table20[[#This Row],[Min]])-1),Table1[Content Sku],0),18,1,1,"Entities")),"review","ok"),"ok")</f>
        <v>ok</v>
      </c>
    </row>
    <row r="562" spans="5:41" x14ac:dyDescent="0.25">
      <c r="E562" t="s">
        <v>273</v>
      </c>
      <c r="F562">
        <v>0</v>
      </c>
      <c r="G562">
        <v>0</v>
      </c>
      <c r="H562" t="s">
        <v>8</v>
      </c>
      <c r="I562" s="74" t="str">
        <f ca="1">IF(Table7[[#This Row],[Type]]="KILL",IF(_xlfn.NUMBERVALUE(RIGHT(Table7[[#This Row],[Min]],LEN(Table7[[#This Row],[Min]])-FIND("-",Table7[[#This Row],[Min]])))&gt;INDIRECT(ADDRESS(11+MATCH(LEFT(Table7[[#This Row],[Min]],FIND("-",Table7[[#This Row],[Min]])-1),Table1[Content Sku],0),16,1,1,"Entities")),"review","ok"),"ok")</f>
        <v>ok</v>
      </c>
      <c r="U562" t="s">
        <v>391</v>
      </c>
      <c r="V562">
        <v>0</v>
      </c>
      <c r="W562">
        <v>0</v>
      </c>
      <c r="X562" t="s">
        <v>8</v>
      </c>
      <c r="Y562" s="74" t="str">
        <f ca="1">IF(Table15[[#This Row],[Type]]="KILL",IF(_xlfn.NUMBERVALUE(RIGHT(Table15[[#This Row],[Min]],LEN(Table15[[#This Row],[Min]])-FIND("-",Table15[[#This Row],[Min]])))&gt;INDIRECT(ADDRESS(11+MATCH(LEFT(Table15[[#This Row],[Min]],FIND("-",Table15[[#This Row],[Min]])-1),Table1[Content Sku],0),16,1,1,"Entities")),"review","ok"),"ok")</f>
        <v>ok</v>
      </c>
      <c r="AK562" t="s">
        <v>480</v>
      </c>
      <c r="AL562">
        <v>25000</v>
      </c>
      <c r="AM562">
        <v>0</v>
      </c>
      <c r="AN562" t="s">
        <v>205</v>
      </c>
      <c r="AO562" s="74" t="str">
        <f ca="1">IF(Table20[[#This Row],[Type]]="KILL",IF(_xlfn.NUMBERVALUE(RIGHT(Table20[[#This Row],[Min]],LEN(Table20[[#This Row],[Min]])-FIND("-",Table20[[#This Row],[Min]])))&gt;INDIRECT(ADDRESS(11+MATCH(LEFT(Table20[[#This Row],[Min]],FIND("-",Table20[[#This Row],[Min]])-1),Table1[Content Sku],0),18,1,1,"Entities")),"review","ok"),"ok")</f>
        <v>ok</v>
      </c>
    </row>
    <row r="563" spans="5:41" x14ac:dyDescent="0.25">
      <c r="E563" t="s">
        <v>95</v>
      </c>
      <c r="F563">
        <v>28000</v>
      </c>
      <c r="G563">
        <v>0</v>
      </c>
      <c r="H563" t="s">
        <v>205</v>
      </c>
      <c r="I563" s="74" t="str">
        <f ca="1">IF(Table7[[#This Row],[Type]]="KILL",IF(_xlfn.NUMBERVALUE(RIGHT(Table7[[#This Row],[Min]],LEN(Table7[[#This Row],[Min]])-FIND("-",Table7[[#This Row],[Min]])))&gt;INDIRECT(ADDRESS(11+MATCH(LEFT(Table7[[#This Row],[Min]],FIND("-",Table7[[#This Row],[Min]])-1),Table1[Content Sku],0),16,1,1,"Entities")),"review","ok"),"ok")</f>
        <v>ok</v>
      </c>
      <c r="U563" t="s">
        <v>309</v>
      </c>
      <c r="V563">
        <v>0</v>
      </c>
      <c r="W563">
        <v>0</v>
      </c>
      <c r="X563" t="s">
        <v>8</v>
      </c>
      <c r="Y563" s="74" t="str">
        <f ca="1">IF(Table15[[#This Row],[Type]]="KILL",IF(_xlfn.NUMBERVALUE(RIGHT(Table15[[#This Row],[Min]],LEN(Table15[[#This Row],[Min]])-FIND("-",Table15[[#This Row],[Min]])))&gt;INDIRECT(ADDRESS(11+MATCH(LEFT(Table15[[#This Row],[Min]],FIND("-",Table15[[#This Row],[Min]])-1),Table1[Content Sku],0),16,1,1,"Entities")),"review","ok"),"ok")</f>
        <v>ok</v>
      </c>
      <c r="AK563" t="s">
        <v>2741</v>
      </c>
      <c r="AL563">
        <v>0</v>
      </c>
      <c r="AM563">
        <v>0</v>
      </c>
      <c r="AN563" t="s">
        <v>8</v>
      </c>
      <c r="AO563" s="74" t="str">
        <f ca="1">IF(Table20[[#This Row],[Type]]="KILL",IF(_xlfn.NUMBERVALUE(RIGHT(Table20[[#This Row],[Min]],LEN(Table20[[#This Row],[Min]])-FIND("-",Table20[[#This Row],[Min]])))&gt;INDIRECT(ADDRESS(11+MATCH(LEFT(Table20[[#This Row],[Min]],FIND("-",Table20[[#This Row],[Min]])-1),Table1[Content Sku],0),18,1,1,"Entities")),"review","ok"),"ok")</f>
        <v>ok</v>
      </c>
    </row>
    <row r="564" spans="5:41" x14ac:dyDescent="0.25">
      <c r="E564" t="s">
        <v>4430</v>
      </c>
      <c r="F564">
        <v>0</v>
      </c>
      <c r="G564">
        <v>0</v>
      </c>
      <c r="H564" t="s">
        <v>8</v>
      </c>
      <c r="I564" s="74" t="str">
        <f ca="1">IF(Table7[[#This Row],[Type]]="KILL",IF(_xlfn.NUMBERVALUE(RIGHT(Table7[[#This Row],[Min]],LEN(Table7[[#This Row],[Min]])-FIND("-",Table7[[#This Row],[Min]])))&gt;INDIRECT(ADDRESS(11+MATCH(LEFT(Table7[[#This Row],[Min]],FIND("-",Table7[[#This Row],[Min]])-1),Table1[Content Sku],0),16,1,1,"Entities")),"review","ok"),"ok")</f>
        <v>ok</v>
      </c>
      <c r="U564" t="s">
        <v>283</v>
      </c>
      <c r="V564">
        <v>0</v>
      </c>
      <c r="W564">
        <v>0</v>
      </c>
      <c r="X564" t="s">
        <v>8</v>
      </c>
      <c r="Y564" s="74" t="str">
        <f ca="1">IF(Table15[[#This Row],[Type]]="KILL",IF(_xlfn.NUMBERVALUE(RIGHT(Table15[[#This Row],[Min]],LEN(Table15[[#This Row],[Min]])-FIND("-",Table15[[#This Row],[Min]])))&gt;INDIRECT(ADDRESS(11+MATCH(LEFT(Table15[[#This Row],[Min]],FIND("-",Table15[[#This Row],[Min]])-1),Table1[Content Sku],0),16,1,1,"Entities")),"review","ok"),"ok")</f>
        <v>ok</v>
      </c>
      <c r="AK564" t="s">
        <v>95</v>
      </c>
      <c r="AL564">
        <v>0</v>
      </c>
      <c r="AM564">
        <v>0</v>
      </c>
      <c r="AN564" t="s">
        <v>8</v>
      </c>
      <c r="AO564" s="74" t="str">
        <f ca="1">IF(Table20[[#This Row],[Type]]="KILL",IF(_xlfn.NUMBERVALUE(RIGHT(Table20[[#This Row],[Min]],LEN(Table20[[#This Row],[Min]])-FIND("-",Table20[[#This Row],[Min]])))&gt;INDIRECT(ADDRESS(11+MATCH(LEFT(Table20[[#This Row],[Min]],FIND("-",Table20[[#This Row],[Min]])-1),Table1[Content Sku],0),18,1,1,"Entities")),"review","ok"),"ok")</f>
        <v>ok</v>
      </c>
    </row>
    <row r="565" spans="5:41" x14ac:dyDescent="0.25">
      <c r="E565" t="s">
        <v>393</v>
      </c>
      <c r="F565">
        <v>0</v>
      </c>
      <c r="G565">
        <v>0</v>
      </c>
      <c r="H565" t="s">
        <v>8</v>
      </c>
      <c r="I565" s="74" t="str">
        <f ca="1">IF(Table7[[#This Row],[Type]]="KILL",IF(_xlfn.NUMBERVALUE(RIGHT(Table7[[#This Row],[Min]],LEN(Table7[[#This Row],[Min]])-FIND("-",Table7[[#This Row],[Min]])))&gt;INDIRECT(ADDRESS(11+MATCH(LEFT(Table7[[#This Row],[Min]],FIND("-",Table7[[#This Row],[Min]])-1),Table1[Content Sku],0),16,1,1,"Entities")),"review","ok"),"ok")</f>
        <v>ok</v>
      </c>
      <c r="U565" t="s">
        <v>548</v>
      </c>
      <c r="V565">
        <v>0</v>
      </c>
      <c r="W565">
        <v>0</v>
      </c>
      <c r="X565" t="s">
        <v>8</v>
      </c>
      <c r="Y565" s="74" t="str">
        <f ca="1">IF(Table15[[#This Row],[Type]]="KILL",IF(_xlfn.NUMBERVALUE(RIGHT(Table15[[#This Row],[Min]],LEN(Table15[[#This Row],[Min]])-FIND("-",Table15[[#This Row],[Min]])))&gt;INDIRECT(ADDRESS(11+MATCH(LEFT(Table15[[#This Row],[Min]],FIND("-",Table15[[#This Row],[Min]])-1),Table1[Content Sku],0),16,1,1,"Entities")),"review","ok"),"ok")</f>
        <v>ok</v>
      </c>
      <c r="AK565" t="s">
        <v>2665</v>
      </c>
      <c r="AL565">
        <v>0</v>
      </c>
      <c r="AM565">
        <v>0</v>
      </c>
      <c r="AN565" t="s">
        <v>8</v>
      </c>
      <c r="AO565" s="74" t="str">
        <f ca="1">IF(Table20[[#This Row],[Type]]="KILL",IF(_xlfn.NUMBERVALUE(RIGHT(Table20[[#This Row],[Min]],LEN(Table20[[#This Row],[Min]])-FIND("-",Table20[[#This Row],[Min]])))&gt;INDIRECT(ADDRESS(11+MATCH(LEFT(Table20[[#This Row],[Min]],FIND("-",Table20[[#This Row],[Min]])-1),Table1[Content Sku],0),18,1,1,"Entities")),"review","ok"),"ok")</f>
        <v>ok</v>
      </c>
    </row>
    <row r="566" spans="5:41" x14ac:dyDescent="0.25">
      <c r="E566" t="s">
        <v>276</v>
      </c>
      <c r="F566">
        <v>0</v>
      </c>
      <c r="G566">
        <v>5000</v>
      </c>
      <c r="H566" t="s">
        <v>205</v>
      </c>
      <c r="I566" s="74" t="str">
        <f ca="1">IF(Table7[[#This Row],[Type]]="KILL",IF(_xlfn.NUMBERVALUE(RIGHT(Table7[[#This Row],[Min]],LEN(Table7[[#This Row],[Min]])-FIND("-",Table7[[#This Row],[Min]])))&gt;INDIRECT(ADDRESS(11+MATCH(LEFT(Table7[[#This Row],[Min]],FIND("-",Table7[[#This Row],[Min]])-1),Table1[Content Sku],0),16,1,1,"Entities")),"review","ok"),"ok")</f>
        <v>ok</v>
      </c>
      <c r="U566" t="s">
        <v>313</v>
      </c>
      <c r="V566">
        <v>0</v>
      </c>
      <c r="W566">
        <v>0</v>
      </c>
      <c r="X566" t="s">
        <v>8</v>
      </c>
      <c r="Y566" s="74" t="str">
        <f ca="1">IF(Table15[[#This Row],[Type]]="KILL",IF(_xlfn.NUMBERVALUE(RIGHT(Table15[[#This Row],[Min]],LEN(Table15[[#This Row],[Min]])-FIND("-",Table15[[#This Row],[Min]])))&gt;INDIRECT(ADDRESS(11+MATCH(LEFT(Table15[[#This Row],[Min]],FIND("-",Table15[[#This Row],[Min]])-1),Table1[Content Sku],0),16,1,1,"Entities")),"review","ok"),"ok")</f>
        <v>ok</v>
      </c>
      <c r="AK566" t="s">
        <v>553</v>
      </c>
      <c r="AL566">
        <v>0</v>
      </c>
      <c r="AM566">
        <v>0</v>
      </c>
      <c r="AN566" t="s">
        <v>8</v>
      </c>
      <c r="AO566" s="74" t="str">
        <f ca="1">IF(Table20[[#This Row],[Type]]="KILL",IF(_xlfn.NUMBERVALUE(RIGHT(Table20[[#This Row],[Min]],LEN(Table20[[#This Row],[Min]])-FIND("-",Table20[[#This Row],[Min]])))&gt;INDIRECT(ADDRESS(11+MATCH(LEFT(Table20[[#This Row],[Min]],FIND("-",Table20[[#This Row],[Min]])-1),Table1[Content Sku],0),18,1,1,"Entities")),"review","ok"),"ok")</f>
        <v>ok</v>
      </c>
    </row>
    <row r="567" spans="5:41" x14ac:dyDescent="0.25">
      <c r="E567" t="s">
        <v>37</v>
      </c>
      <c r="F567">
        <v>0</v>
      </c>
      <c r="G567">
        <v>0</v>
      </c>
      <c r="H567" t="s">
        <v>8</v>
      </c>
      <c r="I567" s="74" t="str">
        <f ca="1">IF(Table7[[#This Row],[Type]]="KILL",IF(_xlfn.NUMBERVALUE(RIGHT(Table7[[#This Row],[Min]],LEN(Table7[[#This Row],[Min]])-FIND("-",Table7[[#This Row],[Min]])))&gt;INDIRECT(ADDRESS(11+MATCH(LEFT(Table7[[#This Row],[Min]],FIND("-",Table7[[#This Row],[Min]])-1),Table1[Content Sku],0),16,1,1,"Entities")),"review","ok"),"ok")</f>
        <v>ok</v>
      </c>
      <c r="U567" t="s">
        <v>95</v>
      </c>
      <c r="V567">
        <v>0</v>
      </c>
      <c r="W567">
        <v>0</v>
      </c>
      <c r="X567" t="s">
        <v>8</v>
      </c>
      <c r="Y567" s="74" t="str">
        <f ca="1">IF(Table15[[#This Row],[Type]]="KILL",IF(_xlfn.NUMBERVALUE(RIGHT(Table15[[#This Row],[Min]],LEN(Table15[[#This Row],[Min]])-FIND("-",Table15[[#This Row],[Min]])))&gt;INDIRECT(ADDRESS(11+MATCH(LEFT(Table15[[#This Row],[Min]],FIND("-",Table15[[#This Row],[Min]])-1),Table1[Content Sku],0),16,1,1,"Entities")),"review","ok"),"ok")</f>
        <v>ok</v>
      </c>
      <c r="AK567" t="s">
        <v>2680</v>
      </c>
      <c r="AL567">
        <v>0</v>
      </c>
      <c r="AM567">
        <v>0</v>
      </c>
      <c r="AN567" t="s">
        <v>8</v>
      </c>
      <c r="AO567" s="74" t="str">
        <f ca="1">IF(Table20[[#This Row],[Type]]="KILL",IF(_xlfn.NUMBERVALUE(RIGHT(Table20[[#This Row],[Min]],LEN(Table20[[#This Row],[Min]])-FIND("-",Table20[[#This Row],[Min]])))&gt;INDIRECT(ADDRESS(11+MATCH(LEFT(Table20[[#This Row],[Min]],FIND("-",Table20[[#This Row],[Min]])-1),Table1[Content Sku],0),18,1,1,"Entities")),"review","ok"),"ok")</f>
        <v>ok</v>
      </c>
    </row>
    <row r="568" spans="5:41" x14ac:dyDescent="0.25">
      <c r="E568" t="s">
        <v>313</v>
      </c>
      <c r="F568">
        <v>0</v>
      </c>
      <c r="G568">
        <v>12000</v>
      </c>
      <c r="H568" t="s">
        <v>205</v>
      </c>
      <c r="I568" s="74" t="str">
        <f ca="1">IF(Table7[[#This Row],[Type]]="KILL",IF(_xlfn.NUMBERVALUE(RIGHT(Table7[[#This Row],[Min]],LEN(Table7[[#This Row],[Min]])-FIND("-",Table7[[#This Row],[Min]])))&gt;INDIRECT(ADDRESS(11+MATCH(LEFT(Table7[[#This Row],[Min]],FIND("-",Table7[[#This Row],[Min]])-1),Table1[Content Sku],0),16,1,1,"Entities")),"review","ok"),"ok")</f>
        <v>ok</v>
      </c>
      <c r="U568" t="s">
        <v>313</v>
      </c>
      <c r="V568">
        <v>0</v>
      </c>
      <c r="W568">
        <v>0</v>
      </c>
      <c r="X568" t="s">
        <v>8</v>
      </c>
      <c r="Y568" s="74" t="str">
        <f ca="1">IF(Table15[[#This Row],[Type]]="KILL",IF(_xlfn.NUMBERVALUE(RIGHT(Table15[[#This Row],[Min]],LEN(Table15[[#This Row],[Min]])-FIND("-",Table15[[#This Row],[Min]])))&gt;INDIRECT(ADDRESS(11+MATCH(LEFT(Table15[[#This Row],[Min]],FIND("-",Table15[[#This Row],[Min]])-1),Table1[Content Sku],0),16,1,1,"Entities")),"review","ok"),"ok")</f>
        <v>ok</v>
      </c>
      <c r="AK568" t="s">
        <v>2672</v>
      </c>
      <c r="AL568">
        <v>0</v>
      </c>
      <c r="AM568">
        <v>0</v>
      </c>
      <c r="AN568" t="s">
        <v>8</v>
      </c>
      <c r="AO568" s="74" t="str">
        <f ca="1">IF(Table20[[#This Row],[Type]]="KILL",IF(_xlfn.NUMBERVALUE(RIGHT(Table20[[#This Row],[Min]],LEN(Table20[[#This Row],[Min]])-FIND("-",Table20[[#This Row],[Min]])))&gt;INDIRECT(ADDRESS(11+MATCH(LEFT(Table20[[#This Row],[Min]],FIND("-",Table20[[#This Row],[Min]])-1),Table1[Content Sku],0),18,1,1,"Entities")),"review","ok"),"ok")</f>
        <v>ok</v>
      </c>
    </row>
    <row r="569" spans="5:41" x14ac:dyDescent="0.25">
      <c r="E569" t="s">
        <v>393</v>
      </c>
      <c r="F569">
        <v>0</v>
      </c>
      <c r="G569">
        <v>0</v>
      </c>
      <c r="H569" t="s">
        <v>8</v>
      </c>
      <c r="I569" s="74" t="str">
        <f ca="1">IF(Table7[[#This Row],[Type]]="KILL",IF(_xlfn.NUMBERVALUE(RIGHT(Table7[[#This Row],[Min]],LEN(Table7[[#This Row],[Min]])-FIND("-",Table7[[#This Row],[Min]])))&gt;INDIRECT(ADDRESS(11+MATCH(LEFT(Table7[[#This Row],[Min]],FIND("-",Table7[[#This Row],[Min]])-1),Table1[Content Sku],0),16,1,1,"Entities")),"review","ok"),"ok")</f>
        <v>ok</v>
      </c>
      <c r="U569" t="s">
        <v>39</v>
      </c>
      <c r="V569">
        <v>18000</v>
      </c>
      <c r="W569">
        <v>0</v>
      </c>
      <c r="X569" t="s">
        <v>205</v>
      </c>
      <c r="Y569" s="74" t="str">
        <f ca="1">IF(Table15[[#This Row],[Type]]="KILL",IF(_xlfn.NUMBERVALUE(RIGHT(Table15[[#This Row],[Min]],LEN(Table15[[#This Row],[Min]])-FIND("-",Table15[[#This Row],[Min]])))&gt;INDIRECT(ADDRESS(11+MATCH(LEFT(Table15[[#This Row],[Min]],FIND("-",Table15[[#This Row],[Min]])-1),Table1[Content Sku],0),16,1,1,"Entities")),"review","ok"),"ok")</f>
        <v>ok</v>
      </c>
      <c r="AK569" t="s">
        <v>122</v>
      </c>
      <c r="AL569">
        <v>0</v>
      </c>
      <c r="AM569">
        <v>0</v>
      </c>
      <c r="AN569" t="s">
        <v>8</v>
      </c>
      <c r="AO569" s="74" t="str">
        <f ca="1">IF(Table20[[#This Row],[Type]]="KILL",IF(_xlfn.NUMBERVALUE(RIGHT(Table20[[#This Row],[Min]],LEN(Table20[[#This Row],[Min]])-FIND("-",Table20[[#This Row],[Min]])))&gt;INDIRECT(ADDRESS(11+MATCH(LEFT(Table20[[#This Row],[Min]],FIND("-",Table20[[#This Row],[Min]])-1),Table1[Content Sku],0),18,1,1,"Entities")),"review","ok"),"ok")</f>
        <v>ok</v>
      </c>
    </row>
    <row r="570" spans="5:41" x14ac:dyDescent="0.25">
      <c r="E570" t="s">
        <v>313</v>
      </c>
      <c r="F570">
        <v>0</v>
      </c>
      <c r="G570">
        <v>0</v>
      </c>
      <c r="H570" t="s">
        <v>8</v>
      </c>
      <c r="I570" s="74" t="str">
        <f ca="1">IF(Table7[[#This Row],[Type]]="KILL",IF(_xlfn.NUMBERVALUE(RIGHT(Table7[[#This Row],[Min]],LEN(Table7[[#This Row],[Min]])-FIND("-",Table7[[#This Row],[Min]])))&gt;INDIRECT(ADDRESS(11+MATCH(LEFT(Table7[[#This Row],[Min]],FIND("-",Table7[[#This Row],[Min]])-1),Table1[Content Sku],0),16,1,1,"Entities")),"review","ok"),"ok")</f>
        <v>ok</v>
      </c>
      <c r="U570" t="s">
        <v>122</v>
      </c>
      <c r="V570">
        <v>0</v>
      </c>
      <c r="W570">
        <v>0</v>
      </c>
      <c r="X570" t="s">
        <v>8</v>
      </c>
      <c r="Y570" s="74" t="str">
        <f ca="1">IF(Table15[[#This Row],[Type]]="KILL",IF(_xlfn.NUMBERVALUE(RIGHT(Table15[[#This Row],[Min]],LEN(Table15[[#This Row],[Min]])-FIND("-",Table15[[#This Row],[Min]])))&gt;INDIRECT(ADDRESS(11+MATCH(LEFT(Table15[[#This Row],[Min]],FIND("-",Table15[[#This Row],[Min]])-1),Table1[Content Sku],0),16,1,1,"Entities")),"review","ok"),"ok")</f>
        <v>ok</v>
      </c>
      <c r="AK570" t="s">
        <v>37</v>
      </c>
      <c r="AL570">
        <v>0</v>
      </c>
      <c r="AM570">
        <v>0</v>
      </c>
      <c r="AN570" t="s">
        <v>8</v>
      </c>
      <c r="AO570" s="74" t="str">
        <f ca="1">IF(Table20[[#This Row],[Type]]="KILL",IF(_xlfn.NUMBERVALUE(RIGHT(Table20[[#This Row],[Min]],LEN(Table20[[#This Row],[Min]])-FIND("-",Table20[[#This Row],[Min]])))&gt;INDIRECT(ADDRESS(11+MATCH(LEFT(Table20[[#This Row],[Min]],FIND("-",Table20[[#This Row],[Min]])-1),Table1[Content Sku],0),18,1,1,"Entities")),"review","ok"),"ok")</f>
        <v>ok</v>
      </c>
    </row>
    <row r="571" spans="5:41" x14ac:dyDescent="0.25">
      <c r="E571" t="s">
        <v>254</v>
      </c>
      <c r="F571">
        <v>0</v>
      </c>
      <c r="G571">
        <v>0</v>
      </c>
      <c r="H571" t="s">
        <v>8</v>
      </c>
      <c r="I571" s="74" t="str">
        <f ca="1">IF(Table7[[#This Row],[Type]]="KILL",IF(_xlfn.NUMBERVALUE(RIGHT(Table7[[#This Row],[Min]],LEN(Table7[[#This Row],[Min]])-FIND("-",Table7[[#This Row],[Min]])))&gt;INDIRECT(ADDRESS(11+MATCH(LEFT(Table7[[#This Row],[Min]],FIND("-",Table7[[#This Row],[Min]])-1),Table1[Content Sku],0),16,1,1,"Entities")),"review","ok"),"ok")</f>
        <v>ok</v>
      </c>
      <c r="U571" t="s">
        <v>2736</v>
      </c>
      <c r="V571">
        <v>0</v>
      </c>
      <c r="W571">
        <v>0</v>
      </c>
      <c r="X571" t="s">
        <v>8</v>
      </c>
      <c r="Y571" s="74" t="str">
        <f ca="1">IF(Table15[[#This Row],[Type]]="KILL",IF(_xlfn.NUMBERVALUE(RIGHT(Table15[[#This Row],[Min]],LEN(Table15[[#This Row],[Min]])-FIND("-",Table15[[#This Row],[Min]])))&gt;INDIRECT(ADDRESS(11+MATCH(LEFT(Table15[[#This Row],[Min]],FIND("-",Table15[[#This Row],[Min]])-1),Table1[Content Sku],0),16,1,1,"Entities")),"review","ok"),"ok")</f>
        <v>ok</v>
      </c>
      <c r="AK571" t="s">
        <v>2668</v>
      </c>
      <c r="AL571">
        <v>0</v>
      </c>
      <c r="AM571">
        <v>0</v>
      </c>
      <c r="AN571" t="s">
        <v>8</v>
      </c>
      <c r="AO571" s="74" t="str">
        <f ca="1">IF(Table20[[#This Row],[Type]]="KILL",IF(_xlfn.NUMBERVALUE(RIGHT(Table20[[#This Row],[Min]],LEN(Table20[[#This Row],[Min]])-FIND("-",Table20[[#This Row],[Min]])))&gt;INDIRECT(ADDRESS(11+MATCH(LEFT(Table20[[#This Row],[Min]],FIND("-",Table20[[#This Row],[Min]])-1),Table1[Content Sku],0),18,1,1,"Entities")),"review","ok"),"ok")</f>
        <v>ok</v>
      </c>
    </row>
    <row r="572" spans="5:41" x14ac:dyDescent="0.25">
      <c r="E572" t="s">
        <v>4430</v>
      </c>
      <c r="F572">
        <v>0</v>
      </c>
      <c r="G572">
        <v>0</v>
      </c>
      <c r="H572" t="s">
        <v>8</v>
      </c>
      <c r="I572" s="74" t="str">
        <f ca="1">IF(Table7[[#This Row],[Type]]="KILL",IF(_xlfn.NUMBERVALUE(RIGHT(Table7[[#This Row],[Min]],LEN(Table7[[#This Row],[Min]])-FIND("-",Table7[[#This Row],[Min]])))&gt;INDIRECT(ADDRESS(11+MATCH(LEFT(Table7[[#This Row],[Min]],FIND("-",Table7[[#This Row],[Min]])-1),Table1[Content Sku],0),16,1,1,"Entities")),"review","ok"),"ok")</f>
        <v>ok</v>
      </c>
      <c r="U572" t="s">
        <v>283</v>
      </c>
      <c r="V572">
        <v>28000</v>
      </c>
      <c r="W572">
        <v>0</v>
      </c>
      <c r="X572" t="s">
        <v>205</v>
      </c>
      <c r="Y572" s="74" t="str">
        <f ca="1">IF(Table15[[#This Row],[Type]]="KILL",IF(_xlfn.NUMBERVALUE(RIGHT(Table15[[#This Row],[Min]],LEN(Table15[[#This Row],[Min]])-FIND("-",Table15[[#This Row],[Min]])))&gt;INDIRECT(ADDRESS(11+MATCH(LEFT(Table15[[#This Row],[Min]],FIND("-",Table15[[#This Row],[Min]])-1),Table1[Content Sku],0),16,1,1,"Entities")),"review","ok"),"ok")</f>
        <v>ok</v>
      </c>
      <c r="AK572" t="s">
        <v>2662</v>
      </c>
      <c r="AL572">
        <v>27000</v>
      </c>
      <c r="AM572">
        <v>0</v>
      </c>
      <c r="AN572" t="s">
        <v>205</v>
      </c>
      <c r="AO572" s="74" t="str">
        <f ca="1">IF(Table20[[#This Row],[Type]]="KILL",IF(_xlfn.NUMBERVALUE(RIGHT(Table20[[#This Row],[Min]],LEN(Table20[[#This Row],[Min]])-FIND("-",Table20[[#This Row],[Min]])))&gt;INDIRECT(ADDRESS(11+MATCH(LEFT(Table20[[#This Row],[Min]],FIND("-",Table20[[#This Row],[Min]])-1),Table1[Content Sku],0),18,1,1,"Entities")),"review","ok"),"ok")</f>
        <v>ok</v>
      </c>
    </row>
    <row r="573" spans="5:41" x14ac:dyDescent="0.25">
      <c r="E573" t="s">
        <v>137</v>
      </c>
      <c r="F573">
        <v>0</v>
      </c>
      <c r="G573">
        <v>0</v>
      </c>
      <c r="H573" t="s">
        <v>8</v>
      </c>
      <c r="I573" s="74" t="str">
        <f ca="1">IF(Table7[[#This Row],[Type]]="KILL",IF(_xlfn.NUMBERVALUE(RIGHT(Table7[[#This Row],[Min]],LEN(Table7[[#This Row],[Min]])-FIND("-",Table7[[#This Row],[Min]])))&gt;INDIRECT(ADDRESS(11+MATCH(LEFT(Table7[[#This Row],[Min]],FIND("-",Table7[[#This Row],[Min]])-1),Table1[Content Sku],0),16,1,1,"Entities")),"review","ok"),"ok")</f>
        <v>ok</v>
      </c>
      <c r="U573" t="s">
        <v>61</v>
      </c>
      <c r="V573">
        <v>20000</v>
      </c>
      <c r="W573">
        <v>0</v>
      </c>
      <c r="X573" t="s">
        <v>205</v>
      </c>
      <c r="Y573" s="74" t="str">
        <f ca="1">IF(Table15[[#This Row],[Type]]="KILL",IF(_xlfn.NUMBERVALUE(RIGHT(Table15[[#This Row],[Min]],LEN(Table15[[#This Row],[Min]])-FIND("-",Table15[[#This Row],[Min]])))&gt;INDIRECT(ADDRESS(11+MATCH(LEFT(Table15[[#This Row],[Min]],FIND("-",Table15[[#This Row],[Min]])-1),Table1[Content Sku],0),16,1,1,"Entities")),"review","ok"),"ok")</f>
        <v>ok</v>
      </c>
      <c r="AK573" t="s">
        <v>95</v>
      </c>
      <c r="AL573">
        <v>0</v>
      </c>
      <c r="AM573">
        <v>0</v>
      </c>
      <c r="AN573" t="s">
        <v>8</v>
      </c>
      <c r="AO573" s="74" t="str">
        <f ca="1">IF(Table20[[#This Row],[Type]]="KILL",IF(_xlfn.NUMBERVALUE(RIGHT(Table20[[#This Row],[Min]],LEN(Table20[[#This Row],[Min]])-FIND("-",Table20[[#This Row],[Min]])))&gt;INDIRECT(ADDRESS(11+MATCH(LEFT(Table20[[#This Row],[Min]],FIND("-",Table20[[#This Row],[Min]])-1),Table1[Content Sku],0),18,1,1,"Entities")),"review","ok"),"ok")</f>
        <v>ok</v>
      </c>
    </row>
    <row r="574" spans="5:41" x14ac:dyDescent="0.25">
      <c r="E574" t="s">
        <v>63</v>
      </c>
      <c r="F574">
        <v>0</v>
      </c>
      <c r="G574">
        <v>0</v>
      </c>
      <c r="H574" t="s">
        <v>8</v>
      </c>
      <c r="I574" s="74" t="str">
        <f ca="1">IF(Table7[[#This Row],[Type]]="KILL",IF(_xlfn.NUMBERVALUE(RIGHT(Table7[[#This Row],[Min]],LEN(Table7[[#This Row],[Min]])-FIND("-",Table7[[#This Row],[Min]])))&gt;INDIRECT(ADDRESS(11+MATCH(LEFT(Table7[[#This Row],[Min]],FIND("-",Table7[[#This Row],[Min]])-1),Table1[Content Sku],0),16,1,1,"Entities")),"review","ok"),"ok")</f>
        <v>ok</v>
      </c>
      <c r="U574" t="s">
        <v>460</v>
      </c>
      <c r="V574">
        <v>0</v>
      </c>
      <c r="W574">
        <v>0</v>
      </c>
      <c r="X574" t="s">
        <v>8</v>
      </c>
      <c r="Y574" s="74" t="str">
        <f ca="1">IF(Table15[[#This Row],[Type]]="KILL",IF(_xlfn.NUMBERVALUE(RIGHT(Table15[[#This Row],[Min]],LEN(Table15[[#This Row],[Min]])-FIND("-",Table15[[#This Row],[Min]])))&gt;INDIRECT(ADDRESS(11+MATCH(LEFT(Table15[[#This Row],[Min]],FIND("-",Table15[[#This Row],[Min]])-1),Table1[Content Sku],0),16,1,1,"Entities")),"review","ok"),"ok")</f>
        <v>ok</v>
      </c>
      <c r="AK574" t="s">
        <v>8103</v>
      </c>
      <c r="AL574">
        <v>50000</v>
      </c>
      <c r="AM574">
        <v>0</v>
      </c>
      <c r="AN574" t="s">
        <v>205</v>
      </c>
      <c r="AO574" s="74" t="str">
        <f ca="1">IF(Table20[[#This Row],[Type]]="KILL",IF(_xlfn.NUMBERVALUE(RIGHT(Table20[[#This Row],[Min]],LEN(Table20[[#This Row],[Min]])-FIND("-",Table20[[#This Row],[Min]])))&gt;INDIRECT(ADDRESS(11+MATCH(LEFT(Table20[[#This Row],[Min]],FIND("-",Table20[[#This Row],[Min]])-1),Table1[Content Sku],0),18,1,1,"Entities")),"review","ok"),"ok")</f>
        <v>ok</v>
      </c>
    </row>
    <row r="575" spans="5:41" x14ac:dyDescent="0.25">
      <c r="E575" t="s">
        <v>313</v>
      </c>
      <c r="F575">
        <v>0</v>
      </c>
      <c r="G575">
        <v>0</v>
      </c>
      <c r="H575" t="s">
        <v>8</v>
      </c>
      <c r="I575" s="74" t="str">
        <f ca="1">IF(Table7[[#This Row],[Type]]="KILL",IF(_xlfn.NUMBERVALUE(RIGHT(Table7[[#This Row],[Min]],LEN(Table7[[#This Row],[Min]])-FIND("-",Table7[[#This Row],[Min]])))&gt;INDIRECT(ADDRESS(11+MATCH(LEFT(Table7[[#This Row],[Min]],FIND("-",Table7[[#This Row],[Min]])-1),Table1[Content Sku],0),16,1,1,"Entities")),"review","ok"),"ok")</f>
        <v>ok</v>
      </c>
      <c r="U575" t="s">
        <v>21</v>
      </c>
      <c r="V575">
        <v>0</v>
      </c>
      <c r="W575">
        <v>46000</v>
      </c>
      <c r="X575" t="s">
        <v>205</v>
      </c>
      <c r="Y575" s="74" t="str">
        <f ca="1">IF(Table15[[#This Row],[Type]]="KILL",IF(_xlfn.NUMBERVALUE(RIGHT(Table15[[#This Row],[Min]],LEN(Table15[[#This Row],[Min]])-FIND("-",Table15[[#This Row],[Min]])))&gt;INDIRECT(ADDRESS(11+MATCH(LEFT(Table15[[#This Row],[Min]],FIND("-",Table15[[#This Row],[Min]])-1),Table1[Content Sku],0),16,1,1,"Entities")),"review","ok"),"ok")</f>
        <v>ok</v>
      </c>
      <c r="AK575" t="s">
        <v>37</v>
      </c>
      <c r="AL575">
        <v>27000</v>
      </c>
      <c r="AM575">
        <v>0</v>
      </c>
      <c r="AN575" t="s">
        <v>205</v>
      </c>
      <c r="AO575" s="74" t="str">
        <f ca="1">IF(Table20[[#This Row],[Type]]="KILL",IF(_xlfn.NUMBERVALUE(RIGHT(Table20[[#This Row],[Min]],LEN(Table20[[#This Row],[Min]])-FIND("-",Table20[[#This Row],[Min]])))&gt;INDIRECT(ADDRESS(11+MATCH(LEFT(Table20[[#This Row],[Min]],FIND("-",Table20[[#This Row],[Min]])-1),Table1[Content Sku],0),18,1,1,"Entities")),"review","ok"),"ok")</f>
        <v>ok</v>
      </c>
    </row>
    <row r="576" spans="5:41" x14ac:dyDescent="0.25">
      <c r="E576" t="s">
        <v>253</v>
      </c>
      <c r="F576">
        <v>4000</v>
      </c>
      <c r="G576">
        <v>0</v>
      </c>
      <c r="H576" t="s">
        <v>205</v>
      </c>
      <c r="I576" s="74" t="str">
        <f ca="1">IF(Table7[[#This Row],[Type]]="KILL",IF(_xlfn.NUMBERVALUE(RIGHT(Table7[[#This Row],[Min]],LEN(Table7[[#This Row],[Min]])-FIND("-",Table7[[#This Row],[Min]])))&gt;INDIRECT(ADDRESS(11+MATCH(LEFT(Table7[[#This Row],[Min]],FIND("-",Table7[[#This Row],[Min]])-1),Table1[Content Sku],0),16,1,1,"Entities")),"review","ok"),"ok")</f>
        <v>ok</v>
      </c>
      <c r="U576" t="s">
        <v>315</v>
      </c>
      <c r="V576">
        <v>37000</v>
      </c>
      <c r="W576">
        <v>0</v>
      </c>
      <c r="X576" t="s">
        <v>205</v>
      </c>
      <c r="Y576" s="74" t="str">
        <f ca="1">IF(Table15[[#This Row],[Type]]="KILL",IF(_xlfn.NUMBERVALUE(RIGHT(Table15[[#This Row],[Min]],LEN(Table15[[#This Row],[Min]])-FIND("-",Table15[[#This Row],[Min]])))&gt;INDIRECT(ADDRESS(11+MATCH(LEFT(Table15[[#This Row],[Min]],FIND("-",Table15[[#This Row],[Min]])-1),Table1[Content Sku],0),16,1,1,"Entities")),"review","ok"),"ok")</f>
        <v>ok</v>
      </c>
      <c r="AK576" t="s">
        <v>2741</v>
      </c>
      <c r="AL576">
        <v>0</v>
      </c>
      <c r="AM576">
        <v>0</v>
      </c>
      <c r="AN576" t="s">
        <v>8</v>
      </c>
      <c r="AO576" s="74" t="str">
        <f ca="1">IF(Table20[[#This Row],[Type]]="KILL",IF(_xlfn.NUMBERVALUE(RIGHT(Table20[[#This Row],[Min]],LEN(Table20[[#This Row],[Min]])-FIND("-",Table20[[#This Row],[Min]])))&gt;INDIRECT(ADDRESS(11+MATCH(LEFT(Table20[[#This Row],[Min]],FIND("-",Table20[[#This Row],[Min]])-1),Table1[Content Sku],0),18,1,1,"Entities")),"review","ok"),"ok")</f>
        <v>ok</v>
      </c>
    </row>
    <row r="577" spans="5:41" x14ac:dyDescent="0.25">
      <c r="E577" t="s">
        <v>90</v>
      </c>
      <c r="F577">
        <v>0</v>
      </c>
      <c r="G577">
        <v>0</v>
      </c>
      <c r="H577" t="s">
        <v>8</v>
      </c>
      <c r="I577" s="74" t="str">
        <f ca="1">IF(Table7[[#This Row],[Type]]="KILL",IF(_xlfn.NUMBERVALUE(RIGHT(Table7[[#This Row],[Min]],LEN(Table7[[#This Row],[Min]])-FIND("-",Table7[[#This Row],[Min]])))&gt;INDIRECT(ADDRESS(11+MATCH(LEFT(Table7[[#This Row],[Min]],FIND("-",Table7[[#This Row],[Min]])-1),Table1[Content Sku],0),16,1,1,"Entities")),"review","ok"),"ok")</f>
        <v>ok</v>
      </c>
      <c r="U577" t="s">
        <v>313</v>
      </c>
      <c r="V577">
        <v>20000</v>
      </c>
      <c r="W577">
        <v>0</v>
      </c>
      <c r="X577" t="s">
        <v>205</v>
      </c>
      <c r="Y577" s="74" t="str">
        <f ca="1">IF(Table15[[#This Row],[Type]]="KILL",IF(_xlfn.NUMBERVALUE(RIGHT(Table15[[#This Row],[Min]],LEN(Table15[[#This Row],[Min]])-FIND("-",Table15[[#This Row],[Min]])))&gt;INDIRECT(ADDRESS(11+MATCH(LEFT(Table15[[#This Row],[Min]],FIND("-",Table15[[#This Row],[Min]])-1),Table1[Content Sku],0),16,1,1,"Entities")),"review","ok"),"ok")</f>
        <v>ok</v>
      </c>
      <c r="AK577" t="s">
        <v>2667</v>
      </c>
      <c r="AL577">
        <v>0</v>
      </c>
      <c r="AM577">
        <v>0</v>
      </c>
      <c r="AN577" t="s">
        <v>8</v>
      </c>
      <c r="AO577" s="74" t="str">
        <f ca="1">IF(Table20[[#This Row],[Type]]="KILL",IF(_xlfn.NUMBERVALUE(RIGHT(Table20[[#This Row],[Min]],LEN(Table20[[#This Row],[Min]])-FIND("-",Table20[[#This Row],[Min]])))&gt;INDIRECT(ADDRESS(11+MATCH(LEFT(Table20[[#This Row],[Min]],FIND("-",Table20[[#This Row],[Min]])-1),Table1[Content Sku],0),18,1,1,"Entities")),"review","ok"),"ok")</f>
        <v>ok</v>
      </c>
    </row>
    <row r="578" spans="5:41" x14ac:dyDescent="0.25">
      <c r="E578" t="s">
        <v>289</v>
      </c>
      <c r="F578">
        <v>0</v>
      </c>
      <c r="G578">
        <v>0</v>
      </c>
      <c r="H578" t="s">
        <v>8</v>
      </c>
      <c r="I578" s="74" t="str">
        <f ca="1">IF(Table7[[#This Row],[Type]]="KILL",IF(_xlfn.NUMBERVALUE(RIGHT(Table7[[#This Row],[Min]],LEN(Table7[[#This Row],[Min]])-FIND("-",Table7[[#This Row],[Min]])))&gt;INDIRECT(ADDRESS(11+MATCH(LEFT(Table7[[#This Row],[Min]],FIND("-",Table7[[#This Row],[Min]])-1),Table1[Content Sku],0),16,1,1,"Entities")),"review","ok"),"ok")</f>
        <v>ok</v>
      </c>
      <c r="U578" t="s">
        <v>48</v>
      </c>
      <c r="V578">
        <v>0</v>
      </c>
      <c r="W578">
        <v>0</v>
      </c>
      <c r="X578" t="s">
        <v>8</v>
      </c>
      <c r="Y578" s="74" t="str">
        <f ca="1">IF(Table15[[#This Row],[Type]]="KILL",IF(_xlfn.NUMBERVALUE(RIGHT(Table15[[#This Row],[Min]],LEN(Table15[[#This Row],[Min]])-FIND("-",Table15[[#This Row],[Min]])))&gt;INDIRECT(ADDRESS(11+MATCH(LEFT(Table15[[#This Row],[Min]],FIND("-",Table15[[#This Row],[Min]])-1),Table1[Content Sku],0),16,1,1,"Entities")),"review","ok"),"ok")</f>
        <v>ok</v>
      </c>
      <c r="AK578" t="s">
        <v>2767</v>
      </c>
      <c r="AL578">
        <v>0</v>
      </c>
      <c r="AM578">
        <v>0</v>
      </c>
      <c r="AN578" t="s">
        <v>8</v>
      </c>
      <c r="AO578" s="74" t="str">
        <f ca="1">IF(Table20[[#This Row],[Type]]="KILL",IF(_xlfn.NUMBERVALUE(RIGHT(Table20[[#This Row],[Min]],LEN(Table20[[#This Row],[Min]])-FIND("-",Table20[[#This Row],[Min]])))&gt;INDIRECT(ADDRESS(11+MATCH(LEFT(Table20[[#This Row],[Min]],FIND("-",Table20[[#This Row],[Min]])-1),Table1[Content Sku],0),18,1,1,"Entities")),"review","ok"),"ok")</f>
        <v>ok</v>
      </c>
    </row>
    <row r="579" spans="5:41" x14ac:dyDescent="0.25">
      <c r="E579" t="s">
        <v>4430</v>
      </c>
      <c r="F579">
        <v>0</v>
      </c>
      <c r="G579">
        <v>0</v>
      </c>
      <c r="H579" t="s">
        <v>8</v>
      </c>
      <c r="I579" s="74" t="str">
        <f ca="1">IF(Table7[[#This Row],[Type]]="KILL",IF(_xlfn.NUMBERVALUE(RIGHT(Table7[[#This Row],[Min]],LEN(Table7[[#This Row],[Min]])-FIND("-",Table7[[#This Row],[Min]])))&gt;INDIRECT(ADDRESS(11+MATCH(LEFT(Table7[[#This Row],[Min]],FIND("-",Table7[[#This Row],[Min]])-1),Table1[Content Sku],0),16,1,1,"Entities")),"review","ok"),"ok")</f>
        <v>ok</v>
      </c>
      <c r="U579" t="s">
        <v>311</v>
      </c>
      <c r="V579">
        <v>0</v>
      </c>
      <c r="W579">
        <v>0</v>
      </c>
      <c r="X579" t="s">
        <v>8</v>
      </c>
      <c r="Y579" s="74" t="str">
        <f ca="1">IF(Table15[[#This Row],[Type]]="KILL",IF(_xlfn.NUMBERVALUE(RIGHT(Table15[[#This Row],[Min]],LEN(Table15[[#This Row],[Min]])-FIND("-",Table15[[#This Row],[Min]])))&gt;INDIRECT(ADDRESS(11+MATCH(LEFT(Table15[[#This Row],[Min]],FIND("-",Table15[[#This Row],[Min]])-1),Table1[Content Sku],0),16,1,1,"Entities")),"review","ok"),"ok")</f>
        <v>ok</v>
      </c>
      <c r="AK579" t="s">
        <v>122</v>
      </c>
      <c r="AL579">
        <v>40000</v>
      </c>
      <c r="AM579">
        <v>0</v>
      </c>
      <c r="AN579" t="s">
        <v>205</v>
      </c>
      <c r="AO579" s="74" t="str">
        <f ca="1">IF(Table20[[#This Row],[Type]]="KILL",IF(_xlfn.NUMBERVALUE(RIGHT(Table20[[#This Row],[Min]],LEN(Table20[[#This Row],[Min]])-FIND("-",Table20[[#This Row],[Min]])))&gt;INDIRECT(ADDRESS(11+MATCH(LEFT(Table20[[#This Row],[Min]],FIND("-",Table20[[#This Row],[Min]])-1),Table1[Content Sku],0),18,1,1,"Entities")),"review","ok"),"ok")</f>
        <v>ok</v>
      </c>
    </row>
    <row r="580" spans="5:41" x14ac:dyDescent="0.25">
      <c r="E580" t="s">
        <v>21</v>
      </c>
      <c r="F580">
        <v>0</v>
      </c>
      <c r="G580">
        <v>0</v>
      </c>
      <c r="H580" t="s">
        <v>8</v>
      </c>
      <c r="I580" s="74" t="str">
        <f ca="1">IF(Table7[[#This Row],[Type]]="KILL",IF(_xlfn.NUMBERVALUE(RIGHT(Table7[[#This Row],[Min]],LEN(Table7[[#This Row],[Min]])-FIND("-",Table7[[#This Row],[Min]])))&gt;INDIRECT(ADDRESS(11+MATCH(LEFT(Table7[[#This Row],[Min]],FIND("-",Table7[[#This Row],[Min]])-1),Table1[Content Sku],0),16,1,1,"Entities")),"review","ok"),"ok")</f>
        <v>ok</v>
      </c>
      <c r="U580" t="s">
        <v>315</v>
      </c>
      <c r="V580">
        <v>0</v>
      </c>
      <c r="W580">
        <v>0</v>
      </c>
      <c r="X580" t="s">
        <v>8</v>
      </c>
      <c r="Y580" s="74" t="str">
        <f ca="1">IF(Table15[[#This Row],[Type]]="KILL",IF(_xlfn.NUMBERVALUE(RIGHT(Table15[[#This Row],[Min]],LEN(Table15[[#This Row],[Min]])-FIND("-",Table15[[#This Row],[Min]])))&gt;INDIRECT(ADDRESS(11+MATCH(LEFT(Table15[[#This Row],[Min]],FIND("-",Table15[[#This Row],[Min]])-1),Table1[Content Sku],0),16,1,1,"Entities")),"review","ok"),"ok")</f>
        <v>ok</v>
      </c>
      <c r="AK580" t="s">
        <v>2676</v>
      </c>
      <c r="AL580">
        <v>0</v>
      </c>
      <c r="AM580">
        <v>0</v>
      </c>
      <c r="AN580" t="s">
        <v>8</v>
      </c>
      <c r="AO580" s="74" t="str">
        <f ca="1">IF(Table20[[#This Row],[Type]]="KILL",IF(_xlfn.NUMBERVALUE(RIGHT(Table20[[#This Row],[Min]],LEN(Table20[[#This Row],[Min]])-FIND("-",Table20[[#This Row],[Min]])))&gt;INDIRECT(ADDRESS(11+MATCH(LEFT(Table20[[#This Row],[Min]],FIND("-",Table20[[#This Row],[Min]])-1),Table1[Content Sku],0),18,1,1,"Entities")),"review","ok"),"ok")</f>
        <v>ok</v>
      </c>
    </row>
    <row r="581" spans="5:41" x14ac:dyDescent="0.25">
      <c r="E581" t="s">
        <v>403</v>
      </c>
      <c r="F581">
        <v>0</v>
      </c>
      <c r="G581">
        <v>0</v>
      </c>
      <c r="H581" t="s">
        <v>8</v>
      </c>
      <c r="I581" s="74" t="str">
        <f ca="1">IF(Table7[[#This Row],[Type]]="KILL",IF(_xlfn.NUMBERVALUE(RIGHT(Table7[[#This Row],[Min]],LEN(Table7[[#This Row],[Min]])-FIND("-",Table7[[#This Row],[Min]])))&gt;INDIRECT(ADDRESS(11+MATCH(LEFT(Table7[[#This Row],[Min]],FIND("-",Table7[[#This Row],[Min]])-1),Table1[Content Sku],0),16,1,1,"Entities")),"review","ok"),"ok")</f>
        <v>ok</v>
      </c>
      <c r="U581" t="s">
        <v>47</v>
      </c>
      <c r="V581">
        <v>0</v>
      </c>
      <c r="W581">
        <v>0</v>
      </c>
      <c r="X581" t="s">
        <v>8</v>
      </c>
      <c r="Y581" s="74" t="str">
        <f ca="1">IF(Table15[[#This Row],[Type]]="KILL",IF(_xlfn.NUMBERVALUE(RIGHT(Table15[[#This Row],[Min]],LEN(Table15[[#This Row],[Min]])-FIND("-",Table15[[#This Row],[Min]])))&gt;INDIRECT(ADDRESS(11+MATCH(LEFT(Table15[[#This Row],[Min]],FIND("-",Table15[[#This Row],[Min]])-1),Table1[Content Sku],0),16,1,1,"Entities")),"review","ok"),"ok")</f>
        <v>ok</v>
      </c>
      <c r="AK581" t="s">
        <v>95</v>
      </c>
      <c r="AL581">
        <v>0</v>
      </c>
      <c r="AM581">
        <v>0</v>
      </c>
      <c r="AN581" t="s">
        <v>8</v>
      </c>
      <c r="AO581" s="74" t="str">
        <f ca="1">IF(Table20[[#This Row],[Type]]="KILL",IF(_xlfn.NUMBERVALUE(RIGHT(Table20[[#This Row],[Min]],LEN(Table20[[#This Row],[Min]])-FIND("-",Table20[[#This Row],[Min]])))&gt;INDIRECT(ADDRESS(11+MATCH(LEFT(Table20[[#This Row],[Min]],FIND("-",Table20[[#This Row],[Min]])-1),Table1[Content Sku],0),18,1,1,"Entities")),"review","ok"),"ok")</f>
        <v>ok</v>
      </c>
    </row>
    <row r="582" spans="5:41" x14ac:dyDescent="0.25">
      <c r="E582" t="s">
        <v>346</v>
      </c>
      <c r="F582">
        <v>0</v>
      </c>
      <c r="G582">
        <v>15000</v>
      </c>
      <c r="H582" t="s">
        <v>205</v>
      </c>
      <c r="I582" s="74" t="str">
        <f ca="1">IF(Table7[[#This Row],[Type]]="KILL",IF(_xlfn.NUMBERVALUE(RIGHT(Table7[[#This Row],[Min]],LEN(Table7[[#This Row],[Min]])-FIND("-",Table7[[#This Row],[Min]])))&gt;INDIRECT(ADDRESS(11+MATCH(LEFT(Table7[[#This Row],[Min]],FIND("-",Table7[[#This Row],[Min]])-1),Table1[Content Sku],0),16,1,1,"Entities")),"review","ok"),"ok")</f>
        <v>ok</v>
      </c>
      <c r="U582" t="s">
        <v>254</v>
      </c>
      <c r="V582">
        <v>0</v>
      </c>
      <c r="W582">
        <v>0</v>
      </c>
      <c r="X582" t="s">
        <v>8</v>
      </c>
      <c r="Y582" s="74" t="str">
        <f ca="1">IF(Table15[[#This Row],[Type]]="KILL",IF(_xlfn.NUMBERVALUE(RIGHT(Table15[[#This Row],[Min]],LEN(Table15[[#This Row],[Min]])-FIND("-",Table15[[#This Row],[Min]])))&gt;INDIRECT(ADDRESS(11+MATCH(LEFT(Table15[[#This Row],[Min]],FIND("-",Table15[[#This Row],[Min]])-1),Table1[Content Sku],0),16,1,1,"Entities")),"review","ok"),"ok")</f>
        <v>ok</v>
      </c>
      <c r="AK582" t="s">
        <v>482</v>
      </c>
      <c r="AL582">
        <v>0</v>
      </c>
      <c r="AM582">
        <v>0</v>
      </c>
      <c r="AN582" t="s">
        <v>8</v>
      </c>
      <c r="AO582" s="74" t="str">
        <f ca="1">IF(Table20[[#This Row],[Type]]="KILL",IF(_xlfn.NUMBERVALUE(RIGHT(Table20[[#This Row],[Min]],LEN(Table20[[#This Row],[Min]])-FIND("-",Table20[[#This Row],[Min]])))&gt;INDIRECT(ADDRESS(11+MATCH(LEFT(Table20[[#This Row],[Min]],FIND("-",Table20[[#This Row],[Min]])-1),Table1[Content Sku],0),18,1,1,"Entities")),"review","ok"),"ok")</f>
        <v>ok</v>
      </c>
    </row>
    <row r="583" spans="5:41" x14ac:dyDescent="0.25">
      <c r="E583" t="s">
        <v>318</v>
      </c>
      <c r="F583">
        <v>0</v>
      </c>
      <c r="G583">
        <v>0</v>
      </c>
      <c r="H583" t="s">
        <v>8</v>
      </c>
      <c r="I583" s="74" t="str">
        <f ca="1">IF(Table7[[#This Row],[Type]]="KILL",IF(_xlfn.NUMBERVALUE(RIGHT(Table7[[#This Row],[Min]],LEN(Table7[[#This Row],[Min]])-FIND("-",Table7[[#This Row],[Min]])))&gt;INDIRECT(ADDRESS(11+MATCH(LEFT(Table7[[#This Row],[Min]],FIND("-",Table7[[#This Row],[Min]])-1),Table1[Content Sku],0),16,1,1,"Entities")),"review","ok"),"ok")</f>
        <v>ok</v>
      </c>
      <c r="U583" t="s">
        <v>548</v>
      </c>
      <c r="V583">
        <v>0</v>
      </c>
      <c r="W583">
        <v>0</v>
      </c>
      <c r="X583" t="s">
        <v>8</v>
      </c>
      <c r="Y583" s="74" t="str">
        <f ca="1">IF(Table15[[#This Row],[Type]]="KILL",IF(_xlfn.NUMBERVALUE(RIGHT(Table15[[#This Row],[Min]],LEN(Table15[[#This Row],[Min]])-FIND("-",Table15[[#This Row],[Min]])))&gt;INDIRECT(ADDRESS(11+MATCH(LEFT(Table15[[#This Row],[Min]],FIND("-",Table15[[#This Row],[Min]])-1),Table1[Content Sku],0),16,1,1,"Entities")),"review","ok"),"ok")</f>
        <v>ok</v>
      </c>
      <c r="AK583" t="s">
        <v>2747</v>
      </c>
      <c r="AL583">
        <v>0</v>
      </c>
      <c r="AM583">
        <v>0</v>
      </c>
      <c r="AN583" t="s">
        <v>8</v>
      </c>
      <c r="AO583" s="74" t="str">
        <f ca="1">IF(Table20[[#This Row],[Type]]="KILL",IF(_xlfn.NUMBERVALUE(RIGHT(Table20[[#This Row],[Min]],LEN(Table20[[#This Row],[Min]])-FIND("-",Table20[[#This Row],[Min]])))&gt;INDIRECT(ADDRESS(11+MATCH(LEFT(Table20[[#This Row],[Min]],FIND("-",Table20[[#This Row],[Min]])-1),Table1[Content Sku],0),18,1,1,"Entities")),"review","ok"),"ok")</f>
        <v>ok</v>
      </c>
    </row>
    <row r="584" spans="5:41" x14ac:dyDescent="0.25">
      <c r="E584" t="s">
        <v>47</v>
      </c>
      <c r="F584">
        <v>4000</v>
      </c>
      <c r="G584">
        <v>0</v>
      </c>
      <c r="H584" t="s">
        <v>205</v>
      </c>
      <c r="I584" s="74" t="str">
        <f ca="1">IF(Table7[[#This Row],[Type]]="KILL",IF(_xlfn.NUMBERVALUE(RIGHT(Table7[[#This Row],[Min]],LEN(Table7[[#This Row],[Min]])-FIND("-",Table7[[#This Row],[Min]])))&gt;INDIRECT(ADDRESS(11+MATCH(LEFT(Table7[[#This Row],[Min]],FIND("-",Table7[[#This Row],[Min]])-1),Table1[Content Sku],0),16,1,1,"Entities")),"review","ok"),"ok")</f>
        <v>ok</v>
      </c>
      <c r="U584" t="s">
        <v>95</v>
      </c>
      <c r="V584">
        <v>0</v>
      </c>
      <c r="W584">
        <v>0</v>
      </c>
      <c r="X584" t="s">
        <v>8</v>
      </c>
      <c r="Y584" s="74" t="str">
        <f ca="1">IF(Table15[[#This Row],[Type]]="KILL",IF(_xlfn.NUMBERVALUE(RIGHT(Table15[[#This Row],[Min]],LEN(Table15[[#This Row],[Min]])-FIND("-",Table15[[#This Row],[Min]])))&gt;INDIRECT(ADDRESS(11+MATCH(LEFT(Table15[[#This Row],[Min]],FIND("-",Table15[[#This Row],[Min]])-1),Table1[Content Sku],0),16,1,1,"Entities")),"review","ok"),"ok")</f>
        <v>ok</v>
      </c>
      <c r="AK584" t="s">
        <v>2674</v>
      </c>
      <c r="AL584">
        <v>0</v>
      </c>
      <c r="AM584">
        <v>0</v>
      </c>
      <c r="AN584" t="s">
        <v>8</v>
      </c>
      <c r="AO584" s="74" t="str">
        <f ca="1">IF(Table20[[#This Row],[Type]]="KILL",IF(_xlfn.NUMBERVALUE(RIGHT(Table20[[#This Row],[Min]],LEN(Table20[[#This Row],[Min]])-FIND("-",Table20[[#This Row],[Min]])))&gt;INDIRECT(ADDRESS(11+MATCH(LEFT(Table20[[#This Row],[Min]],FIND("-",Table20[[#This Row],[Min]])-1),Table1[Content Sku],0),18,1,1,"Entities")),"review","ok"),"ok")</f>
        <v>ok</v>
      </c>
    </row>
    <row r="585" spans="5:41" x14ac:dyDescent="0.25">
      <c r="E585" t="s">
        <v>39</v>
      </c>
      <c r="F585">
        <v>0</v>
      </c>
      <c r="G585">
        <v>0</v>
      </c>
      <c r="H585" t="s">
        <v>8</v>
      </c>
      <c r="I585" s="74" t="str">
        <f ca="1">IF(Table7[[#This Row],[Type]]="KILL",IF(_xlfn.NUMBERVALUE(RIGHT(Table7[[#This Row],[Min]],LEN(Table7[[#This Row],[Min]])-FIND("-",Table7[[#This Row],[Min]])))&gt;INDIRECT(ADDRESS(11+MATCH(LEFT(Table7[[#This Row],[Min]],FIND("-",Table7[[#This Row],[Min]])-1),Table1[Content Sku],0),16,1,1,"Entities")),"review","ok"),"ok")</f>
        <v>ok</v>
      </c>
      <c r="U585" t="s">
        <v>1</v>
      </c>
      <c r="V585">
        <v>21000</v>
      </c>
      <c r="W585">
        <v>0</v>
      </c>
      <c r="X585" t="s">
        <v>205</v>
      </c>
      <c r="Y585" s="74" t="str">
        <f ca="1">IF(Table15[[#This Row],[Type]]="KILL",IF(_xlfn.NUMBERVALUE(RIGHT(Table15[[#This Row],[Min]],LEN(Table15[[#This Row],[Min]])-FIND("-",Table15[[#This Row],[Min]])))&gt;INDIRECT(ADDRESS(11+MATCH(LEFT(Table15[[#This Row],[Min]],FIND("-",Table15[[#This Row],[Min]])-1),Table1[Content Sku],0),16,1,1,"Entities")),"review","ok"),"ok")</f>
        <v>ok</v>
      </c>
      <c r="AK585" t="s">
        <v>400</v>
      </c>
      <c r="AL585">
        <v>0</v>
      </c>
      <c r="AM585">
        <v>35000</v>
      </c>
      <c r="AN585" t="s">
        <v>205</v>
      </c>
      <c r="AO585" s="74" t="str">
        <f ca="1">IF(Table20[[#This Row],[Type]]="KILL",IF(_xlfn.NUMBERVALUE(RIGHT(Table20[[#This Row],[Min]],LEN(Table20[[#This Row],[Min]])-FIND("-",Table20[[#This Row],[Min]])))&gt;INDIRECT(ADDRESS(11+MATCH(LEFT(Table20[[#This Row],[Min]],FIND("-",Table20[[#This Row],[Min]])-1),Table1[Content Sku],0),18,1,1,"Entities")),"review","ok"),"ok")</f>
        <v>ok</v>
      </c>
    </row>
    <row r="586" spans="5:41" x14ac:dyDescent="0.25">
      <c r="E586" t="s">
        <v>254</v>
      </c>
      <c r="F586">
        <v>0</v>
      </c>
      <c r="G586">
        <v>0</v>
      </c>
      <c r="H586" t="s">
        <v>8</v>
      </c>
      <c r="I586" s="74" t="str">
        <f ca="1">IF(Table7[[#This Row],[Type]]="KILL",IF(_xlfn.NUMBERVALUE(RIGHT(Table7[[#This Row],[Min]],LEN(Table7[[#This Row],[Min]])-FIND("-",Table7[[#This Row],[Min]])))&gt;INDIRECT(ADDRESS(11+MATCH(LEFT(Table7[[#This Row],[Min]],FIND("-",Table7[[#This Row],[Min]])-1),Table1[Content Sku],0),16,1,1,"Entities")),"review","ok"),"ok")</f>
        <v>ok</v>
      </c>
      <c r="U586" t="s">
        <v>37</v>
      </c>
      <c r="V586">
        <v>0</v>
      </c>
      <c r="W586">
        <v>0</v>
      </c>
      <c r="X586" t="s">
        <v>8</v>
      </c>
      <c r="Y586" s="74" t="str">
        <f ca="1">IF(Table15[[#This Row],[Type]]="KILL",IF(_xlfn.NUMBERVALUE(RIGHT(Table15[[#This Row],[Min]],LEN(Table15[[#This Row],[Min]])-FIND("-",Table15[[#This Row],[Min]])))&gt;INDIRECT(ADDRESS(11+MATCH(LEFT(Table15[[#This Row],[Min]],FIND("-",Table15[[#This Row],[Min]])-1),Table1[Content Sku],0),16,1,1,"Entities")),"review","ok"),"ok")</f>
        <v>ok</v>
      </c>
      <c r="AK586" t="s">
        <v>2670</v>
      </c>
      <c r="AL586">
        <v>0</v>
      </c>
      <c r="AM586">
        <v>0</v>
      </c>
      <c r="AN586" t="s">
        <v>8</v>
      </c>
      <c r="AO586" s="74" t="str">
        <f ca="1">IF(Table20[[#This Row],[Type]]="KILL",IF(_xlfn.NUMBERVALUE(RIGHT(Table20[[#This Row],[Min]],LEN(Table20[[#This Row],[Min]])-FIND("-",Table20[[#This Row],[Min]])))&gt;INDIRECT(ADDRESS(11+MATCH(LEFT(Table20[[#This Row],[Min]],FIND("-",Table20[[#This Row],[Min]])-1),Table1[Content Sku],0),18,1,1,"Entities")),"review","ok"),"ok")</f>
        <v>ok</v>
      </c>
    </row>
    <row r="587" spans="5:41" x14ac:dyDescent="0.25">
      <c r="E587" t="s">
        <v>548</v>
      </c>
      <c r="F587">
        <v>0</v>
      </c>
      <c r="G587">
        <v>0</v>
      </c>
      <c r="H587" t="s">
        <v>8</v>
      </c>
      <c r="I587" s="74" t="str">
        <f ca="1">IF(Table7[[#This Row],[Type]]="KILL",IF(_xlfn.NUMBERVALUE(RIGHT(Table7[[#This Row],[Min]],LEN(Table7[[#This Row],[Min]])-FIND("-",Table7[[#This Row],[Min]])))&gt;INDIRECT(ADDRESS(11+MATCH(LEFT(Table7[[#This Row],[Min]],FIND("-",Table7[[#This Row],[Min]])-1),Table1[Content Sku],0),16,1,1,"Entities")),"review","ok"),"ok")</f>
        <v>ok</v>
      </c>
      <c r="U587" t="s">
        <v>460</v>
      </c>
      <c r="V587">
        <v>0</v>
      </c>
      <c r="W587">
        <v>0</v>
      </c>
      <c r="X587" t="s">
        <v>8</v>
      </c>
      <c r="Y587" s="74" t="str">
        <f ca="1">IF(Table15[[#This Row],[Type]]="KILL",IF(_xlfn.NUMBERVALUE(RIGHT(Table15[[#This Row],[Min]],LEN(Table15[[#This Row],[Min]])-FIND("-",Table15[[#This Row],[Min]])))&gt;INDIRECT(ADDRESS(11+MATCH(LEFT(Table15[[#This Row],[Min]],FIND("-",Table15[[#This Row],[Min]])-1),Table1[Content Sku],0),16,1,1,"Entities")),"review","ok"),"ok")</f>
        <v>ok</v>
      </c>
      <c r="AK587" t="s">
        <v>400</v>
      </c>
      <c r="AL587">
        <v>0</v>
      </c>
      <c r="AM587">
        <v>0</v>
      </c>
      <c r="AN587" t="s">
        <v>8</v>
      </c>
      <c r="AO587" s="74" t="str">
        <f ca="1">IF(Table20[[#This Row],[Type]]="KILL",IF(_xlfn.NUMBERVALUE(RIGHT(Table20[[#This Row],[Min]],LEN(Table20[[#This Row],[Min]])-FIND("-",Table20[[#This Row],[Min]])))&gt;INDIRECT(ADDRESS(11+MATCH(LEFT(Table20[[#This Row],[Min]],FIND("-",Table20[[#This Row],[Min]])-1),Table1[Content Sku],0),18,1,1,"Entities")),"review","ok"),"ok")</f>
        <v>ok</v>
      </c>
    </row>
    <row r="588" spans="5:41" x14ac:dyDescent="0.25">
      <c r="E588" t="s">
        <v>418</v>
      </c>
      <c r="F588">
        <v>0</v>
      </c>
      <c r="G588">
        <v>0</v>
      </c>
      <c r="H588" t="s">
        <v>8</v>
      </c>
      <c r="I588" s="74" t="str">
        <f ca="1">IF(Table7[[#This Row],[Type]]="KILL",IF(_xlfn.NUMBERVALUE(RIGHT(Table7[[#This Row],[Min]],LEN(Table7[[#This Row],[Min]])-FIND("-",Table7[[#This Row],[Min]])))&gt;INDIRECT(ADDRESS(11+MATCH(LEFT(Table7[[#This Row],[Min]],FIND("-",Table7[[#This Row],[Min]])-1),Table1[Content Sku],0),16,1,1,"Entities")),"review","ok"),"ok")</f>
        <v>ok</v>
      </c>
      <c r="U588" t="s">
        <v>293</v>
      </c>
      <c r="V588">
        <v>0</v>
      </c>
      <c r="W588">
        <v>0</v>
      </c>
      <c r="X588" t="s">
        <v>8</v>
      </c>
      <c r="Y588" s="74" t="str">
        <f ca="1">IF(Table15[[#This Row],[Type]]="KILL",IF(_xlfn.NUMBERVALUE(RIGHT(Table15[[#This Row],[Min]],LEN(Table15[[#This Row],[Min]])-FIND("-",Table15[[#This Row],[Min]])))&gt;INDIRECT(ADDRESS(11+MATCH(LEFT(Table15[[#This Row],[Min]],FIND("-",Table15[[#This Row],[Min]])-1),Table1[Content Sku],0),16,1,1,"Entities")),"review","ok"),"ok")</f>
        <v>ok</v>
      </c>
      <c r="AK588" t="s">
        <v>39</v>
      </c>
      <c r="AL588">
        <v>0</v>
      </c>
      <c r="AM588">
        <v>0</v>
      </c>
      <c r="AN588" t="s">
        <v>8</v>
      </c>
      <c r="AO588" s="74" t="str">
        <f ca="1">IF(Table20[[#This Row],[Type]]="KILL",IF(_xlfn.NUMBERVALUE(RIGHT(Table20[[#This Row],[Min]],LEN(Table20[[#This Row],[Min]])-FIND("-",Table20[[#This Row],[Min]])))&gt;INDIRECT(ADDRESS(11+MATCH(LEFT(Table20[[#This Row],[Min]],FIND("-",Table20[[#This Row],[Min]])-1),Table1[Content Sku],0),18,1,1,"Entities")),"review","ok"),"ok")</f>
        <v>ok</v>
      </c>
    </row>
    <row r="589" spans="5:41" x14ac:dyDescent="0.25">
      <c r="E589" t="s">
        <v>289</v>
      </c>
      <c r="F589">
        <v>0</v>
      </c>
      <c r="G589">
        <v>24000</v>
      </c>
      <c r="H589" t="s">
        <v>205</v>
      </c>
      <c r="I589" s="74" t="str">
        <f ca="1">IF(Table7[[#This Row],[Type]]="KILL",IF(_xlfn.NUMBERVALUE(RIGHT(Table7[[#This Row],[Min]],LEN(Table7[[#This Row],[Min]])-FIND("-",Table7[[#This Row],[Min]])))&gt;INDIRECT(ADDRESS(11+MATCH(LEFT(Table7[[#This Row],[Min]],FIND("-",Table7[[#This Row],[Min]])-1),Table1[Content Sku],0),16,1,1,"Entities")),"review","ok"),"ok")</f>
        <v>ok</v>
      </c>
      <c r="U589" t="s">
        <v>293</v>
      </c>
      <c r="V589">
        <v>0</v>
      </c>
      <c r="W589">
        <v>0</v>
      </c>
      <c r="X589" t="s">
        <v>8</v>
      </c>
      <c r="Y589" s="74" t="str">
        <f ca="1">IF(Table15[[#This Row],[Type]]="KILL",IF(_xlfn.NUMBERVALUE(RIGHT(Table15[[#This Row],[Min]],LEN(Table15[[#This Row],[Min]])-FIND("-",Table15[[#This Row],[Min]])))&gt;INDIRECT(ADDRESS(11+MATCH(LEFT(Table15[[#This Row],[Min]],FIND("-",Table15[[#This Row],[Min]])-1),Table1[Content Sku],0),16,1,1,"Entities")),"review","ok"),"ok")</f>
        <v>ok</v>
      </c>
      <c r="AK589" t="s">
        <v>313</v>
      </c>
      <c r="AL589">
        <v>0</v>
      </c>
      <c r="AM589">
        <v>0</v>
      </c>
      <c r="AN589" t="s">
        <v>8</v>
      </c>
      <c r="AO589" s="74" t="str">
        <f ca="1">IF(Table20[[#This Row],[Type]]="KILL",IF(_xlfn.NUMBERVALUE(RIGHT(Table20[[#This Row],[Min]],LEN(Table20[[#This Row],[Min]])-FIND("-",Table20[[#This Row],[Min]])))&gt;INDIRECT(ADDRESS(11+MATCH(LEFT(Table20[[#This Row],[Min]],FIND("-",Table20[[#This Row],[Min]])-1),Table1[Content Sku],0),18,1,1,"Entities")),"review","ok"),"ok")</f>
        <v>ok</v>
      </c>
    </row>
    <row r="590" spans="5:41" x14ac:dyDescent="0.25">
      <c r="E590" t="s">
        <v>346</v>
      </c>
      <c r="F590">
        <v>0</v>
      </c>
      <c r="G590">
        <v>0</v>
      </c>
      <c r="H590" t="s">
        <v>8</v>
      </c>
      <c r="I590" s="74" t="str">
        <f ca="1">IF(Table7[[#This Row],[Type]]="KILL",IF(_xlfn.NUMBERVALUE(RIGHT(Table7[[#This Row],[Min]],LEN(Table7[[#This Row],[Min]])-FIND("-",Table7[[#This Row],[Min]])))&gt;INDIRECT(ADDRESS(11+MATCH(LEFT(Table7[[#This Row],[Min]],FIND("-",Table7[[#This Row],[Min]])-1),Table1[Content Sku],0),16,1,1,"Entities")),"review","ok"),"ok")</f>
        <v>ok</v>
      </c>
      <c r="U590" t="s">
        <v>286</v>
      </c>
      <c r="V590">
        <v>0</v>
      </c>
      <c r="W590">
        <v>0</v>
      </c>
      <c r="X590" t="s">
        <v>8</v>
      </c>
      <c r="Y590" s="74" t="str">
        <f ca="1">IF(Table15[[#This Row],[Type]]="KILL",IF(_xlfn.NUMBERVALUE(RIGHT(Table15[[#This Row],[Min]],LEN(Table15[[#This Row],[Min]])-FIND("-",Table15[[#This Row],[Min]])))&gt;INDIRECT(ADDRESS(11+MATCH(LEFT(Table15[[#This Row],[Min]],FIND("-",Table15[[#This Row],[Min]])-1),Table1[Content Sku],0),16,1,1,"Entities")),"review","ok"),"ok")</f>
        <v>ok</v>
      </c>
      <c r="AK590" t="s">
        <v>2673</v>
      </c>
      <c r="AL590" t="s">
        <v>5008</v>
      </c>
      <c r="AM590" t="s">
        <v>4467</v>
      </c>
      <c r="AN590" t="s">
        <v>4468</v>
      </c>
      <c r="AO590" s="74" t="str">
        <f ca="1">IF(Table20[[#This Row],[Type]]="KILL",IF(_xlfn.NUMBERVALUE(RIGHT(Table20[[#This Row],[Min]],LEN(Table20[[#This Row],[Min]])-FIND("-",Table20[[#This Row],[Min]])))&gt;INDIRECT(ADDRESS(11+MATCH(LEFT(Table20[[#This Row],[Min]],FIND("-",Table20[[#This Row],[Min]])-1),Table1[Content Sku],0),18,1,1,"Entities")),"review","ok"),"ok")</f>
        <v>ok</v>
      </c>
    </row>
    <row r="591" spans="5:41" x14ac:dyDescent="0.25">
      <c r="E591" t="s">
        <v>45</v>
      </c>
      <c r="F591">
        <v>0</v>
      </c>
      <c r="G591">
        <v>0</v>
      </c>
      <c r="H591" t="s">
        <v>8</v>
      </c>
      <c r="I591" s="74" t="str">
        <f ca="1">IF(Table7[[#This Row],[Type]]="KILL",IF(_xlfn.NUMBERVALUE(RIGHT(Table7[[#This Row],[Min]],LEN(Table7[[#This Row],[Min]])-FIND("-",Table7[[#This Row],[Min]])))&gt;INDIRECT(ADDRESS(11+MATCH(LEFT(Table7[[#This Row],[Min]],FIND("-",Table7[[#This Row],[Min]])-1),Table1[Content Sku],0),16,1,1,"Entities")),"review","ok"),"ok")</f>
        <v>ok</v>
      </c>
      <c r="U591" t="s">
        <v>2726</v>
      </c>
      <c r="V591">
        <v>0</v>
      </c>
      <c r="W591">
        <v>0</v>
      </c>
      <c r="X591" t="s">
        <v>8</v>
      </c>
      <c r="Y591" s="74" t="str">
        <f ca="1">IF(Table15[[#This Row],[Type]]="KILL",IF(_xlfn.NUMBERVALUE(RIGHT(Table15[[#This Row],[Min]],LEN(Table15[[#This Row],[Min]])-FIND("-",Table15[[#This Row],[Min]])))&gt;INDIRECT(ADDRESS(11+MATCH(LEFT(Table15[[#This Row],[Min]],FIND("-",Table15[[#This Row],[Min]])-1),Table1[Content Sku],0),16,1,1,"Entities")),"review","ok"),"ok")</f>
        <v>ok</v>
      </c>
      <c r="AK591" t="s">
        <v>39</v>
      </c>
      <c r="AL591">
        <v>0</v>
      </c>
      <c r="AM591">
        <v>30000</v>
      </c>
      <c r="AN591" t="s">
        <v>205</v>
      </c>
      <c r="AO591" s="74" t="str">
        <f ca="1">IF(Table20[[#This Row],[Type]]="KILL",IF(_xlfn.NUMBERVALUE(RIGHT(Table20[[#This Row],[Min]],LEN(Table20[[#This Row],[Min]])-FIND("-",Table20[[#This Row],[Min]])))&gt;INDIRECT(ADDRESS(11+MATCH(LEFT(Table20[[#This Row],[Min]],FIND("-",Table20[[#This Row],[Min]])-1),Table1[Content Sku],0),18,1,1,"Entities")),"review","ok"),"ok")</f>
        <v>ok</v>
      </c>
    </row>
    <row r="592" spans="5:41" x14ac:dyDescent="0.25">
      <c r="E592" t="s">
        <v>313</v>
      </c>
      <c r="F592">
        <v>0</v>
      </c>
      <c r="G592">
        <v>0</v>
      </c>
      <c r="H592" t="s">
        <v>8</v>
      </c>
      <c r="I592" s="74" t="str">
        <f ca="1">IF(Table7[[#This Row],[Type]]="KILL",IF(_xlfn.NUMBERVALUE(RIGHT(Table7[[#This Row],[Min]],LEN(Table7[[#This Row],[Min]])-FIND("-",Table7[[#This Row],[Min]])))&gt;INDIRECT(ADDRESS(11+MATCH(LEFT(Table7[[#This Row],[Min]],FIND("-",Table7[[#This Row],[Min]])-1),Table1[Content Sku],0),16,1,1,"Entities")),"review","ok"),"ok")</f>
        <v>ok</v>
      </c>
      <c r="U592" t="s">
        <v>254</v>
      </c>
      <c r="V592">
        <v>0</v>
      </c>
      <c r="W592">
        <v>0</v>
      </c>
      <c r="X592" t="s">
        <v>8</v>
      </c>
      <c r="Y592" s="74" t="str">
        <f ca="1">IF(Table15[[#This Row],[Type]]="KILL",IF(_xlfn.NUMBERVALUE(RIGHT(Table15[[#This Row],[Min]],LEN(Table15[[#This Row],[Min]])-FIND("-",Table15[[#This Row],[Min]])))&gt;INDIRECT(ADDRESS(11+MATCH(LEFT(Table15[[#This Row],[Min]],FIND("-",Table15[[#This Row],[Min]])-1),Table1[Content Sku],0),16,1,1,"Entities")),"review","ok"),"ok")</f>
        <v>ok</v>
      </c>
      <c r="AK592" t="s">
        <v>2666</v>
      </c>
      <c r="AL592">
        <v>40000</v>
      </c>
      <c r="AM592">
        <v>0</v>
      </c>
      <c r="AN592" t="s">
        <v>205</v>
      </c>
      <c r="AO592" s="74" t="str">
        <f ca="1">IF(Table20[[#This Row],[Type]]="KILL",IF(_xlfn.NUMBERVALUE(RIGHT(Table20[[#This Row],[Min]],LEN(Table20[[#This Row],[Min]])-FIND("-",Table20[[#This Row],[Min]])))&gt;INDIRECT(ADDRESS(11+MATCH(LEFT(Table20[[#This Row],[Min]],FIND("-",Table20[[#This Row],[Min]])-1),Table1[Content Sku],0),18,1,1,"Entities")),"review","ok"),"ok")</f>
        <v>ok</v>
      </c>
    </row>
    <row r="593" spans="5:41" x14ac:dyDescent="0.25">
      <c r="E593" t="s">
        <v>313</v>
      </c>
      <c r="F593">
        <v>0</v>
      </c>
      <c r="G593">
        <v>0</v>
      </c>
      <c r="H593" t="s">
        <v>8</v>
      </c>
      <c r="I593" s="74" t="str">
        <f ca="1">IF(Table7[[#This Row],[Type]]="KILL",IF(_xlfn.NUMBERVALUE(RIGHT(Table7[[#This Row],[Min]],LEN(Table7[[#This Row],[Min]])-FIND("-",Table7[[#This Row],[Min]])))&gt;INDIRECT(ADDRESS(11+MATCH(LEFT(Table7[[#This Row],[Min]],FIND("-",Table7[[#This Row],[Min]])-1),Table1[Content Sku],0),16,1,1,"Entities")),"review","ok"),"ok")</f>
        <v>ok</v>
      </c>
      <c r="U593" t="s">
        <v>2736</v>
      </c>
      <c r="V593">
        <v>0</v>
      </c>
      <c r="W593">
        <v>0</v>
      </c>
      <c r="X593" t="s">
        <v>8</v>
      </c>
      <c r="Y593" s="74" t="str">
        <f ca="1">IF(Table15[[#This Row],[Type]]="KILL",IF(_xlfn.NUMBERVALUE(RIGHT(Table15[[#This Row],[Min]],LEN(Table15[[#This Row],[Min]])-FIND("-",Table15[[#This Row],[Min]])))&gt;INDIRECT(ADDRESS(11+MATCH(LEFT(Table15[[#This Row],[Min]],FIND("-",Table15[[#This Row],[Min]])-1),Table1[Content Sku],0),16,1,1,"Entities")),"review","ok"),"ok")</f>
        <v>ok</v>
      </c>
      <c r="AK593" t="s">
        <v>2670</v>
      </c>
      <c r="AL593">
        <v>0</v>
      </c>
      <c r="AM593">
        <v>0</v>
      </c>
      <c r="AN593" t="s">
        <v>8</v>
      </c>
      <c r="AO593" s="74" t="str">
        <f ca="1">IF(Table20[[#This Row],[Type]]="KILL",IF(_xlfn.NUMBERVALUE(RIGHT(Table20[[#This Row],[Min]],LEN(Table20[[#This Row],[Min]])-FIND("-",Table20[[#This Row],[Min]])))&gt;INDIRECT(ADDRESS(11+MATCH(LEFT(Table20[[#This Row],[Min]],FIND("-",Table20[[#This Row],[Min]])-1),Table1[Content Sku],0),18,1,1,"Entities")),"review","ok"),"ok")</f>
        <v>ok</v>
      </c>
    </row>
    <row r="594" spans="5:41" x14ac:dyDescent="0.25">
      <c r="E594" t="s">
        <v>306</v>
      </c>
      <c r="F594">
        <v>0</v>
      </c>
      <c r="G594">
        <v>0</v>
      </c>
      <c r="H594" t="s">
        <v>8</v>
      </c>
      <c r="I594" s="74" t="str">
        <f ca="1">IF(Table7[[#This Row],[Type]]="KILL",IF(_xlfn.NUMBERVALUE(RIGHT(Table7[[#This Row],[Min]],LEN(Table7[[#This Row],[Min]])-FIND("-",Table7[[#This Row],[Min]])))&gt;INDIRECT(ADDRESS(11+MATCH(LEFT(Table7[[#This Row],[Min]],FIND("-",Table7[[#This Row],[Min]])-1),Table1[Content Sku],0),16,1,1,"Entities")),"review","ok"),"ok")</f>
        <v>ok</v>
      </c>
      <c r="U594" t="s">
        <v>338</v>
      </c>
      <c r="V594">
        <v>22000</v>
      </c>
      <c r="W594">
        <v>0</v>
      </c>
      <c r="X594" t="s">
        <v>205</v>
      </c>
      <c r="Y594" s="74" t="str">
        <f ca="1">IF(Table15[[#This Row],[Type]]="KILL",IF(_xlfn.NUMBERVALUE(RIGHT(Table15[[#This Row],[Min]],LEN(Table15[[#This Row],[Min]])-FIND("-",Table15[[#This Row],[Min]])))&gt;INDIRECT(ADDRESS(11+MATCH(LEFT(Table15[[#This Row],[Min]],FIND("-",Table15[[#This Row],[Min]])-1),Table1[Content Sku],0),16,1,1,"Entities")),"review","ok"),"ok")</f>
        <v>ok</v>
      </c>
      <c r="AK594" t="s">
        <v>578</v>
      </c>
      <c r="AL594">
        <v>0</v>
      </c>
      <c r="AM594">
        <v>0</v>
      </c>
      <c r="AN594" t="s">
        <v>8</v>
      </c>
      <c r="AO594" s="74" t="str">
        <f ca="1">IF(Table20[[#This Row],[Type]]="KILL",IF(_xlfn.NUMBERVALUE(RIGHT(Table20[[#This Row],[Min]],LEN(Table20[[#This Row],[Min]])-FIND("-",Table20[[#This Row],[Min]])))&gt;INDIRECT(ADDRESS(11+MATCH(LEFT(Table20[[#This Row],[Min]],FIND("-",Table20[[#This Row],[Min]])-1),Table1[Content Sku],0),18,1,1,"Entities")),"review","ok"),"ok")</f>
        <v>ok</v>
      </c>
    </row>
    <row r="595" spans="5:41" x14ac:dyDescent="0.25">
      <c r="E595" t="s">
        <v>313</v>
      </c>
      <c r="F595">
        <v>0</v>
      </c>
      <c r="G595">
        <v>0</v>
      </c>
      <c r="H595" t="s">
        <v>8</v>
      </c>
      <c r="I595" s="74" t="str">
        <f ca="1">IF(Table7[[#This Row],[Type]]="KILL",IF(_xlfn.NUMBERVALUE(RIGHT(Table7[[#This Row],[Min]],LEN(Table7[[#This Row],[Min]])-FIND("-",Table7[[#This Row],[Min]])))&gt;INDIRECT(ADDRESS(11+MATCH(LEFT(Table7[[#This Row],[Min]],FIND("-",Table7[[#This Row],[Min]])-1),Table1[Content Sku],0),16,1,1,"Entities")),"review","ok"),"ok")</f>
        <v>ok</v>
      </c>
      <c r="U595" t="s">
        <v>545</v>
      </c>
      <c r="V595">
        <v>0</v>
      </c>
      <c r="W595">
        <v>0</v>
      </c>
      <c r="X595" t="s">
        <v>8</v>
      </c>
      <c r="Y595" s="74" t="str">
        <f ca="1">IF(Table15[[#This Row],[Type]]="KILL",IF(_xlfn.NUMBERVALUE(RIGHT(Table15[[#This Row],[Min]],LEN(Table15[[#This Row],[Min]])-FIND("-",Table15[[#This Row],[Min]])))&gt;INDIRECT(ADDRESS(11+MATCH(LEFT(Table15[[#This Row],[Min]],FIND("-",Table15[[#This Row],[Min]])-1),Table1[Content Sku],0),16,1,1,"Entities")),"review","ok"),"ok")</f>
        <v>ok</v>
      </c>
      <c r="AK595" t="s">
        <v>2667</v>
      </c>
      <c r="AL595">
        <v>0</v>
      </c>
      <c r="AM595">
        <v>0</v>
      </c>
      <c r="AN595" t="s">
        <v>8</v>
      </c>
      <c r="AO595" s="74" t="str">
        <f ca="1">IF(Table20[[#This Row],[Type]]="KILL",IF(_xlfn.NUMBERVALUE(RIGHT(Table20[[#This Row],[Min]],LEN(Table20[[#This Row],[Min]])-FIND("-",Table20[[#This Row],[Min]])))&gt;INDIRECT(ADDRESS(11+MATCH(LEFT(Table20[[#This Row],[Min]],FIND("-",Table20[[#This Row],[Min]])-1),Table1[Content Sku],0),18,1,1,"Entities")),"review","ok"),"ok")</f>
        <v>ok</v>
      </c>
    </row>
    <row r="596" spans="5:41" x14ac:dyDescent="0.25">
      <c r="E596" t="s">
        <v>254</v>
      </c>
      <c r="F596">
        <v>0</v>
      </c>
      <c r="G596">
        <v>0</v>
      </c>
      <c r="H596" t="s">
        <v>8</v>
      </c>
      <c r="I596" s="74" t="str">
        <f ca="1">IF(Table7[[#This Row],[Type]]="KILL",IF(_xlfn.NUMBERVALUE(RIGHT(Table7[[#This Row],[Min]],LEN(Table7[[#This Row],[Min]])-FIND("-",Table7[[#This Row],[Min]])))&gt;INDIRECT(ADDRESS(11+MATCH(LEFT(Table7[[#This Row],[Min]],FIND("-",Table7[[#This Row],[Min]])-1),Table1[Content Sku],0),16,1,1,"Entities")),"review","ok"),"ok")</f>
        <v>ok</v>
      </c>
      <c r="U596" t="s">
        <v>278</v>
      </c>
      <c r="V596">
        <v>0</v>
      </c>
      <c r="W596">
        <v>45000</v>
      </c>
      <c r="X596" t="s">
        <v>205</v>
      </c>
      <c r="Y596" s="74" t="str">
        <f ca="1">IF(Table15[[#This Row],[Type]]="KILL",IF(_xlfn.NUMBERVALUE(RIGHT(Table15[[#This Row],[Min]],LEN(Table15[[#This Row],[Min]])-FIND("-",Table15[[#This Row],[Min]])))&gt;INDIRECT(ADDRESS(11+MATCH(LEFT(Table15[[#This Row],[Min]],FIND("-",Table15[[#This Row],[Min]])-1),Table1[Content Sku],0),16,1,1,"Entities")),"review","ok"),"ok")</f>
        <v>ok</v>
      </c>
      <c r="AK596" t="s">
        <v>257</v>
      </c>
      <c r="AL596">
        <v>0</v>
      </c>
      <c r="AM596">
        <v>50000</v>
      </c>
      <c r="AN596" t="s">
        <v>205</v>
      </c>
      <c r="AO596" s="74" t="str">
        <f ca="1">IF(Table20[[#This Row],[Type]]="KILL",IF(_xlfn.NUMBERVALUE(RIGHT(Table20[[#This Row],[Min]],LEN(Table20[[#This Row],[Min]])-FIND("-",Table20[[#This Row],[Min]])))&gt;INDIRECT(ADDRESS(11+MATCH(LEFT(Table20[[#This Row],[Min]],FIND("-",Table20[[#This Row],[Min]])-1),Table1[Content Sku],0),18,1,1,"Entities")),"review","ok"),"ok")</f>
        <v>ok</v>
      </c>
    </row>
    <row r="597" spans="5:41" x14ac:dyDescent="0.25">
      <c r="E597" t="s">
        <v>338</v>
      </c>
      <c r="F597">
        <v>0</v>
      </c>
      <c r="G597">
        <v>0</v>
      </c>
      <c r="H597" t="s">
        <v>8</v>
      </c>
      <c r="I597" s="74" t="str">
        <f ca="1">IF(Table7[[#This Row],[Type]]="KILL",IF(_xlfn.NUMBERVALUE(RIGHT(Table7[[#This Row],[Min]],LEN(Table7[[#This Row],[Min]])-FIND("-",Table7[[#This Row],[Min]])))&gt;INDIRECT(ADDRESS(11+MATCH(LEFT(Table7[[#This Row],[Min]],FIND("-",Table7[[#This Row],[Min]])-1),Table1[Content Sku],0),16,1,1,"Entities")),"review","ok"),"ok")</f>
        <v>ok</v>
      </c>
      <c r="U597" t="s">
        <v>49</v>
      </c>
      <c r="V597">
        <v>0</v>
      </c>
      <c r="W597">
        <v>0</v>
      </c>
      <c r="X597" t="s">
        <v>8</v>
      </c>
      <c r="Y597" s="74" t="str">
        <f ca="1">IF(Table15[[#This Row],[Type]]="KILL",IF(_xlfn.NUMBERVALUE(RIGHT(Table15[[#This Row],[Min]],LEN(Table15[[#This Row],[Min]])-FIND("-",Table15[[#This Row],[Min]])))&gt;INDIRECT(ADDRESS(11+MATCH(LEFT(Table15[[#This Row],[Min]],FIND("-",Table15[[#This Row],[Min]])-1),Table1[Content Sku],0),16,1,1,"Entities")),"review","ok"),"ok")</f>
        <v>ok</v>
      </c>
      <c r="AK597" t="s">
        <v>2663</v>
      </c>
      <c r="AL597">
        <v>0</v>
      </c>
      <c r="AM597">
        <v>0</v>
      </c>
      <c r="AN597" t="s">
        <v>8</v>
      </c>
      <c r="AO597" s="74" t="str">
        <f ca="1">IF(Table20[[#This Row],[Type]]="KILL",IF(_xlfn.NUMBERVALUE(RIGHT(Table20[[#This Row],[Min]],LEN(Table20[[#This Row],[Min]])-FIND("-",Table20[[#This Row],[Min]])))&gt;INDIRECT(ADDRESS(11+MATCH(LEFT(Table20[[#This Row],[Min]],FIND("-",Table20[[#This Row],[Min]])-1),Table1[Content Sku],0),18,1,1,"Entities")),"review","ok"),"ok")</f>
        <v>ok</v>
      </c>
    </row>
    <row r="598" spans="5:41" x14ac:dyDescent="0.25">
      <c r="E598" t="s">
        <v>44</v>
      </c>
      <c r="F598">
        <v>0</v>
      </c>
      <c r="G598">
        <v>0</v>
      </c>
      <c r="H598" t="s">
        <v>8</v>
      </c>
      <c r="I598" s="74" t="str">
        <f ca="1">IF(Table7[[#This Row],[Type]]="KILL",IF(_xlfn.NUMBERVALUE(RIGHT(Table7[[#This Row],[Min]],LEN(Table7[[#This Row],[Min]])-FIND("-",Table7[[#This Row],[Min]])))&gt;INDIRECT(ADDRESS(11+MATCH(LEFT(Table7[[#This Row],[Min]],FIND("-",Table7[[#This Row],[Min]])-1),Table1[Content Sku],0),16,1,1,"Entities")),"review","ok"),"ok")</f>
        <v>ok</v>
      </c>
      <c r="U598" t="s">
        <v>391</v>
      </c>
      <c r="V598">
        <v>0</v>
      </c>
      <c r="W598">
        <v>0</v>
      </c>
      <c r="X598" t="s">
        <v>8</v>
      </c>
      <c r="Y598" s="74" t="str">
        <f ca="1">IF(Table15[[#This Row],[Type]]="KILL",IF(_xlfn.NUMBERVALUE(RIGHT(Table15[[#This Row],[Min]],LEN(Table15[[#This Row],[Min]])-FIND("-",Table15[[#This Row],[Min]])))&gt;INDIRECT(ADDRESS(11+MATCH(LEFT(Table15[[#This Row],[Min]],FIND("-",Table15[[#This Row],[Min]])-1),Table1[Content Sku],0),16,1,1,"Entities")),"review","ok"),"ok")</f>
        <v>ok</v>
      </c>
      <c r="AK598" t="s">
        <v>2664</v>
      </c>
      <c r="AL598">
        <v>43000</v>
      </c>
      <c r="AM598">
        <v>0</v>
      </c>
      <c r="AN598" t="s">
        <v>205</v>
      </c>
      <c r="AO598" s="74" t="str">
        <f ca="1">IF(Table20[[#This Row],[Type]]="KILL",IF(_xlfn.NUMBERVALUE(RIGHT(Table20[[#This Row],[Min]],LEN(Table20[[#This Row],[Min]])-FIND("-",Table20[[#This Row],[Min]])))&gt;INDIRECT(ADDRESS(11+MATCH(LEFT(Table20[[#This Row],[Min]],FIND("-",Table20[[#This Row],[Min]])-1),Table1[Content Sku],0),18,1,1,"Entities")),"review","ok"),"ok")</f>
        <v>ok</v>
      </c>
    </row>
    <row r="599" spans="5:41" x14ac:dyDescent="0.25">
      <c r="E599" t="s">
        <v>63</v>
      </c>
      <c r="F599">
        <v>0</v>
      </c>
      <c r="G599">
        <v>0</v>
      </c>
      <c r="H599" t="s">
        <v>8</v>
      </c>
      <c r="I599" s="74" t="str">
        <f ca="1">IF(Table7[[#This Row],[Type]]="KILL",IF(_xlfn.NUMBERVALUE(RIGHT(Table7[[#This Row],[Min]],LEN(Table7[[#This Row],[Min]])-FIND("-",Table7[[#This Row],[Min]])))&gt;INDIRECT(ADDRESS(11+MATCH(LEFT(Table7[[#This Row],[Min]],FIND("-",Table7[[#This Row],[Min]])-1),Table1[Content Sku],0),16,1,1,"Entities")),"review","ok"),"ok")</f>
        <v>ok</v>
      </c>
      <c r="U599" t="s">
        <v>278</v>
      </c>
      <c r="V599">
        <v>20000</v>
      </c>
      <c r="W599">
        <v>0</v>
      </c>
      <c r="X599" t="s">
        <v>205</v>
      </c>
      <c r="Y599" s="74" t="str">
        <f ca="1">IF(Table15[[#This Row],[Type]]="KILL",IF(_xlfn.NUMBERVALUE(RIGHT(Table15[[#This Row],[Min]],LEN(Table15[[#This Row],[Min]])-FIND("-",Table15[[#This Row],[Min]])))&gt;INDIRECT(ADDRESS(11+MATCH(LEFT(Table15[[#This Row],[Min]],FIND("-",Table15[[#This Row],[Min]])-1),Table1[Content Sku],0),16,1,1,"Entities")),"review","ok"),"ok")</f>
        <v>ok</v>
      </c>
      <c r="AK599" t="s">
        <v>4428</v>
      </c>
      <c r="AL599">
        <v>0</v>
      </c>
      <c r="AM599">
        <v>0</v>
      </c>
      <c r="AN599" t="s">
        <v>8</v>
      </c>
      <c r="AO599" s="74" t="str">
        <f ca="1">IF(Table20[[#This Row],[Type]]="KILL",IF(_xlfn.NUMBERVALUE(RIGHT(Table20[[#This Row],[Min]],LEN(Table20[[#This Row],[Min]])-FIND("-",Table20[[#This Row],[Min]])))&gt;INDIRECT(ADDRESS(11+MATCH(LEFT(Table20[[#This Row],[Min]],FIND("-",Table20[[#This Row],[Min]])-1),Table1[Content Sku],0),18,1,1,"Entities")),"review","ok"),"ok")</f>
        <v>ok</v>
      </c>
    </row>
    <row r="600" spans="5:41" x14ac:dyDescent="0.25">
      <c r="E600" t="s">
        <v>516</v>
      </c>
      <c r="F600">
        <v>0</v>
      </c>
      <c r="G600">
        <v>0</v>
      </c>
      <c r="H600" t="s">
        <v>8</v>
      </c>
      <c r="I600" s="74" t="str">
        <f ca="1">IF(Table7[[#This Row],[Type]]="KILL",IF(_xlfn.NUMBERVALUE(RIGHT(Table7[[#This Row],[Min]],LEN(Table7[[#This Row],[Min]])-FIND("-",Table7[[#This Row],[Min]])))&gt;INDIRECT(ADDRESS(11+MATCH(LEFT(Table7[[#This Row],[Min]],FIND("-",Table7[[#This Row],[Min]])-1),Table1[Content Sku],0),16,1,1,"Entities")),"review","ok"),"ok")</f>
        <v>ok</v>
      </c>
      <c r="U600" t="s">
        <v>313</v>
      </c>
      <c r="V600">
        <v>0</v>
      </c>
      <c r="W600">
        <v>0</v>
      </c>
      <c r="X600" t="s">
        <v>8</v>
      </c>
      <c r="Y600" s="74" t="str">
        <f ca="1">IF(Table15[[#This Row],[Type]]="KILL",IF(_xlfn.NUMBERVALUE(RIGHT(Table15[[#This Row],[Min]],LEN(Table15[[#This Row],[Min]])-FIND("-",Table15[[#This Row],[Min]])))&gt;INDIRECT(ADDRESS(11+MATCH(LEFT(Table15[[#This Row],[Min]],FIND("-",Table15[[#This Row],[Min]])-1),Table1[Content Sku],0),16,1,1,"Entities")),"review","ok"),"ok")</f>
        <v>ok</v>
      </c>
      <c r="AK600" t="s">
        <v>482</v>
      </c>
      <c r="AL600">
        <v>0</v>
      </c>
      <c r="AM600">
        <v>0</v>
      </c>
      <c r="AN600" t="s">
        <v>8</v>
      </c>
      <c r="AO600" s="74" t="str">
        <f ca="1">IF(Table20[[#This Row],[Type]]="KILL",IF(_xlfn.NUMBERVALUE(RIGHT(Table20[[#This Row],[Min]],LEN(Table20[[#This Row],[Min]])-FIND("-",Table20[[#This Row],[Min]])))&gt;INDIRECT(ADDRESS(11+MATCH(LEFT(Table20[[#This Row],[Min]],FIND("-",Table20[[#This Row],[Min]])-1),Table1[Content Sku],0),18,1,1,"Entities")),"review","ok"),"ok")</f>
        <v>ok</v>
      </c>
    </row>
    <row r="601" spans="5:41" x14ac:dyDescent="0.25">
      <c r="E601" t="s">
        <v>91</v>
      </c>
      <c r="F601">
        <v>7000</v>
      </c>
      <c r="G601">
        <v>0</v>
      </c>
      <c r="H601" t="s">
        <v>205</v>
      </c>
      <c r="I601" s="74" t="str">
        <f ca="1">IF(Table7[[#This Row],[Type]]="KILL",IF(_xlfn.NUMBERVALUE(RIGHT(Table7[[#This Row],[Min]],LEN(Table7[[#This Row],[Min]])-FIND("-",Table7[[#This Row],[Min]])))&gt;INDIRECT(ADDRESS(11+MATCH(LEFT(Table7[[#This Row],[Min]],FIND("-",Table7[[#This Row],[Min]])-1),Table1[Content Sku],0),16,1,1,"Entities")),"review","ok"),"ok")</f>
        <v>ok</v>
      </c>
      <c r="U601" t="s">
        <v>309</v>
      </c>
      <c r="V601">
        <v>45000</v>
      </c>
      <c r="W601">
        <v>0</v>
      </c>
      <c r="X601" t="s">
        <v>205</v>
      </c>
      <c r="Y601" s="74" t="str">
        <f ca="1">IF(Table15[[#This Row],[Type]]="KILL",IF(_xlfn.NUMBERVALUE(RIGHT(Table15[[#This Row],[Min]],LEN(Table15[[#This Row],[Min]])-FIND("-",Table15[[#This Row],[Min]])))&gt;INDIRECT(ADDRESS(11+MATCH(LEFT(Table15[[#This Row],[Min]],FIND("-",Table15[[#This Row],[Min]])-1),Table1[Content Sku],0),16,1,1,"Entities")),"review","ok"),"ok")</f>
        <v>ok</v>
      </c>
      <c r="AK601" t="s">
        <v>2667</v>
      </c>
      <c r="AL601">
        <v>0</v>
      </c>
      <c r="AM601">
        <v>0</v>
      </c>
      <c r="AN601" t="s">
        <v>8</v>
      </c>
      <c r="AO601" s="74" t="str">
        <f ca="1">IF(Table20[[#This Row],[Type]]="KILL",IF(_xlfn.NUMBERVALUE(RIGHT(Table20[[#This Row],[Min]],LEN(Table20[[#This Row],[Min]])-FIND("-",Table20[[#This Row],[Min]])))&gt;INDIRECT(ADDRESS(11+MATCH(LEFT(Table20[[#This Row],[Min]],FIND("-",Table20[[#This Row],[Min]])-1),Table1[Content Sku],0),18,1,1,"Entities")),"review","ok"),"ok")</f>
        <v>ok</v>
      </c>
    </row>
    <row r="602" spans="5:41" x14ac:dyDescent="0.25">
      <c r="E602" t="s">
        <v>278</v>
      </c>
      <c r="F602">
        <v>0</v>
      </c>
      <c r="G602">
        <v>0</v>
      </c>
      <c r="H602" t="s">
        <v>8</v>
      </c>
      <c r="I602" s="74" t="str">
        <f ca="1">IF(Table7[[#This Row],[Type]]="KILL",IF(_xlfn.NUMBERVALUE(RIGHT(Table7[[#This Row],[Min]],LEN(Table7[[#This Row],[Min]])-FIND("-",Table7[[#This Row],[Min]])))&gt;INDIRECT(ADDRESS(11+MATCH(LEFT(Table7[[#This Row],[Min]],FIND("-",Table7[[#This Row],[Min]])-1),Table1[Content Sku],0),16,1,1,"Entities")),"review","ok"),"ok")</f>
        <v>ok</v>
      </c>
      <c r="U602" t="s">
        <v>36</v>
      </c>
      <c r="V602">
        <v>41000</v>
      </c>
      <c r="W602">
        <v>0</v>
      </c>
      <c r="X602" t="s">
        <v>205</v>
      </c>
      <c r="Y602" s="74" t="str">
        <f ca="1">IF(Table15[[#This Row],[Type]]="KILL",IF(_xlfn.NUMBERVALUE(RIGHT(Table15[[#This Row],[Min]],LEN(Table15[[#This Row],[Min]])-FIND("-",Table15[[#This Row],[Min]])))&gt;INDIRECT(ADDRESS(11+MATCH(LEFT(Table15[[#This Row],[Min]],FIND("-",Table15[[#This Row],[Min]])-1),Table1[Content Sku],0),16,1,1,"Entities")),"review","ok"),"ok")</f>
        <v>ok</v>
      </c>
      <c r="AK602" t="s">
        <v>2676</v>
      </c>
      <c r="AL602">
        <v>0</v>
      </c>
      <c r="AM602">
        <v>0</v>
      </c>
      <c r="AN602" t="s">
        <v>8</v>
      </c>
      <c r="AO602" s="74" t="str">
        <f ca="1">IF(Table20[[#This Row],[Type]]="KILL",IF(_xlfn.NUMBERVALUE(RIGHT(Table20[[#This Row],[Min]],LEN(Table20[[#This Row],[Min]])-FIND("-",Table20[[#This Row],[Min]])))&gt;INDIRECT(ADDRESS(11+MATCH(LEFT(Table20[[#This Row],[Min]],FIND("-",Table20[[#This Row],[Min]])-1),Table1[Content Sku],0),18,1,1,"Entities")),"review","ok"),"ok")</f>
        <v>ok</v>
      </c>
    </row>
    <row r="603" spans="5:41" x14ac:dyDescent="0.25">
      <c r="E603" t="s">
        <v>391</v>
      </c>
      <c r="F603">
        <v>0</v>
      </c>
      <c r="G603">
        <v>0</v>
      </c>
      <c r="H603" t="s">
        <v>8</v>
      </c>
      <c r="I603" s="74" t="str">
        <f ca="1">IF(Table7[[#This Row],[Type]]="KILL",IF(_xlfn.NUMBERVALUE(RIGHT(Table7[[#This Row],[Min]],LEN(Table7[[#This Row],[Min]])-FIND("-",Table7[[#This Row],[Min]])))&gt;INDIRECT(ADDRESS(11+MATCH(LEFT(Table7[[#This Row],[Min]],FIND("-",Table7[[#This Row],[Min]])-1),Table1[Content Sku],0),16,1,1,"Entities")),"review","ok"),"ok")</f>
        <v>ok</v>
      </c>
      <c r="U603" t="s">
        <v>39</v>
      </c>
      <c r="V603">
        <v>0</v>
      </c>
      <c r="W603">
        <v>200</v>
      </c>
      <c r="X603" t="s">
        <v>4431</v>
      </c>
      <c r="Y603" s="74" t="str">
        <f ca="1">IF(Table15[[#This Row],[Type]]="KILL",IF(_xlfn.NUMBERVALUE(RIGHT(Table15[[#This Row],[Min]],LEN(Table15[[#This Row],[Min]])-FIND("-",Table15[[#This Row],[Min]])))&gt;INDIRECT(ADDRESS(11+MATCH(LEFT(Table15[[#This Row],[Min]],FIND("-",Table15[[#This Row],[Min]])-1),Table1[Content Sku],0),16,1,1,"Entities")),"review","ok"),"ok")</f>
        <v>ok</v>
      </c>
      <c r="AK603" t="s">
        <v>95</v>
      </c>
      <c r="AL603">
        <v>0</v>
      </c>
      <c r="AM603">
        <v>0</v>
      </c>
      <c r="AN603" t="s">
        <v>8</v>
      </c>
      <c r="AO603" s="74" t="str">
        <f ca="1">IF(Table20[[#This Row],[Type]]="KILL",IF(_xlfn.NUMBERVALUE(RIGHT(Table20[[#This Row],[Min]],LEN(Table20[[#This Row],[Min]])-FIND("-",Table20[[#This Row],[Min]])))&gt;INDIRECT(ADDRESS(11+MATCH(LEFT(Table20[[#This Row],[Min]],FIND("-",Table20[[#This Row],[Min]])-1),Table1[Content Sku],0),18,1,1,"Entities")),"review","ok"),"ok")</f>
        <v>ok</v>
      </c>
    </row>
    <row r="604" spans="5:41" x14ac:dyDescent="0.25">
      <c r="E604" t="s">
        <v>311</v>
      </c>
      <c r="F604">
        <v>0</v>
      </c>
      <c r="G604">
        <v>0</v>
      </c>
      <c r="H604" t="s">
        <v>8</v>
      </c>
      <c r="I604" s="74" t="str">
        <f ca="1">IF(Table7[[#This Row],[Type]]="KILL",IF(_xlfn.NUMBERVALUE(RIGHT(Table7[[#This Row],[Min]],LEN(Table7[[#This Row],[Min]])-FIND("-",Table7[[#This Row],[Min]])))&gt;INDIRECT(ADDRESS(11+MATCH(LEFT(Table7[[#This Row],[Min]],FIND("-",Table7[[#This Row],[Min]])-1),Table1[Content Sku],0),16,1,1,"Entities")),"review","ok"),"ok")</f>
        <v>ok</v>
      </c>
      <c r="U604" t="s">
        <v>545</v>
      </c>
      <c r="V604">
        <v>0</v>
      </c>
      <c r="W604">
        <v>0</v>
      </c>
      <c r="X604" t="s">
        <v>8</v>
      </c>
      <c r="Y604" s="74" t="str">
        <f ca="1">IF(Table15[[#This Row],[Type]]="KILL",IF(_xlfn.NUMBERVALUE(RIGHT(Table15[[#This Row],[Min]],LEN(Table15[[#This Row],[Min]])-FIND("-",Table15[[#This Row],[Min]])))&gt;INDIRECT(ADDRESS(11+MATCH(LEFT(Table15[[#This Row],[Min]],FIND("-",Table15[[#This Row],[Min]])-1),Table1[Content Sku],0),16,1,1,"Entities")),"review","ok"),"ok")</f>
        <v>ok</v>
      </c>
      <c r="AK604" t="s">
        <v>2767</v>
      </c>
      <c r="AL604">
        <v>0</v>
      </c>
      <c r="AM604">
        <v>0</v>
      </c>
      <c r="AN604" t="s">
        <v>8</v>
      </c>
      <c r="AO604" s="74" t="str">
        <f ca="1">IF(Table20[[#This Row],[Type]]="KILL",IF(_xlfn.NUMBERVALUE(RIGHT(Table20[[#This Row],[Min]],LEN(Table20[[#This Row],[Min]])-FIND("-",Table20[[#This Row],[Min]])))&gt;INDIRECT(ADDRESS(11+MATCH(LEFT(Table20[[#This Row],[Min]],FIND("-",Table20[[#This Row],[Min]])-1),Table1[Content Sku],0),18,1,1,"Entities")),"review","ok"),"ok")</f>
        <v>ok</v>
      </c>
    </row>
    <row r="605" spans="5:41" x14ac:dyDescent="0.25">
      <c r="E605" t="s">
        <v>254</v>
      </c>
      <c r="F605">
        <v>0</v>
      </c>
      <c r="G605">
        <v>19000</v>
      </c>
      <c r="H605" t="s">
        <v>205</v>
      </c>
      <c r="I605" s="74" t="str">
        <f ca="1">IF(Table7[[#This Row],[Type]]="KILL",IF(_xlfn.NUMBERVALUE(RIGHT(Table7[[#This Row],[Min]],LEN(Table7[[#This Row],[Min]])-FIND("-",Table7[[#This Row],[Min]])))&gt;INDIRECT(ADDRESS(11+MATCH(LEFT(Table7[[#This Row],[Min]],FIND("-",Table7[[#This Row],[Min]])-1),Table1[Content Sku],0),16,1,1,"Entities")),"review","ok"),"ok")</f>
        <v>ok</v>
      </c>
      <c r="U605" t="s">
        <v>278</v>
      </c>
      <c r="V605">
        <v>25000</v>
      </c>
      <c r="W605">
        <v>0</v>
      </c>
      <c r="X605" t="s">
        <v>205</v>
      </c>
      <c r="Y605" s="74" t="str">
        <f ca="1">IF(Table15[[#This Row],[Type]]="KILL",IF(_xlfn.NUMBERVALUE(RIGHT(Table15[[#This Row],[Min]],LEN(Table15[[#This Row],[Min]])-FIND("-",Table15[[#This Row],[Min]])))&gt;INDIRECT(ADDRESS(11+MATCH(LEFT(Table15[[#This Row],[Min]],FIND("-",Table15[[#This Row],[Min]])-1),Table1[Content Sku],0),16,1,1,"Entities")),"review","ok"),"ok")</f>
        <v>ok</v>
      </c>
      <c r="AK605" t="s">
        <v>2741</v>
      </c>
      <c r="AL605">
        <v>0</v>
      </c>
      <c r="AM605">
        <v>0</v>
      </c>
      <c r="AN605" t="s">
        <v>8</v>
      </c>
      <c r="AO605" s="74" t="str">
        <f ca="1">IF(Table20[[#This Row],[Type]]="KILL",IF(_xlfn.NUMBERVALUE(RIGHT(Table20[[#This Row],[Min]],LEN(Table20[[#This Row],[Min]])-FIND("-",Table20[[#This Row],[Min]])))&gt;INDIRECT(ADDRESS(11+MATCH(LEFT(Table20[[#This Row],[Min]],FIND("-",Table20[[#This Row],[Min]])-1),Table1[Content Sku],0),18,1,1,"Entities")),"review","ok"),"ok")</f>
        <v>ok</v>
      </c>
    </row>
    <row r="606" spans="5:41" x14ac:dyDescent="0.25">
      <c r="E606" t="s">
        <v>46</v>
      </c>
      <c r="F606">
        <v>0</v>
      </c>
      <c r="G606">
        <v>0</v>
      </c>
      <c r="H606" t="s">
        <v>8</v>
      </c>
      <c r="I606" s="74" t="str">
        <f ca="1">IF(Table7[[#This Row],[Type]]="KILL",IF(_xlfn.NUMBERVALUE(RIGHT(Table7[[#This Row],[Min]],LEN(Table7[[#This Row],[Min]])-FIND("-",Table7[[#This Row],[Min]])))&gt;INDIRECT(ADDRESS(11+MATCH(LEFT(Table7[[#This Row],[Min]],FIND("-",Table7[[#This Row],[Min]])-1),Table1[Content Sku],0),16,1,1,"Entities")),"review","ok"),"ok")</f>
        <v>ok</v>
      </c>
      <c r="U606" t="s">
        <v>61</v>
      </c>
      <c r="V606">
        <v>0</v>
      </c>
      <c r="W606">
        <v>0</v>
      </c>
      <c r="X606" t="s">
        <v>8</v>
      </c>
      <c r="Y606" s="74" t="str">
        <f ca="1">IF(Table15[[#This Row],[Type]]="KILL",IF(_xlfn.NUMBERVALUE(RIGHT(Table15[[#This Row],[Min]],LEN(Table15[[#This Row],[Min]])-FIND("-",Table15[[#This Row],[Min]])))&gt;INDIRECT(ADDRESS(11+MATCH(LEFT(Table15[[#This Row],[Min]],FIND("-",Table15[[#This Row],[Min]])-1),Table1[Content Sku],0),16,1,1,"Entities")),"review","ok"),"ok")</f>
        <v>ok</v>
      </c>
      <c r="AK606" t="s">
        <v>2664</v>
      </c>
      <c r="AL606">
        <v>0</v>
      </c>
      <c r="AM606">
        <v>0</v>
      </c>
      <c r="AN606" t="s">
        <v>8</v>
      </c>
      <c r="AO606" s="74" t="str">
        <f ca="1">IF(Table20[[#This Row],[Type]]="KILL",IF(_xlfn.NUMBERVALUE(RIGHT(Table20[[#This Row],[Min]],LEN(Table20[[#This Row],[Min]])-FIND("-",Table20[[#This Row],[Min]])))&gt;INDIRECT(ADDRESS(11+MATCH(LEFT(Table20[[#This Row],[Min]],FIND("-",Table20[[#This Row],[Min]])-1),Table1[Content Sku],0),18,1,1,"Entities")),"review","ok"),"ok")</f>
        <v>ok</v>
      </c>
    </row>
    <row r="607" spans="5:41" x14ac:dyDescent="0.25">
      <c r="E607" t="s">
        <v>393</v>
      </c>
      <c r="F607">
        <v>0</v>
      </c>
      <c r="G607">
        <v>0</v>
      </c>
      <c r="H607" t="s">
        <v>8</v>
      </c>
      <c r="I607" s="74" t="str">
        <f ca="1">IF(Table7[[#This Row],[Type]]="KILL",IF(_xlfn.NUMBERVALUE(RIGHT(Table7[[#This Row],[Min]],LEN(Table7[[#This Row],[Min]])-FIND("-",Table7[[#This Row],[Min]])))&gt;INDIRECT(ADDRESS(11+MATCH(LEFT(Table7[[#This Row],[Min]],FIND("-",Table7[[#This Row],[Min]])-1),Table1[Content Sku],0),16,1,1,"Entities")),"review","ok"),"ok")</f>
        <v>ok</v>
      </c>
      <c r="U607" t="s">
        <v>46</v>
      </c>
      <c r="V607">
        <v>0</v>
      </c>
      <c r="W607">
        <v>0</v>
      </c>
      <c r="X607" t="s">
        <v>8</v>
      </c>
      <c r="Y607" s="74" t="str">
        <f ca="1">IF(Table15[[#This Row],[Type]]="KILL",IF(_xlfn.NUMBERVALUE(RIGHT(Table15[[#This Row],[Min]],LEN(Table15[[#This Row],[Min]])-FIND("-",Table15[[#This Row],[Min]])))&gt;INDIRECT(ADDRESS(11+MATCH(LEFT(Table15[[#This Row],[Min]],FIND("-",Table15[[#This Row],[Min]])-1),Table1[Content Sku],0),16,1,1,"Entities")),"review","ok"),"ok")</f>
        <v>ok</v>
      </c>
      <c r="AK607" t="s">
        <v>482</v>
      </c>
      <c r="AL607">
        <v>0</v>
      </c>
      <c r="AM607">
        <v>0</v>
      </c>
      <c r="AN607" t="s">
        <v>8</v>
      </c>
      <c r="AO607" s="74" t="str">
        <f ca="1">IF(Table20[[#This Row],[Type]]="KILL",IF(_xlfn.NUMBERVALUE(RIGHT(Table20[[#This Row],[Min]],LEN(Table20[[#This Row],[Min]])-FIND("-",Table20[[#This Row],[Min]])))&gt;INDIRECT(ADDRESS(11+MATCH(LEFT(Table20[[#This Row],[Min]],FIND("-",Table20[[#This Row],[Min]])-1),Table1[Content Sku],0),18,1,1,"Entities")),"review","ok"),"ok")</f>
        <v>ok</v>
      </c>
    </row>
    <row r="608" spans="5:41" x14ac:dyDescent="0.25">
      <c r="E608" t="s">
        <v>254</v>
      </c>
      <c r="F608">
        <v>0</v>
      </c>
      <c r="G608">
        <v>0</v>
      </c>
      <c r="H608" t="s">
        <v>8</v>
      </c>
      <c r="I608" s="74" t="str">
        <f ca="1">IF(Table7[[#This Row],[Type]]="KILL",IF(_xlfn.NUMBERVALUE(RIGHT(Table7[[#This Row],[Min]],LEN(Table7[[#This Row],[Min]])-FIND("-",Table7[[#This Row],[Min]])))&gt;INDIRECT(ADDRESS(11+MATCH(LEFT(Table7[[#This Row],[Min]],FIND("-",Table7[[#This Row],[Min]])-1),Table1[Content Sku],0),16,1,1,"Entities")),"review","ok"),"ok")</f>
        <v>ok</v>
      </c>
      <c r="U608" t="s">
        <v>39</v>
      </c>
      <c r="V608">
        <v>0</v>
      </c>
      <c r="W608">
        <v>0</v>
      </c>
      <c r="X608" t="s">
        <v>8</v>
      </c>
      <c r="Y608" s="74" t="str">
        <f ca="1">IF(Table15[[#This Row],[Type]]="KILL",IF(_xlfn.NUMBERVALUE(RIGHT(Table15[[#This Row],[Min]],LEN(Table15[[#This Row],[Min]])-FIND("-",Table15[[#This Row],[Min]])))&gt;INDIRECT(ADDRESS(11+MATCH(LEFT(Table15[[#This Row],[Min]],FIND("-",Table15[[#This Row],[Min]])-1),Table1[Content Sku],0),16,1,1,"Entities")),"review","ok"),"ok")</f>
        <v>ok</v>
      </c>
      <c r="AK608" t="s">
        <v>548</v>
      </c>
      <c r="AL608">
        <v>0</v>
      </c>
      <c r="AM608">
        <v>0</v>
      </c>
      <c r="AN608" t="s">
        <v>8</v>
      </c>
      <c r="AO608" s="74" t="str">
        <f ca="1">IF(Table20[[#This Row],[Type]]="KILL",IF(_xlfn.NUMBERVALUE(RIGHT(Table20[[#This Row],[Min]],LEN(Table20[[#This Row],[Min]])-FIND("-",Table20[[#This Row],[Min]])))&gt;INDIRECT(ADDRESS(11+MATCH(LEFT(Table20[[#This Row],[Min]],FIND("-",Table20[[#This Row],[Min]])-1),Table1[Content Sku],0),18,1,1,"Entities")),"review","ok"),"ok")</f>
        <v>ok</v>
      </c>
    </row>
    <row r="609" spans="5:41" x14ac:dyDescent="0.25">
      <c r="E609" t="s">
        <v>41</v>
      </c>
      <c r="F609">
        <v>45000</v>
      </c>
      <c r="G609">
        <v>0</v>
      </c>
      <c r="H609" t="s">
        <v>205</v>
      </c>
      <c r="I609" s="74" t="str">
        <f ca="1">IF(Table7[[#This Row],[Type]]="KILL",IF(_xlfn.NUMBERVALUE(RIGHT(Table7[[#This Row],[Min]],LEN(Table7[[#This Row],[Min]])-FIND("-",Table7[[#This Row],[Min]])))&gt;INDIRECT(ADDRESS(11+MATCH(LEFT(Table7[[#This Row],[Min]],FIND("-",Table7[[#This Row],[Min]])-1),Table1[Content Sku],0),16,1,1,"Entities")),"review","ok"),"ok")</f>
        <v>ok</v>
      </c>
      <c r="U609" t="s">
        <v>545</v>
      </c>
      <c r="V609">
        <v>0</v>
      </c>
      <c r="W609">
        <v>0</v>
      </c>
      <c r="X609" t="s">
        <v>8</v>
      </c>
      <c r="Y609" s="74" t="str">
        <f ca="1">IF(Table15[[#This Row],[Type]]="KILL",IF(_xlfn.NUMBERVALUE(RIGHT(Table15[[#This Row],[Min]],LEN(Table15[[#This Row],[Min]])-FIND("-",Table15[[#This Row],[Min]])))&gt;INDIRECT(ADDRESS(11+MATCH(LEFT(Table15[[#This Row],[Min]],FIND("-",Table15[[#This Row],[Min]])-1),Table1[Content Sku],0),16,1,1,"Entities")),"review","ok"),"ok")</f>
        <v>ok</v>
      </c>
      <c r="AK609" t="s">
        <v>313</v>
      </c>
      <c r="AL609">
        <v>0</v>
      </c>
      <c r="AM609">
        <v>0</v>
      </c>
      <c r="AN609" t="s">
        <v>8</v>
      </c>
      <c r="AO609" s="74" t="str">
        <f ca="1">IF(Table20[[#This Row],[Type]]="KILL",IF(_xlfn.NUMBERVALUE(RIGHT(Table20[[#This Row],[Min]],LEN(Table20[[#This Row],[Min]])-FIND("-",Table20[[#This Row],[Min]])))&gt;INDIRECT(ADDRESS(11+MATCH(LEFT(Table20[[#This Row],[Min]],FIND("-",Table20[[#This Row],[Min]])-1),Table1[Content Sku],0),18,1,1,"Entities")),"review","ok"),"ok")</f>
        <v>ok</v>
      </c>
    </row>
    <row r="610" spans="5:41" x14ac:dyDescent="0.25">
      <c r="E610" t="s">
        <v>393</v>
      </c>
      <c r="F610">
        <v>0</v>
      </c>
      <c r="G610">
        <v>0</v>
      </c>
      <c r="H610" t="s">
        <v>8</v>
      </c>
      <c r="I610" s="74" t="str">
        <f ca="1">IF(Table7[[#This Row],[Type]]="KILL",IF(_xlfn.NUMBERVALUE(RIGHT(Table7[[#This Row],[Min]],LEN(Table7[[#This Row],[Min]])-FIND("-",Table7[[#This Row],[Min]])))&gt;INDIRECT(ADDRESS(11+MATCH(LEFT(Table7[[#This Row],[Min]],FIND("-",Table7[[#This Row],[Min]])-1),Table1[Content Sku],0),16,1,1,"Entities")),"review","ok"),"ok")</f>
        <v>ok</v>
      </c>
      <c r="U610" t="s">
        <v>278</v>
      </c>
      <c r="V610">
        <v>25000</v>
      </c>
      <c r="W610">
        <v>0</v>
      </c>
      <c r="X610" t="s">
        <v>205</v>
      </c>
      <c r="Y610" s="74" t="str">
        <f ca="1">IF(Table15[[#This Row],[Type]]="KILL",IF(_xlfn.NUMBERVALUE(RIGHT(Table15[[#This Row],[Min]],LEN(Table15[[#This Row],[Min]])-FIND("-",Table15[[#This Row],[Min]])))&gt;INDIRECT(ADDRESS(11+MATCH(LEFT(Table15[[#This Row],[Min]],FIND("-",Table15[[#This Row],[Min]])-1),Table1[Content Sku],0),16,1,1,"Entities")),"review","ok"),"ok")</f>
        <v>ok</v>
      </c>
      <c r="AK610" t="s">
        <v>540</v>
      </c>
      <c r="AL610">
        <v>0</v>
      </c>
      <c r="AM610">
        <v>0</v>
      </c>
      <c r="AN610" t="s">
        <v>8</v>
      </c>
      <c r="AO610" s="74" t="str">
        <f ca="1">IF(Table20[[#This Row],[Type]]="KILL",IF(_xlfn.NUMBERVALUE(RIGHT(Table20[[#This Row],[Min]],LEN(Table20[[#This Row],[Min]])-FIND("-",Table20[[#This Row],[Min]])))&gt;INDIRECT(ADDRESS(11+MATCH(LEFT(Table20[[#This Row],[Min]],FIND("-",Table20[[#This Row],[Min]])-1),Table1[Content Sku],0),18,1,1,"Entities")),"review","ok"),"ok")</f>
        <v>ok</v>
      </c>
    </row>
    <row r="611" spans="5:41" x14ac:dyDescent="0.25">
      <c r="E611" t="s">
        <v>90</v>
      </c>
      <c r="F611">
        <v>0</v>
      </c>
      <c r="G611">
        <v>0</v>
      </c>
      <c r="H611" t="s">
        <v>8</v>
      </c>
      <c r="I611" s="74" t="str">
        <f ca="1">IF(Table7[[#This Row],[Type]]="KILL",IF(_xlfn.NUMBERVALUE(RIGHT(Table7[[#This Row],[Min]],LEN(Table7[[#This Row],[Min]])-FIND("-",Table7[[#This Row],[Min]])))&gt;INDIRECT(ADDRESS(11+MATCH(LEFT(Table7[[#This Row],[Min]],FIND("-",Table7[[#This Row],[Min]])-1),Table1[Content Sku],0),16,1,1,"Entities")),"review","ok"),"ok")</f>
        <v>ok</v>
      </c>
      <c r="U611" t="s">
        <v>311</v>
      </c>
      <c r="V611">
        <v>0</v>
      </c>
      <c r="W611">
        <v>0</v>
      </c>
      <c r="X611" t="s">
        <v>8</v>
      </c>
      <c r="Y611" s="74" t="str">
        <f ca="1">IF(Table15[[#This Row],[Type]]="KILL",IF(_xlfn.NUMBERVALUE(RIGHT(Table15[[#This Row],[Min]],LEN(Table15[[#This Row],[Min]])-FIND("-",Table15[[#This Row],[Min]])))&gt;INDIRECT(ADDRESS(11+MATCH(LEFT(Table15[[#This Row],[Min]],FIND("-",Table15[[#This Row],[Min]])-1),Table1[Content Sku],0),16,1,1,"Entities")),"review","ok"),"ok")</f>
        <v>ok</v>
      </c>
      <c r="AK611" t="s">
        <v>545</v>
      </c>
      <c r="AL611">
        <v>0</v>
      </c>
      <c r="AM611">
        <v>0</v>
      </c>
      <c r="AN611" t="s">
        <v>8</v>
      </c>
      <c r="AO611" s="74" t="str">
        <f ca="1">IF(Table20[[#This Row],[Type]]="KILL",IF(_xlfn.NUMBERVALUE(RIGHT(Table20[[#This Row],[Min]],LEN(Table20[[#This Row],[Min]])-FIND("-",Table20[[#This Row],[Min]])))&gt;INDIRECT(ADDRESS(11+MATCH(LEFT(Table20[[#This Row],[Min]],FIND("-",Table20[[#This Row],[Min]])-1),Table1[Content Sku],0),18,1,1,"Entities")),"review","ok"),"ok")</f>
        <v>ok</v>
      </c>
    </row>
    <row r="612" spans="5:41" x14ac:dyDescent="0.25">
      <c r="E612" t="s">
        <v>548</v>
      </c>
      <c r="F612">
        <v>0</v>
      </c>
      <c r="G612">
        <v>0</v>
      </c>
      <c r="H612" t="s">
        <v>8</v>
      </c>
      <c r="I612" s="74" t="str">
        <f ca="1">IF(Table7[[#This Row],[Type]]="KILL",IF(_xlfn.NUMBERVALUE(RIGHT(Table7[[#This Row],[Min]],LEN(Table7[[#This Row],[Min]])-FIND("-",Table7[[#This Row],[Min]])))&gt;INDIRECT(ADDRESS(11+MATCH(LEFT(Table7[[#This Row],[Min]],FIND("-",Table7[[#This Row],[Min]])-1),Table1[Content Sku],0),16,1,1,"Entities")),"review","ok"),"ok")</f>
        <v>ok</v>
      </c>
      <c r="U612" t="s">
        <v>313</v>
      </c>
      <c r="V612">
        <v>0</v>
      </c>
      <c r="W612">
        <v>0</v>
      </c>
      <c r="X612" t="s">
        <v>8</v>
      </c>
      <c r="Y612" s="74" t="str">
        <f ca="1">IF(Table15[[#This Row],[Type]]="KILL",IF(_xlfn.NUMBERVALUE(RIGHT(Table15[[#This Row],[Min]],LEN(Table15[[#This Row],[Min]])-FIND("-",Table15[[#This Row],[Min]])))&gt;INDIRECT(ADDRESS(11+MATCH(LEFT(Table15[[#This Row],[Min]],FIND("-",Table15[[#This Row],[Min]])-1),Table1[Content Sku],0),16,1,1,"Entities")),"review","ok"),"ok")</f>
        <v>ok</v>
      </c>
      <c r="AK612" t="s">
        <v>4428</v>
      </c>
      <c r="AL612">
        <v>0</v>
      </c>
      <c r="AM612">
        <v>0</v>
      </c>
      <c r="AN612" t="s">
        <v>8</v>
      </c>
      <c r="AO612" s="74" t="str">
        <f ca="1">IF(Table20[[#This Row],[Type]]="KILL",IF(_xlfn.NUMBERVALUE(RIGHT(Table20[[#This Row],[Min]],LEN(Table20[[#This Row],[Min]])-FIND("-",Table20[[#This Row],[Min]])))&gt;INDIRECT(ADDRESS(11+MATCH(LEFT(Table20[[#This Row],[Min]],FIND("-",Table20[[#This Row],[Min]])-1),Table1[Content Sku],0),18,1,1,"Entities")),"review","ok"),"ok")</f>
        <v>ok</v>
      </c>
    </row>
    <row r="613" spans="5:41" x14ac:dyDescent="0.25">
      <c r="E613" t="s">
        <v>393</v>
      </c>
      <c r="F613">
        <v>0</v>
      </c>
      <c r="G613">
        <v>0</v>
      </c>
      <c r="H613" t="s">
        <v>8</v>
      </c>
      <c r="I613" s="74" t="str">
        <f ca="1">IF(Table7[[#This Row],[Type]]="KILL",IF(_xlfn.NUMBERVALUE(RIGHT(Table7[[#This Row],[Min]],LEN(Table7[[#This Row],[Min]])-FIND("-",Table7[[#This Row],[Min]])))&gt;INDIRECT(ADDRESS(11+MATCH(LEFT(Table7[[#This Row],[Min]],FIND("-",Table7[[#This Row],[Min]])-1),Table1[Content Sku],0),16,1,1,"Entities")),"review","ok"),"ok")</f>
        <v>ok</v>
      </c>
      <c r="U613" t="s">
        <v>443</v>
      </c>
      <c r="V613">
        <v>240</v>
      </c>
      <c r="W613">
        <v>0</v>
      </c>
      <c r="X613" t="s">
        <v>4431</v>
      </c>
      <c r="Y613" s="74" t="str">
        <f ca="1">IF(Table15[[#This Row],[Type]]="KILL",IF(_xlfn.NUMBERVALUE(RIGHT(Table15[[#This Row],[Min]],LEN(Table15[[#This Row],[Min]])-FIND("-",Table15[[#This Row],[Min]])))&gt;INDIRECT(ADDRESS(11+MATCH(LEFT(Table15[[#This Row],[Min]],FIND("-",Table15[[#This Row],[Min]])-1),Table1[Content Sku],0),16,1,1,"Entities")),"review","ok"),"ok")</f>
        <v>ok</v>
      </c>
      <c r="AK613" t="s">
        <v>2741</v>
      </c>
      <c r="AL613">
        <v>0</v>
      </c>
      <c r="AM613">
        <v>0</v>
      </c>
      <c r="AN613" t="s">
        <v>8</v>
      </c>
      <c r="AO613" s="74" t="str">
        <f ca="1">IF(Table20[[#This Row],[Type]]="KILL",IF(_xlfn.NUMBERVALUE(RIGHT(Table20[[#This Row],[Min]],LEN(Table20[[#This Row],[Min]])-FIND("-",Table20[[#This Row],[Min]])))&gt;INDIRECT(ADDRESS(11+MATCH(LEFT(Table20[[#This Row],[Min]],FIND("-",Table20[[#This Row],[Min]])-1),Table1[Content Sku],0),18,1,1,"Entities")),"review","ok"),"ok")</f>
        <v>ok</v>
      </c>
    </row>
    <row r="614" spans="5:41" x14ac:dyDescent="0.25">
      <c r="E614" t="s">
        <v>280</v>
      </c>
      <c r="F614">
        <v>0</v>
      </c>
      <c r="G614">
        <v>0</v>
      </c>
      <c r="H614" t="s">
        <v>8</v>
      </c>
      <c r="I614" s="74" t="str">
        <f ca="1">IF(Table7[[#This Row],[Type]]="KILL",IF(_xlfn.NUMBERVALUE(RIGHT(Table7[[#This Row],[Min]],LEN(Table7[[#This Row],[Min]])-FIND("-",Table7[[#This Row],[Min]])))&gt;INDIRECT(ADDRESS(11+MATCH(LEFT(Table7[[#This Row],[Min]],FIND("-",Table7[[#This Row],[Min]])-1),Table1[Content Sku],0),16,1,1,"Entities")),"review","ok"),"ok")</f>
        <v>ok</v>
      </c>
      <c r="U614" t="s">
        <v>122</v>
      </c>
      <c r="V614">
        <v>20000</v>
      </c>
      <c r="W614">
        <v>0</v>
      </c>
      <c r="X614" t="s">
        <v>205</v>
      </c>
      <c r="Y614" s="74" t="str">
        <f ca="1">IF(Table15[[#This Row],[Type]]="KILL",IF(_xlfn.NUMBERVALUE(RIGHT(Table15[[#This Row],[Min]],LEN(Table15[[#This Row],[Min]])-FIND("-",Table15[[#This Row],[Min]])))&gt;INDIRECT(ADDRESS(11+MATCH(LEFT(Table15[[#This Row],[Min]],FIND("-",Table15[[#This Row],[Min]])-1),Table1[Content Sku],0),16,1,1,"Entities")),"review","ok"),"ok")</f>
        <v>ok</v>
      </c>
      <c r="AK614" t="s">
        <v>8103</v>
      </c>
      <c r="AL614">
        <v>50000</v>
      </c>
      <c r="AM614">
        <v>0</v>
      </c>
      <c r="AN614" t="s">
        <v>205</v>
      </c>
      <c r="AO614" s="74" t="str">
        <f ca="1">IF(Table20[[#This Row],[Type]]="KILL",IF(_xlfn.NUMBERVALUE(RIGHT(Table20[[#This Row],[Min]],LEN(Table20[[#This Row],[Min]])-FIND("-",Table20[[#This Row],[Min]])))&gt;INDIRECT(ADDRESS(11+MATCH(LEFT(Table20[[#This Row],[Min]],FIND("-",Table20[[#This Row],[Min]])-1),Table1[Content Sku],0),18,1,1,"Entities")),"review","ok"),"ok")</f>
        <v>ok</v>
      </c>
    </row>
    <row r="615" spans="5:41" x14ac:dyDescent="0.25">
      <c r="E615" t="s">
        <v>257</v>
      </c>
      <c r="F615">
        <v>10000</v>
      </c>
      <c r="G615">
        <v>53000</v>
      </c>
      <c r="H615" t="s">
        <v>205</v>
      </c>
      <c r="I615" s="74" t="str">
        <f ca="1">IF(Table7[[#This Row],[Type]]="KILL",IF(_xlfn.NUMBERVALUE(RIGHT(Table7[[#This Row],[Min]],LEN(Table7[[#This Row],[Min]])-FIND("-",Table7[[#This Row],[Min]])))&gt;INDIRECT(ADDRESS(11+MATCH(LEFT(Table7[[#This Row],[Min]],FIND("-",Table7[[#This Row],[Min]])-1),Table1[Content Sku],0),16,1,1,"Entities")),"review","ok"),"ok")</f>
        <v>ok</v>
      </c>
      <c r="U615" t="s">
        <v>309</v>
      </c>
      <c r="V615">
        <v>45000</v>
      </c>
      <c r="W615">
        <v>0</v>
      </c>
      <c r="X615" t="s">
        <v>205</v>
      </c>
      <c r="Y615" s="74" t="str">
        <f ca="1">IF(Table15[[#This Row],[Type]]="KILL",IF(_xlfn.NUMBERVALUE(RIGHT(Table15[[#This Row],[Min]],LEN(Table15[[#This Row],[Min]])-FIND("-",Table15[[#This Row],[Min]])))&gt;INDIRECT(ADDRESS(11+MATCH(LEFT(Table15[[#This Row],[Min]],FIND("-",Table15[[#This Row],[Min]])-1),Table1[Content Sku],0),16,1,1,"Entities")),"review","ok"),"ok")</f>
        <v>ok</v>
      </c>
      <c r="AK615" t="s">
        <v>2736</v>
      </c>
      <c r="AL615">
        <v>0</v>
      </c>
      <c r="AM615">
        <v>0</v>
      </c>
      <c r="AN615" t="s">
        <v>8</v>
      </c>
      <c r="AO615" s="74" t="str">
        <f ca="1">IF(Table20[[#This Row],[Type]]="KILL",IF(_xlfn.NUMBERVALUE(RIGHT(Table20[[#This Row],[Min]],LEN(Table20[[#This Row],[Min]])-FIND("-",Table20[[#This Row],[Min]])))&gt;INDIRECT(ADDRESS(11+MATCH(LEFT(Table20[[#This Row],[Min]],FIND("-",Table20[[#This Row],[Min]])-1),Table1[Content Sku],0),18,1,1,"Entities")),"review","ok"),"ok")</f>
        <v>ok</v>
      </c>
    </row>
    <row r="616" spans="5:41" x14ac:dyDescent="0.25">
      <c r="E616" t="s">
        <v>37</v>
      </c>
      <c r="F616">
        <v>0</v>
      </c>
      <c r="G616">
        <v>16000</v>
      </c>
      <c r="H616" t="s">
        <v>205</v>
      </c>
      <c r="I616" s="74" t="str">
        <f ca="1">IF(Table7[[#This Row],[Type]]="KILL",IF(_xlfn.NUMBERVALUE(RIGHT(Table7[[#This Row],[Min]],LEN(Table7[[#This Row],[Min]])-FIND("-",Table7[[#This Row],[Min]])))&gt;INDIRECT(ADDRESS(11+MATCH(LEFT(Table7[[#This Row],[Min]],FIND("-",Table7[[#This Row],[Min]])-1),Table1[Content Sku],0),16,1,1,"Entities")),"review","ok"),"ok")</f>
        <v>ok</v>
      </c>
      <c r="U616" t="s">
        <v>293</v>
      </c>
      <c r="V616">
        <v>0</v>
      </c>
      <c r="W616">
        <v>0</v>
      </c>
      <c r="X616" t="s">
        <v>8</v>
      </c>
      <c r="Y616" s="74" t="str">
        <f ca="1">IF(Table15[[#This Row],[Type]]="KILL",IF(_xlfn.NUMBERVALUE(RIGHT(Table15[[#This Row],[Min]],LEN(Table15[[#This Row],[Min]])-FIND("-",Table15[[#This Row],[Min]])))&gt;INDIRECT(ADDRESS(11+MATCH(LEFT(Table15[[#This Row],[Min]],FIND("-",Table15[[#This Row],[Min]])-1),Table1[Content Sku],0),16,1,1,"Entities")),"review","ok"),"ok")</f>
        <v>ok</v>
      </c>
      <c r="AK616" t="s">
        <v>37</v>
      </c>
      <c r="AL616">
        <v>0</v>
      </c>
      <c r="AM616">
        <v>0</v>
      </c>
      <c r="AN616" t="s">
        <v>8</v>
      </c>
      <c r="AO616" s="74" t="str">
        <f ca="1">IF(Table20[[#This Row],[Type]]="KILL",IF(_xlfn.NUMBERVALUE(RIGHT(Table20[[#This Row],[Min]],LEN(Table20[[#This Row],[Min]])-FIND("-",Table20[[#This Row],[Min]])))&gt;INDIRECT(ADDRESS(11+MATCH(LEFT(Table20[[#This Row],[Min]],FIND("-",Table20[[#This Row],[Min]])-1),Table1[Content Sku],0),18,1,1,"Entities")),"review","ok"),"ok")</f>
        <v>ok</v>
      </c>
    </row>
    <row r="617" spans="5:41" x14ac:dyDescent="0.25">
      <c r="E617" t="s">
        <v>313</v>
      </c>
      <c r="F617">
        <v>0</v>
      </c>
      <c r="G617">
        <v>0</v>
      </c>
      <c r="H617" t="s">
        <v>8</v>
      </c>
      <c r="I617" s="74" t="str">
        <f ca="1">IF(Table7[[#This Row],[Type]]="KILL",IF(_xlfn.NUMBERVALUE(RIGHT(Table7[[#This Row],[Min]],LEN(Table7[[#This Row],[Min]])-FIND("-",Table7[[#This Row],[Min]])))&gt;INDIRECT(ADDRESS(11+MATCH(LEFT(Table7[[#This Row],[Min]],FIND("-",Table7[[#This Row],[Min]])-1),Table1[Content Sku],0),16,1,1,"Entities")),"review","ok"),"ok")</f>
        <v>ok</v>
      </c>
      <c r="U617" t="s">
        <v>2741</v>
      </c>
      <c r="V617">
        <v>0</v>
      </c>
      <c r="W617">
        <v>0</v>
      </c>
      <c r="X617" t="s">
        <v>8</v>
      </c>
      <c r="Y617" s="74" t="str">
        <f ca="1">IF(Table15[[#This Row],[Type]]="KILL",IF(_xlfn.NUMBERVALUE(RIGHT(Table15[[#This Row],[Min]],LEN(Table15[[#This Row],[Min]])-FIND("-",Table15[[#This Row],[Min]])))&gt;INDIRECT(ADDRESS(11+MATCH(LEFT(Table15[[#This Row],[Min]],FIND("-",Table15[[#This Row],[Min]])-1),Table1[Content Sku],0),16,1,1,"Entities")),"review","ok"),"ok")</f>
        <v>ok</v>
      </c>
      <c r="AK617" t="s">
        <v>2673</v>
      </c>
      <c r="AL617">
        <v>32000</v>
      </c>
      <c r="AM617">
        <v>0</v>
      </c>
      <c r="AN617" t="s">
        <v>205</v>
      </c>
      <c r="AO617" s="74" t="str">
        <f ca="1">IF(Table20[[#This Row],[Type]]="KILL",IF(_xlfn.NUMBERVALUE(RIGHT(Table20[[#This Row],[Min]],LEN(Table20[[#This Row],[Min]])-FIND("-",Table20[[#This Row],[Min]])))&gt;INDIRECT(ADDRESS(11+MATCH(LEFT(Table20[[#This Row],[Min]],FIND("-",Table20[[#This Row],[Min]])-1),Table1[Content Sku],0),18,1,1,"Entities")),"review","ok"),"ok")</f>
        <v>ok</v>
      </c>
    </row>
    <row r="618" spans="5:41" x14ac:dyDescent="0.25">
      <c r="E618" t="s">
        <v>92</v>
      </c>
      <c r="F618">
        <v>0</v>
      </c>
      <c r="G618">
        <v>0</v>
      </c>
      <c r="H618" t="s">
        <v>8</v>
      </c>
      <c r="I618" s="74" t="str">
        <f ca="1">IF(Table7[[#This Row],[Type]]="KILL",IF(_xlfn.NUMBERVALUE(RIGHT(Table7[[#This Row],[Min]],LEN(Table7[[#This Row],[Min]])-FIND("-",Table7[[#This Row],[Min]])))&gt;INDIRECT(ADDRESS(11+MATCH(LEFT(Table7[[#This Row],[Min]],FIND("-",Table7[[#This Row],[Min]])-1),Table1[Content Sku],0),16,1,1,"Entities")),"review","ok"),"ok")</f>
        <v>ok</v>
      </c>
      <c r="U618" t="s">
        <v>1</v>
      </c>
      <c r="V618">
        <v>25000</v>
      </c>
      <c r="W618">
        <v>0</v>
      </c>
      <c r="X618" t="s">
        <v>205</v>
      </c>
      <c r="Y618" s="74" t="str">
        <f ca="1">IF(Table15[[#This Row],[Type]]="KILL",IF(_xlfn.NUMBERVALUE(RIGHT(Table15[[#This Row],[Min]],LEN(Table15[[#This Row],[Min]])-FIND("-",Table15[[#This Row],[Min]])))&gt;INDIRECT(ADDRESS(11+MATCH(LEFT(Table15[[#This Row],[Min]],FIND("-",Table15[[#This Row],[Min]])-1),Table1[Content Sku],0),16,1,1,"Entities")),"review","ok"),"ok")</f>
        <v>ok</v>
      </c>
      <c r="AK618" t="s">
        <v>37</v>
      </c>
      <c r="AL618">
        <v>0</v>
      </c>
      <c r="AM618">
        <v>0</v>
      </c>
      <c r="AN618" t="s">
        <v>8</v>
      </c>
      <c r="AO618" s="74" t="str">
        <f ca="1">IF(Table20[[#This Row],[Type]]="KILL",IF(_xlfn.NUMBERVALUE(RIGHT(Table20[[#This Row],[Min]],LEN(Table20[[#This Row],[Min]])-FIND("-",Table20[[#This Row],[Min]])))&gt;INDIRECT(ADDRESS(11+MATCH(LEFT(Table20[[#This Row],[Min]],FIND("-",Table20[[#This Row],[Min]])-1),Table1[Content Sku],0),18,1,1,"Entities")),"review","ok"),"ok")</f>
        <v>ok</v>
      </c>
    </row>
    <row r="619" spans="5:41" x14ac:dyDescent="0.25">
      <c r="E619" t="s">
        <v>41</v>
      </c>
      <c r="F619">
        <v>40000</v>
      </c>
      <c r="G619">
        <v>0</v>
      </c>
      <c r="H619" t="s">
        <v>205</v>
      </c>
      <c r="I619" s="74" t="str">
        <f ca="1">IF(Table7[[#This Row],[Type]]="KILL",IF(_xlfn.NUMBERVALUE(RIGHT(Table7[[#This Row],[Min]],LEN(Table7[[#This Row],[Min]])-FIND("-",Table7[[#This Row],[Min]])))&gt;INDIRECT(ADDRESS(11+MATCH(LEFT(Table7[[#This Row],[Min]],FIND("-",Table7[[#This Row],[Min]])-1),Table1[Content Sku],0),16,1,1,"Entities")),"review","ok"),"ok")</f>
        <v>ok</v>
      </c>
      <c r="U619" t="s">
        <v>315</v>
      </c>
      <c r="V619">
        <v>0</v>
      </c>
      <c r="W619">
        <v>0</v>
      </c>
      <c r="X619" t="s">
        <v>8</v>
      </c>
      <c r="Y619" s="74" t="str">
        <f ca="1">IF(Table15[[#This Row],[Type]]="KILL",IF(_xlfn.NUMBERVALUE(RIGHT(Table15[[#This Row],[Min]],LEN(Table15[[#This Row],[Min]])-FIND("-",Table15[[#This Row],[Min]])))&gt;INDIRECT(ADDRESS(11+MATCH(LEFT(Table15[[#This Row],[Min]],FIND("-",Table15[[#This Row],[Min]])-1),Table1[Content Sku],0),16,1,1,"Entities")),"review","ok"),"ok")</f>
        <v>ok</v>
      </c>
      <c r="AK619" t="s">
        <v>258</v>
      </c>
      <c r="AL619">
        <v>38000</v>
      </c>
      <c r="AM619">
        <v>0</v>
      </c>
      <c r="AN619" t="s">
        <v>205</v>
      </c>
      <c r="AO619" s="74" t="str">
        <f ca="1">IF(Table20[[#This Row],[Type]]="KILL",IF(_xlfn.NUMBERVALUE(RIGHT(Table20[[#This Row],[Min]],LEN(Table20[[#This Row],[Min]])-FIND("-",Table20[[#This Row],[Min]])))&gt;INDIRECT(ADDRESS(11+MATCH(LEFT(Table20[[#This Row],[Min]],FIND("-",Table20[[#This Row],[Min]])-1),Table1[Content Sku],0),18,1,1,"Entities")),"review","ok"),"ok")</f>
        <v>ok</v>
      </c>
    </row>
    <row r="620" spans="5:41" x14ac:dyDescent="0.25">
      <c r="E620" t="s">
        <v>418</v>
      </c>
      <c r="F620">
        <v>0</v>
      </c>
      <c r="G620">
        <v>0</v>
      </c>
      <c r="H620" t="s">
        <v>8</v>
      </c>
      <c r="I620" s="74" t="str">
        <f ca="1">IF(Table7[[#This Row],[Type]]="KILL",IF(_xlfn.NUMBERVALUE(RIGHT(Table7[[#This Row],[Min]],LEN(Table7[[#This Row],[Min]])-FIND("-",Table7[[#This Row],[Min]])))&gt;INDIRECT(ADDRESS(11+MATCH(LEFT(Table7[[#This Row],[Min]],FIND("-",Table7[[#This Row],[Min]])-1),Table1[Content Sku],0),16,1,1,"Entities")),"review","ok"),"ok")</f>
        <v>ok</v>
      </c>
      <c r="U620" t="s">
        <v>318</v>
      </c>
      <c r="V620">
        <v>0</v>
      </c>
      <c r="W620">
        <v>0</v>
      </c>
      <c r="X620" t="s">
        <v>8</v>
      </c>
      <c r="Y620" s="74" t="str">
        <f ca="1">IF(Table15[[#This Row],[Type]]="KILL",IF(_xlfn.NUMBERVALUE(RIGHT(Table15[[#This Row],[Min]],LEN(Table15[[#This Row],[Min]])-FIND("-",Table15[[#This Row],[Min]])))&gt;INDIRECT(ADDRESS(11+MATCH(LEFT(Table15[[#This Row],[Min]],FIND("-",Table15[[#This Row],[Min]])-1),Table1[Content Sku],0),16,1,1,"Entities")),"review","ok"),"ok")</f>
        <v>ok</v>
      </c>
      <c r="AK620" t="s">
        <v>2663</v>
      </c>
      <c r="AL620">
        <v>0</v>
      </c>
      <c r="AM620">
        <v>30000</v>
      </c>
      <c r="AN620" t="s">
        <v>205</v>
      </c>
      <c r="AO620" s="74" t="str">
        <f ca="1">IF(Table20[[#This Row],[Type]]="KILL",IF(_xlfn.NUMBERVALUE(RIGHT(Table20[[#This Row],[Min]],LEN(Table20[[#This Row],[Min]])-FIND("-",Table20[[#This Row],[Min]])))&gt;INDIRECT(ADDRESS(11+MATCH(LEFT(Table20[[#This Row],[Min]],FIND("-",Table20[[#This Row],[Min]])-1),Table1[Content Sku],0),18,1,1,"Entities")),"review","ok"),"ok")</f>
        <v>ok</v>
      </c>
    </row>
    <row r="621" spans="5:41" x14ac:dyDescent="0.25">
      <c r="E621" t="s">
        <v>123</v>
      </c>
      <c r="F621">
        <v>0</v>
      </c>
      <c r="G621">
        <v>0</v>
      </c>
      <c r="H621" t="s">
        <v>8</v>
      </c>
      <c r="I621" s="74" t="str">
        <f ca="1">IF(Table7[[#This Row],[Type]]="KILL",IF(_xlfn.NUMBERVALUE(RIGHT(Table7[[#This Row],[Min]],LEN(Table7[[#This Row],[Min]])-FIND("-",Table7[[#This Row],[Min]])))&gt;INDIRECT(ADDRESS(11+MATCH(LEFT(Table7[[#This Row],[Min]],FIND("-",Table7[[#This Row],[Min]])-1),Table1[Content Sku],0),16,1,1,"Entities")),"review","ok"),"ok")</f>
        <v>ok</v>
      </c>
      <c r="U621" t="s">
        <v>391</v>
      </c>
      <c r="V621">
        <v>0</v>
      </c>
      <c r="W621">
        <v>0</v>
      </c>
      <c r="X621" t="s">
        <v>8</v>
      </c>
      <c r="Y621" s="74" t="str">
        <f ca="1">IF(Table15[[#This Row],[Type]]="KILL",IF(_xlfn.NUMBERVALUE(RIGHT(Table15[[#This Row],[Min]],LEN(Table15[[#This Row],[Min]])-FIND("-",Table15[[#This Row],[Min]])))&gt;INDIRECT(ADDRESS(11+MATCH(LEFT(Table15[[#This Row],[Min]],FIND("-",Table15[[#This Row],[Min]])-1),Table1[Content Sku],0),16,1,1,"Entities")),"review","ok"),"ok")</f>
        <v>ok</v>
      </c>
      <c r="AK621" t="s">
        <v>482</v>
      </c>
      <c r="AL621">
        <v>0</v>
      </c>
      <c r="AM621">
        <v>0</v>
      </c>
      <c r="AN621" t="s">
        <v>8</v>
      </c>
      <c r="AO621" s="74" t="str">
        <f ca="1">IF(Table20[[#This Row],[Type]]="KILL",IF(_xlfn.NUMBERVALUE(RIGHT(Table20[[#This Row],[Min]],LEN(Table20[[#This Row],[Min]])-FIND("-",Table20[[#This Row],[Min]])))&gt;INDIRECT(ADDRESS(11+MATCH(LEFT(Table20[[#This Row],[Min]],FIND("-",Table20[[#This Row],[Min]])-1),Table1[Content Sku],0),18,1,1,"Entities")),"review","ok"),"ok")</f>
        <v>ok</v>
      </c>
    </row>
    <row r="622" spans="5:41" x14ac:dyDescent="0.25">
      <c r="E622" t="s">
        <v>254</v>
      </c>
      <c r="F622">
        <v>0</v>
      </c>
      <c r="G622">
        <v>0</v>
      </c>
      <c r="H622" t="s">
        <v>8</v>
      </c>
      <c r="I622" s="74" t="str">
        <f ca="1">IF(Table7[[#This Row],[Type]]="KILL",IF(_xlfn.NUMBERVALUE(RIGHT(Table7[[#This Row],[Min]],LEN(Table7[[#This Row],[Min]])-FIND("-",Table7[[#This Row],[Min]])))&gt;INDIRECT(ADDRESS(11+MATCH(LEFT(Table7[[#This Row],[Min]],FIND("-",Table7[[#This Row],[Min]])-1),Table1[Content Sku],0),16,1,1,"Entities")),"review","ok"),"ok")</f>
        <v>ok</v>
      </c>
      <c r="U622" t="s">
        <v>51</v>
      </c>
      <c r="V622">
        <v>35000</v>
      </c>
      <c r="W622">
        <v>0</v>
      </c>
      <c r="X622" t="s">
        <v>205</v>
      </c>
      <c r="Y622" s="74" t="str">
        <f ca="1">IF(Table15[[#This Row],[Type]]="KILL",IF(_xlfn.NUMBERVALUE(RIGHT(Table15[[#This Row],[Min]],LEN(Table15[[#This Row],[Min]])-FIND("-",Table15[[#This Row],[Min]])))&gt;INDIRECT(ADDRESS(11+MATCH(LEFT(Table15[[#This Row],[Min]],FIND("-",Table15[[#This Row],[Min]])-1),Table1[Content Sku],0),16,1,1,"Entities")),"review","ok"),"ok")</f>
        <v>ok</v>
      </c>
      <c r="AK622" t="s">
        <v>2669</v>
      </c>
      <c r="AL622">
        <v>0</v>
      </c>
      <c r="AM622">
        <v>0</v>
      </c>
      <c r="AN622" t="s">
        <v>8</v>
      </c>
      <c r="AO622" s="74" t="str">
        <f ca="1">IF(Table20[[#This Row],[Type]]="KILL",IF(_xlfn.NUMBERVALUE(RIGHT(Table20[[#This Row],[Min]],LEN(Table20[[#This Row],[Min]])-FIND("-",Table20[[#This Row],[Min]])))&gt;INDIRECT(ADDRESS(11+MATCH(LEFT(Table20[[#This Row],[Min]],FIND("-",Table20[[#This Row],[Min]])-1),Table1[Content Sku],0),18,1,1,"Entities")),"review","ok"),"ok")</f>
        <v>ok</v>
      </c>
    </row>
    <row r="623" spans="5:41" x14ac:dyDescent="0.25">
      <c r="E623" t="s">
        <v>393</v>
      </c>
      <c r="F623">
        <v>0</v>
      </c>
      <c r="G623">
        <v>0</v>
      </c>
      <c r="H623" t="s">
        <v>8</v>
      </c>
      <c r="I623" s="74" t="str">
        <f ca="1">IF(Table7[[#This Row],[Type]]="KILL",IF(_xlfn.NUMBERVALUE(RIGHT(Table7[[#This Row],[Min]],LEN(Table7[[#This Row],[Min]])-FIND("-",Table7[[#This Row],[Min]])))&gt;INDIRECT(ADDRESS(11+MATCH(LEFT(Table7[[#This Row],[Min]],FIND("-",Table7[[#This Row],[Min]])-1),Table1[Content Sku],0),16,1,1,"Entities")),"review","ok"),"ok")</f>
        <v>ok</v>
      </c>
      <c r="U623" t="s">
        <v>95</v>
      </c>
      <c r="V623">
        <v>20000</v>
      </c>
      <c r="W623">
        <v>0</v>
      </c>
      <c r="X623" t="s">
        <v>205</v>
      </c>
      <c r="Y623" s="74" t="str">
        <f ca="1">IF(Table15[[#This Row],[Type]]="KILL",IF(_xlfn.NUMBERVALUE(RIGHT(Table15[[#This Row],[Min]],LEN(Table15[[#This Row],[Min]])-FIND("-",Table15[[#This Row],[Min]])))&gt;INDIRECT(ADDRESS(11+MATCH(LEFT(Table15[[#This Row],[Min]],FIND("-",Table15[[#This Row],[Min]])-1),Table1[Content Sku],0),16,1,1,"Entities")),"review","ok"),"ok")</f>
        <v>ok</v>
      </c>
      <c r="AK623" t="s">
        <v>2662</v>
      </c>
      <c r="AL623">
        <v>33000</v>
      </c>
      <c r="AM623">
        <v>0</v>
      </c>
      <c r="AN623" t="s">
        <v>205</v>
      </c>
      <c r="AO623" s="74" t="str">
        <f ca="1">IF(Table20[[#This Row],[Type]]="KILL",IF(_xlfn.NUMBERVALUE(RIGHT(Table20[[#This Row],[Min]],LEN(Table20[[#This Row],[Min]])-FIND("-",Table20[[#This Row],[Min]])))&gt;INDIRECT(ADDRESS(11+MATCH(LEFT(Table20[[#This Row],[Min]],FIND("-",Table20[[#This Row],[Min]])-1),Table1[Content Sku],0),18,1,1,"Entities")),"review","ok"),"ok")</f>
        <v>ok</v>
      </c>
    </row>
    <row r="624" spans="5:41" x14ac:dyDescent="0.25">
      <c r="E624" t="s">
        <v>313</v>
      </c>
      <c r="F624">
        <v>0</v>
      </c>
      <c r="G624">
        <v>25000</v>
      </c>
      <c r="H624" t="s">
        <v>205</v>
      </c>
      <c r="I624" s="74" t="str">
        <f ca="1">IF(Table7[[#This Row],[Type]]="KILL",IF(_xlfn.NUMBERVALUE(RIGHT(Table7[[#This Row],[Min]],LEN(Table7[[#This Row],[Min]])-FIND("-",Table7[[#This Row],[Min]])))&gt;INDIRECT(ADDRESS(11+MATCH(LEFT(Table7[[#This Row],[Min]],FIND("-",Table7[[#This Row],[Min]])-1),Table1[Content Sku],0),16,1,1,"Entities")),"review","ok"),"ok")</f>
        <v>ok</v>
      </c>
      <c r="U624" t="s">
        <v>2723</v>
      </c>
      <c r="V624">
        <v>0</v>
      </c>
      <c r="W624">
        <v>0</v>
      </c>
      <c r="X624" t="s">
        <v>8</v>
      </c>
      <c r="Y624" s="74" t="str">
        <f ca="1">IF(Table15[[#This Row],[Type]]="KILL",IF(_xlfn.NUMBERVALUE(RIGHT(Table15[[#This Row],[Min]],LEN(Table15[[#This Row],[Min]])-FIND("-",Table15[[#This Row],[Min]])))&gt;INDIRECT(ADDRESS(11+MATCH(LEFT(Table15[[#This Row],[Min]],FIND("-",Table15[[#This Row],[Min]])-1),Table1[Content Sku],0),16,1,1,"Entities")),"review","ok"),"ok")</f>
        <v>ok</v>
      </c>
      <c r="AK624" t="s">
        <v>137</v>
      </c>
      <c r="AL624">
        <v>0</v>
      </c>
      <c r="AM624">
        <v>0</v>
      </c>
      <c r="AN624" t="s">
        <v>8</v>
      </c>
      <c r="AO624" s="74" t="str">
        <f ca="1">IF(Table20[[#This Row],[Type]]="KILL",IF(_xlfn.NUMBERVALUE(RIGHT(Table20[[#This Row],[Min]],LEN(Table20[[#This Row],[Min]])-FIND("-",Table20[[#This Row],[Min]])))&gt;INDIRECT(ADDRESS(11+MATCH(LEFT(Table20[[#This Row],[Min]],FIND("-",Table20[[#This Row],[Min]])-1),Table1[Content Sku],0),18,1,1,"Entities")),"review","ok"),"ok")</f>
        <v>ok</v>
      </c>
    </row>
    <row r="625" spans="5:41" x14ac:dyDescent="0.25">
      <c r="E625" t="s">
        <v>273</v>
      </c>
      <c r="F625">
        <v>0</v>
      </c>
      <c r="G625">
        <v>0</v>
      </c>
      <c r="H625" t="s">
        <v>8</v>
      </c>
      <c r="I625" s="74" t="str">
        <f ca="1">IF(Table7[[#This Row],[Type]]="KILL",IF(_xlfn.NUMBERVALUE(RIGHT(Table7[[#This Row],[Min]],LEN(Table7[[#This Row],[Min]])-FIND("-",Table7[[#This Row],[Min]])))&gt;INDIRECT(ADDRESS(11+MATCH(LEFT(Table7[[#This Row],[Min]],FIND("-",Table7[[#This Row],[Min]])-1),Table1[Content Sku],0),16,1,1,"Entities")),"review","ok"),"ok")</f>
        <v>ok</v>
      </c>
      <c r="U625" t="s">
        <v>393</v>
      </c>
      <c r="V625">
        <v>0</v>
      </c>
      <c r="W625">
        <v>45000</v>
      </c>
      <c r="X625" t="s">
        <v>205</v>
      </c>
      <c r="Y625" s="74" t="str">
        <f ca="1">IF(Table15[[#This Row],[Type]]="KILL",IF(_xlfn.NUMBERVALUE(RIGHT(Table15[[#This Row],[Min]],LEN(Table15[[#This Row],[Min]])-FIND("-",Table15[[#This Row],[Min]])))&gt;INDIRECT(ADDRESS(11+MATCH(LEFT(Table15[[#This Row],[Min]],FIND("-",Table15[[#This Row],[Min]])-1),Table1[Content Sku],0),16,1,1,"Entities")),"review","ok"),"ok")</f>
        <v>ok</v>
      </c>
      <c r="AK625" t="s">
        <v>50</v>
      </c>
      <c r="AL625">
        <v>35000</v>
      </c>
      <c r="AM625">
        <v>0</v>
      </c>
      <c r="AN625" t="s">
        <v>205</v>
      </c>
      <c r="AO625" s="74" t="str">
        <f ca="1">IF(Table20[[#This Row],[Type]]="KILL",IF(_xlfn.NUMBERVALUE(RIGHT(Table20[[#This Row],[Min]],LEN(Table20[[#This Row],[Min]])-FIND("-",Table20[[#This Row],[Min]])))&gt;INDIRECT(ADDRESS(11+MATCH(LEFT(Table20[[#This Row],[Min]],FIND("-",Table20[[#This Row],[Min]])-1),Table1[Content Sku],0),18,1,1,"Entities")),"review","ok"),"ok")</f>
        <v>ok</v>
      </c>
    </row>
    <row r="626" spans="5:41" x14ac:dyDescent="0.25">
      <c r="E626" t="s">
        <v>254</v>
      </c>
      <c r="F626">
        <v>0</v>
      </c>
      <c r="G626">
        <v>0</v>
      </c>
      <c r="H626" t="s">
        <v>8</v>
      </c>
      <c r="I626" s="74" t="str">
        <f ca="1">IF(Table7[[#This Row],[Type]]="KILL",IF(_xlfn.NUMBERVALUE(RIGHT(Table7[[#This Row],[Min]],LEN(Table7[[#This Row],[Min]])-FIND("-",Table7[[#This Row],[Min]])))&gt;INDIRECT(ADDRESS(11+MATCH(LEFT(Table7[[#This Row],[Min]],FIND("-",Table7[[#This Row],[Min]])-1),Table1[Content Sku],0),16,1,1,"Entities")),"review","ok"),"ok")</f>
        <v>ok</v>
      </c>
      <c r="U626" t="s">
        <v>393</v>
      </c>
      <c r="V626">
        <v>0</v>
      </c>
      <c r="W626">
        <v>38000</v>
      </c>
      <c r="X626" t="s">
        <v>205</v>
      </c>
      <c r="Y626" s="74" t="str">
        <f ca="1">IF(Table15[[#This Row],[Type]]="KILL",IF(_xlfn.NUMBERVALUE(RIGHT(Table15[[#This Row],[Min]],LEN(Table15[[#This Row],[Min]])-FIND("-",Table15[[#This Row],[Min]])))&gt;INDIRECT(ADDRESS(11+MATCH(LEFT(Table15[[#This Row],[Min]],FIND("-",Table15[[#This Row],[Min]])-1),Table1[Content Sku],0),16,1,1,"Entities")),"review","ok"),"ok")</f>
        <v>ok</v>
      </c>
      <c r="AK626" t="s">
        <v>2767</v>
      </c>
      <c r="AL626">
        <v>0</v>
      </c>
      <c r="AM626">
        <v>0</v>
      </c>
      <c r="AN626" t="s">
        <v>8</v>
      </c>
      <c r="AO626" s="74" t="str">
        <f ca="1">IF(Table20[[#This Row],[Type]]="KILL",IF(_xlfn.NUMBERVALUE(RIGHT(Table20[[#This Row],[Min]],LEN(Table20[[#This Row],[Min]])-FIND("-",Table20[[#This Row],[Min]])))&gt;INDIRECT(ADDRESS(11+MATCH(LEFT(Table20[[#This Row],[Min]],FIND("-",Table20[[#This Row],[Min]])-1),Table1[Content Sku],0),18,1,1,"Entities")),"review","ok"),"ok")</f>
        <v>ok</v>
      </c>
    </row>
    <row r="627" spans="5:41" x14ac:dyDescent="0.25">
      <c r="E627" t="s">
        <v>39</v>
      </c>
      <c r="F627">
        <v>0</v>
      </c>
      <c r="G627">
        <v>0</v>
      </c>
      <c r="H627" t="s">
        <v>8</v>
      </c>
      <c r="I627" s="74" t="str">
        <f ca="1">IF(Table7[[#This Row],[Type]]="KILL",IF(_xlfn.NUMBERVALUE(RIGHT(Table7[[#This Row],[Min]],LEN(Table7[[#This Row],[Min]])-FIND("-",Table7[[#This Row],[Min]])))&gt;INDIRECT(ADDRESS(11+MATCH(LEFT(Table7[[#This Row],[Min]],FIND("-",Table7[[#This Row],[Min]])-1),Table1[Content Sku],0),16,1,1,"Entities")),"review","ok"),"ok")</f>
        <v>ok</v>
      </c>
      <c r="U627" t="s">
        <v>253</v>
      </c>
      <c r="V627">
        <v>0</v>
      </c>
      <c r="W627">
        <v>0</v>
      </c>
      <c r="X627" t="s">
        <v>8</v>
      </c>
      <c r="Y627" s="74" t="str">
        <f ca="1">IF(Table15[[#This Row],[Type]]="KILL",IF(_xlfn.NUMBERVALUE(RIGHT(Table15[[#This Row],[Min]],LEN(Table15[[#This Row],[Min]])-FIND("-",Table15[[#This Row],[Min]])))&gt;INDIRECT(ADDRESS(11+MATCH(LEFT(Table15[[#This Row],[Min]],FIND("-",Table15[[#This Row],[Min]])-1),Table1[Content Sku],0),16,1,1,"Entities")),"review","ok"),"ok")</f>
        <v>ok</v>
      </c>
      <c r="AK627" t="s">
        <v>51</v>
      </c>
      <c r="AL627">
        <v>38000</v>
      </c>
      <c r="AM627">
        <v>0</v>
      </c>
      <c r="AN627" t="s">
        <v>205</v>
      </c>
      <c r="AO627" s="74" t="str">
        <f ca="1">IF(Table20[[#This Row],[Type]]="KILL",IF(_xlfn.NUMBERVALUE(RIGHT(Table20[[#This Row],[Min]],LEN(Table20[[#This Row],[Min]])-FIND("-",Table20[[#This Row],[Min]])))&gt;INDIRECT(ADDRESS(11+MATCH(LEFT(Table20[[#This Row],[Min]],FIND("-",Table20[[#This Row],[Min]])-1),Table1[Content Sku],0),18,1,1,"Entities")),"review","ok"),"ok")</f>
        <v>ok</v>
      </c>
    </row>
    <row r="628" spans="5:41" x14ac:dyDescent="0.25">
      <c r="E628" t="s">
        <v>338</v>
      </c>
      <c r="F628">
        <v>0</v>
      </c>
      <c r="G628">
        <v>0</v>
      </c>
      <c r="H628" t="s">
        <v>8</v>
      </c>
      <c r="I628" s="74" t="str">
        <f ca="1">IF(Table7[[#This Row],[Type]]="KILL",IF(_xlfn.NUMBERVALUE(RIGHT(Table7[[#This Row],[Min]],LEN(Table7[[#This Row],[Min]])-FIND("-",Table7[[#This Row],[Min]])))&gt;INDIRECT(ADDRESS(11+MATCH(LEFT(Table7[[#This Row],[Min]],FIND("-",Table7[[#This Row],[Min]])-1),Table1[Content Sku],0),16,1,1,"Entities")),"review","ok"),"ok")</f>
        <v>ok</v>
      </c>
      <c r="U628" t="s">
        <v>392</v>
      </c>
      <c r="V628">
        <v>0</v>
      </c>
      <c r="W628">
        <v>27000</v>
      </c>
      <c r="X628" t="s">
        <v>205</v>
      </c>
      <c r="Y628" s="74" t="str">
        <f ca="1">IF(Table15[[#This Row],[Type]]="KILL",IF(_xlfn.NUMBERVALUE(RIGHT(Table15[[#This Row],[Min]],LEN(Table15[[#This Row],[Min]])-FIND("-",Table15[[#This Row],[Min]])))&gt;INDIRECT(ADDRESS(11+MATCH(LEFT(Table15[[#This Row],[Min]],FIND("-",Table15[[#This Row],[Min]])-1),Table1[Content Sku],0),16,1,1,"Entities")),"review","ok"),"ok")</f>
        <v>ok</v>
      </c>
      <c r="AK628" t="s">
        <v>482</v>
      </c>
      <c r="AL628">
        <v>0</v>
      </c>
      <c r="AM628">
        <v>0</v>
      </c>
      <c r="AN628" t="s">
        <v>8</v>
      </c>
      <c r="AO628" s="74" t="str">
        <f ca="1">IF(Table20[[#This Row],[Type]]="KILL",IF(_xlfn.NUMBERVALUE(RIGHT(Table20[[#This Row],[Min]],LEN(Table20[[#This Row],[Min]])-FIND("-",Table20[[#This Row],[Min]])))&gt;INDIRECT(ADDRESS(11+MATCH(LEFT(Table20[[#This Row],[Min]],FIND("-",Table20[[#This Row],[Min]])-1),Table1[Content Sku],0),18,1,1,"Entities")),"review","ok"),"ok")</f>
        <v>ok</v>
      </c>
    </row>
    <row r="629" spans="5:41" x14ac:dyDescent="0.25">
      <c r="E629" t="s">
        <v>91</v>
      </c>
      <c r="F629">
        <v>4000</v>
      </c>
      <c r="G629">
        <v>0</v>
      </c>
      <c r="H629" t="s">
        <v>205</v>
      </c>
      <c r="I629" s="74" t="str">
        <f ca="1">IF(Table7[[#This Row],[Type]]="KILL",IF(_xlfn.NUMBERVALUE(RIGHT(Table7[[#This Row],[Min]],LEN(Table7[[#This Row],[Min]])-FIND("-",Table7[[#This Row],[Min]])))&gt;INDIRECT(ADDRESS(11+MATCH(LEFT(Table7[[#This Row],[Min]],FIND("-",Table7[[#This Row],[Min]])-1),Table1[Content Sku],0),16,1,1,"Entities")),"review","ok"),"ok")</f>
        <v>ok</v>
      </c>
      <c r="U629" t="s">
        <v>403</v>
      </c>
      <c r="V629">
        <v>0</v>
      </c>
      <c r="W629">
        <v>0</v>
      </c>
      <c r="X629" t="s">
        <v>8</v>
      </c>
      <c r="Y629" s="74" t="str">
        <f ca="1">IF(Table15[[#This Row],[Type]]="KILL",IF(_xlfn.NUMBERVALUE(RIGHT(Table15[[#This Row],[Min]],LEN(Table15[[#This Row],[Min]])-FIND("-",Table15[[#This Row],[Min]])))&gt;INDIRECT(ADDRESS(11+MATCH(LEFT(Table15[[#This Row],[Min]],FIND("-",Table15[[#This Row],[Min]])-1),Table1[Content Sku],0),16,1,1,"Entities")),"review","ok"),"ok")</f>
        <v>ok</v>
      </c>
      <c r="AK629" t="s">
        <v>2662</v>
      </c>
      <c r="AL629">
        <v>0</v>
      </c>
      <c r="AM629">
        <v>0</v>
      </c>
      <c r="AN629" t="s">
        <v>8</v>
      </c>
      <c r="AO629" s="74" t="str">
        <f ca="1">IF(Table20[[#This Row],[Type]]="KILL",IF(_xlfn.NUMBERVALUE(RIGHT(Table20[[#This Row],[Min]],LEN(Table20[[#This Row],[Min]])-FIND("-",Table20[[#This Row],[Min]])))&gt;INDIRECT(ADDRESS(11+MATCH(LEFT(Table20[[#This Row],[Min]],FIND("-",Table20[[#This Row],[Min]])-1),Table1[Content Sku],0),18,1,1,"Entities")),"review","ok"),"ok")</f>
        <v>ok</v>
      </c>
    </row>
    <row r="630" spans="5:41" x14ac:dyDescent="0.25">
      <c r="E630" t="s">
        <v>315</v>
      </c>
      <c r="F630">
        <v>0</v>
      </c>
      <c r="G630">
        <v>0</v>
      </c>
      <c r="H630" t="s">
        <v>8</v>
      </c>
      <c r="I630" s="74" t="str">
        <f ca="1">IF(Table7[[#This Row],[Type]]="KILL",IF(_xlfn.NUMBERVALUE(RIGHT(Table7[[#This Row],[Min]],LEN(Table7[[#This Row],[Min]])-FIND("-",Table7[[#This Row],[Min]])))&gt;INDIRECT(ADDRESS(11+MATCH(LEFT(Table7[[#This Row],[Min]],FIND("-",Table7[[#This Row],[Min]])-1),Table1[Content Sku],0),16,1,1,"Entities")),"review","ok"),"ok")</f>
        <v>ok</v>
      </c>
      <c r="U630" t="s">
        <v>8134</v>
      </c>
      <c r="V630">
        <v>0</v>
      </c>
      <c r="W630">
        <v>0</v>
      </c>
      <c r="X630" t="s">
        <v>8</v>
      </c>
      <c r="Y630" s="74" t="str">
        <f ca="1">IF(Table15[[#This Row],[Type]]="KILL",IF(_xlfn.NUMBERVALUE(RIGHT(Table15[[#This Row],[Min]],LEN(Table15[[#This Row],[Min]])-FIND("-",Table15[[#This Row],[Min]])))&gt;INDIRECT(ADDRESS(11+MATCH(LEFT(Table15[[#This Row],[Min]],FIND("-",Table15[[#This Row],[Min]])-1),Table1[Content Sku],0),16,1,1,"Entities")),"review","ok"),"ok")</f>
        <v>ok</v>
      </c>
      <c r="AK630" t="s">
        <v>37</v>
      </c>
      <c r="AL630">
        <v>0</v>
      </c>
      <c r="AM630">
        <v>0</v>
      </c>
      <c r="AN630" t="s">
        <v>8</v>
      </c>
      <c r="AO630" s="74" t="str">
        <f ca="1">IF(Table20[[#This Row],[Type]]="KILL",IF(_xlfn.NUMBERVALUE(RIGHT(Table20[[#This Row],[Min]],LEN(Table20[[#This Row],[Min]])-FIND("-",Table20[[#This Row],[Min]])))&gt;INDIRECT(ADDRESS(11+MATCH(LEFT(Table20[[#This Row],[Min]],FIND("-",Table20[[#This Row],[Min]])-1),Table1[Content Sku],0),18,1,1,"Entities")),"review","ok"),"ok")</f>
        <v>ok</v>
      </c>
    </row>
    <row r="631" spans="5:41" x14ac:dyDescent="0.25">
      <c r="E631" t="s">
        <v>21</v>
      </c>
      <c r="F631">
        <v>0</v>
      </c>
      <c r="G631">
        <v>0</v>
      </c>
      <c r="H631" t="s">
        <v>8</v>
      </c>
      <c r="I631" s="74" t="str">
        <f ca="1">IF(Table7[[#This Row],[Type]]="KILL",IF(_xlfn.NUMBERVALUE(RIGHT(Table7[[#This Row],[Min]],LEN(Table7[[#This Row],[Min]])-FIND("-",Table7[[#This Row],[Min]])))&gt;INDIRECT(ADDRESS(11+MATCH(LEFT(Table7[[#This Row],[Min]],FIND("-",Table7[[#This Row],[Min]])-1),Table1[Content Sku],0),16,1,1,"Entities")),"review","ok"),"ok")</f>
        <v>ok</v>
      </c>
      <c r="U631" t="s">
        <v>280</v>
      </c>
      <c r="V631">
        <v>0</v>
      </c>
      <c r="W631">
        <v>0</v>
      </c>
      <c r="X631" t="s">
        <v>8</v>
      </c>
      <c r="Y631" s="74" t="str">
        <f ca="1">IF(Table15[[#This Row],[Type]]="KILL",IF(_xlfn.NUMBERVALUE(RIGHT(Table15[[#This Row],[Min]],LEN(Table15[[#This Row],[Min]])-FIND("-",Table15[[#This Row],[Min]])))&gt;INDIRECT(ADDRESS(11+MATCH(LEFT(Table15[[#This Row],[Min]],FIND("-",Table15[[#This Row],[Min]])-1),Table1[Content Sku],0),16,1,1,"Entities")),"review","ok"),"ok")</f>
        <v>ok</v>
      </c>
      <c r="AK631" t="s">
        <v>537</v>
      </c>
      <c r="AL631">
        <v>0</v>
      </c>
      <c r="AM631">
        <v>0</v>
      </c>
      <c r="AN631" t="s">
        <v>8</v>
      </c>
      <c r="AO631" s="74" t="str">
        <f ca="1">IF(Table20[[#This Row],[Type]]="KILL",IF(_xlfn.NUMBERVALUE(RIGHT(Table20[[#This Row],[Min]],LEN(Table20[[#This Row],[Min]])-FIND("-",Table20[[#This Row],[Min]])))&gt;INDIRECT(ADDRESS(11+MATCH(LEFT(Table20[[#This Row],[Min]],FIND("-",Table20[[#This Row],[Min]])-1),Table1[Content Sku],0),18,1,1,"Entities")),"review","ok"),"ok")</f>
        <v>ok</v>
      </c>
    </row>
    <row r="632" spans="5:41" x14ac:dyDescent="0.25">
      <c r="E632" t="s">
        <v>315</v>
      </c>
      <c r="F632">
        <v>0</v>
      </c>
      <c r="G632">
        <v>0</v>
      </c>
      <c r="H632" t="s">
        <v>8</v>
      </c>
      <c r="I632" s="74" t="str">
        <f ca="1">IF(Table7[[#This Row],[Type]]="KILL",IF(_xlfn.NUMBERVALUE(RIGHT(Table7[[#This Row],[Min]],LEN(Table7[[#This Row],[Min]])-FIND("-",Table7[[#This Row],[Min]])))&gt;INDIRECT(ADDRESS(11+MATCH(LEFT(Table7[[#This Row],[Min]],FIND("-",Table7[[#This Row],[Min]])-1),Table1[Content Sku],0),16,1,1,"Entities")),"review","ok"),"ok")</f>
        <v>ok</v>
      </c>
      <c r="U632" t="s">
        <v>302</v>
      </c>
      <c r="V632">
        <v>0</v>
      </c>
      <c r="W632">
        <v>0</v>
      </c>
      <c r="X632" t="s">
        <v>8</v>
      </c>
      <c r="Y632" s="74" t="str">
        <f ca="1">IF(Table15[[#This Row],[Type]]="KILL",IF(_xlfn.NUMBERVALUE(RIGHT(Table15[[#This Row],[Min]],LEN(Table15[[#This Row],[Min]])-FIND("-",Table15[[#This Row],[Min]])))&gt;INDIRECT(ADDRESS(11+MATCH(LEFT(Table15[[#This Row],[Min]],FIND("-",Table15[[#This Row],[Min]])-1),Table1[Content Sku],0),16,1,1,"Entities")),"review","ok"),"ok")</f>
        <v>ok</v>
      </c>
      <c r="AK632" t="s">
        <v>543</v>
      </c>
      <c r="AL632">
        <v>20000</v>
      </c>
      <c r="AM632">
        <v>0</v>
      </c>
      <c r="AN632" t="s">
        <v>205</v>
      </c>
      <c r="AO632" s="74" t="str">
        <f ca="1">IF(Table20[[#This Row],[Type]]="KILL",IF(_xlfn.NUMBERVALUE(RIGHT(Table20[[#This Row],[Min]],LEN(Table20[[#This Row],[Min]])-FIND("-",Table20[[#This Row],[Min]])))&gt;INDIRECT(ADDRESS(11+MATCH(LEFT(Table20[[#This Row],[Min]],FIND("-",Table20[[#This Row],[Min]])-1),Table1[Content Sku],0),18,1,1,"Entities")),"review","ok"),"ok")</f>
        <v>ok</v>
      </c>
    </row>
    <row r="633" spans="5:41" x14ac:dyDescent="0.25">
      <c r="E633" t="s">
        <v>338</v>
      </c>
      <c r="F633">
        <v>0</v>
      </c>
      <c r="G633">
        <v>0</v>
      </c>
      <c r="H633" t="s">
        <v>8</v>
      </c>
      <c r="I633" s="74" t="str">
        <f ca="1">IF(Table7[[#This Row],[Type]]="KILL",IF(_xlfn.NUMBERVALUE(RIGHT(Table7[[#This Row],[Min]],LEN(Table7[[#This Row],[Min]])-FIND("-",Table7[[#This Row],[Min]])))&gt;INDIRECT(ADDRESS(11+MATCH(LEFT(Table7[[#This Row],[Min]],FIND("-",Table7[[#This Row],[Min]])-1),Table1[Content Sku],0),16,1,1,"Entities")),"review","ok"),"ok")</f>
        <v>ok</v>
      </c>
      <c r="U633" t="s">
        <v>254</v>
      </c>
      <c r="V633">
        <v>14100</v>
      </c>
      <c r="W633">
        <v>0</v>
      </c>
      <c r="X633" t="s">
        <v>205</v>
      </c>
      <c r="Y633" s="74" t="str">
        <f ca="1">IF(Table15[[#This Row],[Type]]="KILL",IF(_xlfn.NUMBERVALUE(RIGHT(Table15[[#This Row],[Min]],LEN(Table15[[#This Row],[Min]])-FIND("-",Table15[[#This Row],[Min]])))&gt;INDIRECT(ADDRESS(11+MATCH(LEFT(Table15[[#This Row],[Min]],FIND("-",Table15[[#This Row],[Min]])-1),Table1[Content Sku],0),16,1,1,"Entities")),"review","ok"),"ok")</f>
        <v>ok</v>
      </c>
      <c r="AK633" t="s">
        <v>2741</v>
      </c>
      <c r="AL633">
        <v>0</v>
      </c>
      <c r="AM633">
        <v>0</v>
      </c>
      <c r="AN633" t="s">
        <v>8</v>
      </c>
      <c r="AO633" s="74" t="str">
        <f ca="1">IF(Table20[[#This Row],[Type]]="KILL",IF(_xlfn.NUMBERVALUE(RIGHT(Table20[[#This Row],[Min]],LEN(Table20[[#This Row],[Min]])-FIND("-",Table20[[#This Row],[Min]])))&gt;INDIRECT(ADDRESS(11+MATCH(LEFT(Table20[[#This Row],[Min]],FIND("-",Table20[[#This Row],[Min]])-1),Table1[Content Sku],0),18,1,1,"Entities")),"review","ok"),"ok")</f>
        <v>ok</v>
      </c>
    </row>
    <row r="634" spans="5:41" x14ac:dyDescent="0.25">
      <c r="E634" t="s">
        <v>92</v>
      </c>
      <c r="F634">
        <v>0</v>
      </c>
      <c r="G634">
        <v>0</v>
      </c>
      <c r="H634" t="s">
        <v>8</v>
      </c>
      <c r="I634" s="74" t="str">
        <f ca="1">IF(Table7[[#This Row],[Type]]="KILL",IF(_xlfn.NUMBERVALUE(RIGHT(Table7[[#This Row],[Min]],LEN(Table7[[#This Row],[Min]])-FIND("-",Table7[[#This Row],[Min]])))&gt;INDIRECT(ADDRESS(11+MATCH(LEFT(Table7[[#This Row],[Min]],FIND("-",Table7[[#This Row],[Min]])-1),Table1[Content Sku],0),16,1,1,"Entities")),"review","ok"),"ok")</f>
        <v>ok</v>
      </c>
      <c r="U634" t="s">
        <v>2729</v>
      </c>
      <c r="V634">
        <v>0</v>
      </c>
      <c r="W634">
        <v>0</v>
      </c>
      <c r="X634" t="s">
        <v>8</v>
      </c>
      <c r="Y634" s="74" t="str">
        <f ca="1">IF(Table15[[#This Row],[Type]]="KILL",IF(_xlfn.NUMBERVALUE(RIGHT(Table15[[#This Row],[Min]],LEN(Table15[[#This Row],[Min]])-FIND("-",Table15[[#This Row],[Min]])))&gt;INDIRECT(ADDRESS(11+MATCH(LEFT(Table15[[#This Row],[Min]],FIND("-",Table15[[#This Row],[Min]])-1),Table1[Content Sku],0),16,1,1,"Entities")),"review","ok"),"ok")</f>
        <v>ok</v>
      </c>
      <c r="AK634" t="s">
        <v>2667</v>
      </c>
      <c r="AL634">
        <v>0</v>
      </c>
      <c r="AM634">
        <v>0</v>
      </c>
      <c r="AN634" t="s">
        <v>8</v>
      </c>
      <c r="AO634" s="74" t="str">
        <f ca="1">IF(Table20[[#This Row],[Type]]="KILL",IF(_xlfn.NUMBERVALUE(RIGHT(Table20[[#This Row],[Min]],LEN(Table20[[#This Row],[Min]])-FIND("-",Table20[[#This Row],[Min]])))&gt;INDIRECT(ADDRESS(11+MATCH(LEFT(Table20[[#This Row],[Min]],FIND("-",Table20[[#This Row],[Min]])-1),Table1[Content Sku],0),18,1,1,"Entities")),"review","ok"),"ok")</f>
        <v>ok</v>
      </c>
    </row>
    <row r="635" spans="5:41" x14ac:dyDescent="0.25">
      <c r="E635" t="s">
        <v>313</v>
      </c>
      <c r="F635">
        <v>0</v>
      </c>
      <c r="G635">
        <v>15000</v>
      </c>
      <c r="H635" t="s">
        <v>205</v>
      </c>
      <c r="I635" s="74" t="str">
        <f ca="1">IF(Table7[[#This Row],[Type]]="KILL",IF(_xlfn.NUMBERVALUE(RIGHT(Table7[[#This Row],[Min]],LEN(Table7[[#This Row],[Min]])-FIND("-",Table7[[#This Row],[Min]])))&gt;INDIRECT(ADDRESS(11+MATCH(LEFT(Table7[[#This Row],[Min]],FIND("-",Table7[[#This Row],[Min]])-1),Table1[Content Sku],0),16,1,1,"Entities")),"review","ok"),"ok")</f>
        <v>ok</v>
      </c>
      <c r="U635" t="s">
        <v>286</v>
      </c>
      <c r="V635">
        <v>0</v>
      </c>
      <c r="W635">
        <v>0</v>
      </c>
      <c r="X635" t="s">
        <v>8</v>
      </c>
      <c r="Y635" s="74" t="str">
        <f ca="1">IF(Table15[[#This Row],[Type]]="KILL",IF(_xlfn.NUMBERVALUE(RIGHT(Table15[[#This Row],[Min]],LEN(Table15[[#This Row],[Min]])-FIND("-",Table15[[#This Row],[Min]])))&gt;INDIRECT(ADDRESS(11+MATCH(LEFT(Table15[[#This Row],[Min]],FIND("-",Table15[[#This Row],[Min]])-1),Table1[Content Sku],0),16,1,1,"Entities")),"review","ok"),"ok")</f>
        <v>ok</v>
      </c>
      <c r="AK635" t="s">
        <v>36</v>
      </c>
      <c r="AL635">
        <v>0</v>
      </c>
      <c r="AM635">
        <v>0</v>
      </c>
      <c r="AN635" t="s">
        <v>8</v>
      </c>
      <c r="AO635" s="74" t="str">
        <f ca="1">IF(Table20[[#This Row],[Type]]="KILL",IF(_xlfn.NUMBERVALUE(RIGHT(Table20[[#This Row],[Min]],LEN(Table20[[#This Row],[Min]])-FIND("-",Table20[[#This Row],[Min]])))&gt;INDIRECT(ADDRESS(11+MATCH(LEFT(Table20[[#This Row],[Min]],FIND("-",Table20[[#This Row],[Min]])-1),Table1[Content Sku],0),18,1,1,"Entities")),"review","ok"),"ok")</f>
        <v>ok</v>
      </c>
    </row>
    <row r="636" spans="5:41" x14ac:dyDescent="0.25">
      <c r="E636" t="s">
        <v>313</v>
      </c>
      <c r="F636">
        <v>0</v>
      </c>
      <c r="G636">
        <v>25000</v>
      </c>
      <c r="H636" t="s">
        <v>205</v>
      </c>
      <c r="I636" s="74" t="str">
        <f ca="1">IF(Table7[[#This Row],[Type]]="KILL",IF(_xlfn.NUMBERVALUE(RIGHT(Table7[[#This Row],[Min]],LEN(Table7[[#This Row],[Min]])-FIND("-",Table7[[#This Row],[Min]])))&gt;INDIRECT(ADDRESS(11+MATCH(LEFT(Table7[[#This Row],[Min]],FIND("-",Table7[[#This Row],[Min]])-1),Table1[Content Sku],0),16,1,1,"Entities")),"review","ok"),"ok")</f>
        <v>ok</v>
      </c>
      <c r="U636" t="s">
        <v>254</v>
      </c>
      <c r="V636">
        <v>0</v>
      </c>
      <c r="W636">
        <v>0</v>
      </c>
      <c r="X636" t="s">
        <v>8</v>
      </c>
      <c r="Y636" s="74" t="str">
        <f ca="1">IF(Table15[[#This Row],[Type]]="KILL",IF(_xlfn.NUMBERVALUE(RIGHT(Table15[[#This Row],[Min]],LEN(Table15[[#This Row],[Min]])-FIND("-",Table15[[#This Row],[Min]])))&gt;INDIRECT(ADDRESS(11+MATCH(LEFT(Table15[[#This Row],[Min]],FIND("-",Table15[[#This Row],[Min]])-1),Table1[Content Sku],0),16,1,1,"Entities")),"review","ok"),"ok")</f>
        <v>ok</v>
      </c>
      <c r="AK636" t="s">
        <v>2736</v>
      </c>
      <c r="AL636">
        <v>0</v>
      </c>
      <c r="AM636">
        <v>0</v>
      </c>
      <c r="AN636" t="s">
        <v>8</v>
      </c>
      <c r="AO636" s="74" t="str">
        <f ca="1">IF(Table20[[#This Row],[Type]]="KILL",IF(_xlfn.NUMBERVALUE(RIGHT(Table20[[#This Row],[Min]],LEN(Table20[[#This Row],[Min]])-FIND("-",Table20[[#This Row],[Min]])))&gt;INDIRECT(ADDRESS(11+MATCH(LEFT(Table20[[#This Row],[Min]],FIND("-",Table20[[#This Row],[Min]])-1),Table1[Content Sku],0),18,1,1,"Entities")),"review","ok"),"ok")</f>
        <v>ok</v>
      </c>
    </row>
    <row r="637" spans="5:41" x14ac:dyDescent="0.25">
      <c r="E637" t="s">
        <v>40</v>
      </c>
      <c r="F637">
        <v>0</v>
      </c>
      <c r="G637">
        <v>0</v>
      </c>
      <c r="H637" t="s">
        <v>8</v>
      </c>
      <c r="I637" s="74" t="str">
        <f ca="1">IF(Table7[[#This Row],[Type]]="KILL",IF(_xlfn.NUMBERVALUE(RIGHT(Table7[[#This Row],[Min]],LEN(Table7[[#This Row],[Min]])-FIND("-",Table7[[#This Row],[Min]])))&gt;INDIRECT(ADDRESS(11+MATCH(LEFT(Table7[[#This Row],[Min]],FIND("-",Table7[[#This Row],[Min]])-1),Table1[Content Sku],0),16,1,1,"Entities")),"review","ok"),"ok")</f>
        <v>ok</v>
      </c>
      <c r="U637" t="s">
        <v>313</v>
      </c>
      <c r="V637">
        <v>0</v>
      </c>
      <c r="W637">
        <v>0</v>
      </c>
      <c r="X637" t="s">
        <v>8</v>
      </c>
      <c r="Y637" s="74" t="str">
        <f ca="1">IF(Table15[[#This Row],[Type]]="KILL",IF(_xlfn.NUMBERVALUE(RIGHT(Table15[[#This Row],[Min]],LEN(Table15[[#This Row],[Min]])-FIND("-",Table15[[#This Row],[Min]])))&gt;INDIRECT(ADDRESS(11+MATCH(LEFT(Table15[[#This Row],[Min]],FIND("-",Table15[[#This Row],[Min]])-1),Table1[Content Sku],0),16,1,1,"Entities")),"review","ok"),"ok")</f>
        <v>ok</v>
      </c>
      <c r="AK637" t="s">
        <v>37</v>
      </c>
      <c r="AL637">
        <v>0</v>
      </c>
      <c r="AM637">
        <v>0</v>
      </c>
      <c r="AN637" t="s">
        <v>8</v>
      </c>
      <c r="AO637" s="74" t="str">
        <f ca="1">IF(Table20[[#This Row],[Type]]="KILL",IF(_xlfn.NUMBERVALUE(RIGHT(Table20[[#This Row],[Min]],LEN(Table20[[#This Row],[Min]])-FIND("-",Table20[[#This Row],[Min]])))&gt;INDIRECT(ADDRESS(11+MATCH(LEFT(Table20[[#This Row],[Min]],FIND("-",Table20[[#This Row],[Min]])-1),Table1[Content Sku],0),18,1,1,"Entities")),"review","ok"),"ok")</f>
        <v>ok</v>
      </c>
    </row>
    <row r="638" spans="5:41" x14ac:dyDescent="0.25">
      <c r="E638" t="s">
        <v>289</v>
      </c>
      <c r="F638">
        <v>0</v>
      </c>
      <c r="G638">
        <v>0</v>
      </c>
      <c r="H638" t="s">
        <v>8</v>
      </c>
      <c r="I638" s="74" t="str">
        <f ca="1">IF(Table7[[#This Row],[Type]]="KILL",IF(_xlfn.NUMBERVALUE(RIGHT(Table7[[#This Row],[Min]],LEN(Table7[[#This Row],[Min]])-FIND("-",Table7[[#This Row],[Min]])))&gt;INDIRECT(ADDRESS(11+MATCH(LEFT(Table7[[#This Row],[Min]],FIND("-",Table7[[#This Row],[Min]])-1),Table1[Content Sku],0),16,1,1,"Entities")),"review","ok"),"ok")</f>
        <v>ok</v>
      </c>
      <c r="U638" t="s">
        <v>548</v>
      </c>
      <c r="V638">
        <v>0</v>
      </c>
      <c r="W638">
        <v>0</v>
      </c>
      <c r="X638" t="s">
        <v>8</v>
      </c>
      <c r="Y638" s="74" t="str">
        <f ca="1">IF(Table15[[#This Row],[Type]]="KILL",IF(_xlfn.NUMBERVALUE(RIGHT(Table15[[#This Row],[Min]],LEN(Table15[[#This Row],[Min]])-FIND("-",Table15[[#This Row],[Min]])))&gt;INDIRECT(ADDRESS(11+MATCH(LEFT(Table15[[#This Row],[Min]],FIND("-",Table15[[#This Row],[Min]])-1),Table1[Content Sku],0),16,1,1,"Entities")),"review","ok"),"ok")</f>
        <v>ok</v>
      </c>
      <c r="AK638" t="s">
        <v>49</v>
      </c>
      <c r="AL638">
        <v>42000</v>
      </c>
      <c r="AM638">
        <v>0</v>
      </c>
      <c r="AN638" t="s">
        <v>205</v>
      </c>
      <c r="AO638" s="74" t="str">
        <f ca="1">IF(Table20[[#This Row],[Type]]="KILL",IF(_xlfn.NUMBERVALUE(RIGHT(Table20[[#This Row],[Min]],LEN(Table20[[#This Row],[Min]])-FIND("-",Table20[[#This Row],[Min]])))&gt;INDIRECT(ADDRESS(11+MATCH(LEFT(Table20[[#This Row],[Min]],FIND("-",Table20[[#This Row],[Min]])-1),Table1[Content Sku],0),18,1,1,"Entities")),"review","ok"),"ok")</f>
        <v>ok</v>
      </c>
    </row>
    <row r="639" spans="5:41" x14ac:dyDescent="0.25">
      <c r="E639" t="s">
        <v>95</v>
      </c>
      <c r="F639">
        <v>0</v>
      </c>
      <c r="G639">
        <v>0</v>
      </c>
      <c r="H639" t="s">
        <v>8</v>
      </c>
      <c r="I639" s="74" t="str">
        <f ca="1">IF(Table7[[#This Row],[Type]]="KILL",IF(_xlfn.NUMBERVALUE(RIGHT(Table7[[#This Row],[Min]],LEN(Table7[[#This Row],[Min]])-FIND("-",Table7[[#This Row],[Min]])))&gt;INDIRECT(ADDRESS(11+MATCH(LEFT(Table7[[#This Row],[Min]],FIND("-",Table7[[#This Row],[Min]])-1),Table1[Content Sku],0),16,1,1,"Entities")),"review","ok"),"ok")</f>
        <v>ok</v>
      </c>
      <c r="U639" t="s">
        <v>300</v>
      </c>
      <c r="V639">
        <v>0</v>
      </c>
      <c r="W639">
        <v>220</v>
      </c>
      <c r="X639" t="s">
        <v>4431</v>
      </c>
      <c r="Y639" s="74" t="str">
        <f ca="1">IF(Table15[[#This Row],[Type]]="KILL",IF(_xlfn.NUMBERVALUE(RIGHT(Table15[[#This Row],[Min]],LEN(Table15[[#This Row],[Min]])-FIND("-",Table15[[#This Row],[Min]])))&gt;INDIRECT(ADDRESS(11+MATCH(LEFT(Table15[[#This Row],[Min]],FIND("-",Table15[[#This Row],[Min]])-1),Table1[Content Sku],0),16,1,1,"Entities")),"review","ok"),"ok")</f>
        <v>ok</v>
      </c>
      <c r="AK639" t="s">
        <v>39</v>
      </c>
      <c r="AL639">
        <v>0</v>
      </c>
      <c r="AM639">
        <v>0</v>
      </c>
      <c r="AN639" t="s">
        <v>8</v>
      </c>
      <c r="AO639" s="74" t="str">
        <f ca="1">IF(Table20[[#This Row],[Type]]="KILL",IF(_xlfn.NUMBERVALUE(RIGHT(Table20[[#This Row],[Min]],LEN(Table20[[#This Row],[Min]])-FIND("-",Table20[[#This Row],[Min]])))&gt;INDIRECT(ADDRESS(11+MATCH(LEFT(Table20[[#This Row],[Min]],FIND("-",Table20[[#This Row],[Min]])-1),Table1[Content Sku],0),18,1,1,"Entities")),"review","ok"),"ok")</f>
        <v>ok</v>
      </c>
    </row>
    <row r="640" spans="5:41" x14ac:dyDescent="0.25">
      <c r="E640" t="s">
        <v>39</v>
      </c>
      <c r="F640">
        <v>0</v>
      </c>
      <c r="G640">
        <v>0</v>
      </c>
      <c r="H640" t="s">
        <v>8</v>
      </c>
      <c r="I640" s="74" t="str">
        <f ca="1">IF(Table7[[#This Row],[Type]]="KILL",IF(_xlfn.NUMBERVALUE(RIGHT(Table7[[#This Row],[Min]],LEN(Table7[[#This Row],[Min]])-FIND("-",Table7[[#This Row],[Min]])))&gt;INDIRECT(ADDRESS(11+MATCH(LEFT(Table7[[#This Row],[Min]],FIND("-",Table7[[#This Row],[Min]])-1),Table1[Content Sku],0),16,1,1,"Entities")),"review","ok"),"ok")</f>
        <v>ok</v>
      </c>
      <c r="U640" t="s">
        <v>313</v>
      </c>
      <c r="V640">
        <v>0</v>
      </c>
      <c r="W640">
        <v>0</v>
      </c>
      <c r="X640" t="s">
        <v>8</v>
      </c>
      <c r="Y640" s="74" t="str">
        <f ca="1">IF(Table15[[#This Row],[Type]]="KILL",IF(_xlfn.NUMBERVALUE(RIGHT(Table15[[#This Row],[Min]],LEN(Table15[[#This Row],[Min]])-FIND("-",Table15[[#This Row],[Min]])))&gt;INDIRECT(ADDRESS(11+MATCH(LEFT(Table15[[#This Row],[Min]],FIND("-",Table15[[#This Row],[Min]])-1),Table1[Content Sku],0),16,1,1,"Entities")),"review","ok"),"ok")</f>
        <v>ok</v>
      </c>
      <c r="AK640" t="s">
        <v>313</v>
      </c>
      <c r="AL640">
        <v>0</v>
      </c>
      <c r="AM640">
        <v>0</v>
      </c>
      <c r="AN640" t="s">
        <v>8</v>
      </c>
      <c r="AO640" s="74" t="str">
        <f ca="1">IF(Table20[[#This Row],[Type]]="KILL",IF(_xlfn.NUMBERVALUE(RIGHT(Table20[[#This Row],[Min]],LEN(Table20[[#This Row],[Min]])-FIND("-",Table20[[#This Row],[Min]])))&gt;INDIRECT(ADDRESS(11+MATCH(LEFT(Table20[[#This Row],[Min]],FIND("-",Table20[[#This Row],[Min]])-1),Table1[Content Sku],0),18,1,1,"Entities")),"review","ok"),"ok")</f>
        <v>ok</v>
      </c>
    </row>
    <row r="641" spans="5:41" x14ac:dyDescent="0.25">
      <c r="E641" t="s">
        <v>42</v>
      </c>
      <c r="F641">
        <v>55000</v>
      </c>
      <c r="G641">
        <v>0</v>
      </c>
      <c r="H641" t="s">
        <v>205</v>
      </c>
      <c r="I641" s="74" t="str">
        <f ca="1">IF(Table7[[#This Row],[Type]]="KILL",IF(_xlfn.NUMBERVALUE(RIGHT(Table7[[#This Row],[Min]],LEN(Table7[[#This Row],[Min]])-FIND("-",Table7[[#This Row],[Min]])))&gt;INDIRECT(ADDRESS(11+MATCH(LEFT(Table7[[#This Row],[Min]],FIND("-",Table7[[#This Row],[Min]])-1),Table1[Content Sku],0),16,1,1,"Entities")),"review","ok"),"ok")</f>
        <v>ok</v>
      </c>
      <c r="U641" t="s">
        <v>304</v>
      </c>
      <c r="V641">
        <v>0</v>
      </c>
      <c r="W641">
        <v>0</v>
      </c>
      <c r="X641" t="s">
        <v>8</v>
      </c>
      <c r="Y641" s="74" t="str">
        <f ca="1">IF(Table15[[#This Row],[Type]]="KILL",IF(_xlfn.NUMBERVALUE(RIGHT(Table15[[#This Row],[Min]],LEN(Table15[[#This Row],[Min]])-FIND("-",Table15[[#This Row],[Min]])))&gt;INDIRECT(ADDRESS(11+MATCH(LEFT(Table15[[#This Row],[Min]],FIND("-",Table15[[#This Row],[Min]])-1),Table1[Content Sku],0),16,1,1,"Entities")),"review","ok"),"ok")</f>
        <v>ok</v>
      </c>
      <c r="AK641" t="s">
        <v>2767</v>
      </c>
      <c r="AL641">
        <v>0</v>
      </c>
      <c r="AM641">
        <v>0</v>
      </c>
      <c r="AN641" t="s">
        <v>8</v>
      </c>
      <c r="AO641" s="74" t="str">
        <f ca="1">IF(Table20[[#This Row],[Type]]="KILL",IF(_xlfn.NUMBERVALUE(RIGHT(Table20[[#This Row],[Min]],LEN(Table20[[#This Row],[Min]])-FIND("-",Table20[[#This Row],[Min]])))&gt;INDIRECT(ADDRESS(11+MATCH(LEFT(Table20[[#This Row],[Min]],FIND("-",Table20[[#This Row],[Min]])-1),Table1[Content Sku],0),18,1,1,"Entities")),"review","ok"),"ok")</f>
        <v>ok</v>
      </c>
    </row>
    <row r="642" spans="5:41" x14ac:dyDescent="0.25">
      <c r="E642" t="s">
        <v>47</v>
      </c>
      <c r="F642">
        <v>0</v>
      </c>
      <c r="G642">
        <v>0</v>
      </c>
      <c r="H642" t="s">
        <v>8</v>
      </c>
      <c r="I642" s="74" t="str">
        <f ca="1">IF(Table7[[#This Row],[Type]]="KILL",IF(_xlfn.NUMBERVALUE(RIGHT(Table7[[#This Row],[Min]],LEN(Table7[[#This Row],[Min]])-FIND("-",Table7[[#This Row],[Min]])))&gt;INDIRECT(ADDRESS(11+MATCH(LEFT(Table7[[#This Row],[Min]],FIND("-",Table7[[#This Row],[Min]])-1),Table1[Content Sku],0),16,1,1,"Entities")),"review","ok"),"ok")</f>
        <v>ok</v>
      </c>
      <c r="U642" t="s">
        <v>392</v>
      </c>
      <c r="V642">
        <v>0</v>
      </c>
      <c r="W642">
        <v>0</v>
      </c>
      <c r="X642" t="s">
        <v>8</v>
      </c>
      <c r="Y642" s="74" t="str">
        <f ca="1">IF(Table15[[#This Row],[Type]]="KILL",IF(_xlfn.NUMBERVALUE(RIGHT(Table15[[#This Row],[Min]],LEN(Table15[[#This Row],[Min]])-FIND("-",Table15[[#This Row],[Min]])))&gt;INDIRECT(ADDRESS(11+MATCH(LEFT(Table15[[#This Row],[Min]],FIND("-",Table15[[#This Row],[Min]])-1),Table1[Content Sku],0),16,1,1,"Entities")),"review","ok"),"ok")</f>
        <v>ok</v>
      </c>
      <c r="AK642" t="s">
        <v>37</v>
      </c>
      <c r="AL642">
        <v>0</v>
      </c>
      <c r="AM642">
        <v>0</v>
      </c>
      <c r="AN642" t="s">
        <v>8</v>
      </c>
      <c r="AO642" s="74" t="str">
        <f ca="1">IF(Table20[[#This Row],[Type]]="KILL",IF(_xlfn.NUMBERVALUE(RIGHT(Table20[[#This Row],[Min]],LEN(Table20[[#This Row],[Min]])-FIND("-",Table20[[#This Row],[Min]])))&gt;INDIRECT(ADDRESS(11+MATCH(LEFT(Table20[[#This Row],[Min]],FIND("-",Table20[[#This Row],[Min]])-1),Table1[Content Sku],0),18,1,1,"Entities")),"review","ok"),"ok")</f>
        <v>ok</v>
      </c>
    </row>
    <row r="643" spans="5:41" x14ac:dyDescent="0.25">
      <c r="E643" t="s">
        <v>39</v>
      </c>
      <c r="F643">
        <v>0</v>
      </c>
      <c r="G643">
        <v>0</v>
      </c>
      <c r="H643" t="s">
        <v>8</v>
      </c>
      <c r="I643" s="74" t="str">
        <f ca="1">IF(Table7[[#This Row],[Type]]="KILL",IF(_xlfn.NUMBERVALUE(RIGHT(Table7[[#This Row],[Min]],LEN(Table7[[#This Row],[Min]])-FIND("-",Table7[[#This Row],[Min]])))&gt;INDIRECT(ADDRESS(11+MATCH(LEFT(Table7[[#This Row],[Min]],FIND("-",Table7[[#This Row],[Min]])-1),Table1[Content Sku],0),16,1,1,"Entities")),"review","ok"),"ok")</f>
        <v>ok</v>
      </c>
      <c r="U643" t="s">
        <v>254</v>
      </c>
      <c r="V643">
        <v>0</v>
      </c>
      <c r="W643">
        <v>0</v>
      </c>
      <c r="X643" t="s">
        <v>8</v>
      </c>
      <c r="Y643" s="74" t="str">
        <f ca="1">IF(Table15[[#This Row],[Type]]="KILL",IF(_xlfn.NUMBERVALUE(RIGHT(Table15[[#This Row],[Min]],LEN(Table15[[#This Row],[Min]])-FIND("-",Table15[[#This Row],[Min]])))&gt;INDIRECT(ADDRESS(11+MATCH(LEFT(Table15[[#This Row],[Min]],FIND("-",Table15[[#This Row],[Min]])-1),Table1[Content Sku],0),16,1,1,"Entities")),"review","ok"),"ok")</f>
        <v>ok</v>
      </c>
      <c r="AK643" t="s">
        <v>122</v>
      </c>
      <c r="AL643">
        <v>0</v>
      </c>
      <c r="AM643">
        <v>0</v>
      </c>
      <c r="AN643" t="s">
        <v>8</v>
      </c>
      <c r="AO643" s="74" t="str">
        <f ca="1">IF(Table20[[#This Row],[Type]]="KILL",IF(_xlfn.NUMBERVALUE(RIGHT(Table20[[#This Row],[Min]],LEN(Table20[[#This Row],[Min]])-FIND("-",Table20[[#This Row],[Min]])))&gt;INDIRECT(ADDRESS(11+MATCH(LEFT(Table20[[#This Row],[Min]],FIND("-",Table20[[#This Row],[Min]])-1),Table1[Content Sku],0),18,1,1,"Entities")),"review","ok"),"ok")</f>
        <v>ok</v>
      </c>
    </row>
    <row r="644" spans="5:41" x14ac:dyDescent="0.25">
      <c r="E644" t="s">
        <v>39</v>
      </c>
      <c r="F644">
        <v>0</v>
      </c>
      <c r="G644">
        <v>0</v>
      </c>
      <c r="H644" t="s">
        <v>8</v>
      </c>
      <c r="I644" s="74" t="str">
        <f ca="1">IF(Table7[[#This Row],[Type]]="KILL",IF(_xlfn.NUMBERVALUE(RIGHT(Table7[[#This Row],[Min]],LEN(Table7[[#This Row],[Min]])-FIND("-",Table7[[#This Row],[Min]])))&gt;INDIRECT(ADDRESS(11+MATCH(LEFT(Table7[[#This Row],[Min]],FIND("-",Table7[[#This Row],[Min]])-1),Table1[Content Sku],0),16,1,1,"Entities")),"review","ok"),"ok")</f>
        <v>ok</v>
      </c>
      <c r="U644" t="s">
        <v>1</v>
      </c>
      <c r="V644">
        <v>30000</v>
      </c>
      <c r="W644">
        <v>0</v>
      </c>
      <c r="X644" t="s">
        <v>205</v>
      </c>
      <c r="Y644" s="74" t="str">
        <f ca="1">IF(Table15[[#This Row],[Type]]="KILL",IF(_xlfn.NUMBERVALUE(RIGHT(Table15[[#This Row],[Min]],LEN(Table15[[#This Row],[Min]])-FIND("-",Table15[[#This Row],[Min]])))&gt;INDIRECT(ADDRESS(11+MATCH(LEFT(Table15[[#This Row],[Min]],FIND("-",Table15[[#This Row],[Min]])-1),Table1[Content Sku],0),16,1,1,"Entities")),"review","ok"),"ok")</f>
        <v>ok</v>
      </c>
      <c r="AK644" t="s">
        <v>2669</v>
      </c>
      <c r="AL644">
        <v>0</v>
      </c>
      <c r="AM644">
        <v>0</v>
      </c>
      <c r="AN644" t="s">
        <v>8</v>
      </c>
      <c r="AO644" s="74" t="str">
        <f ca="1">IF(Table20[[#This Row],[Type]]="KILL",IF(_xlfn.NUMBERVALUE(RIGHT(Table20[[#This Row],[Min]],LEN(Table20[[#This Row],[Min]])-FIND("-",Table20[[#This Row],[Min]])))&gt;INDIRECT(ADDRESS(11+MATCH(LEFT(Table20[[#This Row],[Min]],FIND("-",Table20[[#This Row],[Min]])-1),Table1[Content Sku],0),18,1,1,"Entities")),"review","ok"),"ok")</f>
        <v>ok</v>
      </c>
    </row>
    <row r="645" spans="5:41" x14ac:dyDescent="0.25">
      <c r="E645" t="s">
        <v>95</v>
      </c>
      <c r="F645">
        <v>0</v>
      </c>
      <c r="G645">
        <v>0</v>
      </c>
      <c r="H645" t="s">
        <v>8</v>
      </c>
      <c r="I645" s="74" t="str">
        <f ca="1">IF(Table7[[#This Row],[Type]]="KILL",IF(_xlfn.NUMBERVALUE(RIGHT(Table7[[#This Row],[Min]],LEN(Table7[[#This Row],[Min]])-FIND("-",Table7[[#This Row],[Min]])))&gt;INDIRECT(ADDRESS(11+MATCH(LEFT(Table7[[#This Row],[Min]],FIND("-",Table7[[#This Row],[Min]])-1),Table1[Content Sku],0),16,1,1,"Entities")),"review","ok"),"ok")</f>
        <v>ok</v>
      </c>
      <c r="U645" t="s">
        <v>254</v>
      </c>
      <c r="V645">
        <v>0</v>
      </c>
      <c r="W645">
        <v>40000</v>
      </c>
      <c r="X645" t="s">
        <v>205</v>
      </c>
      <c r="Y645" s="74" t="str">
        <f ca="1">IF(Table15[[#This Row],[Type]]="KILL",IF(_xlfn.NUMBERVALUE(RIGHT(Table15[[#This Row],[Min]],LEN(Table15[[#This Row],[Min]])-FIND("-",Table15[[#This Row],[Min]])))&gt;INDIRECT(ADDRESS(11+MATCH(LEFT(Table15[[#This Row],[Min]],FIND("-",Table15[[#This Row],[Min]])-1),Table1[Content Sku],0),16,1,1,"Entities")),"review","ok"),"ok")</f>
        <v>ok</v>
      </c>
      <c r="AK645" t="s">
        <v>2672</v>
      </c>
      <c r="AL645">
        <v>0</v>
      </c>
      <c r="AM645">
        <v>0</v>
      </c>
      <c r="AN645" t="s">
        <v>8</v>
      </c>
      <c r="AO645" s="74" t="str">
        <f ca="1">IF(Table20[[#This Row],[Type]]="KILL",IF(_xlfn.NUMBERVALUE(RIGHT(Table20[[#This Row],[Min]],LEN(Table20[[#This Row],[Min]])-FIND("-",Table20[[#This Row],[Min]])))&gt;INDIRECT(ADDRESS(11+MATCH(LEFT(Table20[[#This Row],[Min]],FIND("-",Table20[[#This Row],[Min]])-1),Table1[Content Sku],0),18,1,1,"Entities")),"review","ok"),"ok")</f>
        <v>ok</v>
      </c>
    </row>
    <row r="646" spans="5:41" x14ac:dyDescent="0.25">
      <c r="E646" t="s">
        <v>95</v>
      </c>
      <c r="F646">
        <v>0</v>
      </c>
      <c r="G646">
        <v>0</v>
      </c>
      <c r="H646" t="s">
        <v>8</v>
      </c>
      <c r="I646" s="74" t="str">
        <f ca="1">IF(Table7[[#This Row],[Type]]="KILL",IF(_xlfn.NUMBERVALUE(RIGHT(Table7[[#This Row],[Min]],LEN(Table7[[#This Row],[Min]])-FIND("-",Table7[[#This Row],[Min]])))&gt;INDIRECT(ADDRESS(11+MATCH(LEFT(Table7[[#This Row],[Min]],FIND("-",Table7[[#This Row],[Min]])-1),Table1[Content Sku],0),16,1,1,"Entities")),"review","ok"),"ok")</f>
        <v>ok</v>
      </c>
      <c r="U646" t="s">
        <v>313</v>
      </c>
      <c r="V646">
        <v>0</v>
      </c>
      <c r="W646">
        <v>0</v>
      </c>
      <c r="X646" t="s">
        <v>8</v>
      </c>
      <c r="Y646" s="74" t="str">
        <f ca="1">IF(Table15[[#This Row],[Type]]="KILL",IF(_xlfn.NUMBERVALUE(RIGHT(Table15[[#This Row],[Min]],LEN(Table15[[#This Row],[Min]])-FIND("-",Table15[[#This Row],[Min]])))&gt;INDIRECT(ADDRESS(11+MATCH(LEFT(Table15[[#This Row],[Min]],FIND("-",Table15[[#This Row],[Min]])-1),Table1[Content Sku],0),16,1,1,"Entities")),"review","ok"),"ok")</f>
        <v>ok</v>
      </c>
      <c r="AK646" t="s">
        <v>36</v>
      </c>
      <c r="AL646">
        <v>35000</v>
      </c>
      <c r="AM646">
        <v>0</v>
      </c>
      <c r="AN646" t="s">
        <v>205</v>
      </c>
      <c r="AO646" s="74" t="str">
        <f ca="1">IF(Table20[[#This Row],[Type]]="KILL",IF(_xlfn.NUMBERVALUE(RIGHT(Table20[[#This Row],[Min]],LEN(Table20[[#This Row],[Min]])-FIND("-",Table20[[#This Row],[Min]])))&gt;INDIRECT(ADDRESS(11+MATCH(LEFT(Table20[[#This Row],[Min]],FIND("-",Table20[[#This Row],[Min]])-1),Table1[Content Sku],0),18,1,1,"Entities")),"review","ok"),"ok")</f>
        <v>ok</v>
      </c>
    </row>
    <row r="647" spans="5:41" x14ac:dyDescent="0.25">
      <c r="E647" t="s">
        <v>39</v>
      </c>
      <c r="F647">
        <v>0</v>
      </c>
      <c r="G647">
        <v>0</v>
      </c>
      <c r="H647" t="s">
        <v>8</v>
      </c>
      <c r="I647" s="74" t="str">
        <f ca="1">IF(Table7[[#This Row],[Type]]="KILL",IF(_xlfn.NUMBERVALUE(RIGHT(Table7[[#This Row],[Min]],LEN(Table7[[#This Row],[Min]])-FIND("-",Table7[[#This Row],[Min]])))&gt;INDIRECT(ADDRESS(11+MATCH(LEFT(Table7[[#This Row],[Min]],FIND("-",Table7[[#This Row],[Min]])-1),Table1[Content Sku],0),16,1,1,"Entities")),"review","ok"),"ok")</f>
        <v>ok</v>
      </c>
      <c r="U647" t="s">
        <v>318</v>
      </c>
      <c r="V647">
        <v>0</v>
      </c>
      <c r="W647">
        <v>0</v>
      </c>
      <c r="X647" t="s">
        <v>8</v>
      </c>
      <c r="Y647" s="74" t="str">
        <f ca="1">IF(Table15[[#This Row],[Type]]="KILL",IF(_xlfn.NUMBERVALUE(RIGHT(Table15[[#This Row],[Min]],LEN(Table15[[#This Row],[Min]])-FIND("-",Table15[[#This Row],[Min]])))&gt;INDIRECT(ADDRESS(11+MATCH(LEFT(Table15[[#This Row],[Min]],FIND("-",Table15[[#This Row],[Min]])-1),Table1[Content Sku],0),16,1,1,"Entities")),"review","ok"),"ok")</f>
        <v>ok</v>
      </c>
      <c r="AK647" t="s">
        <v>258</v>
      </c>
      <c r="AL647">
        <v>45000</v>
      </c>
      <c r="AM647">
        <v>0</v>
      </c>
      <c r="AN647" t="s">
        <v>205</v>
      </c>
      <c r="AO647" s="74" t="str">
        <f ca="1">IF(Table20[[#This Row],[Type]]="KILL",IF(_xlfn.NUMBERVALUE(RIGHT(Table20[[#This Row],[Min]],LEN(Table20[[#This Row],[Min]])-FIND("-",Table20[[#This Row],[Min]])))&gt;INDIRECT(ADDRESS(11+MATCH(LEFT(Table20[[#This Row],[Min]],FIND("-",Table20[[#This Row],[Min]])-1),Table1[Content Sku],0),18,1,1,"Entities")),"review","ok"),"ok")</f>
        <v>ok</v>
      </c>
    </row>
    <row r="648" spans="5:41" x14ac:dyDescent="0.25">
      <c r="E648" t="s">
        <v>313</v>
      </c>
      <c r="F648">
        <v>0</v>
      </c>
      <c r="G648">
        <v>0</v>
      </c>
      <c r="H648" t="s">
        <v>8</v>
      </c>
      <c r="I648" s="74" t="str">
        <f ca="1">IF(Table7[[#This Row],[Type]]="KILL",IF(_xlfn.NUMBERVALUE(RIGHT(Table7[[#This Row],[Min]],LEN(Table7[[#This Row],[Min]])-FIND("-",Table7[[#This Row],[Min]])))&gt;INDIRECT(ADDRESS(11+MATCH(LEFT(Table7[[#This Row],[Min]],FIND("-",Table7[[#This Row],[Min]])-1),Table1[Content Sku],0),16,1,1,"Entities")),"review","ok"),"ok")</f>
        <v>ok</v>
      </c>
      <c r="U648" t="s">
        <v>391</v>
      </c>
      <c r="V648">
        <v>0</v>
      </c>
      <c r="W648">
        <v>0</v>
      </c>
      <c r="X648" t="s">
        <v>8</v>
      </c>
      <c r="Y648" s="74" t="str">
        <f ca="1">IF(Table15[[#This Row],[Type]]="KILL",IF(_xlfn.NUMBERVALUE(RIGHT(Table15[[#This Row],[Min]],LEN(Table15[[#This Row],[Min]])-FIND("-",Table15[[#This Row],[Min]])))&gt;INDIRECT(ADDRESS(11+MATCH(LEFT(Table15[[#This Row],[Min]],FIND("-",Table15[[#This Row],[Min]])-1),Table1[Content Sku],0),16,1,1,"Entities")),"review","ok"),"ok")</f>
        <v>ok</v>
      </c>
      <c r="AK648" t="s">
        <v>2673</v>
      </c>
      <c r="AL648" t="s">
        <v>5005</v>
      </c>
      <c r="AM648" t="s">
        <v>4467</v>
      </c>
      <c r="AN648" t="s">
        <v>4468</v>
      </c>
      <c r="AO648" s="74" t="str">
        <f ca="1">IF(Table20[[#This Row],[Type]]="KILL",IF(_xlfn.NUMBERVALUE(RIGHT(Table20[[#This Row],[Min]],LEN(Table20[[#This Row],[Min]])-FIND("-",Table20[[#This Row],[Min]])))&gt;INDIRECT(ADDRESS(11+MATCH(LEFT(Table20[[#This Row],[Min]],FIND("-",Table20[[#This Row],[Min]])-1),Table1[Content Sku],0),18,1,1,"Entities")),"review","ok"),"ok")</f>
        <v>ok</v>
      </c>
    </row>
    <row r="649" spans="5:41" x14ac:dyDescent="0.25">
      <c r="E649" t="s">
        <v>95</v>
      </c>
      <c r="F649">
        <v>0</v>
      </c>
      <c r="G649">
        <v>0</v>
      </c>
      <c r="H649" t="s">
        <v>8</v>
      </c>
      <c r="I649" s="74" t="str">
        <f ca="1">IF(Table7[[#This Row],[Type]]="KILL",IF(_xlfn.NUMBERVALUE(RIGHT(Table7[[#This Row],[Min]],LEN(Table7[[#This Row],[Min]])-FIND("-",Table7[[#This Row],[Min]])))&gt;INDIRECT(ADDRESS(11+MATCH(LEFT(Table7[[#This Row],[Min]],FIND("-",Table7[[#This Row],[Min]])-1),Table1[Content Sku],0),16,1,1,"Entities")),"review","ok"),"ok")</f>
        <v>ok</v>
      </c>
      <c r="U649" t="s">
        <v>460</v>
      </c>
      <c r="V649">
        <v>0</v>
      </c>
      <c r="W649">
        <v>0</v>
      </c>
      <c r="X649" t="s">
        <v>8</v>
      </c>
      <c r="Y649" s="74" t="str">
        <f ca="1">IF(Table15[[#This Row],[Type]]="KILL",IF(_xlfn.NUMBERVALUE(RIGHT(Table15[[#This Row],[Min]],LEN(Table15[[#This Row],[Min]])-FIND("-",Table15[[#This Row],[Min]])))&gt;INDIRECT(ADDRESS(11+MATCH(LEFT(Table15[[#This Row],[Min]],FIND("-",Table15[[#This Row],[Min]])-1),Table1[Content Sku],0),16,1,1,"Entities")),"review","ok"),"ok")</f>
        <v>ok</v>
      </c>
      <c r="AK649" t="s">
        <v>2680</v>
      </c>
      <c r="AL649">
        <v>0</v>
      </c>
      <c r="AM649">
        <v>0</v>
      </c>
      <c r="AN649" t="s">
        <v>8</v>
      </c>
      <c r="AO649" s="74" t="str">
        <f ca="1">IF(Table20[[#This Row],[Type]]="KILL",IF(_xlfn.NUMBERVALUE(RIGHT(Table20[[#This Row],[Min]],LEN(Table20[[#This Row],[Min]])-FIND("-",Table20[[#This Row],[Min]])))&gt;INDIRECT(ADDRESS(11+MATCH(LEFT(Table20[[#This Row],[Min]],FIND("-",Table20[[#This Row],[Min]])-1),Table1[Content Sku],0),18,1,1,"Entities")),"review","ok"),"ok")</f>
        <v>ok</v>
      </c>
    </row>
    <row r="650" spans="5:41" x14ac:dyDescent="0.25">
      <c r="E650" t="s">
        <v>90</v>
      </c>
      <c r="F650">
        <v>0</v>
      </c>
      <c r="G650">
        <v>0</v>
      </c>
      <c r="H650" t="s">
        <v>8</v>
      </c>
      <c r="I650" s="74" t="str">
        <f ca="1">IF(Table7[[#This Row],[Type]]="KILL",IF(_xlfn.NUMBERVALUE(RIGHT(Table7[[#This Row],[Min]],LEN(Table7[[#This Row],[Min]])-FIND("-",Table7[[#This Row],[Min]])))&gt;INDIRECT(ADDRESS(11+MATCH(LEFT(Table7[[#This Row],[Min]],FIND("-",Table7[[#This Row],[Min]])-1),Table1[Content Sku],0),16,1,1,"Entities")),"review","ok"),"ok")</f>
        <v>ok</v>
      </c>
      <c r="U650" t="s">
        <v>49</v>
      </c>
      <c r="V650">
        <v>0</v>
      </c>
      <c r="W650">
        <v>0</v>
      </c>
      <c r="X650" t="s">
        <v>8</v>
      </c>
      <c r="Y650" s="74" t="str">
        <f ca="1">IF(Table15[[#This Row],[Type]]="KILL",IF(_xlfn.NUMBERVALUE(RIGHT(Table15[[#This Row],[Min]],LEN(Table15[[#This Row],[Min]])-FIND("-",Table15[[#This Row],[Min]])))&gt;INDIRECT(ADDRESS(11+MATCH(LEFT(Table15[[#This Row],[Min]],FIND("-",Table15[[#This Row],[Min]])-1),Table1[Content Sku],0),16,1,1,"Entities")),"review","ok"),"ok")</f>
        <v>ok</v>
      </c>
      <c r="AK650" t="s">
        <v>258</v>
      </c>
      <c r="AL650">
        <v>34000</v>
      </c>
      <c r="AM650">
        <v>0</v>
      </c>
      <c r="AN650" t="s">
        <v>205</v>
      </c>
      <c r="AO650" s="74" t="str">
        <f ca="1">IF(Table20[[#This Row],[Type]]="KILL",IF(_xlfn.NUMBERVALUE(RIGHT(Table20[[#This Row],[Min]],LEN(Table20[[#This Row],[Min]])-FIND("-",Table20[[#This Row],[Min]])))&gt;INDIRECT(ADDRESS(11+MATCH(LEFT(Table20[[#This Row],[Min]],FIND("-",Table20[[#This Row],[Min]])-1),Table1[Content Sku],0),18,1,1,"Entities")),"review","ok"),"ok")</f>
        <v>ok</v>
      </c>
    </row>
    <row r="651" spans="5:41" x14ac:dyDescent="0.25">
      <c r="E651" t="s">
        <v>313</v>
      </c>
      <c r="F651">
        <v>0</v>
      </c>
      <c r="G651">
        <v>0</v>
      </c>
      <c r="H651" t="s">
        <v>8</v>
      </c>
      <c r="I651" s="74" t="str">
        <f ca="1">IF(Table7[[#This Row],[Type]]="KILL",IF(_xlfn.NUMBERVALUE(RIGHT(Table7[[#This Row],[Min]],LEN(Table7[[#This Row],[Min]])-FIND("-",Table7[[#This Row],[Min]])))&gt;INDIRECT(ADDRESS(11+MATCH(LEFT(Table7[[#This Row],[Min]],FIND("-",Table7[[#This Row],[Min]])-1),Table1[Content Sku],0),16,1,1,"Entities")),"review","ok"),"ok")</f>
        <v>ok</v>
      </c>
      <c r="U651" t="s">
        <v>123</v>
      </c>
      <c r="V651">
        <v>0</v>
      </c>
      <c r="W651">
        <v>0</v>
      </c>
      <c r="X651" t="s">
        <v>8</v>
      </c>
      <c r="Y651" s="74" t="str">
        <f ca="1">IF(Table15[[#This Row],[Type]]="KILL",IF(_xlfn.NUMBERVALUE(RIGHT(Table15[[#This Row],[Min]],LEN(Table15[[#This Row],[Min]])-FIND("-",Table15[[#This Row],[Min]])))&gt;INDIRECT(ADDRESS(11+MATCH(LEFT(Table15[[#This Row],[Min]],FIND("-",Table15[[#This Row],[Min]])-1),Table1[Content Sku],0),16,1,1,"Entities")),"review","ok"),"ok")</f>
        <v>ok</v>
      </c>
      <c r="AK651" t="s">
        <v>37</v>
      </c>
      <c r="AL651">
        <v>0</v>
      </c>
      <c r="AM651">
        <v>0</v>
      </c>
      <c r="AN651" t="s">
        <v>8</v>
      </c>
      <c r="AO651" s="74" t="str">
        <f ca="1">IF(Table20[[#This Row],[Type]]="KILL",IF(_xlfn.NUMBERVALUE(RIGHT(Table20[[#This Row],[Min]],LEN(Table20[[#This Row],[Min]])-FIND("-",Table20[[#This Row],[Min]])))&gt;INDIRECT(ADDRESS(11+MATCH(LEFT(Table20[[#This Row],[Min]],FIND("-",Table20[[#This Row],[Min]])-1),Table1[Content Sku],0),18,1,1,"Entities")),"review","ok"),"ok")</f>
        <v>ok</v>
      </c>
    </row>
    <row r="652" spans="5:41" x14ac:dyDescent="0.25">
      <c r="E652" t="s">
        <v>21</v>
      </c>
      <c r="F652">
        <v>0</v>
      </c>
      <c r="G652">
        <v>0</v>
      </c>
      <c r="H652" t="s">
        <v>8</v>
      </c>
      <c r="I652" s="74" t="str">
        <f ca="1">IF(Table7[[#This Row],[Type]]="KILL",IF(_xlfn.NUMBERVALUE(RIGHT(Table7[[#This Row],[Min]],LEN(Table7[[#This Row],[Min]])-FIND("-",Table7[[#This Row],[Min]])))&gt;INDIRECT(ADDRESS(11+MATCH(LEFT(Table7[[#This Row],[Min]],FIND("-",Table7[[#This Row],[Min]])-1),Table1[Content Sku],0),16,1,1,"Entities")),"review","ok"),"ok")</f>
        <v>ok</v>
      </c>
      <c r="U652" t="s">
        <v>391</v>
      </c>
      <c r="V652">
        <v>14000</v>
      </c>
      <c r="W652">
        <v>0</v>
      </c>
      <c r="X652" t="s">
        <v>205</v>
      </c>
      <c r="Y652" s="74" t="str">
        <f ca="1">IF(Table15[[#This Row],[Type]]="KILL",IF(_xlfn.NUMBERVALUE(RIGHT(Table15[[#This Row],[Min]],LEN(Table15[[#This Row],[Min]])-FIND("-",Table15[[#This Row],[Min]])))&gt;INDIRECT(ADDRESS(11+MATCH(LEFT(Table15[[#This Row],[Min]],FIND("-",Table15[[#This Row],[Min]])-1),Table1[Content Sku],0),16,1,1,"Entities")),"review","ok"),"ok")</f>
        <v>ok</v>
      </c>
      <c r="AK652" t="s">
        <v>2672</v>
      </c>
      <c r="AL652">
        <v>45000</v>
      </c>
      <c r="AM652">
        <v>0</v>
      </c>
      <c r="AN652" t="s">
        <v>205</v>
      </c>
      <c r="AO652" s="74" t="str">
        <f ca="1">IF(Table20[[#This Row],[Type]]="KILL",IF(_xlfn.NUMBERVALUE(RIGHT(Table20[[#This Row],[Min]],LEN(Table20[[#This Row],[Min]])-FIND("-",Table20[[#This Row],[Min]])))&gt;INDIRECT(ADDRESS(11+MATCH(LEFT(Table20[[#This Row],[Min]],FIND("-",Table20[[#This Row],[Min]])-1),Table1[Content Sku],0),18,1,1,"Entities")),"review","ok"),"ok")</f>
        <v>ok</v>
      </c>
    </row>
    <row r="653" spans="5:41" x14ac:dyDescent="0.25">
      <c r="E653" t="s">
        <v>311</v>
      </c>
      <c r="F653">
        <v>0</v>
      </c>
      <c r="G653">
        <v>0</v>
      </c>
      <c r="H653" t="s">
        <v>8</v>
      </c>
      <c r="I653" s="74" t="str">
        <f ca="1">IF(Table7[[#This Row],[Type]]="KILL",IF(_xlfn.NUMBERVALUE(RIGHT(Table7[[#This Row],[Min]],LEN(Table7[[#This Row],[Min]])-FIND("-",Table7[[#This Row],[Min]])))&gt;INDIRECT(ADDRESS(11+MATCH(LEFT(Table7[[#This Row],[Min]],FIND("-",Table7[[#This Row],[Min]])-1),Table1[Content Sku],0),16,1,1,"Entities")),"review","ok"),"ok")</f>
        <v>ok</v>
      </c>
      <c r="U653" t="s">
        <v>45</v>
      </c>
      <c r="V653">
        <v>18000</v>
      </c>
      <c r="W653">
        <v>0</v>
      </c>
      <c r="X653" t="s">
        <v>205</v>
      </c>
      <c r="Y653" s="74" t="str">
        <f ca="1">IF(Table15[[#This Row],[Type]]="KILL",IF(_xlfn.NUMBERVALUE(RIGHT(Table15[[#This Row],[Min]],LEN(Table15[[#This Row],[Min]])-FIND("-",Table15[[#This Row],[Min]])))&gt;INDIRECT(ADDRESS(11+MATCH(LEFT(Table15[[#This Row],[Min]],FIND("-",Table15[[#This Row],[Min]])-1),Table1[Content Sku],0),16,1,1,"Entities")),"review","ok"),"ok")</f>
        <v>ok</v>
      </c>
      <c r="AK653" t="s">
        <v>2677</v>
      </c>
      <c r="AL653">
        <v>40000</v>
      </c>
      <c r="AM653">
        <v>0</v>
      </c>
      <c r="AN653" t="s">
        <v>205</v>
      </c>
      <c r="AO653" s="74" t="str">
        <f ca="1">IF(Table20[[#This Row],[Type]]="KILL",IF(_xlfn.NUMBERVALUE(RIGHT(Table20[[#This Row],[Min]],LEN(Table20[[#This Row],[Min]])-FIND("-",Table20[[#This Row],[Min]])))&gt;INDIRECT(ADDRESS(11+MATCH(LEFT(Table20[[#This Row],[Min]],FIND("-",Table20[[#This Row],[Min]])-1),Table1[Content Sku],0),18,1,1,"Entities")),"review","ok"),"ok")</f>
        <v>ok</v>
      </c>
    </row>
    <row r="654" spans="5:41" x14ac:dyDescent="0.25">
      <c r="E654" t="s">
        <v>313</v>
      </c>
      <c r="F654">
        <v>0</v>
      </c>
      <c r="G654">
        <v>0</v>
      </c>
      <c r="H654" t="s">
        <v>8</v>
      </c>
      <c r="I654" s="74" t="str">
        <f ca="1">IF(Table7[[#This Row],[Type]]="KILL",IF(_xlfn.NUMBERVALUE(RIGHT(Table7[[#This Row],[Min]],LEN(Table7[[#This Row],[Min]])-FIND("-",Table7[[#This Row],[Min]])))&gt;INDIRECT(ADDRESS(11+MATCH(LEFT(Table7[[#This Row],[Min]],FIND("-",Table7[[#This Row],[Min]])-1),Table1[Content Sku],0),16,1,1,"Entities")),"review","ok"),"ok")</f>
        <v>ok</v>
      </c>
      <c r="U654" t="s">
        <v>37</v>
      </c>
      <c r="V654">
        <v>12000</v>
      </c>
      <c r="W654">
        <v>0</v>
      </c>
      <c r="X654" t="s">
        <v>205</v>
      </c>
      <c r="Y654" s="74" t="str">
        <f ca="1">IF(Table15[[#This Row],[Type]]="KILL",IF(_xlfn.NUMBERVALUE(RIGHT(Table15[[#This Row],[Min]],LEN(Table15[[#This Row],[Min]])-FIND("-",Table15[[#This Row],[Min]])))&gt;INDIRECT(ADDRESS(11+MATCH(LEFT(Table15[[#This Row],[Min]],FIND("-",Table15[[#This Row],[Min]])-1),Table1[Content Sku],0),16,1,1,"Entities")),"review","ok"),"ok")</f>
        <v>ok</v>
      </c>
      <c r="AK654" t="s">
        <v>2741</v>
      </c>
      <c r="AL654">
        <v>0</v>
      </c>
      <c r="AM654">
        <v>0</v>
      </c>
      <c r="AN654" t="s">
        <v>8</v>
      </c>
      <c r="AO654" s="74" t="str">
        <f ca="1">IF(Table20[[#This Row],[Type]]="KILL",IF(_xlfn.NUMBERVALUE(RIGHT(Table20[[#This Row],[Min]],LEN(Table20[[#This Row],[Min]])-FIND("-",Table20[[#This Row],[Min]])))&gt;INDIRECT(ADDRESS(11+MATCH(LEFT(Table20[[#This Row],[Min]],FIND("-",Table20[[#This Row],[Min]])-1),Table1[Content Sku],0),18,1,1,"Entities")),"review","ok"),"ok")</f>
        <v>ok</v>
      </c>
    </row>
    <row r="655" spans="5:41" x14ac:dyDescent="0.25">
      <c r="E655" t="s">
        <v>393</v>
      </c>
      <c r="F655">
        <v>0</v>
      </c>
      <c r="G655">
        <v>0</v>
      </c>
      <c r="H655" t="s">
        <v>8</v>
      </c>
      <c r="I655" s="74" t="str">
        <f ca="1">IF(Table7[[#This Row],[Type]]="KILL",IF(_xlfn.NUMBERVALUE(RIGHT(Table7[[#This Row],[Min]],LEN(Table7[[#This Row],[Min]])-FIND("-",Table7[[#This Row],[Min]])))&gt;INDIRECT(ADDRESS(11+MATCH(LEFT(Table7[[#This Row],[Min]],FIND("-",Table7[[#This Row],[Min]])-1),Table1[Content Sku],0),16,1,1,"Entities")),"review","ok"),"ok")</f>
        <v>ok</v>
      </c>
      <c r="U655" t="s">
        <v>254</v>
      </c>
      <c r="V655">
        <v>0</v>
      </c>
      <c r="W655">
        <v>0</v>
      </c>
      <c r="X655" t="s">
        <v>8</v>
      </c>
      <c r="Y655" s="74" t="str">
        <f ca="1">IF(Table15[[#This Row],[Type]]="KILL",IF(_xlfn.NUMBERVALUE(RIGHT(Table15[[#This Row],[Min]],LEN(Table15[[#This Row],[Min]])-FIND("-",Table15[[#This Row],[Min]])))&gt;INDIRECT(ADDRESS(11+MATCH(LEFT(Table15[[#This Row],[Min]],FIND("-",Table15[[#This Row],[Min]])-1),Table1[Content Sku],0),16,1,1,"Entities")),"review","ok"),"ok")</f>
        <v>ok</v>
      </c>
      <c r="AK655" t="s">
        <v>2664</v>
      </c>
      <c r="AL655">
        <v>0</v>
      </c>
      <c r="AM655">
        <v>0</v>
      </c>
      <c r="AN655" t="s">
        <v>8</v>
      </c>
      <c r="AO655" s="74" t="str">
        <f ca="1">IF(Table20[[#This Row],[Type]]="KILL",IF(_xlfn.NUMBERVALUE(RIGHT(Table20[[#This Row],[Min]],LEN(Table20[[#This Row],[Min]])-FIND("-",Table20[[#This Row],[Min]])))&gt;INDIRECT(ADDRESS(11+MATCH(LEFT(Table20[[#This Row],[Min]],FIND("-",Table20[[#This Row],[Min]])-1),Table1[Content Sku],0),18,1,1,"Entities")),"review","ok"),"ok")</f>
        <v>ok</v>
      </c>
    </row>
    <row r="656" spans="5:41" x14ac:dyDescent="0.25">
      <c r="E656" t="s">
        <v>36</v>
      </c>
      <c r="F656">
        <v>22000</v>
      </c>
      <c r="G656">
        <v>0</v>
      </c>
      <c r="H656" t="s">
        <v>205</v>
      </c>
      <c r="I656" s="74" t="str">
        <f ca="1">IF(Table7[[#This Row],[Type]]="KILL",IF(_xlfn.NUMBERVALUE(RIGHT(Table7[[#This Row],[Min]],LEN(Table7[[#This Row],[Min]])-FIND("-",Table7[[#This Row],[Min]])))&gt;INDIRECT(ADDRESS(11+MATCH(LEFT(Table7[[#This Row],[Min]],FIND("-",Table7[[#This Row],[Min]])-1),Table1[Content Sku],0),16,1,1,"Entities")),"review","ok"),"ok")</f>
        <v>ok</v>
      </c>
      <c r="U656" t="s">
        <v>4430</v>
      </c>
      <c r="V656">
        <v>0</v>
      </c>
      <c r="W656">
        <v>0</v>
      </c>
      <c r="X656" t="s">
        <v>8</v>
      </c>
      <c r="Y656" s="74" t="str">
        <f ca="1">IF(Table15[[#This Row],[Type]]="KILL",IF(_xlfn.NUMBERVALUE(RIGHT(Table15[[#This Row],[Min]],LEN(Table15[[#This Row],[Min]])-FIND("-",Table15[[#This Row],[Min]])))&gt;INDIRECT(ADDRESS(11+MATCH(LEFT(Table15[[#This Row],[Min]],FIND("-",Table15[[#This Row],[Min]])-1),Table1[Content Sku],0),16,1,1,"Entities")),"review","ok"),"ok")</f>
        <v>ok</v>
      </c>
      <c r="AK656" t="s">
        <v>2726</v>
      </c>
      <c r="AL656">
        <v>0</v>
      </c>
      <c r="AM656">
        <v>0</v>
      </c>
      <c r="AN656" t="s">
        <v>8</v>
      </c>
      <c r="AO656" s="74" t="str">
        <f ca="1">IF(Table20[[#This Row],[Type]]="KILL",IF(_xlfn.NUMBERVALUE(RIGHT(Table20[[#This Row],[Min]],LEN(Table20[[#This Row],[Min]])-FIND("-",Table20[[#This Row],[Min]])))&gt;INDIRECT(ADDRESS(11+MATCH(LEFT(Table20[[#This Row],[Min]],FIND("-",Table20[[#This Row],[Min]])-1),Table1[Content Sku],0),18,1,1,"Entities")),"review","ok"),"ok")</f>
        <v>ok</v>
      </c>
    </row>
    <row r="657" spans="5:41" x14ac:dyDescent="0.25">
      <c r="E657" t="s">
        <v>283</v>
      </c>
      <c r="F657">
        <v>0</v>
      </c>
      <c r="G657">
        <v>0</v>
      </c>
      <c r="H657" t="s">
        <v>8</v>
      </c>
      <c r="I657" s="74" t="str">
        <f ca="1">IF(Table7[[#This Row],[Type]]="KILL",IF(_xlfn.NUMBERVALUE(RIGHT(Table7[[#This Row],[Min]],LEN(Table7[[#This Row],[Min]])-FIND("-",Table7[[#This Row],[Min]])))&gt;INDIRECT(ADDRESS(11+MATCH(LEFT(Table7[[#This Row],[Min]],FIND("-",Table7[[#This Row],[Min]])-1),Table1[Content Sku],0),16,1,1,"Entities")),"review","ok"),"ok")</f>
        <v>ok</v>
      </c>
      <c r="U657" t="s">
        <v>311</v>
      </c>
      <c r="V657">
        <v>0</v>
      </c>
      <c r="W657">
        <v>0</v>
      </c>
      <c r="X657" t="s">
        <v>8</v>
      </c>
      <c r="Y657" s="74" t="str">
        <f ca="1">IF(Table15[[#This Row],[Type]]="KILL",IF(_xlfn.NUMBERVALUE(RIGHT(Table15[[#This Row],[Min]],LEN(Table15[[#This Row],[Min]])-FIND("-",Table15[[#This Row],[Min]])))&gt;INDIRECT(ADDRESS(11+MATCH(LEFT(Table15[[#This Row],[Min]],FIND("-",Table15[[#This Row],[Min]])-1),Table1[Content Sku],0),16,1,1,"Entities")),"review","ok"),"ok")</f>
        <v>ok</v>
      </c>
      <c r="AK657" t="s">
        <v>2663</v>
      </c>
      <c r="AL657" t="s">
        <v>4466</v>
      </c>
      <c r="AM657" t="s">
        <v>4467</v>
      </c>
      <c r="AN657" t="s">
        <v>4468</v>
      </c>
      <c r="AO657" s="74" t="str">
        <f ca="1">IF(Table20[[#This Row],[Type]]="KILL",IF(_xlfn.NUMBERVALUE(RIGHT(Table20[[#This Row],[Min]],LEN(Table20[[#This Row],[Min]])-FIND("-",Table20[[#This Row],[Min]])))&gt;INDIRECT(ADDRESS(11+MATCH(LEFT(Table20[[#This Row],[Min]],FIND("-",Table20[[#This Row],[Min]])-1),Table1[Content Sku],0),18,1,1,"Entities")),"review","ok"),"ok")</f>
        <v>ok</v>
      </c>
    </row>
    <row r="658" spans="5:41" x14ac:dyDescent="0.25">
      <c r="E658" t="s">
        <v>398</v>
      </c>
      <c r="F658">
        <v>0</v>
      </c>
      <c r="G658">
        <v>0</v>
      </c>
      <c r="H658" t="s">
        <v>8</v>
      </c>
      <c r="I658" s="74" t="str">
        <f ca="1">IF(Table7[[#This Row],[Type]]="KILL",IF(_xlfn.NUMBERVALUE(RIGHT(Table7[[#This Row],[Min]],LEN(Table7[[#This Row],[Min]])-FIND("-",Table7[[#This Row],[Min]])))&gt;INDIRECT(ADDRESS(11+MATCH(LEFT(Table7[[#This Row],[Min]],FIND("-",Table7[[#This Row],[Min]])-1),Table1[Content Sku],0),16,1,1,"Entities")),"review","ok"),"ok")</f>
        <v>ok</v>
      </c>
      <c r="U658" t="s">
        <v>2741</v>
      </c>
      <c r="V658">
        <v>0</v>
      </c>
      <c r="W658">
        <v>0</v>
      </c>
      <c r="X658" t="s">
        <v>8</v>
      </c>
      <c r="Y658" s="74" t="str">
        <f ca="1">IF(Table15[[#This Row],[Type]]="KILL",IF(_xlfn.NUMBERVALUE(RIGHT(Table15[[#This Row],[Min]],LEN(Table15[[#This Row],[Min]])-FIND("-",Table15[[#This Row],[Min]])))&gt;INDIRECT(ADDRESS(11+MATCH(LEFT(Table15[[#This Row],[Min]],FIND("-",Table15[[#This Row],[Min]])-1),Table1[Content Sku],0),16,1,1,"Entities")),"review","ok"),"ok")</f>
        <v>ok</v>
      </c>
      <c r="AK658" t="s">
        <v>309</v>
      </c>
      <c r="AL658">
        <v>30000</v>
      </c>
      <c r="AM658">
        <v>0</v>
      </c>
      <c r="AN658" t="s">
        <v>205</v>
      </c>
      <c r="AO658" s="74" t="str">
        <f ca="1">IF(Table20[[#This Row],[Type]]="KILL",IF(_xlfn.NUMBERVALUE(RIGHT(Table20[[#This Row],[Min]],LEN(Table20[[#This Row],[Min]])-FIND("-",Table20[[#This Row],[Min]])))&gt;INDIRECT(ADDRESS(11+MATCH(LEFT(Table20[[#This Row],[Min]],FIND("-",Table20[[#This Row],[Min]])-1),Table1[Content Sku],0),18,1,1,"Entities")),"review","ok"),"ok")</f>
        <v>ok</v>
      </c>
    </row>
    <row r="659" spans="5:41" x14ac:dyDescent="0.25">
      <c r="E659" t="s">
        <v>257</v>
      </c>
      <c r="F659">
        <v>14000</v>
      </c>
      <c r="G659">
        <v>0</v>
      </c>
      <c r="H659" t="s">
        <v>205</v>
      </c>
      <c r="I659" s="74" t="str">
        <f ca="1">IF(Table7[[#This Row],[Type]]="KILL",IF(_xlfn.NUMBERVALUE(RIGHT(Table7[[#This Row],[Min]],LEN(Table7[[#This Row],[Min]])-FIND("-",Table7[[#This Row],[Min]])))&gt;INDIRECT(ADDRESS(11+MATCH(LEFT(Table7[[#This Row],[Min]],FIND("-",Table7[[#This Row],[Min]])-1),Table1[Content Sku],0),16,1,1,"Entities")),"review","ok"),"ok")</f>
        <v>ok</v>
      </c>
      <c r="U659" t="s">
        <v>2736</v>
      </c>
      <c r="V659">
        <v>0</v>
      </c>
      <c r="W659">
        <v>0</v>
      </c>
      <c r="X659" t="s">
        <v>8</v>
      </c>
      <c r="Y659" s="74" t="str">
        <f ca="1">IF(Table15[[#This Row],[Type]]="KILL",IF(_xlfn.NUMBERVALUE(RIGHT(Table15[[#This Row],[Min]],LEN(Table15[[#This Row],[Min]])-FIND("-",Table15[[#This Row],[Min]])))&gt;INDIRECT(ADDRESS(11+MATCH(LEFT(Table15[[#This Row],[Min]],FIND("-",Table15[[#This Row],[Min]])-1),Table1[Content Sku],0),16,1,1,"Entities")),"review","ok"),"ok")</f>
        <v>ok</v>
      </c>
      <c r="AK659" t="s">
        <v>578</v>
      </c>
      <c r="AL659">
        <v>0</v>
      </c>
      <c r="AM659">
        <v>0</v>
      </c>
      <c r="AN659" t="s">
        <v>8</v>
      </c>
      <c r="AO659" s="74" t="str">
        <f ca="1">IF(Table20[[#This Row],[Type]]="KILL",IF(_xlfn.NUMBERVALUE(RIGHT(Table20[[#This Row],[Min]],LEN(Table20[[#This Row],[Min]])-FIND("-",Table20[[#This Row],[Min]])))&gt;INDIRECT(ADDRESS(11+MATCH(LEFT(Table20[[#This Row],[Min]],FIND("-",Table20[[#This Row],[Min]])-1),Table1[Content Sku],0),18,1,1,"Entities")),"review","ok"),"ok")</f>
        <v>ok</v>
      </c>
    </row>
    <row r="660" spans="5:41" x14ac:dyDescent="0.25">
      <c r="E660" t="s">
        <v>95</v>
      </c>
      <c r="F660">
        <v>0</v>
      </c>
      <c r="G660">
        <v>0</v>
      </c>
      <c r="H660" t="s">
        <v>8</v>
      </c>
      <c r="I660" s="74" t="str">
        <f ca="1">IF(Table7[[#This Row],[Type]]="KILL",IF(_xlfn.NUMBERVALUE(RIGHT(Table7[[#This Row],[Min]],LEN(Table7[[#This Row],[Min]])-FIND("-",Table7[[#This Row],[Min]])))&gt;INDIRECT(ADDRESS(11+MATCH(LEFT(Table7[[#This Row],[Min]],FIND("-",Table7[[#This Row],[Min]])-1),Table1[Content Sku],0),16,1,1,"Entities")),"review","ok"),"ok")</f>
        <v>ok</v>
      </c>
      <c r="U660" t="s">
        <v>44</v>
      </c>
      <c r="V660">
        <v>35000</v>
      </c>
      <c r="W660">
        <v>0</v>
      </c>
      <c r="X660" t="s">
        <v>205</v>
      </c>
      <c r="Y660" s="74" t="str">
        <f ca="1">IF(Table15[[#This Row],[Type]]="KILL",IF(_xlfn.NUMBERVALUE(RIGHT(Table15[[#This Row],[Min]],LEN(Table15[[#This Row],[Min]])-FIND("-",Table15[[#This Row],[Min]])))&gt;INDIRECT(ADDRESS(11+MATCH(LEFT(Table15[[#This Row],[Min]],FIND("-",Table15[[#This Row],[Min]])-1),Table1[Content Sku],0),16,1,1,"Entities")),"review","ok"),"ok")</f>
        <v>ok</v>
      </c>
      <c r="AK660" t="s">
        <v>543</v>
      </c>
      <c r="AL660">
        <v>42000</v>
      </c>
      <c r="AM660">
        <v>0</v>
      </c>
      <c r="AN660" t="s">
        <v>205</v>
      </c>
      <c r="AO660" s="74" t="str">
        <f ca="1">IF(Table20[[#This Row],[Type]]="KILL",IF(_xlfn.NUMBERVALUE(RIGHT(Table20[[#This Row],[Min]],LEN(Table20[[#This Row],[Min]])-FIND("-",Table20[[#This Row],[Min]])))&gt;INDIRECT(ADDRESS(11+MATCH(LEFT(Table20[[#This Row],[Min]],FIND("-",Table20[[#This Row],[Min]])-1),Table1[Content Sku],0),18,1,1,"Entities")),"review","ok"),"ok")</f>
        <v>ok</v>
      </c>
    </row>
    <row r="661" spans="5:41" x14ac:dyDescent="0.25">
      <c r="E661" t="s">
        <v>50</v>
      </c>
      <c r="F661">
        <v>24000</v>
      </c>
      <c r="G661">
        <v>0</v>
      </c>
      <c r="H661" t="s">
        <v>205</v>
      </c>
      <c r="I661" s="74" t="str">
        <f ca="1">IF(Table7[[#This Row],[Type]]="KILL",IF(_xlfn.NUMBERVALUE(RIGHT(Table7[[#This Row],[Min]],LEN(Table7[[#This Row],[Min]])-FIND("-",Table7[[#This Row],[Min]])))&gt;INDIRECT(ADDRESS(11+MATCH(LEFT(Table7[[#This Row],[Min]],FIND("-",Table7[[#This Row],[Min]])-1),Table1[Content Sku],0),16,1,1,"Entities")),"review","ok"),"ok")</f>
        <v>ok</v>
      </c>
      <c r="U661" t="s">
        <v>450</v>
      </c>
      <c r="V661">
        <v>0</v>
      </c>
      <c r="W661">
        <v>0</v>
      </c>
      <c r="X661" t="s">
        <v>8</v>
      </c>
      <c r="Y661" s="74" t="str">
        <f ca="1">IF(Table15[[#This Row],[Type]]="KILL",IF(_xlfn.NUMBERVALUE(RIGHT(Table15[[#This Row],[Min]],LEN(Table15[[#This Row],[Min]])-FIND("-",Table15[[#This Row],[Min]])))&gt;INDIRECT(ADDRESS(11+MATCH(LEFT(Table15[[#This Row],[Min]],FIND("-",Table15[[#This Row],[Min]])-1),Table1[Content Sku],0),16,1,1,"Entities")),"review","ok"),"ok")</f>
        <v>ok</v>
      </c>
      <c r="AK661" t="s">
        <v>37</v>
      </c>
      <c r="AL661">
        <v>0</v>
      </c>
      <c r="AM661">
        <v>0</v>
      </c>
      <c r="AN661" t="s">
        <v>8</v>
      </c>
      <c r="AO661" s="74" t="str">
        <f ca="1">IF(Table20[[#This Row],[Type]]="KILL",IF(_xlfn.NUMBERVALUE(RIGHT(Table20[[#This Row],[Min]],LEN(Table20[[#This Row],[Min]])-FIND("-",Table20[[#This Row],[Min]])))&gt;INDIRECT(ADDRESS(11+MATCH(LEFT(Table20[[#This Row],[Min]],FIND("-",Table20[[#This Row],[Min]])-1),Table1[Content Sku],0),18,1,1,"Entities")),"review","ok"),"ok")</f>
        <v>ok</v>
      </c>
    </row>
    <row r="662" spans="5:41" x14ac:dyDescent="0.25">
      <c r="E662" t="s">
        <v>63</v>
      </c>
      <c r="F662">
        <v>0</v>
      </c>
      <c r="G662">
        <v>0</v>
      </c>
      <c r="H662" t="s">
        <v>8</v>
      </c>
      <c r="I662" s="74" t="str">
        <f ca="1">IF(Table7[[#This Row],[Type]]="KILL",IF(_xlfn.NUMBERVALUE(RIGHT(Table7[[#This Row],[Min]],LEN(Table7[[#This Row],[Min]])-FIND("-",Table7[[#This Row],[Min]])))&gt;INDIRECT(ADDRESS(11+MATCH(LEFT(Table7[[#This Row],[Min]],FIND("-",Table7[[#This Row],[Min]])-1),Table1[Content Sku],0),16,1,1,"Entities")),"review","ok"),"ok")</f>
        <v>ok</v>
      </c>
      <c r="U662" t="s">
        <v>39</v>
      </c>
      <c r="V662">
        <v>0</v>
      </c>
      <c r="W662">
        <v>0</v>
      </c>
      <c r="X662" t="s">
        <v>8</v>
      </c>
      <c r="Y662" s="74" t="str">
        <f ca="1">IF(Table15[[#This Row],[Type]]="KILL",IF(_xlfn.NUMBERVALUE(RIGHT(Table15[[#This Row],[Min]],LEN(Table15[[#This Row],[Min]])-FIND("-",Table15[[#This Row],[Min]])))&gt;INDIRECT(ADDRESS(11+MATCH(LEFT(Table15[[#This Row],[Min]],FIND("-",Table15[[#This Row],[Min]])-1),Table1[Content Sku],0),16,1,1,"Entities")),"review","ok"),"ok")</f>
        <v>ok</v>
      </c>
      <c r="AK662" t="s">
        <v>2741</v>
      </c>
      <c r="AL662">
        <v>0</v>
      </c>
      <c r="AM662">
        <v>0</v>
      </c>
      <c r="AN662" t="s">
        <v>8</v>
      </c>
      <c r="AO662" s="74" t="str">
        <f ca="1">IF(Table20[[#This Row],[Type]]="KILL",IF(_xlfn.NUMBERVALUE(RIGHT(Table20[[#This Row],[Min]],LEN(Table20[[#This Row],[Min]])-FIND("-",Table20[[#This Row],[Min]])))&gt;INDIRECT(ADDRESS(11+MATCH(LEFT(Table20[[#This Row],[Min]],FIND("-",Table20[[#This Row],[Min]])-1),Table1[Content Sku],0),18,1,1,"Entities")),"review","ok"),"ok")</f>
        <v>ok</v>
      </c>
    </row>
    <row r="663" spans="5:41" x14ac:dyDescent="0.25">
      <c r="E663" t="s">
        <v>396</v>
      </c>
      <c r="F663">
        <v>25000</v>
      </c>
      <c r="G663">
        <v>0</v>
      </c>
      <c r="H663" t="s">
        <v>205</v>
      </c>
      <c r="I663" s="74" t="str">
        <f ca="1">IF(Table7[[#This Row],[Type]]="KILL",IF(_xlfn.NUMBERVALUE(RIGHT(Table7[[#This Row],[Min]],LEN(Table7[[#This Row],[Min]])-FIND("-",Table7[[#This Row],[Min]])))&gt;INDIRECT(ADDRESS(11+MATCH(LEFT(Table7[[#This Row],[Min]],FIND("-",Table7[[#This Row],[Min]])-1),Table1[Content Sku],0),16,1,1,"Entities")),"review","ok"),"ok")</f>
        <v>ok</v>
      </c>
      <c r="U663" t="s">
        <v>253</v>
      </c>
      <c r="V663">
        <v>0</v>
      </c>
      <c r="W663">
        <v>0</v>
      </c>
      <c r="X663" t="s">
        <v>8</v>
      </c>
      <c r="Y663" s="74" t="str">
        <f ca="1">IF(Table15[[#This Row],[Type]]="KILL",IF(_xlfn.NUMBERVALUE(RIGHT(Table15[[#This Row],[Min]],LEN(Table15[[#This Row],[Min]])-FIND("-",Table15[[#This Row],[Min]])))&gt;INDIRECT(ADDRESS(11+MATCH(LEFT(Table15[[#This Row],[Min]],FIND("-",Table15[[#This Row],[Min]])-1),Table1[Content Sku],0),16,1,1,"Entities")),"review","ok"),"ok")</f>
        <v>ok</v>
      </c>
      <c r="AK663" t="s">
        <v>482</v>
      </c>
      <c r="AL663">
        <v>0</v>
      </c>
      <c r="AM663">
        <v>0</v>
      </c>
      <c r="AN663" t="s">
        <v>8</v>
      </c>
      <c r="AO663" s="74" t="str">
        <f ca="1">IF(Table20[[#This Row],[Type]]="KILL",IF(_xlfn.NUMBERVALUE(RIGHT(Table20[[#This Row],[Min]],LEN(Table20[[#This Row],[Min]])-FIND("-",Table20[[#This Row],[Min]])))&gt;INDIRECT(ADDRESS(11+MATCH(LEFT(Table20[[#This Row],[Min]],FIND("-",Table20[[#This Row],[Min]])-1),Table1[Content Sku],0),18,1,1,"Entities")),"review","ok"),"ok")</f>
        <v>ok</v>
      </c>
    </row>
    <row r="664" spans="5:41" x14ac:dyDescent="0.25">
      <c r="E664" t="s">
        <v>318</v>
      </c>
      <c r="F664">
        <v>0</v>
      </c>
      <c r="G664">
        <v>0</v>
      </c>
      <c r="H664" t="s">
        <v>8</v>
      </c>
      <c r="I664" s="74" t="str">
        <f ca="1">IF(Table7[[#This Row],[Type]]="KILL",IF(_xlfn.NUMBERVALUE(RIGHT(Table7[[#This Row],[Min]],LEN(Table7[[#This Row],[Min]])-FIND("-",Table7[[#This Row],[Min]])))&gt;INDIRECT(ADDRESS(11+MATCH(LEFT(Table7[[#This Row],[Min]],FIND("-",Table7[[#This Row],[Min]])-1),Table1[Content Sku],0),16,1,1,"Entities")),"review","ok"),"ok")</f>
        <v>ok</v>
      </c>
      <c r="U664" t="s">
        <v>545</v>
      </c>
      <c r="V664">
        <v>0</v>
      </c>
      <c r="W664">
        <v>0</v>
      </c>
      <c r="X664" t="s">
        <v>8</v>
      </c>
      <c r="Y664" s="74" t="str">
        <f ca="1">IF(Table15[[#This Row],[Type]]="KILL",IF(_xlfn.NUMBERVALUE(RIGHT(Table15[[#This Row],[Min]],LEN(Table15[[#This Row],[Min]])-FIND("-",Table15[[#This Row],[Min]])))&gt;INDIRECT(ADDRESS(11+MATCH(LEFT(Table15[[#This Row],[Min]],FIND("-",Table15[[#This Row],[Min]])-1),Table1[Content Sku],0),16,1,1,"Entities")),"review","ok"),"ok")</f>
        <v>ok</v>
      </c>
      <c r="AK664" t="s">
        <v>2662</v>
      </c>
      <c r="AL664">
        <v>0</v>
      </c>
      <c r="AM664">
        <v>0</v>
      </c>
      <c r="AN664" t="s">
        <v>8</v>
      </c>
      <c r="AO664" s="74" t="str">
        <f ca="1">IF(Table20[[#This Row],[Type]]="KILL",IF(_xlfn.NUMBERVALUE(RIGHT(Table20[[#This Row],[Min]],LEN(Table20[[#This Row],[Min]])-FIND("-",Table20[[#This Row],[Min]])))&gt;INDIRECT(ADDRESS(11+MATCH(LEFT(Table20[[#This Row],[Min]],FIND("-",Table20[[#This Row],[Min]])-1),Table1[Content Sku],0),18,1,1,"Entities")),"review","ok"),"ok")</f>
        <v>ok</v>
      </c>
    </row>
    <row r="665" spans="5:41" x14ac:dyDescent="0.25">
      <c r="E665" t="s">
        <v>313</v>
      </c>
      <c r="F665">
        <v>0</v>
      </c>
      <c r="G665">
        <v>0</v>
      </c>
      <c r="H665" t="s">
        <v>8</v>
      </c>
      <c r="I665" s="74" t="str">
        <f ca="1">IF(Table7[[#This Row],[Type]]="KILL",IF(_xlfn.NUMBERVALUE(RIGHT(Table7[[#This Row],[Min]],LEN(Table7[[#This Row],[Min]])-FIND("-",Table7[[#This Row],[Min]])))&gt;INDIRECT(ADDRESS(11+MATCH(LEFT(Table7[[#This Row],[Min]],FIND("-",Table7[[#This Row],[Min]])-1),Table1[Content Sku],0),16,1,1,"Entities")),"review","ok"),"ok")</f>
        <v>ok</v>
      </c>
      <c r="U665" t="s">
        <v>393</v>
      </c>
      <c r="V665">
        <v>20000</v>
      </c>
      <c r="W665">
        <v>46000</v>
      </c>
      <c r="X665" t="s">
        <v>205</v>
      </c>
      <c r="Y665" s="74" t="str">
        <f ca="1">IF(Table15[[#This Row],[Type]]="KILL",IF(_xlfn.NUMBERVALUE(RIGHT(Table15[[#This Row],[Min]],LEN(Table15[[#This Row],[Min]])-FIND("-",Table15[[#This Row],[Min]])))&gt;INDIRECT(ADDRESS(11+MATCH(LEFT(Table15[[#This Row],[Min]],FIND("-",Table15[[#This Row],[Min]])-1),Table1[Content Sku],0),16,1,1,"Entities")),"review","ok"),"ok")</f>
        <v>ok</v>
      </c>
      <c r="AK665" t="s">
        <v>578</v>
      </c>
      <c r="AL665">
        <v>0</v>
      </c>
      <c r="AM665">
        <v>0</v>
      </c>
      <c r="AN665" t="s">
        <v>8</v>
      </c>
      <c r="AO665" s="74" t="str">
        <f ca="1">IF(Table20[[#This Row],[Type]]="KILL",IF(_xlfn.NUMBERVALUE(RIGHT(Table20[[#This Row],[Min]],LEN(Table20[[#This Row],[Min]])-FIND("-",Table20[[#This Row],[Min]])))&gt;INDIRECT(ADDRESS(11+MATCH(LEFT(Table20[[#This Row],[Min]],FIND("-",Table20[[#This Row],[Min]])-1),Table1[Content Sku],0),18,1,1,"Entities")),"review","ok"),"ok")</f>
        <v>ok</v>
      </c>
    </row>
    <row r="666" spans="5:41" x14ac:dyDescent="0.25">
      <c r="E666" t="s">
        <v>254</v>
      </c>
      <c r="F666">
        <v>0</v>
      </c>
      <c r="G666">
        <v>0</v>
      </c>
      <c r="H666" t="s">
        <v>8</v>
      </c>
      <c r="I666" s="74" t="str">
        <f ca="1">IF(Table7[[#This Row],[Type]]="KILL",IF(_xlfn.NUMBERVALUE(RIGHT(Table7[[#This Row],[Min]],LEN(Table7[[#This Row],[Min]])-FIND("-",Table7[[#This Row],[Min]])))&gt;INDIRECT(ADDRESS(11+MATCH(LEFT(Table7[[#This Row],[Min]],FIND("-",Table7[[#This Row],[Min]])-1),Table1[Content Sku],0),16,1,1,"Entities")),"review","ok"),"ok")</f>
        <v>ok</v>
      </c>
      <c r="U666" t="s">
        <v>460</v>
      </c>
      <c r="V666">
        <v>0</v>
      </c>
      <c r="W666">
        <v>0</v>
      </c>
      <c r="X666" t="s">
        <v>8</v>
      </c>
      <c r="Y666" s="74" t="str">
        <f ca="1">IF(Table15[[#This Row],[Type]]="KILL",IF(_xlfn.NUMBERVALUE(RIGHT(Table15[[#This Row],[Min]],LEN(Table15[[#This Row],[Min]])-FIND("-",Table15[[#This Row],[Min]])))&gt;INDIRECT(ADDRESS(11+MATCH(LEFT(Table15[[#This Row],[Min]],FIND("-",Table15[[#This Row],[Min]])-1),Table1[Content Sku],0),16,1,1,"Entities")),"review","ok"),"ok")</f>
        <v>ok</v>
      </c>
      <c r="AK666" t="s">
        <v>2686</v>
      </c>
      <c r="AL666">
        <v>94000</v>
      </c>
      <c r="AM666">
        <v>0</v>
      </c>
      <c r="AN666" t="s">
        <v>205</v>
      </c>
      <c r="AO666" s="74" t="str">
        <f ca="1">IF(Table20[[#This Row],[Type]]="KILL",IF(_xlfn.NUMBERVALUE(RIGHT(Table20[[#This Row],[Min]],LEN(Table20[[#This Row],[Min]])-FIND("-",Table20[[#This Row],[Min]])))&gt;INDIRECT(ADDRESS(11+MATCH(LEFT(Table20[[#This Row],[Min]],FIND("-",Table20[[#This Row],[Min]])-1),Table1[Content Sku],0),18,1,1,"Entities")),"review","ok"),"ok")</f>
        <v>ok</v>
      </c>
    </row>
    <row r="667" spans="5:41" x14ac:dyDescent="0.25">
      <c r="E667" t="s">
        <v>39</v>
      </c>
      <c r="F667">
        <v>0</v>
      </c>
      <c r="G667">
        <v>0</v>
      </c>
      <c r="H667" t="s">
        <v>8</v>
      </c>
      <c r="I667" s="74" t="str">
        <f ca="1">IF(Table7[[#This Row],[Type]]="KILL",IF(_xlfn.NUMBERVALUE(RIGHT(Table7[[#This Row],[Min]],LEN(Table7[[#This Row],[Min]])-FIND("-",Table7[[#This Row],[Min]])))&gt;INDIRECT(ADDRESS(11+MATCH(LEFT(Table7[[#This Row],[Min]],FIND("-",Table7[[#This Row],[Min]])-1),Table1[Content Sku],0),16,1,1,"Entities")),"review","ok"),"ok")</f>
        <v>ok</v>
      </c>
      <c r="U667" t="s">
        <v>315</v>
      </c>
      <c r="V667">
        <v>32000</v>
      </c>
      <c r="W667">
        <v>0</v>
      </c>
      <c r="X667" t="s">
        <v>205</v>
      </c>
      <c r="Y667" s="74" t="str">
        <f ca="1">IF(Table15[[#This Row],[Type]]="KILL",IF(_xlfn.NUMBERVALUE(RIGHT(Table15[[#This Row],[Min]],LEN(Table15[[#This Row],[Min]])-FIND("-",Table15[[#This Row],[Min]])))&gt;INDIRECT(ADDRESS(11+MATCH(LEFT(Table15[[#This Row],[Min]],FIND("-",Table15[[#This Row],[Min]])-1),Table1[Content Sku],0),16,1,1,"Entities")),"review","ok"),"ok")</f>
        <v>ok</v>
      </c>
      <c r="AK667" t="s">
        <v>37</v>
      </c>
      <c r="AL667">
        <v>0</v>
      </c>
      <c r="AM667">
        <v>0</v>
      </c>
      <c r="AN667" t="s">
        <v>8</v>
      </c>
      <c r="AO667" s="74" t="str">
        <f ca="1">IF(Table20[[#This Row],[Type]]="KILL",IF(_xlfn.NUMBERVALUE(RIGHT(Table20[[#This Row],[Min]],LEN(Table20[[#This Row],[Min]])-FIND("-",Table20[[#This Row],[Min]])))&gt;INDIRECT(ADDRESS(11+MATCH(LEFT(Table20[[#This Row],[Min]],FIND("-",Table20[[#This Row],[Min]])-1),Table1[Content Sku],0),18,1,1,"Entities")),"review","ok"),"ok")</f>
        <v>ok</v>
      </c>
    </row>
    <row r="668" spans="5:41" x14ac:dyDescent="0.25">
      <c r="E668" t="s">
        <v>39</v>
      </c>
      <c r="F668">
        <v>0</v>
      </c>
      <c r="G668">
        <v>0</v>
      </c>
      <c r="H668" t="s">
        <v>8</v>
      </c>
      <c r="I668" s="74" t="str">
        <f ca="1">IF(Table7[[#This Row],[Type]]="KILL",IF(_xlfn.NUMBERVALUE(RIGHT(Table7[[#This Row],[Min]],LEN(Table7[[#This Row],[Min]])-FIND("-",Table7[[#This Row],[Min]])))&gt;INDIRECT(ADDRESS(11+MATCH(LEFT(Table7[[#This Row],[Min]],FIND("-",Table7[[#This Row],[Min]])-1),Table1[Content Sku],0),16,1,1,"Entities")),"review","ok"),"ok")</f>
        <v>ok</v>
      </c>
      <c r="U668" t="s">
        <v>40</v>
      </c>
      <c r="V668">
        <v>220</v>
      </c>
      <c r="W668">
        <v>0</v>
      </c>
      <c r="X668" t="s">
        <v>4431</v>
      </c>
      <c r="Y668" s="74" t="str">
        <f ca="1">IF(Table15[[#This Row],[Type]]="KILL",IF(_xlfn.NUMBERVALUE(RIGHT(Table15[[#This Row],[Min]],LEN(Table15[[#This Row],[Min]])-FIND("-",Table15[[#This Row],[Min]])))&gt;INDIRECT(ADDRESS(11+MATCH(LEFT(Table15[[#This Row],[Min]],FIND("-",Table15[[#This Row],[Min]])-1),Table1[Content Sku],0),16,1,1,"Entities")),"review","ok"),"ok")</f>
        <v>ok</v>
      </c>
      <c r="AK668" t="s">
        <v>2672</v>
      </c>
      <c r="AL668">
        <v>80000</v>
      </c>
      <c r="AM668">
        <v>0</v>
      </c>
      <c r="AN668" t="s">
        <v>205</v>
      </c>
      <c r="AO668" s="74" t="str">
        <f ca="1">IF(Table20[[#This Row],[Type]]="KILL",IF(_xlfn.NUMBERVALUE(RIGHT(Table20[[#This Row],[Min]],LEN(Table20[[#This Row],[Min]])-FIND("-",Table20[[#This Row],[Min]])))&gt;INDIRECT(ADDRESS(11+MATCH(LEFT(Table20[[#This Row],[Min]],FIND("-",Table20[[#This Row],[Min]])-1),Table1[Content Sku],0),18,1,1,"Entities")),"review","ok"),"ok")</f>
        <v>ok</v>
      </c>
    </row>
    <row r="669" spans="5:41" x14ac:dyDescent="0.25">
      <c r="E669" t="s">
        <v>46</v>
      </c>
      <c r="F669">
        <v>0</v>
      </c>
      <c r="G669">
        <v>0</v>
      </c>
      <c r="H669" t="s">
        <v>8</v>
      </c>
      <c r="I669" s="74" t="str">
        <f ca="1">IF(Table7[[#This Row],[Type]]="KILL",IF(_xlfn.NUMBERVALUE(RIGHT(Table7[[#This Row],[Min]],LEN(Table7[[#This Row],[Min]])-FIND("-",Table7[[#This Row],[Min]])))&gt;INDIRECT(ADDRESS(11+MATCH(LEFT(Table7[[#This Row],[Min]],FIND("-",Table7[[#This Row],[Min]])-1),Table1[Content Sku],0),16,1,1,"Entities")),"review","ok"),"ok")</f>
        <v>ok</v>
      </c>
      <c r="U669" t="s">
        <v>548</v>
      </c>
      <c r="V669">
        <v>0</v>
      </c>
      <c r="W669">
        <v>0</v>
      </c>
      <c r="X669" t="s">
        <v>8</v>
      </c>
      <c r="Y669" s="74" t="str">
        <f ca="1">IF(Table15[[#This Row],[Type]]="KILL",IF(_xlfn.NUMBERVALUE(RIGHT(Table15[[#This Row],[Min]],LEN(Table15[[#This Row],[Min]])-FIND("-",Table15[[#This Row],[Min]])))&gt;INDIRECT(ADDRESS(11+MATCH(LEFT(Table15[[#This Row],[Min]],FIND("-",Table15[[#This Row],[Min]])-1),Table1[Content Sku],0),16,1,1,"Entities")),"review","ok"),"ok")</f>
        <v>ok</v>
      </c>
      <c r="AK669" t="s">
        <v>482</v>
      </c>
      <c r="AL669">
        <v>0</v>
      </c>
      <c r="AM669">
        <v>0</v>
      </c>
      <c r="AN669" t="s">
        <v>8</v>
      </c>
      <c r="AO669" s="74" t="str">
        <f ca="1">IF(Table20[[#This Row],[Type]]="KILL",IF(_xlfn.NUMBERVALUE(RIGHT(Table20[[#This Row],[Min]],LEN(Table20[[#This Row],[Min]])-FIND("-",Table20[[#This Row],[Min]])))&gt;INDIRECT(ADDRESS(11+MATCH(LEFT(Table20[[#This Row],[Min]],FIND("-",Table20[[#This Row],[Min]])-1),Table1[Content Sku],0),18,1,1,"Entities")),"review","ok"),"ok")</f>
        <v>ok</v>
      </c>
    </row>
    <row r="670" spans="5:41" x14ac:dyDescent="0.25">
      <c r="E670" t="s">
        <v>254</v>
      </c>
      <c r="F670">
        <v>0</v>
      </c>
      <c r="G670">
        <v>28000</v>
      </c>
      <c r="H670" t="s">
        <v>205</v>
      </c>
      <c r="I670" s="74" t="str">
        <f ca="1">IF(Table7[[#This Row],[Type]]="KILL",IF(_xlfn.NUMBERVALUE(RIGHT(Table7[[#This Row],[Min]],LEN(Table7[[#This Row],[Min]])-FIND("-",Table7[[#This Row],[Min]])))&gt;INDIRECT(ADDRESS(11+MATCH(LEFT(Table7[[#This Row],[Min]],FIND("-",Table7[[#This Row],[Min]])-1),Table1[Content Sku],0),16,1,1,"Entities")),"review","ok"),"ok")</f>
        <v>ok</v>
      </c>
      <c r="U670" t="s">
        <v>43</v>
      </c>
      <c r="V670">
        <v>500</v>
      </c>
      <c r="W670">
        <v>0</v>
      </c>
      <c r="X670" t="s">
        <v>4431</v>
      </c>
      <c r="Y670" s="74" t="str">
        <f ca="1">IF(Table15[[#This Row],[Type]]="KILL",IF(_xlfn.NUMBERVALUE(RIGHT(Table15[[#This Row],[Min]],LEN(Table15[[#This Row],[Min]])-FIND("-",Table15[[#This Row],[Min]])))&gt;INDIRECT(ADDRESS(11+MATCH(LEFT(Table15[[#This Row],[Min]],FIND("-",Table15[[#This Row],[Min]])-1),Table1[Content Sku],0),16,1,1,"Entities")),"review","ok"),"ok")</f>
        <v>ok</v>
      </c>
      <c r="AK670" t="s">
        <v>41</v>
      </c>
      <c r="AL670">
        <v>62000</v>
      </c>
      <c r="AM670">
        <v>0</v>
      </c>
      <c r="AN670" t="s">
        <v>205</v>
      </c>
      <c r="AO670" s="74" t="str">
        <f ca="1">IF(Table20[[#This Row],[Type]]="KILL",IF(_xlfn.NUMBERVALUE(RIGHT(Table20[[#This Row],[Min]],LEN(Table20[[#This Row],[Min]])-FIND("-",Table20[[#This Row],[Min]])))&gt;INDIRECT(ADDRESS(11+MATCH(LEFT(Table20[[#This Row],[Min]],FIND("-",Table20[[#This Row],[Min]])-1),Table1[Content Sku],0),18,1,1,"Entities")),"review","ok"),"ok")</f>
        <v>ok</v>
      </c>
    </row>
    <row r="671" spans="5:41" x14ac:dyDescent="0.25">
      <c r="E671" t="s">
        <v>40</v>
      </c>
      <c r="F671">
        <v>8000</v>
      </c>
      <c r="G671">
        <v>0</v>
      </c>
      <c r="H671" t="s">
        <v>205</v>
      </c>
      <c r="I671" s="74" t="str">
        <f ca="1">IF(Table7[[#This Row],[Type]]="KILL",IF(_xlfn.NUMBERVALUE(RIGHT(Table7[[#This Row],[Min]],LEN(Table7[[#This Row],[Min]])-FIND("-",Table7[[#This Row],[Min]])))&gt;INDIRECT(ADDRESS(11+MATCH(LEFT(Table7[[#This Row],[Min]],FIND("-",Table7[[#This Row],[Min]])-1),Table1[Content Sku],0),16,1,1,"Entities")),"review","ok"),"ok")</f>
        <v>ok</v>
      </c>
      <c r="U671" t="s">
        <v>313</v>
      </c>
      <c r="V671">
        <v>0</v>
      </c>
      <c r="W671">
        <v>0</v>
      </c>
      <c r="X671" t="s">
        <v>8</v>
      </c>
      <c r="Y671" s="74" t="str">
        <f ca="1">IF(Table15[[#This Row],[Type]]="KILL",IF(_xlfn.NUMBERVALUE(RIGHT(Table15[[#This Row],[Min]],LEN(Table15[[#This Row],[Min]])-FIND("-",Table15[[#This Row],[Min]])))&gt;INDIRECT(ADDRESS(11+MATCH(LEFT(Table15[[#This Row],[Min]],FIND("-",Table15[[#This Row],[Min]])-1),Table1[Content Sku],0),16,1,1,"Entities")),"review","ok"),"ok")</f>
        <v>ok</v>
      </c>
      <c r="AK671" t="s">
        <v>2726</v>
      </c>
      <c r="AL671">
        <v>0</v>
      </c>
      <c r="AM671">
        <v>0</v>
      </c>
      <c r="AN671" t="s">
        <v>8</v>
      </c>
      <c r="AO671" s="74" t="str">
        <f ca="1">IF(Table20[[#This Row],[Type]]="KILL",IF(_xlfn.NUMBERVALUE(RIGHT(Table20[[#This Row],[Min]],LEN(Table20[[#This Row],[Min]])-FIND("-",Table20[[#This Row],[Min]])))&gt;INDIRECT(ADDRESS(11+MATCH(LEFT(Table20[[#This Row],[Min]],FIND("-",Table20[[#This Row],[Min]])-1),Table1[Content Sku],0),18,1,1,"Entities")),"review","ok"),"ok")</f>
        <v>ok</v>
      </c>
    </row>
    <row r="672" spans="5:41" x14ac:dyDescent="0.25">
      <c r="E672" t="s">
        <v>42</v>
      </c>
      <c r="F672">
        <v>18500</v>
      </c>
      <c r="G672">
        <v>0</v>
      </c>
      <c r="H672" t="s">
        <v>205</v>
      </c>
      <c r="I672" s="74" t="str">
        <f ca="1">IF(Table7[[#This Row],[Type]]="KILL",IF(_xlfn.NUMBERVALUE(RIGHT(Table7[[#This Row],[Min]],LEN(Table7[[#This Row],[Min]])-FIND("-",Table7[[#This Row],[Min]])))&gt;INDIRECT(ADDRESS(11+MATCH(LEFT(Table7[[#This Row],[Min]],FIND("-",Table7[[#This Row],[Min]])-1),Table1[Content Sku],0),16,1,1,"Entities")),"review","ok"),"ok")</f>
        <v>ok</v>
      </c>
      <c r="U672" t="s">
        <v>41</v>
      </c>
      <c r="V672">
        <v>32000</v>
      </c>
      <c r="W672">
        <v>0</v>
      </c>
      <c r="X672" t="s">
        <v>205</v>
      </c>
      <c r="Y672" s="74" t="str">
        <f ca="1">IF(Table15[[#This Row],[Type]]="KILL",IF(_xlfn.NUMBERVALUE(RIGHT(Table15[[#This Row],[Min]],LEN(Table15[[#This Row],[Min]])-FIND("-",Table15[[#This Row],[Min]])))&gt;INDIRECT(ADDRESS(11+MATCH(LEFT(Table15[[#This Row],[Min]],FIND("-",Table15[[#This Row],[Min]])-1),Table1[Content Sku],0),16,1,1,"Entities")),"review","ok"),"ok")</f>
        <v>ok</v>
      </c>
      <c r="AK672" t="s">
        <v>2671</v>
      </c>
      <c r="AL672">
        <v>0</v>
      </c>
      <c r="AM672">
        <v>0</v>
      </c>
      <c r="AN672" t="s">
        <v>8</v>
      </c>
      <c r="AO672" s="74" t="str">
        <f ca="1">IF(Table20[[#This Row],[Type]]="KILL",IF(_xlfn.NUMBERVALUE(RIGHT(Table20[[#This Row],[Min]],LEN(Table20[[#This Row],[Min]])-FIND("-",Table20[[#This Row],[Min]])))&gt;INDIRECT(ADDRESS(11+MATCH(LEFT(Table20[[#This Row],[Min]],FIND("-",Table20[[#This Row],[Min]])-1),Table1[Content Sku],0),18,1,1,"Entities")),"review","ok"),"ok")</f>
        <v>ok</v>
      </c>
    </row>
    <row r="673" spans="5:41" x14ac:dyDescent="0.25">
      <c r="E673" t="s">
        <v>347</v>
      </c>
      <c r="F673">
        <v>0</v>
      </c>
      <c r="G673">
        <v>0</v>
      </c>
      <c r="H673" t="s">
        <v>8</v>
      </c>
      <c r="I673" s="74" t="str">
        <f ca="1">IF(Table7[[#This Row],[Type]]="KILL",IF(_xlfn.NUMBERVALUE(RIGHT(Table7[[#This Row],[Min]],LEN(Table7[[#This Row],[Min]])-FIND("-",Table7[[#This Row],[Min]])))&gt;INDIRECT(ADDRESS(11+MATCH(LEFT(Table7[[#This Row],[Min]],FIND("-",Table7[[#This Row],[Min]])-1),Table1[Content Sku],0),16,1,1,"Entities")),"review","ok"),"ok")</f>
        <v>ok</v>
      </c>
      <c r="U673" t="s">
        <v>293</v>
      </c>
      <c r="V673">
        <v>0</v>
      </c>
      <c r="W673">
        <v>0</v>
      </c>
      <c r="X673" t="s">
        <v>8</v>
      </c>
      <c r="Y673" s="74" t="str">
        <f ca="1">IF(Table15[[#This Row],[Type]]="KILL",IF(_xlfn.NUMBERVALUE(RIGHT(Table15[[#This Row],[Min]],LEN(Table15[[#This Row],[Min]])-FIND("-",Table15[[#This Row],[Min]])))&gt;INDIRECT(ADDRESS(11+MATCH(LEFT(Table15[[#This Row],[Min]],FIND("-",Table15[[#This Row],[Min]])-1),Table1[Content Sku],0),16,1,1,"Entities")),"review","ok"),"ok")</f>
        <v>ok</v>
      </c>
      <c r="AK673" t="s">
        <v>2741</v>
      </c>
      <c r="AL673">
        <v>0</v>
      </c>
      <c r="AM673">
        <v>0</v>
      </c>
      <c r="AN673" t="s">
        <v>8</v>
      </c>
      <c r="AO673" s="74" t="str">
        <f ca="1">IF(Table20[[#This Row],[Type]]="KILL",IF(_xlfn.NUMBERVALUE(RIGHT(Table20[[#This Row],[Min]],LEN(Table20[[#This Row],[Min]])-FIND("-",Table20[[#This Row],[Min]])))&gt;INDIRECT(ADDRESS(11+MATCH(LEFT(Table20[[#This Row],[Min]],FIND("-",Table20[[#This Row],[Min]])-1),Table1[Content Sku],0),18,1,1,"Entities")),"review","ok"),"ok")</f>
        <v>ok</v>
      </c>
    </row>
    <row r="674" spans="5:41" x14ac:dyDescent="0.25">
      <c r="E674" t="s">
        <v>276</v>
      </c>
      <c r="F674">
        <v>0</v>
      </c>
      <c r="G674">
        <v>0</v>
      </c>
      <c r="H674" t="s">
        <v>8</v>
      </c>
      <c r="I674" s="74" t="str">
        <f ca="1">IF(Table7[[#This Row],[Type]]="KILL",IF(_xlfn.NUMBERVALUE(RIGHT(Table7[[#This Row],[Min]],LEN(Table7[[#This Row],[Min]])-FIND("-",Table7[[#This Row],[Min]])))&gt;INDIRECT(ADDRESS(11+MATCH(LEFT(Table7[[#This Row],[Min]],FIND("-",Table7[[#This Row],[Min]])-1),Table1[Content Sku],0),16,1,1,"Entities")),"review","ok"),"ok")</f>
        <v>ok</v>
      </c>
      <c r="U674" t="s">
        <v>311</v>
      </c>
      <c r="V674">
        <v>18000</v>
      </c>
      <c r="W674">
        <v>0</v>
      </c>
      <c r="X674" t="s">
        <v>205</v>
      </c>
      <c r="Y674" s="74" t="str">
        <f ca="1">IF(Table15[[#This Row],[Type]]="KILL",IF(_xlfn.NUMBERVALUE(RIGHT(Table15[[#This Row],[Min]],LEN(Table15[[#This Row],[Min]])-FIND("-",Table15[[#This Row],[Min]])))&gt;INDIRECT(ADDRESS(11+MATCH(LEFT(Table15[[#This Row],[Min]],FIND("-",Table15[[#This Row],[Min]])-1),Table1[Content Sku],0),16,1,1,"Entities")),"review","ok"),"ok")</f>
        <v>ok</v>
      </c>
      <c r="AK674" t="s">
        <v>2767</v>
      </c>
      <c r="AL674">
        <v>0</v>
      </c>
      <c r="AM674">
        <v>0</v>
      </c>
      <c r="AN674" t="s">
        <v>8</v>
      </c>
      <c r="AO674" s="74" t="str">
        <f ca="1">IF(Table20[[#This Row],[Type]]="KILL",IF(_xlfn.NUMBERVALUE(RIGHT(Table20[[#This Row],[Min]],LEN(Table20[[#This Row],[Min]])-FIND("-",Table20[[#This Row],[Min]])))&gt;INDIRECT(ADDRESS(11+MATCH(LEFT(Table20[[#This Row],[Min]],FIND("-",Table20[[#This Row],[Min]])-1),Table1[Content Sku],0),18,1,1,"Entities")),"review","ok"),"ok")</f>
        <v>ok</v>
      </c>
    </row>
    <row r="675" spans="5:41" x14ac:dyDescent="0.25">
      <c r="E675" t="s">
        <v>548</v>
      </c>
      <c r="F675">
        <v>0</v>
      </c>
      <c r="G675">
        <v>0</v>
      </c>
      <c r="H675" t="s">
        <v>8</v>
      </c>
      <c r="I675" s="74" t="str">
        <f ca="1">IF(Table7[[#This Row],[Type]]="KILL",IF(_xlfn.NUMBERVALUE(RIGHT(Table7[[#This Row],[Min]],LEN(Table7[[#This Row],[Min]])-FIND("-",Table7[[#This Row],[Min]])))&gt;INDIRECT(ADDRESS(11+MATCH(LEFT(Table7[[#This Row],[Min]],FIND("-",Table7[[#This Row],[Min]])-1),Table1[Content Sku],0),16,1,1,"Entities")),"review","ok"),"ok")</f>
        <v>ok</v>
      </c>
      <c r="U675" t="s">
        <v>306</v>
      </c>
      <c r="V675">
        <v>18000</v>
      </c>
      <c r="W675">
        <v>0</v>
      </c>
      <c r="X675" t="s">
        <v>205</v>
      </c>
      <c r="Y675" s="74" t="str">
        <f ca="1">IF(Table15[[#This Row],[Type]]="KILL",IF(_xlfn.NUMBERVALUE(RIGHT(Table15[[#This Row],[Min]],LEN(Table15[[#This Row],[Min]])-FIND("-",Table15[[#This Row],[Min]])))&gt;INDIRECT(ADDRESS(11+MATCH(LEFT(Table15[[#This Row],[Min]],FIND("-",Table15[[#This Row],[Min]])-1),Table1[Content Sku],0),16,1,1,"Entities")),"review","ok"),"ok")</f>
        <v>ok</v>
      </c>
      <c r="AK675" t="s">
        <v>2673</v>
      </c>
      <c r="AL675" t="s">
        <v>4473</v>
      </c>
      <c r="AM675" t="s">
        <v>4467</v>
      </c>
      <c r="AN675" t="s">
        <v>4468</v>
      </c>
      <c r="AO675" s="74" t="str">
        <f ca="1">IF(Table20[[#This Row],[Type]]="KILL",IF(_xlfn.NUMBERVALUE(RIGHT(Table20[[#This Row],[Min]],LEN(Table20[[#This Row],[Min]])-FIND("-",Table20[[#This Row],[Min]])))&gt;INDIRECT(ADDRESS(11+MATCH(LEFT(Table20[[#This Row],[Min]],FIND("-",Table20[[#This Row],[Min]])-1),Table1[Content Sku],0),18,1,1,"Entities")),"review","ok"),"ok")</f>
        <v>ok</v>
      </c>
    </row>
    <row r="676" spans="5:41" x14ac:dyDescent="0.25">
      <c r="E676" t="s">
        <v>313</v>
      </c>
      <c r="F676">
        <v>0</v>
      </c>
      <c r="G676">
        <v>0</v>
      </c>
      <c r="H676" t="s">
        <v>8</v>
      </c>
      <c r="I676" s="74" t="str">
        <f ca="1">IF(Table7[[#This Row],[Type]]="KILL",IF(_xlfn.NUMBERVALUE(RIGHT(Table7[[#This Row],[Min]],LEN(Table7[[#This Row],[Min]])-FIND("-",Table7[[#This Row],[Min]])))&gt;INDIRECT(ADDRESS(11+MATCH(LEFT(Table7[[#This Row],[Min]],FIND("-",Table7[[#This Row],[Min]])-1),Table1[Content Sku],0),16,1,1,"Entities")),"review","ok"),"ok")</f>
        <v>ok</v>
      </c>
      <c r="U676" t="s">
        <v>315</v>
      </c>
      <c r="V676">
        <v>0</v>
      </c>
      <c r="W676">
        <v>0</v>
      </c>
      <c r="X676" t="s">
        <v>8</v>
      </c>
      <c r="Y676" s="74" t="str">
        <f ca="1">IF(Table15[[#This Row],[Type]]="KILL",IF(_xlfn.NUMBERVALUE(RIGHT(Table15[[#This Row],[Min]],LEN(Table15[[#This Row],[Min]])-FIND("-",Table15[[#This Row],[Min]])))&gt;INDIRECT(ADDRESS(11+MATCH(LEFT(Table15[[#This Row],[Min]],FIND("-",Table15[[#This Row],[Min]])-1),Table1[Content Sku],0),16,1,1,"Entities")),"review","ok"),"ok")</f>
        <v>ok</v>
      </c>
      <c r="AK676" t="s">
        <v>2667</v>
      </c>
      <c r="AL676">
        <v>0</v>
      </c>
      <c r="AM676">
        <v>0</v>
      </c>
      <c r="AN676" t="s">
        <v>8</v>
      </c>
      <c r="AO676" s="74" t="str">
        <f ca="1">IF(Table20[[#This Row],[Type]]="KILL",IF(_xlfn.NUMBERVALUE(RIGHT(Table20[[#This Row],[Min]],LEN(Table20[[#This Row],[Min]])-FIND("-",Table20[[#This Row],[Min]])))&gt;INDIRECT(ADDRESS(11+MATCH(LEFT(Table20[[#This Row],[Min]],FIND("-",Table20[[#This Row],[Min]])-1),Table1[Content Sku],0),18,1,1,"Entities")),"review","ok"),"ok")</f>
        <v>ok</v>
      </c>
    </row>
    <row r="677" spans="5:41" x14ac:dyDescent="0.25">
      <c r="E677" t="s">
        <v>393</v>
      </c>
      <c r="F677">
        <v>0</v>
      </c>
      <c r="G677">
        <v>0</v>
      </c>
      <c r="H677" t="s">
        <v>8</v>
      </c>
      <c r="I677" s="74" t="str">
        <f ca="1">IF(Table7[[#This Row],[Type]]="KILL",IF(_xlfn.NUMBERVALUE(RIGHT(Table7[[#This Row],[Min]],LEN(Table7[[#This Row],[Min]])-FIND("-",Table7[[#This Row],[Min]])))&gt;INDIRECT(ADDRESS(11+MATCH(LEFT(Table7[[#This Row],[Min]],FIND("-",Table7[[#This Row],[Min]])-1),Table1[Content Sku],0),16,1,1,"Entities")),"review","ok"),"ok")</f>
        <v>ok</v>
      </c>
      <c r="U677" t="s">
        <v>338</v>
      </c>
      <c r="V677">
        <v>19000</v>
      </c>
      <c r="W677">
        <v>0</v>
      </c>
      <c r="X677" t="s">
        <v>205</v>
      </c>
      <c r="Y677" s="74" t="str">
        <f ca="1">IF(Table15[[#This Row],[Type]]="KILL",IF(_xlfn.NUMBERVALUE(RIGHT(Table15[[#This Row],[Min]],LEN(Table15[[#This Row],[Min]])-FIND("-",Table15[[#This Row],[Min]])))&gt;INDIRECT(ADDRESS(11+MATCH(LEFT(Table15[[#This Row],[Min]],FIND("-",Table15[[#This Row],[Min]])-1),Table1[Content Sku],0),16,1,1,"Entities")),"review","ok"),"ok")</f>
        <v>ok</v>
      </c>
      <c r="AK677" t="s">
        <v>553</v>
      </c>
      <c r="AL677">
        <v>0</v>
      </c>
      <c r="AM677">
        <v>0</v>
      </c>
      <c r="AN677" t="s">
        <v>8</v>
      </c>
      <c r="AO677" s="74" t="str">
        <f ca="1">IF(Table20[[#This Row],[Type]]="KILL",IF(_xlfn.NUMBERVALUE(RIGHT(Table20[[#This Row],[Min]],LEN(Table20[[#This Row],[Min]])-FIND("-",Table20[[#This Row],[Min]])))&gt;INDIRECT(ADDRESS(11+MATCH(LEFT(Table20[[#This Row],[Min]],FIND("-",Table20[[#This Row],[Min]])-1),Table1[Content Sku],0),18,1,1,"Entities")),"review","ok"),"ok")</f>
        <v>ok</v>
      </c>
    </row>
    <row r="678" spans="5:41" x14ac:dyDescent="0.25">
      <c r="E678" t="s">
        <v>21</v>
      </c>
      <c r="F678">
        <v>6000</v>
      </c>
      <c r="G678">
        <v>0</v>
      </c>
      <c r="H678" t="s">
        <v>205</v>
      </c>
      <c r="I678" s="74" t="str">
        <f ca="1">IF(Table7[[#This Row],[Type]]="KILL",IF(_xlfn.NUMBERVALUE(RIGHT(Table7[[#This Row],[Min]],LEN(Table7[[#This Row],[Min]])-FIND("-",Table7[[#This Row],[Min]])))&gt;INDIRECT(ADDRESS(11+MATCH(LEFT(Table7[[#This Row],[Min]],FIND("-",Table7[[#This Row],[Min]])-1),Table1[Content Sku],0),16,1,1,"Entities")),"review","ok"),"ok")</f>
        <v>ok</v>
      </c>
      <c r="U678" t="s">
        <v>37</v>
      </c>
      <c r="V678">
        <v>20000</v>
      </c>
      <c r="W678">
        <v>0</v>
      </c>
      <c r="X678" t="s">
        <v>205</v>
      </c>
      <c r="Y678" s="74" t="str">
        <f ca="1">IF(Table15[[#This Row],[Type]]="KILL",IF(_xlfn.NUMBERVALUE(RIGHT(Table15[[#This Row],[Min]],LEN(Table15[[#This Row],[Min]])-FIND("-",Table15[[#This Row],[Min]])))&gt;INDIRECT(ADDRESS(11+MATCH(LEFT(Table15[[#This Row],[Min]],FIND("-",Table15[[#This Row],[Min]])-1),Table1[Content Sku],0),16,1,1,"Entities")),"review","ok"),"ok")</f>
        <v>ok</v>
      </c>
      <c r="AK678" t="s">
        <v>548</v>
      </c>
      <c r="AL678">
        <v>0</v>
      </c>
      <c r="AM678">
        <v>0</v>
      </c>
      <c r="AN678" t="s">
        <v>8</v>
      </c>
      <c r="AO678" s="74" t="str">
        <f ca="1">IF(Table20[[#This Row],[Type]]="KILL",IF(_xlfn.NUMBERVALUE(RIGHT(Table20[[#This Row],[Min]],LEN(Table20[[#This Row],[Min]])-FIND("-",Table20[[#This Row],[Min]])))&gt;INDIRECT(ADDRESS(11+MATCH(LEFT(Table20[[#This Row],[Min]],FIND("-",Table20[[#This Row],[Min]])-1),Table1[Content Sku],0),18,1,1,"Entities")),"review","ok"),"ok")</f>
        <v>ok</v>
      </c>
    </row>
    <row r="679" spans="5:41" x14ac:dyDescent="0.25">
      <c r="E679" t="s">
        <v>253</v>
      </c>
      <c r="F679">
        <v>0</v>
      </c>
      <c r="G679">
        <v>0</v>
      </c>
      <c r="H679" t="s">
        <v>8</v>
      </c>
      <c r="I679" s="74" t="str">
        <f ca="1">IF(Table7[[#This Row],[Type]]="KILL",IF(_xlfn.NUMBERVALUE(RIGHT(Table7[[#This Row],[Min]],LEN(Table7[[#This Row],[Min]])-FIND("-",Table7[[#This Row],[Min]])))&gt;INDIRECT(ADDRESS(11+MATCH(LEFT(Table7[[#This Row],[Min]],FIND("-",Table7[[#This Row],[Min]])-1),Table1[Content Sku],0),16,1,1,"Entities")),"review","ok"),"ok")</f>
        <v>ok</v>
      </c>
      <c r="U679" t="s">
        <v>391</v>
      </c>
      <c r="V679">
        <v>0</v>
      </c>
      <c r="W679">
        <v>0</v>
      </c>
      <c r="X679" t="s">
        <v>8</v>
      </c>
      <c r="Y679" s="74" t="str">
        <f ca="1">IF(Table15[[#This Row],[Type]]="KILL",IF(_xlfn.NUMBERVALUE(RIGHT(Table15[[#This Row],[Min]],LEN(Table15[[#This Row],[Min]])-FIND("-",Table15[[#This Row],[Min]])))&gt;INDIRECT(ADDRESS(11+MATCH(LEFT(Table15[[#This Row],[Min]],FIND("-",Table15[[#This Row],[Min]])-1),Table1[Content Sku],0),16,1,1,"Entities")),"review","ok"),"ok")</f>
        <v>ok</v>
      </c>
      <c r="AK679" t="s">
        <v>95</v>
      </c>
      <c r="AL679">
        <v>0</v>
      </c>
      <c r="AM679">
        <v>0</v>
      </c>
      <c r="AN679" t="s">
        <v>8</v>
      </c>
      <c r="AO679" s="74" t="str">
        <f ca="1">IF(Table20[[#This Row],[Type]]="KILL",IF(_xlfn.NUMBERVALUE(RIGHT(Table20[[#This Row],[Min]],LEN(Table20[[#This Row],[Min]])-FIND("-",Table20[[#This Row],[Min]])))&gt;INDIRECT(ADDRESS(11+MATCH(LEFT(Table20[[#This Row],[Min]],FIND("-",Table20[[#This Row],[Min]])-1),Table1[Content Sku],0),18,1,1,"Entities")),"review","ok"),"ok")</f>
        <v>ok</v>
      </c>
    </row>
    <row r="680" spans="5:41" x14ac:dyDescent="0.25">
      <c r="E680" t="s">
        <v>289</v>
      </c>
      <c r="F680">
        <v>0</v>
      </c>
      <c r="G680">
        <v>0</v>
      </c>
      <c r="H680" t="s">
        <v>8</v>
      </c>
      <c r="I680" s="74" t="str">
        <f ca="1">IF(Table7[[#This Row],[Type]]="KILL",IF(_xlfn.NUMBERVALUE(RIGHT(Table7[[#This Row],[Min]],LEN(Table7[[#This Row],[Min]])-FIND("-",Table7[[#This Row],[Min]])))&gt;INDIRECT(ADDRESS(11+MATCH(LEFT(Table7[[#This Row],[Min]],FIND("-",Table7[[#This Row],[Min]])-1),Table1[Content Sku],0),16,1,1,"Entities")),"review","ok"),"ok")</f>
        <v>ok</v>
      </c>
      <c r="U680" t="s">
        <v>313</v>
      </c>
      <c r="V680">
        <v>0</v>
      </c>
      <c r="W680">
        <v>0</v>
      </c>
      <c r="X680" t="s">
        <v>8</v>
      </c>
      <c r="Y680" s="74" t="str">
        <f ca="1">IF(Table15[[#This Row],[Type]]="KILL",IF(_xlfn.NUMBERVALUE(RIGHT(Table15[[#This Row],[Min]],LEN(Table15[[#This Row],[Min]])-FIND("-",Table15[[#This Row],[Min]])))&gt;INDIRECT(ADDRESS(11+MATCH(LEFT(Table15[[#This Row],[Min]],FIND("-",Table15[[#This Row],[Min]])-1),Table1[Content Sku],0),16,1,1,"Entities")),"review","ok"),"ok")</f>
        <v>ok</v>
      </c>
      <c r="AK680" t="s">
        <v>95</v>
      </c>
      <c r="AL680">
        <v>35000</v>
      </c>
      <c r="AM680">
        <v>0</v>
      </c>
      <c r="AN680" t="s">
        <v>205</v>
      </c>
      <c r="AO680" s="74" t="str">
        <f ca="1">IF(Table20[[#This Row],[Type]]="KILL",IF(_xlfn.NUMBERVALUE(RIGHT(Table20[[#This Row],[Min]],LEN(Table20[[#This Row],[Min]])-FIND("-",Table20[[#This Row],[Min]])))&gt;INDIRECT(ADDRESS(11+MATCH(LEFT(Table20[[#This Row],[Min]],FIND("-",Table20[[#This Row],[Min]])-1),Table1[Content Sku],0),18,1,1,"Entities")),"review","ok"),"ok")</f>
        <v>ok</v>
      </c>
    </row>
    <row r="681" spans="5:41" x14ac:dyDescent="0.25">
      <c r="E681" t="s">
        <v>280</v>
      </c>
      <c r="F681">
        <v>0</v>
      </c>
      <c r="G681">
        <v>0</v>
      </c>
      <c r="H681" t="s">
        <v>8</v>
      </c>
      <c r="I681" s="74" t="str">
        <f ca="1">IF(Table7[[#This Row],[Type]]="KILL",IF(_xlfn.NUMBERVALUE(RIGHT(Table7[[#This Row],[Min]],LEN(Table7[[#This Row],[Min]])-FIND("-",Table7[[#This Row],[Min]])))&gt;INDIRECT(ADDRESS(11+MATCH(LEFT(Table7[[#This Row],[Min]],FIND("-",Table7[[#This Row],[Min]])-1),Table1[Content Sku],0),16,1,1,"Entities")),"review","ok"),"ok")</f>
        <v>ok</v>
      </c>
      <c r="U681" t="s">
        <v>280</v>
      </c>
      <c r="V681">
        <v>0</v>
      </c>
      <c r="W681">
        <v>0</v>
      </c>
      <c r="X681" t="s">
        <v>8</v>
      </c>
      <c r="Y681" s="74" t="str">
        <f ca="1">IF(Table15[[#This Row],[Type]]="KILL",IF(_xlfn.NUMBERVALUE(RIGHT(Table15[[#This Row],[Min]],LEN(Table15[[#This Row],[Min]])-FIND("-",Table15[[#This Row],[Min]])))&gt;INDIRECT(ADDRESS(11+MATCH(LEFT(Table15[[#This Row],[Min]],FIND("-",Table15[[#This Row],[Min]])-1),Table1[Content Sku],0),16,1,1,"Entities")),"review","ok"),"ok")</f>
        <v>ok</v>
      </c>
      <c r="AK681" t="s">
        <v>95</v>
      </c>
      <c r="AL681">
        <v>0</v>
      </c>
      <c r="AM681">
        <v>0</v>
      </c>
      <c r="AN681" t="s">
        <v>8</v>
      </c>
      <c r="AO681" s="74" t="str">
        <f ca="1">IF(Table20[[#This Row],[Type]]="KILL",IF(_xlfn.NUMBERVALUE(RIGHT(Table20[[#This Row],[Min]],LEN(Table20[[#This Row],[Min]])-FIND("-",Table20[[#This Row],[Min]])))&gt;INDIRECT(ADDRESS(11+MATCH(LEFT(Table20[[#This Row],[Min]],FIND("-",Table20[[#This Row],[Min]])-1),Table1[Content Sku],0),18,1,1,"Entities")),"review","ok"),"ok")</f>
        <v>ok</v>
      </c>
    </row>
    <row r="682" spans="5:41" x14ac:dyDescent="0.25">
      <c r="E682" t="s">
        <v>47</v>
      </c>
      <c r="F682">
        <v>4500</v>
      </c>
      <c r="G682">
        <v>0</v>
      </c>
      <c r="H682" t="s">
        <v>205</v>
      </c>
      <c r="I682" s="74" t="str">
        <f ca="1">IF(Table7[[#This Row],[Type]]="KILL",IF(_xlfn.NUMBERVALUE(RIGHT(Table7[[#This Row],[Min]],LEN(Table7[[#This Row],[Min]])-FIND("-",Table7[[#This Row],[Min]])))&gt;INDIRECT(ADDRESS(11+MATCH(LEFT(Table7[[#This Row],[Min]],FIND("-",Table7[[#This Row],[Min]])-1),Table1[Content Sku],0),16,1,1,"Entities")),"review","ok"),"ok")</f>
        <v>ok</v>
      </c>
      <c r="U682" t="s">
        <v>313</v>
      </c>
      <c r="V682">
        <v>0</v>
      </c>
      <c r="W682">
        <v>0</v>
      </c>
      <c r="X682" t="s">
        <v>8</v>
      </c>
      <c r="Y682" s="74" t="str">
        <f ca="1">IF(Table15[[#This Row],[Type]]="KILL",IF(_xlfn.NUMBERVALUE(RIGHT(Table15[[#This Row],[Min]],LEN(Table15[[#This Row],[Min]])-FIND("-",Table15[[#This Row],[Min]])))&gt;INDIRECT(ADDRESS(11+MATCH(LEFT(Table15[[#This Row],[Min]],FIND("-",Table15[[#This Row],[Min]])-1),Table1[Content Sku],0),16,1,1,"Entities")),"review","ok"),"ok")</f>
        <v>ok</v>
      </c>
      <c r="AK682" t="s">
        <v>37</v>
      </c>
      <c r="AL682">
        <v>0</v>
      </c>
      <c r="AM682">
        <v>0</v>
      </c>
      <c r="AN682" t="s">
        <v>8</v>
      </c>
      <c r="AO682" s="74" t="str">
        <f ca="1">IF(Table20[[#This Row],[Type]]="KILL",IF(_xlfn.NUMBERVALUE(RIGHT(Table20[[#This Row],[Min]],LEN(Table20[[#This Row],[Min]])-FIND("-",Table20[[#This Row],[Min]])))&gt;INDIRECT(ADDRESS(11+MATCH(LEFT(Table20[[#This Row],[Min]],FIND("-",Table20[[#This Row],[Min]])-1),Table1[Content Sku],0),18,1,1,"Entities")),"review","ok"),"ok")</f>
        <v>ok</v>
      </c>
    </row>
    <row r="683" spans="5:41" x14ac:dyDescent="0.25">
      <c r="E683" t="s">
        <v>393</v>
      </c>
      <c r="F683">
        <v>0</v>
      </c>
      <c r="G683">
        <v>0</v>
      </c>
      <c r="H683" t="s">
        <v>8</v>
      </c>
      <c r="I683" s="74" t="str">
        <f ca="1">IF(Table7[[#This Row],[Type]]="KILL",IF(_xlfn.NUMBERVALUE(RIGHT(Table7[[#This Row],[Min]],LEN(Table7[[#This Row],[Min]])-FIND("-",Table7[[#This Row],[Min]])))&gt;INDIRECT(ADDRESS(11+MATCH(LEFT(Table7[[#This Row],[Min]],FIND("-",Table7[[#This Row],[Min]])-1),Table1[Content Sku],0),16,1,1,"Entities")),"review","ok"),"ok")</f>
        <v>ok</v>
      </c>
      <c r="U683" t="s">
        <v>254</v>
      </c>
      <c r="V683">
        <v>0</v>
      </c>
      <c r="W683">
        <v>0</v>
      </c>
      <c r="X683" t="s">
        <v>8</v>
      </c>
      <c r="Y683" s="74" t="str">
        <f ca="1">IF(Table15[[#This Row],[Type]]="KILL",IF(_xlfn.NUMBERVALUE(RIGHT(Table15[[#This Row],[Min]],LEN(Table15[[#This Row],[Min]])-FIND("-",Table15[[#This Row],[Min]])))&gt;INDIRECT(ADDRESS(11+MATCH(LEFT(Table15[[#This Row],[Min]],FIND("-",Table15[[#This Row],[Min]])-1),Table1[Content Sku],0),16,1,1,"Entities")),"review","ok"),"ok")</f>
        <v>ok</v>
      </c>
      <c r="AK683" t="s">
        <v>2662</v>
      </c>
      <c r="AL683" t="s">
        <v>4466</v>
      </c>
      <c r="AM683" t="s">
        <v>5010</v>
      </c>
      <c r="AN683" t="s">
        <v>4468</v>
      </c>
      <c r="AO683" s="74" t="str">
        <f ca="1">IF(Table20[[#This Row],[Type]]="KILL",IF(_xlfn.NUMBERVALUE(RIGHT(Table20[[#This Row],[Min]],LEN(Table20[[#This Row],[Min]])-FIND("-",Table20[[#This Row],[Min]])))&gt;INDIRECT(ADDRESS(11+MATCH(LEFT(Table20[[#This Row],[Min]],FIND("-",Table20[[#This Row],[Min]])-1),Table1[Content Sku],0),18,1,1,"Entities")),"review","ok"),"ok")</f>
        <v>ok</v>
      </c>
    </row>
    <row r="684" spans="5:41" x14ac:dyDescent="0.25">
      <c r="E684" t="s">
        <v>95</v>
      </c>
      <c r="F684">
        <v>36000</v>
      </c>
      <c r="G684">
        <v>0</v>
      </c>
      <c r="H684" t="s">
        <v>205</v>
      </c>
      <c r="I684" s="74" t="str">
        <f ca="1">IF(Table7[[#This Row],[Type]]="KILL",IF(_xlfn.NUMBERVALUE(RIGHT(Table7[[#This Row],[Min]],LEN(Table7[[#This Row],[Min]])-FIND("-",Table7[[#This Row],[Min]])))&gt;INDIRECT(ADDRESS(11+MATCH(LEFT(Table7[[#This Row],[Min]],FIND("-",Table7[[#This Row],[Min]])-1),Table1[Content Sku],0),16,1,1,"Entities")),"review","ok"),"ok")</f>
        <v>ok</v>
      </c>
      <c r="U684" t="s">
        <v>315</v>
      </c>
      <c r="V684">
        <v>0</v>
      </c>
      <c r="W684">
        <v>0</v>
      </c>
      <c r="X684" t="s">
        <v>8</v>
      </c>
      <c r="Y684" s="74" t="str">
        <f ca="1">IF(Table15[[#This Row],[Type]]="KILL",IF(_xlfn.NUMBERVALUE(RIGHT(Table15[[#This Row],[Min]],LEN(Table15[[#This Row],[Min]])-FIND("-",Table15[[#This Row],[Min]])))&gt;INDIRECT(ADDRESS(11+MATCH(LEFT(Table15[[#This Row],[Min]],FIND("-",Table15[[#This Row],[Min]])-1),Table1[Content Sku],0),16,1,1,"Entities")),"review","ok"),"ok")</f>
        <v>ok</v>
      </c>
      <c r="AK684" t="s">
        <v>543</v>
      </c>
      <c r="AL684">
        <v>28000</v>
      </c>
      <c r="AM684">
        <v>0</v>
      </c>
      <c r="AN684" t="s">
        <v>205</v>
      </c>
      <c r="AO684" s="74" t="str">
        <f ca="1">IF(Table20[[#This Row],[Type]]="KILL",IF(_xlfn.NUMBERVALUE(RIGHT(Table20[[#This Row],[Min]],LEN(Table20[[#This Row],[Min]])-FIND("-",Table20[[#This Row],[Min]])))&gt;INDIRECT(ADDRESS(11+MATCH(LEFT(Table20[[#This Row],[Min]],FIND("-",Table20[[#This Row],[Min]])-1),Table1[Content Sku],0),18,1,1,"Entities")),"review","ok"),"ok")</f>
        <v>ok</v>
      </c>
    </row>
    <row r="685" spans="5:41" x14ac:dyDescent="0.25">
      <c r="E685" t="s">
        <v>95</v>
      </c>
      <c r="F685">
        <v>0</v>
      </c>
      <c r="G685">
        <v>0</v>
      </c>
      <c r="H685" t="s">
        <v>8</v>
      </c>
      <c r="I685" s="74" t="str">
        <f ca="1">IF(Table7[[#This Row],[Type]]="KILL",IF(_xlfn.NUMBERVALUE(RIGHT(Table7[[#This Row],[Min]],LEN(Table7[[#This Row],[Min]])-FIND("-",Table7[[#This Row],[Min]])))&gt;INDIRECT(ADDRESS(11+MATCH(LEFT(Table7[[#This Row],[Min]],FIND("-",Table7[[#This Row],[Min]])-1),Table1[Content Sku],0),16,1,1,"Entities")),"review","ok"),"ok")</f>
        <v>ok</v>
      </c>
      <c r="U685" t="s">
        <v>311</v>
      </c>
      <c r="V685">
        <v>20000</v>
      </c>
      <c r="W685">
        <v>0</v>
      </c>
      <c r="X685" t="s">
        <v>205</v>
      </c>
      <c r="Y685" s="74" t="str">
        <f ca="1">IF(Table15[[#This Row],[Type]]="KILL",IF(_xlfn.NUMBERVALUE(RIGHT(Table15[[#This Row],[Min]],LEN(Table15[[#This Row],[Min]])-FIND("-",Table15[[#This Row],[Min]])))&gt;INDIRECT(ADDRESS(11+MATCH(LEFT(Table15[[#This Row],[Min]],FIND("-",Table15[[#This Row],[Min]])-1),Table1[Content Sku],0),16,1,1,"Entities")),"review","ok"),"ok")</f>
        <v>ok</v>
      </c>
      <c r="AK685" t="s">
        <v>2741</v>
      </c>
      <c r="AL685">
        <v>0</v>
      </c>
      <c r="AM685">
        <v>0</v>
      </c>
      <c r="AN685" t="s">
        <v>8</v>
      </c>
      <c r="AO685" s="74" t="str">
        <f ca="1">IF(Table20[[#This Row],[Type]]="KILL",IF(_xlfn.NUMBERVALUE(RIGHT(Table20[[#This Row],[Min]],LEN(Table20[[#This Row],[Min]])-FIND("-",Table20[[#This Row],[Min]])))&gt;INDIRECT(ADDRESS(11+MATCH(LEFT(Table20[[#This Row],[Min]],FIND("-",Table20[[#This Row],[Min]])-1),Table1[Content Sku],0),18,1,1,"Entities")),"review","ok"),"ok")</f>
        <v>ok</v>
      </c>
    </row>
    <row r="686" spans="5:41" x14ac:dyDescent="0.25">
      <c r="E686" t="s">
        <v>122</v>
      </c>
      <c r="F686">
        <v>0</v>
      </c>
      <c r="G686">
        <v>0</v>
      </c>
      <c r="H686" t="s">
        <v>8</v>
      </c>
      <c r="I686" s="74" t="str">
        <f ca="1">IF(Table7[[#This Row],[Type]]="KILL",IF(_xlfn.NUMBERVALUE(RIGHT(Table7[[#This Row],[Min]],LEN(Table7[[#This Row],[Min]])-FIND("-",Table7[[#This Row],[Min]])))&gt;INDIRECT(ADDRESS(11+MATCH(LEFT(Table7[[#This Row],[Min]],FIND("-",Table7[[#This Row],[Min]])-1),Table1[Content Sku],0),16,1,1,"Entities")),"review","ok"),"ok")</f>
        <v>ok</v>
      </c>
      <c r="U686" t="s">
        <v>311</v>
      </c>
      <c r="V686">
        <v>17000</v>
      </c>
      <c r="W686">
        <v>0</v>
      </c>
      <c r="X686" t="s">
        <v>205</v>
      </c>
      <c r="Y686" s="74" t="str">
        <f ca="1">IF(Table15[[#This Row],[Type]]="KILL",IF(_xlfn.NUMBERVALUE(RIGHT(Table15[[#This Row],[Min]],LEN(Table15[[#This Row],[Min]])-FIND("-",Table15[[#This Row],[Min]])))&gt;INDIRECT(ADDRESS(11+MATCH(LEFT(Table15[[#This Row],[Min]],FIND("-",Table15[[#This Row],[Min]])-1),Table1[Content Sku],0),16,1,1,"Entities")),"review","ok"),"ok")</f>
        <v>ok</v>
      </c>
      <c r="AK686" t="s">
        <v>2666</v>
      </c>
      <c r="AL686">
        <v>0</v>
      </c>
      <c r="AM686">
        <v>0</v>
      </c>
      <c r="AN686" t="s">
        <v>8</v>
      </c>
      <c r="AO686" s="74" t="str">
        <f ca="1">IF(Table20[[#This Row],[Type]]="KILL",IF(_xlfn.NUMBERVALUE(RIGHT(Table20[[#This Row],[Min]],LEN(Table20[[#This Row],[Min]])-FIND("-",Table20[[#This Row],[Min]])))&gt;INDIRECT(ADDRESS(11+MATCH(LEFT(Table20[[#This Row],[Min]],FIND("-",Table20[[#This Row],[Min]])-1),Table1[Content Sku],0),18,1,1,"Entities")),"review","ok"),"ok")</f>
        <v>ok</v>
      </c>
    </row>
    <row r="687" spans="5:41" x14ac:dyDescent="0.25">
      <c r="E687" t="s">
        <v>63</v>
      </c>
      <c r="F687">
        <v>0</v>
      </c>
      <c r="G687">
        <v>0</v>
      </c>
      <c r="H687" t="s">
        <v>8</v>
      </c>
      <c r="I687" s="74" t="str">
        <f ca="1">IF(Table7[[#This Row],[Type]]="KILL",IF(_xlfn.NUMBERVALUE(RIGHT(Table7[[#This Row],[Min]],LEN(Table7[[#This Row],[Min]])-FIND("-",Table7[[#This Row],[Min]])))&gt;INDIRECT(ADDRESS(11+MATCH(LEFT(Table7[[#This Row],[Min]],FIND("-",Table7[[#This Row],[Min]])-1),Table1[Content Sku],0),16,1,1,"Entities")),"review","ok"),"ok")</f>
        <v>ok</v>
      </c>
      <c r="U687" t="s">
        <v>278</v>
      </c>
      <c r="V687">
        <v>0</v>
      </c>
      <c r="W687">
        <v>0</v>
      </c>
      <c r="X687" t="s">
        <v>8</v>
      </c>
      <c r="Y687" s="74" t="str">
        <f ca="1">IF(Table15[[#This Row],[Type]]="KILL",IF(_xlfn.NUMBERVALUE(RIGHT(Table15[[#This Row],[Min]],LEN(Table15[[#This Row],[Min]])-FIND("-",Table15[[#This Row],[Min]])))&gt;INDIRECT(ADDRESS(11+MATCH(LEFT(Table15[[#This Row],[Min]],FIND("-",Table15[[#This Row],[Min]])-1),Table1[Content Sku],0),16,1,1,"Entities")),"review","ok"),"ok")</f>
        <v>ok</v>
      </c>
      <c r="AK687" t="s">
        <v>2667</v>
      </c>
      <c r="AL687">
        <v>0</v>
      </c>
      <c r="AM687">
        <v>0</v>
      </c>
      <c r="AN687" t="s">
        <v>8</v>
      </c>
      <c r="AO687" s="74" t="str">
        <f ca="1">IF(Table20[[#This Row],[Type]]="KILL",IF(_xlfn.NUMBERVALUE(RIGHT(Table20[[#This Row],[Min]],LEN(Table20[[#This Row],[Min]])-FIND("-",Table20[[#This Row],[Min]])))&gt;INDIRECT(ADDRESS(11+MATCH(LEFT(Table20[[#This Row],[Min]],FIND("-",Table20[[#This Row],[Min]])-1),Table1[Content Sku],0),18,1,1,"Entities")),"review","ok"),"ok")</f>
        <v>ok</v>
      </c>
    </row>
    <row r="688" spans="5:41" x14ac:dyDescent="0.25">
      <c r="E688" t="s">
        <v>393</v>
      </c>
      <c r="F688">
        <v>0</v>
      </c>
      <c r="G688">
        <v>0</v>
      </c>
      <c r="H688" t="s">
        <v>8</v>
      </c>
      <c r="I688" s="74" t="str">
        <f ca="1">IF(Table7[[#This Row],[Type]]="KILL",IF(_xlfn.NUMBERVALUE(RIGHT(Table7[[#This Row],[Min]],LEN(Table7[[#This Row],[Min]])-FIND("-",Table7[[#This Row],[Min]])))&gt;INDIRECT(ADDRESS(11+MATCH(LEFT(Table7[[#This Row],[Min]],FIND("-",Table7[[#This Row],[Min]])-1),Table1[Content Sku],0),16,1,1,"Entities")),"review","ok"),"ok")</f>
        <v>ok</v>
      </c>
      <c r="U688" t="s">
        <v>315</v>
      </c>
      <c r="V688">
        <v>0</v>
      </c>
      <c r="W688">
        <v>0</v>
      </c>
      <c r="X688" t="s">
        <v>8</v>
      </c>
      <c r="Y688" s="74" t="str">
        <f ca="1">IF(Table15[[#This Row],[Type]]="KILL",IF(_xlfn.NUMBERVALUE(RIGHT(Table15[[#This Row],[Min]],LEN(Table15[[#This Row],[Min]])-FIND("-",Table15[[#This Row],[Min]])))&gt;INDIRECT(ADDRESS(11+MATCH(LEFT(Table15[[#This Row],[Min]],FIND("-",Table15[[#This Row],[Min]])-1),Table1[Content Sku],0),16,1,1,"Entities")),"review","ok"),"ok")</f>
        <v>ok</v>
      </c>
      <c r="AK688" t="s">
        <v>46</v>
      </c>
      <c r="AL688">
        <v>0</v>
      </c>
      <c r="AM688">
        <v>0</v>
      </c>
      <c r="AN688" t="s">
        <v>8</v>
      </c>
      <c r="AO688" s="74" t="str">
        <f ca="1">IF(Table20[[#This Row],[Type]]="KILL",IF(_xlfn.NUMBERVALUE(RIGHT(Table20[[#This Row],[Min]],LEN(Table20[[#This Row],[Min]])-FIND("-",Table20[[#This Row],[Min]])))&gt;INDIRECT(ADDRESS(11+MATCH(LEFT(Table20[[#This Row],[Min]],FIND("-",Table20[[#This Row],[Min]])-1),Table1[Content Sku],0),18,1,1,"Entities")),"review","ok"),"ok")</f>
        <v>ok</v>
      </c>
    </row>
    <row r="689" spans="5:41" x14ac:dyDescent="0.25">
      <c r="E689" t="s">
        <v>286</v>
      </c>
      <c r="F689">
        <v>0</v>
      </c>
      <c r="G689">
        <v>22000</v>
      </c>
      <c r="H689" t="s">
        <v>205</v>
      </c>
      <c r="I689" s="74" t="str">
        <f ca="1">IF(Table7[[#This Row],[Type]]="KILL",IF(_xlfn.NUMBERVALUE(RIGHT(Table7[[#This Row],[Min]],LEN(Table7[[#This Row],[Min]])-FIND("-",Table7[[#This Row],[Min]])))&gt;INDIRECT(ADDRESS(11+MATCH(LEFT(Table7[[#This Row],[Min]],FIND("-",Table7[[#This Row],[Min]])-1),Table1[Content Sku],0),16,1,1,"Entities")),"review","ok"),"ok")</f>
        <v>ok</v>
      </c>
      <c r="U689" t="s">
        <v>315</v>
      </c>
      <c r="V689">
        <v>0</v>
      </c>
      <c r="W689">
        <v>0</v>
      </c>
      <c r="X689" t="s">
        <v>8</v>
      </c>
      <c r="Y689" s="74" t="str">
        <f ca="1">IF(Table15[[#This Row],[Type]]="KILL",IF(_xlfn.NUMBERVALUE(RIGHT(Table15[[#This Row],[Min]],LEN(Table15[[#This Row],[Min]])-FIND("-",Table15[[#This Row],[Min]])))&gt;INDIRECT(ADDRESS(11+MATCH(LEFT(Table15[[#This Row],[Min]],FIND("-",Table15[[#This Row],[Min]])-1),Table1[Content Sku],0),16,1,1,"Entities")),"review","ok"),"ok")</f>
        <v>ok</v>
      </c>
      <c r="AK689" t="s">
        <v>2667</v>
      </c>
      <c r="AL689">
        <v>0</v>
      </c>
      <c r="AM689">
        <v>0</v>
      </c>
      <c r="AN689" t="s">
        <v>8</v>
      </c>
      <c r="AO689" s="74" t="str">
        <f ca="1">IF(Table20[[#This Row],[Type]]="KILL",IF(_xlfn.NUMBERVALUE(RIGHT(Table20[[#This Row],[Min]],LEN(Table20[[#This Row],[Min]])-FIND("-",Table20[[#This Row],[Min]])))&gt;INDIRECT(ADDRESS(11+MATCH(LEFT(Table20[[#This Row],[Min]],FIND("-",Table20[[#This Row],[Min]])-1),Table1[Content Sku],0),18,1,1,"Entities")),"review","ok"),"ok")</f>
        <v>ok</v>
      </c>
    </row>
    <row r="690" spans="5:41" x14ac:dyDescent="0.25">
      <c r="E690" t="s">
        <v>254</v>
      </c>
      <c r="F690">
        <v>0</v>
      </c>
      <c r="G690">
        <v>0</v>
      </c>
      <c r="H690" t="s">
        <v>8</v>
      </c>
      <c r="I690" s="74" t="str">
        <f ca="1">IF(Table7[[#This Row],[Type]]="KILL",IF(_xlfn.NUMBERVALUE(RIGHT(Table7[[#This Row],[Min]],LEN(Table7[[#This Row],[Min]])-FIND("-",Table7[[#This Row],[Min]])))&gt;INDIRECT(ADDRESS(11+MATCH(LEFT(Table7[[#This Row],[Min]],FIND("-",Table7[[#This Row],[Min]])-1),Table1[Content Sku],0),16,1,1,"Entities")),"review","ok"),"ok")</f>
        <v>ok</v>
      </c>
      <c r="U690" t="s">
        <v>39</v>
      </c>
      <c r="V690">
        <v>0</v>
      </c>
      <c r="W690">
        <v>0</v>
      </c>
      <c r="X690" t="s">
        <v>8</v>
      </c>
      <c r="Y690" s="74" t="str">
        <f ca="1">IF(Table15[[#This Row],[Type]]="KILL",IF(_xlfn.NUMBERVALUE(RIGHT(Table15[[#This Row],[Min]],LEN(Table15[[#This Row],[Min]])-FIND("-",Table15[[#This Row],[Min]])))&gt;INDIRECT(ADDRESS(11+MATCH(LEFT(Table15[[#This Row],[Min]],FIND("-",Table15[[#This Row],[Min]])-1),Table1[Content Sku],0),16,1,1,"Entities")),"review","ok"),"ok")</f>
        <v>ok</v>
      </c>
      <c r="AK690" t="s">
        <v>37</v>
      </c>
      <c r="AL690">
        <v>20000</v>
      </c>
      <c r="AM690">
        <v>0</v>
      </c>
      <c r="AN690" t="s">
        <v>205</v>
      </c>
      <c r="AO690" s="74" t="str">
        <f ca="1">IF(Table20[[#This Row],[Type]]="KILL",IF(_xlfn.NUMBERVALUE(RIGHT(Table20[[#This Row],[Min]],LEN(Table20[[#This Row],[Min]])-FIND("-",Table20[[#This Row],[Min]])))&gt;INDIRECT(ADDRESS(11+MATCH(LEFT(Table20[[#This Row],[Min]],FIND("-",Table20[[#This Row],[Min]])-1),Table1[Content Sku],0),18,1,1,"Entities")),"review","ok"),"ok")</f>
        <v>ok</v>
      </c>
    </row>
    <row r="691" spans="5:41" x14ac:dyDescent="0.25">
      <c r="E691" t="s">
        <v>280</v>
      </c>
      <c r="F691">
        <v>0</v>
      </c>
      <c r="G691">
        <v>0</v>
      </c>
      <c r="H691" t="s">
        <v>8</v>
      </c>
      <c r="I691" s="74" t="str">
        <f ca="1">IF(Table7[[#This Row],[Type]]="KILL",IF(_xlfn.NUMBERVALUE(RIGHT(Table7[[#This Row],[Min]],LEN(Table7[[#This Row],[Min]])-FIND("-",Table7[[#This Row],[Min]])))&gt;INDIRECT(ADDRESS(11+MATCH(LEFT(Table7[[#This Row],[Min]],FIND("-",Table7[[#This Row],[Min]])-1),Table1[Content Sku],0),16,1,1,"Entities")),"review","ok"),"ok")</f>
        <v>ok</v>
      </c>
      <c r="U691" t="s">
        <v>11</v>
      </c>
      <c r="V691">
        <v>35000</v>
      </c>
      <c r="W691">
        <v>0</v>
      </c>
      <c r="X691" t="s">
        <v>205</v>
      </c>
      <c r="Y691" s="74" t="str">
        <f ca="1">IF(Table15[[#This Row],[Type]]="KILL",IF(_xlfn.NUMBERVALUE(RIGHT(Table15[[#This Row],[Min]],LEN(Table15[[#This Row],[Min]])-FIND("-",Table15[[#This Row],[Min]])))&gt;INDIRECT(ADDRESS(11+MATCH(LEFT(Table15[[#This Row],[Min]],FIND("-",Table15[[#This Row],[Min]])-1),Table1[Content Sku],0),16,1,1,"Entities")),"review","ok"),"ok")</f>
        <v>ok</v>
      </c>
      <c r="AK691" t="s">
        <v>2667</v>
      </c>
      <c r="AL691">
        <v>0</v>
      </c>
      <c r="AM691">
        <v>0</v>
      </c>
      <c r="AN691" t="s">
        <v>8</v>
      </c>
      <c r="AO691" s="74" t="str">
        <f ca="1">IF(Table20[[#This Row],[Type]]="KILL",IF(_xlfn.NUMBERVALUE(RIGHT(Table20[[#This Row],[Min]],LEN(Table20[[#This Row],[Min]])-FIND("-",Table20[[#This Row],[Min]])))&gt;INDIRECT(ADDRESS(11+MATCH(LEFT(Table20[[#This Row],[Min]],FIND("-",Table20[[#This Row],[Min]])-1),Table1[Content Sku],0),18,1,1,"Entities")),"review","ok"),"ok")</f>
        <v>ok</v>
      </c>
    </row>
    <row r="692" spans="5:41" x14ac:dyDescent="0.25">
      <c r="E692" t="s">
        <v>396</v>
      </c>
      <c r="F692">
        <v>0</v>
      </c>
      <c r="G692">
        <v>0</v>
      </c>
      <c r="H692" t="s">
        <v>8</v>
      </c>
      <c r="I692" s="74" t="str">
        <f ca="1">IF(Table7[[#This Row],[Type]]="KILL",IF(_xlfn.NUMBERVALUE(RIGHT(Table7[[#This Row],[Min]],LEN(Table7[[#This Row],[Min]])-FIND("-",Table7[[#This Row],[Min]])))&gt;INDIRECT(ADDRESS(11+MATCH(LEFT(Table7[[#This Row],[Min]],FIND("-",Table7[[#This Row],[Min]])-1),Table1[Content Sku],0),16,1,1,"Entities")),"review","ok"),"ok")</f>
        <v>ok</v>
      </c>
      <c r="U692" t="s">
        <v>311</v>
      </c>
      <c r="V692">
        <v>0</v>
      </c>
      <c r="W692">
        <v>0</v>
      </c>
      <c r="X692" t="s">
        <v>8</v>
      </c>
      <c r="Y692" s="74" t="str">
        <f ca="1">IF(Table15[[#This Row],[Type]]="KILL",IF(_xlfn.NUMBERVALUE(RIGHT(Table15[[#This Row],[Min]],LEN(Table15[[#This Row],[Min]])-FIND("-",Table15[[#This Row],[Min]])))&gt;INDIRECT(ADDRESS(11+MATCH(LEFT(Table15[[#This Row],[Min]],FIND("-",Table15[[#This Row],[Min]])-1),Table1[Content Sku],0),16,1,1,"Entities")),"review","ok"),"ok")</f>
        <v>ok</v>
      </c>
      <c r="AK692" t="s">
        <v>545</v>
      </c>
      <c r="AL692">
        <v>0</v>
      </c>
      <c r="AM692">
        <v>0</v>
      </c>
      <c r="AN692" t="s">
        <v>8</v>
      </c>
      <c r="AO692" s="74" t="str">
        <f ca="1">IF(Table20[[#This Row],[Type]]="KILL",IF(_xlfn.NUMBERVALUE(RIGHT(Table20[[#This Row],[Min]],LEN(Table20[[#This Row],[Min]])-FIND("-",Table20[[#This Row],[Min]])))&gt;INDIRECT(ADDRESS(11+MATCH(LEFT(Table20[[#This Row],[Min]],FIND("-",Table20[[#This Row],[Min]])-1),Table1[Content Sku],0),18,1,1,"Entities")),"review","ok"),"ok")</f>
        <v>ok</v>
      </c>
    </row>
    <row r="693" spans="5:41" x14ac:dyDescent="0.25">
      <c r="E693" t="s">
        <v>313</v>
      </c>
      <c r="F693">
        <v>0</v>
      </c>
      <c r="G693">
        <v>0</v>
      </c>
      <c r="H693" t="s">
        <v>8</v>
      </c>
      <c r="I693" s="74" t="str">
        <f ca="1">IF(Table7[[#This Row],[Type]]="KILL",IF(_xlfn.NUMBERVALUE(RIGHT(Table7[[#This Row],[Min]],LEN(Table7[[#This Row],[Min]])-FIND("-",Table7[[#This Row],[Min]])))&gt;INDIRECT(ADDRESS(11+MATCH(LEFT(Table7[[#This Row],[Min]],FIND("-",Table7[[#This Row],[Min]])-1),Table1[Content Sku],0),16,1,1,"Entities")),"review","ok"),"ok")</f>
        <v>ok</v>
      </c>
      <c r="U693" t="s">
        <v>400</v>
      </c>
      <c r="V693">
        <v>0</v>
      </c>
      <c r="W693">
        <v>0</v>
      </c>
      <c r="X693" t="s">
        <v>8</v>
      </c>
      <c r="Y693" s="74" t="str">
        <f ca="1">IF(Table15[[#This Row],[Type]]="KILL",IF(_xlfn.NUMBERVALUE(RIGHT(Table15[[#This Row],[Min]],LEN(Table15[[#This Row],[Min]])-FIND("-",Table15[[#This Row],[Min]])))&gt;INDIRECT(ADDRESS(11+MATCH(LEFT(Table15[[#This Row],[Min]],FIND("-",Table15[[#This Row],[Min]])-1),Table1[Content Sku],0),16,1,1,"Entities")),"review","ok"),"ok")</f>
        <v>ok</v>
      </c>
      <c r="AK693" t="s">
        <v>2678</v>
      </c>
      <c r="AL693">
        <v>0</v>
      </c>
      <c r="AM693">
        <v>0</v>
      </c>
      <c r="AN693" t="s">
        <v>8</v>
      </c>
      <c r="AO693" s="74" t="str">
        <f ca="1">IF(Table20[[#This Row],[Type]]="KILL",IF(_xlfn.NUMBERVALUE(RIGHT(Table20[[#This Row],[Min]],LEN(Table20[[#This Row],[Min]])-FIND("-",Table20[[#This Row],[Min]])))&gt;INDIRECT(ADDRESS(11+MATCH(LEFT(Table20[[#This Row],[Min]],FIND("-",Table20[[#This Row],[Min]])-1),Table1[Content Sku],0),18,1,1,"Entities")),"review","ok"),"ok")</f>
        <v>ok</v>
      </c>
    </row>
    <row r="694" spans="5:41" x14ac:dyDescent="0.25">
      <c r="E694" t="s">
        <v>276</v>
      </c>
      <c r="F694">
        <v>0</v>
      </c>
      <c r="G694">
        <v>0</v>
      </c>
      <c r="H694" t="s">
        <v>8</v>
      </c>
      <c r="I694" s="74" t="str">
        <f ca="1">IF(Table7[[#This Row],[Type]]="KILL",IF(_xlfn.NUMBERVALUE(RIGHT(Table7[[#This Row],[Min]],LEN(Table7[[#This Row],[Min]])-FIND("-",Table7[[#This Row],[Min]])))&gt;INDIRECT(ADDRESS(11+MATCH(LEFT(Table7[[#This Row],[Min]],FIND("-",Table7[[#This Row],[Min]])-1),Table1[Content Sku],0),16,1,1,"Entities")),"review","ok"),"ok")</f>
        <v>ok</v>
      </c>
      <c r="U694" t="s">
        <v>95</v>
      </c>
      <c r="V694">
        <v>0</v>
      </c>
      <c r="W694">
        <v>0</v>
      </c>
      <c r="X694" t="s">
        <v>8</v>
      </c>
      <c r="Y694" s="74" t="str">
        <f ca="1">IF(Table15[[#This Row],[Type]]="KILL",IF(_xlfn.NUMBERVALUE(RIGHT(Table15[[#This Row],[Min]],LEN(Table15[[#This Row],[Min]])-FIND("-",Table15[[#This Row],[Min]])))&gt;INDIRECT(ADDRESS(11+MATCH(LEFT(Table15[[#This Row],[Min]],FIND("-",Table15[[#This Row],[Min]])-1),Table1[Content Sku],0),16,1,1,"Entities")),"review","ok"),"ok")</f>
        <v>ok</v>
      </c>
      <c r="AK694" t="s">
        <v>41</v>
      </c>
      <c r="AL694">
        <v>64000</v>
      </c>
      <c r="AM694">
        <v>0</v>
      </c>
      <c r="AN694" t="s">
        <v>205</v>
      </c>
      <c r="AO694" s="74" t="str">
        <f ca="1">IF(Table20[[#This Row],[Type]]="KILL",IF(_xlfn.NUMBERVALUE(RIGHT(Table20[[#This Row],[Min]],LEN(Table20[[#This Row],[Min]])-FIND("-",Table20[[#This Row],[Min]])))&gt;INDIRECT(ADDRESS(11+MATCH(LEFT(Table20[[#This Row],[Min]],FIND("-",Table20[[#This Row],[Min]])-1),Table1[Content Sku],0),18,1,1,"Entities")),"review","ok"),"ok")</f>
        <v>ok</v>
      </c>
    </row>
    <row r="695" spans="5:41" x14ac:dyDescent="0.25">
      <c r="E695" t="s">
        <v>391</v>
      </c>
      <c r="F695">
        <v>0</v>
      </c>
      <c r="G695">
        <v>0</v>
      </c>
      <c r="H695" t="s">
        <v>8</v>
      </c>
      <c r="I695" s="74" t="str">
        <f ca="1">IF(Table7[[#This Row],[Type]]="KILL",IF(_xlfn.NUMBERVALUE(RIGHT(Table7[[#This Row],[Min]],LEN(Table7[[#This Row],[Min]])-FIND("-",Table7[[#This Row],[Min]])))&gt;INDIRECT(ADDRESS(11+MATCH(LEFT(Table7[[#This Row],[Min]],FIND("-",Table7[[#This Row],[Min]])-1),Table1[Content Sku],0),16,1,1,"Entities")),"review","ok"),"ok")</f>
        <v>ok</v>
      </c>
      <c r="U695" t="s">
        <v>41</v>
      </c>
      <c r="V695">
        <v>300</v>
      </c>
      <c r="W695">
        <v>0</v>
      </c>
      <c r="X695" t="s">
        <v>4431</v>
      </c>
      <c r="Y695" s="74" t="str">
        <f ca="1">IF(Table15[[#This Row],[Type]]="KILL",IF(_xlfn.NUMBERVALUE(RIGHT(Table15[[#This Row],[Min]],LEN(Table15[[#This Row],[Min]])-FIND("-",Table15[[#This Row],[Min]])))&gt;INDIRECT(ADDRESS(11+MATCH(LEFT(Table15[[#This Row],[Min]],FIND("-",Table15[[#This Row],[Min]])-1),Table1[Content Sku],0),16,1,1,"Entities")),"review","ok"),"ok")</f>
        <v>ok</v>
      </c>
      <c r="AK695" t="s">
        <v>256</v>
      </c>
      <c r="AL695">
        <v>0</v>
      </c>
      <c r="AM695">
        <v>52000</v>
      </c>
      <c r="AN695" t="s">
        <v>205</v>
      </c>
      <c r="AO695" s="74" t="str">
        <f ca="1">IF(Table20[[#This Row],[Type]]="KILL",IF(_xlfn.NUMBERVALUE(RIGHT(Table20[[#This Row],[Min]],LEN(Table20[[#This Row],[Min]])-FIND("-",Table20[[#This Row],[Min]])))&gt;INDIRECT(ADDRESS(11+MATCH(LEFT(Table20[[#This Row],[Min]],FIND("-",Table20[[#This Row],[Min]])-1),Table1[Content Sku],0),18,1,1,"Entities")),"review","ok"),"ok")</f>
        <v>ok</v>
      </c>
    </row>
    <row r="696" spans="5:41" x14ac:dyDescent="0.25">
      <c r="E696" t="s">
        <v>391</v>
      </c>
      <c r="F696">
        <v>0</v>
      </c>
      <c r="G696">
        <v>0</v>
      </c>
      <c r="H696" t="s">
        <v>8</v>
      </c>
      <c r="I696" s="74" t="str">
        <f ca="1">IF(Table7[[#This Row],[Type]]="KILL",IF(_xlfn.NUMBERVALUE(RIGHT(Table7[[#This Row],[Min]],LEN(Table7[[#This Row],[Min]])-FIND("-",Table7[[#This Row],[Min]])))&gt;INDIRECT(ADDRESS(11+MATCH(LEFT(Table7[[#This Row],[Min]],FIND("-",Table7[[#This Row],[Min]])-1),Table1[Content Sku],0),16,1,1,"Entities")),"review","ok"),"ok")</f>
        <v>ok</v>
      </c>
      <c r="U696" t="s">
        <v>2726</v>
      </c>
      <c r="V696">
        <v>0</v>
      </c>
      <c r="W696">
        <v>0</v>
      </c>
      <c r="X696" t="s">
        <v>8</v>
      </c>
      <c r="Y696" s="74" t="str">
        <f ca="1">IF(Table15[[#This Row],[Type]]="KILL",IF(_xlfn.NUMBERVALUE(RIGHT(Table15[[#This Row],[Min]],LEN(Table15[[#This Row],[Min]])-FIND("-",Table15[[#This Row],[Min]])))&gt;INDIRECT(ADDRESS(11+MATCH(LEFT(Table15[[#This Row],[Min]],FIND("-",Table15[[#This Row],[Min]])-1),Table1[Content Sku],0),16,1,1,"Entities")),"review","ok"),"ok")</f>
        <v>ok</v>
      </c>
      <c r="AK696" t="s">
        <v>545</v>
      </c>
      <c r="AL696">
        <v>0</v>
      </c>
      <c r="AM696">
        <v>0</v>
      </c>
      <c r="AN696" t="s">
        <v>8</v>
      </c>
      <c r="AO696" s="74" t="str">
        <f ca="1">IF(Table20[[#This Row],[Type]]="KILL",IF(_xlfn.NUMBERVALUE(RIGHT(Table20[[#This Row],[Min]],LEN(Table20[[#This Row],[Min]])-FIND("-",Table20[[#This Row],[Min]])))&gt;INDIRECT(ADDRESS(11+MATCH(LEFT(Table20[[#This Row],[Min]],FIND("-",Table20[[#This Row],[Min]])-1),Table1[Content Sku],0),18,1,1,"Entities")),"review","ok"),"ok")</f>
        <v>ok</v>
      </c>
    </row>
    <row r="697" spans="5:41" x14ac:dyDescent="0.25">
      <c r="E697" t="s">
        <v>280</v>
      </c>
      <c r="F697">
        <v>0</v>
      </c>
      <c r="G697">
        <v>0</v>
      </c>
      <c r="H697" t="s">
        <v>8</v>
      </c>
      <c r="I697" s="74" t="str">
        <f ca="1">IF(Table7[[#This Row],[Type]]="KILL",IF(_xlfn.NUMBERVALUE(RIGHT(Table7[[#This Row],[Min]],LEN(Table7[[#This Row],[Min]])-FIND("-",Table7[[#This Row],[Min]])))&gt;INDIRECT(ADDRESS(11+MATCH(LEFT(Table7[[#This Row],[Min]],FIND("-",Table7[[#This Row],[Min]])-1),Table1[Content Sku],0),16,1,1,"Entities")),"review","ok"),"ok")</f>
        <v>ok</v>
      </c>
      <c r="U697" t="s">
        <v>254</v>
      </c>
      <c r="V697">
        <v>0</v>
      </c>
      <c r="W697">
        <v>0</v>
      </c>
      <c r="X697" t="s">
        <v>8</v>
      </c>
      <c r="Y697" s="74" t="str">
        <f ca="1">IF(Table15[[#This Row],[Type]]="KILL",IF(_xlfn.NUMBERVALUE(RIGHT(Table15[[#This Row],[Min]],LEN(Table15[[#This Row],[Min]])-FIND("-",Table15[[#This Row],[Min]])))&gt;INDIRECT(ADDRESS(11+MATCH(LEFT(Table15[[#This Row],[Min]],FIND("-",Table15[[#This Row],[Min]])-1),Table1[Content Sku],0),16,1,1,"Entities")),"review","ok"),"ok")</f>
        <v>ok</v>
      </c>
      <c r="AK697" t="s">
        <v>37</v>
      </c>
      <c r="AL697">
        <v>0</v>
      </c>
      <c r="AM697">
        <v>0</v>
      </c>
      <c r="AN697" t="s">
        <v>8</v>
      </c>
      <c r="AO697" s="74" t="str">
        <f ca="1">IF(Table20[[#This Row],[Type]]="KILL",IF(_xlfn.NUMBERVALUE(RIGHT(Table20[[#This Row],[Min]],LEN(Table20[[#This Row],[Min]])-FIND("-",Table20[[#This Row],[Min]])))&gt;INDIRECT(ADDRESS(11+MATCH(LEFT(Table20[[#This Row],[Min]],FIND("-",Table20[[#This Row],[Min]])-1),Table1[Content Sku],0),18,1,1,"Entities")),"review","ok"),"ok")</f>
        <v>ok</v>
      </c>
    </row>
    <row r="698" spans="5:41" x14ac:dyDescent="0.25">
      <c r="E698" t="s">
        <v>338</v>
      </c>
      <c r="F698">
        <v>0</v>
      </c>
      <c r="G698">
        <v>0</v>
      </c>
      <c r="H698" t="s">
        <v>8</v>
      </c>
      <c r="I698" s="74" t="str">
        <f ca="1">IF(Table7[[#This Row],[Type]]="KILL",IF(_xlfn.NUMBERVALUE(RIGHT(Table7[[#This Row],[Min]],LEN(Table7[[#This Row],[Min]])-FIND("-",Table7[[#This Row],[Min]])))&gt;INDIRECT(ADDRESS(11+MATCH(LEFT(Table7[[#This Row],[Min]],FIND("-",Table7[[#This Row],[Min]])-1),Table1[Content Sku],0),16,1,1,"Entities")),"review","ok"),"ok")</f>
        <v>ok</v>
      </c>
      <c r="U698" t="s">
        <v>253</v>
      </c>
      <c r="V698">
        <v>0</v>
      </c>
      <c r="W698">
        <v>0</v>
      </c>
      <c r="X698" t="s">
        <v>8</v>
      </c>
      <c r="Y698" s="74" t="str">
        <f ca="1">IF(Table15[[#This Row],[Type]]="KILL",IF(_xlfn.NUMBERVALUE(RIGHT(Table15[[#This Row],[Min]],LEN(Table15[[#This Row],[Min]])-FIND("-",Table15[[#This Row],[Min]])))&gt;INDIRECT(ADDRESS(11+MATCH(LEFT(Table15[[#This Row],[Min]],FIND("-",Table15[[#This Row],[Min]])-1),Table1[Content Sku],0),16,1,1,"Entities")),"review","ok"),"ok")</f>
        <v>ok</v>
      </c>
      <c r="AK698" t="s">
        <v>545</v>
      </c>
      <c r="AL698">
        <v>0</v>
      </c>
      <c r="AM698">
        <v>0</v>
      </c>
      <c r="AN698" t="s">
        <v>8</v>
      </c>
      <c r="AO698" s="74" t="str">
        <f ca="1">IF(Table20[[#This Row],[Type]]="KILL",IF(_xlfn.NUMBERVALUE(RIGHT(Table20[[#This Row],[Min]],LEN(Table20[[#This Row],[Min]])-FIND("-",Table20[[#This Row],[Min]])))&gt;INDIRECT(ADDRESS(11+MATCH(LEFT(Table20[[#This Row],[Min]],FIND("-",Table20[[#This Row],[Min]])-1),Table1[Content Sku],0),18,1,1,"Entities")),"review","ok"),"ok")</f>
        <v>ok</v>
      </c>
    </row>
    <row r="699" spans="5:41" x14ac:dyDescent="0.25">
      <c r="E699" t="s">
        <v>313</v>
      </c>
      <c r="F699">
        <v>0</v>
      </c>
      <c r="G699">
        <v>0</v>
      </c>
      <c r="H699" t="s">
        <v>8</v>
      </c>
      <c r="I699" s="74" t="str">
        <f ca="1">IF(Table7[[#This Row],[Type]]="KILL",IF(_xlfn.NUMBERVALUE(RIGHT(Table7[[#This Row],[Min]],LEN(Table7[[#This Row],[Min]])-FIND("-",Table7[[#This Row],[Min]])))&gt;INDIRECT(ADDRESS(11+MATCH(LEFT(Table7[[#This Row],[Min]],FIND("-",Table7[[#This Row],[Min]])-1),Table1[Content Sku],0),16,1,1,"Entities")),"review","ok"),"ok")</f>
        <v>ok</v>
      </c>
      <c r="U699" t="s">
        <v>8134</v>
      </c>
      <c r="V699">
        <v>0</v>
      </c>
      <c r="W699">
        <v>0</v>
      </c>
      <c r="X699" t="s">
        <v>8</v>
      </c>
      <c r="Y699" s="74" t="str">
        <f ca="1">IF(Table15[[#This Row],[Type]]="KILL",IF(_xlfn.NUMBERVALUE(RIGHT(Table15[[#This Row],[Min]],LEN(Table15[[#This Row],[Min]])-FIND("-",Table15[[#This Row],[Min]])))&gt;INDIRECT(ADDRESS(11+MATCH(LEFT(Table15[[#This Row],[Min]],FIND("-",Table15[[#This Row],[Min]])-1),Table1[Content Sku],0),16,1,1,"Entities")),"review","ok"),"ok")</f>
        <v>ok</v>
      </c>
      <c r="AK699" t="s">
        <v>2738</v>
      </c>
      <c r="AL699">
        <v>0</v>
      </c>
      <c r="AM699">
        <v>0</v>
      </c>
      <c r="AN699" t="s">
        <v>8</v>
      </c>
      <c r="AO699" s="74" t="str">
        <f ca="1">IF(Table20[[#This Row],[Type]]="KILL",IF(_xlfn.NUMBERVALUE(RIGHT(Table20[[#This Row],[Min]],LEN(Table20[[#This Row],[Min]])-FIND("-",Table20[[#This Row],[Min]])))&gt;INDIRECT(ADDRESS(11+MATCH(LEFT(Table20[[#This Row],[Min]],FIND("-",Table20[[#This Row],[Min]])-1),Table1[Content Sku],0),18,1,1,"Entities")),"review","ok"),"ok")</f>
        <v>ok</v>
      </c>
    </row>
    <row r="700" spans="5:41" x14ac:dyDescent="0.25">
      <c r="E700" t="s">
        <v>40</v>
      </c>
      <c r="F700">
        <v>0</v>
      </c>
      <c r="G700">
        <v>0</v>
      </c>
      <c r="H700" t="s">
        <v>8</v>
      </c>
      <c r="I700" s="74" t="str">
        <f ca="1">IF(Table7[[#This Row],[Type]]="KILL",IF(_xlfn.NUMBERVALUE(RIGHT(Table7[[#This Row],[Min]],LEN(Table7[[#This Row],[Min]])-FIND("-",Table7[[#This Row],[Min]])))&gt;INDIRECT(ADDRESS(11+MATCH(LEFT(Table7[[#This Row],[Min]],FIND("-",Table7[[#This Row],[Min]])-1),Table1[Content Sku],0),16,1,1,"Entities")),"review","ok"),"ok")</f>
        <v>ok</v>
      </c>
      <c r="U700" t="s">
        <v>315</v>
      </c>
      <c r="V700">
        <v>0</v>
      </c>
      <c r="W700">
        <v>0</v>
      </c>
      <c r="X700" t="s">
        <v>8</v>
      </c>
      <c r="Y700" s="74" t="str">
        <f ca="1">IF(Table15[[#This Row],[Type]]="KILL",IF(_xlfn.NUMBERVALUE(RIGHT(Table15[[#This Row],[Min]],LEN(Table15[[#This Row],[Min]])-FIND("-",Table15[[#This Row],[Min]])))&gt;INDIRECT(ADDRESS(11+MATCH(LEFT(Table15[[#This Row],[Min]],FIND("-",Table15[[#This Row],[Min]])-1),Table1[Content Sku],0),16,1,1,"Entities")),"review","ok"),"ok")</f>
        <v>ok</v>
      </c>
      <c r="AK700" t="s">
        <v>2679</v>
      </c>
      <c r="AL700">
        <v>0</v>
      </c>
      <c r="AM700">
        <v>0</v>
      </c>
      <c r="AN700" t="s">
        <v>8</v>
      </c>
      <c r="AO700" s="74" t="str">
        <f ca="1">IF(Table20[[#This Row],[Type]]="KILL",IF(_xlfn.NUMBERVALUE(RIGHT(Table20[[#This Row],[Min]],LEN(Table20[[#This Row],[Min]])-FIND("-",Table20[[#This Row],[Min]])))&gt;INDIRECT(ADDRESS(11+MATCH(LEFT(Table20[[#This Row],[Min]],FIND("-",Table20[[#This Row],[Min]])-1),Table1[Content Sku],0),18,1,1,"Entities")),"review","ok"),"ok")</f>
        <v>ok</v>
      </c>
    </row>
    <row r="701" spans="5:41" x14ac:dyDescent="0.25">
      <c r="E701" t="s">
        <v>254</v>
      </c>
      <c r="F701">
        <v>3000</v>
      </c>
      <c r="G701">
        <v>0</v>
      </c>
      <c r="H701" t="s">
        <v>205</v>
      </c>
      <c r="I701" s="74" t="str">
        <f ca="1">IF(Table7[[#This Row],[Type]]="KILL",IF(_xlfn.NUMBERVALUE(RIGHT(Table7[[#This Row],[Min]],LEN(Table7[[#This Row],[Min]])-FIND("-",Table7[[#This Row],[Min]])))&gt;INDIRECT(ADDRESS(11+MATCH(LEFT(Table7[[#This Row],[Min]],FIND("-",Table7[[#This Row],[Min]])-1),Table1[Content Sku],0),16,1,1,"Entities")),"review","ok"),"ok")</f>
        <v>ok</v>
      </c>
      <c r="U701" t="s">
        <v>41</v>
      </c>
      <c r="V701">
        <v>0</v>
      </c>
      <c r="W701">
        <v>0</v>
      </c>
      <c r="X701" t="s">
        <v>8</v>
      </c>
      <c r="Y701" s="74" t="str">
        <f ca="1">IF(Table15[[#This Row],[Type]]="KILL",IF(_xlfn.NUMBERVALUE(RIGHT(Table15[[#This Row],[Min]],LEN(Table15[[#This Row],[Min]])-FIND("-",Table15[[#This Row],[Min]])))&gt;INDIRECT(ADDRESS(11+MATCH(LEFT(Table15[[#This Row],[Min]],FIND("-",Table15[[#This Row],[Min]])-1),Table1[Content Sku],0),16,1,1,"Entities")),"review","ok"),"ok")</f>
        <v>ok</v>
      </c>
      <c r="AK701" t="s">
        <v>122</v>
      </c>
      <c r="AL701">
        <v>0</v>
      </c>
      <c r="AM701">
        <v>0</v>
      </c>
      <c r="AN701" t="s">
        <v>8</v>
      </c>
      <c r="AO701" s="74" t="str">
        <f ca="1">IF(Table20[[#This Row],[Type]]="KILL",IF(_xlfn.NUMBERVALUE(RIGHT(Table20[[#This Row],[Min]],LEN(Table20[[#This Row],[Min]])-FIND("-",Table20[[#This Row],[Min]])))&gt;INDIRECT(ADDRESS(11+MATCH(LEFT(Table20[[#This Row],[Min]],FIND("-",Table20[[#This Row],[Min]])-1),Table1[Content Sku],0),18,1,1,"Entities")),"review","ok"),"ok")</f>
        <v>ok</v>
      </c>
    </row>
    <row r="702" spans="5:41" x14ac:dyDescent="0.25">
      <c r="E702" t="s">
        <v>400</v>
      </c>
      <c r="F702">
        <v>0</v>
      </c>
      <c r="G702">
        <v>0</v>
      </c>
      <c r="H702" t="s">
        <v>8</v>
      </c>
      <c r="I702" s="74" t="str">
        <f ca="1">IF(Table7[[#This Row],[Type]]="KILL",IF(_xlfn.NUMBERVALUE(RIGHT(Table7[[#This Row],[Min]],LEN(Table7[[#This Row],[Min]])-FIND("-",Table7[[#This Row],[Min]])))&gt;INDIRECT(ADDRESS(11+MATCH(LEFT(Table7[[#This Row],[Min]],FIND("-",Table7[[#This Row],[Min]])-1),Table1[Content Sku],0),16,1,1,"Entities")),"review","ok"),"ok")</f>
        <v>ok</v>
      </c>
      <c r="U702" t="s">
        <v>11</v>
      </c>
      <c r="V702" t="s">
        <v>8126</v>
      </c>
      <c r="W702" t="s">
        <v>4467</v>
      </c>
      <c r="X702" t="s">
        <v>4468</v>
      </c>
      <c r="Y702" s="74" t="str">
        <f ca="1">IF(Table15[[#This Row],[Type]]="KILL",IF(_xlfn.NUMBERVALUE(RIGHT(Table15[[#This Row],[Min]],LEN(Table15[[#This Row],[Min]])-FIND("-",Table15[[#This Row],[Min]])))&gt;INDIRECT(ADDRESS(11+MATCH(LEFT(Table15[[#This Row],[Min]],FIND("-",Table15[[#This Row],[Min]])-1),Table1[Content Sku],0),16,1,1,"Entities")),"review","ok"),"ok")</f>
        <v>ok</v>
      </c>
      <c r="AK702" t="s">
        <v>2667</v>
      </c>
      <c r="AL702">
        <v>0</v>
      </c>
      <c r="AM702">
        <v>0</v>
      </c>
      <c r="AN702" t="s">
        <v>8</v>
      </c>
      <c r="AO702" s="74" t="str">
        <f ca="1">IF(Table20[[#This Row],[Type]]="KILL",IF(_xlfn.NUMBERVALUE(RIGHT(Table20[[#This Row],[Min]],LEN(Table20[[#This Row],[Min]])-FIND("-",Table20[[#This Row],[Min]])))&gt;INDIRECT(ADDRESS(11+MATCH(LEFT(Table20[[#This Row],[Min]],FIND("-",Table20[[#This Row],[Min]])-1),Table1[Content Sku],0),18,1,1,"Entities")),"review","ok"),"ok")</f>
        <v>ok</v>
      </c>
    </row>
    <row r="703" spans="5:41" x14ac:dyDescent="0.25">
      <c r="E703" t="s">
        <v>393</v>
      </c>
      <c r="F703">
        <v>0</v>
      </c>
      <c r="G703">
        <v>0</v>
      </c>
      <c r="H703" t="s">
        <v>8</v>
      </c>
      <c r="I703" s="74" t="str">
        <f ca="1">IF(Table7[[#This Row],[Type]]="KILL",IF(_xlfn.NUMBERVALUE(RIGHT(Table7[[#This Row],[Min]],LEN(Table7[[#This Row],[Min]])-FIND("-",Table7[[#This Row],[Min]])))&gt;INDIRECT(ADDRESS(11+MATCH(LEFT(Table7[[#This Row],[Min]],FIND("-",Table7[[#This Row],[Min]])-1),Table1[Content Sku],0),16,1,1,"Entities")),"review","ok"),"ok")</f>
        <v>ok</v>
      </c>
      <c r="U703" t="s">
        <v>391</v>
      </c>
      <c r="V703">
        <v>0</v>
      </c>
      <c r="W703">
        <v>0</v>
      </c>
      <c r="X703" t="s">
        <v>8</v>
      </c>
      <c r="Y703" s="74" t="str">
        <f ca="1">IF(Table15[[#This Row],[Type]]="KILL",IF(_xlfn.NUMBERVALUE(RIGHT(Table15[[#This Row],[Min]],LEN(Table15[[#This Row],[Min]])-FIND("-",Table15[[#This Row],[Min]])))&gt;INDIRECT(ADDRESS(11+MATCH(LEFT(Table15[[#This Row],[Min]],FIND("-",Table15[[#This Row],[Min]])-1),Table1[Content Sku],0),16,1,1,"Entities")),"review","ok"),"ok")</f>
        <v>ok</v>
      </c>
      <c r="AK703" t="s">
        <v>2741</v>
      </c>
      <c r="AL703">
        <v>0</v>
      </c>
      <c r="AM703">
        <v>0</v>
      </c>
      <c r="AN703" t="s">
        <v>8</v>
      </c>
      <c r="AO703" s="74" t="str">
        <f ca="1">IF(Table20[[#This Row],[Type]]="KILL",IF(_xlfn.NUMBERVALUE(RIGHT(Table20[[#This Row],[Min]],LEN(Table20[[#This Row],[Min]])-FIND("-",Table20[[#This Row],[Min]])))&gt;INDIRECT(ADDRESS(11+MATCH(LEFT(Table20[[#This Row],[Min]],FIND("-",Table20[[#This Row],[Min]])-1),Table1[Content Sku],0),18,1,1,"Entities")),"review","ok"),"ok")</f>
        <v>ok</v>
      </c>
    </row>
    <row r="704" spans="5:41" x14ac:dyDescent="0.25">
      <c r="E704" t="s">
        <v>40</v>
      </c>
      <c r="F704">
        <v>0</v>
      </c>
      <c r="G704">
        <v>0</v>
      </c>
      <c r="H704" t="s">
        <v>8</v>
      </c>
      <c r="I704" s="74" t="str">
        <f ca="1">IF(Table7[[#This Row],[Type]]="KILL",IF(_xlfn.NUMBERVALUE(RIGHT(Table7[[#This Row],[Min]],LEN(Table7[[#This Row],[Min]])-FIND("-",Table7[[#This Row],[Min]])))&gt;INDIRECT(ADDRESS(11+MATCH(LEFT(Table7[[#This Row],[Min]],FIND("-",Table7[[#This Row],[Min]])-1),Table1[Content Sku],0),16,1,1,"Entities")),"review","ok"),"ok")</f>
        <v>ok</v>
      </c>
      <c r="U704" t="s">
        <v>391</v>
      </c>
      <c r="V704">
        <v>0</v>
      </c>
      <c r="W704">
        <v>0</v>
      </c>
      <c r="X704" t="s">
        <v>8</v>
      </c>
      <c r="Y704" s="74" t="str">
        <f ca="1">IF(Table15[[#This Row],[Type]]="KILL",IF(_xlfn.NUMBERVALUE(RIGHT(Table15[[#This Row],[Min]],LEN(Table15[[#This Row],[Min]])-FIND("-",Table15[[#This Row],[Min]])))&gt;INDIRECT(ADDRESS(11+MATCH(LEFT(Table15[[#This Row],[Min]],FIND("-",Table15[[#This Row],[Min]])-1),Table1[Content Sku],0),16,1,1,"Entities")),"review","ok"),"ok")</f>
        <v>ok</v>
      </c>
      <c r="AK704" t="s">
        <v>46</v>
      </c>
      <c r="AL704">
        <v>40000</v>
      </c>
      <c r="AM704">
        <v>0</v>
      </c>
      <c r="AN704" t="s">
        <v>205</v>
      </c>
      <c r="AO704" s="74" t="str">
        <f ca="1">IF(Table20[[#This Row],[Type]]="KILL",IF(_xlfn.NUMBERVALUE(RIGHT(Table20[[#This Row],[Min]],LEN(Table20[[#This Row],[Min]])-FIND("-",Table20[[#This Row],[Min]])))&gt;INDIRECT(ADDRESS(11+MATCH(LEFT(Table20[[#This Row],[Min]],FIND("-",Table20[[#This Row],[Min]])-1),Table1[Content Sku],0),18,1,1,"Entities")),"review","ok"),"ok")</f>
        <v>ok</v>
      </c>
    </row>
    <row r="705" spans="5:41" x14ac:dyDescent="0.25">
      <c r="E705" t="s">
        <v>393</v>
      </c>
      <c r="F705">
        <v>0</v>
      </c>
      <c r="G705">
        <v>0</v>
      </c>
      <c r="H705" t="s">
        <v>8</v>
      </c>
      <c r="I705" s="74" t="str">
        <f ca="1">IF(Table7[[#This Row],[Type]]="KILL",IF(_xlfn.NUMBERVALUE(RIGHT(Table7[[#This Row],[Min]],LEN(Table7[[#This Row],[Min]])-FIND("-",Table7[[#This Row],[Min]])))&gt;INDIRECT(ADDRESS(11+MATCH(LEFT(Table7[[#This Row],[Min]],FIND("-",Table7[[#This Row],[Min]])-1),Table1[Content Sku],0),16,1,1,"Entities")),"review","ok"),"ok")</f>
        <v>ok</v>
      </c>
      <c r="U705" t="s">
        <v>278</v>
      </c>
      <c r="V705">
        <v>0</v>
      </c>
      <c r="W705">
        <v>45000</v>
      </c>
      <c r="X705" t="s">
        <v>205</v>
      </c>
      <c r="Y705" s="74" t="str">
        <f ca="1">IF(Table15[[#This Row],[Type]]="KILL",IF(_xlfn.NUMBERVALUE(RIGHT(Table15[[#This Row],[Min]],LEN(Table15[[#This Row],[Min]])-FIND("-",Table15[[#This Row],[Min]])))&gt;INDIRECT(ADDRESS(11+MATCH(LEFT(Table15[[#This Row],[Min]],FIND("-",Table15[[#This Row],[Min]])-1),Table1[Content Sku],0),16,1,1,"Entities")),"review","ok"),"ok")</f>
        <v>ok</v>
      </c>
      <c r="AK705" t="s">
        <v>480</v>
      </c>
      <c r="AL705" t="s">
        <v>4479</v>
      </c>
      <c r="AM705" t="s">
        <v>4467</v>
      </c>
      <c r="AN705" t="s">
        <v>4468</v>
      </c>
      <c r="AO705" s="74" t="str">
        <f ca="1">IF(Table20[[#This Row],[Type]]="KILL",IF(_xlfn.NUMBERVALUE(RIGHT(Table20[[#This Row],[Min]],LEN(Table20[[#This Row],[Min]])-FIND("-",Table20[[#This Row],[Min]])))&gt;INDIRECT(ADDRESS(11+MATCH(LEFT(Table20[[#This Row],[Min]],FIND("-",Table20[[#This Row],[Min]])-1),Table1[Content Sku],0),18,1,1,"Entities")),"review","ok"),"ok")</f>
        <v>ok</v>
      </c>
    </row>
    <row r="706" spans="5:41" x14ac:dyDescent="0.25">
      <c r="E706" t="s">
        <v>313</v>
      </c>
      <c r="F706">
        <v>0</v>
      </c>
      <c r="G706">
        <v>0</v>
      </c>
      <c r="H706" t="s">
        <v>8</v>
      </c>
      <c r="I706" s="74" t="str">
        <f ca="1">IF(Table7[[#This Row],[Type]]="KILL",IF(_xlfn.NUMBERVALUE(RIGHT(Table7[[#This Row],[Min]],LEN(Table7[[#This Row],[Min]])-FIND("-",Table7[[#This Row],[Min]])))&gt;INDIRECT(ADDRESS(11+MATCH(LEFT(Table7[[#This Row],[Min]],FIND("-",Table7[[#This Row],[Min]])-1),Table1[Content Sku],0),16,1,1,"Entities")),"review","ok"),"ok")</f>
        <v>ok</v>
      </c>
      <c r="U706" t="s">
        <v>4430</v>
      </c>
      <c r="V706" t="s">
        <v>8127</v>
      </c>
      <c r="W706" t="s">
        <v>4467</v>
      </c>
      <c r="X706" t="s">
        <v>4468</v>
      </c>
      <c r="Y706" s="74" t="str">
        <f ca="1">IF(Table15[[#This Row],[Type]]="KILL",IF(_xlfn.NUMBERVALUE(RIGHT(Table15[[#This Row],[Min]],LEN(Table15[[#This Row],[Min]])-FIND("-",Table15[[#This Row],[Min]])))&gt;INDIRECT(ADDRESS(11+MATCH(LEFT(Table15[[#This Row],[Min]],FIND("-",Table15[[#This Row],[Min]])-1),Table1[Content Sku],0),16,1,1,"Entities")),"review","ok"),"ok")</f>
        <v>ok</v>
      </c>
      <c r="AK706" t="s">
        <v>576</v>
      </c>
      <c r="AL706">
        <v>0</v>
      </c>
      <c r="AM706">
        <v>0</v>
      </c>
      <c r="AN706" t="s">
        <v>8</v>
      </c>
      <c r="AO706" s="74" t="str">
        <f ca="1">IF(Table20[[#This Row],[Type]]="KILL",IF(_xlfn.NUMBERVALUE(RIGHT(Table20[[#This Row],[Min]],LEN(Table20[[#This Row],[Min]])-FIND("-",Table20[[#This Row],[Min]])))&gt;INDIRECT(ADDRESS(11+MATCH(LEFT(Table20[[#This Row],[Min]],FIND("-",Table20[[#This Row],[Min]])-1),Table1[Content Sku],0),18,1,1,"Entities")),"review","ok"),"ok")</f>
        <v>ok</v>
      </c>
    </row>
    <row r="707" spans="5:41" x14ac:dyDescent="0.25">
      <c r="E707" t="s">
        <v>37</v>
      </c>
      <c r="F707">
        <v>0</v>
      </c>
      <c r="G707">
        <v>0</v>
      </c>
      <c r="H707" t="s">
        <v>8</v>
      </c>
      <c r="I707" s="74" t="str">
        <f ca="1">IF(Table7[[#This Row],[Type]]="KILL",IF(_xlfn.NUMBERVALUE(RIGHT(Table7[[#This Row],[Min]],LEN(Table7[[#This Row],[Min]])-FIND("-",Table7[[#This Row],[Min]])))&gt;INDIRECT(ADDRESS(11+MATCH(LEFT(Table7[[#This Row],[Min]],FIND("-",Table7[[#This Row],[Min]])-1),Table1[Content Sku],0),16,1,1,"Entities")),"review","ok"),"ok")</f>
        <v>ok</v>
      </c>
      <c r="U707" t="s">
        <v>391</v>
      </c>
      <c r="V707">
        <v>0</v>
      </c>
      <c r="W707">
        <v>0</v>
      </c>
      <c r="X707" t="s">
        <v>8</v>
      </c>
      <c r="Y707" s="74" t="str">
        <f ca="1">IF(Table15[[#This Row],[Type]]="KILL",IF(_xlfn.NUMBERVALUE(RIGHT(Table15[[#This Row],[Min]],LEN(Table15[[#This Row],[Min]])-FIND("-",Table15[[#This Row],[Min]])))&gt;INDIRECT(ADDRESS(11+MATCH(LEFT(Table15[[#This Row],[Min]],FIND("-",Table15[[#This Row],[Min]])-1),Table1[Content Sku],0),16,1,1,"Entities")),"review","ok"),"ok")</f>
        <v>ok</v>
      </c>
      <c r="AK707" t="s">
        <v>2669</v>
      </c>
      <c r="AL707" t="s">
        <v>5011</v>
      </c>
      <c r="AM707" t="s">
        <v>4467</v>
      </c>
      <c r="AN707" t="s">
        <v>4468</v>
      </c>
      <c r="AO707" s="74" t="str">
        <f ca="1">IF(Table20[[#This Row],[Type]]="KILL",IF(_xlfn.NUMBERVALUE(RIGHT(Table20[[#This Row],[Min]],LEN(Table20[[#This Row],[Min]])-FIND("-",Table20[[#This Row],[Min]])))&gt;INDIRECT(ADDRESS(11+MATCH(LEFT(Table20[[#This Row],[Min]],FIND("-",Table20[[#This Row],[Min]])-1),Table1[Content Sku],0),18,1,1,"Entities")),"review","ok"),"ok")</f>
        <v>review</v>
      </c>
    </row>
    <row r="708" spans="5:41" x14ac:dyDescent="0.25">
      <c r="E708" t="s">
        <v>44</v>
      </c>
      <c r="F708">
        <v>9000</v>
      </c>
      <c r="G708">
        <v>20000</v>
      </c>
      <c r="H708" t="s">
        <v>205</v>
      </c>
      <c r="I708" s="74" t="str">
        <f ca="1">IF(Table7[[#This Row],[Type]]="KILL",IF(_xlfn.NUMBERVALUE(RIGHT(Table7[[#This Row],[Min]],LEN(Table7[[#This Row],[Min]])-FIND("-",Table7[[#This Row],[Min]])))&gt;INDIRECT(ADDRESS(11+MATCH(LEFT(Table7[[#This Row],[Min]],FIND("-",Table7[[#This Row],[Min]])-1),Table1[Content Sku],0),16,1,1,"Entities")),"review","ok"),"ok")</f>
        <v>ok</v>
      </c>
      <c r="U708" t="s">
        <v>311</v>
      </c>
      <c r="V708">
        <v>0</v>
      </c>
      <c r="W708">
        <v>0</v>
      </c>
      <c r="X708" t="s">
        <v>8</v>
      </c>
      <c r="Y708" s="74" t="str">
        <f ca="1">IF(Table15[[#This Row],[Type]]="KILL",IF(_xlfn.NUMBERVALUE(RIGHT(Table15[[#This Row],[Min]],LEN(Table15[[#This Row],[Min]])-FIND("-",Table15[[#This Row],[Min]])))&gt;INDIRECT(ADDRESS(11+MATCH(LEFT(Table15[[#This Row],[Min]],FIND("-",Table15[[#This Row],[Min]])-1),Table1[Content Sku],0),16,1,1,"Entities")),"review","ok"),"ok")</f>
        <v>ok</v>
      </c>
      <c r="AK708" t="s">
        <v>41</v>
      </c>
      <c r="AL708">
        <v>60000</v>
      </c>
      <c r="AM708">
        <v>0</v>
      </c>
      <c r="AN708" t="s">
        <v>205</v>
      </c>
      <c r="AO708" s="74" t="str">
        <f ca="1">IF(Table20[[#This Row],[Type]]="KILL",IF(_xlfn.NUMBERVALUE(RIGHT(Table20[[#This Row],[Min]],LEN(Table20[[#This Row],[Min]])-FIND("-",Table20[[#This Row],[Min]])))&gt;INDIRECT(ADDRESS(11+MATCH(LEFT(Table20[[#This Row],[Min]],FIND("-",Table20[[#This Row],[Min]])-1),Table1[Content Sku],0),18,1,1,"Entities")),"review","ok"),"ok")</f>
        <v>ok</v>
      </c>
    </row>
    <row r="709" spans="5:41" x14ac:dyDescent="0.25">
      <c r="E709" t="s">
        <v>8103</v>
      </c>
      <c r="F709">
        <v>250</v>
      </c>
      <c r="G709">
        <v>0</v>
      </c>
      <c r="H709" t="s">
        <v>4431</v>
      </c>
      <c r="I709" s="74" t="str">
        <f ca="1">IF(Table7[[#This Row],[Type]]="KILL",IF(_xlfn.NUMBERVALUE(RIGHT(Table7[[#This Row],[Min]],LEN(Table7[[#This Row],[Min]])-FIND("-",Table7[[#This Row],[Min]])))&gt;INDIRECT(ADDRESS(11+MATCH(LEFT(Table7[[#This Row],[Min]],FIND("-",Table7[[#This Row],[Min]])-1),Table1[Content Sku],0),16,1,1,"Entities")),"review","ok"),"ok")</f>
        <v>ok</v>
      </c>
      <c r="U709" t="s">
        <v>276</v>
      </c>
      <c r="V709">
        <v>0</v>
      </c>
      <c r="W709">
        <v>30000</v>
      </c>
      <c r="X709" t="s">
        <v>205</v>
      </c>
      <c r="Y709" s="74" t="str">
        <f ca="1">IF(Table15[[#This Row],[Type]]="KILL",IF(_xlfn.NUMBERVALUE(RIGHT(Table15[[#This Row],[Min]],LEN(Table15[[#This Row],[Min]])-FIND("-",Table15[[#This Row],[Min]])))&gt;INDIRECT(ADDRESS(11+MATCH(LEFT(Table15[[#This Row],[Min]],FIND("-",Table15[[#This Row],[Min]])-1),Table1[Content Sku],0),16,1,1,"Entities")),"review","ok"),"ok")</f>
        <v>ok</v>
      </c>
      <c r="AK709" t="s">
        <v>258</v>
      </c>
      <c r="AL709">
        <v>74000</v>
      </c>
      <c r="AM709">
        <v>0</v>
      </c>
      <c r="AN709" t="s">
        <v>205</v>
      </c>
      <c r="AO709" s="74" t="str">
        <f ca="1">IF(Table20[[#This Row],[Type]]="KILL",IF(_xlfn.NUMBERVALUE(RIGHT(Table20[[#This Row],[Min]],LEN(Table20[[#This Row],[Min]])-FIND("-",Table20[[#This Row],[Min]])))&gt;INDIRECT(ADDRESS(11+MATCH(LEFT(Table20[[#This Row],[Min]],FIND("-",Table20[[#This Row],[Min]])-1),Table1[Content Sku],0),18,1,1,"Entities")),"review","ok"),"ok")</f>
        <v>ok</v>
      </c>
    </row>
    <row r="710" spans="5:41" x14ac:dyDescent="0.25">
      <c r="E710" t="s">
        <v>273</v>
      </c>
      <c r="F710">
        <v>12000</v>
      </c>
      <c r="G710">
        <v>0</v>
      </c>
      <c r="H710" t="s">
        <v>205</v>
      </c>
      <c r="I710" s="74" t="str">
        <f ca="1">IF(Table7[[#This Row],[Type]]="KILL",IF(_xlfn.NUMBERVALUE(RIGHT(Table7[[#This Row],[Min]],LEN(Table7[[#This Row],[Min]])-FIND("-",Table7[[#This Row],[Min]])))&gt;INDIRECT(ADDRESS(11+MATCH(LEFT(Table7[[#This Row],[Min]],FIND("-",Table7[[#This Row],[Min]])-1),Table1[Content Sku],0),16,1,1,"Entities")),"review","ok"),"ok")</f>
        <v>ok</v>
      </c>
      <c r="U710" t="s">
        <v>391</v>
      </c>
      <c r="V710">
        <v>30000</v>
      </c>
      <c r="W710">
        <v>0</v>
      </c>
      <c r="X710" t="s">
        <v>205</v>
      </c>
      <c r="Y710" s="74" t="str">
        <f ca="1">IF(Table15[[#This Row],[Type]]="KILL",IF(_xlfn.NUMBERVALUE(RIGHT(Table15[[#This Row],[Min]],LEN(Table15[[#This Row],[Min]])-FIND("-",Table15[[#This Row],[Min]])))&gt;INDIRECT(ADDRESS(11+MATCH(LEFT(Table15[[#This Row],[Min]],FIND("-",Table15[[#This Row],[Min]])-1),Table1[Content Sku],0),16,1,1,"Entities")),"review","ok"),"ok")</f>
        <v>ok</v>
      </c>
      <c r="AK710" t="s">
        <v>482</v>
      </c>
      <c r="AL710">
        <v>36000</v>
      </c>
      <c r="AM710">
        <v>0</v>
      </c>
      <c r="AN710" t="s">
        <v>205</v>
      </c>
      <c r="AO710" s="74" t="str">
        <f ca="1">IF(Table20[[#This Row],[Type]]="KILL",IF(_xlfn.NUMBERVALUE(RIGHT(Table20[[#This Row],[Min]],LEN(Table20[[#This Row],[Min]])-FIND("-",Table20[[#This Row],[Min]])))&gt;INDIRECT(ADDRESS(11+MATCH(LEFT(Table20[[#This Row],[Min]],FIND("-",Table20[[#This Row],[Min]])-1),Table1[Content Sku],0),18,1,1,"Entities")),"review","ok"),"ok")</f>
        <v>ok</v>
      </c>
    </row>
    <row r="711" spans="5:41" x14ac:dyDescent="0.25">
      <c r="E711" t="s">
        <v>254</v>
      </c>
      <c r="F711">
        <v>0</v>
      </c>
      <c r="G711">
        <v>5000</v>
      </c>
      <c r="H711" t="s">
        <v>205</v>
      </c>
      <c r="I711" s="74" t="str">
        <f ca="1">IF(Table7[[#This Row],[Type]]="KILL",IF(_xlfn.NUMBERVALUE(RIGHT(Table7[[#This Row],[Min]],LEN(Table7[[#This Row],[Min]])-FIND("-",Table7[[#This Row],[Min]])))&gt;INDIRECT(ADDRESS(11+MATCH(LEFT(Table7[[#This Row],[Min]],FIND("-",Table7[[#This Row],[Min]])-1),Table1[Content Sku],0),16,1,1,"Entities")),"review","ok"),"ok")</f>
        <v>ok</v>
      </c>
      <c r="U711" t="s">
        <v>280</v>
      </c>
      <c r="V711">
        <v>0</v>
      </c>
      <c r="W711">
        <v>0</v>
      </c>
      <c r="X711" t="s">
        <v>8</v>
      </c>
      <c r="Y711" s="74" t="str">
        <f ca="1">IF(Table15[[#This Row],[Type]]="KILL",IF(_xlfn.NUMBERVALUE(RIGHT(Table15[[#This Row],[Min]],LEN(Table15[[#This Row],[Min]])-FIND("-",Table15[[#This Row],[Min]])))&gt;INDIRECT(ADDRESS(11+MATCH(LEFT(Table15[[#This Row],[Min]],FIND("-",Table15[[#This Row],[Min]])-1),Table1[Content Sku],0),16,1,1,"Entities")),"review","ok"),"ok")</f>
        <v>ok</v>
      </c>
      <c r="AK711" t="s">
        <v>2745</v>
      </c>
      <c r="AL711">
        <v>0</v>
      </c>
      <c r="AM711">
        <v>0</v>
      </c>
      <c r="AN711" t="s">
        <v>8</v>
      </c>
      <c r="AO711" s="74" t="str">
        <f ca="1">IF(Table20[[#This Row],[Type]]="KILL",IF(_xlfn.NUMBERVALUE(RIGHT(Table20[[#This Row],[Min]],LEN(Table20[[#This Row],[Min]])-FIND("-",Table20[[#This Row],[Min]])))&gt;INDIRECT(ADDRESS(11+MATCH(LEFT(Table20[[#This Row],[Min]],FIND("-",Table20[[#This Row],[Min]])-1),Table1[Content Sku],0),18,1,1,"Entities")),"review","ok"),"ok")</f>
        <v>ok</v>
      </c>
    </row>
    <row r="712" spans="5:41" x14ac:dyDescent="0.25">
      <c r="E712" t="s">
        <v>416</v>
      </c>
      <c r="F712">
        <v>0</v>
      </c>
      <c r="G712">
        <v>0</v>
      </c>
      <c r="H712" t="s">
        <v>8</v>
      </c>
      <c r="I712" s="74" t="str">
        <f ca="1">IF(Table7[[#This Row],[Type]]="KILL",IF(_xlfn.NUMBERVALUE(RIGHT(Table7[[#This Row],[Min]],LEN(Table7[[#This Row],[Min]])-FIND("-",Table7[[#This Row],[Min]])))&gt;INDIRECT(ADDRESS(11+MATCH(LEFT(Table7[[#This Row],[Min]],FIND("-",Table7[[#This Row],[Min]])-1),Table1[Content Sku],0),16,1,1,"Entities")),"review","ok"),"ok")</f>
        <v>ok</v>
      </c>
      <c r="U712" t="s">
        <v>254</v>
      </c>
      <c r="V712">
        <v>0</v>
      </c>
      <c r="W712">
        <v>0</v>
      </c>
      <c r="X712" t="s">
        <v>8</v>
      </c>
      <c r="Y712" s="74" t="str">
        <f ca="1">IF(Table15[[#This Row],[Type]]="KILL",IF(_xlfn.NUMBERVALUE(RIGHT(Table15[[#This Row],[Min]],LEN(Table15[[#This Row],[Min]])-FIND("-",Table15[[#This Row],[Min]])))&gt;INDIRECT(ADDRESS(11+MATCH(LEFT(Table15[[#This Row],[Min]],FIND("-",Table15[[#This Row],[Min]])-1),Table1[Content Sku],0),16,1,1,"Entities")),"review","ok"),"ok")</f>
        <v>ok</v>
      </c>
      <c r="AK712" t="s">
        <v>95</v>
      </c>
      <c r="AL712">
        <v>0</v>
      </c>
      <c r="AM712">
        <v>0</v>
      </c>
      <c r="AN712" t="s">
        <v>8</v>
      </c>
      <c r="AO712" s="74" t="str">
        <f ca="1">IF(Table20[[#This Row],[Type]]="KILL",IF(_xlfn.NUMBERVALUE(RIGHT(Table20[[#This Row],[Min]],LEN(Table20[[#This Row],[Min]])-FIND("-",Table20[[#This Row],[Min]])))&gt;INDIRECT(ADDRESS(11+MATCH(LEFT(Table20[[#This Row],[Min]],FIND("-",Table20[[#This Row],[Min]])-1),Table1[Content Sku],0),18,1,1,"Entities")),"review","ok"),"ok")</f>
        <v>ok</v>
      </c>
    </row>
    <row r="713" spans="5:41" x14ac:dyDescent="0.25">
      <c r="E713" t="s">
        <v>280</v>
      </c>
      <c r="F713">
        <v>0</v>
      </c>
      <c r="G713">
        <v>0</v>
      </c>
      <c r="H713" t="s">
        <v>8</v>
      </c>
      <c r="I713" s="74" t="str">
        <f ca="1">IF(Table7[[#This Row],[Type]]="KILL",IF(_xlfn.NUMBERVALUE(RIGHT(Table7[[#This Row],[Min]],LEN(Table7[[#This Row],[Min]])-FIND("-",Table7[[#This Row],[Min]])))&gt;INDIRECT(ADDRESS(11+MATCH(LEFT(Table7[[#This Row],[Min]],FIND("-",Table7[[#This Row],[Min]])-1),Table1[Content Sku],0),16,1,1,"Entities")),"review","ok"),"ok")</f>
        <v>ok</v>
      </c>
      <c r="U713" t="s">
        <v>313</v>
      </c>
      <c r="V713">
        <v>0</v>
      </c>
      <c r="W713">
        <v>0</v>
      </c>
      <c r="X713" t="s">
        <v>8</v>
      </c>
      <c r="Y713" s="74" t="str">
        <f ca="1">IF(Table15[[#This Row],[Type]]="KILL",IF(_xlfn.NUMBERVALUE(RIGHT(Table15[[#This Row],[Min]],LEN(Table15[[#This Row],[Min]])-FIND("-",Table15[[#This Row],[Min]])))&gt;INDIRECT(ADDRESS(11+MATCH(LEFT(Table15[[#This Row],[Min]],FIND("-",Table15[[#This Row],[Min]])-1),Table1[Content Sku],0),16,1,1,"Entities")),"review","ok"),"ok")</f>
        <v>ok</v>
      </c>
      <c r="AK713" t="s">
        <v>2675</v>
      </c>
      <c r="AL713">
        <v>0</v>
      </c>
      <c r="AM713">
        <v>0</v>
      </c>
      <c r="AN713" t="s">
        <v>8</v>
      </c>
      <c r="AO713" s="74" t="str">
        <f ca="1">IF(Table20[[#This Row],[Type]]="KILL",IF(_xlfn.NUMBERVALUE(RIGHT(Table20[[#This Row],[Min]],LEN(Table20[[#This Row],[Min]])-FIND("-",Table20[[#This Row],[Min]])))&gt;INDIRECT(ADDRESS(11+MATCH(LEFT(Table20[[#This Row],[Min]],FIND("-",Table20[[#This Row],[Min]])-1),Table1[Content Sku],0),18,1,1,"Entities")),"review","ok"),"ok")</f>
        <v>ok</v>
      </c>
    </row>
    <row r="714" spans="5:41" x14ac:dyDescent="0.25">
      <c r="E714" t="s">
        <v>123</v>
      </c>
      <c r="F714">
        <v>0</v>
      </c>
      <c r="G714">
        <v>0</v>
      </c>
      <c r="H714" t="s">
        <v>8</v>
      </c>
      <c r="I714" s="74" t="str">
        <f ca="1">IF(Table7[[#This Row],[Type]]="KILL",IF(_xlfn.NUMBERVALUE(RIGHT(Table7[[#This Row],[Min]],LEN(Table7[[#This Row],[Min]])-FIND("-",Table7[[#This Row],[Min]])))&gt;INDIRECT(ADDRESS(11+MATCH(LEFT(Table7[[#This Row],[Min]],FIND("-",Table7[[#This Row],[Min]])-1),Table1[Content Sku],0),16,1,1,"Entities")),"review","ok"),"ok")</f>
        <v>ok</v>
      </c>
      <c r="U714" t="s">
        <v>258</v>
      </c>
      <c r="V714">
        <v>36000</v>
      </c>
      <c r="W714">
        <v>0</v>
      </c>
      <c r="X714" t="s">
        <v>205</v>
      </c>
      <c r="Y714" s="74" t="str">
        <f ca="1">IF(Table15[[#This Row],[Type]]="KILL",IF(_xlfn.NUMBERVALUE(RIGHT(Table15[[#This Row],[Min]],LEN(Table15[[#This Row],[Min]])-FIND("-",Table15[[#This Row],[Min]])))&gt;INDIRECT(ADDRESS(11+MATCH(LEFT(Table15[[#This Row],[Min]],FIND("-",Table15[[#This Row],[Min]])-1),Table1[Content Sku],0),16,1,1,"Entities")),"review","ok"),"ok")</f>
        <v>ok</v>
      </c>
      <c r="AK714" t="s">
        <v>2673</v>
      </c>
      <c r="AL714">
        <v>0</v>
      </c>
      <c r="AM714">
        <v>80000</v>
      </c>
      <c r="AN714" t="s">
        <v>205</v>
      </c>
      <c r="AO714" s="74" t="str">
        <f ca="1">IF(Table20[[#This Row],[Type]]="KILL",IF(_xlfn.NUMBERVALUE(RIGHT(Table20[[#This Row],[Min]],LEN(Table20[[#This Row],[Min]])-FIND("-",Table20[[#This Row],[Min]])))&gt;INDIRECT(ADDRESS(11+MATCH(LEFT(Table20[[#This Row],[Min]],FIND("-",Table20[[#This Row],[Min]])-1),Table1[Content Sku],0),18,1,1,"Entities")),"review","ok"),"ok")</f>
        <v>ok</v>
      </c>
    </row>
    <row r="715" spans="5:41" x14ac:dyDescent="0.25">
      <c r="E715" t="s">
        <v>44</v>
      </c>
      <c r="F715">
        <v>0</v>
      </c>
      <c r="G715">
        <v>28000</v>
      </c>
      <c r="H715" t="s">
        <v>205</v>
      </c>
      <c r="I715" s="74" t="str">
        <f ca="1">IF(Table7[[#This Row],[Type]]="KILL",IF(_xlfn.NUMBERVALUE(RIGHT(Table7[[#This Row],[Min]],LEN(Table7[[#This Row],[Min]])-FIND("-",Table7[[#This Row],[Min]])))&gt;INDIRECT(ADDRESS(11+MATCH(LEFT(Table7[[#This Row],[Min]],FIND("-",Table7[[#This Row],[Min]])-1),Table1[Content Sku],0),16,1,1,"Entities")),"review","ok"),"ok")</f>
        <v>ok</v>
      </c>
      <c r="U715" t="s">
        <v>392</v>
      </c>
      <c r="V715">
        <v>0</v>
      </c>
      <c r="W715">
        <v>200</v>
      </c>
      <c r="X715" t="s">
        <v>4431</v>
      </c>
      <c r="Y715" s="74" t="str">
        <f ca="1">IF(Table15[[#This Row],[Type]]="KILL",IF(_xlfn.NUMBERVALUE(RIGHT(Table15[[#This Row],[Min]],LEN(Table15[[#This Row],[Min]])-FIND("-",Table15[[#This Row],[Min]])))&gt;INDIRECT(ADDRESS(11+MATCH(LEFT(Table15[[#This Row],[Min]],FIND("-",Table15[[#This Row],[Min]])-1),Table1[Content Sku],0),16,1,1,"Entities")),"review","ok"),"ok")</f>
        <v>ok</v>
      </c>
      <c r="AK715" t="s">
        <v>2741</v>
      </c>
      <c r="AL715">
        <v>0</v>
      </c>
      <c r="AM715">
        <v>0</v>
      </c>
      <c r="AN715" t="s">
        <v>8</v>
      </c>
      <c r="AO715" s="74" t="str">
        <f ca="1">IF(Table20[[#This Row],[Type]]="KILL",IF(_xlfn.NUMBERVALUE(RIGHT(Table20[[#This Row],[Min]],LEN(Table20[[#This Row],[Min]])-FIND("-",Table20[[#This Row],[Min]])))&gt;INDIRECT(ADDRESS(11+MATCH(LEFT(Table20[[#This Row],[Min]],FIND("-",Table20[[#This Row],[Min]])-1),Table1[Content Sku],0),18,1,1,"Entities")),"review","ok"),"ok")</f>
        <v>ok</v>
      </c>
    </row>
    <row r="716" spans="5:41" x14ac:dyDescent="0.25">
      <c r="E716" t="s">
        <v>276</v>
      </c>
      <c r="F716">
        <v>0</v>
      </c>
      <c r="G716">
        <v>0</v>
      </c>
      <c r="H716" t="s">
        <v>8</v>
      </c>
      <c r="I716" s="74" t="str">
        <f ca="1">IF(Table7[[#This Row],[Type]]="KILL",IF(_xlfn.NUMBERVALUE(RIGHT(Table7[[#This Row],[Min]],LEN(Table7[[#This Row],[Min]])-FIND("-",Table7[[#This Row],[Min]])))&gt;INDIRECT(ADDRESS(11+MATCH(LEFT(Table7[[#This Row],[Min]],FIND("-",Table7[[#This Row],[Min]])-1),Table1[Content Sku],0),16,1,1,"Entities")),"review","ok"),"ok")</f>
        <v>ok</v>
      </c>
      <c r="U716" t="s">
        <v>8133</v>
      </c>
      <c r="V716">
        <v>0</v>
      </c>
      <c r="W716">
        <v>0</v>
      </c>
      <c r="X716" t="s">
        <v>8</v>
      </c>
      <c r="Y716" s="74" t="str">
        <f ca="1">IF(Table15[[#This Row],[Type]]="KILL",IF(_xlfn.NUMBERVALUE(RIGHT(Table15[[#This Row],[Min]],LEN(Table15[[#This Row],[Min]])-FIND("-",Table15[[#This Row],[Min]])))&gt;INDIRECT(ADDRESS(11+MATCH(LEFT(Table15[[#This Row],[Min]],FIND("-",Table15[[#This Row],[Min]])-1),Table1[Content Sku],0),16,1,1,"Entities")),"review","ok"),"ok")</f>
        <v>ok</v>
      </c>
      <c r="AK716" t="s">
        <v>540</v>
      </c>
      <c r="AL716">
        <v>0</v>
      </c>
      <c r="AM716">
        <v>0</v>
      </c>
      <c r="AN716" t="s">
        <v>8</v>
      </c>
      <c r="AO716" s="74" t="str">
        <f ca="1">IF(Table20[[#This Row],[Type]]="KILL",IF(_xlfn.NUMBERVALUE(RIGHT(Table20[[#This Row],[Min]],LEN(Table20[[#This Row],[Min]])-FIND("-",Table20[[#This Row],[Min]])))&gt;INDIRECT(ADDRESS(11+MATCH(LEFT(Table20[[#This Row],[Min]],FIND("-",Table20[[#This Row],[Min]])-1),Table1[Content Sku],0),18,1,1,"Entities")),"review","ok"),"ok")</f>
        <v>ok</v>
      </c>
    </row>
    <row r="717" spans="5:41" x14ac:dyDescent="0.25">
      <c r="E717" t="s">
        <v>257</v>
      </c>
      <c r="F717">
        <v>0</v>
      </c>
      <c r="G717">
        <v>0</v>
      </c>
      <c r="H717" t="s">
        <v>8</v>
      </c>
      <c r="I717" s="74" t="str">
        <f ca="1">IF(Table7[[#This Row],[Type]]="KILL",IF(_xlfn.NUMBERVALUE(RIGHT(Table7[[#This Row],[Min]],LEN(Table7[[#This Row],[Min]])-FIND("-",Table7[[#This Row],[Min]])))&gt;INDIRECT(ADDRESS(11+MATCH(LEFT(Table7[[#This Row],[Min]],FIND("-",Table7[[#This Row],[Min]])-1),Table1[Content Sku],0),16,1,1,"Entities")),"review","ok"),"ok")</f>
        <v>ok</v>
      </c>
      <c r="U717" t="s">
        <v>278</v>
      </c>
      <c r="V717">
        <v>0</v>
      </c>
      <c r="W717">
        <v>0</v>
      </c>
      <c r="X717" t="s">
        <v>8</v>
      </c>
      <c r="Y717" s="74" t="str">
        <f ca="1">IF(Table15[[#This Row],[Type]]="KILL",IF(_xlfn.NUMBERVALUE(RIGHT(Table15[[#This Row],[Min]],LEN(Table15[[#This Row],[Min]])-FIND("-",Table15[[#This Row],[Min]])))&gt;INDIRECT(ADDRESS(11+MATCH(LEFT(Table15[[#This Row],[Min]],FIND("-",Table15[[#This Row],[Min]])-1),Table1[Content Sku],0),16,1,1,"Entities")),"review","ok"),"ok")</f>
        <v>ok</v>
      </c>
      <c r="AK717" t="s">
        <v>2673</v>
      </c>
      <c r="AL717">
        <v>0</v>
      </c>
      <c r="AM717">
        <v>0</v>
      </c>
      <c r="AN717" t="s">
        <v>8</v>
      </c>
      <c r="AO717" s="74" t="str">
        <f ca="1">IF(Table20[[#This Row],[Type]]="KILL",IF(_xlfn.NUMBERVALUE(RIGHT(Table20[[#This Row],[Min]],LEN(Table20[[#This Row],[Min]])-FIND("-",Table20[[#This Row],[Min]])))&gt;INDIRECT(ADDRESS(11+MATCH(LEFT(Table20[[#This Row],[Min]],FIND("-",Table20[[#This Row],[Min]])-1),Table1[Content Sku],0),18,1,1,"Entities")),"review","ok"),"ok")</f>
        <v>ok</v>
      </c>
    </row>
    <row r="718" spans="5:41" x14ac:dyDescent="0.25">
      <c r="E718" t="s">
        <v>8103</v>
      </c>
      <c r="F718">
        <v>50000</v>
      </c>
      <c r="G718">
        <v>0</v>
      </c>
      <c r="H718" t="s">
        <v>205</v>
      </c>
      <c r="I718" s="74" t="str">
        <f ca="1">IF(Table7[[#This Row],[Type]]="KILL",IF(_xlfn.NUMBERVALUE(RIGHT(Table7[[#This Row],[Min]],LEN(Table7[[#This Row],[Min]])-FIND("-",Table7[[#This Row],[Min]])))&gt;INDIRECT(ADDRESS(11+MATCH(LEFT(Table7[[#This Row],[Min]],FIND("-",Table7[[#This Row],[Min]])-1),Table1[Content Sku],0),16,1,1,"Entities")),"review","ok"),"ok")</f>
        <v>ok</v>
      </c>
      <c r="U718" t="s">
        <v>50</v>
      </c>
      <c r="V718">
        <v>60000</v>
      </c>
      <c r="W718">
        <v>0</v>
      </c>
      <c r="X718" t="s">
        <v>205</v>
      </c>
      <c r="Y718" s="74" t="str">
        <f ca="1">IF(Table15[[#This Row],[Type]]="KILL",IF(_xlfn.NUMBERVALUE(RIGHT(Table15[[#This Row],[Min]],LEN(Table15[[#This Row],[Min]])-FIND("-",Table15[[#This Row],[Min]])))&gt;INDIRECT(ADDRESS(11+MATCH(LEFT(Table15[[#This Row],[Min]],FIND("-",Table15[[#This Row],[Min]])-1),Table1[Content Sku],0),16,1,1,"Entities")),"review","ok"),"ok")</f>
        <v>ok</v>
      </c>
      <c r="AK718" t="s">
        <v>2743</v>
      </c>
      <c r="AL718">
        <v>33000</v>
      </c>
      <c r="AM718">
        <v>0</v>
      </c>
      <c r="AN718" t="s">
        <v>205</v>
      </c>
      <c r="AO718" s="74" t="str">
        <f ca="1">IF(Table20[[#This Row],[Type]]="KILL",IF(_xlfn.NUMBERVALUE(RIGHT(Table20[[#This Row],[Min]],LEN(Table20[[#This Row],[Min]])-FIND("-",Table20[[#This Row],[Min]])))&gt;INDIRECT(ADDRESS(11+MATCH(LEFT(Table20[[#This Row],[Min]],FIND("-",Table20[[#This Row],[Min]])-1),Table1[Content Sku],0),18,1,1,"Entities")),"review","ok"),"ok")</f>
        <v>ok</v>
      </c>
    </row>
    <row r="719" spans="5:41" x14ac:dyDescent="0.25">
      <c r="E719" t="s">
        <v>40</v>
      </c>
      <c r="F719">
        <v>0</v>
      </c>
      <c r="G719">
        <v>0</v>
      </c>
      <c r="H719" t="s">
        <v>8</v>
      </c>
      <c r="I719" s="74" t="str">
        <f ca="1">IF(Table7[[#This Row],[Type]]="KILL",IF(_xlfn.NUMBERVALUE(RIGHT(Table7[[#This Row],[Min]],LEN(Table7[[#This Row],[Min]])-FIND("-",Table7[[#This Row],[Min]])))&gt;INDIRECT(ADDRESS(11+MATCH(LEFT(Table7[[#This Row],[Min]],FIND("-",Table7[[#This Row],[Min]])-1),Table1[Content Sku],0),16,1,1,"Entities")),"review","ok"),"ok")</f>
        <v>ok</v>
      </c>
      <c r="U719" t="s">
        <v>313</v>
      </c>
      <c r="V719">
        <v>0</v>
      </c>
      <c r="W719">
        <v>0</v>
      </c>
      <c r="X719" t="s">
        <v>8</v>
      </c>
      <c r="Y719" s="74" t="str">
        <f ca="1">IF(Table15[[#This Row],[Type]]="KILL",IF(_xlfn.NUMBERVALUE(RIGHT(Table15[[#This Row],[Min]],LEN(Table15[[#This Row],[Min]])-FIND("-",Table15[[#This Row],[Min]])))&gt;INDIRECT(ADDRESS(11+MATCH(LEFT(Table15[[#This Row],[Min]],FIND("-",Table15[[#This Row],[Min]])-1),Table1[Content Sku],0),16,1,1,"Entities")),"review","ok"),"ok")</f>
        <v>ok</v>
      </c>
      <c r="AK719" t="s">
        <v>37</v>
      </c>
      <c r="AL719">
        <v>0</v>
      </c>
      <c r="AM719">
        <v>33000</v>
      </c>
      <c r="AN719" t="s">
        <v>205</v>
      </c>
      <c r="AO719" s="74" t="str">
        <f ca="1">IF(Table20[[#This Row],[Type]]="KILL",IF(_xlfn.NUMBERVALUE(RIGHT(Table20[[#This Row],[Min]],LEN(Table20[[#This Row],[Min]])-FIND("-",Table20[[#This Row],[Min]])))&gt;INDIRECT(ADDRESS(11+MATCH(LEFT(Table20[[#This Row],[Min]],FIND("-",Table20[[#This Row],[Min]])-1),Table1[Content Sku],0),18,1,1,"Entities")),"review","ok"),"ok")</f>
        <v>ok</v>
      </c>
    </row>
    <row r="720" spans="5:41" x14ac:dyDescent="0.25">
      <c r="E720" t="s">
        <v>311</v>
      </c>
      <c r="F720">
        <v>0</v>
      </c>
      <c r="G720">
        <v>0</v>
      </c>
      <c r="H720" t="s">
        <v>8</v>
      </c>
      <c r="I720" s="74" t="str">
        <f ca="1">IF(Table7[[#This Row],[Type]]="KILL",IF(_xlfn.NUMBERVALUE(RIGHT(Table7[[#This Row],[Min]],LEN(Table7[[#This Row],[Min]])-FIND("-",Table7[[#This Row],[Min]])))&gt;INDIRECT(ADDRESS(11+MATCH(LEFT(Table7[[#This Row],[Min]],FIND("-",Table7[[#This Row],[Min]])-1),Table1[Content Sku],0),16,1,1,"Entities")),"review","ok"),"ok")</f>
        <v>ok</v>
      </c>
      <c r="U720" t="s">
        <v>545</v>
      </c>
      <c r="V720">
        <v>15000</v>
      </c>
      <c r="W720">
        <v>0</v>
      </c>
      <c r="X720" t="s">
        <v>205</v>
      </c>
      <c r="Y720" s="74" t="str">
        <f ca="1">IF(Table15[[#This Row],[Type]]="KILL",IF(_xlfn.NUMBERVALUE(RIGHT(Table15[[#This Row],[Min]],LEN(Table15[[#This Row],[Min]])-FIND("-",Table15[[#This Row],[Min]])))&gt;INDIRECT(ADDRESS(11+MATCH(LEFT(Table15[[#This Row],[Min]],FIND("-",Table15[[#This Row],[Min]])-1),Table1[Content Sku],0),16,1,1,"Entities")),"review","ok"),"ok")</f>
        <v>ok</v>
      </c>
      <c r="AK720" t="s">
        <v>396</v>
      </c>
      <c r="AL720">
        <v>0</v>
      </c>
      <c r="AM720">
        <v>0</v>
      </c>
      <c r="AN720" t="s">
        <v>8</v>
      </c>
      <c r="AO720" s="74" t="str">
        <f ca="1">IF(Table20[[#This Row],[Type]]="KILL",IF(_xlfn.NUMBERVALUE(RIGHT(Table20[[#This Row],[Min]],LEN(Table20[[#This Row],[Min]])-FIND("-",Table20[[#This Row],[Min]])))&gt;INDIRECT(ADDRESS(11+MATCH(LEFT(Table20[[#This Row],[Min]],FIND("-",Table20[[#This Row],[Min]])-1),Table1[Content Sku],0),18,1,1,"Entities")),"review","ok"),"ok")</f>
        <v>ok</v>
      </c>
    </row>
    <row r="721" spans="5:41" x14ac:dyDescent="0.25">
      <c r="E721" t="s">
        <v>253</v>
      </c>
      <c r="F721">
        <v>0</v>
      </c>
      <c r="G721">
        <v>23000</v>
      </c>
      <c r="H721" t="s">
        <v>205</v>
      </c>
      <c r="I721" s="74" t="str">
        <f ca="1">IF(Table7[[#This Row],[Type]]="KILL",IF(_xlfn.NUMBERVALUE(RIGHT(Table7[[#This Row],[Min]],LEN(Table7[[#This Row],[Min]])-FIND("-",Table7[[#This Row],[Min]])))&gt;INDIRECT(ADDRESS(11+MATCH(LEFT(Table7[[#This Row],[Min]],FIND("-",Table7[[#This Row],[Min]])-1),Table1[Content Sku],0),16,1,1,"Entities")),"review","ok"),"ok")</f>
        <v>ok</v>
      </c>
      <c r="U721" t="s">
        <v>313</v>
      </c>
      <c r="V721">
        <v>0</v>
      </c>
      <c r="W721">
        <v>0</v>
      </c>
      <c r="X721" t="s">
        <v>8</v>
      </c>
      <c r="Y721" s="74" t="str">
        <f ca="1">IF(Table15[[#This Row],[Type]]="KILL",IF(_xlfn.NUMBERVALUE(RIGHT(Table15[[#This Row],[Min]],LEN(Table15[[#This Row],[Min]])-FIND("-",Table15[[#This Row],[Min]])))&gt;INDIRECT(ADDRESS(11+MATCH(LEFT(Table15[[#This Row],[Min]],FIND("-",Table15[[#This Row],[Min]])-1),Table1[Content Sku],0),16,1,1,"Entities")),"review","ok"),"ok")</f>
        <v>ok</v>
      </c>
      <c r="AK721" t="s">
        <v>482</v>
      </c>
      <c r="AL721">
        <v>0</v>
      </c>
      <c r="AM721">
        <v>0</v>
      </c>
      <c r="AN721" t="s">
        <v>8</v>
      </c>
      <c r="AO721" s="74" t="str">
        <f ca="1">IF(Table20[[#This Row],[Type]]="KILL",IF(_xlfn.NUMBERVALUE(RIGHT(Table20[[#This Row],[Min]],LEN(Table20[[#This Row],[Min]])-FIND("-",Table20[[#This Row],[Min]])))&gt;INDIRECT(ADDRESS(11+MATCH(LEFT(Table20[[#This Row],[Min]],FIND("-",Table20[[#This Row],[Min]])-1),Table1[Content Sku],0),18,1,1,"Entities")),"review","ok"),"ok")</f>
        <v>ok</v>
      </c>
    </row>
    <row r="722" spans="5:41" x14ac:dyDescent="0.25">
      <c r="E722" t="s">
        <v>393</v>
      </c>
      <c r="F722">
        <v>0</v>
      </c>
      <c r="G722">
        <v>0</v>
      </c>
      <c r="H722" t="s">
        <v>8</v>
      </c>
      <c r="I722" s="74" t="str">
        <f ca="1">IF(Table7[[#This Row],[Type]]="KILL",IF(_xlfn.NUMBERVALUE(RIGHT(Table7[[#This Row],[Min]],LEN(Table7[[#This Row],[Min]])-FIND("-",Table7[[#This Row],[Min]])))&gt;INDIRECT(ADDRESS(11+MATCH(LEFT(Table7[[#This Row],[Min]],FIND("-",Table7[[#This Row],[Min]])-1),Table1[Content Sku],0),16,1,1,"Entities")),"review","ok"),"ok")</f>
        <v>ok</v>
      </c>
      <c r="U722" t="s">
        <v>46</v>
      </c>
      <c r="V722">
        <v>0</v>
      </c>
      <c r="W722">
        <v>0</v>
      </c>
      <c r="X722" t="s">
        <v>8</v>
      </c>
      <c r="Y722" s="74" t="str">
        <f ca="1">IF(Table15[[#This Row],[Type]]="KILL",IF(_xlfn.NUMBERVALUE(RIGHT(Table15[[#This Row],[Min]],LEN(Table15[[#This Row],[Min]])-FIND("-",Table15[[#This Row],[Min]])))&gt;INDIRECT(ADDRESS(11+MATCH(LEFT(Table15[[#This Row],[Min]],FIND("-",Table15[[#This Row],[Min]])-1),Table1[Content Sku],0),16,1,1,"Entities")),"review","ok"),"ok")</f>
        <v>ok</v>
      </c>
      <c r="AK722" t="s">
        <v>2673</v>
      </c>
      <c r="AL722">
        <v>0</v>
      </c>
      <c r="AM722">
        <v>84000</v>
      </c>
      <c r="AN722" t="s">
        <v>205</v>
      </c>
      <c r="AO722" s="74" t="str">
        <f ca="1">IF(Table20[[#This Row],[Type]]="KILL",IF(_xlfn.NUMBERVALUE(RIGHT(Table20[[#This Row],[Min]],LEN(Table20[[#This Row],[Min]])-FIND("-",Table20[[#This Row],[Min]])))&gt;INDIRECT(ADDRESS(11+MATCH(LEFT(Table20[[#This Row],[Min]],FIND("-",Table20[[#This Row],[Min]])-1),Table1[Content Sku],0),18,1,1,"Entities")),"review","ok"),"ok")</f>
        <v>ok</v>
      </c>
    </row>
    <row r="723" spans="5:41" x14ac:dyDescent="0.25">
      <c r="E723" t="s">
        <v>258</v>
      </c>
      <c r="F723">
        <v>32000</v>
      </c>
      <c r="G723">
        <v>0</v>
      </c>
      <c r="H723" t="s">
        <v>205</v>
      </c>
      <c r="I723" s="74" t="str">
        <f ca="1">IF(Table7[[#This Row],[Type]]="KILL",IF(_xlfn.NUMBERVALUE(RIGHT(Table7[[#This Row],[Min]],LEN(Table7[[#This Row],[Min]])-FIND("-",Table7[[#This Row],[Min]])))&gt;INDIRECT(ADDRESS(11+MATCH(LEFT(Table7[[#This Row],[Min]],FIND("-",Table7[[#This Row],[Min]])-1),Table1[Content Sku],0),16,1,1,"Entities")),"review","ok"),"ok")</f>
        <v>ok</v>
      </c>
      <c r="U723" t="s">
        <v>122</v>
      </c>
      <c r="V723">
        <v>0</v>
      </c>
      <c r="W723">
        <v>0</v>
      </c>
      <c r="X723" t="s">
        <v>8</v>
      </c>
      <c r="Y723" s="74" t="str">
        <f ca="1">IF(Table15[[#This Row],[Type]]="KILL",IF(_xlfn.NUMBERVALUE(RIGHT(Table15[[#This Row],[Min]],LEN(Table15[[#This Row],[Min]])-FIND("-",Table15[[#This Row],[Min]])))&gt;INDIRECT(ADDRESS(11+MATCH(LEFT(Table15[[#This Row],[Min]],FIND("-",Table15[[#This Row],[Min]])-1),Table1[Content Sku],0),16,1,1,"Entities")),"review","ok"),"ok")</f>
        <v>ok</v>
      </c>
      <c r="AK723" t="s">
        <v>2741</v>
      </c>
      <c r="AL723">
        <v>0</v>
      </c>
      <c r="AM723">
        <v>0</v>
      </c>
      <c r="AN723" t="s">
        <v>8</v>
      </c>
      <c r="AO723" s="74" t="str">
        <f ca="1">IF(Table20[[#This Row],[Type]]="KILL",IF(_xlfn.NUMBERVALUE(RIGHT(Table20[[#This Row],[Min]],LEN(Table20[[#This Row],[Min]])-FIND("-",Table20[[#This Row],[Min]])))&gt;INDIRECT(ADDRESS(11+MATCH(LEFT(Table20[[#This Row],[Min]],FIND("-",Table20[[#This Row],[Min]])-1),Table1[Content Sku],0),18,1,1,"Entities")),"review","ok"),"ok")</f>
        <v>ok</v>
      </c>
    </row>
    <row r="724" spans="5:41" x14ac:dyDescent="0.25">
      <c r="E724" t="s">
        <v>46</v>
      </c>
      <c r="F724">
        <v>0</v>
      </c>
      <c r="G724">
        <v>0</v>
      </c>
      <c r="H724" t="s">
        <v>8</v>
      </c>
      <c r="I724" s="74" t="str">
        <f ca="1">IF(Table7[[#This Row],[Type]]="KILL",IF(_xlfn.NUMBERVALUE(RIGHT(Table7[[#This Row],[Min]],LEN(Table7[[#This Row],[Min]])-FIND("-",Table7[[#This Row],[Min]])))&gt;INDIRECT(ADDRESS(11+MATCH(LEFT(Table7[[#This Row],[Min]],FIND("-",Table7[[#This Row],[Min]])-1),Table1[Content Sku],0),16,1,1,"Entities")),"review","ok"),"ok")</f>
        <v>ok</v>
      </c>
      <c r="U724" t="s">
        <v>37</v>
      </c>
      <c r="V724">
        <v>0</v>
      </c>
      <c r="W724">
        <v>0</v>
      </c>
      <c r="X724" t="s">
        <v>8</v>
      </c>
      <c r="Y724" s="74" t="str">
        <f ca="1">IF(Table15[[#This Row],[Type]]="KILL",IF(_xlfn.NUMBERVALUE(RIGHT(Table15[[#This Row],[Min]],LEN(Table15[[#This Row],[Min]])-FIND("-",Table15[[#This Row],[Min]])))&gt;INDIRECT(ADDRESS(11+MATCH(LEFT(Table15[[#This Row],[Min]],FIND("-",Table15[[#This Row],[Min]])-1),Table1[Content Sku],0),16,1,1,"Entities")),"review","ok"),"ok")</f>
        <v>ok</v>
      </c>
      <c r="AK724" t="s">
        <v>37</v>
      </c>
      <c r="AL724">
        <v>180</v>
      </c>
      <c r="AM724">
        <v>0</v>
      </c>
      <c r="AN724" t="s">
        <v>4431</v>
      </c>
      <c r="AO724" s="74" t="str">
        <f ca="1">IF(Table20[[#This Row],[Type]]="KILL",IF(_xlfn.NUMBERVALUE(RIGHT(Table20[[#This Row],[Min]],LEN(Table20[[#This Row],[Min]])-FIND("-",Table20[[#This Row],[Min]])))&gt;INDIRECT(ADDRESS(11+MATCH(LEFT(Table20[[#This Row],[Min]],FIND("-",Table20[[#This Row],[Min]])-1),Table1[Content Sku],0),18,1,1,"Entities")),"review","ok"),"ok")</f>
        <v>ok</v>
      </c>
    </row>
    <row r="725" spans="5:41" x14ac:dyDescent="0.25">
      <c r="E725" t="s">
        <v>2443</v>
      </c>
      <c r="F725">
        <v>0</v>
      </c>
      <c r="G725">
        <v>0</v>
      </c>
      <c r="H725" t="s">
        <v>8</v>
      </c>
      <c r="I725" s="74" t="str">
        <f ca="1">IF(Table7[[#This Row],[Type]]="KILL",IF(_xlfn.NUMBERVALUE(RIGHT(Table7[[#This Row],[Min]],LEN(Table7[[#This Row],[Min]])-FIND("-",Table7[[#This Row],[Min]])))&gt;INDIRECT(ADDRESS(11+MATCH(LEFT(Table7[[#This Row],[Min]],FIND("-",Table7[[#This Row],[Min]])-1),Table1[Content Sku],0),16,1,1,"Entities")),"review","ok"),"ok")</f>
        <v>ok</v>
      </c>
      <c r="U725" t="s">
        <v>313</v>
      </c>
      <c r="V725">
        <v>0</v>
      </c>
      <c r="W725">
        <v>0</v>
      </c>
      <c r="X725" t="s">
        <v>8</v>
      </c>
      <c r="Y725" s="74" t="str">
        <f ca="1">IF(Table15[[#This Row],[Type]]="KILL",IF(_xlfn.NUMBERVALUE(RIGHT(Table15[[#This Row],[Min]],LEN(Table15[[#This Row],[Min]])-FIND("-",Table15[[#This Row],[Min]])))&gt;INDIRECT(ADDRESS(11+MATCH(LEFT(Table15[[#This Row],[Min]],FIND("-",Table15[[#This Row],[Min]])-1),Table1[Content Sku],0),16,1,1,"Entities")),"review","ok"),"ok")</f>
        <v>ok</v>
      </c>
      <c r="AK725" t="s">
        <v>548</v>
      </c>
      <c r="AL725">
        <v>0</v>
      </c>
      <c r="AM725">
        <v>0</v>
      </c>
      <c r="AN725" t="s">
        <v>8</v>
      </c>
      <c r="AO725" s="74" t="str">
        <f ca="1">IF(Table20[[#This Row],[Type]]="KILL",IF(_xlfn.NUMBERVALUE(RIGHT(Table20[[#This Row],[Min]],LEN(Table20[[#This Row],[Min]])-FIND("-",Table20[[#This Row],[Min]])))&gt;INDIRECT(ADDRESS(11+MATCH(LEFT(Table20[[#This Row],[Min]],FIND("-",Table20[[#This Row],[Min]])-1),Table1[Content Sku],0),18,1,1,"Entities")),"review","ok"),"ok")</f>
        <v>ok</v>
      </c>
    </row>
    <row r="726" spans="5:41" x14ac:dyDescent="0.25">
      <c r="E726" t="s">
        <v>313</v>
      </c>
      <c r="F726">
        <v>0</v>
      </c>
      <c r="G726">
        <v>0</v>
      </c>
      <c r="H726" t="s">
        <v>8</v>
      </c>
      <c r="I726" s="74" t="str">
        <f ca="1">IF(Table7[[#This Row],[Type]]="KILL",IF(_xlfn.NUMBERVALUE(RIGHT(Table7[[#This Row],[Min]],LEN(Table7[[#This Row],[Min]])-FIND("-",Table7[[#This Row],[Min]])))&gt;INDIRECT(ADDRESS(11+MATCH(LEFT(Table7[[#This Row],[Min]],FIND("-",Table7[[#This Row],[Min]])-1),Table1[Content Sku],0),16,1,1,"Entities")),"review","ok"),"ok")</f>
        <v>ok</v>
      </c>
      <c r="U726" t="s">
        <v>293</v>
      </c>
      <c r="V726">
        <v>0</v>
      </c>
      <c r="W726">
        <v>0</v>
      </c>
      <c r="X726" t="s">
        <v>8</v>
      </c>
      <c r="Y726" s="74" t="str">
        <f ca="1">IF(Table15[[#This Row],[Type]]="KILL",IF(_xlfn.NUMBERVALUE(RIGHT(Table15[[#This Row],[Min]],LEN(Table15[[#This Row],[Min]])-FIND("-",Table15[[#This Row],[Min]])))&gt;INDIRECT(ADDRESS(11+MATCH(LEFT(Table15[[#This Row],[Min]],FIND("-",Table15[[#This Row],[Min]])-1),Table1[Content Sku],0),16,1,1,"Entities")),"review","ok"),"ok")</f>
        <v>ok</v>
      </c>
      <c r="AK726" t="s">
        <v>37</v>
      </c>
      <c r="AL726">
        <v>0</v>
      </c>
      <c r="AM726">
        <v>0</v>
      </c>
      <c r="AN726" t="s">
        <v>8</v>
      </c>
      <c r="AO726" s="74" t="str">
        <f ca="1">IF(Table20[[#This Row],[Type]]="KILL",IF(_xlfn.NUMBERVALUE(RIGHT(Table20[[#This Row],[Min]],LEN(Table20[[#This Row],[Min]])-FIND("-",Table20[[#This Row],[Min]])))&gt;INDIRECT(ADDRESS(11+MATCH(LEFT(Table20[[#This Row],[Min]],FIND("-",Table20[[#This Row],[Min]])-1),Table1[Content Sku],0),18,1,1,"Entities")),"review","ok"),"ok")</f>
        <v>ok</v>
      </c>
    </row>
    <row r="727" spans="5:41" x14ac:dyDescent="0.25">
      <c r="E727" t="s">
        <v>254</v>
      </c>
      <c r="F727">
        <v>0</v>
      </c>
      <c r="G727">
        <v>16000</v>
      </c>
      <c r="H727" t="s">
        <v>205</v>
      </c>
      <c r="I727" s="74" t="str">
        <f ca="1">IF(Table7[[#This Row],[Type]]="KILL",IF(_xlfn.NUMBERVALUE(RIGHT(Table7[[#This Row],[Min]],LEN(Table7[[#This Row],[Min]])-FIND("-",Table7[[#This Row],[Min]])))&gt;INDIRECT(ADDRESS(11+MATCH(LEFT(Table7[[#This Row],[Min]],FIND("-",Table7[[#This Row],[Min]])-1),Table1[Content Sku],0),16,1,1,"Entities")),"review","ok"),"ok")</f>
        <v>ok</v>
      </c>
      <c r="U727" t="s">
        <v>315</v>
      </c>
      <c r="V727">
        <v>26000</v>
      </c>
      <c r="W727">
        <v>0</v>
      </c>
      <c r="X727" t="s">
        <v>205</v>
      </c>
      <c r="Y727" s="74" t="str">
        <f ca="1">IF(Table15[[#This Row],[Type]]="KILL",IF(_xlfn.NUMBERVALUE(RIGHT(Table15[[#This Row],[Min]],LEN(Table15[[#This Row],[Min]])-FIND("-",Table15[[#This Row],[Min]])))&gt;INDIRECT(ADDRESS(11+MATCH(LEFT(Table15[[#This Row],[Min]],FIND("-",Table15[[#This Row],[Min]])-1),Table1[Content Sku],0),16,1,1,"Entities")),"review","ok"),"ok")</f>
        <v>ok</v>
      </c>
      <c r="AK727" t="s">
        <v>39</v>
      </c>
      <c r="AL727">
        <v>0</v>
      </c>
      <c r="AM727">
        <v>33000</v>
      </c>
      <c r="AN727" t="s">
        <v>205</v>
      </c>
      <c r="AO727" s="74" t="str">
        <f ca="1">IF(Table20[[#This Row],[Type]]="KILL",IF(_xlfn.NUMBERVALUE(RIGHT(Table20[[#This Row],[Min]],LEN(Table20[[#This Row],[Min]])-FIND("-",Table20[[#This Row],[Min]])))&gt;INDIRECT(ADDRESS(11+MATCH(LEFT(Table20[[#This Row],[Min]],FIND("-",Table20[[#This Row],[Min]])-1),Table1[Content Sku],0),18,1,1,"Entities")),"review","ok"),"ok")</f>
        <v>ok</v>
      </c>
    </row>
    <row r="728" spans="5:41" x14ac:dyDescent="0.25">
      <c r="E728" t="s">
        <v>36</v>
      </c>
      <c r="F728">
        <v>0</v>
      </c>
      <c r="G728">
        <v>0</v>
      </c>
      <c r="H728" t="s">
        <v>8</v>
      </c>
      <c r="I728" s="74" t="str">
        <f ca="1">IF(Table7[[#This Row],[Type]]="KILL",IF(_xlfn.NUMBERVALUE(RIGHT(Table7[[#This Row],[Min]],LEN(Table7[[#This Row],[Min]])-FIND("-",Table7[[#This Row],[Min]])))&gt;INDIRECT(ADDRESS(11+MATCH(LEFT(Table7[[#This Row],[Min]],FIND("-",Table7[[#This Row],[Min]])-1),Table1[Content Sku],0),16,1,1,"Entities")),"review","ok"),"ok")</f>
        <v>ok</v>
      </c>
      <c r="U728" t="s">
        <v>122</v>
      </c>
      <c r="V728">
        <v>0</v>
      </c>
      <c r="W728">
        <v>0</v>
      </c>
      <c r="X728" t="s">
        <v>8</v>
      </c>
      <c r="Y728" s="74" t="str">
        <f ca="1">IF(Table15[[#This Row],[Type]]="KILL",IF(_xlfn.NUMBERVALUE(RIGHT(Table15[[#This Row],[Min]],LEN(Table15[[#This Row],[Min]])-FIND("-",Table15[[#This Row],[Min]])))&gt;INDIRECT(ADDRESS(11+MATCH(LEFT(Table15[[#This Row],[Min]],FIND("-",Table15[[#This Row],[Min]])-1),Table1[Content Sku],0),16,1,1,"Entities")),"review","ok"),"ok")</f>
        <v>ok</v>
      </c>
      <c r="AK728" t="s">
        <v>2667</v>
      </c>
      <c r="AL728">
        <v>0</v>
      </c>
      <c r="AM728">
        <v>0</v>
      </c>
      <c r="AN728" t="s">
        <v>8</v>
      </c>
      <c r="AO728" s="74" t="str">
        <f ca="1">IF(Table20[[#This Row],[Type]]="KILL",IF(_xlfn.NUMBERVALUE(RIGHT(Table20[[#This Row],[Min]],LEN(Table20[[#This Row],[Min]])-FIND("-",Table20[[#This Row],[Min]])))&gt;INDIRECT(ADDRESS(11+MATCH(LEFT(Table20[[#This Row],[Min]],FIND("-",Table20[[#This Row],[Min]])-1),Table1[Content Sku],0),18,1,1,"Entities")),"review","ok"),"ok")</f>
        <v>ok</v>
      </c>
    </row>
    <row r="729" spans="5:41" x14ac:dyDescent="0.25">
      <c r="E729" t="s">
        <v>253</v>
      </c>
      <c r="F729">
        <v>0</v>
      </c>
      <c r="G729">
        <v>0</v>
      </c>
      <c r="H729" t="s">
        <v>8</v>
      </c>
      <c r="I729" s="74" t="str">
        <f ca="1">IF(Table7[[#This Row],[Type]]="KILL",IF(_xlfn.NUMBERVALUE(RIGHT(Table7[[#This Row],[Min]],LEN(Table7[[#This Row],[Min]])-FIND("-",Table7[[#This Row],[Min]])))&gt;INDIRECT(ADDRESS(11+MATCH(LEFT(Table7[[#This Row],[Min]],FIND("-",Table7[[#This Row],[Min]])-1),Table1[Content Sku],0),16,1,1,"Entities")),"review","ok"),"ok")</f>
        <v>ok</v>
      </c>
      <c r="U729" t="s">
        <v>304</v>
      </c>
      <c r="V729">
        <v>30000</v>
      </c>
      <c r="W729">
        <v>0</v>
      </c>
      <c r="X729" t="s">
        <v>205</v>
      </c>
      <c r="Y729" s="74" t="str">
        <f ca="1">IF(Table15[[#This Row],[Type]]="KILL",IF(_xlfn.NUMBERVALUE(RIGHT(Table15[[#This Row],[Min]],LEN(Table15[[#This Row],[Min]])-FIND("-",Table15[[#This Row],[Min]])))&gt;INDIRECT(ADDRESS(11+MATCH(LEFT(Table15[[#This Row],[Min]],FIND("-",Table15[[#This Row],[Min]])-1),Table1[Content Sku],0),16,1,1,"Entities")),"review","ok"),"ok")</f>
        <v>ok</v>
      </c>
      <c r="AK729" t="s">
        <v>2741</v>
      </c>
      <c r="AL729">
        <v>0</v>
      </c>
      <c r="AM729">
        <v>0</v>
      </c>
      <c r="AN729" t="s">
        <v>8</v>
      </c>
      <c r="AO729" s="74" t="str">
        <f ca="1">IF(Table20[[#This Row],[Type]]="KILL",IF(_xlfn.NUMBERVALUE(RIGHT(Table20[[#This Row],[Min]],LEN(Table20[[#This Row],[Min]])-FIND("-",Table20[[#This Row],[Min]])))&gt;INDIRECT(ADDRESS(11+MATCH(LEFT(Table20[[#This Row],[Min]],FIND("-",Table20[[#This Row],[Min]])-1),Table1[Content Sku],0),18,1,1,"Entities")),"review","ok"),"ok")</f>
        <v>ok</v>
      </c>
    </row>
    <row r="730" spans="5:41" x14ac:dyDescent="0.25">
      <c r="E730" t="s">
        <v>283</v>
      </c>
      <c r="F730">
        <v>8000</v>
      </c>
      <c r="G730">
        <v>0</v>
      </c>
      <c r="H730" t="s">
        <v>205</v>
      </c>
      <c r="I730" s="74" t="str">
        <f ca="1">IF(Table7[[#This Row],[Type]]="KILL",IF(_xlfn.NUMBERVALUE(RIGHT(Table7[[#This Row],[Min]],LEN(Table7[[#This Row],[Min]])-FIND("-",Table7[[#This Row],[Min]])))&gt;INDIRECT(ADDRESS(11+MATCH(LEFT(Table7[[#This Row],[Min]],FIND("-",Table7[[#This Row],[Min]])-1),Table1[Content Sku],0),16,1,1,"Entities")),"review","ok"),"ok")</f>
        <v>ok</v>
      </c>
      <c r="U730" t="s">
        <v>391</v>
      </c>
      <c r="V730">
        <v>0</v>
      </c>
      <c r="W730">
        <v>0</v>
      </c>
      <c r="X730" t="s">
        <v>8</v>
      </c>
      <c r="Y730" s="74" t="str">
        <f ca="1">IF(Table15[[#This Row],[Type]]="KILL",IF(_xlfn.NUMBERVALUE(RIGHT(Table15[[#This Row],[Min]],LEN(Table15[[#This Row],[Min]])-FIND("-",Table15[[#This Row],[Min]])))&gt;INDIRECT(ADDRESS(11+MATCH(LEFT(Table15[[#This Row],[Min]],FIND("-",Table15[[#This Row],[Min]])-1),Table1[Content Sku],0),16,1,1,"Entities")),"review","ok"),"ok")</f>
        <v>ok</v>
      </c>
      <c r="AK730" t="s">
        <v>2662</v>
      </c>
      <c r="AL730">
        <v>0</v>
      </c>
      <c r="AM730">
        <v>0</v>
      </c>
      <c r="AN730" t="s">
        <v>8</v>
      </c>
      <c r="AO730" s="74" t="str">
        <f ca="1">IF(Table20[[#This Row],[Type]]="KILL",IF(_xlfn.NUMBERVALUE(RIGHT(Table20[[#This Row],[Min]],LEN(Table20[[#This Row],[Min]])-FIND("-",Table20[[#This Row],[Min]])))&gt;INDIRECT(ADDRESS(11+MATCH(LEFT(Table20[[#This Row],[Min]],FIND("-",Table20[[#This Row],[Min]])-1),Table1[Content Sku],0),18,1,1,"Entities")),"review","ok"),"ok")</f>
        <v>ok</v>
      </c>
    </row>
    <row r="731" spans="5:41" x14ac:dyDescent="0.25">
      <c r="E731" t="s">
        <v>393</v>
      </c>
      <c r="F731">
        <v>0</v>
      </c>
      <c r="G731">
        <v>0</v>
      </c>
      <c r="H731" t="s">
        <v>8</v>
      </c>
      <c r="I731" s="74" t="str">
        <f ca="1">IF(Table7[[#This Row],[Type]]="KILL",IF(_xlfn.NUMBERVALUE(RIGHT(Table7[[#This Row],[Min]],LEN(Table7[[#This Row],[Min]])-FIND("-",Table7[[#This Row],[Min]])))&gt;INDIRECT(ADDRESS(11+MATCH(LEFT(Table7[[#This Row],[Min]],FIND("-",Table7[[#This Row],[Min]])-1),Table1[Content Sku],0),16,1,1,"Entities")),"review","ok"),"ok")</f>
        <v>ok</v>
      </c>
      <c r="U731" t="s">
        <v>2766</v>
      </c>
      <c r="V731">
        <v>0</v>
      </c>
      <c r="W731">
        <v>0</v>
      </c>
      <c r="X731" t="s">
        <v>8</v>
      </c>
      <c r="Y731" s="74" t="str">
        <f ca="1">IF(Table15[[#This Row],[Type]]="KILL",IF(_xlfn.NUMBERVALUE(RIGHT(Table15[[#This Row],[Min]],LEN(Table15[[#This Row],[Min]])-FIND("-",Table15[[#This Row],[Min]])))&gt;INDIRECT(ADDRESS(11+MATCH(LEFT(Table15[[#This Row],[Min]],FIND("-",Table15[[#This Row],[Min]])-1),Table1[Content Sku],0),16,1,1,"Entities")),"review","ok"),"ok")</f>
        <v>ok</v>
      </c>
      <c r="AK731" t="s">
        <v>37</v>
      </c>
      <c r="AL731">
        <v>0</v>
      </c>
      <c r="AM731">
        <v>0</v>
      </c>
      <c r="AN731" t="s">
        <v>8</v>
      </c>
      <c r="AO731" s="74" t="str">
        <f ca="1">IF(Table20[[#This Row],[Type]]="KILL",IF(_xlfn.NUMBERVALUE(RIGHT(Table20[[#This Row],[Min]],LEN(Table20[[#This Row],[Min]])-FIND("-",Table20[[#This Row],[Min]])))&gt;INDIRECT(ADDRESS(11+MATCH(LEFT(Table20[[#This Row],[Min]],FIND("-",Table20[[#This Row],[Min]])-1),Table1[Content Sku],0),18,1,1,"Entities")),"review","ok"),"ok")</f>
        <v>ok</v>
      </c>
    </row>
    <row r="732" spans="5:41" x14ac:dyDescent="0.25">
      <c r="E732" t="s">
        <v>313</v>
      </c>
      <c r="F732">
        <v>0</v>
      </c>
      <c r="G732">
        <v>0</v>
      </c>
      <c r="H732" t="s">
        <v>8</v>
      </c>
      <c r="I732" s="74" t="str">
        <f ca="1">IF(Table7[[#This Row],[Type]]="KILL",IF(_xlfn.NUMBERVALUE(RIGHT(Table7[[#This Row],[Min]],LEN(Table7[[#This Row],[Min]])-FIND("-",Table7[[#This Row],[Min]])))&gt;INDIRECT(ADDRESS(11+MATCH(LEFT(Table7[[#This Row],[Min]],FIND("-",Table7[[#This Row],[Min]])-1),Table1[Content Sku],0),16,1,1,"Entities")),"review","ok"),"ok")</f>
        <v>ok</v>
      </c>
      <c r="U732" t="s">
        <v>300</v>
      </c>
      <c r="V732">
        <v>0</v>
      </c>
      <c r="W732">
        <v>200</v>
      </c>
      <c r="X732" t="s">
        <v>4431</v>
      </c>
      <c r="Y732" s="74" t="str">
        <f ca="1">IF(Table15[[#This Row],[Type]]="KILL",IF(_xlfn.NUMBERVALUE(RIGHT(Table15[[#This Row],[Min]],LEN(Table15[[#This Row],[Min]])-FIND("-",Table15[[#This Row],[Min]])))&gt;INDIRECT(ADDRESS(11+MATCH(LEFT(Table15[[#This Row],[Min]],FIND("-",Table15[[#This Row],[Min]])-1),Table1[Content Sku],0),16,1,1,"Entities")),"review","ok"),"ok")</f>
        <v>ok</v>
      </c>
      <c r="AK732" t="s">
        <v>37</v>
      </c>
      <c r="AL732">
        <v>0</v>
      </c>
      <c r="AM732">
        <v>0</v>
      </c>
      <c r="AN732" t="s">
        <v>8</v>
      </c>
      <c r="AO732" s="74" t="str">
        <f ca="1">IF(Table20[[#This Row],[Type]]="KILL",IF(_xlfn.NUMBERVALUE(RIGHT(Table20[[#This Row],[Min]],LEN(Table20[[#This Row],[Min]])-FIND("-",Table20[[#This Row],[Min]])))&gt;INDIRECT(ADDRESS(11+MATCH(LEFT(Table20[[#This Row],[Min]],FIND("-",Table20[[#This Row],[Min]])-1),Table1[Content Sku],0),18,1,1,"Entities")),"review","ok"),"ok")</f>
        <v>ok</v>
      </c>
    </row>
    <row r="733" spans="5:41" x14ac:dyDescent="0.25">
      <c r="E733" t="s">
        <v>254</v>
      </c>
      <c r="F733">
        <v>0</v>
      </c>
      <c r="G733">
        <v>0</v>
      </c>
      <c r="H733" t="s">
        <v>8</v>
      </c>
      <c r="I733" s="74" t="str">
        <f ca="1">IF(Table7[[#This Row],[Type]]="KILL",IF(_xlfn.NUMBERVALUE(RIGHT(Table7[[#This Row],[Min]],LEN(Table7[[#This Row],[Min]])-FIND("-",Table7[[#This Row],[Min]])))&gt;INDIRECT(ADDRESS(11+MATCH(LEFT(Table7[[#This Row],[Min]],FIND("-",Table7[[#This Row],[Min]])-1),Table1[Content Sku],0),16,1,1,"Entities")),"review","ok"),"ok")</f>
        <v>ok</v>
      </c>
      <c r="U733" t="s">
        <v>291</v>
      </c>
      <c r="V733">
        <v>0</v>
      </c>
      <c r="W733">
        <v>20000</v>
      </c>
      <c r="X733" t="s">
        <v>205</v>
      </c>
      <c r="Y733" s="74" t="str">
        <f ca="1">IF(Table15[[#This Row],[Type]]="KILL",IF(_xlfn.NUMBERVALUE(RIGHT(Table15[[#This Row],[Min]],LEN(Table15[[#This Row],[Min]])-FIND("-",Table15[[#This Row],[Min]])))&gt;INDIRECT(ADDRESS(11+MATCH(LEFT(Table15[[#This Row],[Min]],FIND("-",Table15[[#This Row],[Min]])-1),Table1[Content Sku],0),16,1,1,"Entities")),"review","ok"),"ok")</f>
        <v>ok</v>
      </c>
      <c r="AK733" t="s">
        <v>2676</v>
      </c>
      <c r="AL733">
        <v>0</v>
      </c>
      <c r="AM733">
        <v>0</v>
      </c>
      <c r="AN733" t="s">
        <v>8</v>
      </c>
      <c r="AO733" s="74" t="str">
        <f ca="1">IF(Table20[[#This Row],[Type]]="KILL",IF(_xlfn.NUMBERVALUE(RIGHT(Table20[[#This Row],[Min]],LEN(Table20[[#This Row],[Min]])-FIND("-",Table20[[#This Row],[Min]])))&gt;INDIRECT(ADDRESS(11+MATCH(LEFT(Table20[[#This Row],[Min]],FIND("-",Table20[[#This Row],[Min]])-1),Table1[Content Sku],0),18,1,1,"Entities")),"review","ok"),"ok")</f>
        <v>ok</v>
      </c>
    </row>
    <row r="734" spans="5:41" x14ac:dyDescent="0.25">
      <c r="E734" t="s">
        <v>548</v>
      </c>
      <c r="F734">
        <v>0</v>
      </c>
      <c r="G734">
        <v>0</v>
      </c>
      <c r="H734" t="s">
        <v>8</v>
      </c>
      <c r="I734" s="74" t="str">
        <f ca="1">IF(Table7[[#This Row],[Type]]="KILL",IF(_xlfn.NUMBERVALUE(RIGHT(Table7[[#This Row],[Min]],LEN(Table7[[#This Row],[Min]])-FIND("-",Table7[[#This Row],[Min]])))&gt;INDIRECT(ADDRESS(11+MATCH(LEFT(Table7[[#This Row],[Min]],FIND("-",Table7[[#This Row],[Min]])-1),Table1[Content Sku],0),16,1,1,"Entities")),"review","ok"),"ok")</f>
        <v>ok</v>
      </c>
      <c r="U734" t="s">
        <v>2741</v>
      </c>
      <c r="V734">
        <v>0</v>
      </c>
      <c r="W734">
        <v>0</v>
      </c>
      <c r="X734" t="s">
        <v>8</v>
      </c>
      <c r="Y734" s="74" t="str">
        <f ca="1">IF(Table15[[#This Row],[Type]]="KILL",IF(_xlfn.NUMBERVALUE(RIGHT(Table15[[#This Row],[Min]],LEN(Table15[[#This Row],[Min]])-FIND("-",Table15[[#This Row],[Min]])))&gt;INDIRECT(ADDRESS(11+MATCH(LEFT(Table15[[#This Row],[Min]],FIND("-",Table15[[#This Row],[Min]])-1),Table1[Content Sku],0),16,1,1,"Entities")),"review","ok"),"ok")</f>
        <v>ok</v>
      </c>
      <c r="AK734" t="s">
        <v>2741</v>
      </c>
      <c r="AL734">
        <v>0</v>
      </c>
      <c r="AM734">
        <v>0</v>
      </c>
      <c r="AN734" t="s">
        <v>8</v>
      </c>
      <c r="AO734" s="74" t="str">
        <f ca="1">IF(Table20[[#This Row],[Type]]="KILL",IF(_xlfn.NUMBERVALUE(RIGHT(Table20[[#This Row],[Min]],LEN(Table20[[#This Row],[Min]])-FIND("-",Table20[[#This Row],[Min]])))&gt;INDIRECT(ADDRESS(11+MATCH(LEFT(Table20[[#This Row],[Min]],FIND("-",Table20[[#This Row],[Min]])-1),Table1[Content Sku],0),18,1,1,"Entities")),"review","ok"),"ok")</f>
        <v>ok</v>
      </c>
    </row>
    <row r="735" spans="5:41" x14ac:dyDescent="0.25">
      <c r="E735" t="s">
        <v>283</v>
      </c>
      <c r="F735">
        <v>10000</v>
      </c>
      <c r="G735">
        <v>0</v>
      </c>
      <c r="H735" t="s">
        <v>205</v>
      </c>
      <c r="I735" s="74" t="str">
        <f ca="1">IF(Table7[[#This Row],[Type]]="KILL",IF(_xlfn.NUMBERVALUE(RIGHT(Table7[[#This Row],[Min]],LEN(Table7[[#This Row],[Min]])-FIND("-",Table7[[#This Row],[Min]])))&gt;INDIRECT(ADDRESS(11+MATCH(LEFT(Table7[[#This Row],[Min]],FIND("-",Table7[[#This Row],[Min]])-1),Table1[Content Sku],0),16,1,1,"Entities")),"review","ok"),"ok")</f>
        <v>ok</v>
      </c>
      <c r="U735" t="s">
        <v>46</v>
      </c>
      <c r="V735">
        <v>0</v>
      </c>
      <c r="W735">
        <v>0</v>
      </c>
      <c r="X735" t="s">
        <v>8</v>
      </c>
      <c r="Y735" s="74" t="str">
        <f ca="1">IF(Table15[[#This Row],[Type]]="KILL",IF(_xlfn.NUMBERVALUE(RIGHT(Table15[[#This Row],[Min]],LEN(Table15[[#This Row],[Min]])-FIND("-",Table15[[#This Row],[Min]])))&gt;INDIRECT(ADDRESS(11+MATCH(LEFT(Table15[[#This Row],[Min]],FIND("-",Table15[[#This Row],[Min]])-1),Table1[Content Sku],0),16,1,1,"Entities")),"review","ok"),"ok")</f>
        <v>ok</v>
      </c>
      <c r="AK735" t="s">
        <v>2741</v>
      </c>
      <c r="AL735">
        <v>0</v>
      </c>
      <c r="AM735">
        <v>0</v>
      </c>
      <c r="AN735" t="s">
        <v>8</v>
      </c>
      <c r="AO735" s="74" t="str">
        <f ca="1">IF(Table20[[#This Row],[Type]]="KILL",IF(_xlfn.NUMBERVALUE(RIGHT(Table20[[#This Row],[Min]],LEN(Table20[[#This Row],[Min]])-FIND("-",Table20[[#This Row],[Min]])))&gt;INDIRECT(ADDRESS(11+MATCH(LEFT(Table20[[#This Row],[Min]],FIND("-",Table20[[#This Row],[Min]])-1),Table1[Content Sku],0),18,1,1,"Entities")),"review","ok"),"ok")</f>
        <v>ok</v>
      </c>
    </row>
    <row r="736" spans="5:41" x14ac:dyDescent="0.25">
      <c r="E736" t="s">
        <v>254</v>
      </c>
      <c r="F736">
        <v>0</v>
      </c>
      <c r="G736">
        <v>0</v>
      </c>
      <c r="H736" t="s">
        <v>8</v>
      </c>
      <c r="I736" s="74" t="str">
        <f ca="1">IF(Table7[[#This Row],[Type]]="KILL",IF(_xlfn.NUMBERVALUE(RIGHT(Table7[[#This Row],[Min]],LEN(Table7[[#This Row],[Min]])-FIND("-",Table7[[#This Row],[Min]])))&gt;INDIRECT(ADDRESS(11+MATCH(LEFT(Table7[[#This Row],[Min]],FIND("-",Table7[[#This Row],[Min]])-1),Table1[Content Sku],0),16,1,1,"Entities")),"review","ok"),"ok")</f>
        <v>ok</v>
      </c>
      <c r="U736" t="s">
        <v>8133</v>
      </c>
      <c r="V736">
        <v>0</v>
      </c>
      <c r="W736">
        <v>0</v>
      </c>
      <c r="X736" t="s">
        <v>8</v>
      </c>
      <c r="Y736" s="74" t="str">
        <f ca="1">IF(Table15[[#This Row],[Type]]="KILL",IF(_xlfn.NUMBERVALUE(RIGHT(Table15[[#This Row],[Min]],LEN(Table15[[#This Row],[Min]])-FIND("-",Table15[[#This Row],[Min]])))&gt;INDIRECT(ADDRESS(11+MATCH(LEFT(Table15[[#This Row],[Min]],FIND("-",Table15[[#This Row],[Min]])-1),Table1[Content Sku],0),16,1,1,"Entities")),"review","ok"),"ok")</f>
        <v>ok</v>
      </c>
      <c r="AK736" t="s">
        <v>37</v>
      </c>
      <c r="AL736">
        <v>0</v>
      </c>
      <c r="AM736">
        <v>25000</v>
      </c>
      <c r="AN736" t="s">
        <v>205</v>
      </c>
      <c r="AO736" s="74" t="str">
        <f ca="1">IF(Table20[[#This Row],[Type]]="KILL",IF(_xlfn.NUMBERVALUE(RIGHT(Table20[[#This Row],[Min]],LEN(Table20[[#This Row],[Min]])-FIND("-",Table20[[#This Row],[Min]])))&gt;INDIRECT(ADDRESS(11+MATCH(LEFT(Table20[[#This Row],[Min]],FIND("-",Table20[[#This Row],[Min]])-1),Table1[Content Sku],0),18,1,1,"Entities")),"review","ok"),"ok")</f>
        <v>ok</v>
      </c>
    </row>
    <row r="737" spans="5:41" x14ac:dyDescent="0.25">
      <c r="E737" t="s">
        <v>309</v>
      </c>
      <c r="F737">
        <v>7000</v>
      </c>
      <c r="G737">
        <v>0</v>
      </c>
      <c r="H737" t="s">
        <v>205</v>
      </c>
      <c r="I737" s="74" t="str">
        <f ca="1">IF(Table7[[#This Row],[Type]]="KILL",IF(_xlfn.NUMBERVALUE(RIGHT(Table7[[#This Row],[Min]],LEN(Table7[[#This Row],[Min]])-FIND("-",Table7[[#This Row],[Min]])))&gt;INDIRECT(ADDRESS(11+MATCH(LEFT(Table7[[#This Row],[Min]],FIND("-",Table7[[#This Row],[Min]])-1),Table1[Content Sku],0),16,1,1,"Entities")),"review","ok"),"ok")</f>
        <v>ok</v>
      </c>
      <c r="U737" t="s">
        <v>302</v>
      </c>
      <c r="V737">
        <v>0</v>
      </c>
      <c r="W737">
        <v>0</v>
      </c>
      <c r="X737" t="s">
        <v>8</v>
      </c>
      <c r="Y737" s="74" t="str">
        <f ca="1">IF(Table15[[#This Row],[Type]]="KILL",IF(_xlfn.NUMBERVALUE(RIGHT(Table15[[#This Row],[Min]],LEN(Table15[[#This Row],[Min]])-FIND("-",Table15[[#This Row],[Min]])))&gt;INDIRECT(ADDRESS(11+MATCH(LEFT(Table15[[#This Row],[Min]],FIND("-",Table15[[#This Row],[Min]])-1),Table1[Content Sku],0),16,1,1,"Entities")),"review","ok"),"ok")</f>
        <v>ok</v>
      </c>
      <c r="AK737" t="s">
        <v>2741</v>
      </c>
      <c r="AL737">
        <v>0</v>
      </c>
      <c r="AM737">
        <v>0</v>
      </c>
      <c r="AN737" t="s">
        <v>8</v>
      </c>
      <c r="AO737" s="74" t="str">
        <f ca="1">IF(Table20[[#This Row],[Type]]="KILL",IF(_xlfn.NUMBERVALUE(RIGHT(Table20[[#This Row],[Min]],LEN(Table20[[#This Row],[Min]])-FIND("-",Table20[[#This Row],[Min]])))&gt;INDIRECT(ADDRESS(11+MATCH(LEFT(Table20[[#This Row],[Min]],FIND("-",Table20[[#This Row],[Min]])-1),Table1[Content Sku],0),18,1,1,"Entities")),"review","ok"),"ok")</f>
        <v>ok</v>
      </c>
    </row>
    <row r="738" spans="5:41" x14ac:dyDescent="0.25">
      <c r="E738" t="s">
        <v>37</v>
      </c>
      <c r="F738">
        <v>0</v>
      </c>
      <c r="G738">
        <v>0</v>
      </c>
      <c r="H738" t="s">
        <v>8</v>
      </c>
      <c r="I738" s="74" t="str">
        <f ca="1">IF(Table7[[#This Row],[Type]]="KILL",IF(_xlfn.NUMBERVALUE(RIGHT(Table7[[#This Row],[Min]],LEN(Table7[[#This Row],[Min]])-FIND("-",Table7[[#This Row],[Min]])))&gt;INDIRECT(ADDRESS(11+MATCH(LEFT(Table7[[#This Row],[Min]],FIND("-",Table7[[#This Row],[Min]])-1),Table1[Content Sku],0),16,1,1,"Entities")),"review","ok"),"ok")</f>
        <v>ok</v>
      </c>
      <c r="U738" t="s">
        <v>400</v>
      </c>
      <c r="V738">
        <v>25000</v>
      </c>
      <c r="W738">
        <v>0</v>
      </c>
      <c r="X738" t="s">
        <v>205</v>
      </c>
      <c r="Y738" s="74" t="str">
        <f ca="1">IF(Table15[[#This Row],[Type]]="KILL",IF(_xlfn.NUMBERVALUE(RIGHT(Table15[[#This Row],[Min]],LEN(Table15[[#This Row],[Min]])-FIND("-",Table15[[#This Row],[Min]])))&gt;INDIRECT(ADDRESS(11+MATCH(LEFT(Table15[[#This Row],[Min]],FIND("-",Table15[[#This Row],[Min]])-1),Table1[Content Sku],0),16,1,1,"Entities")),"review","ok"),"ok")</f>
        <v>ok</v>
      </c>
      <c r="AK738" t="s">
        <v>2664</v>
      </c>
      <c r="AL738">
        <v>0</v>
      </c>
      <c r="AM738">
        <v>0</v>
      </c>
      <c r="AN738" t="s">
        <v>8</v>
      </c>
      <c r="AO738" s="74" t="str">
        <f ca="1">IF(Table20[[#This Row],[Type]]="KILL",IF(_xlfn.NUMBERVALUE(RIGHT(Table20[[#This Row],[Min]],LEN(Table20[[#This Row],[Min]])-FIND("-",Table20[[#This Row],[Min]])))&gt;INDIRECT(ADDRESS(11+MATCH(LEFT(Table20[[#This Row],[Min]],FIND("-",Table20[[#This Row],[Min]])-1),Table1[Content Sku],0),18,1,1,"Entities")),"review","ok"),"ok")</f>
        <v>ok</v>
      </c>
    </row>
    <row r="739" spans="5:41" x14ac:dyDescent="0.25">
      <c r="E739" t="s">
        <v>46</v>
      </c>
      <c r="F739">
        <v>0</v>
      </c>
      <c r="G739">
        <v>0</v>
      </c>
      <c r="H739" t="s">
        <v>8</v>
      </c>
      <c r="I739" s="74" t="str">
        <f ca="1">IF(Table7[[#This Row],[Type]]="KILL",IF(_xlfn.NUMBERVALUE(RIGHT(Table7[[#This Row],[Min]],LEN(Table7[[#This Row],[Min]])-FIND("-",Table7[[#This Row],[Min]])))&gt;INDIRECT(ADDRESS(11+MATCH(LEFT(Table7[[#This Row],[Min]],FIND("-",Table7[[#This Row],[Min]])-1),Table1[Content Sku],0),16,1,1,"Entities")),"review","ok"),"ok")</f>
        <v>ok</v>
      </c>
      <c r="U739" t="s">
        <v>315</v>
      </c>
      <c r="V739">
        <v>0</v>
      </c>
      <c r="W739">
        <v>0</v>
      </c>
      <c r="X739" t="s">
        <v>8</v>
      </c>
      <c r="Y739" s="74" t="str">
        <f ca="1">IF(Table15[[#This Row],[Type]]="KILL",IF(_xlfn.NUMBERVALUE(RIGHT(Table15[[#This Row],[Min]],LEN(Table15[[#This Row],[Min]])-FIND("-",Table15[[#This Row],[Min]])))&gt;INDIRECT(ADDRESS(11+MATCH(LEFT(Table15[[#This Row],[Min]],FIND("-",Table15[[#This Row],[Min]])-1),Table1[Content Sku],0),16,1,1,"Entities")),"review","ok"),"ok")</f>
        <v>ok</v>
      </c>
      <c r="AK739" t="s">
        <v>396</v>
      </c>
      <c r="AL739">
        <v>40000</v>
      </c>
      <c r="AM739">
        <v>0</v>
      </c>
      <c r="AN739" t="s">
        <v>205</v>
      </c>
      <c r="AO739" s="74" t="str">
        <f ca="1">IF(Table20[[#This Row],[Type]]="KILL",IF(_xlfn.NUMBERVALUE(RIGHT(Table20[[#This Row],[Min]],LEN(Table20[[#This Row],[Min]])-FIND("-",Table20[[#This Row],[Min]])))&gt;INDIRECT(ADDRESS(11+MATCH(LEFT(Table20[[#This Row],[Min]],FIND("-",Table20[[#This Row],[Min]])-1),Table1[Content Sku],0),18,1,1,"Entities")),"review","ok"),"ok")</f>
        <v>ok</v>
      </c>
    </row>
    <row r="740" spans="5:41" x14ac:dyDescent="0.25">
      <c r="E740" t="s">
        <v>42</v>
      </c>
      <c r="F740">
        <v>20500</v>
      </c>
      <c r="G740">
        <v>0</v>
      </c>
      <c r="H740" t="s">
        <v>205</v>
      </c>
      <c r="I740" s="74" t="str">
        <f ca="1">IF(Table7[[#This Row],[Type]]="KILL",IF(_xlfn.NUMBERVALUE(RIGHT(Table7[[#This Row],[Min]],LEN(Table7[[#This Row],[Min]])-FIND("-",Table7[[#This Row],[Min]])))&gt;INDIRECT(ADDRESS(11+MATCH(LEFT(Table7[[#This Row],[Min]],FIND("-",Table7[[#This Row],[Min]])-1),Table1[Content Sku],0),16,1,1,"Entities")),"review","ok"),"ok")</f>
        <v>ok</v>
      </c>
      <c r="U740" t="s">
        <v>95</v>
      </c>
      <c r="V740">
        <v>24000</v>
      </c>
      <c r="W740">
        <v>0</v>
      </c>
      <c r="X740" t="s">
        <v>205</v>
      </c>
      <c r="Y740" s="74" t="str">
        <f ca="1">IF(Table15[[#This Row],[Type]]="KILL",IF(_xlfn.NUMBERVALUE(RIGHT(Table15[[#This Row],[Min]],LEN(Table15[[#This Row],[Min]])-FIND("-",Table15[[#This Row],[Min]])))&gt;INDIRECT(ADDRESS(11+MATCH(LEFT(Table15[[#This Row],[Min]],FIND("-",Table15[[#This Row],[Min]])-1),Table1[Content Sku],0),16,1,1,"Entities")),"review","ok"),"ok")</f>
        <v>ok</v>
      </c>
      <c r="AK740" t="s">
        <v>2673</v>
      </c>
      <c r="AL740" t="s">
        <v>5008</v>
      </c>
      <c r="AM740" t="s">
        <v>4467</v>
      </c>
      <c r="AN740" t="s">
        <v>4468</v>
      </c>
      <c r="AO740" s="74" t="str">
        <f ca="1">IF(Table20[[#This Row],[Type]]="KILL",IF(_xlfn.NUMBERVALUE(RIGHT(Table20[[#This Row],[Min]],LEN(Table20[[#This Row],[Min]])-FIND("-",Table20[[#This Row],[Min]])))&gt;INDIRECT(ADDRESS(11+MATCH(LEFT(Table20[[#This Row],[Min]],FIND("-",Table20[[#This Row],[Min]])-1),Table1[Content Sku],0),18,1,1,"Entities")),"review","ok"),"ok")</f>
        <v>ok</v>
      </c>
    </row>
    <row r="741" spans="5:41" x14ac:dyDescent="0.25">
      <c r="E741" t="s">
        <v>313</v>
      </c>
      <c r="F741">
        <v>0</v>
      </c>
      <c r="G741">
        <v>0</v>
      </c>
      <c r="H741" t="s">
        <v>8</v>
      </c>
      <c r="I741" s="74" t="str">
        <f ca="1">IF(Table7[[#This Row],[Type]]="KILL",IF(_xlfn.NUMBERVALUE(RIGHT(Table7[[#This Row],[Min]],LEN(Table7[[#This Row],[Min]])-FIND("-",Table7[[#This Row],[Min]])))&gt;INDIRECT(ADDRESS(11+MATCH(LEFT(Table7[[#This Row],[Min]],FIND("-",Table7[[#This Row],[Min]])-1),Table1[Content Sku],0),16,1,1,"Entities")),"review","ok"),"ok")</f>
        <v>ok</v>
      </c>
      <c r="U741" t="s">
        <v>254</v>
      </c>
      <c r="V741">
        <v>0</v>
      </c>
      <c r="W741">
        <v>0</v>
      </c>
      <c r="X741" t="s">
        <v>8</v>
      </c>
      <c r="Y741" s="74" t="str">
        <f ca="1">IF(Table15[[#This Row],[Type]]="KILL",IF(_xlfn.NUMBERVALUE(RIGHT(Table15[[#This Row],[Min]],LEN(Table15[[#This Row],[Min]])-FIND("-",Table15[[#This Row],[Min]])))&gt;INDIRECT(ADDRESS(11+MATCH(LEFT(Table15[[#This Row],[Min]],FIND("-",Table15[[#This Row],[Min]])-1),Table1[Content Sku],0),16,1,1,"Entities")),"review","ok"),"ok")</f>
        <v>ok</v>
      </c>
      <c r="AK741" t="s">
        <v>482</v>
      </c>
      <c r="AL741">
        <v>37000</v>
      </c>
      <c r="AM741">
        <v>0</v>
      </c>
      <c r="AN741" t="s">
        <v>205</v>
      </c>
      <c r="AO741" s="74" t="str">
        <f ca="1">IF(Table20[[#This Row],[Type]]="KILL",IF(_xlfn.NUMBERVALUE(RIGHT(Table20[[#This Row],[Min]],LEN(Table20[[#This Row],[Min]])-FIND("-",Table20[[#This Row],[Min]])))&gt;INDIRECT(ADDRESS(11+MATCH(LEFT(Table20[[#This Row],[Min]],FIND("-",Table20[[#This Row],[Min]])-1),Table1[Content Sku],0),18,1,1,"Entities")),"review","ok"),"ok")</f>
        <v>ok</v>
      </c>
    </row>
    <row r="742" spans="5:41" x14ac:dyDescent="0.25">
      <c r="E742" t="s">
        <v>283</v>
      </c>
      <c r="F742">
        <v>0</v>
      </c>
      <c r="G742">
        <v>0</v>
      </c>
      <c r="H742" t="s">
        <v>8</v>
      </c>
      <c r="I742" s="74" t="str">
        <f ca="1">IF(Table7[[#This Row],[Type]]="KILL",IF(_xlfn.NUMBERVALUE(RIGHT(Table7[[#This Row],[Min]],LEN(Table7[[#This Row],[Min]])-FIND("-",Table7[[#This Row],[Min]])))&gt;INDIRECT(ADDRESS(11+MATCH(LEFT(Table7[[#This Row],[Min]],FIND("-",Table7[[#This Row],[Min]])-1),Table1[Content Sku],0),16,1,1,"Entities")),"review","ok"),"ok")</f>
        <v>ok</v>
      </c>
      <c r="U742" t="s">
        <v>273</v>
      </c>
      <c r="V742">
        <v>30000</v>
      </c>
      <c r="W742">
        <v>0</v>
      </c>
      <c r="X742" t="s">
        <v>205</v>
      </c>
      <c r="Y742" s="74" t="str">
        <f ca="1">IF(Table15[[#This Row],[Type]]="KILL",IF(_xlfn.NUMBERVALUE(RIGHT(Table15[[#This Row],[Min]],LEN(Table15[[#This Row],[Min]])-FIND("-",Table15[[#This Row],[Min]])))&gt;INDIRECT(ADDRESS(11+MATCH(LEFT(Table15[[#This Row],[Min]],FIND("-",Table15[[#This Row],[Min]])-1),Table1[Content Sku],0),16,1,1,"Entities")),"review","ok"),"ok")</f>
        <v>ok</v>
      </c>
      <c r="AK742" t="s">
        <v>39</v>
      </c>
      <c r="AL742">
        <v>24000</v>
      </c>
      <c r="AM742">
        <v>0</v>
      </c>
      <c r="AN742" t="s">
        <v>205</v>
      </c>
      <c r="AO742" s="74" t="str">
        <f ca="1">IF(Table20[[#This Row],[Type]]="KILL",IF(_xlfn.NUMBERVALUE(RIGHT(Table20[[#This Row],[Min]],LEN(Table20[[#This Row],[Min]])-FIND("-",Table20[[#This Row],[Min]])))&gt;INDIRECT(ADDRESS(11+MATCH(LEFT(Table20[[#This Row],[Min]],FIND("-",Table20[[#This Row],[Min]])-1),Table1[Content Sku],0),18,1,1,"Entities")),"review","ok"),"ok")</f>
        <v>ok</v>
      </c>
    </row>
    <row r="743" spans="5:41" x14ac:dyDescent="0.25">
      <c r="E743" t="s">
        <v>545</v>
      </c>
      <c r="F743">
        <v>0</v>
      </c>
      <c r="G743">
        <v>0</v>
      </c>
      <c r="H743" t="s">
        <v>8</v>
      </c>
      <c r="I743" s="74" t="str">
        <f ca="1">IF(Table7[[#This Row],[Type]]="KILL",IF(_xlfn.NUMBERVALUE(RIGHT(Table7[[#This Row],[Min]],LEN(Table7[[#This Row],[Min]])-FIND("-",Table7[[#This Row],[Min]])))&gt;INDIRECT(ADDRESS(11+MATCH(LEFT(Table7[[#This Row],[Min]],FIND("-",Table7[[#This Row],[Min]])-1),Table1[Content Sku],0),16,1,1,"Entities")),"review","ok"),"ok")</f>
        <v>ok</v>
      </c>
      <c r="U743" t="s">
        <v>391</v>
      </c>
      <c r="V743">
        <v>28000</v>
      </c>
      <c r="W743">
        <v>0</v>
      </c>
      <c r="X743" t="s">
        <v>205</v>
      </c>
      <c r="Y743" s="74" t="str">
        <f ca="1">IF(Table15[[#This Row],[Type]]="KILL",IF(_xlfn.NUMBERVALUE(RIGHT(Table15[[#This Row],[Min]],LEN(Table15[[#This Row],[Min]])-FIND("-",Table15[[#This Row],[Min]])))&gt;INDIRECT(ADDRESS(11+MATCH(LEFT(Table15[[#This Row],[Min]],FIND("-",Table15[[#This Row],[Min]])-1),Table1[Content Sku],0),16,1,1,"Entities")),"review","ok"),"ok")</f>
        <v>ok</v>
      </c>
      <c r="AK743" t="s">
        <v>2741</v>
      </c>
      <c r="AL743">
        <v>0</v>
      </c>
      <c r="AM743">
        <v>0</v>
      </c>
      <c r="AN743" t="s">
        <v>8</v>
      </c>
      <c r="AO743" s="74" t="str">
        <f ca="1">IF(Table20[[#This Row],[Type]]="KILL",IF(_xlfn.NUMBERVALUE(RIGHT(Table20[[#This Row],[Min]],LEN(Table20[[#This Row],[Min]])-FIND("-",Table20[[#This Row],[Min]])))&gt;INDIRECT(ADDRESS(11+MATCH(LEFT(Table20[[#This Row],[Min]],FIND("-",Table20[[#This Row],[Min]])-1),Table1[Content Sku],0),18,1,1,"Entities")),"review","ok"),"ok")</f>
        <v>ok</v>
      </c>
    </row>
    <row r="744" spans="5:41" x14ac:dyDescent="0.25">
      <c r="E744" t="s">
        <v>50</v>
      </c>
      <c r="F744">
        <v>16000</v>
      </c>
      <c r="G744">
        <v>0</v>
      </c>
      <c r="H744" t="s">
        <v>205</v>
      </c>
      <c r="I744" s="74" t="str">
        <f ca="1">IF(Table7[[#This Row],[Type]]="KILL",IF(_xlfn.NUMBERVALUE(RIGHT(Table7[[#This Row],[Min]],LEN(Table7[[#This Row],[Min]])-FIND("-",Table7[[#This Row],[Min]])))&gt;INDIRECT(ADDRESS(11+MATCH(LEFT(Table7[[#This Row],[Min]],FIND("-",Table7[[#This Row],[Min]])-1),Table1[Content Sku],0),16,1,1,"Entities")),"review","ok"),"ok")</f>
        <v>ok</v>
      </c>
      <c r="U744" t="s">
        <v>418</v>
      </c>
      <c r="V744">
        <v>0</v>
      </c>
      <c r="W744">
        <v>0</v>
      </c>
      <c r="X744" t="s">
        <v>8</v>
      </c>
      <c r="Y744" s="74" t="str">
        <f ca="1">IF(Table15[[#This Row],[Type]]="KILL",IF(_xlfn.NUMBERVALUE(RIGHT(Table15[[#This Row],[Min]],LEN(Table15[[#This Row],[Min]])-FIND("-",Table15[[#This Row],[Min]])))&gt;INDIRECT(ADDRESS(11+MATCH(LEFT(Table15[[#This Row],[Min]],FIND("-",Table15[[#This Row],[Min]])-1),Table1[Content Sku],0),16,1,1,"Entities")),"review","ok"),"ok")</f>
        <v>ok</v>
      </c>
      <c r="AK744" t="s">
        <v>48</v>
      </c>
      <c r="AL744">
        <v>0</v>
      </c>
      <c r="AM744">
        <v>0</v>
      </c>
      <c r="AN744" t="s">
        <v>8</v>
      </c>
      <c r="AO744" s="74" t="str">
        <f ca="1">IF(Table20[[#This Row],[Type]]="KILL",IF(_xlfn.NUMBERVALUE(RIGHT(Table20[[#This Row],[Min]],LEN(Table20[[#This Row],[Min]])-FIND("-",Table20[[#This Row],[Min]])))&gt;INDIRECT(ADDRESS(11+MATCH(LEFT(Table20[[#This Row],[Min]],FIND("-",Table20[[#This Row],[Min]])-1),Table1[Content Sku],0),18,1,1,"Entities")),"review","ok"),"ok")</f>
        <v>ok</v>
      </c>
    </row>
    <row r="745" spans="5:41" x14ac:dyDescent="0.25">
      <c r="E745" t="s">
        <v>393</v>
      </c>
      <c r="F745">
        <v>7000</v>
      </c>
      <c r="G745">
        <v>0</v>
      </c>
      <c r="H745" t="s">
        <v>205</v>
      </c>
      <c r="I745" s="74" t="str">
        <f ca="1">IF(Table7[[#This Row],[Type]]="KILL",IF(_xlfn.NUMBERVALUE(RIGHT(Table7[[#This Row],[Min]],LEN(Table7[[#This Row],[Min]])-FIND("-",Table7[[#This Row],[Min]])))&gt;INDIRECT(ADDRESS(11+MATCH(LEFT(Table7[[#This Row],[Min]],FIND("-",Table7[[#This Row],[Min]])-1),Table1[Content Sku],0),16,1,1,"Entities")),"review","ok"),"ok")</f>
        <v>ok</v>
      </c>
      <c r="U745" t="s">
        <v>286</v>
      </c>
      <c r="V745">
        <v>0</v>
      </c>
      <c r="W745">
        <v>0</v>
      </c>
      <c r="X745" t="s">
        <v>8</v>
      </c>
      <c r="Y745" s="74" t="str">
        <f ca="1">IF(Table15[[#This Row],[Type]]="KILL",IF(_xlfn.NUMBERVALUE(RIGHT(Table15[[#This Row],[Min]],LEN(Table15[[#This Row],[Min]])-FIND("-",Table15[[#This Row],[Min]])))&gt;INDIRECT(ADDRESS(11+MATCH(LEFT(Table15[[#This Row],[Min]],FIND("-",Table15[[#This Row],[Min]])-1),Table1[Content Sku],0),16,1,1,"Entities")),"review","ok"),"ok")</f>
        <v>ok</v>
      </c>
      <c r="AK745" t="s">
        <v>537</v>
      </c>
      <c r="AL745">
        <v>0</v>
      </c>
      <c r="AM745">
        <v>0</v>
      </c>
      <c r="AN745" t="s">
        <v>8</v>
      </c>
      <c r="AO745" s="74" t="str">
        <f ca="1">IF(Table20[[#This Row],[Type]]="KILL",IF(_xlfn.NUMBERVALUE(RIGHT(Table20[[#This Row],[Min]],LEN(Table20[[#This Row],[Min]])-FIND("-",Table20[[#This Row],[Min]])))&gt;INDIRECT(ADDRESS(11+MATCH(LEFT(Table20[[#This Row],[Min]],FIND("-",Table20[[#This Row],[Min]])-1),Table1[Content Sku],0),18,1,1,"Entities")),"review","ok"),"ok")</f>
        <v>ok</v>
      </c>
    </row>
    <row r="746" spans="5:41" x14ac:dyDescent="0.25">
      <c r="E746" t="s">
        <v>254</v>
      </c>
      <c r="F746">
        <v>0</v>
      </c>
      <c r="G746">
        <v>0</v>
      </c>
      <c r="H746" t="s">
        <v>8</v>
      </c>
      <c r="I746" s="74" t="str">
        <f ca="1">IF(Table7[[#This Row],[Type]]="KILL",IF(_xlfn.NUMBERVALUE(RIGHT(Table7[[#This Row],[Min]],LEN(Table7[[#This Row],[Min]])-FIND("-",Table7[[#This Row],[Min]])))&gt;INDIRECT(ADDRESS(11+MATCH(LEFT(Table7[[#This Row],[Min]],FIND("-",Table7[[#This Row],[Min]])-1),Table1[Content Sku],0),16,1,1,"Entities")),"review","ok"),"ok")</f>
        <v>ok</v>
      </c>
      <c r="U746" t="s">
        <v>315</v>
      </c>
      <c r="V746">
        <v>0</v>
      </c>
      <c r="W746">
        <v>40000</v>
      </c>
      <c r="X746" t="s">
        <v>205</v>
      </c>
      <c r="Y746" s="74" t="str">
        <f ca="1">IF(Table15[[#This Row],[Type]]="KILL",IF(_xlfn.NUMBERVALUE(RIGHT(Table15[[#This Row],[Min]],LEN(Table15[[#This Row],[Min]])-FIND("-",Table15[[#This Row],[Min]])))&gt;INDIRECT(ADDRESS(11+MATCH(LEFT(Table15[[#This Row],[Min]],FIND("-",Table15[[#This Row],[Min]])-1),Table1[Content Sku],0),16,1,1,"Entities")),"review","ok"),"ok")</f>
        <v>ok</v>
      </c>
      <c r="AK746" t="s">
        <v>2741</v>
      </c>
      <c r="AL746">
        <v>0</v>
      </c>
      <c r="AM746">
        <v>0</v>
      </c>
      <c r="AN746" t="s">
        <v>8</v>
      </c>
      <c r="AO746" s="74" t="str">
        <f ca="1">IF(Table20[[#This Row],[Type]]="KILL",IF(_xlfn.NUMBERVALUE(RIGHT(Table20[[#This Row],[Min]],LEN(Table20[[#This Row],[Min]])-FIND("-",Table20[[#This Row],[Min]])))&gt;INDIRECT(ADDRESS(11+MATCH(LEFT(Table20[[#This Row],[Min]],FIND("-",Table20[[#This Row],[Min]])-1),Table1[Content Sku],0),18,1,1,"Entities")),"review","ok"),"ok")</f>
        <v>ok</v>
      </c>
    </row>
    <row r="747" spans="5:41" x14ac:dyDescent="0.25">
      <c r="E747" t="s">
        <v>258</v>
      </c>
      <c r="F747">
        <v>35000</v>
      </c>
      <c r="G747">
        <v>0</v>
      </c>
      <c r="H747" t="s">
        <v>205</v>
      </c>
      <c r="I747" s="74" t="str">
        <f ca="1">IF(Table7[[#This Row],[Type]]="KILL",IF(_xlfn.NUMBERVALUE(RIGHT(Table7[[#This Row],[Min]],LEN(Table7[[#This Row],[Min]])-FIND("-",Table7[[#This Row],[Min]])))&gt;INDIRECT(ADDRESS(11+MATCH(LEFT(Table7[[#This Row],[Min]],FIND("-",Table7[[#This Row],[Min]])-1),Table1[Content Sku],0),16,1,1,"Entities")),"review","ok"),"ok")</f>
        <v>ok</v>
      </c>
      <c r="U747" t="s">
        <v>17</v>
      </c>
      <c r="V747">
        <v>0</v>
      </c>
      <c r="W747">
        <v>13000</v>
      </c>
      <c r="X747" t="s">
        <v>205</v>
      </c>
      <c r="Y747" s="74" t="str">
        <f ca="1">IF(Table15[[#This Row],[Type]]="KILL",IF(_xlfn.NUMBERVALUE(RIGHT(Table15[[#This Row],[Min]],LEN(Table15[[#This Row],[Min]])-FIND("-",Table15[[#This Row],[Min]])))&gt;INDIRECT(ADDRESS(11+MATCH(LEFT(Table15[[#This Row],[Min]],FIND("-",Table15[[#This Row],[Min]])-1),Table1[Content Sku],0),16,1,1,"Entities")),"review","ok"),"ok")</f>
        <v>ok</v>
      </c>
      <c r="AK747" t="s">
        <v>313</v>
      </c>
      <c r="AL747">
        <v>0</v>
      </c>
      <c r="AM747">
        <v>0</v>
      </c>
      <c r="AN747" t="s">
        <v>8</v>
      </c>
      <c r="AO747" s="74" t="str">
        <f ca="1">IF(Table20[[#This Row],[Type]]="KILL",IF(_xlfn.NUMBERVALUE(RIGHT(Table20[[#This Row],[Min]],LEN(Table20[[#This Row],[Min]])-FIND("-",Table20[[#This Row],[Min]])))&gt;INDIRECT(ADDRESS(11+MATCH(LEFT(Table20[[#This Row],[Min]],FIND("-",Table20[[#This Row],[Min]])-1),Table1[Content Sku],0),18,1,1,"Entities")),"review","ok"),"ok")</f>
        <v>ok</v>
      </c>
    </row>
    <row r="748" spans="5:41" x14ac:dyDescent="0.25">
      <c r="E748" t="s">
        <v>40</v>
      </c>
      <c r="F748">
        <v>0</v>
      </c>
      <c r="G748">
        <v>0</v>
      </c>
      <c r="H748" t="s">
        <v>8</v>
      </c>
      <c r="I748" s="74" t="str">
        <f ca="1">IF(Table7[[#This Row],[Type]]="KILL",IF(_xlfn.NUMBERVALUE(RIGHT(Table7[[#This Row],[Min]],LEN(Table7[[#This Row],[Min]])-FIND("-",Table7[[#This Row],[Min]])))&gt;INDIRECT(ADDRESS(11+MATCH(LEFT(Table7[[#This Row],[Min]],FIND("-",Table7[[#This Row],[Min]])-1),Table1[Content Sku],0),16,1,1,"Entities")),"review","ok"),"ok")</f>
        <v>ok</v>
      </c>
      <c r="U748" t="s">
        <v>50</v>
      </c>
      <c r="V748">
        <v>0</v>
      </c>
      <c r="W748">
        <v>0</v>
      </c>
      <c r="X748" t="s">
        <v>8</v>
      </c>
      <c r="Y748" s="74" t="str">
        <f ca="1">IF(Table15[[#This Row],[Type]]="KILL",IF(_xlfn.NUMBERVALUE(RIGHT(Table15[[#This Row],[Min]],LEN(Table15[[#This Row],[Min]])-FIND("-",Table15[[#This Row],[Min]])))&gt;INDIRECT(ADDRESS(11+MATCH(LEFT(Table15[[#This Row],[Min]],FIND("-",Table15[[#This Row],[Min]])-1),Table1[Content Sku],0),16,1,1,"Entities")),"review","ok"),"ok")</f>
        <v>ok</v>
      </c>
      <c r="AK748" t="s">
        <v>4430</v>
      </c>
      <c r="AL748">
        <v>0</v>
      </c>
      <c r="AM748">
        <v>0</v>
      </c>
      <c r="AN748" t="s">
        <v>8</v>
      </c>
      <c r="AO748" s="74" t="str">
        <f ca="1">IF(Table20[[#This Row],[Type]]="KILL",IF(_xlfn.NUMBERVALUE(RIGHT(Table20[[#This Row],[Min]],LEN(Table20[[#This Row],[Min]])-FIND("-",Table20[[#This Row],[Min]])))&gt;INDIRECT(ADDRESS(11+MATCH(LEFT(Table20[[#This Row],[Min]],FIND("-",Table20[[#This Row],[Min]])-1),Table1[Content Sku],0),18,1,1,"Entities")),"review","ok"),"ok")</f>
        <v>ok</v>
      </c>
    </row>
    <row r="749" spans="5:41" x14ac:dyDescent="0.25">
      <c r="E749" t="s">
        <v>286</v>
      </c>
      <c r="F749">
        <v>0</v>
      </c>
      <c r="G749">
        <v>0</v>
      </c>
      <c r="H749" t="s">
        <v>8</v>
      </c>
      <c r="I749" s="74" t="str">
        <f ca="1">IF(Table7[[#This Row],[Type]]="KILL",IF(_xlfn.NUMBERVALUE(RIGHT(Table7[[#This Row],[Min]],LEN(Table7[[#This Row],[Min]])-FIND("-",Table7[[#This Row],[Min]])))&gt;INDIRECT(ADDRESS(11+MATCH(LEFT(Table7[[#This Row],[Min]],FIND("-",Table7[[#This Row],[Min]])-1),Table1[Content Sku],0),16,1,1,"Entities")),"review","ok"),"ok")</f>
        <v>ok</v>
      </c>
      <c r="U749" t="s">
        <v>302</v>
      </c>
      <c r="V749">
        <v>23000</v>
      </c>
      <c r="W749">
        <v>0</v>
      </c>
      <c r="X749" t="s">
        <v>205</v>
      </c>
      <c r="Y749" s="74" t="str">
        <f ca="1">IF(Table15[[#This Row],[Type]]="KILL",IF(_xlfn.NUMBERVALUE(RIGHT(Table15[[#This Row],[Min]],LEN(Table15[[#This Row],[Min]])-FIND("-",Table15[[#This Row],[Min]])))&gt;INDIRECT(ADDRESS(11+MATCH(LEFT(Table15[[#This Row],[Min]],FIND("-",Table15[[#This Row],[Min]])-1),Table1[Content Sku],0),16,1,1,"Entities")),"review","ok"),"ok")</f>
        <v>ok</v>
      </c>
      <c r="AK749" t="s">
        <v>2741</v>
      </c>
      <c r="AL749">
        <v>0</v>
      </c>
      <c r="AM749">
        <v>0</v>
      </c>
      <c r="AN749" t="s">
        <v>8</v>
      </c>
      <c r="AO749" s="74" t="str">
        <f ca="1">IF(Table20[[#This Row],[Type]]="KILL",IF(_xlfn.NUMBERVALUE(RIGHT(Table20[[#This Row],[Min]],LEN(Table20[[#This Row],[Min]])-FIND("-",Table20[[#This Row],[Min]])))&gt;INDIRECT(ADDRESS(11+MATCH(LEFT(Table20[[#This Row],[Min]],FIND("-",Table20[[#This Row],[Min]])-1),Table1[Content Sku],0),18,1,1,"Entities")),"review","ok"),"ok")</f>
        <v>ok</v>
      </c>
    </row>
    <row r="750" spans="5:41" x14ac:dyDescent="0.25">
      <c r="E750" t="s">
        <v>39</v>
      </c>
      <c r="F750">
        <v>0</v>
      </c>
      <c r="G750">
        <v>0</v>
      </c>
      <c r="H750" t="s">
        <v>8</v>
      </c>
      <c r="I750" s="74" t="str">
        <f ca="1">IF(Table7[[#This Row],[Type]]="KILL",IF(_xlfn.NUMBERVALUE(RIGHT(Table7[[#This Row],[Min]],LEN(Table7[[#This Row],[Min]])-FIND("-",Table7[[#This Row],[Min]])))&gt;INDIRECT(ADDRESS(11+MATCH(LEFT(Table7[[#This Row],[Min]],FIND("-",Table7[[#This Row],[Min]])-1),Table1[Content Sku],0),16,1,1,"Entities")),"review","ok"),"ok")</f>
        <v>ok</v>
      </c>
      <c r="U750" t="s">
        <v>7991</v>
      </c>
      <c r="V750">
        <v>0</v>
      </c>
      <c r="W750">
        <v>0</v>
      </c>
      <c r="X750" t="s">
        <v>8</v>
      </c>
      <c r="Y750" s="74" t="str">
        <f ca="1">IF(Table15[[#This Row],[Type]]="KILL",IF(_xlfn.NUMBERVALUE(RIGHT(Table15[[#This Row],[Min]],LEN(Table15[[#This Row],[Min]])-FIND("-",Table15[[#This Row],[Min]])))&gt;INDIRECT(ADDRESS(11+MATCH(LEFT(Table15[[#This Row],[Min]],FIND("-",Table15[[#This Row],[Min]])-1),Table1[Content Sku],0),16,1,1,"Entities")),"review","ok"),"ok")</f>
        <v>ok</v>
      </c>
      <c r="AK750" t="s">
        <v>2676</v>
      </c>
      <c r="AL750">
        <v>0</v>
      </c>
      <c r="AM750">
        <v>0</v>
      </c>
      <c r="AN750" t="s">
        <v>8</v>
      </c>
      <c r="AO750" s="74" t="str">
        <f ca="1">IF(Table20[[#This Row],[Type]]="KILL",IF(_xlfn.NUMBERVALUE(RIGHT(Table20[[#This Row],[Min]],LEN(Table20[[#This Row],[Min]])-FIND("-",Table20[[#This Row],[Min]])))&gt;INDIRECT(ADDRESS(11+MATCH(LEFT(Table20[[#This Row],[Min]],FIND("-",Table20[[#This Row],[Min]])-1),Table1[Content Sku],0),18,1,1,"Entities")),"review","ok"),"ok")</f>
        <v>ok</v>
      </c>
    </row>
    <row r="751" spans="5:41" x14ac:dyDescent="0.25">
      <c r="E751" t="s">
        <v>253</v>
      </c>
      <c r="F751">
        <v>0</v>
      </c>
      <c r="G751">
        <v>0</v>
      </c>
      <c r="H751" t="s">
        <v>8</v>
      </c>
      <c r="I751" s="74" t="str">
        <f ca="1">IF(Table7[[#This Row],[Type]]="KILL",IF(_xlfn.NUMBERVALUE(RIGHT(Table7[[#This Row],[Min]],LEN(Table7[[#This Row],[Min]])-FIND("-",Table7[[#This Row],[Min]])))&gt;INDIRECT(ADDRESS(11+MATCH(LEFT(Table7[[#This Row],[Min]],FIND("-",Table7[[#This Row],[Min]])-1),Table1[Content Sku],0),16,1,1,"Entities")),"review","ok"),"ok")</f>
        <v>ok</v>
      </c>
      <c r="U751" t="s">
        <v>280</v>
      </c>
      <c r="V751">
        <v>0</v>
      </c>
      <c r="W751">
        <v>0</v>
      </c>
      <c r="X751" t="s">
        <v>8</v>
      </c>
      <c r="Y751" s="74" t="str">
        <f ca="1">IF(Table15[[#This Row],[Type]]="KILL",IF(_xlfn.NUMBERVALUE(RIGHT(Table15[[#This Row],[Min]],LEN(Table15[[#This Row],[Min]])-FIND("-",Table15[[#This Row],[Min]])))&gt;INDIRECT(ADDRESS(11+MATCH(LEFT(Table15[[#This Row],[Min]],FIND("-",Table15[[#This Row],[Min]])-1),Table1[Content Sku],0),16,1,1,"Entities")),"review","ok"),"ok")</f>
        <v>ok</v>
      </c>
      <c r="AK751" t="s">
        <v>2670</v>
      </c>
      <c r="AL751">
        <v>0</v>
      </c>
      <c r="AM751">
        <v>0</v>
      </c>
      <c r="AN751" t="s">
        <v>8</v>
      </c>
      <c r="AO751" s="74" t="str">
        <f ca="1">IF(Table20[[#This Row],[Type]]="KILL",IF(_xlfn.NUMBERVALUE(RIGHT(Table20[[#This Row],[Min]],LEN(Table20[[#This Row],[Min]])-FIND("-",Table20[[#This Row],[Min]])))&gt;INDIRECT(ADDRESS(11+MATCH(LEFT(Table20[[#This Row],[Min]],FIND("-",Table20[[#This Row],[Min]])-1),Table1[Content Sku],0),18,1,1,"Entities")),"review","ok"),"ok")</f>
        <v>ok</v>
      </c>
    </row>
    <row r="752" spans="5:41" x14ac:dyDescent="0.25">
      <c r="E752" t="s">
        <v>313</v>
      </c>
      <c r="F752">
        <v>0</v>
      </c>
      <c r="G752">
        <v>0</v>
      </c>
      <c r="H752" t="s">
        <v>8</v>
      </c>
      <c r="I752" s="74" t="str">
        <f ca="1">IF(Table7[[#This Row],[Type]]="KILL",IF(_xlfn.NUMBERVALUE(RIGHT(Table7[[#This Row],[Min]],LEN(Table7[[#This Row],[Min]])-FIND("-",Table7[[#This Row],[Min]])))&gt;INDIRECT(ADDRESS(11+MATCH(LEFT(Table7[[#This Row],[Min]],FIND("-",Table7[[#This Row],[Min]])-1),Table1[Content Sku],0),16,1,1,"Entities")),"review","ok"),"ok")</f>
        <v>ok</v>
      </c>
      <c r="U752" t="s">
        <v>2723</v>
      </c>
      <c r="V752">
        <v>0</v>
      </c>
      <c r="W752">
        <v>0</v>
      </c>
      <c r="X752" t="s">
        <v>8</v>
      </c>
      <c r="Y752" s="74" t="str">
        <f ca="1">IF(Table15[[#This Row],[Type]]="KILL",IF(_xlfn.NUMBERVALUE(RIGHT(Table15[[#This Row],[Min]],LEN(Table15[[#This Row],[Min]])-FIND("-",Table15[[#This Row],[Min]])))&gt;INDIRECT(ADDRESS(11+MATCH(LEFT(Table15[[#This Row],[Min]],FIND("-",Table15[[#This Row],[Min]])-1),Table1[Content Sku],0),16,1,1,"Entities")),"review","ok"),"ok")</f>
        <v>ok</v>
      </c>
      <c r="AK752" t="s">
        <v>258</v>
      </c>
      <c r="AL752">
        <v>45000</v>
      </c>
      <c r="AM752">
        <v>0</v>
      </c>
      <c r="AN752" t="s">
        <v>205</v>
      </c>
      <c r="AO752" s="74" t="str">
        <f ca="1">IF(Table20[[#This Row],[Type]]="KILL",IF(_xlfn.NUMBERVALUE(RIGHT(Table20[[#This Row],[Min]],LEN(Table20[[#This Row],[Min]])-FIND("-",Table20[[#This Row],[Min]])))&gt;INDIRECT(ADDRESS(11+MATCH(LEFT(Table20[[#This Row],[Min]],FIND("-",Table20[[#This Row],[Min]])-1),Table1[Content Sku],0),18,1,1,"Entities")),"review","ok"),"ok")</f>
        <v>ok</v>
      </c>
    </row>
    <row r="753" spans="5:41" x14ac:dyDescent="0.25">
      <c r="E753" t="s">
        <v>418</v>
      </c>
      <c r="F753">
        <v>0</v>
      </c>
      <c r="G753">
        <v>0</v>
      </c>
      <c r="H753" t="s">
        <v>8</v>
      </c>
      <c r="I753" s="74" t="str">
        <f ca="1">IF(Table7[[#This Row],[Type]]="KILL",IF(_xlfn.NUMBERVALUE(RIGHT(Table7[[#This Row],[Min]],LEN(Table7[[#This Row],[Min]])-FIND("-",Table7[[#This Row],[Min]])))&gt;INDIRECT(ADDRESS(11+MATCH(LEFT(Table7[[#This Row],[Min]],FIND("-",Table7[[#This Row],[Min]])-1),Table1[Content Sku],0),16,1,1,"Entities")),"review","ok"),"ok")</f>
        <v>ok</v>
      </c>
      <c r="U753" t="s">
        <v>289</v>
      </c>
      <c r="V753">
        <v>0</v>
      </c>
      <c r="W753">
        <v>0</v>
      </c>
      <c r="X753" t="s">
        <v>8</v>
      </c>
      <c r="Y753" s="74" t="str">
        <f ca="1">IF(Table15[[#This Row],[Type]]="KILL",IF(_xlfn.NUMBERVALUE(RIGHT(Table15[[#This Row],[Min]],LEN(Table15[[#This Row],[Min]])-FIND("-",Table15[[#This Row],[Min]])))&gt;INDIRECT(ADDRESS(11+MATCH(LEFT(Table15[[#This Row],[Min]],FIND("-",Table15[[#This Row],[Min]])-1),Table1[Content Sku],0),16,1,1,"Entities")),"review","ok"),"ok")</f>
        <v>ok</v>
      </c>
      <c r="AK753" t="s">
        <v>95</v>
      </c>
      <c r="AL753">
        <v>0</v>
      </c>
      <c r="AM753">
        <v>0</v>
      </c>
      <c r="AN753" t="s">
        <v>8</v>
      </c>
      <c r="AO753" s="74" t="str">
        <f ca="1">IF(Table20[[#This Row],[Type]]="KILL",IF(_xlfn.NUMBERVALUE(RIGHT(Table20[[#This Row],[Min]],LEN(Table20[[#This Row],[Min]])-FIND("-",Table20[[#This Row],[Min]])))&gt;INDIRECT(ADDRESS(11+MATCH(LEFT(Table20[[#This Row],[Min]],FIND("-",Table20[[#This Row],[Min]])-1),Table1[Content Sku],0),18,1,1,"Entities")),"review","ok"),"ok")</f>
        <v>ok</v>
      </c>
    </row>
    <row r="754" spans="5:41" x14ac:dyDescent="0.25">
      <c r="E754" t="s">
        <v>286</v>
      </c>
      <c r="F754">
        <v>0</v>
      </c>
      <c r="G754">
        <v>0</v>
      </c>
      <c r="H754" t="s">
        <v>8</v>
      </c>
      <c r="I754" s="74" t="str">
        <f ca="1">IF(Table7[[#This Row],[Type]]="KILL",IF(_xlfn.NUMBERVALUE(RIGHT(Table7[[#This Row],[Min]],LEN(Table7[[#This Row],[Min]])-FIND("-",Table7[[#This Row],[Min]])))&gt;INDIRECT(ADDRESS(11+MATCH(LEFT(Table7[[#This Row],[Min]],FIND("-",Table7[[#This Row],[Min]])-1),Table1[Content Sku],0),16,1,1,"Entities")),"review","ok"),"ok")</f>
        <v>ok</v>
      </c>
      <c r="U754" t="s">
        <v>39</v>
      </c>
      <c r="V754">
        <v>0</v>
      </c>
      <c r="W754">
        <v>0</v>
      </c>
      <c r="X754" t="s">
        <v>8</v>
      </c>
      <c r="Y754" s="74" t="str">
        <f ca="1">IF(Table15[[#This Row],[Type]]="KILL",IF(_xlfn.NUMBERVALUE(RIGHT(Table15[[#This Row],[Min]],LEN(Table15[[#This Row],[Min]])-FIND("-",Table15[[#This Row],[Min]])))&gt;INDIRECT(ADDRESS(11+MATCH(LEFT(Table15[[#This Row],[Min]],FIND("-",Table15[[#This Row],[Min]])-1),Table1[Content Sku],0),16,1,1,"Entities")),"review","ok"),"ok")</f>
        <v>ok</v>
      </c>
      <c r="AK754" t="s">
        <v>258</v>
      </c>
      <c r="AL754">
        <v>45000</v>
      </c>
      <c r="AM754">
        <v>0</v>
      </c>
      <c r="AN754" t="s">
        <v>205</v>
      </c>
      <c r="AO754" s="74" t="str">
        <f ca="1">IF(Table20[[#This Row],[Type]]="KILL",IF(_xlfn.NUMBERVALUE(RIGHT(Table20[[#This Row],[Min]],LEN(Table20[[#This Row],[Min]])-FIND("-",Table20[[#This Row],[Min]])))&gt;INDIRECT(ADDRESS(11+MATCH(LEFT(Table20[[#This Row],[Min]],FIND("-",Table20[[#This Row],[Min]])-1),Table1[Content Sku],0),18,1,1,"Entities")),"review","ok"),"ok")</f>
        <v>ok</v>
      </c>
    </row>
    <row r="755" spans="5:41" x14ac:dyDescent="0.25">
      <c r="E755" t="s">
        <v>254</v>
      </c>
      <c r="F755">
        <v>8000</v>
      </c>
      <c r="G755">
        <v>0</v>
      </c>
      <c r="H755" t="s">
        <v>205</v>
      </c>
      <c r="I755" s="74" t="str">
        <f ca="1">IF(Table7[[#This Row],[Type]]="KILL",IF(_xlfn.NUMBERVALUE(RIGHT(Table7[[#This Row],[Min]],LEN(Table7[[#This Row],[Min]])-FIND("-",Table7[[#This Row],[Min]])))&gt;INDIRECT(ADDRESS(11+MATCH(LEFT(Table7[[#This Row],[Min]],FIND("-",Table7[[#This Row],[Min]])-1),Table1[Content Sku],0),16,1,1,"Entities")),"review","ok"),"ok")</f>
        <v>ok</v>
      </c>
      <c r="U755" t="s">
        <v>2736</v>
      </c>
      <c r="V755">
        <v>0</v>
      </c>
      <c r="W755">
        <v>0</v>
      </c>
      <c r="X755" t="s">
        <v>8</v>
      </c>
      <c r="Y755" s="74" t="str">
        <f ca="1">IF(Table15[[#This Row],[Type]]="KILL",IF(_xlfn.NUMBERVALUE(RIGHT(Table15[[#This Row],[Min]],LEN(Table15[[#This Row],[Min]])-FIND("-",Table15[[#This Row],[Min]])))&gt;INDIRECT(ADDRESS(11+MATCH(LEFT(Table15[[#This Row],[Min]],FIND("-",Table15[[#This Row],[Min]])-1),Table1[Content Sku],0),16,1,1,"Entities")),"review","ok"),"ok")</f>
        <v>ok</v>
      </c>
      <c r="AK755" t="s">
        <v>41</v>
      </c>
      <c r="AL755">
        <v>42000</v>
      </c>
      <c r="AM755">
        <v>0</v>
      </c>
      <c r="AN755" t="s">
        <v>205</v>
      </c>
      <c r="AO755" s="74" t="str">
        <f ca="1">IF(Table20[[#This Row],[Type]]="KILL",IF(_xlfn.NUMBERVALUE(RIGHT(Table20[[#This Row],[Min]],LEN(Table20[[#This Row],[Min]])-FIND("-",Table20[[#This Row],[Min]])))&gt;INDIRECT(ADDRESS(11+MATCH(LEFT(Table20[[#This Row],[Min]],FIND("-",Table20[[#This Row],[Min]])-1),Table1[Content Sku],0),18,1,1,"Entities")),"review","ok"),"ok")</f>
        <v>ok</v>
      </c>
    </row>
    <row r="756" spans="5:41" x14ac:dyDescent="0.25">
      <c r="E756" t="s">
        <v>137</v>
      </c>
      <c r="F756">
        <v>0</v>
      </c>
      <c r="G756">
        <v>0</v>
      </c>
      <c r="H756" t="s">
        <v>8</v>
      </c>
      <c r="I756" s="74" t="str">
        <f ca="1">IF(Table7[[#This Row],[Type]]="KILL",IF(_xlfn.NUMBERVALUE(RIGHT(Table7[[#This Row],[Min]],LEN(Table7[[#This Row],[Min]])-FIND("-",Table7[[#This Row],[Min]])))&gt;INDIRECT(ADDRESS(11+MATCH(LEFT(Table7[[#This Row],[Min]],FIND("-",Table7[[#This Row],[Min]])-1),Table1[Content Sku],0),16,1,1,"Entities")),"review","ok"),"ok")</f>
        <v>ok</v>
      </c>
      <c r="U756" t="s">
        <v>254</v>
      </c>
      <c r="V756">
        <v>0</v>
      </c>
      <c r="W756">
        <v>0</v>
      </c>
      <c r="X756" t="s">
        <v>8</v>
      </c>
      <c r="Y756" s="74" t="str">
        <f ca="1">IF(Table15[[#This Row],[Type]]="KILL",IF(_xlfn.NUMBERVALUE(RIGHT(Table15[[#This Row],[Min]],LEN(Table15[[#This Row],[Min]])-FIND("-",Table15[[#This Row],[Min]])))&gt;INDIRECT(ADDRESS(11+MATCH(LEFT(Table15[[#This Row],[Min]],FIND("-",Table15[[#This Row],[Min]])-1),Table1[Content Sku],0),16,1,1,"Entities")),"review","ok"),"ok")</f>
        <v>ok</v>
      </c>
      <c r="AK756" t="s">
        <v>46</v>
      </c>
      <c r="AL756">
        <v>0</v>
      </c>
      <c r="AM756">
        <v>0</v>
      </c>
      <c r="AN756" t="s">
        <v>8</v>
      </c>
      <c r="AO756" s="74" t="str">
        <f ca="1">IF(Table20[[#This Row],[Type]]="KILL",IF(_xlfn.NUMBERVALUE(RIGHT(Table20[[#This Row],[Min]],LEN(Table20[[#This Row],[Min]])-FIND("-",Table20[[#This Row],[Min]])))&gt;INDIRECT(ADDRESS(11+MATCH(LEFT(Table20[[#This Row],[Min]],FIND("-",Table20[[#This Row],[Min]])-1),Table1[Content Sku],0),18,1,1,"Entities")),"review","ok"),"ok")</f>
        <v>ok</v>
      </c>
    </row>
    <row r="757" spans="5:41" x14ac:dyDescent="0.25">
      <c r="E757" t="s">
        <v>37</v>
      </c>
      <c r="F757">
        <v>0</v>
      </c>
      <c r="G757">
        <v>0</v>
      </c>
      <c r="H757" t="s">
        <v>8</v>
      </c>
      <c r="I757" s="74" t="str">
        <f ca="1">IF(Table7[[#This Row],[Type]]="KILL",IF(_xlfn.NUMBERVALUE(RIGHT(Table7[[#This Row],[Min]],LEN(Table7[[#This Row],[Min]])-FIND("-",Table7[[#This Row],[Min]])))&gt;INDIRECT(ADDRESS(11+MATCH(LEFT(Table7[[#This Row],[Min]],FIND("-",Table7[[#This Row],[Min]])-1),Table1[Content Sku],0),16,1,1,"Entities")),"review","ok"),"ok")</f>
        <v>ok</v>
      </c>
      <c r="U757" t="s">
        <v>391</v>
      </c>
      <c r="V757">
        <v>0</v>
      </c>
      <c r="W757">
        <v>0</v>
      </c>
      <c r="X757" t="s">
        <v>8</v>
      </c>
      <c r="Y757" s="74" t="str">
        <f ca="1">IF(Table15[[#This Row],[Type]]="KILL",IF(_xlfn.NUMBERVALUE(RIGHT(Table15[[#This Row],[Min]],LEN(Table15[[#This Row],[Min]])-FIND("-",Table15[[#This Row],[Min]])))&gt;INDIRECT(ADDRESS(11+MATCH(LEFT(Table15[[#This Row],[Min]],FIND("-",Table15[[#This Row],[Min]])-1),Table1[Content Sku],0),16,1,1,"Entities")),"review","ok"),"ok")</f>
        <v>ok</v>
      </c>
      <c r="AK757" t="s">
        <v>545</v>
      </c>
      <c r="AL757">
        <v>0</v>
      </c>
      <c r="AM757">
        <v>0</v>
      </c>
      <c r="AN757" t="s">
        <v>8</v>
      </c>
      <c r="AO757" s="74" t="str">
        <f ca="1">IF(Table20[[#This Row],[Type]]="KILL",IF(_xlfn.NUMBERVALUE(RIGHT(Table20[[#This Row],[Min]],LEN(Table20[[#This Row],[Min]])-FIND("-",Table20[[#This Row],[Min]])))&gt;INDIRECT(ADDRESS(11+MATCH(LEFT(Table20[[#This Row],[Min]],FIND("-",Table20[[#This Row],[Min]])-1),Table1[Content Sku],0),18,1,1,"Entities")),"review","ok"),"ok")</f>
        <v>ok</v>
      </c>
    </row>
    <row r="758" spans="5:41" x14ac:dyDescent="0.25">
      <c r="E758" t="s">
        <v>313</v>
      </c>
      <c r="F758">
        <v>0</v>
      </c>
      <c r="G758">
        <v>0</v>
      </c>
      <c r="H758" t="s">
        <v>8</v>
      </c>
      <c r="I758" s="74" t="str">
        <f ca="1">IF(Table7[[#This Row],[Type]]="KILL",IF(_xlfn.NUMBERVALUE(RIGHT(Table7[[#This Row],[Min]],LEN(Table7[[#This Row],[Min]])-FIND("-",Table7[[#This Row],[Min]])))&gt;INDIRECT(ADDRESS(11+MATCH(LEFT(Table7[[#This Row],[Min]],FIND("-",Table7[[#This Row],[Min]])-1),Table1[Content Sku],0),16,1,1,"Entities")),"review","ok"),"ok")</f>
        <v>ok</v>
      </c>
      <c r="U758" t="s">
        <v>123</v>
      </c>
      <c r="V758">
        <v>0</v>
      </c>
      <c r="W758">
        <v>0</v>
      </c>
      <c r="X758" t="s">
        <v>8</v>
      </c>
      <c r="Y758" s="74" t="str">
        <f ca="1">IF(Table15[[#This Row],[Type]]="KILL",IF(_xlfn.NUMBERVALUE(RIGHT(Table15[[#This Row],[Min]],LEN(Table15[[#This Row],[Min]])-FIND("-",Table15[[#This Row],[Min]])))&gt;INDIRECT(ADDRESS(11+MATCH(LEFT(Table15[[#This Row],[Min]],FIND("-",Table15[[#This Row],[Min]])-1),Table1[Content Sku],0),16,1,1,"Entities")),"review","ok"),"ok")</f>
        <v>ok</v>
      </c>
      <c r="AK758" t="s">
        <v>2767</v>
      </c>
      <c r="AL758">
        <v>0</v>
      </c>
      <c r="AM758">
        <v>0</v>
      </c>
      <c r="AN758" t="s">
        <v>8</v>
      </c>
      <c r="AO758" s="74" t="str">
        <f ca="1">IF(Table20[[#This Row],[Type]]="KILL",IF(_xlfn.NUMBERVALUE(RIGHT(Table20[[#This Row],[Min]],LEN(Table20[[#This Row],[Min]])-FIND("-",Table20[[#This Row],[Min]])))&gt;INDIRECT(ADDRESS(11+MATCH(LEFT(Table20[[#This Row],[Min]],FIND("-",Table20[[#This Row],[Min]])-1),Table1[Content Sku],0),18,1,1,"Entities")),"review","ok"),"ok")</f>
        <v>ok</v>
      </c>
    </row>
    <row r="759" spans="5:41" x14ac:dyDescent="0.25">
      <c r="E759" t="s">
        <v>8103</v>
      </c>
      <c r="F759">
        <v>50000</v>
      </c>
      <c r="G759">
        <v>0</v>
      </c>
      <c r="H759" t="s">
        <v>205</v>
      </c>
      <c r="I759" s="74" t="str">
        <f ca="1">IF(Table7[[#This Row],[Type]]="KILL",IF(_xlfn.NUMBERVALUE(RIGHT(Table7[[#This Row],[Min]],LEN(Table7[[#This Row],[Min]])-FIND("-",Table7[[#This Row],[Min]])))&gt;INDIRECT(ADDRESS(11+MATCH(LEFT(Table7[[#This Row],[Min]],FIND("-",Table7[[#This Row],[Min]])-1),Table1[Content Sku],0),16,1,1,"Entities")),"review","ok"),"ok")</f>
        <v>ok</v>
      </c>
      <c r="U759" t="s">
        <v>45</v>
      </c>
      <c r="V759">
        <v>12000</v>
      </c>
      <c r="W759">
        <v>0</v>
      </c>
      <c r="X759" t="s">
        <v>205</v>
      </c>
      <c r="Y759" s="74" t="str">
        <f ca="1">IF(Table15[[#This Row],[Type]]="KILL",IF(_xlfn.NUMBERVALUE(RIGHT(Table15[[#This Row],[Min]],LEN(Table15[[#This Row],[Min]])-FIND("-",Table15[[#This Row],[Min]])))&gt;INDIRECT(ADDRESS(11+MATCH(LEFT(Table15[[#This Row],[Min]],FIND("-",Table15[[#This Row],[Min]])-1),Table1[Content Sku],0),16,1,1,"Entities")),"review","ok"),"ok")</f>
        <v>ok</v>
      </c>
      <c r="AK759" t="s">
        <v>36</v>
      </c>
      <c r="AL759">
        <v>20000</v>
      </c>
      <c r="AM759">
        <v>0</v>
      </c>
      <c r="AN759" t="s">
        <v>205</v>
      </c>
      <c r="AO759" s="74" t="str">
        <f ca="1">IF(Table20[[#This Row],[Type]]="KILL",IF(_xlfn.NUMBERVALUE(RIGHT(Table20[[#This Row],[Min]],LEN(Table20[[#This Row],[Min]])-FIND("-",Table20[[#This Row],[Min]])))&gt;INDIRECT(ADDRESS(11+MATCH(LEFT(Table20[[#This Row],[Min]],FIND("-",Table20[[#This Row],[Min]])-1),Table1[Content Sku],0),18,1,1,"Entities")),"review","ok"),"ok")</f>
        <v>ok</v>
      </c>
    </row>
    <row r="760" spans="5:41" x14ac:dyDescent="0.25">
      <c r="E760" t="s">
        <v>393</v>
      </c>
      <c r="F760">
        <v>0</v>
      </c>
      <c r="G760">
        <v>0</v>
      </c>
      <c r="H760" t="s">
        <v>8</v>
      </c>
      <c r="I760" s="74" t="str">
        <f ca="1">IF(Table7[[#This Row],[Type]]="KILL",IF(_xlfn.NUMBERVALUE(RIGHT(Table7[[#This Row],[Min]],LEN(Table7[[#This Row],[Min]])-FIND("-",Table7[[#This Row],[Min]])))&gt;INDIRECT(ADDRESS(11+MATCH(LEFT(Table7[[#This Row],[Min]],FIND("-",Table7[[#This Row],[Min]])-1),Table1[Content Sku],0),16,1,1,"Entities")),"review","ok"),"ok")</f>
        <v>ok</v>
      </c>
      <c r="U760" t="s">
        <v>254</v>
      </c>
      <c r="V760">
        <v>0</v>
      </c>
      <c r="W760">
        <v>0</v>
      </c>
      <c r="X760" t="s">
        <v>8</v>
      </c>
      <c r="Y760" s="74" t="str">
        <f ca="1">IF(Table15[[#This Row],[Type]]="KILL",IF(_xlfn.NUMBERVALUE(RIGHT(Table15[[#This Row],[Min]],LEN(Table15[[#This Row],[Min]])-FIND("-",Table15[[#This Row],[Min]])))&gt;INDIRECT(ADDRESS(11+MATCH(LEFT(Table15[[#This Row],[Min]],FIND("-",Table15[[#This Row],[Min]])-1),Table1[Content Sku],0),16,1,1,"Entities")),"review","ok"),"ok")</f>
        <v>ok</v>
      </c>
      <c r="AK760" t="s">
        <v>2674</v>
      </c>
      <c r="AL760">
        <v>0</v>
      </c>
      <c r="AM760">
        <v>0</v>
      </c>
      <c r="AN760" t="s">
        <v>8</v>
      </c>
      <c r="AO760" s="74" t="str">
        <f ca="1">IF(Table20[[#This Row],[Type]]="KILL",IF(_xlfn.NUMBERVALUE(RIGHT(Table20[[#This Row],[Min]],LEN(Table20[[#This Row],[Min]])-FIND("-",Table20[[#This Row],[Min]])))&gt;INDIRECT(ADDRESS(11+MATCH(LEFT(Table20[[#This Row],[Min]],FIND("-",Table20[[#This Row],[Min]])-1),Table1[Content Sku],0),18,1,1,"Entities")),"review","ok"),"ok")</f>
        <v>ok</v>
      </c>
    </row>
    <row r="761" spans="5:41" x14ac:dyDescent="0.25">
      <c r="E761" t="s">
        <v>313</v>
      </c>
      <c r="F761">
        <v>0</v>
      </c>
      <c r="G761">
        <v>0</v>
      </c>
      <c r="H761" t="s">
        <v>8</v>
      </c>
      <c r="I761" s="74" t="str">
        <f ca="1">IF(Table7[[#This Row],[Type]]="KILL",IF(_xlfn.NUMBERVALUE(RIGHT(Table7[[#This Row],[Min]],LEN(Table7[[#This Row],[Min]])-FIND("-",Table7[[#This Row],[Min]])))&gt;INDIRECT(ADDRESS(11+MATCH(LEFT(Table7[[#This Row],[Min]],FIND("-",Table7[[#This Row],[Min]])-1),Table1[Content Sku],0),16,1,1,"Entities")),"review","ok"),"ok")</f>
        <v>ok</v>
      </c>
      <c r="U761" t="s">
        <v>315</v>
      </c>
      <c r="V761">
        <v>41000</v>
      </c>
      <c r="W761">
        <v>0</v>
      </c>
      <c r="X761" t="s">
        <v>205</v>
      </c>
      <c r="Y761" s="74" t="str">
        <f ca="1">IF(Table15[[#This Row],[Type]]="KILL",IF(_xlfn.NUMBERVALUE(RIGHT(Table15[[#This Row],[Min]],LEN(Table15[[#This Row],[Min]])-FIND("-",Table15[[#This Row],[Min]])))&gt;INDIRECT(ADDRESS(11+MATCH(LEFT(Table15[[#This Row],[Min]],FIND("-",Table15[[#This Row],[Min]])-1),Table1[Content Sku],0),16,1,1,"Entities")),"review","ok"),"ok")</f>
        <v>ok</v>
      </c>
      <c r="AK761" t="s">
        <v>4428</v>
      </c>
      <c r="AL761">
        <v>0</v>
      </c>
      <c r="AM761">
        <v>0</v>
      </c>
      <c r="AN761" t="s">
        <v>8</v>
      </c>
      <c r="AO761" s="74" t="str">
        <f ca="1">IF(Table20[[#This Row],[Type]]="KILL",IF(_xlfn.NUMBERVALUE(RIGHT(Table20[[#This Row],[Min]],LEN(Table20[[#This Row],[Min]])-FIND("-",Table20[[#This Row],[Min]])))&gt;INDIRECT(ADDRESS(11+MATCH(LEFT(Table20[[#This Row],[Min]],FIND("-",Table20[[#This Row],[Min]])-1),Table1[Content Sku],0),18,1,1,"Entities")),"review","ok"),"ok")</f>
        <v>ok</v>
      </c>
    </row>
    <row r="762" spans="5:41" x14ac:dyDescent="0.25">
      <c r="E762" t="s">
        <v>391</v>
      </c>
      <c r="F762">
        <v>0</v>
      </c>
      <c r="G762">
        <v>0</v>
      </c>
      <c r="H762" t="s">
        <v>8</v>
      </c>
      <c r="I762" s="74" t="str">
        <f ca="1">IF(Table7[[#This Row],[Type]]="KILL",IF(_xlfn.NUMBERVALUE(RIGHT(Table7[[#This Row],[Min]],LEN(Table7[[#This Row],[Min]])-FIND("-",Table7[[#This Row],[Min]])))&gt;INDIRECT(ADDRESS(11+MATCH(LEFT(Table7[[#This Row],[Min]],FIND("-",Table7[[#This Row],[Min]])-1),Table1[Content Sku],0),16,1,1,"Entities")),"review","ok"),"ok")</f>
        <v>ok</v>
      </c>
      <c r="U762" t="s">
        <v>2741</v>
      </c>
      <c r="V762">
        <v>0</v>
      </c>
      <c r="W762">
        <v>0</v>
      </c>
      <c r="X762" t="s">
        <v>8</v>
      </c>
      <c r="Y762" s="74" t="str">
        <f ca="1">IF(Table15[[#This Row],[Type]]="KILL",IF(_xlfn.NUMBERVALUE(RIGHT(Table15[[#This Row],[Min]],LEN(Table15[[#This Row],[Min]])-FIND("-",Table15[[#This Row],[Min]])))&gt;INDIRECT(ADDRESS(11+MATCH(LEFT(Table15[[#This Row],[Min]],FIND("-",Table15[[#This Row],[Min]])-1),Table1[Content Sku],0),16,1,1,"Entities")),"review","ok"),"ok")</f>
        <v>ok</v>
      </c>
      <c r="AK762" t="s">
        <v>545</v>
      </c>
      <c r="AL762">
        <v>34000</v>
      </c>
      <c r="AM762">
        <v>0</v>
      </c>
      <c r="AN762" t="s">
        <v>205</v>
      </c>
      <c r="AO762" s="74" t="str">
        <f ca="1">IF(Table20[[#This Row],[Type]]="KILL",IF(_xlfn.NUMBERVALUE(RIGHT(Table20[[#This Row],[Min]],LEN(Table20[[#This Row],[Min]])-FIND("-",Table20[[#This Row],[Min]])))&gt;INDIRECT(ADDRESS(11+MATCH(LEFT(Table20[[#This Row],[Min]],FIND("-",Table20[[#This Row],[Min]])-1),Table1[Content Sku],0),18,1,1,"Entities")),"review","ok"),"ok")</f>
        <v>ok</v>
      </c>
    </row>
    <row r="763" spans="5:41" x14ac:dyDescent="0.25">
      <c r="E763" t="s">
        <v>36</v>
      </c>
      <c r="F763">
        <v>7500</v>
      </c>
      <c r="G763">
        <v>0</v>
      </c>
      <c r="H763" t="s">
        <v>205</v>
      </c>
      <c r="I763" s="74" t="str">
        <f ca="1">IF(Table7[[#This Row],[Type]]="KILL",IF(_xlfn.NUMBERVALUE(RIGHT(Table7[[#This Row],[Min]],LEN(Table7[[#This Row],[Min]])-FIND("-",Table7[[#This Row],[Min]])))&gt;INDIRECT(ADDRESS(11+MATCH(LEFT(Table7[[#This Row],[Min]],FIND("-",Table7[[#This Row],[Min]])-1),Table1[Content Sku],0),16,1,1,"Entities")),"review","ok"),"ok")</f>
        <v>ok</v>
      </c>
      <c r="U763" t="s">
        <v>283</v>
      </c>
      <c r="V763">
        <v>0</v>
      </c>
      <c r="W763">
        <v>0</v>
      </c>
      <c r="X763" t="s">
        <v>8</v>
      </c>
      <c r="Y763" s="74" t="str">
        <f ca="1">IF(Table15[[#This Row],[Type]]="KILL",IF(_xlfn.NUMBERVALUE(RIGHT(Table15[[#This Row],[Min]],LEN(Table15[[#This Row],[Min]])-FIND("-",Table15[[#This Row],[Min]])))&gt;INDIRECT(ADDRESS(11+MATCH(LEFT(Table15[[#This Row],[Min]],FIND("-",Table15[[#This Row],[Min]])-1),Table1[Content Sku],0),16,1,1,"Entities")),"review","ok"),"ok")</f>
        <v>ok</v>
      </c>
      <c r="AK763" t="s">
        <v>346</v>
      </c>
      <c r="AL763">
        <v>0</v>
      </c>
      <c r="AM763">
        <v>0</v>
      </c>
      <c r="AN763" t="s">
        <v>8</v>
      </c>
      <c r="AO763" s="74" t="str">
        <f ca="1">IF(Table20[[#This Row],[Type]]="KILL",IF(_xlfn.NUMBERVALUE(RIGHT(Table20[[#This Row],[Min]],LEN(Table20[[#This Row],[Min]])-FIND("-",Table20[[#This Row],[Min]])))&gt;INDIRECT(ADDRESS(11+MATCH(LEFT(Table20[[#This Row],[Min]],FIND("-",Table20[[#This Row],[Min]])-1),Table1[Content Sku],0),18,1,1,"Entities")),"review","ok"),"ok")</f>
        <v>ok</v>
      </c>
    </row>
    <row r="764" spans="5:41" x14ac:dyDescent="0.25">
      <c r="E764" t="s">
        <v>346</v>
      </c>
      <c r="F764">
        <v>0</v>
      </c>
      <c r="G764">
        <v>0</v>
      </c>
      <c r="H764" t="s">
        <v>8</v>
      </c>
      <c r="I764" s="74" t="str">
        <f ca="1">IF(Table7[[#This Row],[Type]]="KILL",IF(_xlfn.NUMBERVALUE(RIGHT(Table7[[#This Row],[Min]],LEN(Table7[[#This Row],[Min]])-FIND("-",Table7[[#This Row],[Min]])))&gt;INDIRECT(ADDRESS(11+MATCH(LEFT(Table7[[#This Row],[Min]],FIND("-",Table7[[#This Row],[Min]])-1),Table1[Content Sku],0),16,1,1,"Entities")),"review","ok"),"ok")</f>
        <v>ok</v>
      </c>
      <c r="U764" t="s">
        <v>61</v>
      </c>
      <c r="V764">
        <v>0</v>
      </c>
      <c r="W764">
        <v>0</v>
      </c>
      <c r="X764" t="s">
        <v>8</v>
      </c>
      <c r="Y764" s="74" t="str">
        <f ca="1">IF(Table15[[#This Row],[Type]]="KILL",IF(_xlfn.NUMBERVALUE(RIGHT(Table15[[#This Row],[Min]],LEN(Table15[[#This Row],[Min]])-FIND("-",Table15[[#This Row],[Min]])))&gt;INDIRECT(ADDRESS(11+MATCH(LEFT(Table15[[#This Row],[Min]],FIND("-",Table15[[#This Row],[Min]])-1),Table1[Content Sku],0),16,1,1,"Entities")),"review","ok"),"ok")</f>
        <v>ok</v>
      </c>
      <c r="AK764" t="s">
        <v>49</v>
      </c>
      <c r="AL764">
        <v>0</v>
      </c>
      <c r="AM764">
        <v>0</v>
      </c>
      <c r="AN764" t="s">
        <v>8</v>
      </c>
      <c r="AO764" s="74" t="str">
        <f ca="1">IF(Table20[[#This Row],[Type]]="KILL",IF(_xlfn.NUMBERVALUE(RIGHT(Table20[[#This Row],[Min]],LEN(Table20[[#This Row],[Min]])-FIND("-",Table20[[#This Row],[Min]])))&gt;INDIRECT(ADDRESS(11+MATCH(LEFT(Table20[[#This Row],[Min]],FIND("-",Table20[[#This Row],[Min]])-1),Table1[Content Sku],0),18,1,1,"Entities")),"review","ok"),"ok")</f>
        <v>ok</v>
      </c>
    </row>
    <row r="765" spans="5:41" x14ac:dyDescent="0.25">
      <c r="E765" t="s">
        <v>393</v>
      </c>
      <c r="F765">
        <v>0</v>
      </c>
      <c r="G765">
        <v>0</v>
      </c>
      <c r="H765" t="s">
        <v>8</v>
      </c>
      <c r="I765" s="74" t="str">
        <f ca="1">IF(Table7[[#This Row],[Type]]="KILL",IF(_xlfn.NUMBERVALUE(RIGHT(Table7[[#This Row],[Min]],LEN(Table7[[#This Row],[Min]])-FIND("-",Table7[[#This Row],[Min]])))&gt;INDIRECT(ADDRESS(11+MATCH(LEFT(Table7[[#This Row],[Min]],FIND("-",Table7[[#This Row],[Min]])-1),Table1[Content Sku],0),16,1,1,"Entities")),"review","ok"),"ok")</f>
        <v>ok</v>
      </c>
      <c r="U765" t="s">
        <v>8103</v>
      </c>
      <c r="V765">
        <v>50000</v>
      </c>
      <c r="W765">
        <v>0</v>
      </c>
      <c r="X765" t="s">
        <v>205</v>
      </c>
      <c r="Y765" s="74" t="str">
        <f ca="1">IF(Table15[[#This Row],[Type]]="KILL",IF(_xlfn.NUMBERVALUE(RIGHT(Table15[[#This Row],[Min]],LEN(Table15[[#This Row],[Min]])-FIND("-",Table15[[#This Row],[Min]])))&gt;INDIRECT(ADDRESS(11+MATCH(LEFT(Table15[[#This Row],[Min]],FIND("-",Table15[[#This Row],[Min]])-1),Table1[Content Sku],0),16,1,1,"Entities")),"review","ok"),"ok")</f>
        <v>ok</v>
      </c>
      <c r="AK765" t="s">
        <v>2680</v>
      </c>
      <c r="AL765">
        <v>0</v>
      </c>
      <c r="AM765">
        <v>0</v>
      </c>
      <c r="AN765" t="s">
        <v>8</v>
      </c>
      <c r="AO765" s="74" t="str">
        <f ca="1">IF(Table20[[#This Row],[Type]]="KILL",IF(_xlfn.NUMBERVALUE(RIGHT(Table20[[#This Row],[Min]],LEN(Table20[[#This Row],[Min]])-FIND("-",Table20[[#This Row],[Min]])))&gt;INDIRECT(ADDRESS(11+MATCH(LEFT(Table20[[#This Row],[Min]],FIND("-",Table20[[#This Row],[Min]])-1),Table1[Content Sku],0),18,1,1,"Entities")),"review","ok"),"ok")</f>
        <v>ok</v>
      </c>
    </row>
    <row r="766" spans="5:41" x14ac:dyDescent="0.25">
      <c r="E766" t="s">
        <v>40</v>
      </c>
      <c r="F766">
        <v>0</v>
      </c>
      <c r="G766">
        <v>0</v>
      </c>
      <c r="H766" t="s">
        <v>8</v>
      </c>
      <c r="I766" s="74" t="str">
        <f ca="1">IF(Table7[[#This Row],[Type]]="KILL",IF(_xlfn.NUMBERVALUE(RIGHT(Table7[[#This Row],[Min]],LEN(Table7[[#This Row],[Min]])-FIND("-",Table7[[#This Row],[Min]])))&gt;INDIRECT(ADDRESS(11+MATCH(LEFT(Table7[[#This Row],[Min]],FIND("-",Table7[[#This Row],[Min]])-1),Table1[Content Sku],0),16,1,1,"Entities")),"review","ok"),"ok")</f>
        <v>ok</v>
      </c>
      <c r="U766" t="s">
        <v>122</v>
      </c>
      <c r="V766">
        <v>0</v>
      </c>
      <c r="W766">
        <v>0</v>
      </c>
      <c r="X766" t="s">
        <v>8</v>
      </c>
      <c r="Y766" s="74" t="str">
        <f ca="1">IF(Table15[[#This Row],[Type]]="KILL",IF(_xlfn.NUMBERVALUE(RIGHT(Table15[[#This Row],[Min]],LEN(Table15[[#This Row],[Min]])-FIND("-",Table15[[#This Row],[Min]])))&gt;INDIRECT(ADDRESS(11+MATCH(LEFT(Table15[[#This Row],[Min]],FIND("-",Table15[[#This Row],[Min]])-1),Table1[Content Sku],0),16,1,1,"Entities")),"review","ok"),"ok")</f>
        <v>ok</v>
      </c>
      <c r="AK766" t="s">
        <v>41</v>
      </c>
      <c r="AL766">
        <v>36000</v>
      </c>
      <c r="AM766">
        <v>0</v>
      </c>
      <c r="AN766" t="s">
        <v>205</v>
      </c>
      <c r="AO766" s="74" t="str">
        <f ca="1">IF(Table20[[#This Row],[Type]]="KILL",IF(_xlfn.NUMBERVALUE(RIGHT(Table20[[#This Row],[Min]],LEN(Table20[[#This Row],[Min]])-FIND("-",Table20[[#This Row],[Min]])))&gt;INDIRECT(ADDRESS(11+MATCH(LEFT(Table20[[#This Row],[Min]],FIND("-",Table20[[#This Row],[Min]])-1),Table1[Content Sku],0),18,1,1,"Entities")),"review","ok"),"ok")</f>
        <v>ok</v>
      </c>
    </row>
    <row r="767" spans="5:41" x14ac:dyDescent="0.25">
      <c r="E767" t="s">
        <v>258</v>
      </c>
      <c r="F767">
        <v>24000</v>
      </c>
      <c r="G767">
        <v>0</v>
      </c>
      <c r="H767" t="s">
        <v>205</v>
      </c>
      <c r="I767" s="74" t="str">
        <f ca="1">IF(Table7[[#This Row],[Type]]="KILL",IF(_xlfn.NUMBERVALUE(RIGHT(Table7[[#This Row],[Min]],LEN(Table7[[#This Row],[Min]])-FIND("-",Table7[[#This Row],[Min]])))&gt;INDIRECT(ADDRESS(11+MATCH(LEFT(Table7[[#This Row],[Min]],FIND("-",Table7[[#This Row],[Min]])-1),Table1[Content Sku],0),16,1,1,"Entities")),"review","ok"),"ok")</f>
        <v>ok</v>
      </c>
      <c r="U767" t="s">
        <v>61</v>
      </c>
      <c r="V767">
        <v>0</v>
      </c>
      <c r="W767">
        <v>0</v>
      </c>
      <c r="X767" t="s">
        <v>8</v>
      </c>
      <c r="Y767" s="74" t="str">
        <f ca="1">IF(Table15[[#This Row],[Type]]="KILL",IF(_xlfn.NUMBERVALUE(RIGHT(Table15[[#This Row],[Min]],LEN(Table15[[#This Row],[Min]])-FIND("-",Table15[[#This Row],[Min]])))&gt;INDIRECT(ADDRESS(11+MATCH(LEFT(Table15[[#This Row],[Min]],FIND("-",Table15[[#This Row],[Min]])-1),Table1[Content Sku],0),16,1,1,"Entities")),"review","ok"),"ok")</f>
        <v>ok</v>
      </c>
      <c r="AK767" t="s">
        <v>41</v>
      </c>
      <c r="AL767">
        <v>44000</v>
      </c>
      <c r="AM767">
        <v>0</v>
      </c>
      <c r="AN767" t="s">
        <v>205</v>
      </c>
      <c r="AO767" s="74" t="str">
        <f ca="1">IF(Table20[[#This Row],[Type]]="KILL",IF(_xlfn.NUMBERVALUE(RIGHT(Table20[[#This Row],[Min]],LEN(Table20[[#This Row],[Min]])-FIND("-",Table20[[#This Row],[Min]])))&gt;INDIRECT(ADDRESS(11+MATCH(LEFT(Table20[[#This Row],[Min]],FIND("-",Table20[[#This Row],[Min]])-1),Table1[Content Sku],0),18,1,1,"Entities")),"review","ok"),"ok")</f>
        <v>ok</v>
      </c>
    </row>
    <row r="768" spans="5:41" x14ac:dyDescent="0.25">
      <c r="E768" t="s">
        <v>346</v>
      </c>
      <c r="F768">
        <v>40000</v>
      </c>
      <c r="G768">
        <v>0</v>
      </c>
      <c r="H768" t="s">
        <v>205</v>
      </c>
      <c r="I768" s="74" t="str">
        <f ca="1">IF(Table7[[#This Row],[Type]]="KILL",IF(_xlfn.NUMBERVALUE(RIGHT(Table7[[#This Row],[Min]],LEN(Table7[[#This Row],[Min]])-FIND("-",Table7[[#This Row],[Min]])))&gt;INDIRECT(ADDRESS(11+MATCH(LEFT(Table7[[#This Row],[Min]],FIND("-",Table7[[#This Row],[Min]])-1),Table1[Content Sku],0),16,1,1,"Entities")),"review","ok"),"ok")</f>
        <v>ok</v>
      </c>
      <c r="U768" t="s">
        <v>545</v>
      </c>
      <c r="V768">
        <v>0</v>
      </c>
      <c r="W768">
        <v>0</v>
      </c>
      <c r="X768" t="s">
        <v>8</v>
      </c>
      <c r="Y768" s="74" t="str">
        <f ca="1">IF(Table15[[#This Row],[Type]]="KILL",IF(_xlfn.NUMBERVALUE(RIGHT(Table15[[#This Row],[Min]],LEN(Table15[[#This Row],[Min]])-FIND("-",Table15[[#This Row],[Min]])))&gt;INDIRECT(ADDRESS(11+MATCH(LEFT(Table15[[#This Row],[Min]],FIND("-",Table15[[#This Row],[Min]])-1),Table1[Content Sku],0),16,1,1,"Entities")),"review","ok"),"ok")</f>
        <v>ok</v>
      </c>
      <c r="AK768" t="s">
        <v>2664</v>
      </c>
      <c r="AL768">
        <v>0</v>
      </c>
      <c r="AM768">
        <v>0</v>
      </c>
      <c r="AN768" t="s">
        <v>8</v>
      </c>
      <c r="AO768" s="74" t="str">
        <f ca="1">IF(Table20[[#This Row],[Type]]="KILL",IF(_xlfn.NUMBERVALUE(RIGHT(Table20[[#This Row],[Min]],LEN(Table20[[#This Row],[Min]])-FIND("-",Table20[[#This Row],[Min]])))&gt;INDIRECT(ADDRESS(11+MATCH(LEFT(Table20[[#This Row],[Min]],FIND("-",Table20[[#This Row],[Min]])-1),Table1[Content Sku],0),18,1,1,"Entities")),"review","ok"),"ok")</f>
        <v>ok</v>
      </c>
    </row>
    <row r="769" spans="5:41" x14ac:dyDescent="0.25">
      <c r="E769" t="s">
        <v>311</v>
      </c>
      <c r="F769">
        <v>0</v>
      </c>
      <c r="G769">
        <v>0</v>
      </c>
      <c r="H769" t="s">
        <v>8</v>
      </c>
      <c r="I769" s="74" t="str">
        <f ca="1">IF(Table7[[#This Row],[Type]]="KILL",IF(_xlfn.NUMBERVALUE(RIGHT(Table7[[#This Row],[Min]],LEN(Table7[[#This Row],[Min]])-FIND("-",Table7[[#This Row],[Min]])))&gt;INDIRECT(ADDRESS(11+MATCH(LEFT(Table7[[#This Row],[Min]],FIND("-",Table7[[#This Row],[Min]])-1),Table1[Content Sku],0),16,1,1,"Entities")),"review","ok"),"ok")</f>
        <v>ok</v>
      </c>
      <c r="U769" t="s">
        <v>254</v>
      </c>
      <c r="V769">
        <v>0</v>
      </c>
      <c r="W769">
        <v>12000</v>
      </c>
      <c r="X769" t="s">
        <v>205</v>
      </c>
      <c r="Y769" s="74" t="str">
        <f ca="1">IF(Table15[[#This Row],[Type]]="KILL",IF(_xlfn.NUMBERVALUE(RIGHT(Table15[[#This Row],[Min]],LEN(Table15[[#This Row],[Min]])-FIND("-",Table15[[#This Row],[Min]])))&gt;INDIRECT(ADDRESS(11+MATCH(LEFT(Table15[[#This Row],[Min]],FIND("-",Table15[[#This Row],[Min]])-1),Table1[Content Sku],0),16,1,1,"Entities")),"review","ok"),"ok")</f>
        <v>ok</v>
      </c>
      <c r="AK769" t="s">
        <v>41</v>
      </c>
      <c r="AL769">
        <v>72000</v>
      </c>
      <c r="AM769">
        <v>0</v>
      </c>
      <c r="AN769" t="s">
        <v>205</v>
      </c>
      <c r="AO769" s="74" t="str">
        <f ca="1">IF(Table20[[#This Row],[Type]]="KILL",IF(_xlfn.NUMBERVALUE(RIGHT(Table20[[#This Row],[Min]],LEN(Table20[[#This Row],[Min]])-FIND("-",Table20[[#This Row],[Min]])))&gt;INDIRECT(ADDRESS(11+MATCH(LEFT(Table20[[#This Row],[Min]],FIND("-",Table20[[#This Row],[Min]])-1),Table1[Content Sku],0),18,1,1,"Entities")),"review","ok"),"ok")</f>
        <v>ok</v>
      </c>
    </row>
    <row r="770" spans="5:41" x14ac:dyDescent="0.25">
      <c r="E770" t="s">
        <v>306</v>
      </c>
      <c r="F770">
        <v>0</v>
      </c>
      <c r="G770">
        <v>0</v>
      </c>
      <c r="H770" t="s">
        <v>8</v>
      </c>
      <c r="I770" s="74" t="str">
        <f ca="1">IF(Table7[[#This Row],[Type]]="KILL",IF(_xlfn.NUMBERVALUE(RIGHT(Table7[[#This Row],[Min]],LEN(Table7[[#This Row],[Min]])-FIND("-",Table7[[#This Row],[Min]])))&gt;INDIRECT(ADDRESS(11+MATCH(LEFT(Table7[[#This Row],[Min]],FIND("-",Table7[[#This Row],[Min]])-1),Table1[Content Sku],0),16,1,1,"Entities")),"review","ok"),"ok")</f>
        <v>ok</v>
      </c>
      <c r="U770" t="s">
        <v>254</v>
      </c>
      <c r="V770">
        <v>0</v>
      </c>
      <c r="W770">
        <v>0</v>
      </c>
      <c r="X770" t="s">
        <v>8</v>
      </c>
      <c r="Y770" s="74" t="str">
        <f ca="1">IF(Table15[[#This Row],[Type]]="KILL",IF(_xlfn.NUMBERVALUE(RIGHT(Table15[[#This Row],[Min]],LEN(Table15[[#This Row],[Min]])-FIND("-",Table15[[#This Row],[Min]])))&gt;INDIRECT(ADDRESS(11+MATCH(LEFT(Table15[[#This Row],[Min]],FIND("-",Table15[[#This Row],[Min]])-1),Table1[Content Sku],0),16,1,1,"Entities")),"review","ok"),"ok")</f>
        <v>ok</v>
      </c>
      <c r="AK770" t="s">
        <v>2741</v>
      </c>
      <c r="AL770">
        <v>0</v>
      </c>
      <c r="AM770">
        <v>0</v>
      </c>
      <c r="AN770" t="s">
        <v>8</v>
      </c>
      <c r="AO770" s="74" t="str">
        <f ca="1">IF(Table20[[#This Row],[Type]]="KILL",IF(_xlfn.NUMBERVALUE(RIGHT(Table20[[#This Row],[Min]],LEN(Table20[[#This Row],[Min]])-FIND("-",Table20[[#This Row],[Min]])))&gt;INDIRECT(ADDRESS(11+MATCH(LEFT(Table20[[#This Row],[Min]],FIND("-",Table20[[#This Row],[Min]])-1),Table1[Content Sku],0),18,1,1,"Entities")),"review","ok"),"ok")</f>
        <v>ok</v>
      </c>
    </row>
    <row r="771" spans="5:41" x14ac:dyDescent="0.25">
      <c r="E771" t="s">
        <v>253</v>
      </c>
      <c r="F771">
        <v>25500</v>
      </c>
      <c r="G771">
        <v>0</v>
      </c>
      <c r="H771" t="s">
        <v>205</v>
      </c>
      <c r="I771" s="74" t="str">
        <f ca="1">IF(Table7[[#This Row],[Type]]="KILL",IF(_xlfn.NUMBERVALUE(RIGHT(Table7[[#This Row],[Min]],LEN(Table7[[#This Row],[Min]])-FIND("-",Table7[[#This Row],[Min]])))&gt;INDIRECT(ADDRESS(11+MATCH(LEFT(Table7[[#This Row],[Min]],FIND("-",Table7[[#This Row],[Min]])-1),Table1[Content Sku],0),16,1,1,"Entities")),"review","ok"),"ok")</f>
        <v>ok</v>
      </c>
      <c r="U771" t="s">
        <v>393</v>
      </c>
      <c r="V771">
        <v>22000</v>
      </c>
      <c r="W771">
        <v>0</v>
      </c>
      <c r="X771" t="s">
        <v>205</v>
      </c>
      <c r="Y771" s="74" t="str">
        <f ca="1">IF(Table15[[#This Row],[Type]]="KILL",IF(_xlfn.NUMBERVALUE(RIGHT(Table15[[#This Row],[Min]],LEN(Table15[[#This Row],[Min]])-FIND("-",Table15[[#This Row],[Min]])))&gt;INDIRECT(ADDRESS(11+MATCH(LEFT(Table15[[#This Row],[Min]],FIND("-",Table15[[#This Row],[Min]])-1),Table1[Content Sku],0),16,1,1,"Entities")),"review","ok"),"ok")</f>
        <v>ok</v>
      </c>
      <c r="AK771" t="s">
        <v>2767</v>
      </c>
      <c r="AL771">
        <v>0</v>
      </c>
      <c r="AM771">
        <v>0</v>
      </c>
      <c r="AN771" t="s">
        <v>8</v>
      </c>
      <c r="AO771" s="74" t="str">
        <f ca="1">IF(Table20[[#This Row],[Type]]="KILL",IF(_xlfn.NUMBERVALUE(RIGHT(Table20[[#This Row],[Min]],LEN(Table20[[#This Row],[Min]])-FIND("-",Table20[[#This Row],[Min]])))&gt;INDIRECT(ADDRESS(11+MATCH(LEFT(Table20[[#This Row],[Min]],FIND("-",Table20[[#This Row],[Min]])-1),Table1[Content Sku],0),18,1,1,"Entities")),"review","ok"),"ok")</f>
        <v>ok</v>
      </c>
    </row>
    <row r="772" spans="5:41" x14ac:dyDescent="0.25">
      <c r="E772" t="s">
        <v>257</v>
      </c>
      <c r="F772">
        <v>9000</v>
      </c>
      <c r="G772">
        <v>0</v>
      </c>
      <c r="H772" t="s">
        <v>205</v>
      </c>
      <c r="I772" s="74" t="str">
        <f ca="1">IF(Table7[[#This Row],[Type]]="KILL",IF(_xlfn.NUMBERVALUE(RIGHT(Table7[[#This Row],[Min]],LEN(Table7[[#This Row],[Min]])-FIND("-",Table7[[#This Row],[Min]])))&gt;INDIRECT(ADDRESS(11+MATCH(LEFT(Table7[[#This Row],[Min]],FIND("-",Table7[[#This Row],[Min]])-1),Table1[Content Sku],0),16,1,1,"Entities")),"review","ok"),"ok")</f>
        <v>ok</v>
      </c>
      <c r="U772" t="s">
        <v>403</v>
      </c>
      <c r="V772">
        <v>0</v>
      </c>
      <c r="W772">
        <v>0</v>
      </c>
      <c r="X772" t="s">
        <v>8</v>
      </c>
      <c r="Y772" s="74" t="str">
        <f ca="1">IF(Table15[[#This Row],[Type]]="KILL",IF(_xlfn.NUMBERVALUE(RIGHT(Table15[[#This Row],[Min]],LEN(Table15[[#This Row],[Min]])-FIND("-",Table15[[#This Row],[Min]])))&gt;INDIRECT(ADDRESS(11+MATCH(LEFT(Table15[[#This Row],[Min]],FIND("-",Table15[[#This Row],[Min]])-1),Table1[Content Sku],0),16,1,1,"Entities")),"review","ok"),"ok")</f>
        <v>ok</v>
      </c>
      <c r="AK772" t="s">
        <v>482</v>
      </c>
      <c r="AL772">
        <v>0</v>
      </c>
      <c r="AM772">
        <v>0</v>
      </c>
      <c r="AN772" t="s">
        <v>8</v>
      </c>
      <c r="AO772" s="74" t="str">
        <f ca="1">IF(Table20[[#This Row],[Type]]="KILL",IF(_xlfn.NUMBERVALUE(RIGHT(Table20[[#This Row],[Min]],LEN(Table20[[#This Row],[Min]])-FIND("-",Table20[[#This Row],[Min]])))&gt;INDIRECT(ADDRESS(11+MATCH(LEFT(Table20[[#This Row],[Min]],FIND("-",Table20[[#This Row],[Min]])-1),Table1[Content Sku],0),18,1,1,"Entities")),"review","ok"),"ok")</f>
        <v>ok</v>
      </c>
    </row>
    <row r="773" spans="5:41" x14ac:dyDescent="0.25">
      <c r="E773" t="s">
        <v>21</v>
      </c>
      <c r="F773">
        <v>0</v>
      </c>
      <c r="G773">
        <v>0</v>
      </c>
      <c r="H773" t="s">
        <v>8</v>
      </c>
      <c r="I773" s="74" t="str">
        <f ca="1">IF(Table7[[#This Row],[Type]]="KILL",IF(_xlfn.NUMBERVALUE(RIGHT(Table7[[#This Row],[Min]],LEN(Table7[[#This Row],[Min]])-FIND("-",Table7[[#This Row],[Min]])))&gt;INDIRECT(ADDRESS(11+MATCH(LEFT(Table7[[#This Row],[Min]],FIND("-",Table7[[#This Row],[Min]])-1),Table1[Content Sku],0),16,1,1,"Entities")),"review","ok"),"ok")</f>
        <v>ok</v>
      </c>
      <c r="U773" t="s">
        <v>291</v>
      </c>
      <c r="V773">
        <v>0</v>
      </c>
      <c r="W773">
        <v>29000</v>
      </c>
      <c r="X773" t="s">
        <v>205</v>
      </c>
      <c r="Y773" s="74" t="str">
        <f ca="1">IF(Table15[[#This Row],[Type]]="KILL",IF(_xlfn.NUMBERVALUE(RIGHT(Table15[[#This Row],[Min]],LEN(Table15[[#This Row],[Min]])-FIND("-",Table15[[#This Row],[Min]])))&gt;INDIRECT(ADDRESS(11+MATCH(LEFT(Table15[[#This Row],[Min]],FIND("-",Table15[[#This Row],[Min]])-1),Table1[Content Sku],0),16,1,1,"Entities")),"review","ok"),"ok")</f>
        <v>ok</v>
      </c>
      <c r="AK773" t="s">
        <v>576</v>
      </c>
      <c r="AL773">
        <v>0</v>
      </c>
      <c r="AM773">
        <v>0</v>
      </c>
      <c r="AN773" t="s">
        <v>8</v>
      </c>
      <c r="AO773" s="74" t="str">
        <f ca="1">IF(Table20[[#This Row],[Type]]="KILL",IF(_xlfn.NUMBERVALUE(RIGHT(Table20[[#This Row],[Min]],LEN(Table20[[#This Row],[Min]])-FIND("-",Table20[[#This Row],[Min]])))&gt;INDIRECT(ADDRESS(11+MATCH(LEFT(Table20[[#This Row],[Min]],FIND("-",Table20[[#This Row],[Min]])-1),Table1[Content Sku],0),18,1,1,"Entities")),"review","ok"),"ok")</f>
        <v>ok</v>
      </c>
    </row>
    <row r="774" spans="5:41" x14ac:dyDescent="0.25">
      <c r="E774" t="s">
        <v>254</v>
      </c>
      <c r="F774">
        <v>0</v>
      </c>
      <c r="G774">
        <v>23000</v>
      </c>
      <c r="H774" t="s">
        <v>205</v>
      </c>
      <c r="I774" s="74" t="str">
        <f ca="1">IF(Table7[[#This Row],[Type]]="KILL",IF(_xlfn.NUMBERVALUE(RIGHT(Table7[[#This Row],[Min]],LEN(Table7[[#This Row],[Min]])-FIND("-",Table7[[#This Row],[Min]])))&gt;INDIRECT(ADDRESS(11+MATCH(LEFT(Table7[[#This Row],[Min]],FIND("-",Table7[[#This Row],[Min]])-1),Table1[Content Sku],0),16,1,1,"Entities")),"review","ok"),"ok")</f>
        <v>ok</v>
      </c>
      <c r="U774" t="s">
        <v>1</v>
      </c>
      <c r="V774">
        <v>23000</v>
      </c>
      <c r="W774">
        <v>0</v>
      </c>
      <c r="X774" t="s">
        <v>205</v>
      </c>
      <c r="Y774" s="74" t="str">
        <f ca="1">IF(Table15[[#This Row],[Type]]="KILL",IF(_xlfn.NUMBERVALUE(RIGHT(Table15[[#This Row],[Min]],LEN(Table15[[#This Row],[Min]])-FIND("-",Table15[[#This Row],[Min]])))&gt;INDIRECT(ADDRESS(11+MATCH(LEFT(Table15[[#This Row],[Min]],FIND("-",Table15[[#This Row],[Min]])-1),Table1[Content Sku],0),16,1,1,"Entities")),"review","ok"),"ok")</f>
        <v>ok</v>
      </c>
      <c r="AK774" t="s">
        <v>2741</v>
      </c>
      <c r="AL774">
        <v>0</v>
      </c>
      <c r="AM774">
        <v>0</v>
      </c>
      <c r="AN774" t="s">
        <v>8</v>
      </c>
      <c r="AO774" s="74" t="str">
        <f ca="1">IF(Table20[[#This Row],[Type]]="KILL",IF(_xlfn.NUMBERVALUE(RIGHT(Table20[[#This Row],[Min]],LEN(Table20[[#This Row],[Min]])-FIND("-",Table20[[#This Row],[Min]])))&gt;INDIRECT(ADDRESS(11+MATCH(LEFT(Table20[[#This Row],[Min]],FIND("-",Table20[[#This Row],[Min]])-1),Table1[Content Sku],0),18,1,1,"Entities")),"review","ok"),"ok")</f>
        <v>ok</v>
      </c>
    </row>
    <row r="775" spans="5:41" x14ac:dyDescent="0.25">
      <c r="E775" t="s">
        <v>43</v>
      </c>
      <c r="F775">
        <v>500</v>
      </c>
      <c r="G775">
        <v>0</v>
      </c>
      <c r="H775" t="s">
        <v>4431</v>
      </c>
      <c r="I775" s="74" t="str">
        <f ca="1">IF(Table7[[#This Row],[Type]]="KILL",IF(_xlfn.NUMBERVALUE(RIGHT(Table7[[#This Row],[Min]],LEN(Table7[[#This Row],[Min]])-FIND("-",Table7[[#This Row],[Min]])))&gt;INDIRECT(ADDRESS(11+MATCH(LEFT(Table7[[#This Row],[Min]],FIND("-",Table7[[#This Row],[Min]])-1),Table1[Content Sku],0),16,1,1,"Entities")),"review","ok"),"ok")</f>
        <v>ok</v>
      </c>
      <c r="U775" t="s">
        <v>293</v>
      </c>
      <c r="V775">
        <v>0</v>
      </c>
      <c r="W775">
        <v>0</v>
      </c>
      <c r="X775" t="s">
        <v>8</v>
      </c>
      <c r="Y775" s="74" t="str">
        <f ca="1">IF(Table15[[#This Row],[Type]]="KILL",IF(_xlfn.NUMBERVALUE(RIGHT(Table15[[#This Row],[Min]],LEN(Table15[[#This Row],[Min]])-FIND("-",Table15[[#This Row],[Min]])))&gt;INDIRECT(ADDRESS(11+MATCH(LEFT(Table15[[#This Row],[Min]],FIND("-",Table15[[#This Row],[Min]])-1),Table1[Content Sku],0),16,1,1,"Entities")),"review","ok"),"ok")</f>
        <v>ok</v>
      </c>
      <c r="AK775" t="s">
        <v>313</v>
      </c>
      <c r="AL775">
        <v>0</v>
      </c>
      <c r="AM775">
        <v>0</v>
      </c>
      <c r="AN775" t="s">
        <v>8</v>
      </c>
      <c r="AO775" s="74" t="str">
        <f ca="1">IF(Table20[[#This Row],[Type]]="KILL",IF(_xlfn.NUMBERVALUE(RIGHT(Table20[[#This Row],[Min]],LEN(Table20[[#This Row],[Min]])-FIND("-",Table20[[#This Row],[Min]])))&gt;INDIRECT(ADDRESS(11+MATCH(LEFT(Table20[[#This Row],[Min]],FIND("-",Table20[[#This Row],[Min]])-1),Table1[Content Sku],0),18,1,1,"Entities")),"review","ok"),"ok")</f>
        <v>ok</v>
      </c>
    </row>
    <row r="776" spans="5:41" x14ac:dyDescent="0.25">
      <c r="E776" t="s">
        <v>90</v>
      </c>
      <c r="F776">
        <v>0</v>
      </c>
      <c r="G776">
        <v>20000</v>
      </c>
      <c r="H776" t="s">
        <v>205</v>
      </c>
      <c r="I776" s="74" t="str">
        <f ca="1">IF(Table7[[#This Row],[Type]]="KILL",IF(_xlfn.NUMBERVALUE(RIGHT(Table7[[#This Row],[Min]],LEN(Table7[[#This Row],[Min]])-FIND("-",Table7[[#This Row],[Min]])))&gt;INDIRECT(ADDRESS(11+MATCH(LEFT(Table7[[#This Row],[Min]],FIND("-",Table7[[#This Row],[Min]])-1),Table1[Content Sku],0),16,1,1,"Entities")),"review","ok"),"ok")</f>
        <v>ok</v>
      </c>
      <c r="U776" t="s">
        <v>475</v>
      </c>
      <c r="V776">
        <v>330</v>
      </c>
      <c r="W776">
        <v>0</v>
      </c>
      <c r="X776" t="s">
        <v>4431</v>
      </c>
      <c r="Y776" s="74" t="str">
        <f ca="1">IF(Table15[[#This Row],[Type]]="KILL",IF(_xlfn.NUMBERVALUE(RIGHT(Table15[[#This Row],[Min]],LEN(Table15[[#This Row],[Min]])-FIND("-",Table15[[#This Row],[Min]])))&gt;INDIRECT(ADDRESS(11+MATCH(LEFT(Table15[[#This Row],[Min]],FIND("-",Table15[[#This Row],[Min]])-1),Table1[Content Sku],0),16,1,1,"Entities")),"review","ok"),"ok")</f>
        <v>ok</v>
      </c>
      <c r="AK776" t="s">
        <v>2667</v>
      </c>
      <c r="AL776">
        <v>0</v>
      </c>
      <c r="AM776">
        <v>0</v>
      </c>
      <c r="AN776" t="s">
        <v>8</v>
      </c>
      <c r="AO776" s="74" t="str">
        <f ca="1">IF(Table20[[#This Row],[Type]]="KILL",IF(_xlfn.NUMBERVALUE(RIGHT(Table20[[#This Row],[Min]],LEN(Table20[[#This Row],[Min]])-FIND("-",Table20[[#This Row],[Min]])))&gt;INDIRECT(ADDRESS(11+MATCH(LEFT(Table20[[#This Row],[Min]],FIND("-",Table20[[#This Row],[Min]])-1),Table1[Content Sku],0),18,1,1,"Entities")),"review","ok"),"ok")</f>
        <v>ok</v>
      </c>
    </row>
    <row r="777" spans="5:41" x14ac:dyDescent="0.25">
      <c r="E777" t="s">
        <v>91</v>
      </c>
      <c r="F777">
        <v>0</v>
      </c>
      <c r="G777">
        <v>0</v>
      </c>
      <c r="H777" t="s">
        <v>8</v>
      </c>
      <c r="I777" s="74" t="str">
        <f ca="1">IF(Table7[[#This Row],[Type]]="KILL",IF(_xlfn.NUMBERVALUE(RIGHT(Table7[[#This Row],[Min]],LEN(Table7[[#This Row],[Min]])-FIND("-",Table7[[#This Row],[Min]])))&gt;INDIRECT(ADDRESS(11+MATCH(LEFT(Table7[[#This Row],[Min]],FIND("-",Table7[[#This Row],[Min]])-1),Table1[Content Sku],0),16,1,1,"Entities")),"review","ok"),"ok")</f>
        <v>ok</v>
      </c>
      <c r="U777" t="s">
        <v>545</v>
      </c>
      <c r="V777">
        <v>0</v>
      </c>
      <c r="W777">
        <v>0</v>
      </c>
      <c r="X777" t="s">
        <v>8</v>
      </c>
      <c r="Y777" s="74" t="str">
        <f ca="1">IF(Table15[[#This Row],[Type]]="KILL",IF(_xlfn.NUMBERVALUE(RIGHT(Table15[[#This Row],[Min]],LEN(Table15[[#This Row],[Min]])-FIND("-",Table15[[#This Row],[Min]])))&gt;INDIRECT(ADDRESS(11+MATCH(LEFT(Table15[[#This Row],[Min]],FIND("-",Table15[[#This Row],[Min]])-1),Table1[Content Sku],0),16,1,1,"Entities")),"review","ok"),"ok")</f>
        <v>ok</v>
      </c>
      <c r="AK777" t="s">
        <v>311</v>
      </c>
      <c r="AL777">
        <v>26000</v>
      </c>
      <c r="AM777">
        <v>0</v>
      </c>
      <c r="AN777" t="s">
        <v>205</v>
      </c>
      <c r="AO777" s="74" t="str">
        <f ca="1">IF(Table20[[#This Row],[Type]]="KILL",IF(_xlfn.NUMBERVALUE(RIGHT(Table20[[#This Row],[Min]],LEN(Table20[[#This Row],[Min]])-FIND("-",Table20[[#This Row],[Min]])))&gt;INDIRECT(ADDRESS(11+MATCH(LEFT(Table20[[#This Row],[Min]],FIND("-",Table20[[#This Row],[Min]])-1),Table1[Content Sku],0),18,1,1,"Entities")),"review","ok"),"ok")</f>
        <v>ok</v>
      </c>
    </row>
    <row r="778" spans="5:41" x14ac:dyDescent="0.25">
      <c r="E778" t="s">
        <v>313</v>
      </c>
      <c r="F778">
        <v>0</v>
      </c>
      <c r="G778">
        <v>0</v>
      </c>
      <c r="H778" t="s">
        <v>8</v>
      </c>
      <c r="I778" s="74" t="str">
        <f ca="1">IF(Table7[[#This Row],[Type]]="KILL",IF(_xlfn.NUMBERVALUE(RIGHT(Table7[[#This Row],[Min]],LEN(Table7[[#This Row],[Min]])-FIND("-",Table7[[#This Row],[Min]])))&gt;INDIRECT(ADDRESS(11+MATCH(LEFT(Table7[[#This Row],[Min]],FIND("-",Table7[[#This Row],[Min]])-1),Table1[Content Sku],0),16,1,1,"Entities")),"review","ok"),"ok")</f>
        <v>ok</v>
      </c>
      <c r="U778" t="s">
        <v>37</v>
      </c>
      <c r="V778" t="s">
        <v>8125</v>
      </c>
      <c r="W778" t="s">
        <v>4467</v>
      </c>
      <c r="X778" t="s">
        <v>4468</v>
      </c>
      <c r="Y778" s="74" t="str">
        <f ca="1">IF(Table15[[#This Row],[Type]]="KILL",IF(_xlfn.NUMBERVALUE(RIGHT(Table15[[#This Row],[Min]],LEN(Table15[[#This Row],[Min]])-FIND("-",Table15[[#This Row],[Min]])))&gt;INDIRECT(ADDRESS(11+MATCH(LEFT(Table15[[#This Row],[Min]],FIND("-",Table15[[#This Row],[Min]])-1),Table1[Content Sku],0),16,1,1,"Entities")),"review","ok"),"ok")</f>
        <v>review</v>
      </c>
      <c r="AK778" t="s">
        <v>2669</v>
      </c>
      <c r="AL778">
        <v>30000</v>
      </c>
      <c r="AM778">
        <v>0</v>
      </c>
      <c r="AN778" t="s">
        <v>205</v>
      </c>
      <c r="AO778" s="74" t="str">
        <f ca="1">IF(Table20[[#This Row],[Type]]="KILL",IF(_xlfn.NUMBERVALUE(RIGHT(Table20[[#This Row],[Min]],LEN(Table20[[#This Row],[Min]])-FIND("-",Table20[[#This Row],[Min]])))&gt;INDIRECT(ADDRESS(11+MATCH(LEFT(Table20[[#This Row],[Min]],FIND("-",Table20[[#This Row],[Min]])-1),Table1[Content Sku],0),18,1,1,"Entities")),"review","ok"),"ok")</f>
        <v>ok</v>
      </c>
    </row>
    <row r="779" spans="5:41" x14ac:dyDescent="0.25">
      <c r="E779" t="s">
        <v>286</v>
      </c>
      <c r="F779">
        <v>0</v>
      </c>
      <c r="G779">
        <v>0</v>
      </c>
      <c r="H779" t="s">
        <v>8</v>
      </c>
      <c r="I779" s="74" t="str">
        <f ca="1">IF(Table7[[#This Row],[Type]]="KILL",IF(_xlfn.NUMBERVALUE(RIGHT(Table7[[#This Row],[Min]],LEN(Table7[[#This Row],[Min]])-FIND("-",Table7[[#This Row],[Min]])))&gt;INDIRECT(ADDRESS(11+MATCH(LEFT(Table7[[#This Row],[Min]],FIND("-",Table7[[#This Row],[Min]])-1),Table1[Content Sku],0),16,1,1,"Entities")),"review","ok"),"ok")</f>
        <v>ok</v>
      </c>
      <c r="U779" t="s">
        <v>460</v>
      </c>
      <c r="V779">
        <v>0</v>
      </c>
      <c r="W779">
        <v>0</v>
      </c>
      <c r="X779" t="s">
        <v>8</v>
      </c>
      <c r="Y779" s="74" t="str">
        <f ca="1">IF(Table15[[#This Row],[Type]]="KILL",IF(_xlfn.NUMBERVALUE(RIGHT(Table15[[#This Row],[Min]],LEN(Table15[[#This Row],[Min]])-FIND("-",Table15[[#This Row],[Min]])))&gt;INDIRECT(ADDRESS(11+MATCH(LEFT(Table15[[#This Row],[Min]],FIND("-",Table15[[#This Row],[Min]])-1),Table1[Content Sku],0),16,1,1,"Entities")),"review","ok"),"ok")</f>
        <v>ok</v>
      </c>
      <c r="AK779" t="s">
        <v>37</v>
      </c>
      <c r="AL779">
        <v>0</v>
      </c>
      <c r="AM779">
        <v>0</v>
      </c>
      <c r="AN779" t="s">
        <v>8</v>
      </c>
      <c r="AO779" s="74" t="str">
        <f ca="1">IF(Table20[[#This Row],[Type]]="KILL",IF(_xlfn.NUMBERVALUE(RIGHT(Table20[[#This Row],[Min]],LEN(Table20[[#This Row],[Min]])-FIND("-",Table20[[#This Row],[Min]])))&gt;INDIRECT(ADDRESS(11+MATCH(LEFT(Table20[[#This Row],[Min]],FIND("-",Table20[[#This Row],[Min]])-1),Table1[Content Sku],0),18,1,1,"Entities")),"review","ok"),"ok")</f>
        <v>ok</v>
      </c>
    </row>
    <row r="780" spans="5:41" x14ac:dyDescent="0.25">
      <c r="E780" t="s">
        <v>39</v>
      </c>
      <c r="F780">
        <v>14000</v>
      </c>
      <c r="G780">
        <v>0</v>
      </c>
      <c r="H780" t="s">
        <v>205</v>
      </c>
      <c r="I780" s="74" t="str">
        <f ca="1">IF(Table7[[#This Row],[Type]]="KILL",IF(_xlfn.NUMBERVALUE(RIGHT(Table7[[#This Row],[Min]],LEN(Table7[[#This Row],[Min]])-FIND("-",Table7[[#This Row],[Min]])))&gt;INDIRECT(ADDRESS(11+MATCH(LEFT(Table7[[#This Row],[Min]],FIND("-",Table7[[#This Row],[Min]])-1),Table1[Content Sku],0),16,1,1,"Entities")),"review","ok"),"ok")</f>
        <v>ok</v>
      </c>
      <c r="U780" t="s">
        <v>313</v>
      </c>
      <c r="V780">
        <v>0</v>
      </c>
      <c r="W780">
        <v>0</v>
      </c>
      <c r="X780" t="s">
        <v>8</v>
      </c>
      <c r="Y780" s="74" t="str">
        <f ca="1">IF(Table15[[#This Row],[Type]]="KILL",IF(_xlfn.NUMBERVALUE(RIGHT(Table15[[#This Row],[Min]],LEN(Table15[[#This Row],[Min]])-FIND("-",Table15[[#This Row],[Min]])))&gt;INDIRECT(ADDRESS(11+MATCH(LEFT(Table15[[#This Row],[Min]],FIND("-",Table15[[#This Row],[Min]])-1),Table1[Content Sku],0),16,1,1,"Entities")),"review","ok"),"ok")</f>
        <v>ok</v>
      </c>
      <c r="AK780" t="s">
        <v>416</v>
      </c>
      <c r="AL780">
        <v>30000</v>
      </c>
      <c r="AM780">
        <v>0</v>
      </c>
      <c r="AN780" t="s">
        <v>205</v>
      </c>
      <c r="AO780" s="74" t="str">
        <f ca="1">IF(Table20[[#This Row],[Type]]="KILL",IF(_xlfn.NUMBERVALUE(RIGHT(Table20[[#This Row],[Min]],LEN(Table20[[#This Row],[Min]])-FIND("-",Table20[[#This Row],[Min]])))&gt;INDIRECT(ADDRESS(11+MATCH(LEFT(Table20[[#This Row],[Min]],FIND("-",Table20[[#This Row],[Min]])-1),Table1[Content Sku],0),18,1,1,"Entities")),"review","ok"),"ok")</f>
        <v>ok</v>
      </c>
    </row>
    <row r="781" spans="5:41" x14ac:dyDescent="0.25">
      <c r="E781" t="s">
        <v>63</v>
      </c>
      <c r="F781">
        <v>0</v>
      </c>
      <c r="G781">
        <v>0</v>
      </c>
      <c r="H781" t="s">
        <v>8</v>
      </c>
      <c r="I781" s="74" t="str">
        <f ca="1">IF(Table7[[#This Row],[Type]]="KILL",IF(_xlfn.NUMBERVALUE(RIGHT(Table7[[#This Row],[Min]],LEN(Table7[[#This Row],[Min]])-FIND("-",Table7[[#This Row],[Min]])))&gt;INDIRECT(ADDRESS(11+MATCH(LEFT(Table7[[#This Row],[Min]],FIND("-",Table7[[#This Row],[Min]])-1),Table1[Content Sku],0),16,1,1,"Entities")),"review","ok"),"ok")</f>
        <v>ok</v>
      </c>
      <c r="U781" t="s">
        <v>392</v>
      </c>
      <c r="V781">
        <v>0</v>
      </c>
      <c r="W781">
        <v>23000</v>
      </c>
      <c r="X781" t="s">
        <v>205</v>
      </c>
      <c r="Y781" s="74" t="str">
        <f ca="1">IF(Table15[[#This Row],[Type]]="KILL",IF(_xlfn.NUMBERVALUE(RIGHT(Table15[[#This Row],[Min]],LEN(Table15[[#This Row],[Min]])-FIND("-",Table15[[#This Row],[Min]])))&gt;INDIRECT(ADDRESS(11+MATCH(LEFT(Table15[[#This Row],[Min]],FIND("-",Table15[[#This Row],[Min]])-1),Table1[Content Sku],0),16,1,1,"Entities")),"review","ok"),"ok")</f>
        <v>ok</v>
      </c>
      <c r="AK781" t="s">
        <v>37</v>
      </c>
      <c r="AL781">
        <v>29000</v>
      </c>
      <c r="AM781">
        <v>0</v>
      </c>
      <c r="AN781" t="s">
        <v>205</v>
      </c>
      <c r="AO781" s="74" t="str">
        <f ca="1">IF(Table20[[#This Row],[Type]]="KILL",IF(_xlfn.NUMBERVALUE(RIGHT(Table20[[#This Row],[Min]],LEN(Table20[[#This Row],[Min]])-FIND("-",Table20[[#This Row],[Min]])))&gt;INDIRECT(ADDRESS(11+MATCH(LEFT(Table20[[#This Row],[Min]],FIND("-",Table20[[#This Row],[Min]])-1),Table1[Content Sku],0),18,1,1,"Entities")),"review","ok"),"ok")</f>
        <v>ok</v>
      </c>
    </row>
    <row r="782" spans="5:41" x14ac:dyDescent="0.25">
      <c r="E782" t="s">
        <v>122</v>
      </c>
      <c r="F782">
        <v>0</v>
      </c>
      <c r="G782">
        <v>0</v>
      </c>
      <c r="H782" t="s">
        <v>8</v>
      </c>
      <c r="I782" s="74" t="str">
        <f ca="1">IF(Table7[[#This Row],[Type]]="KILL",IF(_xlfn.NUMBERVALUE(RIGHT(Table7[[#This Row],[Min]],LEN(Table7[[#This Row],[Min]])-FIND("-",Table7[[#This Row],[Min]])))&gt;INDIRECT(ADDRESS(11+MATCH(LEFT(Table7[[#This Row],[Min]],FIND("-",Table7[[#This Row],[Min]])-1),Table1[Content Sku],0),16,1,1,"Entities")),"review","ok"),"ok")</f>
        <v>ok</v>
      </c>
      <c r="U782" t="s">
        <v>391</v>
      </c>
      <c r="V782">
        <v>0</v>
      </c>
      <c r="W782">
        <v>0</v>
      </c>
      <c r="X782" t="s">
        <v>8</v>
      </c>
      <c r="Y782" s="74" t="str">
        <f ca="1">IF(Table15[[#This Row],[Type]]="KILL",IF(_xlfn.NUMBERVALUE(RIGHT(Table15[[#This Row],[Min]],LEN(Table15[[#This Row],[Min]])-FIND("-",Table15[[#This Row],[Min]])))&gt;INDIRECT(ADDRESS(11+MATCH(LEFT(Table15[[#This Row],[Min]],FIND("-",Table15[[#This Row],[Min]])-1),Table1[Content Sku],0),16,1,1,"Entities")),"review","ok"),"ok")</f>
        <v>ok</v>
      </c>
      <c r="AK782" t="s">
        <v>548</v>
      </c>
      <c r="AL782">
        <v>0</v>
      </c>
      <c r="AM782">
        <v>0</v>
      </c>
      <c r="AN782" t="s">
        <v>8</v>
      </c>
      <c r="AO782" s="74" t="str">
        <f ca="1">IF(Table20[[#This Row],[Type]]="KILL",IF(_xlfn.NUMBERVALUE(RIGHT(Table20[[#This Row],[Min]],LEN(Table20[[#This Row],[Min]])-FIND("-",Table20[[#This Row],[Min]])))&gt;INDIRECT(ADDRESS(11+MATCH(LEFT(Table20[[#This Row],[Min]],FIND("-",Table20[[#This Row],[Min]])-1),Table1[Content Sku],0),18,1,1,"Entities")),"review","ok"),"ok")</f>
        <v>ok</v>
      </c>
    </row>
    <row r="783" spans="5:41" x14ac:dyDescent="0.25">
      <c r="E783" t="s">
        <v>21</v>
      </c>
      <c r="F783">
        <v>18000</v>
      </c>
      <c r="G783">
        <v>0</v>
      </c>
      <c r="H783" t="s">
        <v>205</v>
      </c>
      <c r="I783" s="74" t="str">
        <f ca="1">IF(Table7[[#This Row],[Type]]="KILL",IF(_xlfn.NUMBERVALUE(RIGHT(Table7[[#This Row],[Min]],LEN(Table7[[#This Row],[Min]])-FIND("-",Table7[[#This Row],[Min]])))&gt;INDIRECT(ADDRESS(11+MATCH(LEFT(Table7[[#This Row],[Min]],FIND("-",Table7[[#This Row],[Min]])-1),Table1[Content Sku],0),16,1,1,"Entities")),"review","ok"),"ok")</f>
        <v>ok</v>
      </c>
      <c r="U783" t="s">
        <v>315</v>
      </c>
      <c r="V783">
        <v>0</v>
      </c>
      <c r="W783">
        <v>0</v>
      </c>
      <c r="X783" t="s">
        <v>8</v>
      </c>
      <c r="Y783" s="74" t="str">
        <f ca="1">IF(Table15[[#This Row],[Type]]="KILL",IF(_xlfn.NUMBERVALUE(RIGHT(Table15[[#This Row],[Min]],LEN(Table15[[#This Row],[Min]])-FIND("-",Table15[[#This Row],[Min]])))&gt;INDIRECT(ADDRESS(11+MATCH(LEFT(Table15[[#This Row],[Min]],FIND("-",Table15[[#This Row],[Min]])-1),Table1[Content Sku],0),16,1,1,"Entities")),"review","ok"),"ok")</f>
        <v>ok</v>
      </c>
      <c r="AK783" t="s">
        <v>543</v>
      </c>
      <c r="AL783">
        <v>0</v>
      </c>
      <c r="AM783">
        <v>0</v>
      </c>
      <c r="AN783" t="s">
        <v>8</v>
      </c>
      <c r="AO783" s="74" t="str">
        <f ca="1">IF(Table20[[#This Row],[Type]]="KILL",IF(_xlfn.NUMBERVALUE(RIGHT(Table20[[#This Row],[Min]],LEN(Table20[[#This Row],[Min]])-FIND("-",Table20[[#This Row],[Min]])))&gt;INDIRECT(ADDRESS(11+MATCH(LEFT(Table20[[#This Row],[Min]],FIND("-",Table20[[#This Row],[Min]])-1),Table1[Content Sku],0),18,1,1,"Entities")),"review","ok"),"ok")</f>
        <v>ok</v>
      </c>
    </row>
    <row r="784" spans="5:41" x14ac:dyDescent="0.25">
      <c r="E784" t="s">
        <v>393</v>
      </c>
      <c r="F784">
        <v>0</v>
      </c>
      <c r="G784">
        <v>0</v>
      </c>
      <c r="H784" t="s">
        <v>8</v>
      </c>
      <c r="I784" s="74" t="str">
        <f ca="1">IF(Table7[[#This Row],[Type]]="KILL",IF(_xlfn.NUMBERVALUE(RIGHT(Table7[[#This Row],[Min]],LEN(Table7[[#This Row],[Min]])-FIND("-",Table7[[#This Row],[Min]])))&gt;INDIRECT(ADDRESS(11+MATCH(LEFT(Table7[[#This Row],[Min]],FIND("-",Table7[[#This Row],[Min]])-1),Table1[Content Sku],0),16,1,1,"Entities")),"review","ok"),"ok")</f>
        <v>ok</v>
      </c>
      <c r="U784" t="s">
        <v>39</v>
      </c>
      <c r="V784">
        <v>20000</v>
      </c>
      <c r="W784">
        <v>0</v>
      </c>
      <c r="X784" t="s">
        <v>205</v>
      </c>
      <c r="Y784" s="74" t="str">
        <f ca="1">IF(Table15[[#This Row],[Type]]="KILL",IF(_xlfn.NUMBERVALUE(RIGHT(Table15[[#This Row],[Min]],LEN(Table15[[#This Row],[Min]])-FIND("-",Table15[[#This Row],[Min]])))&gt;INDIRECT(ADDRESS(11+MATCH(LEFT(Table15[[#This Row],[Min]],FIND("-",Table15[[#This Row],[Min]])-1),Table1[Content Sku],0),16,1,1,"Entities")),"review","ok"),"ok")</f>
        <v>ok</v>
      </c>
      <c r="AK784" t="s">
        <v>2680</v>
      </c>
      <c r="AL784">
        <v>0</v>
      </c>
      <c r="AM784">
        <v>20000</v>
      </c>
      <c r="AN784" t="s">
        <v>205</v>
      </c>
      <c r="AO784" s="74" t="str">
        <f ca="1">IF(Table20[[#This Row],[Type]]="KILL",IF(_xlfn.NUMBERVALUE(RIGHT(Table20[[#This Row],[Min]],LEN(Table20[[#This Row],[Min]])-FIND("-",Table20[[#This Row],[Min]])))&gt;INDIRECT(ADDRESS(11+MATCH(LEFT(Table20[[#This Row],[Min]],FIND("-",Table20[[#This Row],[Min]])-1),Table1[Content Sku],0),18,1,1,"Entities")),"review","ok"),"ok")</f>
        <v>ok</v>
      </c>
    </row>
    <row r="785" spans="5:41" x14ac:dyDescent="0.25">
      <c r="E785" t="s">
        <v>313</v>
      </c>
      <c r="F785">
        <v>0</v>
      </c>
      <c r="G785">
        <v>0</v>
      </c>
      <c r="H785" t="s">
        <v>8</v>
      </c>
      <c r="I785" s="74" t="str">
        <f ca="1">IF(Table7[[#This Row],[Type]]="KILL",IF(_xlfn.NUMBERVALUE(RIGHT(Table7[[#This Row],[Min]],LEN(Table7[[#This Row],[Min]])-FIND("-",Table7[[#This Row],[Min]])))&gt;INDIRECT(ADDRESS(11+MATCH(LEFT(Table7[[#This Row],[Min]],FIND("-",Table7[[#This Row],[Min]])-1),Table1[Content Sku],0),16,1,1,"Entities")),"review","ok"),"ok")</f>
        <v>ok</v>
      </c>
      <c r="U785" t="s">
        <v>254</v>
      </c>
      <c r="V785">
        <v>0</v>
      </c>
      <c r="W785">
        <v>0</v>
      </c>
      <c r="X785" t="s">
        <v>8</v>
      </c>
      <c r="Y785" s="74" t="str">
        <f ca="1">IF(Table15[[#This Row],[Type]]="KILL",IF(_xlfn.NUMBERVALUE(RIGHT(Table15[[#This Row],[Min]],LEN(Table15[[#This Row],[Min]])-FIND("-",Table15[[#This Row],[Min]])))&gt;INDIRECT(ADDRESS(11+MATCH(LEFT(Table15[[#This Row],[Min]],FIND("-",Table15[[#This Row],[Min]])-1),Table1[Content Sku],0),16,1,1,"Entities")),"review","ok"),"ok")</f>
        <v>ok</v>
      </c>
      <c r="AK785" t="s">
        <v>37</v>
      </c>
      <c r="AL785">
        <v>0</v>
      </c>
      <c r="AM785">
        <v>27000</v>
      </c>
      <c r="AN785" t="s">
        <v>205</v>
      </c>
      <c r="AO785" s="74" t="str">
        <f ca="1">IF(Table20[[#This Row],[Type]]="KILL",IF(_xlfn.NUMBERVALUE(RIGHT(Table20[[#This Row],[Min]],LEN(Table20[[#This Row],[Min]])-FIND("-",Table20[[#This Row],[Min]])))&gt;INDIRECT(ADDRESS(11+MATCH(LEFT(Table20[[#This Row],[Min]],FIND("-",Table20[[#This Row],[Min]])-1),Table1[Content Sku],0),18,1,1,"Entities")),"review","ok"),"ok")</f>
        <v>ok</v>
      </c>
    </row>
    <row r="786" spans="5:41" x14ac:dyDescent="0.25">
      <c r="E786" t="s">
        <v>313</v>
      </c>
      <c r="F786">
        <v>0</v>
      </c>
      <c r="G786">
        <v>0</v>
      </c>
      <c r="H786" t="s">
        <v>8</v>
      </c>
      <c r="I786" s="74" t="str">
        <f ca="1">IF(Table7[[#This Row],[Type]]="KILL",IF(_xlfn.NUMBERVALUE(RIGHT(Table7[[#This Row],[Min]],LEN(Table7[[#This Row],[Min]])-FIND("-",Table7[[#This Row],[Min]])))&gt;INDIRECT(ADDRESS(11+MATCH(LEFT(Table7[[#This Row],[Min]],FIND("-",Table7[[#This Row],[Min]])-1),Table1[Content Sku],0),16,1,1,"Entities")),"review","ok"),"ok")</f>
        <v>ok</v>
      </c>
      <c r="U786" t="s">
        <v>302</v>
      </c>
      <c r="V786">
        <v>25000</v>
      </c>
      <c r="W786">
        <v>0</v>
      </c>
      <c r="X786" t="s">
        <v>205</v>
      </c>
      <c r="Y786" s="74" t="str">
        <f ca="1">IF(Table15[[#This Row],[Type]]="KILL",IF(_xlfn.NUMBERVALUE(RIGHT(Table15[[#This Row],[Min]],LEN(Table15[[#This Row],[Min]])-FIND("-",Table15[[#This Row],[Min]])))&gt;INDIRECT(ADDRESS(11+MATCH(LEFT(Table15[[#This Row],[Min]],FIND("-",Table15[[#This Row],[Min]])-1),Table1[Content Sku],0),16,1,1,"Entities")),"review","ok"),"ok")</f>
        <v>ok</v>
      </c>
      <c r="AK786" t="s">
        <v>2767</v>
      </c>
      <c r="AL786">
        <v>0</v>
      </c>
      <c r="AM786">
        <v>0</v>
      </c>
      <c r="AN786" t="s">
        <v>8</v>
      </c>
      <c r="AO786" s="74" t="str">
        <f ca="1">IF(Table20[[#This Row],[Type]]="KILL",IF(_xlfn.NUMBERVALUE(RIGHT(Table20[[#This Row],[Min]],LEN(Table20[[#This Row],[Min]])-FIND("-",Table20[[#This Row],[Min]])))&gt;INDIRECT(ADDRESS(11+MATCH(LEFT(Table20[[#This Row],[Min]],FIND("-",Table20[[#This Row],[Min]])-1),Table1[Content Sku],0),18,1,1,"Entities")),"review","ok"),"ok")</f>
        <v>ok</v>
      </c>
    </row>
    <row r="787" spans="5:41" x14ac:dyDescent="0.25">
      <c r="E787" t="s">
        <v>37</v>
      </c>
      <c r="F787">
        <v>0</v>
      </c>
      <c r="G787">
        <v>0</v>
      </c>
      <c r="H787" t="s">
        <v>8</v>
      </c>
      <c r="I787" s="74" t="str">
        <f ca="1">IF(Table7[[#This Row],[Type]]="KILL",IF(_xlfn.NUMBERVALUE(RIGHT(Table7[[#This Row],[Min]],LEN(Table7[[#This Row],[Min]])-FIND("-",Table7[[#This Row],[Min]])))&gt;INDIRECT(ADDRESS(11+MATCH(LEFT(Table7[[#This Row],[Min]],FIND("-",Table7[[#This Row],[Min]])-1),Table1[Content Sku],0),16,1,1,"Entities")),"review","ok"),"ok")</f>
        <v>ok</v>
      </c>
      <c r="U787" t="s">
        <v>44</v>
      </c>
      <c r="V787">
        <v>0</v>
      </c>
      <c r="W787">
        <v>0</v>
      </c>
      <c r="X787" t="s">
        <v>8</v>
      </c>
      <c r="Y787" s="74" t="str">
        <f ca="1">IF(Table15[[#This Row],[Type]]="KILL",IF(_xlfn.NUMBERVALUE(RIGHT(Table15[[#This Row],[Min]],LEN(Table15[[#This Row],[Min]])-FIND("-",Table15[[#This Row],[Min]])))&gt;INDIRECT(ADDRESS(11+MATCH(LEFT(Table15[[#This Row],[Min]],FIND("-",Table15[[#This Row],[Min]])-1),Table1[Content Sku],0),16,1,1,"Entities")),"review","ok"),"ok")</f>
        <v>ok</v>
      </c>
      <c r="AK787" t="s">
        <v>2745</v>
      </c>
      <c r="AL787">
        <v>0</v>
      </c>
      <c r="AM787">
        <v>0</v>
      </c>
      <c r="AN787" t="s">
        <v>8</v>
      </c>
      <c r="AO787" s="74" t="str">
        <f ca="1">IF(Table20[[#This Row],[Type]]="KILL",IF(_xlfn.NUMBERVALUE(RIGHT(Table20[[#This Row],[Min]],LEN(Table20[[#This Row],[Min]])-FIND("-",Table20[[#This Row],[Min]])))&gt;INDIRECT(ADDRESS(11+MATCH(LEFT(Table20[[#This Row],[Min]],FIND("-",Table20[[#This Row],[Min]])-1),Table1[Content Sku],0),18,1,1,"Entities")),"review","ok"),"ok")</f>
        <v>ok</v>
      </c>
    </row>
    <row r="788" spans="5:41" x14ac:dyDescent="0.25">
      <c r="E788" t="s">
        <v>315</v>
      </c>
      <c r="F788">
        <v>0</v>
      </c>
      <c r="G788">
        <v>0</v>
      </c>
      <c r="H788" t="s">
        <v>8</v>
      </c>
      <c r="I788" s="74" t="str">
        <f ca="1">IF(Table7[[#This Row],[Type]]="KILL",IF(_xlfn.NUMBERVALUE(RIGHT(Table7[[#This Row],[Min]],LEN(Table7[[#This Row],[Min]])-FIND("-",Table7[[#This Row],[Min]])))&gt;INDIRECT(ADDRESS(11+MATCH(LEFT(Table7[[#This Row],[Min]],FIND("-",Table7[[#This Row],[Min]])-1),Table1[Content Sku],0),16,1,1,"Entities")),"review","ok"),"ok")</f>
        <v>ok</v>
      </c>
      <c r="U788" t="s">
        <v>392</v>
      </c>
      <c r="V788">
        <v>0</v>
      </c>
      <c r="W788">
        <v>20000</v>
      </c>
      <c r="X788" t="s">
        <v>205</v>
      </c>
      <c r="Y788" s="74" t="str">
        <f ca="1">IF(Table15[[#This Row],[Type]]="KILL",IF(_xlfn.NUMBERVALUE(RIGHT(Table15[[#This Row],[Min]],LEN(Table15[[#This Row],[Min]])-FIND("-",Table15[[#This Row],[Min]])))&gt;INDIRECT(ADDRESS(11+MATCH(LEFT(Table15[[#This Row],[Min]],FIND("-",Table15[[#This Row],[Min]])-1),Table1[Content Sku],0),16,1,1,"Entities")),"review","ok"),"ok")</f>
        <v>ok</v>
      </c>
      <c r="AK788" t="s">
        <v>2667</v>
      </c>
      <c r="AL788">
        <v>0</v>
      </c>
      <c r="AM788">
        <v>0</v>
      </c>
      <c r="AN788" t="s">
        <v>8</v>
      </c>
      <c r="AO788" s="74" t="str">
        <f ca="1">IF(Table20[[#This Row],[Type]]="KILL",IF(_xlfn.NUMBERVALUE(RIGHT(Table20[[#This Row],[Min]],LEN(Table20[[#This Row],[Min]])-FIND("-",Table20[[#This Row],[Min]])))&gt;INDIRECT(ADDRESS(11+MATCH(LEFT(Table20[[#This Row],[Min]],FIND("-",Table20[[#This Row],[Min]])-1),Table1[Content Sku],0),18,1,1,"Entities")),"review","ok"),"ok")</f>
        <v>ok</v>
      </c>
    </row>
    <row r="789" spans="5:41" x14ac:dyDescent="0.25">
      <c r="E789" t="s">
        <v>336</v>
      </c>
      <c r="F789">
        <v>0</v>
      </c>
      <c r="G789">
        <v>0</v>
      </c>
      <c r="H789" t="s">
        <v>8</v>
      </c>
      <c r="I789" s="74" t="str">
        <f ca="1">IF(Table7[[#This Row],[Type]]="KILL",IF(_xlfn.NUMBERVALUE(RIGHT(Table7[[#This Row],[Min]],LEN(Table7[[#This Row],[Min]])-FIND("-",Table7[[#This Row],[Min]])))&gt;INDIRECT(ADDRESS(11+MATCH(LEFT(Table7[[#This Row],[Min]],FIND("-",Table7[[#This Row],[Min]])-1),Table1[Content Sku],0),16,1,1,"Entities")),"review","ok"),"ok")</f>
        <v>ok</v>
      </c>
      <c r="U789" t="s">
        <v>460</v>
      </c>
      <c r="V789">
        <v>0</v>
      </c>
      <c r="W789">
        <v>0</v>
      </c>
      <c r="X789" t="s">
        <v>8</v>
      </c>
      <c r="Y789" s="74" t="str">
        <f ca="1">IF(Table15[[#This Row],[Type]]="KILL",IF(_xlfn.NUMBERVALUE(RIGHT(Table15[[#This Row],[Min]],LEN(Table15[[#This Row],[Min]])-FIND("-",Table15[[#This Row],[Min]])))&gt;INDIRECT(ADDRESS(11+MATCH(LEFT(Table15[[#This Row],[Min]],FIND("-",Table15[[#This Row],[Min]])-1),Table1[Content Sku],0),16,1,1,"Entities")),"review","ok"),"ok")</f>
        <v>ok</v>
      </c>
      <c r="AK789" t="s">
        <v>540</v>
      </c>
      <c r="AL789">
        <v>0</v>
      </c>
      <c r="AM789">
        <v>0</v>
      </c>
      <c r="AN789" t="s">
        <v>8</v>
      </c>
      <c r="AO789" s="74" t="str">
        <f ca="1">IF(Table20[[#This Row],[Type]]="KILL",IF(_xlfn.NUMBERVALUE(RIGHT(Table20[[#This Row],[Min]],LEN(Table20[[#This Row],[Min]])-FIND("-",Table20[[#This Row],[Min]])))&gt;INDIRECT(ADDRESS(11+MATCH(LEFT(Table20[[#This Row],[Min]],FIND("-",Table20[[#This Row],[Min]])-1),Table1[Content Sku],0),18,1,1,"Entities")),"review","ok"),"ok")</f>
        <v>ok</v>
      </c>
    </row>
    <row r="790" spans="5:41" x14ac:dyDescent="0.25">
      <c r="E790" t="s">
        <v>90</v>
      </c>
      <c r="F790">
        <v>0</v>
      </c>
      <c r="G790">
        <v>0</v>
      </c>
      <c r="H790" t="s">
        <v>8</v>
      </c>
      <c r="I790" s="74" t="str">
        <f ca="1">IF(Table7[[#This Row],[Type]]="KILL",IF(_xlfn.NUMBERVALUE(RIGHT(Table7[[#This Row],[Min]],LEN(Table7[[#This Row],[Min]])-FIND("-",Table7[[#This Row],[Min]])))&gt;INDIRECT(ADDRESS(11+MATCH(LEFT(Table7[[#This Row],[Min]],FIND("-",Table7[[#This Row],[Min]])-1),Table1[Content Sku],0),16,1,1,"Entities")),"review","ok"),"ok")</f>
        <v>ok</v>
      </c>
      <c r="U790" t="s">
        <v>254</v>
      </c>
      <c r="V790">
        <v>13000</v>
      </c>
      <c r="W790">
        <v>0</v>
      </c>
      <c r="X790" t="s">
        <v>205</v>
      </c>
      <c r="Y790" s="74" t="str">
        <f ca="1">IF(Table15[[#This Row],[Type]]="KILL",IF(_xlfn.NUMBERVALUE(RIGHT(Table15[[#This Row],[Min]],LEN(Table15[[#This Row],[Min]])-FIND("-",Table15[[#This Row],[Min]])))&gt;INDIRECT(ADDRESS(11+MATCH(LEFT(Table15[[#This Row],[Min]],FIND("-",Table15[[#This Row],[Min]])-1),Table1[Content Sku],0),16,1,1,"Entities")),"review","ok"),"ok")</f>
        <v>ok</v>
      </c>
      <c r="AK790" t="s">
        <v>2664</v>
      </c>
      <c r="AL790">
        <v>0</v>
      </c>
      <c r="AM790">
        <v>30000</v>
      </c>
      <c r="AN790" t="s">
        <v>205</v>
      </c>
      <c r="AO790" s="74" t="str">
        <f ca="1">IF(Table20[[#This Row],[Type]]="KILL",IF(_xlfn.NUMBERVALUE(RIGHT(Table20[[#This Row],[Min]],LEN(Table20[[#This Row],[Min]])-FIND("-",Table20[[#This Row],[Min]])))&gt;INDIRECT(ADDRESS(11+MATCH(LEFT(Table20[[#This Row],[Min]],FIND("-",Table20[[#This Row],[Min]])-1),Table1[Content Sku],0),18,1,1,"Entities")),"review","ok"),"ok")</f>
        <v>ok</v>
      </c>
    </row>
    <row r="791" spans="5:41" x14ac:dyDescent="0.25">
      <c r="E791" t="s">
        <v>391</v>
      </c>
      <c r="F791">
        <v>0</v>
      </c>
      <c r="G791">
        <v>0</v>
      </c>
      <c r="H791" t="s">
        <v>8</v>
      </c>
      <c r="I791" s="74" t="str">
        <f ca="1">IF(Table7[[#This Row],[Type]]="KILL",IF(_xlfn.NUMBERVALUE(RIGHT(Table7[[#This Row],[Min]],LEN(Table7[[#This Row],[Min]])-FIND("-",Table7[[#This Row],[Min]])))&gt;INDIRECT(ADDRESS(11+MATCH(LEFT(Table7[[#This Row],[Min]],FIND("-",Table7[[#This Row],[Min]])-1),Table1[Content Sku],0),16,1,1,"Entities")),"review","ok"),"ok")</f>
        <v>ok</v>
      </c>
      <c r="U791" t="s">
        <v>37</v>
      </c>
      <c r="V791">
        <v>0</v>
      </c>
      <c r="W791">
        <v>0</v>
      </c>
      <c r="X791" t="s">
        <v>8</v>
      </c>
      <c r="Y791" s="74" t="str">
        <f ca="1">IF(Table15[[#This Row],[Type]]="KILL",IF(_xlfn.NUMBERVALUE(RIGHT(Table15[[#This Row],[Min]],LEN(Table15[[#This Row],[Min]])-FIND("-",Table15[[#This Row],[Min]])))&gt;INDIRECT(ADDRESS(11+MATCH(LEFT(Table15[[#This Row],[Min]],FIND("-",Table15[[#This Row],[Min]])-1),Table1[Content Sku],0),16,1,1,"Entities")),"review","ok"),"ok")</f>
        <v>ok</v>
      </c>
      <c r="AK791" t="s">
        <v>2662</v>
      </c>
      <c r="AL791">
        <v>0</v>
      </c>
      <c r="AM791">
        <v>0</v>
      </c>
      <c r="AN791" t="s">
        <v>8</v>
      </c>
      <c r="AO791" s="74" t="str">
        <f ca="1">IF(Table20[[#This Row],[Type]]="KILL",IF(_xlfn.NUMBERVALUE(RIGHT(Table20[[#This Row],[Min]],LEN(Table20[[#This Row],[Min]])-FIND("-",Table20[[#This Row],[Min]])))&gt;INDIRECT(ADDRESS(11+MATCH(LEFT(Table20[[#This Row],[Min]],FIND("-",Table20[[#This Row],[Min]])-1),Table1[Content Sku],0),18,1,1,"Entities")),"review","ok"),"ok")</f>
        <v>ok</v>
      </c>
    </row>
    <row r="792" spans="5:41" x14ac:dyDescent="0.25">
      <c r="E792" t="s">
        <v>39</v>
      </c>
      <c r="F792">
        <v>0</v>
      </c>
      <c r="G792">
        <v>0</v>
      </c>
      <c r="H792" t="s">
        <v>8</v>
      </c>
      <c r="I792" s="74" t="str">
        <f ca="1">IF(Table7[[#This Row],[Type]]="KILL",IF(_xlfn.NUMBERVALUE(RIGHT(Table7[[#This Row],[Min]],LEN(Table7[[#This Row],[Min]])-FIND("-",Table7[[#This Row],[Min]])))&gt;INDIRECT(ADDRESS(11+MATCH(LEFT(Table7[[#This Row],[Min]],FIND("-",Table7[[#This Row],[Min]])-1),Table1[Content Sku],0),16,1,1,"Entities")),"review","ok"),"ok")</f>
        <v>ok</v>
      </c>
      <c r="U792" t="s">
        <v>95</v>
      </c>
      <c r="V792">
        <v>0</v>
      </c>
      <c r="W792">
        <v>0</v>
      </c>
      <c r="X792" t="s">
        <v>8</v>
      </c>
      <c r="Y792" s="74" t="str">
        <f ca="1">IF(Table15[[#This Row],[Type]]="KILL",IF(_xlfn.NUMBERVALUE(RIGHT(Table15[[#This Row],[Min]],LEN(Table15[[#This Row],[Min]])-FIND("-",Table15[[#This Row],[Min]])))&gt;INDIRECT(ADDRESS(11+MATCH(LEFT(Table15[[#This Row],[Min]],FIND("-",Table15[[#This Row],[Min]])-1),Table1[Content Sku],0),16,1,1,"Entities")),"review","ok"),"ok")</f>
        <v>ok</v>
      </c>
      <c r="AK792" t="s">
        <v>257</v>
      </c>
      <c r="AL792">
        <v>0</v>
      </c>
      <c r="AM792">
        <v>40000</v>
      </c>
      <c r="AN792" t="s">
        <v>205</v>
      </c>
      <c r="AO792" s="74" t="str">
        <f ca="1">IF(Table20[[#This Row],[Type]]="KILL",IF(_xlfn.NUMBERVALUE(RIGHT(Table20[[#This Row],[Min]],LEN(Table20[[#This Row],[Min]])-FIND("-",Table20[[#This Row],[Min]])))&gt;INDIRECT(ADDRESS(11+MATCH(LEFT(Table20[[#This Row],[Min]],FIND("-",Table20[[#This Row],[Min]])-1),Table1[Content Sku],0),18,1,1,"Entities")),"review","ok"),"ok")</f>
        <v>ok</v>
      </c>
    </row>
    <row r="793" spans="5:41" x14ac:dyDescent="0.25">
      <c r="E793" t="s">
        <v>313</v>
      </c>
      <c r="F793">
        <v>0</v>
      </c>
      <c r="G793">
        <v>0</v>
      </c>
      <c r="H793" t="s">
        <v>8</v>
      </c>
      <c r="I793" s="74" t="str">
        <f ca="1">IF(Table7[[#This Row],[Type]]="KILL",IF(_xlfn.NUMBERVALUE(RIGHT(Table7[[#This Row],[Min]],LEN(Table7[[#This Row],[Min]])-FIND("-",Table7[[#This Row],[Min]])))&gt;INDIRECT(ADDRESS(11+MATCH(LEFT(Table7[[#This Row],[Min]],FIND("-",Table7[[#This Row],[Min]])-1),Table1[Content Sku],0),16,1,1,"Entities")),"review","ok"),"ok")</f>
        <v>ok</v>
      </c>
      <c r="U793" t="s">
        <v>313</v>
      </c>
      <c r="V793">
        <v>0</v>
      </c>
      <c r="W793">
        <v>0</v>
      </c>
      <c r="X793" t="s">
        <v>8</v>
      </c>
      <c r="Y793" s="74" t="str">
        <f ca="1">IF(Table15[[#This Row],[Type]]="KILL",IF(_xlfn.NUMBERVALUE(RIGHT(Table15[[#This Row],[Min]],LEN(Table15[[#This Row],[Min]])-FIND("-",Table15[[#This Row],[Min]])))&gt;INDIRECT(ADDRESS(11+MATCH(LEFT(Table15[[#This Row],[Min]],FIND("-",Table15[[#This Row],[Min]])-1),Table1[Content Sku],0),16,1,1,"Entities")),"review","ok"),"ok")</f>
        <v>ok</v>
      </c>
      <c r="AK793" t="s">
        <v>574</v>
      </c>
      <c r="AL793">
        <v>0</v>
      </c>
      <c r="AM793">
        <v>0</v>
      </c>
      <c r="AN793" t="s">
        <v>8</v>
      </c>
      <c r="AO793" s="74" t="str">
        <f ca="1">IF(Table20[[#This Row],[Type]]="KILL",IF(_xlfn.NUMBERVALUE(RIGHT(Table20[[#This Row],[Min]],LEN(Table20[[#This Row],[Min]])-FIND("-",Table20[[#This Row],[Min]])))&gt;INDIRECT(ADDRESS(11+MATCH(LEFT(Table20[[#This Row],[Min]],FIND("-",Table20[[#This Row],[Min]])-1),Table1[Content Sku],0),18,1,1,"Entities")),"review","ok"),"ok")</f>
        <v>ok</v>
      </c>
    </row>
    <row r="794" spans="5:41" x14ac:dyDescent="0.25">
      <c r="E794" t="s">
        <v>346</v>
      </c>
      <c r="F794">
        <v>0</v>
      </c>
      <c r="G794">
        <v>0</v>
      </c>
      <c r="H794" t="s">
        <v>8</v>
      </c>
      <c r="I794" s="74" t="str">
        <f ca="1">IF(Table7[[#This Row],[Type]]="KILL",IF(_xlfn.NUMBERVALUE(RIGHT(Table7[[#This Row],[Min]],LEN(Table7[[#This Row],[Min]])-FIND("-",Table7[[#This Row],[Min]])))&gt;INDIRECT(ADDRESS(11+MATCH(LEFT(Table7[[#This Row],[Min]],FIND("-",Table7[[#This Row],[Min]])-1),Table1[Content Sku],0),16,1,1,"Entities")),"review","ok"),"ok")</f>
        <v>ok</v>
      </c>
      <c r="U794" t="s">
        <v>313</v>
      </c>
      <c r="V794">
        <v>25000</v>
      </c>
      <c r="W794">
        <v>0</v>
      </c>
      <c r="X794" t="s">
        <v>205</v>
      </c>
      <c r="Y794" s="74" t="str">
        <f ca="1">IF(Table15[[#This Row],[Type]]="KILL",IF(_xlfn.NUMBERVALUE(RIGHT(Table15[[#This Row],[Min]],LEN(Table15[[#This Row],[Min]])-FIND("-",Table15[[#This Row],[Min]])))&gt;INDIRECT(ADDRESS(11+MATCH(LEFT(Table15[[#This Row],[Min]],FIND("-",Table15[[#This Row],[Min]])-1),Table1[Content Sku],0),16,1,1,"Entities")),"review","ok"),"ok")</f>
        <v>ok</v>
      </c>
      <c r="AK794" t="s">
        <v>8103</v>
      </c>
      <c r="AL794">
        <v>500</v>
      </c>
      <c r="AM794">
        <v>0</v>
      </c>
      <c r="AN794" t="s">
        <v>4431</v>
      </c>
      <c r="AO794" s="74" t="str">
        <f ca="1">IF(Table20[[#This Row],[Type]]="KILL",IF(_xlfn.NUMBERVALUE(RIGHT(Table20[[#This Row],[Min]],LEN(Table20[[#This Row],[Min]])-FIND("-",Table20[[#This Row],[Min]])))&gt;INDIRECT(ADDRESS(11+MATCH(LEFT(Table20[[#This Row],[Min]],FIND("-",Table20[[#This Row],[Min]])-1),Table1[Content Sku],0),18,1,1,"Entities")),"review","ok"),"ok")</f>
        <v>ok</v>
      </c>
    </row>
    <row r="795" spans="5:41" x14ac:dyDescent="0.25">
      <c r="E795" t="s">
        <v>95</v>
      </c>
      <c r="F795">
        <v>36000</v>
      </c>
      <c r="G795">
        <v>0</v>
      </c>
      <c r="H795" t="s">
        <v>205</v>
      </c>
      <c r="I795" s="74" t="str">
        <f ca="1">IF(Table7[[#This Row],[Type]]="KILL",IF(_xlfn.NUMBERVALUE(RIGHT(Table7[[#This Row],[Min]],LEN(Table7[[#This Row],[Min]])-FIND("-",Table7[[#This Row],[Min]])))&gt;INDIRECT(ADDRESS(11+MATCH(LEFT(Table7[[#This Row],[Min]],FIND("-",Table7[[#This Row],[Min]])-1),Table1[Content Sku],0),16,1,1,"Entities")),"review","ok"),"ok")</f>
        <v>ok</v>
      </c>
      <c r="U795" t="s">
        <v>291</v>
      </c>
      <c r="V795">
        <v>0</v>
      </c>
      <c r="W795">
        <v>29000</v>
      </c>
      <c r="X795" t="s">
        <v>205</v>
      </c>
      <c r="Y795" s="74" t="str">
        <f ca="1">IF(Table15[[#This Row],[Type]]="KILL",IF(_xlfn.NUMBERVALUE(RIGHT(Table15[[#This Row],[Min]],LEN(Table15[[#This Row],[Min]])-FIND("-",Table15[[#This Row],[Min]])))&gt;INDIRECT(ADDRESS(11+MATCH(LEFT(Table15[[#This Row],[Min]],FIND("-",Table15[[#This Row],[Min]])-1),Table1[Content Sku],0),16,1,1,"Entities")),"review","ok"),"ok")</f>
        <v>ok</v>
      </c>
      <c r="AK795" t="s">
        <v>578</v>
      </c>
      <c r="AL795">
        <v>0</v>
      </c>
      <c r="AM795">
        <v>0</v>
      </c>
      <c r="AN795" t="s">
        <v>8</v>
      </c>
      <c r="AO795" s="74" t="str">
        <f ca="1">IF(Table20[[#This Row],[Type]]="KILL",IF(_xlfn.NUMBERVALUE(RIGHT(Table20[[#This Row],[Min]],LEN(Table20[[#This Row],[Min]])-FIND("-",Table20[[#This Row],[Min]])))&gt;INDIRECT(ADDRESS(11+MATCH(LEFT(Table20[[#This Row],[Min]],FIND("-",Table20[[#This Row],[Min]])-1),Table1[Content Sku],0),18,1,1,"Entities")),"review","ok"),"ok")</f>
        <v>ok</v>
      </c>
    </row>
    <row r="796" spans="5:41" x14ac:dyDescent="0.25">
      <c r="E796" t="s">
        <v>283</v>
      </c>
      <c r="F796">
        <v>8000</v>
      </c>
      <c r="G796">
        <v>0</v>
      </c>
      <c r="H796" t="s">
        <v>205</v>
      </c>
      <c r="I796" s="74" t="str">
        <f ca="1">IF(Table7[[#This Row],[Type]]="KILL",IF(_xlfn.NUMBERVALUE(RIGHT(Table7[[#This Row],[Min]],LEN(Table7[[#This Row],[Min]])-FIND("-",Table7[[#This Row],[Min]])))&gt;INDIRECT(ADDRESS(11+MATCH(LEFT(Table7[[#This Row],[Min]],FIND("-",Table7[[#This Row],[Min]])-1),Table1[Content Sku],0),16,1,1,"Entities")),"review","ok"),"ok")</f>
        <v>ok</v>
      </c>
      <c r="U796" t="s">
        <v>548</v>
      </c>
      <c r="V796">
        <v>0</v>
      </c>
      <c r="W796">
        <v>0</v>
      </c>
      <c r="X796" t="s">
        <v>8</v>
      </c>
      <c r="Y796" s="74" t="str">
        <f ca="1">IF(Table15[[#This Row],[Type]]="KILL",IF(_xlfn.NUMBERVALUE(RIGHT(Table15[[#This Row],[Min]],LEN(Table15[[#This Row],[Min]])-FIND("-",Table15[[#This Row],[Min]])))&gt;INDIRECT(ADDRESS(11+MATCH(LEFT(Table15[[#This Row],[Min]],FIND("-",Table15[[#This Row],[Min]])-1),Table1[Content Sku],0),16,1,1,"Entities")),"review","ok"),"ok")</f>
        <v>ok</v>
      </c>
      <c r="AK796" t="s">
        <v>37</v>
      </c>
      <c r="AL796">
        <v>0</v>
      </c>
      <c r="AM796">
        <v>0</v>
      </c>
      <c r="AN796" t="s">
        <v>8</v>
      </c>
      <c r="AO796" s="74" t="str">
        <f ca="1">IF(Table20[[#This Row],[Type]]="KILL",IF(_xlfn.NUMBERVALUE(RIGHT(Table20[[#This Row],[Min]],LEN(Table20[[#This Row],[Min]])-FIND("-",Table20[[#This Row],[Min]])))&gt;INDIRECT(ADDRESS(11+MATCH(LEFT(Table20[[#This Row],[Min]],FIND("-",Table20[[#This Row],[Min]])-1),Table1[Content Sku],0),18,1,1,"Entities")),"review","ok"),"ok")</f>
        <v>ok</v>
      </c>
    </row>
    <row r="797" spans="5:41" x14ac:dyDescent="0.25">
      <c r="E797" t="s">
        <v>37</v>
      </c>
      <c r="F797">
        <v>0</v>
      </c>
      <c r="G797">
        <v>0</v>
      </c>
      <c r="H797" t="s">
        <v>8</v>
      </c>
      <c r="I797" s="74" t="str">
        <f ca="1">IF(Table7[[#This Row],[Type]]="KILL",IF(_xlfn.NUMBERVALUE(RIGHT(Table7[[#This Row],[Min]],LEN(Table7[[#This Row],[Min]])-FIND("-",Table7[[#This Row],[Min]])))&gt;INDIRECT(ADDRESS(11+MATCH(LEFT(Table7[[#This Row],[Min]],FIND("-",Table7[[#This Row],[Min]])-1),Table1[Content Sku],0),16,1,1,"Entities")),"review","ok"),"ok")</f>
        <v>ok</v>
      </c>
      <c r="U797" t="s">
        <v>254</v>
      </c>
      <c r="V797">
        <v>0</v>
      </c>
      <c r="W797">
        <v>0</v>
      </c>
      <c r="X797" t="s">
        <v>8</v>
      </c>
      <c r="Y797" s="74" t="str">
        <f ca="1">IF(Table15[[#This Row],[Type]]="KILL",IF(_xlfn.NUMBERVALUE(RIGHT(Table15[[#This Row],[Min]],LEN(Table15[[#This Row],[Min]])-FIND("-",Table15[[#This Row],[Min]])))&gt;INDIRECT(ADDRESS(11+MATCH(LEFT(Table15[[#This Row],[Min]],FIND("-",Table15[[#This Row],[Min]])-1),Table1[Content Sku],0),16,1,1,"Entities")),"review","ok"),"ok")</f>
        <v>ok</v>
      </c>
      <c r="AK797" t="s">
        <v>2741</v>
      </c>
      <c r="AL797">
        <v>0</v>
      </c>
      <c r="AM797">
        <v>0</v>
      </c>
      <c r="AN797" t="s">
        <v>8</v>
      </c>
      <c r="AO797" s="74" t="str">
        <f ca="1">IF(Table20[[#This Row],[Type]]="KILL",IF(_xlfn.NUMBERVALUE(RIGHT(Table20[[#This Row],[Min]],LEN(Table20[[#This Row],[Min]])-FIND("-",Table20[[#This Row],[Min]])))&gt;INDIRECT(ADDRESS(11+MATCH(LEFT(Table20[[#This Row],[Min]],FIND("-",Table20[[#This Row],[Min]])-1),Table1[Content Sku],0),18,1,1,"Entities")),"review","ok"),"ok")</f>
        <v>ok</v>
      </c>
    </row>
    <row r="798" spans="5:41" x14ac:dyDescent="0.25">
      <c r="E798" t="s">
        <v>21</v>
      </c>
      <c r="F798">
        <v>0</v>
      </c>
      <c r="G798">
        <v>0</v>
      </c>
      <c r="H798" t="s">
        <v>8</v>
      </c>
      <c r="I798" s="74" t="str">
        <f ca="1">IF(Table7[[#This Row],[Type]]="KILL",IF(_xlfn.NUMBERVALUE(RIGHT(Table7[[#This Row],[Min]],LEN(Table7[[#This Row],[Min]])-FIND("-",Table7[[#This Row],[Min]])))&gt;INDIRECT(ADDRESS(11+MATCH(LEFT(Table7[[#This Row],[Min]],FIND("-",Table7[[#This Row],[Min]])-1),Table1[Content Sku],0),16,1,1,"Entities")),"review","ok"),"ok")</f>
        <v>ok</v>
      </c>
      <c r="U798" t="s">
        <v>254</v>
      </c>
      <c r="V798">
        <v>0</v>
      </c>
      <c r="W798">
        <v>0</v>
      </c>
      <c r="X798" t="s">
        <v>8</v>
      </c>
      <c r="Y798" s="74" t="str">
        <f ca="1">IF(Table15[[#This Row],[Type]]="KILL",IF(_xlfn.NUMBERVALUE(RIGHT(Table15[[#This Row],[Min]],LEN(Table15[[#This Row],[Min]])-FIND("-",Table15[[#This Row],[Min]])))&gt;INDIRECT(ADDRESS(11+MATCH(LEFT(Table15[[#This Row],[Min]],FIND("-",Table15[[#This Row],[Min]])-1),Table1[Content Sku],0),16,1,1,"Entities")),"review","ok"),"ok")</f>
        <v>ok</v>
      </c>
      <c r="AK798" t="s">
        <v>2670</v>
      </c>
      <c r="AL798">
        <v>0</v>
      </c>
      <c r="AM798">
        <v>0</v>
      </c>
      <c r="AN798" t="s">
        <v>8</v>
      </c>
      <c r="AO798" s="74" t="str">
        <f ca="1">IF(Table20[[#This Row],[Type]]="KILL",IF(_xlfn.NUMBERVALUE(RIGHT(Table20[[#This Row],[Min]],LEN(Table20[[#This Row],[Min]])-FIND("-",Table20[[#This Row],[Min]])))&gt;INDIRECT(ADDRESS(11+MATCH(LEFT(Table20[[#This Row],[Min]],FIND("-",Table20[[#This Row],[Min]])-1),Table1[Content Sku],0),18,1,1,"Entities")),"review","ok"),"ok")</f>
        <v>ok</v>
      </c>
    </row>
    <row r="799" spans="5:41" x14ac:dyDescent="0.25">
      <c r="E799" t="s">
        <v>254</v>
      </c>
      <c r="F799">
        <v>0</v>
      </c>
      <c r="G799">
        <v>15000</v>
      </c>
      <c r="H799" t="s">
        <v>205</v>
      </c>
      <c r="I799" s="74" t="str">
        <f ca="1">IF(Table7[[#This Row],[Type]]="KILL",IF(_xlfn.NUMBERVALUE(RIGHT(Table7[[#This Row],[Min]],LEN(Table7[[#This Row],[Min]])-FIND("-",Table7[[#This Row],[Min]])))&gt;INDIRECT(ADDRESS(11+MATCH(LEFT(Table7[[#This Row],[Min]],FIND("-",Table7[[#This Row],[Min]])-1),Table1[Content Sku],0),16,1,1,"Entities")),"review","ok"),"ok")</f>
        <v>ok</v>
      </c>
      <c r="U799" t="s">
        <v>2736</v>
      </c>
      <c r="V799">
        <v>0</v>
      </c>
      <c r="W799">
        <v>0</v>
      </c>
      <c r="X799" t="s">
        <v>8</v>
      </c>
      <c r="Y799" s="74" t="str">
        <f ca="1">IF(Table15[[#This Row],[Type]]="KILL",IF(_xlfn.NUMBERVALUE(RIGHT(Table15[[#This Row],[Min]],LEN(Table15[[#This Row],[Min]])-FIND("-",Table15[[#This Row],[Min]])))&gt;INDIRECT(ADDRESS(11+MATCH(LEFT(Table15[[#This Row],[Min]],FIND("-",Table15[[#This Row],[Min]])-1),Table1[Content Sku],0),16,1,1,"Entities")),"review","ok"),"ok")</f>
        <v>ok</v>
      </c>
      <c r="AK799" t="s">
        <v>2680</v>
      </c>
      <c r="AL799">
        <v>0</v>
      </c>
      <c r="AM799">
        <v>0</v>
      </c>
      <c r="AN799" t="s">
        <v>8</v>
      </c>
      <c r="AO799" s="74" t="str">
        <f ca="1">IF(Table20[[#This Row],[Type]]="KILL",IF(_xlfn.NUMBERVALUE(RIGHT(Table20[[#This Row],[Min]],LEN(Table20[[#This Row],[Min]])-FIND("-",Table20[[#This Row],[Min]])))&gt;INDIRECT(ADDRESS(11+MATCH(LEFT(Table20[[#This Row],[Min]],FIND("-",Table20[[#This Row],[Min]])-1),Table1[Content Sku],0),18,1,1,"Entities")),"review","ok"),"ok")</f>
        <v>ok</v>
      </c>
    </row>
    <row r="800" spans="5:41" x14ac:dyDescent="0.25">
      <c r="E800" t="s">
        <v>315</v>
      </c>
      <c r="F800">
        <v>6000</v>
      </c>
      <c r="G800">
        <v>0</v>
      </c>
      <c r="H800" t="s">
        <v>205</v>
      </c>
      <c r="I800" s="74" t="str">
        <f ca="1">IF(Table7[[#This Row],[Type]]="KILL",IF(_xlfn.NUMBERVALUE(RIGHT(Table7[[#This Row],[Min]],LEN(Table7[[#This Row],[Min]])-FIND("-",Table7[[#This Row],[Min]])))&gt;INDIRECT(ADDRESS(11+MATCH(LEFT(Table7[[#This Row],[Min]],FIND("-",Table7[[#This Row],[Min]])-1),Table1[Content Sku],0),16,1,1,"Entities")),"review","ok"),"ok")</f>
        <v>ok</v>
      </c>
      <c r="U800" t="s">
        <v>254</v>
      </c>
      <c r="V800">
        <v>15000</v>
      </c>
      <c r="W800">
        <v>0</v>
      </c>
      <c r="X800" t="s">
        <v>205</v>
      </c>
      <c r="Y800" s="74" t="str">
        <f ca="1">IF(Table15[[#This Row],[Type]]="KILL",IF(_xlfn.NUMBERVALUE(RIGHT(Table15[[#This Row],[Min]],LEN(Table15[[#This Row],[Min]])-FIND("-",Table15[[#This Row],[Min]])))&gt;INDIRECT(ADDRESS(11+MATCH(LEFT(Table15[[#This Row],[Min]],FIND("-",Table15[[#This Row],[Min]])-1),Table1[Content Sku],0),16,1,1,"Entities")),"review","ok"),"ok")</f>
        <v>ok</v>
      </c>
      <c r="AK800" t="s">
        <v>578</v>
      </c>
      <c r="AL800">
        <v>0</v>
      </c>
      <c r="AM800">
        <v>0</v>
      </c>
      <c r="AN800" t="s">
        <v>8</v>
      </c>
      <c r="AO800" s="74" t="str">
        <f ca="1">IF(Table20[[#This Row],[Type]]="KILL",IF(_xlfn.NUMBERVALUE(RIGHT(Table20[[#This Row],[Min]],LEN(Table20[[#This Row],[Min]])-FIND("-",Table20[[#This Row],[Min]])))&gt;INDIRECT(ADDRESS(11+MATCH(LEFT(Table20[[#This Row],[Min]],FIND("-",Table20[[#This Row],[Min]])-1),Table1[Content Sku],0),18,1,1,"Entities")),"review","ok"),"ok")</f>
        <v>ok</v>
      </c>
    </row>
    <row r="801" spans="5:41" x14ac:dyDescent="0.25">
      <c r="E801" t="s">
        <v>137</v>
      </c>
      <c r="F801">
        <v>0</v>
      </c>
      <c r="G801">
        <v>0</v>
      </c>
      <c r="H801" t="s">
        <v>8</v>
      </c>
      <c r="I801" s="74" t="str">
        <f ca="1">IF(Table7[[#This Row],[Type]]="KILL",IF(_xlfn.NUMBERVALUE(RIGHT(Table7[[#This Row],[Min]],LEN(Table7[[#This Row],[Min]])-FIND("-",Table7[[#This Row],[Min]])))&gt;INDIRECT(ADDRESS(11+MATCH(LEFT(Table7[[#This Row],[Min]],FIND("-",Table7[[#This Row],[Min]])-1),Table1[Content Sku],0),16,1,1,"Entities")),"review","ok"),"ok")</f>
        <v>ok</v>
      </c>
      <c r="U801" t="s">
        <v>392</v>
      </c>
      <c r="V801">
        <v>0</v>
      </c>
      <c r="W801">
        <v>0</v>
      </c>
      <c r="X801" t="s">
        <v>8</v>
      </c>
      <c r="Y801" s="74" t="str">
        <f ca="1">IF(Table15[[#This Row],[Type]]="KILL",IF(_xlfn.NUMBERVALUE(RIGHT(Table15[[#This Row],[Min]],LEN(Table15[[#This Row],[Min]])-FIND("-",Table15[[#This Row],[Min]])))&gt;INDIRECT(ADDRESS(11+MATCH(LEFT(Table15[[#This Row],[Min]],FIND("-",Table15[[#This Row],[Min]])-1),Table1[Content Sku],0),16,1,1,"Entities")),"review","ok"),"ok")</f>
        <v>ok</v>
      </c>
      <c r="AK801" t="s">
        <v>412</v>
      </c>
      <c r="AL801">
        <v>0</v>
      </c>
      <c r="AM801">
        <v>0</v>
      </c>
      <c r="AN801" t="s">
        <v>8</v>
      </c>
      <c r="AO801" s="74" t="str">
        <f ca="1">IF(Table20[[#This Row],[Type]]="KILL",IF(_xlfn.NUMBERVALUE(RIGHT(Table20[[#This Row],[Min]],LEN(Table20[[#This Row],[Min]])-FIND("-",Table20[[#This Row],[Min]])))&gt;INDIRECT(ADDRESS(11+MATCH(LEFT(Table20[[#This Row],[Min]],FIND("-",Table20[[#This Row],[Min]])-1),Table1[Content Sku],0),18,1,1,"Entities")),"review","ok"),"ok")</f>
        <v>ok</v>
      </c>
    </row>
    <row r="802" spans="5:41" x14ac:dyDescent="0.25">
      <c r="E802" t="s">
        <v>122</v>
      </c>
      <c r="F802">
        <v>0</v>
      </c>
      <c r="G802">
        <v>0</v>
      </c>
      <c r="H802" t="s">
        <v>8</v>
      </c>
      <c r="I802" s="74" t="str">
        <f ca="1">IF(Table7[[#This Row],[Type]]="KILL",IF(_xlfn.NUMBERVALUE(RIGHT(Table7[[#This Row],[Min]],LEN(Table7[[#This Row],[Min]])-FIND("-",Table7[[#This Row],[Min]])))&gt;INDIRECT(ADDRESS(11+MATCH(LEFT(Table7[[#This Row],[Min]],FIND("-",Table7[[#This Row],[Min]])-1),Table1[Content Sku],0),16,1,1,"Entities")),"review","ok"),"ok")</f>
        <v>ok</v>
      </c>
      <c r="U802" t="s">
        <v>39</v>
      </c>
      <c r="V802">
        <v>0</v>
      </c>
      <c r="W802">
        <v>0</v>
      </c>
      <c r="X802" t="s">
        <v>8</v>
      </c>
      <c r="Y802" s="74" t="str">
        <f ca="1">IF(Table15[[#This Row],[Type]]="KILL",IF(_xlfn.NUMBERVALUE(RIGHT(Table15[[#This Row],[Min]],LEN(Table15[[#This Row],[Min]])-FIND("-",Table15[[#This Row],[Min]])))&gt;INDIRECT(ADDRESS(11+MATCH(LEFT(Table15[[#This Row],[Min]],FIND("-",Table15[[#This Row],[Min]])-1),Table1[Content Sku],0),16,1,1,"Entities")),"review","ok"),"ok")</f>
        <v>ok</v>
      </c>
      <c r="AK802" t="s">
        <v>39</v>
      </c>
      <c r="AL802">
        <v>0</v>
      </c>
      <c r="AM802">
        <v>28000</v>
      </c>
      <c r="AN802" t="s">
        <v>205</v>
      </c>
      <c r="AO802" s="74" t="str">
        <f ca="1">IF(Table20[[#This Row],[Type]]="KILL",IF(_xlfn.NUMBERVALUE(RIGHT(Table20[[#This Row],[Min]],LEN(Table20[[#This Row],[Min]])-FIND("-",Table20[[#This Row],[Min]])))&gt;INDIRECT(ADDRESS(11+MATCH(LEFT(Table20[[#This Row],[Min]],FIND("-",Table20[[#This Row],[Min]])-1),Table1[Content Sku],0),18,1,1,"Entities")),"review","ok"),"ok")</f>
        <v>ok</v>
      </c>
    </row>
    <row r="803" spans="5:41" x14ac:dyDescent="0.25">
      <c r="E803" t="s">
        <v>313</v>
      </c>
      <c r="F803">
        <v>4000</v>
      </c>
      <c r="G803">
        <v>0</v>
      </c>
      <c r="H803" t="s">
        <v>205</v>
      </c>
      <c r="I803" s="74" t="str">
        <f ca="1">IF(Table7[[#This Row],[Type]]="KILL",IF(_xlfn.NUMBERVALUE(RIGHT(Table7[[#This Row],[Min]],LEN(Table7[[#This Row],[Min]])-FIND("-",Table7[[#This Row],[Min]])))&gt;INDIRECT(ADDRESS(11+MATCH(LEFT(Table7[[#This Row],[Min]],FIND("-",Table7[[#This Row],[Min]])-1),Table1[Content Sku],0),16,1,1,"Entities")),"review","ok"),"ok")</f>
        <v>ok</v>
      </c>
      <c r="U803" t="s">
        <v>1</v>
      </c>
      <c r="V803">
        <v>0</v>
      </c>
      <c r="W803">
        <v>0</v>
      </c>
      <c r="X803" t="s">
        <v>8</v>
      </c>
      <c r="Y803" s="74" t="str">
        <f ca="1">IF(Table15[[#This Row],[Type]]="KILL",IF(_xlfn.NUMBERVALUE(RIGHT(Table15[[#This Row],[Min]],LEN(Table15[[#This Row],[Min]])-FIND("-",Table15[[#This Row],[Min]])))&gt;INDIRECT(ADDRESS(11+MATCH(LEFT(Table15[[#This Row],[Min]],FIND("-",Table15[[#This Row],[Min]])-1),Table1[Content Sku],0),16,1,1,"Entities")),"review","ok"),"ok")</f>
        <v>ok</v>
      </c>
      <c r="AK803" t="s">
        <v>2662</v>
      </c>
      <c r="AL803">
        <v>30000</v>
      </c>
      <c r="AM803">
        <v>0</v>
      </c>
      <c r="AN803" t="s">
        <v>205</v>
      </c>
      <c r="AO803" s="74" t="str">
        <f ca="1">IF(Table20[[#This Row],[Type]]="KILL",IF(_xlfn.NUMBERVALUE(RIGHT(Table20[[#This Row],[Min]],LEN(Table20[[#This Row],[Min]])-FIND("-",Table20[[#This Row],[Min]])))&gt;INDIRECT(ADDRESS(11+MATCH(LEFT(Table20[[#This Row],[Min]],FIND("-",Table20[[#This Row],[Min]])-1),Table1[Content Sku],0),18,1,1,"Entities")),"review","ok"),"ok")</f>
        <v>ok</v>
      </c>
    </row>
    <row r="804" spans="5:41" x14ac:dyDescent="0.25">
      <c r="E804" t="s">
        <v>418</v>
      </c>
      <c r="F804">
        <v>0</v>
      </c>
      <c r="G804">
        <v>0</v>
      </c>
      <c r="H804" t="s">
        <v>8</v>
      </c>
      <c r="I804" s="74" t="str">
        <f ca="1">IF(Table7[[#This Row],[Type]]="KILL",IF(_xlfn.NUMBERVALUE(RIGHT(Table7[[#This Row],[Min]],LEN(Table7[[#This Row],[Min]])-FIND("-",Table7[[#This Row],[Min]])))&gt;INDIRECT(ADDRESS(11+MATCH(LEFT(Table7[[#This Row],[Min]],FIND("-",Table7[[#This Row],[Min]])-1),Table1[Content Sku],0),16,1,1,"Entities")),"review","ok"),"ok")</f>
        <v>ok</v>
      </c>
      <c r="U804" t="s">
        <v>122</v>
      </c>
      <c r="V804">
        <v>0</v>
      </c>
      <c r="W804">
        <v>0</v>
      </c>
      <c r="X804" t="s">
        <v>8</v>
      </c>
      <c r="Y804" s="74" t="str">
        <f ca="1">IF(Table15[[#This Row],[Type]]="KILL",IF(_xlfn.NUMBERVALUE(RIGHT(Table15[[#This Row],[Min]],LEN(Table15[[#This Row],[Min]])-FIND("-",Table15[[#This Row],[Min]])))&gt;INDIRECT(ADDRESS(11+MATCH(LEFT(Table15[[#This Row],[Min]],FIND("-",Table15[[#This Row],[Min]])-1),Table1[Content Sku],0),16,1,1,"Entities")),"review","ok"),"ok")</f>
        <v>ok</v>
      </c>
      <c r="AK804" t="s">
        <v>2741</v>
      </c>
      <c r="AL804">
        <v>0</v>
      </c>
      <c r="AM804">
        <v>0</v>
      </c>
      <c r="AN804" t="s">
        <v>8</v>
      </c>
      <c r="AO804" s="74" t="str">
        <f ca="1">IF(Table20[[#This Row],[Type]]="KILL",IF(_xlfn.NUMBERVALUE(RIGHT(Table20[[#This Row],[Min]],LEN(Table20[[#This Row],[Min]])-FIND("-",Table20[[#This Row],[Min]])))&gt;INDIRECT(ADDRESS(11+MATCH(LEFT(Table20[[#This Row],[Min]],FIND("-",Table20[[#This Row],[Min]])-1),Table1[Content Sku],0),18,1,1,"Entities")),"review","ok"),"ok")</f>
        <v>ok</v>
      </c>
    </row>
    <row r="805" spans="5:41" x14ac:dyDescent="0.25">
      <c r="E805" t="s">
        <v>313</v>
      </c>
      <c r="F805">
        <v>5000</v>
      </c>
      <c r="G805">
        <v>0</v>
      </c>
      <c r="H805" t="s">
        <v>205</v>
      </c>
      <c r="I805" s="74" t="str">
        <f ca="1">IF(Table7[[#This Row],[Type]]="KILL",IF(_xlfn.NUMBERVALUE(RIGHT(Table7[[#This Row],[Min]],LEN(Table7[[#This Row],[Min]])-FIND("-",Table7[[#This Row],[Min]])))&gt;INDIRECT(ADDRESS(11+MATCH(LEFT(Table7[[#This Row],[Min]],FIND("-",Table7[[#This Row],[Min]])-1),Table1[Content Sku],0),16,1,1,"Entities")),"review","ok"),"ok")</f>
        <v>ok</v>
      </c>
      <c r="U805" t="s">
        <v>17</v>
      </c>
      <c r="V805">
        <v>0</v>
      </c>
      <c r="W805">
        <v>19000</v>
      </c>
      <c r="X805" t="s">
        <v>205</v>
      </c>
      <c r="Y805" s="74" t="str">
        <f ca="1">IF(Table15[[#This Row],[Type]]="KILL",IF(_xlfn.NUMBERVALUE(RIGHT(Table15[[#This Row],[Min]],LEN(Table15[[#This Row],[Min]])-FIND("-",Table15[[#This Row],[Min]])))&gt;INDIRECT(ADDRESS(11+MATCH(LEFT(Table15[[#This Row],[Min]],FIND("-",Table15[[#This Row],[Min]])-1),Table1[Content Sku],0),16,1,1,"Entities")),"review","ok"),"ok")</f>
        <v>ok</v>
      </c>
      <c r="AK805" t="s">
        <v>2664</v>
      </c>
      <c r="AL805">
        <v>0</v>
      </c>
      <c r="AM805">
        <v>0</v>
      </c>
      <c r="AN805" t="s">
        <v>8</v>
      </c>
      <c r="AO805" s="74" t="str">
        <f ca="1">IF(Table20[[#This Row],[Type]]="KILL",IF(_xlfn.NUMBERVALUE(RIGHT(Table20[[#This Row],[Min]],LEN(Table20[[#This Row],[Min]])-FIND("-",Table20[[#This Row],[Min]])))&gt;INDIRECT(ADDRESS(11+MATCH(LEFT(Table20[[#This Row],[Min]],FIND("-",Table20[[#This Row],[Min]])-1),Table1[Content Sku],0),18,1,1,"Entities")),"review","ok"),"ok")</f>
        <v>ok</v>
      </c>
    </row>
    <row r="806" spans="5:41" x14ac:dyDescent="0.25">
      <c r="E806" t="s">
        <v>280</v>
      </c>
      <c r="F806">
        <v>0</v>
      </c>
      <c r="G806">
        <v>0</v>
      </c>
      <c r="H806" t="s">
        <v>8</v>
      </c>
      <c r="I806" s="74" t="str">
        <f ca="1">IF(Table7[[#This Row],[Type]]="KILL",IF(_xlfn.NUMBERVALUE(RIGHT(Table7[[#This Row],[Min]],LEN(Table7[[#This Row],[Min]])-FIND("-",Table7[[#This Row],[Min]])))&gt;INDIRECT(ADDRESS(11+MATCH(LEFT(Table7[[#This Row],[Min]],FIND("-",Table7[[#This Row],[Min]])-1),Table1[Content Sku],0),16,1,1,"Entities")),"review","ok"),"ok")</f>
        <v>ok</v>
      </c>
      <c r="U806" t="s">
        <v>286</v>
      </c>
      <c r="V806">
        <v>0</v>
      </c>
      <c r="W806">
        <v>0</v>
      </c>
      <c r="X806" t="s">
        <v>8</v>
      </c>
      <c r="Y806" s="74" t="str">
        <f ca="1">IF(Table15[[#This Row],[Type]]="KILL",IF(_xlfn.NUMBERVALUE(RIGHT(Table15[[#This Row],[Min]],LEN(Table15[[#This Row],[Min]])-FIND("-",Table15[[#This Row],[Min]])))&gt;INDIRECT(ADDRESS(11+MATCH(LEFT(Table15[[#This Row],[Min]],FIND("-",Table15[[#This Row],[Min]])-1),Table1[Content Sku],0),16,1,1,"Entities")),"review","ok"),"ok")</f>
        <v>ok</v>
      </c>
      <c r="AK806" t="s">
        <v>313</v>
      </c>
      <c r="AL806">
        <v>0</v>
      </c>
      <c r="AM806">
        <v>20000</v>
      </c>
      <c r="AN806" t="s">
        <v>205</v>
      </c>
      <c r="AO806" s="74" t="str">
        <f ca="1">IF(Table20[[#This Row],[Type]]="KILL",IF(_xlfn.NUMBERVALUE(RIGHT(Table20[[#This Row],[Min]],LEN(Table20[[#This Row],[Min]])-FIND("-",Table20[[#This Row],[Min]])))&gt;INDIRECT(ADDRESS(11+MATCH(LEFT(Table20[[#This Row],[Min]],FIND("-",Table20[[#This Row],[Min]])-1),Table1[Content Sku],0),18,1,1,"Entities")),"review","ok"),"ok")</f>
        <v>ok</v>
      </c>
    </row>
    <row r="807" spans="5:41" x14ac:dyDescent="0.25">
      <c r="E807" t="s">
        <v>254</v>
      </c>
      <c r="F807">
        <v>0</v>
      </c>
      <c r="G807">
        <v>0</v>
      </c>
      <c r="H807" t="s">
        <v>8</v>
      </c>
      <c r="I807" s="74" t="str">
        <f ca="1">IF(Table7[[#This Row],[Type]]="KILL",IF(_xlfn.NUMBERVALUE(RIGHT(Table7[[#This Row],[Min]],LEN(Table7[[#This Row],[Min]])-FIND("-",Table7[[#This Row],[Min]])))&gt;INDIRECT(ADDRESS(11+MATCH(LEFT(Table7[[#This Row],[Min]],FIND("-",Table7[[#This Row],[Min]])-1),Table1[Content Sku],0),16,1,1,"Entities")),"review","ok"),"ok")</f>
        <v>ok</v>
      </c>
      <c r="U807" t="s">
        <v>545</v>
      </c>
      <c r="V807">
        <v>0</v>
      </c>
      <c r="W807">
        <v>0</v>
      </c>
      <c r="X807" t="s">
        <v>8</v>
      </c>
      <c r="Y807" s="74" t="str">
        <f ca="1">IF(Table15[[#This Row],[Type]]="KILL",IF(_xlfn.NUMBERVALUE(RIGHT(Table15[[#This Row],[Min]],LEN(Table15[[#This Row],[Min]])-FIND("-",Table15[[#This Row],[Min]])))&gt;INDIRECT(ADDRESS(11+MATCH(LEFT(Table15[[#This Row],[Min]],FIND("-",Table15[[#This Row],[Min]])-1),Table1[Content Sku],0),16,1,1,"Entities")),"review","ok"),"ok")</f>
        <v>ok</v>
      </c>
      <c r="AK807" t="s">
        <v>2670</v>
      </c>
      <c r="AL807">
        <v>0</v>
      </c>
      <c r="AM807">
        <v>0</v>
      </c>
      <c r="AN807" t="s">
        <v>8</v>
      </c>
      <c r="AO807" s="74" t="str">
        <f ca="1">IF(Table20[[#This Row],[Type]]="KILL",IF(_xlfn.NUMBERVALUE(RIGHT(Table20[[#This Row],[Min]],LEN(Table20[[#This Row],[Min]])-FIND("-",Table20[[#This Row],[Min]])))&gt;INDIRECT(ADDRESS(11+MATCH(LEFT(Table20[[#This Row],[Min]],FIND("-",Table20[[#This Row],[Min]])-1),Table1[Content Sku],0),18,1,1,"Entities")),"review","ok"),"ok")</f>
        <v>ok</v>
      </c>
    </row>
    <row r="808" spans="5:41" x14ac:dyDescent="0.25">
      <c r="E808" t="s">
        <v>280</v>
      </c>
      <c r="F808">
        <v>0</v>
      </c>
      <c r="G808">
        <v>0</v>
      </c>
      <c r="H808" t="s">
        <v>8</v>
      </c>
      <c r="I808" s="74" t="str">
        <f ca="1">IF(Table7[[#This Row],[Type]]="KILL",IF(_xlfn.NUMBERVALUE(RIGHT(Table7[[#This Row],[Min]],LEN(Table7[[#This Row],[Min]])-FIND("-",Table7[[#This Row],[Min]])))&gt;INDIRECT(ADDRESS(11+MATCH(LEFT(Table7[[#This Row],[Min]],FIND("-",Table7[[#This Row],[Min]])-1),Table1[Content Sku],0),16,1,1,"Entities")),"review","ok"),"ok")</f>
        <v>ok</v>
      </c>
      <c r="U808" t="s">
        <v>36</v>
      </c>
      <c r="V808">
        <v>14000</v>
      </c>
      <c r="W808">
        <v>0</v>
      </c>
      <c r="X808" t="s">
        <v>205</v>
      </c>
      <c r="Y808" s="74" t="str">
        <f ca="1">IF(Table15[[#This Row],[Type]]="KILL",IF(_xlfn.NUMBERVALUE(RIGHT(Table15[[#This Row],[Min]],LEN(Table15[[#This Row],[Min]])-FIND("-",Table15[[#This Row],[Min]])))&gt;INDIRECT(ADDRESS(11+MATCH(LEFT(Table15[[#This Row],[Min]],FIND("-",Table15[[#This Row],[Min]])-1),Table1[Content Sku],0),16,1,1,"Entities")),"review","ok"),"ok")</f>
        <v>ok</v>
      </c>
      <c r="AK808" t="s">
        <v>548</v>
      </c>
      <c r="AL808">
        <v>0</v>
      </c>
      <c r="AM808">
        <v>0</v>
      </c>
      <c r="AN808" t="s">
        <v>8</v>
      </c>
      <c r="AO808" s="74" t="str">
        <f ca="1">IF(Table20[[#This Row],[Type]]="KILL",IF(_xlfn.NUMBERVALUE(RIGHT(Table20[[#This Row],[Min]],LEN(Table20[[#This Row],[Min]])-FIND("-",Table20[[#This Row],[Min]])))&gt;INDIRECT(ADDRESS(11+MATCH(LEFT(Table20[[#This Row],[Min]],FIND("-",Table20[[#This Row],[Min]])-1),Table1[Content Sku],0),18,1,1,"Entities")),"review","ok"),"ok")</f>
        <v>ok</v>
      </c>
    </row>
    <row r="809" spans="5:41" x14ac:dyDescent="0.25">
      <c r="E809" t="s">
        <v>346</v>
      </c>
      <c r="F809">
        <v>25000</v>
      </c>
      <c r="G809">
        <v>0</v>
      </c>
      <c r="H809" t="s">
        <v>205</v>
      </c>
      <c r="I809" s="74" t="str">
        <f ca="1">IF(Table7[[#This Row],[Type]]="KILL",IF(_xlfn.NUMBERVALUE(RIGHT(Table7[[#This Row],[Min]],LEN(Table7[[#This Row],[Min]])-FIND("-",Table7[[#This Row],[Min]])))&gt;INDIRECT(ADDRESS(11+MATCH(LEFT(Table7[[#This Row],[Min]],FIND("-",Table7[[#This Row],[Min]])-1),Table1[Content Sku],0),16,1,1,"Entities")),"review","ok"),"ok")</f>
        <v>ok</v>
      </c>
      <c r="U809" t="s">
        <v>254</v>
      </c>
      <c r="V809">
        <v>0</v>
      </c>
      <c r="W809">
        <v>0</v>
      </c>
      <c r="X809" t="s">
        <v>8</v>
      </c>
      <c r="Y809" s="74" t="str">
        <f ca="1">IF(Table15[[#This Row],[Type]]="KILL",IF(_xlfn.NUMBERVALUE(RIGHT(Table15[[#This Row],[Min]],LEN(Table15[[#This Row],[Min]])-FIND("-",Table15[[#This Row],[Min]])))&gt;INDIRECT(ADDRESS(11+MATCH(LEFT(Table15[[#This Row],[Min]],FIND("-",Table15[[#This Row],[Min]])-1),Table1[Content Sku],0),16,1,1,"Entities")),"review","ok"),"ok")</f>
        <v>ok</v>
      </c>
      <c r="AK809" t="s">
        <v>37</v>
      </c>
      <c r="AL809">
        <v>0</v>
      </c>
      <c r="AM809">
        <v>29000</v>
      </c>
      <c r="AN809" t="s">
        <v>205</v>
      </c>
      <c r="AO809" s="74" t="str">
        <f ca="1">IF(Table20[[#This Row],[Type]]="KILL",IF(_xlfn.NUMBERVALUE(RIGHT(Table20[[#This Row],[Min]],LEN(Table20[[#This Row],[Min]])-FIND("-",Table20[[#This Row],[Min]])))&gt;INDIRECT(ADDRESS(11+MATCH(LEFT(Table20[[#This Row],[Min]],FIND("-",Table20[[#This Row],[Min]])-1),Table1[Content Sku],0),18,1,1,"Entities")),"review","ok"),"ok")</f>
        <v>ok</v>
      </c>
    </row>
    <row r="810" spans="5:41" x14ac:dyDescent="0.25">
      <c r="E810" t="s">
        <v>346</v>
      </c>
      <c r="F810">
        <v>0</v>
      </c>
      <c r="G810">
        <v>0</v>
      </c>
      <c r="H810" t="s">
        <v>8</v>
      </c>
      <c r="I810" s="74" t="str">
        <f ca="1">IF(Table7[[#This Row],[Type]]="KILL",IF(_xlfn.NUMBERVALUE(RIGHT(Table7[[#This Row],[Min]],LEN(Table7[[#This Row],[Min]])-FIND("-",Table7[[#This Row],[Min]])))&gt;INDIRECT(ADDRESS(11+MATCH(LEFT(Table7[[#This Row],[Min]],FIND("-",Table7[[#This Row],[Min]])-1),Table1[Content Sku],0),16,1,1,"Entities")),"review","ok"),"ok")</f>
        <v>ok</v>
      </c>
      <c r="U810" t="s">
        <v>254</v>
      </c>
      <c r="V810">
        <v>0</v>
      </c>
      <c r="W810">
        <v>0</v>
      </c>
      <c r="X810" t="s">
        <v>8</v>
      </c>
      <c r="Y810" s="74" t="str">
        <f ca="1">IF(Table15[[#This Row],[Type]]="KILL",IF(_xlfn.NUMBERVALUE(RIGHT(Table15[[#This Row],[Min]],LEN(Table15[[#This Row],[Min]])-FIND("-",Table15[[#This Row],[Min]])))&gt;INDIRECT(ADDRESS(11+MATCH(LEFT(Table15[[#This Row],[Min]],FIND("-",Table15[[#This Row],[Min]])-1),Table1[Content Sku],0),16,1,1,"Entities")),"review","ok"),"ok")</f>
        <v>ok</v>
      </c>
      <c r="AK810" t="s">
        <v>258</v>
      </c>
      <c r="AL810">
        <v>45000</v>
      </c>
      <c r="AM810">
        <v>0</v>
      </c>
      <c r="AN810" t="s">
        <v>205</v>
      </c>
      <c r="AO810" s="74" t="str">
        <f ca="1">IF(Table20[[#This Row],[Type]]="KILL",IF(_xlfn.NUMBERVALUE(RIGHT(Table20[[#This Row],[Min]],LEN(Table20[[#This Row],[Min]])-FIND("-",Table20[[#This Row],[Min]])))&gt;INDIRECT(ADDRESS(11+MATCH(LEFT(Table20[[#This Row],[Min]],FIND("-",Table20[[#This Row],[Min]])-1),Table1[Content Sku],0),18,1,1,"Entities")),"review","ok"),"ok")</f>
        <v>ok</v>
      </c>
    </row>
    <row r="811" spans="5:41" x14ac:dyDescent="0.25">
      <c r="E811" t="s">
        <v>278</v>
      </c>
      <c r="F811">
        <v>0</v>
      </c>
      <c r="G811">
        <v>0</v>
      </c>
      <c r="H811" t="s">
        <v>8</v>
      </c>
      <c r="I811" s="74" t="str">
        <f ca="1">IF(Table7[[#This Row],[Type]]="KILL",IF(_xlfn.NUMBERVALUE(RIGHT(Table7[[#This Row],[Min]],LEN(Table7[[#This Row],[Min]])-FIND("-",Table7[[#This Row],[Min]])))&gt;INDIRECT(ADDRESS(11+MATCH(LEFT(Table7[[#This Row],[Min]],FIND("-",Table7[[#This Row],[Min]])-1),Table1[Content Sku],0),16,1,1,"Entities")),"review","ok"),"ok")</f>
        <v>ok</v>
      </c>
      <c r="U811" t="s">
        <v>39</v>
      </c>
      <c r="V811">
        <v>0</v>
      </c>
      <c r="W811">
        <v>0</v>
      </c>
      <c r="X811" t="s">
        <v>8</v>
      </c>
      <c r="Y811" s="74" t="str">
        <f ca="1">IF(Table15[[#This Row],[Type]]="KILL",IF(_xlfn.NUMBERVALUE(RIGHT(Table15[[#This Row],[Min]],LEN(Table15[[#This Row],[Min]])-FIND("-",Table15[[#This Row],[Min]])))&gt;INDIRECT(ADDRESS(11+MATCH(LEFT(Table15[[#This Row],[Min]],FIND("-",Table15[[#This Row],[Min]])-1),Table1[Content Sku],0),16,1,1,"Entities")),"review","ok"),"ok")</f>
        <v>ok</v>
      </c>
      <c r="AK811" t="s">
        <v>2679</v>
      </c>
      <c r="AL811">
        <v>0</v>
      </c>
      <c r="AM811">
        <v>0</v>
      </c>
      <c r="AN811" t="s">
        <v>8</v>
      </c>
      <c r="AO811" s="74" t="str">
        <f ca="1">IF(Table20[[#This Row],[Type]]="KILL",IF(_xlfn.NUMBERVALUE(RIGHT(Table20[[#This Row],[Min]],LEN(Table20[[#This Row],[Min]])-FIND("-",Table20[[#This Row],[Min]])))&gt;INDIRECT(ADDRESS(11+MATCH(LEFT(Table20[[#This Row],[Min]],FIND("-",Table20[[#This Row],[Min]])-1),Table1[Content Sku],0),18,1,1,"Entities")),"review","ok"),"ok")</f>
        <v>ok</v>
      </c>
    </row>
    <row r="812" spans="5:41" x14ac:dyDescent="0.25">
      <c r="E812" t="s">
        <v>91</v>
      </c>
      <c r="F812">
        <v>0</v>
      </c>
      <c r="G812">
        <v>0</v>
      </c>
      <c r="H812" t="s">
        <v>8</v>
      </c>
      <c r="I812" s="74" t="str">
        <f ca="1">IF(Table7[[#This Row],[Type]]="KILL",IF(_xlfn.NUMBERVALUE(RIGHT(Table7[[#This Row],[Min]],LEN(Table7[[#This Row],[Min]])-FIND("-",Table7[[#This Row],[Min]])))&gt;INDIRECT(ADDRESS(11+MATCH(LEFT(Table7[[#This Row],[Min]],FIND("-",Table7[[#This Row],[Min]])-1),Table1[Content Sku],0),16,1,1,"Entities")),"review","ok"),"ok")</f>
        <v>ok</v>
      </c>
      <c r="U812" t="s">
        <v>254</v>
      </c>
      <c r="V812">
        <v>0</v>
      </c>
      <c r="W812">
        <v>0</v>
      </c>
      <c r="X812" t="s">
        <v>8</v>
      </c>
      <c r="Y812" s="74" t="str">
        <f ca="1">IF(Table15[[#This Row],[Type]]="KILL",IF(_xlfn.NUMBERVALUE(RIGHT(Table15[[#This Row],[Min]],LEN(Table15[[#This Row],[Min]])-FIND("-",Table15[[#This Row],[Min]])))&gt;INDIRECT(ADDRESS(11+MATCH(LEFT(Table15[[#This Row],[Min]],FIND("-",Table15[[#This Row],[Min]])-1),Table1[Content Sku],0),16,1,1,"Entities")),"review","ok"),"ok")</f>
        <v>ok</v>
      </c>
      <c r="AK812" t="s">
        <v>540</v>
      </c>
      <c r="AL812">
        <v>0</v>
      </c>
      <c r="AM812">
        <v>0</v>
      </c>
      <c r="AN812" t="s">
        <v>8</v>
      </c>
      <c r="AO812" s="74" t="str">
        <f ca="1">IF(Table20[[#This Row],[Type]]="KILL",IF(_xlfn.NUMBERVALUE(RIGHT(Table20[[#This Row],[Min]],LEN(Table20[[#This Row],[Min]])-FIND("-",Table20[[#This Row],[Min]])))&gt;INDIRECT(ADDRESS(11+MATCH(LEFT(Table20[[#This Row],[Min]],FIND("-",Table20[[#This Row],[Min]])-1),Table1[Content Sku],0),18,1,1,"Entities")),"review","ok"),"ok")</f>
        <v>ok</v>
      </c>
    </row>
    <row r="813" spans="5:41" x14ac:dyDescent="0.25">
      <c r="E813" t="s">
        <v>45</v>
      </c>
      <c r="F813">
        <v>0</v>
      </c>
      <c r="G813">
        <v>0</v>
      </c>
      <c r="H813" t="s">
        <v>8</v>
      </c>
      <c r="I813" s="74" t="str">
        <f ca="1">IF(Table7[[#This Row],[Type]]="KILL",IF(_xlfn.NUMBERVALUE(RIGHT(Table7[[#This Row],[Min]],LEN(Table7[[#This Row],[Min]])-FIND("-",Table7[[#This Row],[Min]])))&gt;INDIRECT(ADDRESS(11+MATCH(LEFT(Table7[[#This Row],[Min]],FIND("-",Table7[[#This Row],[Min]])-1),Table1[Content Sku],0),16,1,1,"Entities")),"review","ok"),"ok")</f>
        <v>ok</v>
      </c>
      <c r="U813" t="s">
        <v>254</v>
      </c>
      <c r="V813">
        <v>0</v>
      </c>
      <c r="W813">
        <v>0</v>
      </c>
      <c r="X813" t="s">
        <v>8</v>
      </c>
      <c r="Y813" s="74" t="str">
        <f ca="1">IF(Table15[[#This Row],[Type]]="KILL",IF(_xlfn.NUMBERVALUE(RIGHT(Table15[[#This Row],[Min]],LEN(Table15[[#This Row],[Min]])-FIND("-",Table15[[#This Row],[Min]])))&gt;INDIRECT(ADDRESS(11+MATCH(LEFT(Table15[[#This Row],[Min]],FIND("-",Table15[[#This Row],[Min]])-1),Table1[Content Sku],0),16,1,1,"Entities")),"review","ok"),"ok")</f>
        <v>ok</v>
      </c>
      <c r="AK813" t="s">
        <v>2662</v>
      </c>
      <c r="AL813" t="s">
        <v>4475</v>
      </c>
      <c r="AM813" t="s">
        <v>4467</v>
      </c>
      <c r="AN813" t="s">
        <v>4468</v>
      </c>
      <c r="AO813" s="74" t="str">
        <f ca="1">IF(Table20[[#This Row],[Type]]="KILL",IF(_xlfn.NUMBERVALUE(RIGHT(Table20[[#This Row],[Min]],LEN(Table20[[#This Row],[Min]])-FIND("-",Table20[[#This Row],[Min]])))&gt;INDIRECT(ADDRESS(11+MATCH(LEFT(Table20[[#This Row],[Min]],FIND("-",Table20[[#This Row],[Min]])-1),Table1[Content Sku],0),18,1,1,"Entities")),"review","ok"),"ok")</f>
        <v>ok</v>
      </c>
    </row>
    <row r="814" spans="5:41" x14ac:dyDescent="0.25">
      <c r="E814" t="s">
        <v>21</v>
      </c>
      <c r="F814">
        <v>0</v>
      </c>
      <c r="G814">
        <v>0</v>
      </c>
      <c r="H814" t="s">
        <v>8</v>
      </c>
      <c r="I814" s="74" t="str">
        <f ca="1">IF(Table7[[#This Row],[Type]]="KILL",IF(_xlfn.NUMBERVALUE(RIGHT(Table7[[#This Row],[Min]],LEN(Table7[[#This Row],[Min]])-FIND("-",Table7[[#This Row],[Min]])))&gt;INDIRECT(ADDRESS(11+MATCH(LEFT(Table7[[#This Row],[Min]],FIND("-",Table7[[#This Row],[Min]])-1),Table1[Content Sku],0),16,1,1,"Entities")),"review","ok"),"ok")</f>
        <v>ok</v>
      </c>
      <c r="U814" t="s">
        <v>276</v>
      </c>
      <c r="V814">
        <v>0</v>
      </c>
      <c r="W814">
        <v>25000</v>
      </c>
      <c r="X814" t="s">
        <v>205</v>
      </c>
      <c r="Y814" s="74" t="str">
        <f ca="1">IF(Table15[[#This Row],[Type]]="KILL",IF(_xlfn.NUMBERVALUE(RIGHT(Table15[[#This Row],[Min]],LEN(Table15[[#This Row],[Min]])-FIND("-",Table15[[#This Row],[Min]])))&gt;INDIRECT(ADDRESS(11+MATCH(LEFT(Table15[[#This Row],[Min]],FIND("-",Table15[[#This Row],[Min]])-1),Table1[Content Sku],0),16,1,1,"Entities")),"review","ok"),"ok")</f>
        <v>ok</v>
      </c>
      <c r="AK814" t="s">
        <v>553</v>
      </c>
      <c r="AL814">
        <v>0</v>
      </c>
      <c r="AM814">
        <v>0</v>
      </c>
      <c r="AN814" t="s">
        <v>8</v>
      </c>
      <c r="AO814" s="74" t="str">
        <f ca="1">IF(Table20[[#This Row],[Type]]="KILL",IF(_xlfn.NUMBERVALUE(RIGHT(Table20[[#This Row],[Min]],LEN(Table20[[#This Row],[Min]])-FIND("-",Table20[[#This Row],[Min]])))&gt;INDIRECT(ADDRESS(11+MATCH(LEFT(Table20[[#This Row],[Min]],FIND("-",Table20[[#This Row],[Min]])-1),Table1[Content Sku],0),18,1,1,"Entities")),"review","ok"),"ok")</f>
        <v>ok</v>
      </c>
    </row>
    <row r="815" spans="5:41" x14ac:dyDescent="0.25">
      <c r="E815" t="s">
        <v>37</v>
      </c>
      <c r="F815">
        <v>0</v>
      </c>
      <c r="G815">
        <v>0</v>
      </c>
      <c r="H815" t="s">
        <v>8</v>
      </c>
      <c r="I815" s="74" t="str">
        <f ca="1">IF(Table7[[#This Row],[Type]]="KILL",IF(_xlfn.NUMBERVALUE(RIGHT(Table7[[#This Row],[Min]],LEN(Table7[[#This Row],[Min]])-FIND("-",Table7[[#This Row],[Min]])))&gt;INDIRECT(ADDRESS(11+MATCH(LEFT(Table7[[#This Row],[Min]],FIND("-",Table7[[#This Row],[Min]])-1),Table1[Content Sku],0),16,1,1,"Entities")),"review","ok"),"ok")</f>
        <v>ok</v>
      </c>
      <c r="U815" t="s">
        <v>46</v>
      </c>
      <c r="V815">
        <v>0</v>
      </c>
      <c r="W815">
        <v>0</v>
      </c>
      <c r="X815" t="s">
        <v>8</v>
      </c>
      <c r="Y815" s="74" t="str">
        <f ca="1">IF(Table15[[#This Row],[Type]]="KILL",IF(_xlfn.NUMBERVALUE(RIGHT(Table15[[#This Row],[Min]],LEN(Table15[[#This Row],[Min]])-FIND("-",Table15[[#This Row],[Min]])))&gt;INDIRECT(ADDRESS(11+MATCH(LEFT(Table15[[#This Row],[Min]],FIND("-",Table15[[#This Row],[Min]])-1),Table1[Content Sku],0),16,1,1,"Entities")),"review","ok"),"ok")</f>
        <v>ok</v>
      </c>
      <c r="AK815" t="s">
        <v>346</v>
      </c>
      <c r="AL815">
        <v>33000</v>
      </c>
      <c r="AM815">
        <v>0</v>
      </c>
      <c r="AN815" t="s">
        <v>205</v>
      </c>
      <c r="AO815" s="74" t="str">
        <f ca="1">IF(Table20[[#This Row],[Type]]="KILL",IF(_xlfn.NUMBERVALUE(RIGHT(Table20[[#This Row],[Min]],LEN(Table20[[#This Row],[Min]])-FIND("-",Table20[[#This Row],[Min]])))&gt;INDIRECT(ADDRESS(11+MATCH(LEFT(Table20[[#This Row],[Min]],FIND("-",Table20[[#This Row],[Min]])-1),Table1[Content Sku],0),18,1,1,"Entities")),"review","ok"),"ok")</f>
        <v>ok</v>
      </c>
    </row>
    <row r="816" spans="5:41" x14ac:dyDescent="0.25">
      <c r="E816" t="s">
        <v>90</v>
      </c>
      <c r="F816">
        <v>0</v>
      </c>
      <c r="G816">
        <v>0</v>
      </c>
      <c r="H816" t="s">
        <v>8</v>
      </c>
      <c r="I816" s="74" t="str">
        <f ca="1">IF(Table7[[#This Row],[Type]]="KILL",IF(_xlfn.NUMBERVALUE(RIGHT(Table7[[#This Row],[Min]],LEN(Table7[[#This Row],[Min]])-FIND("-",Table7[[#This Row],[Min]])))&gt;INDIRECT(ADDRESS(11+MATCH(LEFT(Table7[[#This Row],[Min]],FIND("-",Table7[[#This Row],[Min]])-1),Table1[Content Sku],0),16,1,1,"Entities")),"review","ok"),"ok")</f>
        <v>ok</v>
      </c>
      <c r="U816" t="s">
        <v>8133</v>
      </c>
      <c r="V816">
        <v>0</v>
      </c>
      <c r="W816">
        <v>0</v>
      </c>
      <c r="X816" t="s">
        <v>8</v>
      </c>
      <c r="Y816" s="74" t="str">
        <f ca="1">IF(Table15[[#This Row],[Type]]="KILL",IF(_xlfn.NUMBERVALUE(RIGHT(Table15[[#This Row],[Min]],LEN(Table15[[#This Row],[Min]])-FIND("-",Table15[[#This Row],[Min]])))&gt;INDIRECT(ADDRESS(11+MATCH(LEFT(Table15[[#This Row],[Min]],FIND("-",Table15[[#This Row],[Min]])-1),Table1[Content Sku],0),16,1,1,"Entities")),"review","ok"),"ok")</f>
        <v>ok</v>
      </c>
      <c r="AK816" t="s">
        <v>482</v>
      </c>
      <c r="AL816">
        <v>0</v>
      </c>
      <c r="AM816">
        <v>0</v>
      </c>
      <c r="AN816" t="s">
        <v>8</v>
      </c>
      <c r="AO816" s="74" t="str">
        <f ca="1">IF(Table20[[#This Row],[Type]]="KILL",IF(_xlfn.NUMBERVALUE(RIGHT(Table20[[#This Row],[Min]],LEN(Table20[[#This Row],[Min]])-FIND("-",Table20[[#This Row],[Min]])))&gt;INDIRECT(ADDRESS(11+MATCH(LEFT(Table20[[#This Row],[Min]],FIND("-",Table20[[#This Row],[Min]])-1),Table1[Content Sku],0),18,1,1,"Entities")),"review","ok"),"ok")</f>
        <v>ok</v>
      </c>
    </row>
    <row r="817" spans="5:41" x14ac:dyDescent="0.25">
      <c r="E817" t="s">
        <v>36</v>
      </c>
      <c r="F817">
        <v>18000</v>
      </c>
      <c r="G817">
        <v>0</v>
      </c>
      <c r="H817" t="s">
        <v>205</v>
      </c>
      <c r="I817" s="74" t="str">
        <f ca="1">IF(Table7[[#This Row],[Type]]="KILL",IF(_xlfn.NUMBERVALUE(RIGHT(Table7[[#This Row],[Min]],LEN(Table7[[#This Row],[Min]])-FIND("-",Table7[[#This Row],[Min]])))&gt;INDIRECT(ADDRESS(11+MATCH(LEFT(Table7[[#This Row],[Min]],FIND("-",Table7[[#This Row],[Min]])-1),Table1[Content Sku],0),16,1,1,"Entities")),"review","ok"),"ok")</f>
        <v>ok</v>
      </c>
      <c r="U817" t="s">
        <v>1</v>
      </c>
      <c r="V817">
        <v>15000</v>
      </c>
      <c r="W817">
        <v>0</v>
      </c>
      <c r="X817" t="s">
        <v>205</v>
      </c>
      <c r="Y817" s="74" t="str">
        <f ca="1">IF(Table15[[#This Row],[Type]]="KILL",IF(_xlfn.NUMBERVALUE(RIGHT(Table15[[#This Row],[Min]],LEN(Table15[[#This Row],[Min]])-FIND("-",Table15[[#This Row],[Min]])))&gt;INDIRECT(ADDRESS(11+MATCH(LEFT(Table15[[#This Row],[Min]],FIND("-",Table15[[#This Row],[Min]])-1),Table1[Content Sku],0),16,1,1,"Entities")),"review","ok"),"ok")</f>
        <v>ok</v>
      </c>
      <c r="AK817" t="s">
        <v>37</v>
      </c>
      <c r="AL817">
        <v>0</v>
      </c>
      <c r="AM817">
        <v>0</v>
      </c>
      <c r="AN817" t="s">
        <v>8</v>
      </c>
      <c r="AO817" s="74" t="str">
        <f ca="1">IF(Table20[[#This Row],[Type]]="KILL",IF(_xlfn.NUMBERVALUE(RIGHT(Table20[[#This Row],[Min]],LEN(Table20[[#This Row],[Min]])-FIND("-",Table20[[#This Row],[Min]])))&gt;INDIRECT(ADDRESS(11+MATCH(LEFT(Table20[[#This Row],[Min]],FIND("-",Table20[[#This Row],[Min]])-1),Table1[Content Sku],0),18,1,1,"Entities")),"review","ok"),"ok")</f>
        <v>ok</v>
      </c>
    </row>
    <row r="818" spans="5:41" x14ac:dyDescent="0.25">
      <c r="E818" t="s">
        <v>21</v>
      </c>
      <c r="F818">
        <v>0</v>
      </c>
      <c r="G818">
        <v>0</v>
      </c>
      <c r="H818" t="s">
        <v>8</v>
      </c>
      <c r="I818" s="74" t="str">
        <f ca="1">IF(Table7[[#This Row],[Type]]="KILL",IF(_xlfn.NUMBERVALUE(RIGHT(Table7[[#This Row],[Min]],LEN(Table7[[#This Row],[Min]])-FIND("-",Table7[[#This Row],[Min]])))&gt;INDIRECT(ADDRESS(11+MATCH(LEFT(Table7[[#This Row],[Min]],FIND("-",Table7[[#This Row],[Min]])-1),Table1[Content Sku],0),16,1,1,"Entities")),"review","ok"),"ok")</f>
        <v>ok</v>
      </c>
      <c r="U818" t="s">
        <v>391</v>
      </c>
      <c r="V818">
        <v>0</v>
      </c>
      <c r="W818">
        <v>0</v>
      </c>
      <c r="X818" t="s">
        <v>8</v>
      </c>
      <c r="Y818" s="74" t="str">
        <f ca="1">IF(Table15[[#This Row],[Type]]="KILL",IF(_xlfn.NUMBERVALUE(RIGHT(Table15[[#This Row],[Min]],LEN(Table15[[#This Row],[Min]])-FIND("-",Table15[[#This Row],[Min]])))&gt;INDIRECT(ADDRESS(11+MATCH(LEFT(Table15[[#This Row],[Min]],FIND("-",Table15[[#This Row],[Min]])-1),Table1[Content Sku],0),16,1,1,"Entities")),"review","ok"),"ok")</f>
        <v>ok</v>
      </c>
      <c r="AK818" t="s">
        <v>2678</v>
      </c>
      <c r="AL818">
        <v>0</v>
      </c>
      <c r="AM818">
        <v>0</v>
      </c>
      <c r="AN818" t="s">
        <v>8</v>
      </c>
      <c r="AO818" s="74" t="str">
        <f ca="1">IF(Table20[[#This Row],[Type]]="KILL",IF(_xlfn.NUMBERVALUE(RIGHT(Table20[[#This Row],[Min]],LEN(Table20[[#This Row],[Min]])-FIND("-",Table20[[#This Row],[Min]])))&gt;INDIRECT(ADDRESS(11+MATCH(LEFT(Table20[[#This Row],[Min]],FIND("-",Table20[[#This Row],[Min]])-1),Table1[Content Sku],0),18,1,1,"Entities")),"review","ok"),"ok")</f>
        <v>ok</v>
      </c>
    </row>
    <row r="819" spans="5:41" x14ac:dyDescent="0.25">
      <c r="E819" t="s">
        <v>315</v>
      </c>
      <c r="F819">
        <v>0</v>
      </c>
      <c r="G819">
        <v>0</v>
      </c>
      <c r="H819" t="s">
        <v>8</v>
      </c>
      <c r="I819" s="74" t="str">
        <f ca="1">IF(Table7[[#This Row],[Type]]="KILL",IF(_xlfn.NUMBERVALUE(RIGHT(Table7[[#This Row],[Min]],LEN(Table7[[#This Row],[Min]])-FIND("-",Table7[[#This Row],[Min]])))&gt;INDIRECT(ADDRESS(11+MATCH(LEFT(Table7[[#This Row],[Min]],FIND("-",Table7[[#This Row],[Min]])-1),Table1[Content Sku],0),16,1,1,"Entities")),"review","ok"),"ok")</f>
        <v>ok</v>
      </c>
      <c r="U819" t="s">
        <v>122</v>
      </c>
      <c r="V819">
        <v>0</v>
      </c>
      <c r="W819">
        <v>0</v>
      </c>
      <c r="X819" t="s">
        <v>8</v>
      </c>
      <c r="Y819" s="74" t="str">
        <f ca="1">IF(Table15[[#This Row],[Type]]="KILL",IF(_xlfn.NUMBERVALUE(RIGHT(Table15[[#This Row],[Min]],LEN(Table15[[#This Row],[Min]])-FIND("-",Table15[[#This Row],[Min]])))&gt;INDIRECT(ADDRESS(11+MATCH(LEFT(Table15[[#This Row],[Min]],FIND("-",Table15[[#This Row],[Min]])-1),Table1[Content Sku],0),16,1,1,"Entities")),"review","ok"),"ok")</f>
        <v>ok</v>
      </c>
      <c r="AK819" t="s">
        <v>36</v>
      </c>
      <c r="AL819">
        <v>26500</v>
      </c>
      <c r="AM819">
        <v>0</v>
      </c>
      <c r="AN819" t="s">
        <v>205</v>
      </c>
      <c r="AO819" s="74" t="str">
        <f ca="1">IF(Table20[[#This Row],[Type]]="KILL",IF(_xlfn.NUMBERVALUE(RIGHT(Table20[[#This Row],[Min]],LEN(Table20[[#This Row],[Min]])-FIND("-",Table20[[#This Row],[Min]])))&gt;INDIRECT(ADDRESS(11+MATCH(LEFT(Table20[[#This Row],[Min]],FIND("-",Table20[[#This Row],[Min]])-1),Table1[Content Sku],0),18,1,1,"Entities")),"review","ok"),"ok")</f>
        <v>ok</v>
      </c>
    </row>
    <row r="820" spans="5:41" x14ac:dyDescent="0.25">
      <c r="E820" t="s">
        <v>313</v>
      </c>
      <c r="F820">
        <v>0</v>
      </c>
      <c r="G820">
        <v>0</v>
      </c>
      <c r="H820" t="s">
        <v>8</v>
      </c>
      <c r="I820" s="74" t="str">
        <f ca="1">IF(Table7[[#This Row],[Type]]="KILL",IF(_xlfn.NUMBERVALUE(RIGHT(Table7[[#This Row],[Min]],LEN(Table7[[#This Row],[Min]])-FIND("-",Table7[[#This Row],[Min]])))&gt;INDIRECT(ADDRESS(11+MATCH(LEFT(Table7[[#This Row],[Min]],FIND("-",Table7[[#This Row],[Min]])-1),Table1[Content Sku],0),16,1,1,"Entities")),"review","ok"),"ok")</f>
        <v>ok</v>
      </c>
      <c r="U820" t="s">
        <v>8133</v>
      </c>
      <c r="V820">
        <v>0</v>
      </c>
      <c r="W820">
        <v>0</v>
      </c>
      <c r="X820" t="s">
        <v>8</v>
      </c>
      <c r="Y820" s="74" t="str">
        <f ca="1">IF(Table15[[#This Row],[Type]]="KILL",IF(_xlfn.NUMBERVALUE(RIGHT(Table15[[#This Row],[Min]],LEN(Table15[[#This Row],[Min]])-FIND("-",Table15[[#This Row],[Min]])))&gt;INDIRECT(ADDRESS(11+MATCH(LEFT(Table15[[#This Row],[Min]],FIND("-",Table15[[#This Row],[Min]])-1),Table1[Content Sku],0),16,1,1,"Entities")),"review","ok"),"ok")</f>
        <v>ok</v>
      </c>
      <c r="AK820" t="s">
        <v>2767</v>
      </c>
      <c r="AL820">
        <v>0</v>
      </c>
      <c r="AM820">
        <v>0</v>
      </c>
      <c r="AN820" t="s">
        <v>8</v>
      </c>
      <c r="AO820" s="74" t="str">
        <f ca="1">IF(Table20[[#This Row],[Type]]="KILL",IF(_xlfn.NUMBERVALUE(RIGHT(Table20[[#This Row],[Min]],LEN(Table20[[#This Row],[Min]])-FIND("-",Table20[[#This Row],[Min]])))&gt;INDIRECT(ADDRESS(11+MATCH(LEFT(Table20[[#This Row],[Min]],FIND("-",Table20[[#This Row],[Min]])-1),Table1[Content Sku],0),18,1,1,"Entities")),"review","ok"),"ok")</f>
        <v>ok</v>
      </c>
    </row>
    <row r="821" spans="5:41" x14ac:dyDescent="0.25">
      <c r="E821" t="s">
        <v>289</v>
      </c>
      <c r="F821">
        <v>0</v>
      </c>
      <c r="G821">
        <v>0</v>
      </c>
      <c r="H821" t="s">
        <v>8</v>
      </c>
      <c r="I821" s="74" t="str">
        <f ca="1">IF(Table7[[#This Row],[Type]]="KILL",IF(_xlfn.NUMBERVALUE(RIGHT(Table7[[#This Row],[Min]],LEN(Table7[[#This Row],[Min]])-FIND("-",Table7[[#This Row],[Min]])))&gt;INDIRECT(ADDRESS(11+MATCH(LEFT(Table7[[#This Row],[Min]],FIND("-",Table7[[#This Row],[Min]])-1),Table1[Content Sku],0),16,1,1,"Entities")),"review","ok"),"ok")</f>
        <v>ok</v>
      </c>
      <c r="U821" t="s">
        <v>8133</v>
      </c>
      <c r="V821">
        <v>0</v>
      </c>
      <c r="W821">
        <v>0</v>
      </c>
      <c r="X821" t="s">
        <v>8</v>
      </c>
      <c r="Y821" s="74" t="str">
        <f ca="1">IF(Table15[[#This Row],[Type]]="KILL",IF(_xlfn.NUMBERVALUE(RIGHT(Table15[[#This Row],[Min]],LEN(Table15[[#This Row],[Min]])-FIND("-",Table15[[#This Row],[Min]])))&gt;INDIRECT(ADDRESS(11+MATCH(LEFT(Table15[[#This Row],[Min]],FIND("-",Table15[[#This Row],[Min]])-1),Table1[Content Sku],0),16,1,1,"Entities")),"review","ok"),"ok")</f>
        <v>ok</v>
      </c>
      <c r="AK821" t="s">
        <v>258</v>
      </c>
      <c r="AL821">
        <v>355000</v>
      </c>
      <c r="AM821">
        <v>0</v>
      </c>
      <c r="AN821" t="s">
        <v>205</v>
      </c>
      <c r="AO821" s="74" t="str">
        <f ca="1">IF(Table20[[#This Row],[Type]]="KILL",IF(_xlfn.NUMBERVALUE(RIGHT(Table20[[#This Row],[Min]],LEN(Table20[[#This Row],[Min]])-FIND("-",Table20[[#This Row],[Min]])))&gt;INDIRECT(ADDRESS(11+MATCH(LEFT(Table20[[#This Row],[Min]],FIND("-",Table20[[#This Row],[Min]])-1),Table1[Content Sku],0),18,1,1,"Entities")),"review","ok"),"ok")</f>
        <v>ok</v>
      </c>
    </row>
    <row r="822" spans="5:41" x14ac:dyDescent="0.25">
      <c r="E822" t="s">
        <v>91</v>
      </c>
      <c r="F822">
        <v>0</v>
      </c>
      <c r="G822">
        <v>0</v>
      </c>
      <c r="H822" t="s">
        <v>8</v>
      </c>
      <c r="I822" s="74" t="str">
        <f ca="1">IF(Table7[[#This Row],[Type]]="KILL",IF(_xlfn.NUMBERVALUE(RIGHT(Table7[[#This Row],[Min]],LEN(Table7[[#This Row],[Min]])-FIND("-",Table7[[#This Row],[Min]])))&gt;INDIRECT(ADDRESS(11+MATCH(LEFT(Table7[[#This Row],[Min]],FIND("-",Table7[[#This Row],[Min]])-1),Table1[Content Sku],0),16,1,1,"Entities")),"review","ok"),"ok")</f>
        <v>ok</v>
      </c>
      <c r="U822" t="s">
        <v>400</v>
      </c>
      <c r="V822">
        <v>18000</v>
      </c>
      <c r="W822">
        <v>0</v>
      </c>
      <c r="X822" t="s">
        <v>205</v>
      </c>
      <c r="Y822" s="74" t="str">
        <f ca="1">IF(Table15[[#This Row],[Type]]="KILL",IF(_xlfn.NUMBERVALUE(RIGHT(Table15[[#This Row],[Min]],LEN(Table15[[#This Row],[Min]])-FIND("-",Table15[[#This Row],[Min]])))&gt;INDIRECT(ADDRESS(11+MATCH(LEFT(Table15[[#This Row],[Min]],FIND("-",Table15[[#This Row],[Min]])-1),Table1[Content Sku],0),16,1,1,"Entities")),"review","ok"),"ok")</f>
        <v>ok</v>
      </c>
      <c r="AK822" t="s">
        <v>545</v>
      </c>
      <c r="AL822">
        <v>0</v>
      </c>
      <c r="AM822">
        <v>0</v>
      </c>
      <c r="AN822" t="s">
        <v>8</v>
      </c>
      <c r="AO822" s="74" t="str">
        <f ca="1">IF(Table20[[#This Row],[Type]]="KILL",IF(_xlfn.NUMBERVALUE(RIGHT(Table20[[#This Row],[Min]],LEN(Table20[[#This Row],[Min]])-FIND("-",Table20[[#This Row],[Min]])))&gt;INDIRECT(ADDRESS(11+MATCH(LEFT(Table20[[#This Row],[Min]],FIND("-",Table20[[#This Row],[Min]])-1),Table1[Content Sku],0),18,1,1,"Entities")),"review","ok"),"ok")</f>
        <v>ok</v>
      </c>
    </row>
    <row r="823" spans="5:41" x14ac:dyDescent="0.25">
      <c r="E823" t="s">
        <v>37</v>
      </c>
      <c r="F823">
        <v>0</v>
      </c>
      <c r="G823">
        <v>0</v>
      </c>
      <c r="H823" t="s">
        <v>8</v>
      </c>
      <c r="I823" s="74" t="str">
        <f ca="1">IF(Table7[[#This Row],[Type]]="KILL",IF(_xlfn.NUMBERVALUE(RIGHT(Table7[[#This Row],[Min]],LEN(Table7[[#This Row],[Min]])-FIND("-",Table7[[#This Row],[Min]])))&gt;INDIRECT(ADDRESS(11+MATCH(LEFT(Table7[[#This Row],[Min]],FIND("-",Table7[[#This Row],[Min]])-1),Table1[Content Sku],0),16,1,1,"Entities")),"review","ok"),"ok")</f>
        <v>ok</v>
      </c>
      <c r="U823" t="s">
        <v>313</v>
      </c>
      <c r="V823">
        <v>0</v>
      </c>
      <c r="W823">
        <v>0</v>
      </c>
      <c r="X823" t="s">
        <v>8</v>
      </c>
      <c r="Y823" s="74" t="str">
        <f ca="1">IF(Table15[[#This Row],[Type]]="KILL",IF(_xlfn.NUMBERVALUE(RIGHT(Table15[[#This Row],[Min]],LEN(Table15[[#This Row],[Min]])-FIND("-",Table15[[#This Row],[Min]])))&gt;INDIRECT(ADDRESS(11+MATCH(LEFT(Table15[[#This Row],[Min]],FIND("-",Table15[[#This Row],[Min]])-1),Table1[Content Sku],0),16,1,1,"Entities")),"review","ok"),"ok")</f>
        <v>ok</v>
      </c>
      <c r="AK823" t="s">
        <v>2670</v>
      </c>
      <c r="AL823">
        <v>0</v>
      </c>
      <c r="AM823">
        <v>0</v>
      </c>
      <c r="AN823" t="s">
        <v>8</v>
      </c>
      <c r="AO823" s="74" t="str">
        <f ca="1">IF(Table20[[#This Row],[Type]]="KILL",IF(_xlfn.NUMBERVALUE(RIGHT(Table20[[#This Row],[Min]],LEN(Table20[[#This Row],[Min]])-FIND("-",Table20[[#This Row],[Min]])))&gt;INDIRECT(ADDRESS(11+MATCH(LEFT(Table20[[#This Row],[Min]],FIND("-",Table20[[#This Row],[Min]])-1),Table1[Content Sku],0),18,1,1,"Entities")),"review","ok"),"ok")</f>
        <v>ok</v>
      </c>
    </row>
    <row r="824" spans="5:41" x14ac:dyDescent="0.25">
      <c r="E824" t="s">
        <v>39</v>
      </c>
      <c r="F824">
        <v>0</v>
      </c>
      <c r="G824">
        <v>0</v>
      </c>
      <c r="H824" t="s">
        <v>8</v>
      </c>
      <c r="I824" s="74" t="str">
        <f ca="1">IF(Table7[[#This Row],[Type]]="KILL",IF(_xlfn.NUMBERVALUE(RIGHT(Table7[[#This Row],[Min]],LEN(Table7[[#This Row],[Min]])-FIND("-",Table7[[#This Row],[Min]])))&gt;INDIRECT(ADDRESS(11+MATCH(LEFT(Table7[[#This Row],[Min]],FIND("-",Table7[[#This Row],[Min]])-1),Table1[Content Sku],0),16,1,1,"Entities")),"review","ok"),"ok")</f>
        <v>ok</v>
      </c>
      <c r="U824" t="s">
        <v>254</v>
      </c>
      <c r="V824">
        <v>0</v>
      </c>
      <c r="W824">
        <v>0</v>
      </c>
      <c r="X824" t="s">
        <v>8</v>
      </c>
      <c r="Y824" s="74" t="str">
        <f ca="1">IF(Table15[[#This Row],[Type]]="KILL",IF(_xlfn.NUMBERVALUE(RIGHT(Table15[[#This Row],[Min]],LEN(Table15[[#This Row],[Min]])-FIND("-",Table15[[#This Row],[Min]])))&gt;INDIRECT(ADDRESS(11+MATCH(LEFT(Table15[[#This Row],[Min]],FIND("-",Table15[[#This Row],[Min]])-1),Table1[Content Sku],0),16,1,1,"Entities")),"review","ok"),"ok")</f>
        <v>ok</v>
      </c>
      <c r="AK824" t="s">
        <v>95</v>
      </c>
      <c r="AL824">
        <v>0</v>
      </c>
      <c r="AM824">
        <v>23000</v>
      </c>
      <c r="AN824" t="s">
        <v>205</v>
      </c>
      <c r="AO824" s="74" t="str">
        <f ca="1">IF(Table20[[#This Row],[Type]]="KILL",IF(_xlfn.NUMBERVALUE(RIGHT(Table20[[#This Row],[Min]],LEN(Table20[[#This Row],[Min]])-FIND("-",Table20[[#This Row],[Min]])))&gt;INDIRECT(ADDRESS(11+MATCH(LEFT(Table20[[#This Row],[Min]],FIND("-",Table20[[#This Row],[Min]])-1),Table1[Content Sku],0),18,1,1,"Entities")),"review","ok"),"ok")</f>
        <v>ok</v>
      </c>
    </row>
    <row r="825" spans="5:41" x14ac:dyDescent="0.25">
      <c r="E825" t="s">
        <v>63</v>
      </c>
      <c r="F825">
        <v>0</v>
      </c>
      <c r="G825">
        <v>0</v>
      </c>
      <c r="H825" t="s">
        <v>8</v>
      </c>
      <c r="I825" s="74" t="str">
        <f ca="1">IF(Table7[[#This Row],[Type]]="KILL",IF(_xlfn.NUMBERVALUE(RIGHT(Table7[[#This Row],[Min]],LEN(Table7[[#This Row],[Min]])-FIND("-",Table7[[#This Row],[Min]])))&gt;INDIRECT(ADDRESS(11+MATCH(LEFT(Table7[[#This Row],[Min]],FIND("-",Table7[[#This Row],[Min]])-1),Table1[Content Sku],0),16,1,1,"Entities")),"review","ok"),"ok")</f>
        <v>ok</v>
      </c>
      <c r="U825" t="s">
        <v>36</v>
      </c>
      <c r="V825">
        <v>25000</v>
      </c>
      <c r="W825">
        <v>0</v>
      </c>
      <c r="X825" t="s">
        <v>205</v>
      </c>
      <c r="Y825" s="74" t="str">
        <f ca="1">IF(Table15[[#This Row],[Type]]="KILL",IF(_xlfn.NUMBERVALUE(RIGHT(Table15[[#This Row],[Min]],LEN(Table15[[#This Row],[Min]])-FIND("-",Table15[[#This Row],[Min]])))&gt;INDIRECT(ADDRESS(11+MATCH(LEFT(Table15[[#This Row],[Min]],FIND("-",Table15[[#This Row],[Min]])-1),Table1[Content Sku],0),16,1,1,"Entities")),"review","ok"),"ok")</f>
        <v>ok</v>
      </c>
      <c r="AK825" t="s">
        <v>37</v>
      </c>
      <c r="AL825">
        <v>0</v>
      </c>
      <c r="AM825">
        <v>0</v>
      </c>
      <c r="AN825" t="s">
        <v>8</v>
      </c>
      <c r="AO825" s="74" t="str">
        <f ca="1">IF(Table20[[#This Row],[Type]]="KILL",IF(_xlfn.NUMBERVALUE(RIGHT(Table20[[#This Row],[Min]],LEN(Table20[[#This Row],[Min]])-FIND("-",Table20[[#This Row],[Min]])))&gt;INDIRECT(ADDRESS(11+MATCH(LEFT(Table20[[#This Row],[Min]],FIND("-",Table20[[#This Row],[Min]])-1),Table1[Content Sku],0),18,1,1,"Entities")),"review","ok"),"ok")</f>
        <v>ok</v>
      </c>
    </row>
    <row r="826" spans="5:41" x14ac:dyDescent="0.25">
      <c r="E826" t="s">
        <v>283</v>
      </c>
      <c r="F826">
        <v>0</v>
      </c>
      <c r="G826">
        <v>0</v>
      </c>
      <c r="H826" t="s">
        <v>8</v>
      </c>
      <c r="I826" s="74" t="str">
        <f ca="1">IF(Table7[[#This Row],[Type]]="KILL",IF(_xlfn.NUMBERVALUE(RIGHT(Table7[[#This Row],[Min]],LEN(Table7[[#This Row],[Min]])-FIND("-",Table7[[#This Row],[Min]])))&gt;INDIRECT(ADDRESS(11+MATCH(LEFT(Table7[[#This Row],[Min]],FIND("-",Table7[[#This Row],[Min]])-1),Table1[Content Sku],0),16,1,1,"Entities")),"review","ok"),"ok")</f>
        <v>ok</v>
      </c>
      <c r="U826" t="s">
        <v>315</v>
      </c>
      <c r="V826">
        <v>0</v>
      </c>
      <c r="W826">
        <v>0</v>
      </c>
      <c r="X826" t="s">
        <v>8</v>
      </c>
      <c r="Y826" s="74" t="str">
        <f ca="1">IF(Table15[[#This Row],[Type]]="KILL",IF(_xlfn.NUMBERVALUE(RIGHT(Table15[[#This Row],[Min]],LEN(Table15[[#This Row],[Min]])-FIND("-",Table15[[#This Row],[Min]])))&gt;INDIRECT(ADDRESS(11+MATCH(LEFT(Table15[[#This Row],[Min]],FIND("-",Table15[[#This Row],[Min]])-1),Table1[Content Sku],0),16,1,1,"Entities")),"review","ok"),"ok")</f>
        <v>ok</v>
      </c>
      <c r="AK826" t="s">
        <v>46</v>
      </c>
      <c r="AL826">
        <v>30000</v>
      </c>
      <c r="AM826">
        <v>0</v>
      </c>
      <c r="AN826" t="s">
        <v>205</v>
      </c>
      <c r="AO826" s="74" t="str">
        <f ca="1">IF(Table20[[#This Row],[Type]]="KILL",IF(_xlfn.NUMBERVALUE(RIGHT(Table20[[#This Row],[Min]],LEN(Table20[[#This Row],[Min]])-FIND("-",Table20[[#This Row],[Min]])))&gt;INDIRECT(ADDRESS(11+MATCH(LEFT(Table20[[#This Row],[Min]],FIND("-",Table20[[#This Row],[Min]])-1),Table1[Content Sku],0),18,1,1,"Entities")),"review","ok"),"ok")</f>
        <v>ok</v>
      </c>
    </row>
    <row r="827" spans="5:41" x14ac:dyDescent="0.25">
      <c r="E827" t="s">
        <v>393</v>
      </c>
      <c r="F827">
        <v>0</v>
      </c>
      <c r="G827">
        <v>0</v>
      </c>
      <c r="H827" t="s">
        <v>8</v>
      </c>
      <c r="I827" s="74" t="str">
        <f ca="1">IF(Table7[[#This Row],[Type]]="KILL",IF(_xlfn.NUMBERVALUE(RIGHT(Table7[[#This Row],[Min]],LEN(Table7[[#This Row],[Min]])-FIND("-",Table7[[#This Row],[Min]])))&gt;INDIRECT(ADDRESS(11+MATCH(LEFT(Table7[[#This Row],[Min]],FIND("-",Table7[[#This Row],[Min]])-1),Table1[Content Sku],0),16,1,1,"Entities")),"review","ok"),"ok")</f>
        <v>ok</v>
      </c>
      <c r="U827" t="s">
        <v>254</v>
      </c>
      <c r="V827">
        <v>0</v>
      </c>
      <c r="W827">
        <v>0</v>
      </c>
      <c r="X827" t="s">
        <v>8</v>
      </c>
      <c r="Y827" s="74" t="str">
        <f ca="1">IF(Table15[[#This Row],[Type]]="KILL",IF(_xlfn.NUMBERVALUE(RIGHT(Table15[[#This Row],[Min]],LEN(Table15[[#This Row],[Min]])-FIND("-",Table15[[#This Row],[Min]])))&gt;INDIRECT(ADDRESS(11+MATCH(LEFT(Table15[[#This Row],[Min]],FIND("-",Table15[[#This Row],[Min]])-1),Table1[Content Sku],0),16,1,1,"Entities")),"review","ok"),"ok")</f>
        <v>ok</v>
      </c>
      <c r="AK827" t="s">
        <v>37</v>
      </c>
      <c r="AL827">
        <v>20000</v>
      </c>
      <c r="AM827">
        <v>0</v>
      </c>
      <c r="AN827" t="s">
        <v>205</v>
      </c>
      <c r="AO827" s="74" t="str">
        <f ca="1">IF(Table20[[#This Row],[Type]]="KILL",IF(_xlfn.NUMBERVALUE(RIGHT(Table20[[#This Row],[Min]],LEN(Table20[[#This Row],[Min]])-FIND("-",Table20[[#This Row],[Min]])))&gt;INDIRECT(ADDRESS(11+MATCH(LEFT(Table20[[#This Row],[Min]],FIND("-",Table20[[#This Row],[Min]])-1),Table1[Content Sku],0),18,1,1,"Entities")),"review","ok"),"ok")</f>
        <v>ok</v>
      </c>
    </row>
    <row r="828" spans="5:41" x14ac:dyDescent="0.25">
      <c r="E828" t="s">
        <v>418</v>
      </c>
      <c r="F828">
        <v>0</v>
      </c>
      <c r="G828">
        <v>0</v>
      </c>
      <c r="H828" t="s">
        <v>8</v>
      </c>
      <c r="I828" s="74" t="str">
        <f ca="1">IF(Table7[[#This Row],[Type]]="KILL",IF(_xlfn.NUMBERVALUE(RIGHT(Table7[[#This Row],[Min]],LEN(Table7[[#This Row],[Min]])-FIND("-",Table7[[#This Row],[Min]])))&gt;INDIRECT(ADDRESS(11+MATCH(LEFT(Table7[[#This Row],[Min]],FIND("-",Table7[[#This Row],[Min]])-1),Table1[Content Sku],0),16,1,1,"Entities")),"review","ok"),"ok")</f>
        <v>ok</v>
      </c>
      <c r="U828" t="s">
        <v>391</v>
      </c>
      <c r="V828">
        <v>0</v>
      </c>
      <c r="W828">
        <v>0</v>
      </c>
      <c r="X828" t="s">
        <v>8</v>
      </c>
      <c r="Y828" s="74" t="str">
        <f ca="1">IF(Table15[[#This Row],[Type]]="KILL",IF(_xlfn.NUMBERVALUE(RIGHT(Table15[[#This Row],[Min]],LEN(Table15[[#This Row],[Min]])-FIND("-",Table15[[#This Row],[Min]])))&gt;INDIRECT(ADDRESS(11+MATCH(LEFT(Table15[[#This Row],[Min]],FIND("-",Table15[[#This Row],[Min]])-1),Table1[Content Sku],0),16,1,1,"Entities")),"review","ok"),"ok")</f>
        <v>ok</v>
      </c>
      <c r="AK828" t="s">
        <v>482</v>
      </c>
      <c r="AL828">
        <v>0</v>
      </c>
      <c r="AM828">
        <v>0</v>
      </c>
      <c r="AN828" t="s">
        <v>8</v>
      </c>
      <c r="AO828" s="74" t="str">
        <f ca="1">IF(Table20[[#This Row],[Type]]="KILL",IF(_xlfn.NUMBERVALUE(RIGHT(Table20[[#This Row],[Min]],LEN(Table20[[#This Row],[Min]])-FIND("-",Table20[[#This Row],[Min]])))&gt;INDIRECT(ADDRESS(11+MATCH(LEFT(Table20[[#This Row],[Min]],FIND("-",Table20[[#This Row],[Min]])-1),Table1[Content Sku],0),18,1,1,"Entities")),"review","ok"),"ok")</f>
        <v>ok</v>
      </c>
    </row>
    <row r="829" spans="5:41" x14ac:dyDescent="0.25">
      <c r="E829" t="s">
        <v>289</v>
      </c>
      <c r="F829">
        <v>0</v>
      </c>
      <c r="G829">
        <v>0</v>
      </c>
      <c r="H829" t="s">
        <v>8</v>
      </c>
      <c r="I829" s="74" t="str">
        <f ca="1">IF(Table7[[#This Row],[Type]]="KILL",IF(_xlfn.NUMBERVALUE(RIGHT(Table7[[#This Row],[Min]],LEN(Table7[[#This Row],[Min]])-FIND("-",Table7[[#This Row],[Min]])))&gt;INDIRECT(ADDRESS(11+MATCH(LEFT(Table7[[#This Row],[Min]],FIND("-",Table7[[#This Row],[Min]])-1),Table1[Content Sku],0),16,1,1,"Entities")),"review","ok"),"ok")</f>
        <v>ok</v>
      </c>
      <c r="U829" t="s">
        <v>545</v>
      </c>
      <c r="V829">
        <v>17000</v>
      </c>
      <c r="W829">
        <v>0</v>
      </c>
      <c r="X829" t="s">
        <v>205</v>
      </c>
      <c r="Y829" s="74" t="str">
        <f ca="1">IF(Table15[[#This Row],[Type]]="KILL",IF(_xlfn.NUMBERVALUE(RIGHT(Table15[[#This Row],[Min]],LEN(Table15[[#This Row],[Min]])-FIND("-",Table15[[#This Row],[Min]])))&gt;INDIRECT(ADDRESS(11+MATCH(LEFT(Table15[[#This Row],[Min]],FIND("-",Table15[[#This Row],[Min]])-1),Table1[Content Sku],0),16,1,1,"Entities")),"review","ok"),"ok")</f>
        <v>ok</v>
      </c>
      <c r="AK829" t="s">
        <v>2741</v>
      </c>
      <c r="AL829">
        <v>0</v>
      </c>
      <c r="AM829">
        <v>0</v>
      </c>
      <c r="AN829" t="s">
        <v>8</v>
      </c>
      <c r="AO829" s="74" t="str">
        <f ca="1">IF(Table20[[#This Row],[Type]]="KILL",IF(_xlfn.NUMBERVALUE(RIGHT(Table20[[#This Row],[Min]],LEN(Table20[[#This Row],[Min]])-FIND("-",Table20[[#This Row],[Min]])))&gt;INDIRECT(ADDRESS(11+MATCH(LEFT(Table20[[#This Row],[Min]],FIND("-",Table20[[#This Row],[Min]])-1),Table1[Content Sku],0),18,1,1,"Entities")),"review","ok"),"ok")</f>
        <v>ok</v>
      </c>
    </row>
    <row r="830" spans="5:41" x14ac:dyDescent="0.25">
      <c r="E830" t="s">
        <v>311</v>
      </c>
      <c r="F830">
        <v>0</v>
      </c>
      <c r="G830">
        <v>0</v>
      </c>
      <c r="H830" t="s">
        <v>8</v>
      </c>
      <c r="I830" s="74" t="str">
        <f ca="1">IF(Table7[[#This Row],[Type]]="KILL",IF(_xlfn.NUMBERVALUE(RIGHT(Table7[[#This Row],[Min]],LEN(Table7[[#This Row],[Min]])-FIND("-",Table7[[#This Row],[Min]])))&gt;INDIRECT(ADDRESS(11+MATCH(LEFT(Table7[[#This Row],[Min]],FIND("-",Table7[[#This Row],[Min]])-1),Table1[Content Sku],0),16,1,1,"Entities")),"review","ok"),"ok")</f>
        <v>ok</v>
      </c>
      <c r="U830" t="s">
        <v>313</v>
      </c>
      <c r="V830">
        <v>0</v>
      </c>
      <c r="W830">
        <v>0</v>
      </c>
      <c r="X830" t="s">
        <v>8</v>
      </c>
      <c r="Y830" s="74" t="str">
        <f ca="1">IF(Table15[[#This Row],[Type]]="KILL",IF(_xlfn.NUMBERVALUE(RIGHT(Table15[[#This Row],[Min]],LEN(Table15[[#This Row],[Min]])-FIND("-",Table15[[#This Row],[Min]])))&gt;INDIRECT(ADDRESS(11+MATCH(LEFT(Table15[[#This Row],[Min]],FIND("-",Table15[[#This Row],[Min]])-1),Table1[Content Sku],0),16,1,1,"Entities")),"review","ok"),"ok")</f>
        <v>ok</v>
      </c>
      <c r="AK830" t="s">
        <v>2667</v>
      </c>
      <c r="AL830">
        <v>0</v>
      </c>
      <c r="AM830">
        <v>0</v>
      </c>
      <c r="AN830" t="s">
        <v>8</v>
      </c>
      <c r="AO830" s="74" t="str">
        <f ca="1">IF(Table20[[#This Row],[Type]]="KILL",IF(_xlfn.NUMBERVALUE(RIGHT(Table20[[#This Row],[Min]],LEN(Table20[[#This Row],[Min]])-FIND("-",Table20[[#This Row],[Min]])))&gt;INDIRECT(ADDRESS(11+MATCH(LEFT(Table20[[#This Row],[Min]],FIND("-",Table20[[#This Row],[Min]])-1),Table1[Content Sku],0),18,1,1,"Entities")),"review","ok"),"ok")</f>
        <v>ok</v>
      </c>
    </row>
    <row r="831" spans="5:41" x14ac:dyDescent="0.25">
      <c r="E831" t="s">
        <v>253</v>
      </c>
      <c r="F831">
        <v>0</v>
      </c>
      <c r="G831">
        <v>14000</v>
      </c>
      <c r="H831" t="s">
        <v>205</v>
      </c>
      <c r="I831" s="74" t="str">
        <f ca="1">IF(Table7[[#This Row],[Type]]="KILL",IF(_xlfn.NUMBERVALUE(RIGHT(Table7[[#This Row],[Min]],LEN(Table7[[#This Row],[Min]])-FIND("-",Table7[[#This Row],[Min]])))&gt;INDIRECT(ADDRESS(11+MATCH(LEFT(Table7[[#This Row],[Min]],FIND("-",Table7[[#This Row],[Min]])-1),Table1[Content Sku],0),16,1,1,"Entities")),"review","ok"),"ok")</f>
        <v>ok</v>
      </c>
      <c r="U831" t="s">
        <v>254</v>
      </c>
      <c r="V831">
        <v>0</v>
      </c>
      <c r="W831">
        <v>0</v>
      </c>
      <c r="X831" t="s">
        <v>8</v>
      </c>
      <c r="Y831" s="74" t="str">
        <f ca="1">IF(Table15[[#This Row],[Type]]="KILL",IF(_xlfn.NUMBERVALUE(RIGHT(Table15[[#This Row],[Min]],LEN(Table15[[#This Row],[Min]])-FIND("-",Table15[[#This Row],[Min]])))&gt;INDIRECT(ADDRESS(11+MATCH(LEFT(Table15[[#This Row],[Min]],FIND("-",Table15[[#This Row],[Min]])-1),Table1[Content Sku],0),16,1,1,"Entities")),"review","ok"),"ok")</f>
        <v>ok</v>
      </c>
      <c r="AK831" t="s">
        <v>2767</v>
      </c>
      <c r="AL831">
        <v>0</v>
      </c>
      <c r="AM831">
        <v>0</v>
      </c>
      <c r="AN831" t="s">
        <v>8</v>
      </c>
      <c r="AO831" s="74" t="str">
        <f ca="1">IF(Table20[[#This Row],[Type]]="KILL",IF(_xlfn.NUMBERVALUE(RIGHT(Table20[[#This Row],[Min]],LEN(Table20[[#This Row],[Min]])-FIND("-",Table20[[#This Row],[Min]])))&gt;INDIRECT(ADDRESS(11+MATCH(LEFT(Table20[[#This Row],[Min]],FIND("-",Table20[[#This Row],[Min]])-1),Table1[Content Sku],0),18,1,1,"Entities")),"review","ok"),"ok")</f>
        <v>ok</v>
      </c>
    </row>
    <row r="832" spans="5:41" x14ac:dyDescent="0.25">
      <c r="E832" t="s">
        <v>254</v>
      </c>
      <c r="F832">
        <v>0</v>
      </c>
      <c r="G832">
        <v>0</v>
      </c>
      <c r="H832" t="s">
        <v>8</v>
      </c>
      <c r="I832" s="74" t="str">
        <f ca="1">IF(Table7[[#This Row],[Type]]="KILL",IF(_xlfn.NUMBERVALUE(RIGHT(Table7[[#This Row],[Min]],LEN(Table7[[#This Row],[Min]])-FIND("-",Table7[[#This Row],[Min]])))&gt;INDIRECT(ADDRESS(11+MATCH(LEFT(Table7[[#This Row],[Min]],FIND("-",Table7[[#This Row],[Min]])-1),Table1[Content Sku],0),16,1,1,"Entities")),"review","ok"),"ok")</f>
        <v>ok</v>
      </c>
      <c r="U832" t="s">
        <v>460</v>
      </c>
      <c r="V832">
        <v>0</v>
      </c>
      <c r="W832">
        <v>0</v>
      </c>
      <c r="X832" t="s">
        <v>8</v>
      </c>
      <c r="Y832" s="74" t="str">
        <f ca="1">IF(Table15[[#This Row],[Type]]="KILL",IF(_xlfn.NUMBERVALUE(RIGHT(Table15[[#This Row],[Min]],LEN(Table15[[#This Row],[Min]])-FIND("-",Table15[[#This Row],[Min]])))&gt;INDIRECT(ADDRESS(11+MATCH(LEFT(Table15[[#This Row],[Min]],FIND("-",Table15[[#This Row],[Min]])-1),Table1[Content Sku],0),16,1,1,"Entities")),"review","ok"),"ok")</f>
        <v>ok</v>
      </c>
      <c r="AK832" t="s">
        <v>4430</v>
      </c>
      <c r="AL832">
        <v>0</v>
      </c>
      <c r="AM832">
        <v>0</v>
      </c>
      <c r="AN832" t="s">
        <v>8</v>
      </c>
      <c r="AO832" s="74" t="str">
        <f ca="1">IF(Table20[[#This Row],[Type]]="KILL",IF(_xlfn.NUMBERVALUE(RIGHT(Table20[[#This Row],[Min]],LEN(Table20[[#This Row],[Min]])-FIND("-",Table20[[#This Row],[Min]])))&gt;INDIRECT(ADDRESS(11+MATCH(LEFT(Table20[[#This Row],[Min]],FIND("-",Table20[[#This Row],[Min]])-1),Table1[Content Sku],0),18,1,1,"Entities")),"review","ok"),"ok")</f>
        <v>ok</v>
      </c>
    </row>
    <row r="833" spans="5:41" x14ac:dyDescent="0.25">
      <c r="E833" t="s">
        <v>393</v>
      </c>
      <c r="F833">
        <v>0</v>
      </c>
      <c r="G833">
        <v>0</v>
      </c>
      <c r="H833" t="s">
        <v>8</v>
      </c>
      <c r="I833" s="74" t="str">
        <f ca="1">IF(Table7[[#This Row],[Type]]="KILL",IF(_xlfn.NUMBERVALUE(RIGHT(Table7[[#This Row],[Min]],LEN(Table7[[#This Row],[Min]])-FIND("-",Table7[[#This Row],[Min]])))&gt;INDIRECT(ADDRESS(11+MATCH(LEFT(Table7[[#This Row],[Min]],FIND("-",Table7[[#This Row],[Min]])-1),Table1[Content Sku],0),16,1,1,"Entities")),"review","ok"),"ok")</f>
        <v>ok</v>
      </c>
      <c r="U833" t="s">
        <v>545</v>
      </c>
      <c r="V833">
        <v>0</v>
      </c>
      <c r="W833">
        <v>0</v>
      </c>
      <c r="X833" t="s">
        <v>8</v>
      </c>
      <c r="Y833" s="74" t="str">
        <f ca="1">IF(Table15[[#This Row],[Type]]="KILL",IF(_xlfn.NUMBERVALUE(RIGHT(Table15[[#This Row],[Min]],LEN(Table15[[#This Row],[Min]])-FIND("-",Table15[[#This Row],[Min]])))&gt;INDIRECT(ADDRESS(11+MATCH(LEFT(Table15[[#This Row],[Min]],FIND("-",Table15[[#This Row],[Min]])-1),Table1[Content Sku],0),16,1,1,"Entities")),"review","ok"),"ok")</f>
        <v>ok</v>
      </c>
      <c r="AK833" t="s">
        <v>256</v>
      </c>
      <c r="AL833">
        <v>0</v>
      </c>
      <c r="AM833">
        <v>0</v>
      </c>
      <c r="AN833" t="s">
        <v>8</v>
      </c>
      <c r="AO833" s="74" t="str">
        <f ca="1">IF(Table20[[#This Row],[Type]]="KILL",IF(_xlfn.NUMBERVALUE(RIGHT(Table20[[#This Row],[Min]],LEN(Table20[[#This Row],[Min]])-FIND("-",Table20[[#This Row],[Min]])))&gt;INDIRECT(ADDRESS(11+MATCH(LEFT(Table20[[#This Row],[Min]],FIND("-",Table20[[#This Row],[Min]])-1),Table1[Content Sku],0),18,1,1,"Entities")),"review","ok"),"ok")</f>
        <v>ok</v>
      </c>
    </row>
    <row r="834" spans="5:41" x14ac:dyDescent="0.25">
      <c r="E834" t="s">
        <v>254</v>
      </c>
      <c r="F834">
        <v>0</v>
      </c>
      <c r="G834">
        <v>0</v>
      </c>
      <c r="H834" t="s">
        <v>8</v>
      </c>
      <c r="I834" s="74" t="str">
        <f ca="1">IF(Table7[[#This Row],[Type]]="KILL",IF(_xlfn.NUMBERVALUE(RIGHT(Table7[[#This Row],[Min]],LEN(Table7[[#This Row],[Min]])-FIND("-",Table7[[#This Row],[Min]])))&gt;INDIRECT(ADDRESS(11+MATCH(LEFT(Table7[[#This Row],[Min]],FIND("-",Table7[[#This Row],[Min]])-1),Table1[Content Sku],0),16,1,1,"Entities")),"review","ok"),"ok")</f>
        <v>ok</v>
      </c>
      <c r="U834" t="s">
        <v>2747</v>
      </c>
      <c r="V834">
        <v>0</v>
      </c>
      <c r="W834">
        <v>0</v>
      </c>
      <c r="X834" t="s">
        <v>8</v>
      </c>
      <c r="Y834" s="74" t="str">
        <f ca="1">IF(Table15[[#This Row],[Type]]="KILL",IF(_xlfn.NUMBERVALUE(RIGHT(Table15[[#This Row],[Min]],LEN(Table15[[#This Row],[Min]])-FIND("-",Table15[[#This Row],[Min]])))&gt;INDIRECT(ADDRESS(11+MATCH(LEFT(Table15[[#This Row],[Min]],FIND("-",Table15[[#This Row],[Min]])-1),Table1[Content Sku],0),16,1,1,"Entities")),"review","ok"),"ok")</f>
        <v>ok</v>
      </c>
      <c r="AK834" t="s">
        <v>2741</v>
      </c>
      <c r="AL834">
        <v>0</v>
      </c>
      <c r="AM834">
        <v>0</v>
      </c>
      <c r="AN834" t="s">
        <v>8</v>
      </c>
      <c r="AO834" s="74" t="str">
        <f ca="1">IF(Table20[[#This Row],[Type]]="KILL",IF(_xlfn.NUMBERVALUE(RIGHT(Table20[[#This Row],[Min]],LEN(Table20[[#This Row],[Min]])-FIND("-",Table20[[#This Row],[Min]])))&gt;INDIRECT(ADDRESS(11+MATCH(LEFT(Table20[[#This Row],[Min]],FIND("-",Table20[[#This Row],[Min]])-1),Table1[Content Sku],0),18,1,1,"Entities")),"review","ok"),"ok")</f>
        <v>ok</v>
      </c>
    </row>
    <row r="835" spans="5:41" x14ac:dyDescent="0.25">
      <c r="E835" t="s">
        <v>95</v>
      </c>
      <c r="F835">
        <v>0</v>
      </c>
      <c r="G835">
        <v>0</v>
      </c>
      <c r="H835" t="s">
        <v>8</v>
      </c>
      <c r="I835" s="74" t="str">
        <f ca="1">IF(Table7[[#This Row],[Type]]="KILL",IF(_xlfn.NUMBERVALUE(RIGHT(Table7[[#This Row],[Min]],LEN(Table7[[#This Row],[Min]])-FIND("-",Table7[[#This Row],[Min]])))&gt;INDIRECT(ADDRESS(11+MATCH(LEFT(Table7[[#This Row],[Min]],FIND("-",Table7[[#This Row],[Min]])-1),Table1[Content Sku],0),16,1,1,"Entities")),"review","ok"),"ok")</f>
        <v>ok</v>
      </c>
      <c r="U835" t="s">
        <v>253</v>
      </c>
      <c r="V835">
        <v>0</v>
      </c>
      <c r="W835">
        <v>0</v>
      </c>
      <c r="X835" t="s">
        <v>8</v>
      </c>
      <c r="Y835" s="74" t="str">
        <f ca="1">IF(Table15[[#This Row],[Type]]="KILL",IF(_xlfn.NUMBERVALUE(RIGHT(Table15[[#This Row],[Min]],LEN(Table15[[#This Row],[Min]])-FIND("-",Table15[[#This Row],[Min]])))&gt;INDIRECT(ADDRESS(11+MATCH(LEFT(Table15[[#This Row],[Min]],FIND("-",Table15[[#This Row],[Min]])-1),Table1[Content Sku],0),16,1,1,"Entities")),"review","ok"),"ok")</f>
        <v>ok</v>
      </c>
      <c r="AK835" t="s">
        <v>2745</v>
      </c>
      <c r="AL835">
        <v>0</v>
      </c>
      <c r="AM835">
        <v>0</v>
      </c>
      <c r="AN835" t="s">
        <v>8</v>
      </c>
      <c r="AO835" s="74" t="str">
        <f ca="1">IF(Table20[[#This Row],[Type]]="KILL",IF(_xlfn.NUMBERVALUE(RIGHT(Table20[[#This Row],[Min]],LEN(Table20[[#This Row],[Min]])-FIND("-",Table20[[#This Row],[Min]])))&gt;INDIRECT(ADDRESS(11+MATCH(LEFT(Table20[[#This Row],[Min]],FIND("-",Table20[[#This Row],[Min]])-1),Table1[Content Sku],0),18,1,1,"Entities")),"review","ok"),"ok")</f>
        <v>ok</v>
      </c>
    </row>
    <row r="836" spans="5:41" x14ac:dyDescent="0.25">
      <c r="E836" t="s">
        <v>313</v>
      </c>
      <c r="F836">
        <v>0</v>
      </c>
      <c r="G836">
        <v>0</v>
      </c>
      <c r="H836" t="s">
        <v>8</v>
      </c>
      <c r="I836" s="74" t="str">
        <f ca="1">IF(Table7[[#This Row],[Type]]="KILL",IF(_xlfn.NUMBERVALUE(RIGHT(Table7[[#This Row],[Min]],LEN(Table7[[#This Row],[Min]])-FIND("-",Table7[[#This Row],[Min]])))&gt;INDIRECT(ADDRESS(11+MATCH(LEFT(Table7[[#This Row],[Min]],FIND("-",Table7[[#This Row],[Min]])-1),Table1[Content Sku],0),16,1,1,"Entities")),"review","ok"),"ok")</f>
        <v>ok</v>
      </c>
      <c r="U836" t="s">
        <v>21</v>
      </c>
      <c r="V836">
        <v>0</v>
      </c>
      <c r="W836">
        <v>0</v>
      </c>
      <c r="X836" t="s">
        <v>8</v>
      </c>
      <c r="Y836" s="74" t="str">
        <f ca="1">IF(Table15[[#This Row],[Type]]="KILL",IF(_xlfn.NUMBERVALUE(RIGHT(Table15[[#This Row],[Min]],LEN(Table15[[#This Row],[Min]])-FIND("-",Table15[[#This Row],[Min]])))&gt;INDIRECT(ADDRESS(11+MATCH(LEFT(Table15[[#This Row],[Min]],FIND("-",Table15[[#This Row],[Min]])-1),Table1[Content Sku],0),16,1,1,"Entities")),"review","ok"),"ok")</f>
        <v>ok</v>
      </c>
      <c r="AK836" t="s">
        <v>2741</v>
      </c>
      <c r="AL836">
        <v>0</v>
      </c>
      <c r="AM836">
        <v>0</v>
      </c>
      <c r="AN836" t="s">
        <v>8</v>
      </c>
      <c r="AO836" s="74" t="str">
        <f ca="1">IF(Table20[[#This Row],[Type]]="KILL",IF(_xlfn.NUMBERVALUE(RIGHT(Table20[[#This Row],[Min]],LEN(Table20[[#This Row],[Min]])-FIND("-",Table20[[#This Row],[Min]])))&gt;INDIRECT(ADDRESS(11+MATCH(LEFT(Table20[[#This Row],[Min]],FIND("-",Table20[[#This Row],[Min]])-1),Table1[Content Sku],0),18,1,1,"Entities")),"review","ok"),"ok")</f>
        <v>ok</v>
      </c>
    </row>
    <row r="837" spans="5:41" x14ac:dyDescent="0.25">
      <c r="E837" t="s">
        <v>95</v>
      </c>
      <c r="F837">
        <v>0</v>
      </c>
      <c r="G837">
        <v>0</v>
      </c>
      <c r="H837" t="s">
        <v>8</v>
      </c>
      <c r="I837" s="74" t="str">
        <f ca="1">IF(Table7[[#This Row],[Type]]="KILL",IF(_xlfn.NUMBERVALUE(RIGHT(Table7[[#This Row],[Min]],LEN(Table7[[#This Row],[Min]])-FIND("-",Table7[[#This Row],[Min]])))&gt;INDIRECT(ADDRESS(11+MATCH(LEFT(Table7[[#This Row],[Min]],FIND("-",Table7[[#This Row],[Min]])-1),Table1[Content Sku],0),16,1,1,"Entities")),"review","ok"),"ok")</f>
        <v>ok</v>
      </c>
      <c r="U837" t="s">
        <v>548</v>
      </c>
      <c r="V837">
        <v>0</v>
      </c>
      <c r="W837">
        <v>0</v>
      </c>
      <c r="X837" t="s">
        <v>8</v>
      </c>
      <c r="Y837" s="74" t="str">
        <f ca="1">IF(Table15[[#This Row],[Type]]="KILL",IF(_xlfn.NUMBERVALUE(RIGHT(Table15[[#This Row],[Min]],LEN(Table15[[#This Row],[Min]])-FIND("-",Table15[[#This Row],[Min]])))&gt;INDIRECT(ADDRESS(11+MATCH(LEFT(Table15[[#This Row],[Min]],FIND("-",Table15[[#This Row],[Min]])-1),Table1[Content Sku],0),16,1,1,"Entities")),"review","ok"),"ok")</f>
        <v>ok</v>
      </c>
      <c r="AK837" t="s">
        <v>2745</v>
      </c>
      <c r="AL837">
        <v>0</v>
      </c>
      <c r="AM837">
        <v>0</v>
      </c>
      <c r="AN837" t="s">
        <v>8</v>
      </c>
      <c r="AO837" s="74" t="str">
        <f ca="1">IF(Table20[[#This Row],[Type]]="KILL",IF(_xlfn.NUMBERVALUE(RIGHT(Table20[[#This Row],[Min]],LEN(Table20[[#This Row],[Min]])-FIND("-",Table20[[#This Row],[Min]])))&gt;INDIRECT(ADDRESS(11+MATCH(LEFT(Table20[[#This Row],[Min]],FIND("-",Table20[[#This Row],[Min]])-1),Table1[Content Sku],0),18,1,1,"Entities")),"review","ok"),"ok")</f>
        <v>ok</v>
      </c>
    </row>
    <row r="838" spans="5:41" x14ac:dyDescent="0.25">
      <c r="E838" t="s">
        <v>47</v>
      </c>
      <c r="F838">
        <v>0</v>
      </c>
      <c r="G838">
        <v>0</v>
      </c>
      <c r="H838" t="s">
        <v>8</v>
      </c>
      <c r="I838" s="74" t="str">
        <f ca="1">IF(Table7[[#This Row],[Type]]="KILL",IF(_xlfn.NUMBERVALUE(RIGHT(Table7[[#This Row],[Min]],LEN(Table7[[#This Row],[Min]])-FIND("-",Table7[[#This Row],[Min]])))&gt;INDIRECT(ADDRESS(11+MATCH(LEFT(Table7[[#This Row],[Min]],FIND("-",Table7[[#This Row],[Min]])-1),Table1[Content Sku],0),16,1,1,"Entities")),"review","ok"),"ok")</f>
        <v>ok</v>
      </c>
      <c r="U838" t="s">
        <v>315</v>
      </c>
      <c r="V838">
        <v>0</v>
      </c>
      <c r="W838">
        <v>0</v>
      </c>
      <c r="X838" t="s">
        <v>8</v>
      </c>
      <c r="Y838" s="74" t="str">
        <f ca="1">IF(Table15[[#This Row],[Type]]="KILL",IF(_xlfn.NUMBERVALUE(RIGHT(Table15[[#This Row],[Min]],LEN(Table15[[#This Row],[Min]])-FIND("-",Table15[[#This Row],[Min]])))&gt;INDIRECT(ADDRESS(11+MATCH(LEFT(Table15[[#This Row],[Min]],FIND("-",Table15[[#This Row],[Min]])-1),Table1[Content Sku],0),16,1,1,"Entities")),"review","ok"),"ok")</f>
        <v>ok</v>
      </c>
      <c r="AK838" t="s">
        <v>2745</v>
      </c>
      <c r="AL838">
        <v>0</v>
      </c>
      <c r="AM838">
        <v>0</v>
      </c>
      <c r="AN838" t="s">
        <v>8</v>
      </c>
      <c r="AO838" s="74" t="str">
        <f ca="1">IF(Table20[[#This Row],[Type]]="KILL",IF(_xlfn.NUMBERVALUE(RIGHT(Table20[[#This Row],[Min]],LEN(Table20[[#This Row],[Min]])-FIND("-",Table20[[#This Row],[Min]])))&gt;INDIRECT(ADDRESS(11+MATCH(LEFT(Table20[[#This Row],[Min]],FIND("-",Table20[[#This Row],[Min]])-1),Table1[Content Sku],0),18,1,1,"Entities")),"review","ok"),"ok")</f>
        <v>ok</v>
      </c>
    </row>
    <row r="839" spans="5:41" x14ac:dyDescent="0.25">
      <c r="E839" t="s">
        <v>21</v>
      </c>
      <c r="F839">
        <v>0</v>
      </c>
      <c r="G839">
        <v>0</v>
      </c>
      <c r="H839" t="s">
        <v>8</v>
      </c>
      <c r="I839" s="74" t="str">
        <f ca="1">IF(Table7[[#This Row],[Type]]="KILL",IF(_xlfn.NUMBERVALUE(RIGHT(Table7[[#This Row],[Min]],LEN(Table7[[#This Row],[Min]])-FIND("-",Table7[[#This Row],[Min]])))&gt;INDIRECT(ADDRESS(11+MATCH(LEFT(Table7[[#This Row],[Min]],FIND("-",Table7[[#This Row],[Min]])-1),Table1[Content Sku],0),16,1,1,"Entities")),"review","ok"),"ok")</f>
        <v>ok</v>
      </c>
      <c r="U839" t="s">
        <v>293</v>
      </c>
      <c r="V839">
        <v>0</v>
      </c>
      <c r="W839">
        <v>0</v>
      </c>
      <c r="X839" t="s">
        <v>8</v>
      </c>
      <c r="Y839" s="74" t="str">
        <f ca="1">IF(Table15[[#This Row],[Type]]="KILL",IF(_xlfn.NUMBERVALUE(RIGHT(Table15[[#This Row],[Min]],LEN(Table15[[#This Row],[Min]])-FIND("-",Table15[[#This Row],[Min]])))&gt;INDIRECT(ADDRESS(11+MATCH(LEFT(Table15[[#This Row],[Min]],FIND("-",Table15[[#This Row],[Min]])-1),Table1[Content Sku],0),16,1,1,"Entities")),"review","ok"),"ok")</f>
        <v>ok</v>
      </c>
      <c r="AK839" t="s">
        <v>311</v>
      </c>
      <c r="AL839">
        <v>35000</v>
      </c>
      <c r="AM839">
        <v>0</v>
      </c>
      <c r="AN839" t="s">
        <v>205</v>
      </c>
      <c r="AO839" s="74" t="str">
        <f ca="1">IF(Table20[[#This Row],[Type]]="KILL",IF(_xlfn.NUMBERVALUE(RIGHT(Table20[[#This Row],[Min]],LEN(Table20[[#This Row],[Min]])-FIND("-",Table20[[#This Row],[Min]])))&gt;INDIRECT(ADDRESS(11+MATCH(LEFT(Table20[[#This Row],[Min]],FIND("-",Table20[[#This Row],[Min]])-1),Table1[Content Sku],0),18,1,1,"Entities")),"review","ok"),"ok")</f>
        <v>ok</v>
      </c>
    </row>
    <row r="840" spans="5:41" x14ac:dyDescent="0.25">
      <c r="E840" t="s">
        <v>313</v>
      </c>
      <c r="F840">
        <v>0</v>
      </c>
      <c r="G840">
        <v>0</v>
      </c>
      <c r="H840" t="s">
        <v>8</v>
      </c>
      <c r="I840" s="74" t="str">
        <f ca="1">IF(Table7[[#This Row],[Type]]="KILL",IF(_xlfn.NUMBERVALUE(RIGHT(Table7[[#This Row],[Min]],LEN(Table7[[#This Row],[Min]])-FIND("-",Table7[[#This Row],[Min]])))&gt;INDIRECT(ADDRESS(11+MATCH(LEFT(Table7[[#This Row],[Min]],FIND("-",Table7[[#This Row],[Min]])-1),Table1[Content Sku],0),16,1,1,"Entities")),"review","ok"),"ok")</f>
        <v>ok</v>
      </c>
      <c r="U840" t="s">
        <v>95</v>
      </c>
      <c r="V840">
        <v>0</v>
      </c>
      <c r="W840">
        <v>0</v>
      </c>
      <c r="X840" t="s">
        <v>8</v>
      </c>
      <c r="Y840" s="74" t="str">
        <f ca="1">IF(Table15[[#This Row],[Type]]="KILL",IF(_xlfn.NUMBERVALUE(RIGHT(Table15[[#This Row],[Min]],LEN(Table15[[#This Row],[Min]])-FIND("-",Table15[[#This Row],[Min]])))&gt;INDIRECT(ADDRESS(11+MATCH(LEFT(Table15[[#This Row],[Min]],FIND("-",Table15[[#This Row],[Min]])-1),Table1[Content Sku],0),16,1,1,"Entities")),"review","ok"),"ok")</f>
        <v>ok</v>
      </c>
      <c r="AK840" t="s">
        <v>2670</v>
      </c>
      <c r="AL840">
        <v>0</v>
      </c>
      <c r="AM840">
        <v>0</v>
      </c>
      <c r="AN840" t="s">
        <v>8</v>
      </c>
      <c r="AO840" s="74" t="str">
        <f ca="1">IF(Table20[[#This Row],[Type]]="KILL",IF(_xlfn.NUMBERVALUE(RIGHT(Table20[[#This Row],[Min]],LEN(Table20[[#This Row],[Min]])-FIND("-",Table20[[#This Row],[Min]])))&gt;INDIRECT(ADDRESS(11+MATCH(LEFT(Table20[[#This Row],[Min]],FIND("-",Table20[[#This Row],[Min]])-1),Table1[Content Sku],0),18,1,1,"Entities")),"review","ok"),"ok")</f>
        <v>ok</v>
      </c>
    </row>
    <row r="841" spans="5:41" x14ac:dyDescent="0.25">
      <c r="E841" t="s">
        <v>545</v>
      </c>
      <c r="F841">
        <v>0</v>
      </c>
      <c r="G841">
        <v>0</v>
      </c>
      <c r="H841" t="s">
        <v>8</v>
      </c>
      <c r="I841" s="74" t="str">
        <f ca="1">IF(Table7[[#This Row],[Type]]="KILL",IF(_xlfn.NUMBERVALUE(RIGHT(Table7[[#This Row],[Min]],LEN(Table7[[#This Row],[Min]])-FIND("-",Table7[[#This Row],[Min]])))&gt;INDIRECT(ADDRESS(11+MATCH(LEFT(Table7[[#This Row],[Min]],FIND("-",Table7[[#This Row],[Min]])-1),Table1[Content Sku],0),16,1,1,"Entities")),"review","ok"),"ok")</f>
        <v>ok</v>
      </c>
      <c r="U841" t="s">
        <v>54</v>
      </c>
      <c r="V841">
        <v>0</v>
      </c>
      <c r="W841">
        <v>0</v>
      </c>
      <c r="X841" t="s">
        <v>8</v>
      </c>
      <c r="Y841" s="74" t="str">
        <f ca="1">IF(Table15[[#This Row],[Type]]="KILL",IF(_xlfn.NUMBERVALUE(RIGHT(Table15[[#This Row],[Min]],LEN(Table15[[#This Row],[Min]])-FIND("-",Table15[[#This Row],[Min]])))&gt;INDIRECT(ADDRESS(11+MATCH(LEFT(Table15[[#This Row],[Min]],FIND("-",Table15[[#This Row],[Min]])-1),Table1[Content Sku],0),16,1,1,"Entities")),"review","ok"),"ok")</f>
        <v>ok</v>
      </c>
      <c r="AK841" t="s">
        <v>37</v>
      </c>
      <c r="AL841">
        <v>0</v>
      </c>
      <c r="AM841">
        <v>0</v>
      </c>
      <c r="AN841" t="s">
        <v>8</v>
      </c>
      <c r="AO841" s="74" t="str">
        <f ca="1">IF(Table20[[#This Row],[Type]]="KILL",IF(_xlfn.NUMBERVALUE(RIGHT(Table20[[#This Row],[Min]],LEN(Table20[[#This Row],[Min]])-FIND("-",Table20[[#This Row],[Min]])))&gt;INDIRECT(ADDRESS(11+MATCH(LEFT(Table20[[#This Row],[Min]],FIND("-",Table20[[#This Row],[Min]])-1),Table1[Content Sku],0),18,1,1,"Entities")),"review","ok"),"ok")</f>
        <v>ok</v>
      </c>
    </row>
    <row r="842" spans="5:41" x14ac:dyDescent="0.25">
      <c r="E842" t="s">
        <v>396</v>
      </c>
      <c r="F842">
        <v>6000</v>
      </c>
      <c r="G842">
        <v>0</v>
      </c>
      <c r="H842" t="s">
        <v>205</v>
      </c>
      <c r="I842" s="74" t="str">
        <f ca="1">IF(Table7[[#This Row],[Type]]="KILL",IF(_xlfn.NUMBERVALUE(RIGHT(Table7[[#This Row],[Min]],LEN(Table7[[#This Row],[Min]])-FIND("-",Table7[[#This Row],[Min]])))&gt;INDIRECT(ADDRESS(11+MATCH(LEFT(Table7[[#This Row],[Min]],FIND("-",Table7[[#This Row],[Min]])-1),Table1[Content Sku],0),16,1,1,"Entities")),"review","ok"),"ok")</f>
        <v>ok</v>
      </c>
      <c r="U842" t="s">
        <v>278</v>
      </c>
      <c r="V842">
        <v>0</v>
      </c>
      <c r="W842">
        <v>35000</v>
      </c>
      <c r="X842" t="s">
        <v>205</v>
      </c>
      <c r="Y842" s="74" t="str">
        <f ca="1">IF(Table15[[#This Row],[Type]]="KILL",IF(_xlfn.NUMBERVALUE(RIGHT(Table15[[#This Row],[Min]],LEN(Table15[[#This Row],[Min]])-FIND("-",Table15[[#This Row],[Min]])))&gt;INDIRECT(ADDRESS(11+MATCH(LEFT(Table15[[#This Row],[Min]],FIND("-",Table15[[#This Row],[Min]])-1),Table1[Content Sku],0),16,1,1,"Entities")),"review","ok"),"ok")</f>
        <v>ok</v>
      </c>
      <c r="AK842" t="s">
        <v>400</v>
      </c>
      <c r="AL842">
        <v>0</v>
      </c>
      <c r="AM842">
        <v>0</v>
      </c>
      <c r="AN842" t="s">
        <v>8</v>
      </c>
      <c r="AO842" s="74" t="str">
        <f ca="1">IF(Table20[[#This Row],[Type]]="KILL",IF(_xlfn.NUMBERVALUE(RIGHT(Table20[[#This Row],[Min]],LEN(Table20[[#This Row],[Min]])-FIND("-",Table20[[#This Row],[Min]])))&gt;INDIRECT(ADDRESS(11+MATCH(LEFT(Table20[[#This Row],[Min]],FIND("-",Table20[[#This Row],[Min]])-1),Table1[Content Sku],0),18,1,1,"Entities")),"review","ok"),"ok")</f>
        <v>ok</v>
      </c>
    </row>
    <row r="843" spans="5:41" x14ac:dyDescent="0.25">
      <c r="E843" t="s">
        <v>2443</v>
      </c>
      <c r="F843">
        <v>0</v>
      </c>
      <c r="G843">
        <v>0</v>
      </c>
      <c r="H843" t="s">
        <v>8</v>
      </c>
      <c r="I843" s="74" t="str">
        <f ca="1">IF(Table7[[#This Row],[Type]]="KILL",IF(_xlfn.NUMBERVALUE(RIGHT(Table7[[#This Row],[Min]],LEN(Table7[[#This Row],[Min]])-FIND("-",Table7[[#This Row],[Min]])))&gt;INDIRECT(ADDRESS(11+MATCH(LEFT(Table7[[#This Row],[Min]],FIND("-",Table7[[#This Row],[Min]])-1),Table1[Content Sku],0),16,1,1,"Entities")),"review","ok"),"ok")</f>
        <v>ok</v>
      </c>
      <c r="U843" t="s">
        <v>254</v>
      </c>
      <c r="V843">
        <v>0</v>
      </c>
      <c r="W843">
        <v>0</v>
      </c>
      <c r="X843" t="s">
        <v>8</v>
      </c>
      <c r="Y843" s="74" t="str">
        <f ca="1">IF(Table15[[#This Row],[Type]]="KILL",IF(_xlfn.NUMBERVALUE(RIGHT(Table15[[#This Row],[Min]],LEN(Table15[[#This Row],[Min]])-FIND("-",Table15[[#This Row],[Min]])))&gt;INDIRECT(ADDRESS(11+MATCH(LEFT(Table15[[#This Row],[Min]],FIND("-",Table15[[#This Row],[Min]])-1),Table1[Content Sku],0),16,1,1,"Entities")),"review","ok"),"ok")</f>
        <v>ok</v>
      </c>
      <c r="AK843" t="s">
        <v>2767</v>
      </c>
      <c r="AL843">
        <v>0</v>
      </c>
      <c r="AM843">
        <v>0</v>
      </c>
      <c r="AN843" t="s">
        <v>8</v>
      </c>
      <c r="AO843" s="74" t="str">
        <f ca="1">IF(Table20[[#This Row],[Type]]="KILL",IF(_xlfn.NUMBERVALUE(RIGHT(Table20[[#This Row],[Min]],LEN(Table20[[#This Row],[Min]])-FIND("-",Table20[[#This Row],[Min]])))&gt;INDIRECT(ADDRESS(11+MATCH(LEFT(Table20[[#This Row],[Min]],FIND("-",Table20[[#This Row],[Min]])-1),Table1[Content Sku],0),18,1,1,"Entities")),"review","ok"),"ok")</f>
        <v>ok</v>
      </c>
    </row>
    <row r="844" spans="5:41" x14ac:dyDescent="0.25">
      <c r="E844" t="s">
        <v>315</v>
      </c>
      <c r="F844">
        <v>0</v>
      </c>
      <c r="G844">
        <v>0</v>
      </c>
      <c r="H844" t="s">
        <v>8</v>
      </c>
      <c r="I844" s="74" t="str">
        <f ca="1">IF(Table7[[#This Row],[Type]]="KILL",IF(_xlfn.NUMBERVALUE(RIGHT(Table7[[#This Row],[Min]],LEN(Table7[[#This Row],[Min]])-FIND("-",Table7[[#This Row],[Min]])))&gt;INDIRECT(ADDRESS(11+MATCH(LEFT(Table7[[#This Row],[Min]],FIND("-",Table7[[#This Row],[Min]])-1),Table1[Content Sku],0),16,1,1,"Entities")),"review","ok"),"ok")</f>
        <v>ok</v>
      </c>
      <c r="U844" t="s">
        <v>95</v>
      </c>
      <c r="V844">
        <v>0</v>
      </c>
      <c r="W844">
        <v>0</v>
      </c>
      <c r="X844" t="s">
        <v>8</v>
      </c>
      <c r="Y844" s="74" t="str">
        <f ca="1">IF(Table15[[#This Row],[Type]]="KILL",IF(_xlfn.NUMBERVALUE(RIGHT(Table15[[#This Row],[Min]],LEN(Table15[[#This Row],[Min]])-FIND("-",Table15[[#This Row],[Min]])))&gt;INDIRECT(ADDRESS(11+MATCH(LEFT(Table15[[#This Row],[Min]],FIND("-",Table15[[#This Row],[Min]])-1),Table1[Content Sku],0),16,1,1,"Entities")),"review","ok"),"ok")</f>
        <v>ok</v>
      </c>
      <c r="AK844" t="s">
        <v>2745</v>
      </c>
      <c r="AL844">
        <v>0</v>
      </c>
      <c r="AM844">
        <v>0</v>
      </c>
      <c r="AN844" t="s">
        <v>8</v>
      </c>
      <c r="AO844" s="74" t="str">
        <f ca="1">IF(Table20[[#This Row],[Type]]="KILL",IF(_xlfn.NUMBERVALUE(RIGHT(Table20[[#This Row],[Min]],LEN(Table20[[#This Row],[Min]])-FIND("-",Table20[[#This Row],[Min]])))&gt;INDIRECT(ADDRESS(11+MATCH(LEFT(Table20[[#This Row],[Min]],FIND("-",Table20[[#This Row],[Min]])-1),Table1[Content Sku],0),18,1,1,"Entities")),"review","ok"),"ok")</f>
        <v>ok</v>
      </c>
    </row>
    <row r="845" spans="5:41" x14ac:dyDescent="0.25">
      <c r="E845" t="s">
        <v>39</v>
      </c>
      <c r="F845">
        <v>0</v>
      </c>
      <c r="G845">
        <v>0</v>
      </c>
      <c r="H845" t="s">
        <v>8</v>
      </c>
      <c r="I845" s="74" t="str">
        <f ca="1">IF(Table7[[#This Row],[Type]]="KILL",IF(_xlfn.NUMBERVALUE(RIGHT(Table7[[#This Row],[Min]],LEN(Table7[[#This Row],[Min]])-FIND("-",Table7[[#This Row],[Min]])))&gt;INDIRECT(ADDRESS(11+MATCH(LEFT(Table7[[#This Row],[Min]],FIND("-",Table7[[#This Row],[Min]])-1),Table1[Content Sku],0),16,1,1,"Entities")),"review","ok"),"ok")</f>
        <v>ok</v>
      </c>
      <c r="U845" t="s">
        <v>309</v>
      </c>
      <c r="V845">
        <v>0</v>
      </c>
      <c r="W845">
        <v>0</v>
      </c>
      <c r="X845" t="s">
        <v>8</v>
      </c>
      <c r="Y845" s="74" t="str">
        <f ca="1">IF(Table15[[#This Row],[Type]]="KILL",IF(_xlfn.NUMBERVALUE(RIGHT(Table15[[#This Row],[Min]],LEN(Table15[[#This Row],[Min]])-FIND("-",Table15[[#This Row],[Min]])))&gt;INDIRECT(ADDRESS(11+MATCH(LEFT(Table15[[#This Row],[Min]],FIND("-",Table15[[#This Row],[Min]])-1),Table1[Content Sku],0),16,1,1,"Entities")),"review","ok"),"ok")</f>
        <v>ok</v>
      </c>
      <c r="AK845" t="s">
        <v>2741</v>
      </c>
      <c r="AL845">
        <v>0</v>
      </c>
      <c r="AM845">
        <v>0</v>
      </c>
      <c r="AN845" t="s">
        <v>8</v>
      </c>
      <c r="AO845" s="74" t="str">
        <f ca="1">IF(Table20[[#This Row],[Type]]="KILL",IF(_xlfn.NUMBERVALUE(RIGHT(Table20[[#This Row],[Min]],LEN(Table20[[#This Row],[Min]])-FIND("-",Table20[[#This Row],[Min]])))&gt;INDIRECT(ADDRESS(11+MATCH(LEFT(Table20[[#This Row],[Min]],FIND("-",Table20[[#This Row],[Min]])-1),Table1[Content Sku],0),18,1,1,"Entities")),"review","ok"),"ok")</f>
        <v>ok</v>
      </c>
    </row>
    <row r="846" spans="5:41" x14ac:dyDescent="0.25">
      <c r="E846" t="s">
        <v>286</v>
      </c>
      <c r="F846">
        <v>0</v>
      </c>
      <c r="G846">
        <v>0</v>
      </c>
      <c r="H846" t="s">
        <v>8</v>
      </c>
      <c r="I846" s="74" t="str">
        <f ca="1">IF(Table7[[#This Row],[Type]]="KILL",IF(_xlfn.NUMBERVALUE(RIGHT(Table7[[#This Row],[Min]],LEN(Table7[[#This Row],[Min]])-FIND("-",Table7[[#This Row],[Min]])))&gt;INDIRECT(ADDRESS(11+MATCH(LEFT(Table7[[#This Row],[Min]],FIND("-",Table7[[#This Row],[Min]])-1),Table1[Content Sku],0),16,1,1,"Entities")),"review","ok"),"ok")</f>
        <v>ok</v>
      </c>
      <c r="U846" t="s">
        <v>315</v>
      </c>
      <c r="V846">
        <v>0</v>
      </c>
      <c r="W846">
        <v>0</v>
      </c>
      <c r="X846" t="s">
        <v>8</v>
      </c>
      <c r="Y846" s="74" t="str">
        <f ca="1">IF(Table15[[#This Row],[Type]]="KILL",IF(_xlfn.NUMBERVALUE(RIGHT(Table15[[#This Row],[Min]],LEN(Table15[[#This Row],[Min]])-FIND("-",Table15[[#This Row],[Min]])))&gt;INDIRECT(ADDRESS(11+MATCH(LEFT(Table15[[#This Row],[Min]],FIND("-",Table15[[#This Row],[Min]])-1),Table1[Content Sku],0),16,1,1,"Entities")),"review","ok"),"ok")</f>
        <v>ok</v>
      </c>
      <c r="AK846" t="s">
        <v>37</v>
      </c>
      <c r="AL846">
        <v>20000</v>
      </c>
      <c r="AM846">
        <v>0</v>
      </c>
      <c r="AN846" t="s">
        <v>205</v>
      </c>
      <c r="AO846" s="74" t="str">
        <f ca="1">IF(Table20[[#This Row],[Type]]="KILL",IF(_xlfn.NUMBERVALUE(RIGHT(Table20[[#This Row],[Min]],LEN(Table20[[#This Row],[Min]])-FIND("-",Table20[[#This Row],[Min]])))&gt;INDIRECT(ADDRESS(11+MATCH(LEFT(Table20[[#This Row],[Min]],FIND("-",Table20[[#This Row],[Min]])-1),Table1[Content Sku],0),18,1,1,"Entities")),"review","ok"),"ok")</f>
        <v>ok</v>
      </c>
    </row>
    <row r="847" spans="5:41" x14ac:dyDescent="0.25">
      <c r="E847" t="s">
        <v>39</v>
      </c>
      <c r="F847">
        <v>0</v>
      </c>
      <c r="G847">
        <v>7000</v>
      </c>
      <c r="H847" t="s">
        <v>205</v>
      </c>
      <c r="I847" s="74" t="str">
        <f ca="1">IF(Table7[[#This Row],[Type]]="KILL",IF(_xlfn.NUMBERVALUE(RIGHT(Table7[[#This Row],[Min]],LEN(Table7[[#This Row],[Min]])-FIND("-",Table7[[#This Row],[Min]])))&gt;INDIRECT(ADDRESS(11+MATCH(LEFT(Table7[[#This Row],[Min]],FIND("-",Table7[[#This Row],[Min]])-1),Table1[Content Sku],0),16,1,1,"Entities")),"review","ok"),"ok")</f>
        <v>ok</v>
      </c>
      <c r="U847" t="s">
        <v>62</v>
      </c>
      <c r="V847">
        <v>0</v>
      </c>
      <c r="W847">
        <v>0</v>
      </c>
      <c r="X847" t="s">
        <v>8</v>
      </c>
      <c r="Y847" s="74" t="str">
        <f ca="1">IF(Table15[[#This Row],[Type]]="KILL",IF(_xlfn.NUMBERVALUE(RIGHT(Table15[[#This Row],[Min]],LEN(Table15[[#This Row],[Min]])-FIND("-",Table15[[#This Row],[Min]])))&gt;INDIRECT(ADDRESS(11+MATCH(LEFT(Table15[[#This Row],[Min]],FIND("-",Table15[[#This Row],[Min]])-1),Table1[Content Sku],0),16,1,1,"Entities")),"review","ok"),"ok")</f>
        <v>ok</v>
      </c>
      <c r="AK847" t="s">
        <v>2741</v>
      </c>
      <c r="AL847">
        <v>0</v>
      </c>
      <c r="AM847">
        <v>0</v>
      </c>
      <c r="AN847" t="s">
        <v>8</v>
      </c>
      <c r="AO847" s="74" t="str">
        <f ca="1">IF(Table20[[#This Row],[Type]]="KILL",IF(_xlfn.NUMBERVALUE(RIGHT(Table20[[#This Row],[Min]],LEN(Table20[[#This Row],[Min]])-FIND("-",Table20[[#This Row],[Min]])))&gt;INDIRECT(ADDRESS(11+MATCH(LEFT(Table20[[#This Row],[Min]],FIND("-",Table20[[#This Row],[Min]])-1),Table1[Content Sku],0),18,1,1,"Entities")),"review","ok"),"ok")</f>
        <v>ok</v>
      </c>
    </row>
    <row r="848" spans="5:41" x14ac:dyDescent="0.25">
      <c r="E848" t="s">
        <v>418</v>
      </c>
      <c r="F848">
        <v>0</v>
      </c>
      <c r="G848">
        <v>0</v>
      </c>
      <c r="H848" t="s">
        <v>8</v>
      </c>
      <c r="I848" s="74" t="str">
        <f ca="1">IF(Table7[[#This Row],[Type]]="KILL",IF(_xlfn.NUMBERVALUE(RIGHT(Table7[[#This Row],[Min]],LEN(Table7[[#This Row],[Min]])-FIND("-",Table7[[#This Row],[Min]])))&gt;INDIRECT(ADDRESS(11+MATCH(LEFT(Table7[[#This Row],[Min]],FIND("-",Table7[[#This Row],[Min]])-1),Table1[Content Sku],0),16,1,1,"Entities")),"review","ok"),"ok")</f>
        <v>ok</v>
      </c>
      <c r="U848" t="s">
        <v>391</v>
      </c>
      <c r="V848">
        <v>0</v>
      </c>
      <c r="W848">
        <v>0</v>
      </c>
      <c r="X848" t="s">
        <v>8</v>
      </c>
      <c r="Y848" s="74" t="str">
        <f ca="1">IF(Table15[[#This Row],[Type]]="KILL",IF(_xlfn.NUMBERVALUE(RIGHT(Table15[[#This Row],[Min]],LEN(Table15[[#This Row],[Min]])-FIND("-",Table15[[#This Row],[Min]])))&gt;INDIRECT(ADDRESS(11+MATCH(LEFT(Table15[[#This Row],[Min]],FIND("-",Table15[[#This Row],[Min]])-1),Table1[Content Sku],0),16,1,1,"Entities")),"review","ok"),"ok")</f>
        <v>ok</v>
      </c>
      <c r="AK848" t="s">
        <v>2745</v>
      </c>
      <c r="AL848">
        <v>0</v>
      </c>
      <c r="AM848">
        <v>0</v>
      </c>
      <c r="AN848" t="s">
        <v>8</v>
      </c>
      <c r="AO848" s="74" t="str">
        <f ca="1">IF(Table20[[#This Row],[Type]]="KILL",IF(_xlfn.NUMBERVALUE(RIGHT(Table20[[#This Row],[Min]],LEN(Table20[[#This Row],[Min]])-FIND("-",Table20[[#This Row],[Min]])))&gt;INDIRECT(ADDRESS(11+MATCH(LEFT(Table20[[#This Row],[Min]],FIND("-",Table20[[#This Row],[Min]])-1),Table1[Content Sku],0),18,1,1,"Entities")),"review","ok"),"ok")</f>
        <v>ok</v>
      </c>
    </row>
    <row r="849" spans="5:41" x14ac:dyDescent="0.25">
      <c r="E849" t="s">
        <v>313</v>
      </c>
      <c r="F849">
        <v>0</v>
      </c>
      <c r="G849">
        <v>0</v>
      </c>
      <c r="H849" t="s">
        <v>8</v>
      </c>
      <c r="I849" s="74" t="str">
        <f ca="1">IF(Table7[[#This Row],[Type]]="KILL",IF(_xlfn.NUMBERVALUE(RIGHT(Table7[[#This Row],[Min]],LEN(Table7[[#This Row],[Min]])-FIND("-",Table7[[#This Row],[Min]])))&gt;INDIRECT(ADDRESS(11+MATCH(LEFT(Table7[[#This Row],[Min]],FIND("-",Table7[[#This Row],[Min]])-1),Table1[Content Sku],0),16,1,1,"Entities")),"review","ok"),"ok")</f>
        <v>ok</v>
      </c>
      <c r="U849" t="s">
        <v>545</v>
      </c>
      <c r="V849">
        <v>0</v>
      </c>
      <c r="W849">
        <v>0</v>
      </c>
      <c r="X849" t="s">
        <v>8</v>
      </c>
      <c r="Y849" s="74" t="str">
        <f ca="1">IF(Table15[[#This Row],[Type]]="KILL",IF(_xlfn.NUMBERVALUE(RIGHT(Table15[[#This Row],[Min]],LEN(Table15[[#This Row],[Min]])-FIND("-",Table15[[#This Row],[Min]])))&gt;INDIRECT(ADDRESS(11+MATCH(LEFT(Table15[[#This Row],[Min]],FIND("-",Table15[[#This Row],[Min]])-1),Table1[Content Sku],0),16,1,1,"Entities")),"review","ok"),"ok")</f>
        <v>ok</v>
      </c>
      <c r="AK849" t="s">
        <v>2741</v>
      </c>
      <c r="AL849">
        <v>0</v>
      </c>
      <c r="AM849">
        <v>0</v>
      </c>
      <c r="AN849" t="s">
        <v>8</v>
      </c>
      <c r="AO849" s="74" t="str">
        <f ca="1">IF(Table20[[#This Row],[Type]]="KILL",IF(_xlfn.NUMBERVALUE(RIGHT(Table20[[#This Row],[Min]],LEN(Table20[[#This Row],[Min]])-FIND("-",Table20[[#This Row],[Min]])))&gt;INDIRECT(ADDRESS(11+MATCH(LEFT(Table20[[#This Row],[Min]],FIND("-",Table20[[#This Row],[Min]])-1),Table1[Content Sku],0),18,1,1,"Entities")),"review","ok"),"ok")</f>
        <v>ok</v>
      </c>
    </row>
    <row r="850" spans="5:41" x14ac:dyDescent="0.25">
      <c r="E850" t="s">
        <v>311</v>
      </c>
      <c r="F850">
        <v>0</v>
      </c>
      <c r="G850">
        <v>0</v>
      </c>
      <c r="H850" t="s">
        <v>8</v>
      </c>
      <c r="I850" s="74" t="str">
        <f ca="1">IF(Table7[[#This Row],[Type]]="KILL",IF(_xlfn.NUMBERVALUE(RIGHT(Table7[[#This Row],[Min]],LEN(Table7[[#This Row],[Min]])-FIND("-",Table7[[#This Row],[Min]])))&gt;INDIRECT(ADDRESS(11+MATCH(LEFT(Table7[[#This Row],[Min]],FIND("-",Table7[[#This Row],[Min]])-1),Table1[Content Sku],0),16,1,1,"Entities")),"review","ok"),"ok")</f>
        <v>ok</v>
      </c>
      <c r="U850" t="s">
        <v>283</v>
      </c>
      <c r="V850">
        <v>0</v>
      </c>
      <c r="W850">
        <v>0</v>
      </c>
      <c r="X850" t="s">
        <v>8</v>
      </c>
      <c r="Y850" s="74" t="str">
        <f ca="1">IF(Table15[[#This Row],[Type]]="KILL",IF(_xlfn.NUMBERVALUE(RIGHT(Table15[[#This Row],[Min]],LEN(Table15[[#This Row],[Min]])-FIND("-",Table15[[#This Row],[Min]])))&gt;INDIRECT(ADDRESS(11+MATCH(LEFT(Table15[[#This Row],[Min]],FIND("-",Table15[[#This Row],[Min]])-1),Table1[Content Sku],0),16,1,1,"Entities")),"review","ok"),"ok")</f>
        <v>ok</v>
      </c>
      <c r="AK850" t="s">
        <v>2741</v>
      </c>
      <c r="AL850">
        <v>0</v>
      </c>
      <c r="AM850">
        <v>0</v>
      </c>
      <c r="AN850" t="s">
        <v>8</v>
      </c>
      <c r="AO850" s="74" t="str">
        <f ca="1">IF(Table20[[#This Row],[Type]]="KILL",IF(_xlfn.NUMBERVALUE(RIGHT(Table20[[#This Row],[Min]],LEN(Table20[[#This Row],[Min]])-FIND("-",Table20[[#This Row],[Min]])))&gt;INDIRECT(ADDRESS(11+MATCH(LEFT(Table20[[#This Row],[Min]],FIND("-",Table20[[#This Row],[Min]])-1),Table1[Content Sku],0),18,1,1,"Entities")),"review","ok"),"ok")</f>
        <v>ok</v>
      </c>
    </row>
    <row r="851" spans="5:41" x14ac:dyDescent="0.25">
      <c r="E851" t="s">
        <v>545</v>
      </c>
      <c r="F851">
        <v>0</v>
      </c>
      <c r="G851">
        <v>0</v>
      </c>
      <c r="H851" t="s">
        <v>8</v>
      </c>
      <c r="I851" s="74" t="str">
        <f ca="1">IF(Table7[[#This Row],[Type]]="KILL",IF(_xlfn.NUMBERVALUE(RIGHT(Table7[[#This Row],[Min]],LEN(Table7[[#This Row],[Min]])-FIND("-",Table7[[#This Row],[Min]])))&gt;INDIRECT(ADDRESS(11+MATCH(LEFT(Table7[[#This Row],[Min]],FIND("-",Table7[[#This Row],[Min]])-1),Table1[Content Sku],0),16,1,1,"Entities")),"review","ok"),"ok")</f>
        <v>ok</v>
      </c>
      <c r="U851" t="s">
        <v>49</v>
      </c>
      <c r="V851">
        <v>210</v>
      </c>
      <c r="W851">
        <v>0</v>
      </c>
      <c r="X851" t="s">
        <v>4431</v>
      </c>
      <c r="Y851" s="74" t="str">
        <f ca="1">IF(Table15[[#This Row],[Type]]="KILL",IF(_xlfn.NUMBERVALUE(RIGHT(Table15[[#This Row],[Min]],LEN(Table15[[#This Row],[Min]])-FIND("-",Table15[[#This Row],[Min]])))&gt;INDIRECT(ADDRESS(11+MATCH(LEFT(Table15[[#This Row],[Min]],FIND("-",Table15[[#This Row],[Min]])-1),Table1[Content Sku],0),16,1,1,"Entities")),"review","ok"),"ok")</f>
        <v>ok</v>
      </c>
      <c r="AK851" t="s">
        <v>2662</v>
      </c>
      <c r="AL851">
        <v>0</v>
      </c>
      <c r="AM851">
        <v>0</v>
      </c>
      <c r="AN851" t="s">
        <v>8</v>
      </c>
      <c r="AO851" s="74" t="str">
        <f ca="1">IF(Table20[[#This Row],[Type]]="KILL",IF(_xlfn.NUMBERVALUE(RIGHT(Table20[[#This Row],[Min]],LEN(Table20[[#This Row],[Min]])-FIND("-",Table20[[#This Row],[Min]])))&gt;INDIRECT(ADDRESS(11+MATCH(LEFT(Table20[[#This Row],[Min]],FIND("-",Table20[[#This Row],[Min]])-1),Table1[Content Sku],0),18,1,1,"Entities")),"review","ok"),"ok")</f>
        <v>ok</v>
      </c>
    </row>
    <row r="852" spans="5:41" x14ac:dyDescent="0.25">
      <c r="E852" t="s">
        <v>37</v>
      </c>
      <c r="F852">
        <v>0</v>
      </c>
      <c r="G852">
        <v>0</v>
      </c>
      <c r="H852" t="s">
        <v>8</v>
      </c>
      <c r="I852" s="74" t="str">
        <f ca="1">IF(Table7[[#This Row],[Type]]="KILL",IF(_xlfn.NUMBERVALUE(RIGHT(Table7[[#This Row],[Min]],LEN(Table7[[#This Row],[Min]])-FIND("-",Table7[[#This Row],[Min]])))&gt;INDIRECT(ADDRESS(11+MATCH(LEFT(Table7[[#This Row],[Min]],FIND("-",Table7[[#This Row],[Min]])-1),Table1[Content Sku],0),16,1,1,"Entities")),"review","ok"),"ok")</f>
        <v>ok</v>
      </c>
      <c r="U852" t="s">
        <v>254</v>
      </c>
      <c r="V852">
        <v>0</v>
      </c>
      <c r="W852">
        <v>0</v>
      </c>
      <c r="X852" t="s">
        <v>8</v>
      </c>
      <c r="Y852" s="74" t="str">
        <f ca="1">IF(Table15[[#This Row],[Type]]="KILL",IF(_xlfn.NUMBERVALUE(RIGHT(Table15[[#This Row],[Min]],LEN(Table15[[#This Row],[Min]])-FIND("-",Table15[[#This Row],[Min]])))&gt;INDIRECT(ADDRESS(11+MATCH(LEFT(Table15[[#This Row],[Min]],FIND("-",Table15[[#This Row],[Min]])-1),Table1[Content Sku],0),16,1,1,"Entities")),"review","ok"),"ok")</f>
        <v>ok</v>
      </c>
      <c r="AK852" t="s">
        <v>2741</v>
      </c>
      <c r="AL852">
        <v>0</v>
      </c>
      <c r="AM852">
        <v>0</v>
      </c>
      <c r="AN852" t="s">
        <v>8</v>
      </c>
      <c r="AO852" s="74" t="str">
        <f ca="1">IF(Table20[[#This Row],[Type]]="KILL",IF(_xlfn.NUMBERVALUE(RIGHT(Table20[[#This Row],[Min]],LEN(Table20[[#This Row],[Min]])-FIND("-",Table20[[#This Row],[Min]])))&gt;INDIRECT(ADDRESS(11+MATCH(LEFT(Table20[[#This Row],[Min]],FIND("-",Table20[[#This Row],[Min]])-1),Table1[Content Sku],0),18,1,1,"Entities")),"review","ok"),"ok")</f>
        <v>ok</v>
      </c>
    </row>
    <row r="853" spans="5:41" x14ac:dyDescent="0.25">
      <c r="E853" t="s">
        <v>400</v>
      </c>
      <c r="F853">
        <v>0</v>
      </c>
      <c r="G853">
        <v>0</v>
      </c>
      <c r="H853" t="s">
        <v>8</v>
      </c>
      <c r="I853" s="74" t="str">
        <f ca="1">IF(Table7[[#This Row],[Type]]="KILL",IF(_xlfn.NUMBERVALUE(RIGHT(Table7[[#This Row],[Min]],LEN(Table7[[#This Row],[Min]])-FIND("-",Table7[[#This Row],[Min]])))&gt;INDIRECT(ADDRESS(11+MATCH(LEFT(Table7[[#This Row],[Min]],FIND("-",Table7[[#This Row],[Min]])-1),Table1[Content Sku],0),16,1,1,"Entities")),"review","ok"),"ok")</f>
        <v>ok</v>
      </c>
      <c r="U853" t="s">
        <v>548</v>
      </c>
      <c r="V853">
        <v>0</v>
      </c>
      <c r="W853">
        <v>0</v>
      </c>
      <c r="X853" t="s">
        <v>8</v>
      </c>
      <c r="Y853" s="74" t="str">
        <f ca="1">IF(Table15[[#This Row],[Type]]="KILL",IF(_xlfn.NUMBERVALUE(RIGHT(Table15[[#This Row],[Min]],LEN(Table15[[#This Row],[Min]])-FIND("-",Table15[[#This Row],[Min]])))&gt;INDIRECT(ADDRESS(11+MATCH(LEFT(Table15[[#This Row],[Min]],FIND("-",Table15[[#This Row],[Min]])-1),Table1[Content Sku],0),16,1,1,"Entities")),"review","ok"),"ok")</f>
        <v>ok</v>
      </c>
      <c r="AK853" t="s">
        <v>39</v>
      </c>
      <c r="AL853">
        <v>0</v>
      </c>
      <c r="AM853">
        <v>62000</v>
      </c>
      <c r="AN853" t="s">
        <v>205</v>
      </c>
      <c r="AO853" s="74" t="str">
        <f ca="1">IF(Table20[[#This Row],[Type]]="KILL",IF(_xlfn.NUMBERVALUE(RIGHT(Table20[[#This Row],[Min]],LEN(Table20[[#This Row],[Min]])-FIND("-",Table20[[#This Row],[Min]])))&gt;INDIRECT(ADDRESS(11+MATCH(LEFT(Table20[[#This Row],[Min]],FIND("-",Table20[[#This Row],[Min]])-1),Table1[Content Sku],0),18,1,1,"Entities")),"review","ok"),"ok")</f>
        <v>ok</v>
      </c>
    </row>
    <row r="854" spans="5:41" x14ac:dyDescent="0.25">
      <c r="E854" t="s">
        <v>391</v>
      </c>
      <c r="F854">
        <v>0</v>
      </c>
      <c r="G854">
        <v>0</v>
      </c>
      <c r="H854" t="s">
        <v>8</v>
      </c>
      <c r="I854" s="74" t="str">
        <f ca="1">IF(Table7[[#This Row],[Type]]="KILL",IF(_xlfn.NUMBERVALUE(RIGHT(Table7[[#This Row],[Min]],LEN(Table7[[#This Row],[Min]])-FIND("-",Table7[[#This Row],[Min]])))&gt;INDIRECT(ADDRESS(11+MATCH(LEFT(Table7[[#This Row],[Min]],FIND("-",Table7[[#This Row],[Min]])-1),Table1[Content Sku],0),16,1,1,"Entities")),"review","ok"),"ok")</f>
        <v>ok</v>
      </c>
      <c r="U854" t="s">
        <v>311</v>
      </c>
      <c r="V854">
        <v>0</v>
      </c>
      <c r="W854">
        <v>0</v>
      </c>
      <c r="X854" t="s">
        <v>8</v>
      </c>
      <c r="Y854" s="74" t="str">
        <f ca="1">IF(Table15[[#This Row],[Type]]="KILL",IF(_xlfn.NUMBERVALUE(RIGHT(Table15[[#This Row],[Min]],LEN(Table15[[#This Row],[Min]])-FIND("-",Table15[[#This Row],[Min]])))&gt;INDIRECT(ADDRESS(11+MATCH(LEFT(Table15[[#This Row],[Min]],FIND("-",Table15[[#This Row],[Min]])-1),Table1[Content Sku],0),16,1,1,"Entities")),"review","ok"),"ok")</f>
        <v>ok</v>
      </c>
      <c r="AK854" t="s">
        <v>400</v>
      </c>
      <c r="AL854">
        <v>0</v>
      </c>
      <c r="AM854">
        <v>0</v>
      </c>
      <c r="AN854" t="s">
        <v>8</v>
      </c>
      <c r="AO854" s="74" t="str">
        <f ca="1">IF(Table20[[#This Row],[Type]]="KILL",IF(_xlfn.NUMBERVALUE(RIGHT(Table20[[#This Row],[Min]],LEN(Table20[[#This Row],[Min]])-FIND("-",Table20[[#This Row],[Min]])))&gt;INDIRECT(ADDRESS(11+MATCH(LEFT(Table20[[#This Row],[Min]],FIND("-",Table20[[#This Row],[Min]])-1),Table1[Content Sku],0),18,1,1,"Entities")),"review","ok"),"ok")</f>
        <v>ok</v>
      </c>
    </row>
    <row r="855" spans="5:41" x14ac:dyDescent="0.25">
      <c r="E855" t="s">
        <v>313</v>
      </c>
      <c r="F855">
        <v>0</v>
      </c>
      <c r="G855">
        <v>0</v>
      </c>
      <c r="H855" t="s">
        <v>8</v>
      </c>
      <c r="I855" s="74" t="str">
        <f ca="1">IF(Table7[[#This Row],[Type]]="KILL",IF(_xlfn.NUMBERVALUE(RIGHT(Table7[[#This Row],[Min]],LEN(Table7[[#This Row],[Min]])-FIND("-",Table7[[#This Row],[Min]])))&gt;INDIRECT(ADDRESS(11+MATCH(LEFT(Table7[[#This Row],[Min]],FIND("-",Table7[[#This Row],[Min]])-1),Table1[Content Sku],0),16,1,1,"Entities")),"review","ok"),"ok")</f>
        <v>ok</v>
      </c>
      <c r="U855" t="s">
        <v>95</v>
      </c>
      <c r="V855">
        <v>0</v>
      </c>
      <c r="W855">
        <v>0</v>
      </c>
      <c r="X855" t="s">
        <v>8</v>
      </c>
      <c r="Y855" s="74" t="str">
        <f ca="1">IF(Table15[[#This Row],[Type]]="KILL",IF(_xlfn.NUMBERVALUE(RIGHT(Table15[[#This Row],[Min]],LEN(Table15[[#This Row],[Min]])-FIND("-",Table15[[#This Row],[Min]])))&gt;INDIRECT(ADDRESS(11+MATCH(LEFT(Table15[[#This Row],[Min]],FIND("-",Table15[[#This Row],[Min]])-1),Table1[Content Sku],0),16,1,1,"Entities")),"review","ok"),"ok")</f>
        <v>ok</v>
      </c>
      <c r="AK855" t="s">
        <v>257</v>
      </c>
      <c r="AL855">
        <v>0</v>
      </c>
      <c r="AM855">
        <v>72000</v>
      </c>
      <c r="AN855" t="s">
        <v>205</v>
      </c>
      <c r="AO855" s="74" t="str">
        <f ca="1">IF(Table20[[#This Row],[Type]]="KILL",IF(_xlfn.NUMBERVALUE(RIGHT(Table20[[#This Row],[Min]],LEN(Table20[[#This Row],[Min]])-FIND("-",Table20[[#This Row],[Min]])))&gt;INDIRECT(ADDRESS(11+MATCH(LEFT(Table20[[#This Row],[Min]],FIND("-",Table20[[#This Row],[Min]])-1),Table1[Content Sku],0),18,1,1,"Entities")),"review","ok"),"ok")</f>
        <v>ok</v>
      </c>
    </row>
    <row r="856" spans="5:41" x14ac:dyDescent="0.25">
      <c r="E856" t="s">
        <v>315</v>
      </c>
      <c r="F856">
        <v>0</v>
      </c>
      <c r="G856">
        <v>14000</v>
      </c>
      <c r="H856" t="s">
        <v>205</v>
      </c>
      <c r="I856" s="74" t="str">
        <f ca="1">IF(Table7[[#This Row],[Type]]="KILL",IF(_xlfn.NUMBERVALUE(RIGHT(Table7[[#This Row],[Min]],LEN(Table7[[#This Row],[Min]])-FIND("-",Table7[[#This Row],[Min]])))&gt;INDIRECT(ADDRESS(11+MATCH(LEFT(Table7[[#This Row],[Min]],FIND("-",Table7[[#This Row],[Min]])-1),Table1[Content Sku],0),16,1,1,"Entities")),"review","ok"),"ok")</f>
        <v>ok</v>
      </c>
      <c r="U856" t="s">
        <v>254</v>
      </c>
      <c r="V856">
        <v>0</v>
      </c>
      <c r="W856">
        <v>0</v>
      </c>
      <c r="X856" t="s">
        <v>8</v>
      </c>
      <c r="Y856" s="74" t="str">
        <f ca="1">IF(Table15[[#This Row],[Type]]="KILL",IF(_xlfn.NUMBERVALUE(RIGHT(Table15[[#This Row],[Min]],LEN(Table15[[#This Row],[Min]])-FIND("-",Table15[[#This Row],[Min]])))&gt;INDIRECT(ADDRESS(11+MATCH(LEFT(Table15[[#This Row],[Min]],FIND("-",Table15[[#This Row],[Min]])-1),Table1[Content Sku],0),16,1,1,"Entities")),"review","ok"),"ok")</f>
        <v>ok</v>
      </c>
      <c r="AK856" t="s">
        <v>8103</v>
      </c>
      <c r="AL856">
        <v>500</v>
      </c>
      <c r="AM856">
        <v>0</v>
      </c>
      <c r="AN856" t="s">
        <v>4431</v>
      </c>
      <c r="AO856" s="74" t="str">
        <f ca="1">IF(Table20[[#This Row],[Type]]="KILL",IF(_xlfn.NUMBERVALUE(RIGHT(Table20[[#This Row],[Min]],LEN(Table20[[#This Row],[Min]])-FIND("-",Table20[[#This Row],[Min]])))&gt;INDIRECT(ADDRESS(11+MATCH(LEFT(Table20[[#This Row],[Min]],FIND("-",Table20[[#This Row],[Min]])-1),Table1[Content Sku],0),18,1,1,"Entities")),"review","ok"),"ok")</f>
        <v>ok</v>
      </c>
    </row>
    <row r="857" spans="5:41" x14ac:dyDescent="0.25">
      <c r="E857" t="s">
        <v>391</v>
      </c>
      <c r="F857">
        <v>0</v>
      </c>
      <c r="G857">
        <v>0</v>
      </c>
      <c r="H857" t="s">
        <v>8</v>
      </c>
      <c r="I857" s="74" t="str">
        <f ca="1">IF(Table7[[#This Row],[Type]]="KILL",IF(_xlfn.NUMBERVALUE(RIGHT(Table7[[#This Row],[Min]],LEN(Table7[[#This Row],[Min]])-FIND("-",Table7[[#This Row],[Min]])))&gt;INDIRECT(ADDRESS(11+MATCH(LEFT(Table7[[#This Row],[Min]],FIND("-",Table7[[#This Row],[Min]])-1),Table1[Content Sku],0),16,1,1,"Entities")),"review","ok"),"ok")</f>
        <v>ok</v>
      </c>
      <c r="U857" t="s">
        <v>313</v>
      </c>
      <c r="V857">
        <v>0</v>
      </c>
      <c r="W857">
        <v>0</v>
      </c>
      <c r="X857" t="s">
        <v>8</v>
      </c>
      <c r="Y857" s="74" t="str">
        <f ca="1">IF(Table15[[#This Row],[Type]]="KILL",IF(_xlfn.NUMBERVALUE(RIGHT(Table15[[#This Row],[Min]],LEN(Table15[[#This Row],[Min]])-FIND("-",Table15[[#This Row],[Min]])))&gt;INDIRECT(ADDRESS(11+MATCH(LEFT(Table15[[#This Row],[Min]],FIND("-",Table15[[#This Row],[Min]])-1),Table1[Content Sku],0),16,1,1,"Entities")),"review","ok"),"ok")</f>
        <v>ok</v>
      </c>
      <c r="AK857" t="s">
        <v>46</v>
      </c>
      <c r="AL857">
        <v>0</v>
      </c>
      <c r="AM857">
        <v>0</v>
      </c>
      <c r="AN857" t="s">
        <v>8</v>
      </c>
      <c r="AO857" s="74" t="str">
        <f ca="1">IF(Table20[[#This Row],[Type]]="KILL",IF(_xlfn.NUMBERVALUE(RIGHT(Table20[[#This Row],[Min]],LEN(Table20[[#This Row],[Min]])-FIND("-",Table20[[#This Row],[Min]])))&gt;INDIRECT(ADDRESS(11+MATCH(LEFT(Table20[[#This Row],[Min]],FIND("-",Table20[[#This Row],[Min]])-1),Table1[Content Sku],0),18,1,1,"Entities")),"review","ok"),"ok")</f>
        <v>ok</v>
      </c>
    </row>
    <row r="858" spans="5:41" x14ac:dyDescent="0.25">
      <c r="E858" t="s">
        <v>46</v>
      </c>
      <c r="F858">
        <v>0</v>
      </c>
      <c r="G858">
        <v>0</v>
      </c>
      <c r="H858" t="s">
        <v>8</v>
      </c>
      <c r="I858" s="74" t="str">
        <f ca="1">IF(Table7[[#This Row],[Type]]="KILL",IF(_xlfn.NUMBERVALUE(RIGHT(Table7[[#This Row],[Min]],LEN(Table7[[#This Row],[Min]])-FIND("-",Table7[[#This Row],[Min]])))&gt;INDIRECT(ADDRESS(11+MATCH(LEFT(Table7[[#This Row],[Min]],FIND("-",Table7[[#This Row],[Min]])-1),Table1[Content Sku],0),16,1,1,"Entities")),"review","ok"),"ok")</f>
        <v>ok</v>
      </c>
      <c r="U858" t="s">
        <v>2741</v>
      </c>
      <c r="V858">
        <v>0</v>
      </c>
      <c r="W858">
        <v>0</v>
      </c>
      <c r="X858" t="s">
        <v>8</v>
      </c>
      <c r="Y858" s="74" t="str">
        <f ca="1">IF(Table15[[#This Row],[Type]]="KILL",IF(_xlfn.NUMBERVALUE(RIGHT(Table15[[#This Row],[Min]],LEN(Table15[[#This Row],[Min]])-FIND("-",Table15[[#This Row],[Min]])))&gt;INDIRECT(ADDRESS(11+MATCH(LEFT(Table15[[#This Row],[Min]],FIND("-",Table15[[#This Row],[Min]])-1),Table1[Content Sku],0),16,1,1,"Entities")),"review","ok"),"ok")</f>
        <v>ok</v>
      </c>
      <c r="AK858" t="s">
        <v>2662</v>
      </c>
      <c r="AL858">
        <v>0</v>
      </c>
      <c r="AM858">
        <v>25000</v>
      </c>
      <c r="AN858" t="s">
        <v>205</v>
      </c>
      <c r="AO858" s="74" t="str">
        <f ca="1">IF(Table20[[#This Row],[Type]]="KILL",IF(_xlfn.NUMBERVALUE(RIGHT(Table20[[#This Row],[Min]],LEN(Table20[[#This Row],[Min]])-FIND("-",Table20[[#This Row],[Min]])))&gt;INDIRECT(ADDRESS(11+MATCH(LEFT(Table20[[#This Row],[Min]],FIND("-",Table20[[#This Row],[Min]])-1),Table1[Content Sku],0),18,1,1,"Entities")),"review","ok"),"ok")</f>
        <v>ok</v>
      </c>
    </row>
    <row r="859" spans="5:41" x14ac:dyDescent="0.25">
      <c r="E859" t="s">
        <v>122</v>
      </c>
      <c r="F859">
        <v>14000</v>
      </c>
      <c r="G859">
        <v>0</v>
      </c>
      <c r="H859" t="s">
        <v>205</v>
      </c>
      <c r="I859" s="74" t="str">
        <f ca="1">IF(Table7[[#This Row],[Type]]="KILL",IF(_xlfn.NUMBERVALUE(RIGHT(Table7[[#This Row],[Min]],LEN(Table7[[#This Row],[Min]])-FIND("-",Table7[[#This Row],[Min]])))&gt;INDIRECT(ADDRESS(11+MATCH(LEFT(Table7[[#This Row],[Min]],FIND("-",Table7[[#This Row],[Min]])-1),Table1[Content Sku],0),16,1,1,"Entities")),"review","ok"),"ok")</f>
        <v>ok</v>
      </c>
      <c r="U859" t="s">
        <v>122</v>
      </c>
      <c r="V859">
        <v>0</v>
      </c>
      <c r="W859">
        <v>0</v>
      </c>
      <c r="X859" t="s">
        <v>8</v>
      </c>
      <c r="Y859" s="74" t="str">
        <f ca="1">IF(Table15[[#This Row],[Type]]="KILL",IF(_xlfn.NUMBERVALUE(RIGHT(Table15[[#This Row],[Min]],LEN(Table15[[#This Row],[Min]])-FIND("-",Table15[[#This Row],[Min]])))&gt;INDIRECT(ADDRESS(11+MATCH(LEFT(Table15[[#This Row],[Min]],FIND("-",Table15[[#This Row],[Min]])-1),Table1[Content Sku],0),16,1,1,"Entities")),"review","ok"),"ok")</f>
        <v>ok</v>
      </c>
      <c r="AK859" t="s">
        <v>482</v>
      </c>
      <c r="AL859">
        <v>0</v>
      </c>
      <c r="AM859">
        <v>0</v>
      </c>
      <c r="AN859" t="s">
        <v>8</v>
      </c>
      <c r="AO859" s="74" t="str">
        <f ca="1">IF(Table20[[#This Row],[Type]]="KILL",IF(_xlfn.NUMBERVALUE(RIGHT(Table20[[#This Row],[Min]],LEN(Table20[[#This Row],[Min]])-FIND("-",Table20[[#This Row],[Min]])))&gt;INDIRECT(ADDRESS(11+MATCH(LEFT(Table20[[#This Row],[Min]],FIND("-",Table20[[#This Row],[Min]])-1),Table1[Content Sku],0),18,1,1,"Entities")),"review","ok"),"ok")</f>
        <v>ok</v>
      </c>
    </row>
    <row r="860" spans="5:41" x14ac:dyDescent="0.25">
      <c r="E860" t="s">
        <v>289</v>
      </c>
      <c r="F860">
        <v>0</v>
      </c>
      <c r="G860">
        <v>0</v>
      </c>
      <c r="H860" t="s">
        <v>8</v>
      </c>
      <c r="I860" s="74" t="str">
        <f ca="1">IF(Table7[[#This Row],[Type]]="KILL",IF(_xlfn.NUMBERVALUE(RIGHT(Table7[[#This Row],[Min]],LEN(Table7[[#This Row],[Min]])-FIND("-",Table7[[#This Row],[Min]])))&gt;INDIRECT(ADDRESS(11+MATCH(LEFT(Table7[[#This Row],[Min]],FIND("-",Table7[[#This Row],[Min]])-1),Table1[Content Sku],0),16,1,1,"Entities")),"review","ok"),"ok")</f>
        <v>ok</v>
      </c>
      <c r="U860" t="s">
        <v>254</v>
      </c>
      <c r="V860">
        <v>0</v>
      </c>
      <c r="W860">
        <v>0</v>
      </c>
      <c r="X860" t="s">
        <v>8</v>
      </c>
      <c r="Y860" s="74" t="str">
        <f ca="1">IF(Table15[[#This Row],[Type]]="KILL",IF(_xlfn.NUMBERVALUE(RIGHT(Table15[[#This Row],[Min]],LEN(Table15[[#This Row],[Min]])-FIND("-",Table15[[#This Row],[Min]])))&gt;INDIRECT(ADDRESS(11+MATCH(LEFT(Table15[[#This Row],[Min]],FIND("-",Table15[[#This Row],[Min]])-1),Table1[Content Sku],0),16,1,1,"Entities")),"review","ok"),"ok")</f>
        <v>ok</v>
      </c>
      <c r="AK860" t="s">
        <v>398</v>
      </c>
      <c r="AL860">
        <v>0</v>
      </c>
      <c r="AM860">
        <v>0</v>
      </c>
      <c r="AN860" t="s">
        <v>8</v>
      </c>
      <c r="AO860" s="74" t="str">
        <f ca="1">IF(Table20[[#This Row],[Type]]="KILL",IF(_xlfn.NUMBERVALUE(RIGHT(Table20[[#This Row],[Min]],LEN(Table20[[#This Row],[Min]])-FIND("-",Table20[[#This Row],[Min]])))&gt;INDIRECT(ADDRESS(11+MATCH(LEFT(Table20[[#This Row],[Min]],FIND("-",Table20[[#This Row],[Min]])-1),Table1[Content Sku],0),18,1,1,"Entities")),"review","ok"),"ok")</f>
        <v>ok</v>
      </c>
    </row>
    <row r="861" spans="5:41" x14ac:dyDescent="0.25">
      <c r="E861" t="s">
        <v>4430</v>
      </c>
      <c r="F861">
        <v>9000</v>
      </c>
      <c r="G861">
        <v>0</v>
      </c>
      <c r="H861" t="s">
        <v>205</v>
      </c>
      <c r="I861" s="74" t="str">
        <f ca="1">IF(Table7[[#This Row],[Type]]="KILL",IF(_xlfn.NUMBERVALUE(RIGHT(Table7[[#This Row],[Min]],LEN(Table7[[#This Row],[Min]])-FIND("-",Table7[[#This Row],[Min]])))&gt;INDIRECT(ADDRESS(11+MATCH(LEFT(Table7[[#This Row],[Min]],FIND("-",Table7[[#This Row],[Min]])-1),Table1[Content Sku],0),16,1,1,"Entities")),"review","ok"),"ok")</f>
        <v>ok</v>
      </c>
      <c r="U861" t="s">
        <v>37</v>
      </c>
      <c r="V861">
        <v>20000</v>
      </c>
      <c r="W861">
        <v>0</v>
      </c>
      <c r="X861" t="s">
        <v>205</v>
      </c>
      <c r="Y861" s="74" t="str">
        <f ca="1">IF(Table15[[#This Row],[Type]]="KILL",IF(_xlfn.NUMBERVALUE(RIGHT(Table15[[#This Row],[Min]],LEN(Table15[[#This Row],[Min]])-FIND("-",Table15[[#This Row],[Min]])))&gt;INDIRECT(ADDRESS(11+MATCH(LEFT(Table15[[#This Row],[Min]],FIND("-",Table15[[#This Row],[Min]])-1),Table1[Content Sku],0),16,1,1,"Entities")),"review","ok"),"ok")</f>
        <v>ok</v>
      </c>
      <c r="AK861" t="s">
        <v>2674</v>
      </c>
      <c r="AL861">
        <v>0</v>
      </c>
      <c r="AM861">
        <v>0</v>
      </c>
      <c r="AN861" t="s">
        <v>8</v>
      </c>
      <c r="AO861" s="74" t="str">
        <f ca="1">IF(Table20[[#This Row],[Type]]="KILL",IF(_xlfn.NUMBERVALUE(RIGHT(Table20[[#This Row],[Min]],LEN(Table20[[#This Row],[Min]])-FIND("-",Table20[[#This Row],[Min]])))&gt;INDIRECT(ADDRESS(11+MATCH(LEFT(Table20[[#This Row],[Min]],FIND("-",Table20[[#This Row],[Min]])-1),Table1[Content Sku],0),18,1,1,"Entities")),"review","ok"),"ok")</f>
        <v>ok</v>
      </c>
    </row>
    <row r="862" spans="5:41" x14ac:dyDescent="0.25">
      <c r="E862" t="s">
        <v>313</v>
      </c>
      <c r="F862">
        <v>0</v>
      </c>
      <c r="G862">
        <v>0</v>
      </c>
      <c r="H862" t="s">
        <v>8</v>
      </c>
      <c r="I862" s="74" t="str">
        <f ca="1">IF(Table7[[#This Row],[Type]]="KILL",IF(_xlfn.NUMBERVALUE(RIGHT(Table7[[#This Row],[Min]],LEN(Table7[[#This Row],[Min]])-FIND("-",Table7[[#This Row],[Min]])))&gt;INDIRECT(ADDRESS(11+MATCH(LEFT(Table7[[#This Row],[Min]],FIND("-",Table7[[#This Row],[Min]])-1),Table1[Content Sku],0),16,1,1,"Entities")),"review","ok"),"ok")</f>
        <v>ok</v>
      </c>
      <c r="U862" t="s">
        <v>37</v>
      </c>
      <c r="V862">
        <v>0</v>
      </c>
      <c r="W862">
        <v>0</v>
      </c>
      <c r="X862" t="s">
        <v>8</v>
      </c>
      <c r="Y862" s="74" t="str">
        <f ca="1">IF(Table15[[#This Row],[Type]]="KILL",IF(_xlfn.NUMBERVALUE(RIGHT(Table15[[#This Row],[Min]],LEN(Table15[[#This Row],[Min]])-FIND("-",Table15[[#This Row],[Min]])))&gt;INDIRECT(ADDRESS(11+MATCH(LEFT(Table15[[#This Row],[Min]],FIND("-",Table15[[#This Row],[Min]])-1),Table1[Content Sku],0),16,1,1,"Entities")),"review","ok"),"ok")</f>
        <v>ok</v>
      </c>
      <c r="AK862" t="s">
        <v>39</v>
      </c>
      <c r="AL862">
        <v>0</v>
      </c>
      <c r="AM862">
        <v>56000</v>
      </c>
      <c r="AN862" t="s">
        <v>205</v>
      </c>
      <c r="AO862" s="74" t="str">
        <f ca="1">IF(Table20[[#This Row],[Type]]="KILL",IF(_xlfn.NUMBERVALUE(RIGHT(Table20[[#This Row],[Min]],LEN(Table20[[#This Row],[Min]])-FIND("-",Table20[[#This Row],[Min]])))&gt;INDIRECT(ADDRESS(11+MATCH(LEFT(Table20[[#This Row],[Min]],FIND("-",Table20[[#This Row],[Min]])-1),Table1[Content Sku],0),18,1,1,"Entities")),"review","ok"),"ok")</f>
        <v>ok</v>
      </c>
    </row>
    <row r="863" spans="5:41" x14ac:dyDescent="0.25">
      <c r="E863" t="s">
        <v>393</v>
      </c>
      <c r="F863">
        <v>0</v>
      </c>
      <c r="G863">
        <v>0</v>
      </c>
      <c r="H863" t="s">
        <v>8</v>
      </c>
      <c r="I863" s="74" t="str">
        <f ca="1">IF(Table7[[#This Row],[Type]]="KILL",IF(_xlfn.NUMBERVALUE(RIGHT(Table7[[#This Row],[Min]],LEN(Table7[[#This Row],[Min]])-FIND("-",Table7[[#This Row],[Min]])))&gt;INDIRECT(ADDRESS(11+MATCH(LEFT(Table7[[#This Row],[Min]],FIND("-",Table7[[#This Row],[Min]])-1),Table1[Content Sku],0),16,1,1,"Entities")),"review","ok"),"ok")</f>
        <v>ok</v>
      </c>
      <c r="U863" t="s">
        <v>95</v>
      </c>
      <c r="V863">
        <v>0</v>
      </c>
      <c r="W863">
        <v>0</v>
      </c>
      <c r="X863" t="s">
        <v>8</v>
      </c>
      <c r="Y863" s="74" t="str">
        <f ca="1">IF(Table15[[#This Row],[Type]]="KILL",IF(_xlfn.NUMBERVALUE(RIGHT(Table15[[#This Row],[Min]],LEN(Table15[[#This Row],[Min]])-FIND("-",Table15[[#This Row],[Min]])))&gt;INDIRECT(ADDRESS(11+MATCH(LEFT(Table15[[#This Row],[Min]],FIND("-",Table15[[#This Row],[Min]])-1),Table1[Content Sku],0),16,1,1,"Entities")),"review","ok"),"ok")</f>
        <v>ok</v>
      </c>
      <c r="AK863" t="s">
        <v>574</v>
      </c>
      <c r="AL863">
        <v>0</v>
      </c>
      <c r="AM863">
        <v>0</v>
      </c>
      <c r="AN863" t="s">
        <v>8</v>
      </c>
      <c r="AO863" s="74" t="str">
        <f ca="1">IF(Table20[[#This Row],[Type]]="KILL",IF(_xlfn.NUMBERVALUE(RIGHT(Table20[[#This Row],[Min]],LEN(Table20[[#This Row],[Min]])-FIND("-",Table20[[#This Row],[Min]])))&gt;INDIRECT(ADDRESS(11+MATCH(LEFT(Table20[[#This Row],[Min]],FIND("-",Table20[[#This Row],[Min]])-1),Table1[Content Sku],0),18,1,1,"Entities")),"review","ok"),"ok")</f>
        <v>ok</v>
      </c>
    </row>
    <row r="864" spans="5:41" x14ac:dyDescent="0.25">
      <c r="E864" t="s">
        <v>396</v>
      </c>
      <c r="F864">
        <v>24000</v>
      </c>
      <c r="G864">
        <v>0</v>
      </c>
      <c r="H864" t="s">
        <v>205</v>
      </c>
      <c r="I864" s="74" t="str">
        <f ca="1">IF(Table7[[#This Row],[Type]]="KILL",IF(_xlfn.NUMBERVALUE(RIGHT(Table7[[#This Row],[Min]],LEN(Table7[[#This Row],[Min]])-FIND("-",Table7[[#This Row],[Min]])))&gt;INDIRECT(ADDRESS(11+MATCH(LEFT(Table7[[#This Row],[Min]],FIND("-",Table7[[#This Row],[Min]])-1),Table1[Content Sku],0),16,1,1,"Entities")),"review","ok"),"ok")</f>
        <v>ok</v>
      </c>
      <c r="U864" t="s">
        <v>313</v>
      </c>
      <c r="V864">
        <v>0</v>
      </c>
      <c r="W864">
        <v>0</v>
      </c>
      <c r="X864" t="s">
        <v>8</v>
      </c>
      <c r="Y864" s="74" t="str">
        <f ca="1">IF(Table15[[#This Row],[Type]]="KILL",IF(_xlfn.NUMBERVALUE(RIGHT(Table15[[#This Row],[Min]],LEN(Table15[[#This Row],[Min]])-FIND("-",Table15[[#This Row],[Min]])))&gt;INDIRECT(ADDRESS(11+MATCH(LEFT(Table15[[#This Row],[Min]],FIND("-",Table15[[#This Row],[Min]])-1),Table1[Content Sku],0),16,1,1,"Entities")),"review","ok"),"ok")</f>
        <v>ok</v>
      </c>
      <c r="AK864" t="s">
        <v>2680</v>
      </c>
      <c r="AL864">
        <v>0</v>
      </c>
      <c r="AM864">
        <v>0</v>
      </c>
      <c r="AN864" t="s">
        <v>8</v>
      </c>
      <c r="AO864" s="74" t="str">
        <f ca="1">IF(Table20[[#This Row],[Type]]="KILL",IF(_xlfn.NUMBERVALUE(RIGHT(Table20[[#This Row],[Min]],LEN(Table20[[#This Row],[Min]])-FIND("-",Table20[[#This Row],[Min]])))&gt;INDIRECT(ADDRESS(11+MATCH(LEFT(Table20[[#This Row],[Min]],FIND("-",Table20[[#This Row],[Min]])-1),Table1[Content Sku],0),18,1,1,"Entities")),"review","ok"),"ok")</f>
        <v>ok</v>
      </c>
    </row>
    <row r="865" spans="5:41" x14ac:dyDescent="0.25">
      <c r="E865" t="s">
        <v>393</v>
      </c>
      <c r="F865">
        <v>0</v>
      </c>
      <c r="G865">
        <v>0</v>
      </c>
      <c r="H865" t="s">
        <v>8</v>
      </c>
      <c r="I865" s="74" t="str">
        <f ca="1">IF(Table7[[#This Row],[Type]]="KILL",IF(_xlfn.NUMBERVALUE(RIGHT(Table7[[#This Row],[Min]],LEN(Table7[[#This Row],[Min]])-FIND("-",Table7[[#This Row],[Min]])))&gt;INDIRECT(ADDRESS(11+MATCH(LEFT(Table7[[#This Row],[Min]],FIND("-",Table7[[#This Row],[Min]])-1),Table1[Content Sku],0),16,1,1,"Entities")),"review","ok"),"ok")</f>
        <v>ok</v>
      </c>
      <c r="U865" t="s">
        <v>286</v>
      </c>
      <c r="V865">
        <v>0</v>
      </c>
      <c r="W865">
        <v>0</v>
      </c>
      <c r="X865" t="s">
        <v>8</v>
      </c>
      <c r="Y865" s="74" t="str">
        <f ca="1">IF(Table15[[#This Row],[Type]]="KILL",IF(_xlfn.NUMBERVALUE(RIGHT(Table15[[#This Row],[Min]],LEN(Table15[[#This Row],[Min]])-FIND("-",Table15[[#This Row],[Min]])))&gt;INDIRECT(ADDRESS(11+MATCH(LEFT(Table15[[#This Row],[Min]],FIND("-",Table15[[#This Row],[Min]])-1),Table1[Content Sku],0),16,1,1,"Entities")),"review","ok"),"ok")</f>
        <v>ok</v>
      </c>
      <c r="AK865" t="s">
        <v>578</v>
      </c>
      <c r="AL865">
        <v>0</v>
      </c>
      <c r="AM865">
        <v>0</v>
      </c>
      <c r="AN865" t="s">
        <v>8</v>
      </c>
      <c r="AO865" s="74" t="str">
        <f ca="1">IF(Table20[[#This Row],[Type]]="KILL",IF(_xlfn.NUMBERVALUE(RIGHT(Table20[[#This Row],[Min]],LEN(Table20[[#This Row],[Min]])-FIND("-",Table20[[#This Row],[Min]])))&gt;INDIRECT(ADDRESS(11+MATCH(LEFT(Table20[[#This Row],[Min]],FIND("-",Table20[[#This Row],[Min]])-1),Table1[Content Sku],0),18,1,1,"Entities")),"review","ok"),"ok")</f>
        <v>ok</v>
      </c>
    </row>
    <row r="866" spans="5:41" x14ac:dyDescent="0.25">
      <c r="E866" t="s">
        <v>416</v>
      </c>
      <c r="F866">
        <v>0</v>
      </c>
      <c r="G866">
        <v>15000</v>
      </c>
      <c r="H866" t="s">
        <v>205</v>
      </c>
      <c r="I866" s="74" t="str">
        <f ca="1">IF(Table7[[#This Row],[Type]]="KILL",IF(_xlfn.NUMBERVALUE(RIGHT(Table7[[#This Row],[Min]],LEN(Table7[[#This Row],[Min]])-FIND("-",Table7[[#This Row],[Min]])))&gt;INDIRECT(ADDRESS(11+MATCH(LEFT(Table7[[#This Row],[Min]],FIND("-",Table7[[#This Row],[Min]])-1),Table1[Content Sku],0),16,1,1,"Entities")),"review","ok"),"ok")</f>
        <v>ok</v>
      </c>
      <c r="U866" t="s">
        <v>311</v>
      </c>
      <c r="V866">
        <v>0</v>
      </c>
      <c r="W866">
        <v>0</v>
      </c>
      <c r="X866" t="s">
        <v>8</v>
      </c>
      <c r="Y866" s="74" t="str">
        <f ca="1">IF(Table15[[#This Row],[Type]]="KILL",IF(_xlfn.NUMBERVALUE(RIGHT(Table15[[#This Row],[Min]],LEN(Table15[[#This Row],[Min]])-FIND("-",Table15[[#This Row],[Min]])))&gt;INDIRECT(ADDRESS(11+MATCH(LEFT(Table15[[#This Row],[Min]],FIND("-",Table15[[#This Row],[Min]])-1),Table1[Content Sku],0),16,1,1,"Entities")),"review","ok"),"ok")</f>
        <v>ok</v>
      </c>
      <c r="AK866" t="s">
        <v>2767</v>
      </c>
      <c r="AL866">
        <v>0</v>
      </c>
      <c r="AM866">
        <v>0</v>
      </c>
      <c r="AN866" t="s">
        <v>8</v>
      </c>
      <c r="AO866" s="74" t="str">
        <f ca="1">IF(Table20[[#This Row],[Type]]="KILL",IF(_xlfn.NUMBERVALUE(RIGHT(Table20[[#This Row],[Min]],LEN(Table20[[#This Row],[Min]])-FIND("-",Table20[[#This Row],[Min]])))&gt;INDIRECT(ADDRESS(11+MATCH(LEFT(Table20[[#This Row],[Min]],FIND("-",Table20[[#This Row],[Min]])-1),Table1[Content Sku],0),18,1,1,"Entities")),"review","ok"),"ok")</f>
        <v>ok</v>
      </c>
    </row>
    <row r="867" spans="5:41" x14ac:dyDescent="0.25">
      <c r="E867" t="s">
        <v>273</v>
      </c>
      <c r="F867">
        <v>0</v>
      </c>
      <c r="G867">
        <v>0</v>
      </c>
      <c r="H867" t="s">
        <v>8</v>
      </c>
      <c r="I867" s="74" t="str">
        <f ca="1">IF(Table7[[#This Row],[Type]]="KILL",IF(_xlfn.NUMBERVALUE(RIGHT(Table7[[#This Row],[Min]],LEN(Table7[[#This Row],[Min]])-FIND("-",Table7[[#This Row],[Min]])))&gt;INDIRECT(ADDRESS(11+MATCH(LEFT(Table7[[#This Row],[Min]],FIND("-",Table7[[#This Row],[Min]])-1),Table1[Content Sku],0),16,1,1,"Entities")),"review","ok"),"ok")</f>
        <v>ok</v>
      </c>
      <c r="U867" t="s">
        <v>309</v>
      </c>
      <c r="V867">
        <v>0</v>
      </c>
      <c r="W867">
        <v>0</v>
      </c>
      <c r="X867" t="s">
        <v>8</v>
      </c>
      <c r="Y867" s="74" t="str">
        <f ca="1">IF(Table15[[#This Row],[Type]]="KILL",IF(_xlfn.NUMBERVALUE(RIGHT(Table15[[#This Row],[Min]],LEN(Table15[[#This Row],[Min]])-FIND("-",Table15[[#This Row],[Min]])))&gt;INDIRECT(ADDRESS(11+MATCH(LEFT(Table15[[#This Row],[Min]],FIND("-",Table15[[#This Row],[Min]])-1),Table1[Content Sku],0),16,1,1,"Entities")),"review","ok"),"ok")</f>
        <v>ok</v>
      </c>
      <c r="AK867" t="s">
        <v>2741</v>
      </c>
      <c r="AL867">
        <v>0</v>
      </c>
      <c r="AM867">
        <v>0</v>
      </c>
      <c r="AN867" t="s">
        <v>8</v>
      </c>
      <c r="AO867" s="74" t="str">
        <f ca="1">IF(Table20[[#This Row],[Type]]="KILL",IF(_xlfn.NUMBERVALUE(RIGHT(Table20[[#This Row],[Min]],LEN(Table20[[#This Row],[Min]])-FIND("-",Table20[[#This Row],[Min]])))&gt;INDIRECT(ADDRESS(11+MATCH(LEFT(Table20[[#This Row],[Min]],FIND("-",Table20[[#This Row],[Min]])-1),Table1[Content Sku],0),18,1,1,"Entities")),"review","ok"),"ok")</f>
        <v>ok</v>
      </c>
    </row>
    <row r="868" spans="5:41" x14ac:dyDescent="0.25">
      <c r="E868" t="s">
        <v>313</v>
      </c>
      <c r="F868">
        <v>0</v>
      </c>
      <c r="G868">
        <v>0</v>
      </c>
      <c r="H868" t="s">
        <v>8</v>
      </c>
      <c r="I868" s="74" t="str">
        <f ca="1">IF(Table7[[#This Row],[Type]]="KILL",IF(_xlfn.NUMBERVALUE(RIGHT(Table7[[#This Row],[Min]],LEN(Table7[[#This Row],[Min]])-FIND("-",Table7[[#This Row],[Min]])))&gt;INDIRECT(ADDRESS(11+MATCH(LEFT(Table7[[#This Row],[Min]],FIND("-",Table7[[#This Row],[Min]])-1),Table1[Content Sku],0),16,1,1,"Entities")),"review","ok"),"ok")</f>
        <v>ok</v>
      </c>
      <c r="U868" t="s">
        <v>8133</v>
      </c>
      <c r="V868">
        <v>0</v>
      </c>
      <c r="W868">
        <v>0</v>
      </c>
      <c r="X868" t="s">
        <v>8</v>
      </c>
      <c r="Y868" s="74" t="str">
        <f ca="1">IF(Table15[[#This Row],[Type]]="KILL",IF(_xlfn.NUMBERVALUE(RIGHT(Table15[[#This Row],[Min]],LEN(Table15[[#This Row],[Min]])-FIND("-",Table15[[#This Row],[Min]])))&gt;INDIRECT(ADDRESS(11+MATCH(LEFT(Table15[[#This Row],[Min]],FIND("-",Table15[[#This Row],[Min]])-1),Table1[Content Sku],0),16,1,1,"Entities")),"review","ok"),"ok")</f>
        <v>ok</v>
      </c>
      <c r="AK868" t="s">
        <v>313</v>
      </c>
      <c r="AL868">
        <v>0</v>
      </c>
      <c r="AM868">
        <v>0</v>
      </c>
      <c r="AN868" t="s">
        <v>8</v>
      </c>
      <c r="AO868" s="74" t="str">
        <f ca="1">IF(Table20[[#This Row],[Type]]="KILL",IF(_xlfn.NUMBERVALUE(RIGHT(Table20[[#This Row],[Min]],LEN(Table20[[#This Row],[Min]])-FIND("-",Table20[[#This Row],[Min]])))&gt;INDIRECT(ADDRESS(11+MATCH(LEFT(Table20[[#This Row],[Min]],FIND("-",Table20[[#This Row],[Min]])-1),Table1[Content Sku],0),18,1,1,"Entities")),"review","ok"),"ok")</f>
        <v>ok</v>
      </c>
    </row>
    <row r="869" spans="5:41" x14ac:dyDescent="0.25">
      <c r="E869" t="s">
        <v>309</v>
      </c>
      <c r="F869">
        <v>9500</v>
      </c>
      <c r="G869">
        <v>0</v>
      </c>
      <c r="H869" t="s">
        <v>205</v>
      </c>
      <c r="I869" s="74" t="str">
        <f ca="1">IF(Table7[[#This Row],[Type]]="KILL",IF(_xlfn.NUMBERVALUE(RIGHT(Table7[[#This Row],[Min]],LEN(Table7[[#This Row],[Min]])-FIND("-",Table7[[#This Row],[Min]])))&gt;INDIRECT(ADDRESS(11+MATCH(LEFT(Table7[[#This Row],[Min]],FIND("-",Table7[[#This Row],[Min]])-1),Table1[Content Sku],0),16,1,1,"Entities")),"review","ok"),"ok")</f>
        <v>ok</v>
      </c>
      <c r="U869" t="s">
        <v>95</v>
      </c>
      <c r="V869">
        <v>0</v>
      </c>
      <c r="W869">
        <v>35000</v>
      </c>
      <c r="X869" t="s">
        <v>205</v>
      </c>
      <c r="Y869" s="74" t="str">
        <f ca="1">IF(Table15[[#This Row],[Type]]="KILL",IF(_xlfn.NUMBERVALUE(RIGHT(Table15[[#This Row],[Min]],LEN(Table15[[#This Row],[Min]])-FIND("-",Table15[[#This Row],[Min]])))&gt;INDIRECT(ADDRESS(11+MATCH(LEFT(Table15[[#This Row],[Min]],FIND("-",Table15[[#This Row],[Min]])-1),Table1[Content Sku],0),16,1,1,"Entities")),"review","ok"),"ok")</f>
        <v>ok</v>
      </c>
      <c r="AK869" t="s">
        <v>416</v>
      </c>
      <c r="AL869">
        <v>0</v>
      </c>
      <c r="AM869">
        <v>0</v>
      </c>
      <c r="AN869" t="s">
        <v>8</v>
      </c>
      <c r="AO869" s="74" t="str">
        <f ca="1">IF(Table20[[#This Row],[Type]]="KILL",IF(_xlfn.NUMBERVALUE(RIGHT(Table20[[#This Row],[Min]],LEN(Table20[[#This Row],[Min]])-FIND("-",Table20[[#This Row],[Min]])))&gt;INDIRECT(ADDRESS(11+MATCH(LEFT(Table20[[#This Row],[Min]],FIND("-",Table20[[#This Row],[Min]])-1),Table1[Content Sku],0),18,1,1,"Entities")),"review","ok"),"ok")</f>
        <v>ok</v>
      </c>
    </row>
    <row r="870" spans="5:41" x14ac:dyDescent="0.25">
      <c r="E870" t="s">
        <v>2443</v>
      </c>
      <c r="F870">
        <v>0</v>
      </c>
      <c r="G870">
        <v>0</v>
      </c>
      <c r="H870" t="s">
        <v>8</v>
      </c>
      <c r="I870" s="74" t="str">
        <f ca="1">IF(Table7[[#This Row],[Type]]="KILL",IF(_xlfn.NUMBERVALUE(RIGHT(Table7[[#This Row],[Min]],LEN(Table7[[#This Row],[Min]])-FIND("-",Table7[[#This Row],[Min]])))&gt;INDIRECT(ADDRESS(11+MATCH(LEFT(Table7[[#This Row],[Min]],FIND("-",Table7[[#This Row],[Min]])-1),Table1[Content Sku],0),16,1,1,"Entities")),"review","ok"),"ok")</f>
        <v>ok</v>
      </c>
      <c r="U870" t="s">
        <v>311</v>
      </c>
      <c r="V870">
        <v>27000</v>
      </c>
      <c r="W870">
        <v>0</v>
      </c>
      <c r="X870" t="s">
        <v>205</v>
      </c>
      <c r="Y870" s="74" t="str">
        <f ca="1">IF(Table15[[#This Row],[Type]]="KILL",IF(_xlfn.NUMBERVALUE(RIGHT(Table15[[#This Row],[Min]],LEN(Table15[[#This Row],[Min]])-FIND("-",Table15[[#This Row],[Min]])))&gt;INDIRECT(ADDRESS(11+MATCH(LEFT(Table15[[#This Row],[Min]],FIND("-",Table15[[#This Row],[Min]])-1),Table1[Content Sku],0),16,1,1,"Entities")),"review","ok"),"ok")</f>
        <v>ok</v>
      </c>
      <c r="AK870" t="s">
        <v>2668</v>
      </c>
      <c r="AL870">
        <v>0</v>
      </c>
      <c r="AM870">
        <v>0</v>
      </c>
      <c r="AN870" t="s">
        <v>8</v>
      </c>
      <c r="AO870" s="74" t="str">
        <f ca="1">IF(Table20[[#This Row],[Type]]="KILL",IF(_xlfn.NUMBERVALUE(RIGHT(Table20[[#This Row],[Min]],LEN(Table20[[#This Row],[Min]])-FIND("-",Table20[[#This Row],[Min]])))&gt;INDIRECT(ADDRESS(11+MATCH(LEFT(Table20[[#This Row],[Min]],FIND("-",Table20[[#This Row],[Min]])-1),Table1[Content Sku],0),18,1,1,"Entities")),"review","ok"),"ok")</f>
        <v>ok</v>
      </c>
    </row>
    <row r="871" spans="5:41" x14ac:dyDescent="0.25">
      <c r="E871" t="s">
        <v>418</v>
      </c>
      <c r="F871">
        <v>0</v>
      </c>
      <c r="G871">
        <v>0</v>
      </c>
      <c r="H871" t="s">
        <v>8</v>
      </c>
      <c r="I871" s="74" t="str">
        <f ca="1">IF(Table7[[#This Row],[Type]]="KILL",IF(_xlfn.NUMBERVALUE(RIGHT(Table7[[#This Row],[Min]],LEN(Table7[[#This Row],[Min]])-FIND("-",Table7[[#This Row],[Min]])))&gt;INDIRECT(ADDRESS(11+MATCH(LEFT(Table7[[#This Row],[Min]],FIND("-",Table7[[#This Row],[Min]])-1),Table1[Content Sku],0),16,1,1,"Entities")),"review","ok"),"ok")</f>
        <v>ok</v>
      </c>
      <c r="U871" t="s">
        <v>313</v>
      </c>
      <c r="V871">
        <v>0</v>
      </c>
      <c r="W871">
        <v>0</v>
      </c>
      <c r="X871" t="s">
        <v>8</v>
      </c>
      <c r="Y871" s="74" t="str">
        <f ca="1">IF(Table15[[#This Row],[Type]]="KILL",IF(_xlfn.NUMBERVALUE(RIGHT(Table15[[#This Row],[Min]],LEN(Table15[[#This Row],[Min]])-FIND("-",Table15[[#This Row],[Min]])))&gt;INDIRECT(ADDRESS(11+MATCH(LEFT(Table15[[#This Row],[Min]],FIND("-",Table15[[#This Row],[Min]])-1),Table1[Content Sku],0),16,1,1,"Entities")),"review","ok"),"ok")</f>
        <v>ok</v>
      </c>
      <c r="AK871" t="s">
        <v>553</v>
      </c>
      <c r="AL871">
        <v>0</v>
      </c>
      <c r="AM871">
        <v>0</v>
      </c>
      <c r="AN871" t="s">
        <v>8</v>
      </c>
      <c r="AO871" s="74" t="str">
        <f ca="1">IF(Table20[[#This Row],[Type]]="KILL",IF(_xlfn.NUMBERVALUE(RIGHT(Table20[[#This Row],[Min]],LEN(Table20[[#This Row],[Min]])-FIND("-",Table20[[#This Row],[Min]])))&gt;INDIRECT(ADDRESS(11+MATCH(LEFT(Table20[[#This Row],[Min]],FIND("-",Table20[[#This Row],[Min]])-1),Table1[Content Sku],0),18,1,1,"Entities")),"review","ok"),"ok")</f>
        <v>ok</v>
      </c>
    </row>
    <row r="872" spans="5:41" x14ac:dyDescent="0.25">
      <c r="E872" t="s">
        <v>313</v>
      </c>
      <c r="F872">
        <v>0</v>
      </c>
      <c r="G872">
        <v>23000</v>
      </c>
      <c r="H872" t="s">
        <v>205</v>
      </c>
      <c r="I872" s="74" t="str">
        <f ca="1">IF(Table7[[#This Row],[Type]]="KILL",IF(_xlfn.NUMBERVALUE(RIGHT(Table7[[#This Row],[Min]],LEN(Table7[[#This Row],[Min]])-FIND("-",Table7[[#This Row],[Min]])))&gt;INDIRECT(ADDRESS(11+MATCH(LEFT(Table7[[#This Row],[Min]],FIND("-",Table7[[#This Row],[Min]])-1),Table1[Content Sku],0),16,1,1,"Entities")),"review","ok"),"ok")</f>
        <v>ok</v>
      </c>
      <c r="U872" t="s">
        <v>304</v>
      </c>
      <c r="V872">
        <v>0</v>
      </c>
      <c r="W872">
        <v>0</v>
      </c>
      <c r="X872" t="s">
        <v>8</v>
      </c>
      <c r="Y872" s="74" t="str">
        <f ca="1">IF(Table15[[#This Row],[Type]]="KILL",IF(_xlfn.NUMBERVALUE(RIGHT(Table15[[#This Row],[Min]],LEN(Table15[[#This Row],[Min]])-FIND("-",Table15[[#This Row],[Min]])))&gt;INDIRECT(ADDRESS(11+MATCH(LEFT(Table15[[#This Row],[Min]],FIND("-",Table15[[#This Row],[Min]])-1),Table1[Content Sku],0),16,1,1,"Entities")),"review","ok"),"ok")</f>
        <v>ok</v>
      </c>
      <c r="AK872" t="s">
        <v>2767</v>
      </c>
      <c r="AL872">
        <v>0</v>
      </c>
      <c r="AM872">
        <v>0</v>
      </c>
      <c r="AN872" t="s">
        <v>8</v>
      </c>
      <c r="AO872" s="74" t="str">
        <f ca="1">IF(Table20[[#This Row],[Type]]="KILL",IF(_xlfn.NUMBERVALUE(RIGHT(Table20[[#This Row],[Min]],LEN(Table20[[#This Row],[Min]])-FIND("-",Table20[[#This Row],[Min]])))&gt;INDIRECT(ADDRESS(11+MATCH(LEFT(Table20[[#This Row],[Min]],FIND("-",Table20[[#This Row],[Min]])-1),Table1[Content Sku],0),18,1,1,"Entities")),"review","ok"),"ok")</f>
        <v>ok</v>
      </c>
    </row>
    <row r="873" spans="5:41" x14ac:dyDescent="0.25">
      <c r="E873" t="s">
        <v>313</v>
      </c>
      <c r="F873">
        <v>0</v>
      </c>
      <c r="G873">
        <v>10000</v>
      </c>
      <c r="H873" t="s">
        <v>205</v>
      </c>
      <c r="I873" s="74" t="str">
        <f ca="1">IF(Table7[[#This Row],[Type]]="KILL",IF(_xlfn.NUMBERVALUE(RIGHT(Table7[[#This Row],[Min]],LEN(Table7[[#This Row],[Min]])-FIND("-",Table7[[#This Row],[Min]])))&gt;INDIRECT(ADDRESS(11+MATCH(LEFT(Table7[[#This Row],[Min]],FIND("-",Table7[[#This Row],[Min]])-1),Table1[Content Sku],0),16,1,1,"Entities")),"review","ok"),"ok")</f>
        <v>ok</v>
      </c>
      <c r="U873" t="s">
        <v>61</v>
      </c>
      <c r="V873">
        <v>22000</v>
      </c>
      <c r="W873">
        <v>0</v>
      </c>
      <c r="X873" t="s">
        <v>205</v>
      </c>
      <c r="Y873" s="74" t="str">
        <f ca="1">IF(Table15[[#This Row],[Type]]="KILL",IF(_xlfn.NUMBERVALUE(RIGHT(Table15[[#This Row],[Min]],LEN(Table15[[#This Row],[Min]])-FIND("-",Table15[[#This Row],[Min]])))&gt;INDIRECT(ADDRESS(11+MATCH(LEFT(Table15[[#This Row],[Min]],FIND("-",Table15[[#This Row],[Min]])-1),Table1[Content Sku],0),16,1,1,"Entities")),"review","ok"),"ok")</f>
        <v>ok</v>
      </c>
      <c r="AK873" t="s">
        <v>346</v>
      </c>
      <c r="AL873">
        <v>31000</v>
      </c>
      <c r="AM873">
        <v>0</v>
      </c>
      <c r="AN873" t="s">
        <v>205</v>
      </c>
      <c r="AO873" s="74" t="str">
        <f ca="1">IF(Table20[[#This Row],[Type]]="KILL",IF(_xlfn.NUMBERVALUE(RIGHT(Table20[[#This Row],[Min]],LEN(Table20[[#This Row],[Min]])-FIND("-",Table20[[#This Row],[Min]])))&gt;INDIRECT(ADDRESS(11+MATCH(LEFT(Table20[[#This Row],[Min]],FIND("-",Table20[[#This Row],[Min]])-1),Table1[Content Sku],0),18,1,1,"Entities")),"review","ok"),"ok")</f>
        <v>ok</v>
      </c>
    </row>
    <row r="874" spans="5:41" x14ac:dyDescent="0.25">
      <c r="E874" t="s">
        <v>311</v>
      </c>
      <c r="F874">
        <v>0</v>
      </c>
      <c r="G874">
        <v>0</v>
      </c>
      <c r="H874" t="s">
        <v>8</v>
      </c>
      <c r="I874" s="74" t="str">
        <f ca="1">IF(Table7[[#This Row],[Type]]="KILL",IF(_xlfn.NUMBERVALUE(RIGHT(Table7[[#This Row],[Min]],LEN(Table7[[#This Row],[Min]])-FIND("-",Table7[[#This Row],[Min]])))&gt;INDIRECT(ADDRESS(11+MATCH(LEFT(Table7[[#This Row],[Min]],FIND("-",Table7[[#This Row],[Min]])-1),Table1[Content Sku],0),16,1,1,"Entities")),"review","ok"),"ok")</f>
        <v>ok</v>
      </c>
      <c r="U874" t="s">
        <v>286</v>
      </c>
      <c r="V874">
        <v>0</v>
      </c>
      <c r="W874">
        <v>0</v>
      </c>
      <c r="X874" t="s">
        <v>8</v>
      </c>
      <c r="Y874" s="74" t="str">
        <f ca="1">IF(Table15[[#This Row],[Type]]="KILL",IF(_xlfn.NUMBERVALUE(RIGHT(Table15[[#This Row],[Min]],LEN(Table15[[#This Row],[Min]])-FIND("-",Table15[[#This Row],[Min]])))&gt;INDIRECT(ADDRESS(11+MATCH(LEFT(Table15[[#This Row],[Min]],FIND("-",Table15[[#This Row],[Min]])-1),Table1[Content Sku],0),16,1,1,"Entities")),"review","ok"),"ok")</f>
        <v>ok</v>
      </c>
      <c r="AK874" t="s">
        <v>313</v>
      </c>
      <c r="AL874">
        <v>0</v>
      </c>
      <c r="AM874">
        <v>0</v>
      </c>
      <c r="AN874" t="s">
        <v>8</v>
      </c>
      <c r="AO874" s="74" t="str">
        <f ca="1">IF(Table20[[#This Row],[Type]]="KILL",IF(_xlfn.NUMBERVALUE(RIGHT(Table20[[#This Row],[Min]],LEN(Table20[[#This Row],[Min]])-FIND("-",Table20[[#This Row],[Min]])))&gt;INDIRECT(ADDRESS(11+MATCH(LEFT(Table20[[#This Row],[Min]],FIND("-",Table20[[#This Row],[Min]])-1),Table1[Content Sku],0),18,1,1,"Entities")),"review","ok"),"ok")</f>
        <v>ok</v>
      </c>
    </row>
    <row r="875" spans="5:41" x14ac:dyDescent="0.25">
      <c r="E875" t="s">
        <v>45</v>
      </c>
      <c r="F875">
        <v>0</v>
      </c>
      <c r="G875">
        <v>0</v>
      </c>
      <c r="H875" t="s">
        <v>8</v>
      </c>
      <c r="I875" s="74" t="str">
        <f ca="1">IF(Table7[[#This Row],[Type]]="KILL",IF(_xlfn.NUMBERVALUE(RIGHT(Table7[[#This Row],[Min]],LEN(Table7[[#This Row],[Min]])-FIND("-",Table7[[#This Row],[Min]])))&gt;INDIRECT(ADDRESS(11+MATCH(LEFT(Table7[[#This Row],[Min]],FIND("-",Table7[[#This Row],[Min]])-1),Table1[Content Sku],0),16,1,1,"Entities")),"review","ok"),"ok")</f>
        <v>ok</v>
      </c>
      <c r="U875" t="s">
        <v>392</v>
      </c>
      <c r="V875">
        <v>0</v>
      </c>
      <c r="W875">
        <v>0</v>
      </c>
      <c r="X875" t="s">
        <v>8</v>
      </c>
      <c r="Y875" s="74" t="str">
        <f ca="1">IF(Table15[[#This Row],[Type]]="KILL",IF(_xlfn.NUMBERVALUE(RIGHT(Table15[[#This Row],[Min]],LEN(Table15[[#This Row],[Min]])-FIND("-",Table15[[#This Row],[Min]])))&gt;INDIRECT(ADDRESS(11+MATCH(LEFT(Table15[[#This Row],[Min]],FIND("-",Table15[[#This Row],[Min]])-1),Table1[Content Sku],0),16,1,1,"Entities")),"review","ok"),"ok")</f>
        <v>ok</v>
      </c>
      <c r="AK875" t="s">
        <v>482</v>
      </c>
      <c r="AL875">
        <v>36000</v>
      </c>
      <c r="AM875">
        <v>0</v>
      </c>
      <c r="AN875" t="s">
        <v>205</v>
      </c>
      <c r="AO875" s="74" t="str">
        <f ca="1">IF(Table20[[#This Row],[Type]]="KILL",IF(_xlfn.NUMBERVALUE(RIGHT(Table20[[#This Row],[Min]],LEN(Table20[[#This Row],[Min]])-FIND("-",Table20[[#This Row],[Min]])))&gt;INDIRECT(ADDRESS(11+MATCH(LEFT(Table20[[#This Row],[Min]],FIND("-",Table20[[#This Row],[Min]])-1),Table1[Content Sku],0),18,1,1,"Entities")),"review","ok"),"ok")</f>
        <v>ok</v>
      </c>
    </row>
    <row r="876" spans="5:41" x14ac:dyDescent="0.25">
      <c r="E876" t="s">
        <v>21</v>
      </c>
      <c r="F876">
        <v>45000</v>
      </c>
      <c r="G876">
        <v>0</v>
      </c>
      <c r="H876" t="s">
        <v>205</v>
      </c>
      <c r="I876" s="74" t="str">
        <f ca="1">IF(Table7[[#This Row],[Type]]="KILL",IF(_xlfn.NUMBERVALUE(RIGHT(Table7[[#This Row],[Min]],LEN(Table7[[#This Row],[Min]])-FIND("-",Table7[[#This Row],[Min]])))&gt;INDIRECT(ADDRESS(11+MATCH(LEFT(Table7[[#This Row],[Min]],FIND("-",Table7[[#This Row],[Min]])-1),Table1[Content Sku],0),16,1,1,"Entities")),"review","ok"),"ok")</f>
        <v>ok</v>
      </c>
      <c r="U876" t="s">
        <v>313</v>
      </c>
      <c r="V876">
        <v>0</v>
      </c>
      <c r="W876">
        <v>0</v>
      </c>
      <c r="X876" t="s">
        <v>8</v>
      </c>
      <c r="Y876" s="74" t="str">
        <f ca="1">IF(Table15[[#This Row],[Type]]="KILL",IF(_xlfn.NUMBERVALUE(RIGHT(Table15[[#This Row],[Min]],LEN(Table15[[#This Row],[Min]])-FIND("-",Table15[[#This Row],[Min]])))&gt;INDIRECT(ADDRESS(11+MATCH(LEFT(Table15[[#This Row],[Min]],FIND("-",Table15[[#This Row],[Min]])-1),Table1[Content Sku],0),16,1,1,"Entities")),"review","ok"),"ok")</f>
        <v>ok</v>
      </c>
      <c r="AK876" t="s">
        <v>2663</v>
      </c>
      <c r="AL876" t="s">
        <v>5012</v>
      </c>
      <c r="AM876" t="s">
        <v>4467</v>
      </c>
      <c r="AN876" t="s">
        <v>4468</v>
      </c>
      <c r="AO876" s="74" t="str">
        <f ca="1">IF(Table20[[#This Row],[Type]]="KILL",IF(_xlfn.NUMBERVALUE(RIGHT(Table20[[#This Row],[Min]],LEN(Table20[[#This Row],[Min]])-FIND("-",Table20[[#This Row],[Min]])))&gt;INDIRECT(ADDRESS(11+MATCH(LEFT(Table20[[#This Row],[Min]],FIND("-",Table20[[#This Row],[Min]])-1),Table1[Content Sku],0),18,1,1,"Entities")),"review","ok"),"ok")</f>
        <v>ok</v>
      </c>
    </row>
    <row r="877" spans="5:41" x14ac:dyDescent="0.25">
      <c r="E877" t="s">
        <v>313</v>
      </c>
      <c r="F877">
        <v>0</v>
      </c>
      <c r="G877">
        <v>0</v>
      </c>
      <c r="H877" t="s">
        <v>8</v>
      </c>
      <c r="I877" s="74" t="str">
        <f ca="1">IF(Table7[[#This Row],[Type]]="KILL",IF(_xlfn.NUMBERVALUE(RIGHT(Table7[[#This Row],[Min]],LEN(Table7[[#This Row],[Min]])-FIND("-",Table7[[#This Row],[Min]])))&gt;INDIRECT(ADDRESS(11+MATCH(LEFT(Table7[[#This Row],[Min]],FIND("-",Table7[[#This Row],[Min]])-1),Table1[Content Sku],0),16,1,1,"Entities")),"review","ok"),"ok")</f>
        <v>ok</v>
      </c>
      <c r="U877" t="s">
        <v>254</v>
      </c>
      <c r="V877">
        <v>0</v>
      </c>
      <c r="W877">
        <v>0</v>
      </c>
      <c r="X877" t="s">
        <v>8</v>
      </c>
      <c r="Y877" s="74" t="str">
        <f ca="1">IF(Table15[[#This Row],[Type]]="KILL",IF(_xlfn.NUMBERVALUE(RIGHT(Table15[[#This Row],[Min]],LEN(Table15[[#This Row],[Min]])-FIND("-",Table15[[#This Row],[Min]])))&gt;INDIRECT(ADDRESS(11+MATCH(LEFT(Table15[[#This Row],[Min]],FIND("-",Table15[[#This Row],[Min]])-1),Table1[Content Sku],0),16,1,1,"Entities")),"review","ok"),"ok")</f>
        <v>ok</v>
      </c>
      <c r="AK877" t="s">
        <v>40</v>
      </c>
      <c r="AL877">
        <v>0</v>
      </c>
      <c r="AM877">
        <v>70000</v>
      </c>
      <c r="AN877" t="s">
        <v>205</v>
      </c>
      <c r="AO877" s="74" t="str">
        <f ca="1">IF(Table20[[#This Row],[Type]]="KILL",IF(_xlfn.NUMBERVALUE(RIGHT(Table20[[#This Row],[Min]],LEN(Table20[[#This Row],[Min]])-FIND("-",Table20[[#This Row],[Min]])))&gt;INDIRECT(ADDRESS(11+MATCH(LEFT(Table20[[#This Row],[Min]],FIND("-",Table20[[#This Row],[Min]])-1),Table1[Content Sku],0),18,1,1,"Entities")),"review","ok"),"ok")</f>
        <v>ok</v>
      </c>
    </row>
    <row r="878" spans="5:41" x14ac:dyDescent="0.25">
      <c r="E878" t="s">
        <v>289</v>
      </c>
      <c r="F878">
        <v>0</v>
      </c>
      <c r="G878">
        <v>0</v>
      </c>
      <c r="H878" t="s">
        <v>8</v>
      </c>
      <c r="I878" s="74" t="str">
        <f ca="1">IF(Table7[[#This Row],[Type]]="KILL",IF(_xlfn.NUMBERVALUE(RIGHT(Table7[[#This Row],[Min]],LEN(Table7[[#This Row],[Min]])-FIND("-",Table7[[#This Row],[Min]])))&gt;INDIRECT(ADDRESS(11+MATCH(LEFT(Table7[[#This Row],[Min]],FIND("-",Table7[[#This Row],[Min]])-1),Table1[Content Sku],0),16,1,1,"Entities")),"review","ok"),"ok")</f>
        <v>ok</v>
      </c>
      <c r="U878" t="s">
        <v>548</v>
      </c>
      <c r="V878">
        <v>0</v>
      </c>
      <c r="W878">
        <v>0</v>
      </c>
      <c r="X878" t="s">
        <v>8</v>
      </c>
      <c r="Y878" s="74" t="str">
        <f ca="1">IF(Table15[[#This Row],[Type]]="KILL",IF(_xlfn.NUMBERVALUE(RIGHT(Table15[[#This Row],[Min]],LEN(Table15[[#This Row],[Min]])-FIND("-",Table15[[#This Row],[Min]])))&gt;INDIRECT(ADDRESS(11+MATCH(LEFT(Table15[[#This Row],[Min]],FIND("-",Table15[[#This Row],[Min]])-1),Table1[Content Sku],0),16,1,1,"Entities")),"review","ok"),"ok")</f>
        <v>ok</v>
      </c>
      <c r="AK878" t="s">
        <v>578</v>
      </c>
      <c r="AL878">
        <v>0</v>
      </c>
      <c r="AM878">
        <v>0</v>
      </c>
      <c r="AN878" t="s">
        <v>8</v>
      </c>
      <c r="AO878" s="74" t="str">
        <f ca="1">IF(Table20[[#This Row],[Type]]="KILL",IF(_xlfn.NUMBERVALUE(RIGHT(Table20[[#This Row],[Min]],LEN(Table20[[#This Row],[Min]])-FIND("-",Table20[[#This Row],[Min]])))&gt;INDIRECT(ADDRESS(11+MATCH(LEFT(Table20[[#This Row],[Min]],FIND("-",Table20[[#This Row],[Min]])-1),Table1[Content Sku],0),18,1,1,"Entities")),"review","ok"),"ok")</f>
        <v>ok</v>
      </c>
    </row>
    <row r="879" spans="5:41" x14ac:dyDescent="0.25">
      <c r="E879" t="s">
        <v>289</v>
      </c>
      <c r="F879">
        <v>0</v>
      </c>
      <c r="G879">
        <v>0</v>
      </c>
      <c r="H879" t="s">
        <v>8</v>
      </c>
      <c r="I879" s="74" t="str">
        <f ca="1">IF(Table7[[#This Row],[Type]]="KILL",IF(_xlfn.NUMBERVALUE(RIGHT(Table7[[#This Row],[Min]],LEN(Table7[[#This Row],[Min]])-FIND("-",Table7[[#This Row],[Min]])))&gt;INDIRECT(ADDRESS(11+MATCH(LEFT(Table7[[#This Row],[Min]],FIND("-",Table7[[#This Row],[Min]])-1),Table1[Content Sku],0),16,1,1,"Entities")),"review","ok"),"ok")</f>
        <v>ok</v>
      </c>
      <c r="U879" t="s">
        <v>400</v>
      </c>
      <c r="V879">
        <v>10000</v>
      </c>
      <c r="W879">
        <v>0</v>
      </c>
      <c r="X879" t="s">
        <v>205</v>
      </c>
      <c r="Y879" s="74" t="str">
        <f ca="1">IF(Table15[[#This Row],[Type]]="KILL",IF(_xlfn.NUMBERVALUE(RIGHT(Table15[[#This Row],[Min]],LEN(Table15[[#This Row],[Min]])-FIND("-",Table15[[#This Row],[Min]])))&gt;INDIRECT(ADDRESS(11+MATCH(LEFT(Table15[[#This Row],[Min]],FIND("-",Table15[[#This Row],[Min]])-1),Table1[Content Sku],0),16,1,1,"Entities")),"review","ok"),"ok")</f>
        <v>ok</v>
      </c>
      <c r="AK879" t="s">
        <v>122</v>
      </c>
      <c r="AL879">
        <v>0</v>
      </c>
      <c r="AM879">
        <v>0</v>
      </c>
      <c r="AN879" t="s">
        <v>8</v>
      </c>
      <c r="AO879" s="74" t="str">
        <f ca="1">IF(Table20[[#This Row],[Type]]="KILL",IF(_xlfn.NUMBERVALUE(RIGHT(Table20[[#This Row],[Min]],LEN(Table20[[#This Row],[Min]])-FIND("-",Table20[[#This Row],[Min]])))&gt;INDIRECT(ADDRESS(11+MATCH(LEFT(Table20[[#This Row],[Min]],FIND("-",Table20[[#This Row],[Min]])-1),Table1[Content Sku],0),18,1,1,"Entities")),"review","ok"),"ok")</f>
        <v>ok</v>
      </c>
    </row>
    <row r="880" spans="5:41" x14ac:dyDescent="0.25">
      <c r="E880" t="s">
        <v>122</v>
      </c>
      <c r="F880">
        <v>0</v>
      </c>
      <c r="G880">
        <v>0</v>
      </c>
      <c r="H880" t="s">
        <v>8</v>
      </c>
      <c r="I880" s="74" t="str">
        <f ca="1">IF(Table7[[#This Row],[Type]]="KILL",IF(_xlfn.NUMBERVALUE(RIGHT(Table7[[#This Row],[Min]],LEN(Table7[[#This Row],[Min]])-FIND("-",Table7[[#This Row],[Min]])))&gt;INDIRECT(ADDRESS(11+MATCH(LEFT(Table7[[#This Row],[Min]],FIND("-",Table7[[#This Row],[Min]])-1),Table1[Content Sku],0),16,1,1,"Entities")),"review","ok"),"ok")</f>
        <v>ok</v>
      </c>
      <c r="U880" t="s">
        <v>1</v>
      </c>
      <c r="V880">
        <v>35000</v>
      </c>
      <c r="W880">
        <v>0</v>
      </c>
      <c r="X880" t="s">
        <v>205</v>
      </c>
      <c r="Y880" s="74" t="str">
        <f ca="1">IF(Table15[[#This Row],[Type]]="KILL",IF(_xlfn.NUMBERVALUE(RIGHT(Table15[[#This Row],[Min]],LEN(Table15[[#This Row],[Min]])-FIND("-",Table15[[#This Row],[Min]])))&gt;INDIRECT(ADDRESS(11+MATCH(LEFT(Table15[[#This Row],[Min]],FIND("-",Table15[[#This Row],[Min]])-1),Table1[Content Sku],0),16,1,1,"Entities")),"review","ok"),"ok")</f>
        <v>ok</v>
      </c>
      <c r="AK880" t="s">
        <v>2767</v>
      </c>
      <c r="AL880">
        <v>0</v>
      </c>
      <c r="AM880">
        <v>0</v>
      </c>
      <c r="AN880" t="s">
        <v>8</v>
      </c>
      <c r="AO880" s="74" t="str">
        <f ca="1">IF(Table20[[#This Row],[Type]]="KILL",IF(_xlfn.NUMBERVALUE(RIGHT(Table20[[#This Row],[Min]],LEN(Table20[[#This Row],[Min]])-FIND("-",Table20[[#This Row],[Min]])))&gt;INDIRECT(ADDRESS(11+MATCH(LEFT(Table20[[#This Row],[Min]],FIND("-",Table20[[#This Row],[Min]])-1),Table1[Content Sku],0),18,1,1,"Entities")),"review","ok"),"ok")</f>
        <v>ok</v>
      </c>
    </row>
    <row r="881" spans="5:41" x14ac:dyDescent="0.25">
      <c r="E881" t="s">
        <v>2443</v>
      </c>
      <c r="F881">
        <v>0</v>
      </c>
      <c r="G881">
        <v>0</v>
      </c>
      <c r="H881" t="s">
        <v>8</v>
      </c>
      <c r="I881" s="74" t="str">
        <f ca="1">IF(Table7[[#This Row],[Type]]="KILL",IF(_xlfn.NUMBERVALUE(RIGHT(Table7[[#This Row],[Min]],LEN(Table7[[#This Row],[Min]])-FIND("-",Table7[[#This Row],[Min]])))&gt;INDIRECT(ADDRESS(11+MATCH(LEFT(Table7[[#This Row],[Min]],FIND("-",Table7[[#This Row],[Min]])-1),Table1[Content Sku],0),16,1,1,"Entities")),"review","ok"),"ok")</f>
        <v>ok</v>
      </c>
      <c r="U881" t="s">
        <v>289</v>
      </c>
      <c r="V881">
        <v>0</v>
      </c>
      <c r="W881">
        <v>0</v>
      </c>
      <c r="X881" t="s">
        <v>8</v>
      </c>
      <c r="Y881" s="74" t="str">
        <f ca="1">IF(Table15[[#This Row],[Type]]="KILL",IF(_xlfn.NUMBERVALUE(RIGHT(Table15[[#This Row],[Min]],LEN(Table15[[#This Row],[Min]])-FIND("-",Table15[[#This Row],[Min]])))&gt;INDIRECT(ADDRESS(11+MATCH(LEFT(Table15[[#This Row],[Min]],FIND("-",Table15[[#This Row],[Min]])-1),Table1[Content Sku],0),16,1,1,"Entities")),"review","ok"),"ok")</f>
        <v>ok</v>
      </c>
      <c r="AK881" t="s">
        <v>258</v>
      </c>
      <c r="AL881">
        <v>46000</v>
      </c>
      <c r="AM881">
        <v>0</v>
      </c>
      <c r="AN881" t="s">
        <v>205</v>
      </c>
      <c r="AO881" s="74" t="str">
        <f ca="1">IF(Table20[[#This Row],[Type]]="KILL",IF(_xlfn.NUMBERVALUE(RIGHT(Table20[[#This Row],[Min]],LEN(Table20[[#This Row],[Min]])-FIND("-",Table20[[#This Row],[Min]])))&gt;INDIRECT(ADDRESS(11+MATCH(LEFT(Table20[[#This Row],[Min]],FIND("-",Table20[[#This Row],[Min]])-1),Table1[Content Sku],0),18,1,1,"Entities")),"review","ok"),"ok")</f>
        <v>ok</v>
      </c>
    </row>
    <row r="882" spans="5:41" x14ac:dyDescent="0.25">
      <c r="E882" t="s">
        <v>548</v>
      </c>
      <c r="F882">
        <v>0</v>
      </c>
      <c r="G882">
        <v>0</v>
      </c>
      <c r="H882" t="s">
        <v>8</v>
      </c>
      <c r="I882" s="74" t="str">
        <f ca="1">IF(Table7[[#This Row],[Type]]="KILL",IF(_xlfn.NUMBERVALUE(RIGHT(Table7[[#This Row],[Min]],LEN(Table7[[#This Row],[Min]])-FIND("-",Table7[[#This Row],[Min]])))&gt;INDIRECT(ADDRESS(11+MATCH(LEFT(Table7[[#This Row],[Min]],FIND("-",Table7[[#This Row],[Min]])-1),Table1[Content Sku],0),16,1,1,"Entities")),"review","ok"),"ok")</f>
        <v>ok</v>
      </c>
      <c r="U882" t="s">
        <v>392</v>
      </c>
      <c r="V882">
        <v>0</v>
      </c>
      <c r="W882">
        <v>0</v>
      </c>
      <c r="X882" t="s">
        <v>8</v>
      </c>
      <c r="Y882" s="74" t="str">
        <f ca="1">IF(Table15[[#This Row],[Type]]="KILL",IF(_xlfn.NUMBERVALUE(RIGHT(Table15[[#This Row],[Min]],LEN(Table15[[#This Row],[Min]])-FIND("-",Table15[[#This Row],[Min]])))&gt;INDIRECT(ADDRESS(11+MATCH(LEFT(Table15[[#This Row],[Min]],FIND("-",Table15[[#This Row],[Min]])-1),Table1[Content Sku],0),16,1,1,"Entities")),"review","ok"),"ok")</f>
        <v>ok</v>
      </c>
      <c r="AK882" t="s">
        <v>2741</v>
      </c>
      <c r="AL882">
        <v>0</v>
      </c>
      <c r="AM882">
        <v>0</v>
      </c>
      <c r="AN882" t="s">
        <v>8</v>
      </c>
      <c r="AO882" s="74" t="str">
        <f ca="1">IF(Table20[[#This Row],[Type]]="KILL",IF(_xlfn.NUMBERVALUE(RIGHT(Table20[[#This Row],[Min]],LEN(Table20[[#This Row],[Min]])-FIND("-",Table20[[#This Row],[Min]])))&gt;INDIRECT(ADDRESS(11+MATCH(LEFT(Table20[[#This Row],[Min]],FIND("-",Table20[[#This Row],[Min]])-1),Table1[Content Sku],0),18,1,1,"Entities")),"review","ok"),"ok")</f>
        <v>ok</v>
      </c>
    </row>
    <row r="883" spans="5:41" x14ac:dyDescent="0.25">
      <c r="E883" t="s">
        <v>289</v>
      </c>
      <c r="F883">
        <v>0</v>
      </c>
      <c r="G883">
        <v>0</v>
      </c>
      <c r="H883" t="s">
        <v>8</v>
      </c>
      <c r="I883" s="74" t="str">
        <f ca="1">IF(Table7[[#This Row],[Type]]="KILL",IF(_xlfn.NUMBERVALUE(RIGHT(Table7[[#This Row],[Min]],LEN(Table7[[#This Row],[Min]])-FIND("-",Table7[[#This Row],[Min]])))&gt;INDIRECT(ADDRESS(11+MATCH(LEFT(Table7[[#This Row],[Min]],FIND("-",Table7[[#This Row],[Min]])-1),Table1[Content Sku],0),16,1,1,"Entities")),"review","ok"),"ok")</f>
        <v>ok</v>
      </c>
      <c r="U883" t="s">
        <v>289</v>
      </c>
      <c r="V883">
        <v>0</v>
      </c>
      <c r="W883">
        <v>0</v>
      </c>
      <c r="X883" t="s">
        <v>8</v>
      </c>
      <c r="Y883" s="74" t="str">
        <f ca="1">IF(Table15[[#This Row],[Type]]="KILL",IF(_xlfn.NUMBERVALUE(RIGHT(Table15[[#This Row],[Min]],LEN(Table15[[#This Row],[Min]])-FIND("-",Table15[[#This Row],[Min]])))&gt;INDIRECT(ADDRESS(11+MATCH(LEFT(Table15[[#This Row],[Min]],FIND("-",Table15[[#This Row],[Min]])-1),Table1[Content Sku],0),16,1,1,"Entities")),"review","ok"),"ok")</f>
        <v>ok</v>
      </c>
      <c r="AK883" t="s">
        <v>2662</v>
      </c>
      <c r="AL883">
        <v>0</v>
      </c>
      <c r="AM883">
        <v>0</v>
      </c>
      <c r="AN883" t="s">
        <v>8</v>
      </c>
      <c r="AO883" s="74" t="str">
        <f ca="1">IF(Table20[[#This Row],[Type]]="KILL",IF(_xlfn.NUMBERVALUE(RIGHT(Table20[[#This Row],[Min]],LEN(Table20[[#This Row],[Min]])-FIND("-",Table20[[#This Row],[Min]])))&gt;INDIRECT(ADDRESS(11+MATCH(LEFT(Table20[[#This Row],[Min]],FIND("-",Table20[[#This Row],[Min]])-1),Table1[Content Sku],0),18,1,1,"Entities")),"review","ok"),"ok")</f>
        <v>ok</v>
      </c>
    </row>
    <row r="884" spans="5:41" x14ac:dyDescent="0.25">
      <c r="E884" t="s">
        <v>122</v>
      </c>
      <c r="F884">
        <v>0</v>
      </c>
      <c r="G884">
        <v>0</v>
      </c>
      <c r="H884" t="s">
        <v>8</v>
      </c>
      <c r="I884" s="74" t="str">
        <f ca="1">IF(Table7[[#This Row],[Type]]="KILL",IF(_xlfn.NUMBERVALUE(RIGHT(Table7[[#This Row],[Min]],LEN(Table7[[#This Row],[Min]])-FIND("-",Table7[[#This Row],[Min]])))&gt;INDIRECT(ADDRESS(11+MATCH(LEFT(Table7[[#This Row],[Min]],FIND("-",Table7[[#This Row],[Min]])-1),Table1[Content Sku],0),16,1,1,"Entities")),"review","ok"),"ok")</f>
        <v>ok</v>
      </c>
      <c r="U884" t="s">
        <v>64</v>
      </c>
      <c r="V884">
        <v>0</v>
      </c>
      <c r="W884">
        <v>0</v>
      </c>
      <c r="X884" t="s">
        <v>8</v>
      </c>
      <c r="Y884" s="74" t="str">
        <f ca="1">IF(Table15[[#This Row],[Type]]="KILL",IF(_xlfn.NUMBERVALUE(RIGHT(Table15[[#This Row],[Min]],LEN(Table15[[#This Row],[Min]])-FIND("-",Table15[[#This Row],[Min]])))&gt;INDIRECT(ADDRESS(11+MATCH(LEFT(Table15[[#This Row],[Min]],FIND("-",Table15[[#This Row],[Min]])-1),Table1[Content Sku],0),16,1,1,"Entities")),"review","ok"),"ok")</f>
        <v>ok</v>
      </c>
      <c r="AK884" t="s">
        <v>2663</v>
      </c>
      <c r="AL884" t="s">
        <v>4470</v>
      </c>
      <c r="AM884" t="s">
        <v>4467</v>
      </c>
      <c r="AN884" t="s">
        <v>4468</v>
      </c>
      <c r="AO884" s="74" t="str">
        <f ca="1">IF(Table20[[#This Row],[Type]]="KILL",IF(_xlfn.NUMBERVALUE(RIGHT(Table20[[#This Row],[Min]],LEN(Table20[[#This Row],[Min]])-FIND("-",Table20[[#This Row],[Min]])))&gt;INDIRECT(ADDRESS(11+MATCH(LEFT(Table20[[#This Row],[Min]],FIND("-",Table20[[#This Row],[Min]])-1),Table1[Content Sku],0),18,1,1,"Entities")),"review","ok"),"ok")</f>
        <v>ok</v>
      </c>
    </row>
    <row r="885" spans="5:41" x14ac:dyDescent="0.25">
      <c r="E885" t="s">
        <v>36</v>
      </c>
      <c r="F885">
        <v>6750</v>
      </c>
      <c r="G885">
        <v>0</v>
      </c>
      <c r="H885" t="s">
        <v>205</v>
      </c>
      <c r="I885" s="74" t="str">
        <f ca="1">IF(Table7[[#This Row],[Type]]="KILL",IF(_xlfn.NUMBERVALUE(RIGHT(Table7[[#This Row],[Min]],LEN(Table7[[#This Row],[Min]])-FIND("-",Table7[[#This Row],[Min]])))&gt;INDIRECT(ADDRESS(11+MATCH(LEFT(Table7[[#This Row],[Min]],FIND("-",Table7[[#This Row],[Min]])-1),Table1[Content Sku],0),16,1,1,"Entities")),"review","ok"),"ok")</f>
        <v>ok</v>
      </c>
      <c r="U885" t="s">
        <v>280</v>
      </c>
      <c r="V885">
        <v>0</v>
      </c>
      <c r="W885">
        <v>0</v>
      </c>
      <c r="X885" t="s">
        <v>8</v>
      </c>
      <c r="Y885" s="74" t="str">
        <f ca="1">IF(Table15[[#This Row],[Type]]="KILL",IF(_xlfn.NUMBERVALUE(RIGHT(Table15[[#This Row],[Min]],LEN(Table15[[#This Row],[Min]])-FIND("-",Table15[[#This Row],[Min]])))&gt;INDIRECT(ADDRESS(11+MATCH(LEFT(Table15[[#This Row],[Min]],FIND("-",Table15[[#This Row],[Min]])-1),Table1[Content Sku],0),16,1,1,"Entities")),"review","ok"),"ok")</f>
        <v>ok</v>
      </c>
      <c r="AK885" t="s">
        <v>258</v>
      </c>
      <c r="AL885">
        <v>54000</v>
      </c>
      <c r="AM885">
        <v>0</v>
      </c>
      <c r="AN885" t="s">
        <v>205</v>
      </c>
      <c r="AO885" s="74" t="str">
        <f ca="1">IF(Table20[[#This Row],[Type]]="KILL",IF(_xlfn.NUMBERVALUE(RIGHT(Table20[[#This Row],[Min]],LEN(Table20[[#This Row],[Min]])-FIND("-",Table20[[#This Row],[Min]])))&gt;INDIRECT(ADDRESS(11+MATCH(LEFT(Table20[[#This Row],[Min]],FIND("-",Table20[[#This Row],[Min]])-1),Table1[Content Sku],0),18,1,1,"Entities")),"review","ok"),"ok")</f>
        <v>ok</v>
      </c>
    </row>
    <row r="886" spans="5:41" x14ac:dyDescent="0.25">
      <c r="E886" t="s">
        <v>313</v>
      </c>
      <c r="F886">
        <v>0</v>
      </c>
      <c r="G886">
        <v>0</v>
      </c>
      <c r="H886" t="s">
        <v>8</v>
      </c>
      <c r="I886" s="74" t="str">
        <f ca="1">IF(Table7[[#This Row],[Type]]="KILL",IF(_xlfn.NUMBERVALUE(RIGHT(Table7[[#This Row],[Min]],LEN(Table7[[#This Row],[Min]])-FIND("-",Table7[[#This Row],[Min]])))&gt;INDIRECT(ADDRESS(11+MATCH(LEFT(Table7[[#This Row],[Min]],FIND("-",Table7[[#This Row],[Min]])-1),Table1[Content Sku],0),16,1,1,"Entities")),"review","ok"),"ok")</f>
        <v>ok</v>
      </c>
      <c r="U886" t="s">
        <v>313</v>
      </c>
      <c r="V886">
        <v>0</v>
      </c>
      <c r="W886">
        <v>0</v>
      </c>
      <c r="X886" t="s">
        <v>8</v>
      </c>
      <c r="Y886" s="74" t="str">
        <f ca="1">IF(Table15[[#This Row],[Type]]="KILL",IF(_xlfn.NUMBERVALUE(RIGHT(Table15[[#This Row],[Min]],LEN(Table15[[#This Row],[Min]])-FIND("-",Table15[[#This Row],[Min]])))&gt;INDIRECT(ADDRESS(11+MATCH(LEFT(Table15[[#This Row],[Min]],FIND("-",Table15[[#This Row],[Min]])-1),Table1[Content Sku],0),16,1,1,"Entities")),"review","ok"),"ok")</f>
        <v>ok</v>
      </c>
      <c r="AK886" t="s">
        <v>346</v>
      </c>
      <c r="AL886">
        <v>27000</v>
      </c>
      <c r="AM886">
        <v>0</v>
      </c>
      <c r="AN886" t="s">
        <v>205</v>
      </c>
      <c r="AO886" s="74" t="str">
        <f ca="1">IF(Table20[[#This Row],[Type]]="KILL",IF(_xlfn.NUMBERVALUE(RIGHT(Table20[[#This Row],[Min]],LEN(Table20[[#This Row],[Min]])-FIND("-",Table20[[#This Row],[Min]])))&gt;INDIRECT(ADDRESS(11+MATCH(LEFT(Table20[[#This Row],[Min]],FIND("-",Table20[[#This Row],[Min]])-1),Table1[Content Sku],0),18,1,1,"Entities")),"review","ok"),"ok")</f>
        <v>ok</v>
      </c>
    </row>
    <row r="887" spans="5:41" x14ac:dyDescent="0.25">
      <c r="E887" t="s">
        <v>289</v>
      </c>
      <c r="F887">
        <v>0</v>
      </c>
      <c r="G887">
        <v>0</v>
      </c>
      <c r="H887" t="s">
        <v>8</v>
      </c>
      <c r="I887" s="74" t="str">
        <f ca="1">IF(Table7[[#This Row],[Type]]="KILL",IF(_xlfn.NUMBERVALUE(RIGHT(Table7[[#This Row],[Min]],LEN(Table7[[#This Row],[Min]])-FIND("-",Table7[[#This Row],[Min]])))&gt;INDIRECT(ADDRESS(11+MATCH(LEFT(Table7[[#This Row],[Min]],FIND("-",Table7[[#This Row],[Min]])-1),Table1[Content Sku],0),16,1,1,"Entities")),"review","ok"),"ok")</f>
        <v>ok</v>
      </c>
      <c r="U887" t="s">
        <v>391</v>
      </c>
      <c r="V887">
        <v>0</v>
      </c>
      <c r="W887">
        <v>0</v>
      </c>
      <c r="X887" t="s">
        <v>8</v>
      </c>
      <c r="Y887" s="74" t="str">
        <f ca="1">IF(Table15[[#This Row],[Type]]="KILL",IF(_xlfn.NUMBERVALUE(RIGHT(Table15[[#This Row],[Min]],LEN(Table15[[#This Row],[Min]])-FIND("-",Table15[[#This Row],[Min]])))&gt;INDIRECT(ADDRESS(11+MATCH(LEFT(Table15[[#This Row],[Min]],FIND("-",Table15[[#This Row],[Min]])-1),Table1[Content Sku],0),16,1,1,"Entities")),"review","ok"),"ok")</f>
        <v>ok</v>
      </c>
      <c r="AK887" t="s">
        <v>412</v>
      </c>
      <c r="AL887">
        <v>33000</v>
      </c>
      <c r="AM887">
        <v>0</v>
      </c>
      <c r="AN887" t="s">
        <v>205</v>
      </c>
      <c r="AO887" s="74" t="str">
        <f ca="1">IF(Table20[[#This Row],[Type]]="KILL",IF(_xlfn.NUMBERVALUE(RIGHT(Table20[[#This Row],[Min]],LEN(Table20[[#This Row],[Min]])-FIND("-",Table20[[#This Row],[Min]])))&gt;INDIRECT(ADDRESS(11+MATCH(LEFT(Table20[[#This Row],[Min]],FIND("-",Table20[[#This Row],[Min]])-1),Table1[Content Sku],0),18,1,1,"Entities")),"review","ok"),"ok")</f>
        <v>ok</v>
      </c>
    </row>
    <row r="888" spans="5:41" x14ac:dyDescent="0.25">
      <c r="E888" t="s">
        <v>393</v>
      </c>
      <c r="F888">
        <v>6000</v>
      </c>
      <c r="G888">
        <v>0</v>
      </c>
      <c r="H888" t="s">
        <v>205</v>
      </c>
      <c r="I888" s="74" t="str">
        <f ca="1">IF(Table7[[#This Row],[Type]]="KILL",IF(_xlfn.NUMBERVALUE(RIGHT(Table7[[#This Row],[Min]],LEN(Table7[[#This Row],[Min]])-FIND("-",Table7[[#This Row],[Min]])))&gt;INDIRECT(ADDRESS(11+MATCH(LEFT(Table7[[#This Row],[Min]],FIND("-",Table7[[#This Row],[Min]])-1),Table1[Content Sku],0),16,1,1,"Entities")),"review","ok"),"ok")</f>
        <v>ok</v>
      </c>
      <c r="U888" t="s">
        <v>254</v>
      </c>
      <c r="V888">
        <v>0</v>
      </c>
      <c r="W888">
        <v>0</v>
      </c>
      <c r="X888" t="s">
        <v>8</v>
      </c>
      <c r="Y888" s="74" t="str">
        <f ca="1">IF(Table15[[#This Row],[Type]]="KILL",IF(_xlfn.NUMBERVALUE(RIGHT(Table15[[#This Row],[Min]],LEN(Table15[[#This Row],[Min]])-FIND("-",Table15[[#This Row],[Min]])))&gt;INDIRECT(ADDRESS(11+MATCH(LEFT(Table15[[#This Row],[Min]],FIND("-",Table15[[#This Row],[Min]])-1),Table1[Content Sku],0),16,1,1,"Entities")),"review","ok"),"ok")</f>
        <v>ok</v>
      </c>
      <c r="AK888" t="s">
        <v>578</v>
      </c>
      <c r="AL888">
        <v>0</v>
      </c>
      <c r="AM888">
        <v>0</v>
      </c>
      <c r="AN888" t="s">
        <v>8</v>
      </c>
      <c r="AO888" s="74" t="str">
        <f ca="1">IF(Table20[[#This Row],[Type]]="KILL",IF(_xlfn.NUMBERVALUE(RIGHT(Table20[[#This Row],[Min]],LEN(Table20[[#This Row],[Min]])-FIND("-",Table20[[#This Row],[Min]])))&gt;INDIRECT(ADDRESS(11+MATCH(LEFT(Table20[[#This Row],[Min]],FIND("-",Table20[[#This Row],[Min]])-1),Table1[Content Sku],0),18,1,1,"Entities")),"review","ok"),"ok")</f>
        <v>ok</v>
      </c>
    </row>
    <row r="889" spans="5:41" x14ac:dyDescent="0.25">
      <c r="E889" t="s">
        <v>313</v>
      </c>
      <c r="F889">
        <v>0</v>
      </c>
      <c r="G889">
        <v>0</v>
      </c>
      <c r="H889" t="s">
        <v>8</v>
      </c>
      <c r="I889" s="74" t="str">
        <f ca="1">IF(Table7[[#This Row],[Type]]="KILL",IF(_xlfn.NUMBERVALUE(RIGHT(Table7[[#This Row],[Min]],LEN(Table7[[#This Row],[Min]])-FIND("-",Table7[[#This Row],[Min]])))&gt;INDIRECT(ADDRESS(11+MATCH(LEFT(Table7[[#This Row],[Min]],FIND("-",Table7[[#This Row],[Min]])-1),Table1[Content Sku],0),16,1,1,"Entities")),"review","ok"),"ok")</f>
        <v>ok</v>
      </c>
      <c r="U889" t="s">
        <v>548</v>
      </c>
      <c r="V889">
        <v>0</v>
      </c>
      <c r="W889">
        <v>0</v>
      </c>
      <c r="X889" t="s">
        <v>8</v>
      </c>
      <c r="Y889" s="74" t="str">
        <f ca="1">IF(Table15[[#This Row],[Type]]="KILL",IF(_xlfn.NUMBERVALUE(RIGHT(Table15[[#This Row],[Min]],LEN(Table15[[#This Row],[Min]])-FIND("-",Table15[[#This Row],[Min]])))&gt;INDIRECT(ADDRESS(11+MATCH(LEFT(Table15[[#This Row],[Min]],FIND("-",Table15[[#This Row],[Min]])-1),Table1[Content Sku],0),16,1,1,"Entities")),"review","ok"),"ok")</f>
        <v>ok</v>
      </c>
      <c r="AK889" t="s">
        <v>548</v>
      </c>
      <c r="AL889">
        <v>0</v>
      </c>
      <c r="AM889">
        <v>0</v>
      </c>
      <c r="AN889" t="s">
        <v>8</v>
      </c>
      <c r="AO889" s="74" t="str">
        <f ca="1">IF(Table20[[#This Row],[Type]]="KILL",IF(_xlfn.NUMBERVALUE(RIGHT(Table20[[#This Row],[Min]],LEN(Table20[[#This Row],[Min]])-FIND("-",Table20[[#This Row],[Min]])))&gt;INDIRECT(ADDRESS(11+MATCH(LEFT(Table20[[#This Row],[Min]],FIND("-",Table20[[#This Row],[Min]])-1),Table1[Content Sku],0),18,1,1,"Entities")),"review","ok"),"ok")</f>
        <v>ok</v>
      </c>
    </row>
    <row r="890" spans="5:41" x14ac:dyDescent="0.25">
      <c r="E890" t="s">
        <v>309</v>
      </c>
      <c r="F890">
        <v>7500</v>
      </c>
      <c r="G890">
        <v>0</v>
      </c>
      <c r="H890" t="s">
        <v>205</v>
      </c>
      <c r="I890" s="74" t="str">
        <f ca="1">IF(Table7[[#This Row],[Type]]="KILL",IF(_xlfn.NUMBERVALUE(RIGHT(Table7[[#This Row],[Min]],LEN(Table7[[#This Row],[Min]])-FIND("-",Table7[[#This Row],[Min]])))&gt;INDIRECT(ADDRESS(11+MATCH(LEFT(Table7[[#This Row],[Min]],FIND("-",Table7[[#This Row],[Min]])-1),Table1[Content Sku],0),16,1,1,"Entities")),"review","ok"),"ok")</f>
        <v>ok</v>
      </c>
      <c r="U890" t="s">
        <v>311</v>
      </c>
      <c r="V890">
        <v>0</v>
      </c>
      <c r="W890">
        <v>0</v>
      </c>
      <c r="X890" t="s">
        <v>8</v>
      </c>
      <c r="Y890" s="74" t="str">
        <f ca="1">IF(Table15[[#This Row],[Type]]="KILL",IF(_xlfn.NUMBERVALUE(RIGHT(Table15[[#This Row],[Min]],LEN(Table15[[#This Row],[Min]])-FIND("-",Table15[[#This Row],[Min]])))&gt;INDIRECT(ADDRESS(11+MATCH(LEFT(Table15[[#This Row],[Min]],FIND("-",Table15[[#This Row],[Min]])-1),Table1[Content Sku],0),16,1,1,"Entities")),"review","ok"),"ok")</f>
        <v>ok</v>
      </c>
      <c r="AK890" t="s">
        <v>553</v>
      </c>
      <c r="AL890">
        <v>0</v>
      </c>
      <c r="AM890">
        <v>0</v>
      </c>
      <c r="AN890" t="s">
        <v>8</v>
      </c>
      <c r="AO890" s="74" t="str">
        <f ca="1">IF(Table20[[#This Row],[Type]]="KILL",IF(_xlfn.NUMBERVALUE(RIGHT(Table20[[#This Row],[Min]],LEN(Table20[[#This Row],[Min]])-FIND("-",Table20[[#This Row],[Min]])))&gt;INDIRECT(ADDRESS(11+MATCH(LEFT(Table20[[#This Row],[Min]],FIND("-",Table20[[#This Row],[Min]])-1),Table1[Content Sku],0),18,1,1,"Entities")),"review","ok"),"ok")</f>
        <v>ok</v>
      </c>
    </row>
    <row r="891" spans="5:41" x14ac:dyDescent="0.25">
      <c r="E891" t="s">
        <v>123</v>
      </c>
      <c r="F891">
        <v>0</v>
      </c>
      <c r="G891">
        <v>0</v>
      </c>
      <c r="H891" t="s">
        <v>8</v>
      </c>
      <c r="I891" s="74" t="str">
        <f ca="1">IF(Table7[[#This Row],[Type]]="KILL",IF(_xlfn.NUMBERVALUE(RIGHT(Table7[[#This Row],[Min]],LEN(Table7[[#This Row],[Min]])-FIND("-",Table7[[#This Row],[Min]])))&gt;INDIRECT(ADDRESS(11+MATCH(LEFT(Table7[[#This Row],[Min]],FIND("-",Table7[[#This Row],[Min]])-1),Table1[Content Sku],0),16,1,1,"Entities")),"review","ok"),"ok")</f>
        <v>ok</v>
      </c>
      <c r="U891" t="s">
        <v>315</v>
      </c>
      <c r="V891">
        <v>33000</v>
      </c>
      <c r="W891">
        <v>0</v>
      </c>
      <c r="X891" t="s">
        <v>205</v>
      </c>
      <c r="Y891" s="74" t="str">
        <f ca="1">IF(Table15[[#This Row],[Type]]="KILL",IF(_xlfn.NUMBERVALUE(RIGHT(Table15[[#This Row],[Min]],LEN(Table15[[#This Row],[Min]])-FIND("-",Table15[[#This Row],[Min]])))&gt;INDIRECT(ADDRESS(11+MATCH(LEFT(Table15[[#This Row],[Min]],FIND("-",Table15[[#This Row],[Min]])-1),Table1[Content Sku],0),16,1,1,"Entities")),"review","ok"),"ok")</f>
        <v>ok</v>
      </c>
      <c r="AK891" t="s">
        <v>2677</v>
      </c>
      <c r="AL891">
        <v>24000</v>
      </c>
      <c r="AM891">
        <v>0</v>
      </c>
      <c r="AN891" t="s">
        <v>205</v>
      </c>
      <c r="AO891" s="74" t="str">
        <f ca="1">IF(Table20[[#This Row],[Type]]="KILL",IF(_xlfn.NUMBERVALUE(RIGHT(Table20[[#This Row],[Min]],LEN(Table20[[#This Row],[Min]])-FIND("-",Table20[[#This Row],[Min]])))&gt;INDIRECT(ADDRESS(11+MATCH(LEFT(Table20[[#This Row],[Min]],FIND("-",Table20[[#This Row],[Min]])-1),Table1[Content Sku],0),18,1,1,"Entities")),"review","ok"),"ok")</f>
        <v>ok</v>
      </c>
    </row>
    <row r="892" spans="5:41" x14ac:dyDescent="0.25">
      <c r="E892" t="s">
        <v>548</v>
      </c>
      <c r="F892">
        <v>0</v>
      </c>
      <c r="G892">
        <v>0</v>
      </c>
      <c r="H892" t="s">
        <v>8</v>
      </c>
      <c r="I892" s="74" t="str">
        <f ca="1">IF(Table7[[#This Row],[Type]]="KILL",IF(_xlfn.NUMBERVALUE(RIGHT(Table7[[#This Row],[Min]],LEN(Table7[[#This Row],[Min]])-FIND("-",Table7[[#This Row],[Min]])))&gt;INDIRECT(ADDRESS(11+MATCH(LEFT(Table7[[#This Row],[Min]],FIND("-",Table7[[#This Row],[Min]])-1),Table1[Content Sku],0),16,1,1,"Entities")),"review","ok"),"ok")</f>
        <v>ok</v>
      </c>
      <c r="U892" t="s">
        <v>313</v>
      </c>
      <c r="V892">
        <v>32000</v>
      </c>
      <c r="W892">
        <v>0</v>
      </c>
      <c r="X892" t="s">
        <v>205</v>
      </c>
      <c r="Y892" s="74" t="str">
        <f ca="1">IF(Table15[[#This Row],[Type]]="KILL",IF(_xlfn.NUMBERVALUE(RIGHT(Table15[[#This Row],[Min]],LEN(Table15[[#This Row],[Min]])-FIND("-",Table15[[#This Row],[Min]])))&gt;INDIRECT(ADDRESS(11+MATCH(LEFT(Table15[[#This Row],[Min]],FIND("-",Table15[[#This Row],[Min]])-1),Table1[Content Sku],0),16,1,1,"Entities")),"review","ok"),"ok")</f>
        <v>ok</v>
      </c>
      <c r="AK892" t="s">
        <v>37</v>
      </c>
      <c r="AL892">
        <v>0</v>
      </c>
      <c r="AM892">
        <v>0</v>
      </c>
      <c r="AN892" t="s">
        <v>8</v>
      </c>
      <c r="AO892" s="74" t="str">
        <f ca="1">IF(Table20[[#This Row],[Type]]="KILL",IF(_xlfn.NUMBERVALUE(RIGHT(Table20[[#This Row],[Min]],LEN(Table20[[#This Row],[Min]])-FIND("-",Table20[[#This Row],[Min]])))&gt;INDIRECT(ADDRESS(11+MATCH(LEFT(Table20[[#This Row],[Min]],FIND("-",Table20[[#This Row],[Min]])-1),Table1[Content Sku],0),18,1,1,"Entities")),"review","ok"),"ok")</f>
        <v>ok</v>
      </c>
    </row>
    <row r="893" spans="5:41" x14ac:dyDescent="0.25">
      <c r="E893" t="s">
        <v>90</v>
      </c>
      <c r="F893">
        <v>0</v>
      </c>
      <c r="G893">
        <v>17000</v>
      </c>
      <c r="H893" t="s">
        <v>205</v>
      </c>
      <c r="I893" s="74" t="str">
        <f ca="1">IF(Table7[[#This Row],[Type]]="KILL",IF(_xlfn.NUMBERVALUE(RIGHT(Table7[[#This Row],[Min]],LEN(Table7[[#This Row],[Min]])-FIND("-",Table7[[#This Row],[Min]])))&gt;INDIRECT(ADDRESS(11+MATCH(LEFT(Table7[[#This Row],[Min]],FIND("-",Table7[[#This Row],[Min]])-1),Table1[Content Sku],0),16,1,1,"Entities")),"review","ok"),"ok")</f>
        <v>ok</v>
      </c>
      <c r="U893" t="s">
        <v>391</v>
      </c>
      <c r="V893">
        <v>0</v>
      </c>
      <c r="W893">
        <v>0</v>
      </c>
      <c r="X893" t="s">
        <v>8</v>
      </c>
      <c r="Y893" s="74" t="str">
        <f ca="1">IF(Table15[[#This Row],[Type]]="KILL",IF(_xlfn.NUMBERVALUE(RIGHT(Table15[[#This Row],[Min]],LEN(Table15[[#This Row],[Min]])-FIND("-",Table15[[#This Row],[Min]])))&gt;INDIRECT(ADDRESS(11+MATCH(LEFT(Table15[[#This Row],[Min]],FIND("-",Table15[[#This Row],[Min]])-1),Table1[Content Sku],0),16,1,1,"Entities")),"review","ok"),"ok")</f>
        <v>ok</v>
      </c>
      <c r="AK893" t="s">
        <v>2680</v>
      </c>
      <c r="AL893">
        <v>0</v>
      </c>
      <c r="AM893">
        <v>0</v>
      </c>
      <c r="AN893" t="s">
        <v>8</v>
      </c>
      <c r="AO893" s="74" t="str">
        <f ca="1">IF(Table20[[#This Row],[Type]]="KILL",IF(_xlfn.NUMBERVALUE(RIGHT(Table20[[#This Row],[Min]],LEN(Table20[[#This Row],[Min]])-FIND("-",Table20[[#This Row],[Min]])))&gt;INDIRECT(ADDRESS(11+MATCH(LEFT(Table20[[#This Row],[Min]],FIND("-",Table20[[#This Row],[Min]])-1),Table1[Content Sku],0),18,1,1,"Entities")),"review","ok"),"ok")</f>
        <v>ok</v>
      </c>
    </row>
    <row r="894" spans="5:41" x14ac:dyDescent="0.25">
      <c r="E894" t="s">
        <v>289</v>
      </c>
      <c r="F894">
        <v>0</v>
      </c>
      <c r="G894">
        <v>0</v>
      </c>
      <c r="H894" t="s">
        <v>8</v>
      </c>
      <c r="I894" s="74" t="str">
        <f ca="1">IF(Table7[[#This Row],[Type]]="KILL",IF(_xlfn.NUMBERVALUE(RIGHT(Table7[[#This Row],[Min]],LEN(Table7[[#This Row],[Min]])-FIND("-",Table7[[#This Row],[Min]])))&gt;INDIRECT(ADDRESS(11+MATCH(LEFT(Table7[[#This Row],[Min]],FIND("-",Table7[[#This Row],[Min]])-1),Table1[Content Sku],0),16,1,1,"Entities")),"review","ok"),"ok")</f>
        <v>ok</v>
      </c>
      <c r="U894" t="s">
        <v>391</v>
      </c>
      <c r="V894">
        <v>13000</v>
      </c>
      <c r="W894">
        <v>35000</v>
      </c>
      <c r="X894" t="s">
        <v>205</v>
      </c>
      <c r="Y894" s="74" t="str">
        <f ca="1">IF(Table15[[#This Row],[Type]]="KILL",IF(_xlfn.NUMBERVALUE(RIGHT(Table15[[#This Row],[Min]],LEN(Table15[[#This Row],[Min]])-FIND("-",Table15[[#This Row],[Min]])))&gt;INDIRECT(ADDRESS(11+MATCH(LEFT(Table15[[#This Row],[Min]],FIND("-",Table15[[#This Row],[Min]])-1),Table1[Content Sku],0),16,1,1,"Entities")),"review","ok"),"ok")</f>
        <v>ok</v>
      </c>
      <c r="AK894" t="s">
        <v>480</v>
      </c>
      <c r="AL894" t="s">
        <v>4476</v>
      </c>
      <c r="AM894" t="s">
        <v>4467</v>
      </c>
      <c r="AN894" t="s">
        <v>4468</v>
      </c>
      <c r="AO894" s="74" t="str">
        <f ca="1">IF(Table20[[#This Row],[Type]]="KILL",IF(_xlfn.NUMBERVALUE(RIGHT(Table20[[#This Row],[Min]],LEN(Table20[[#This Row],[Min]])-FIND("-",Table20[[#This Row],[Min]])))&gt;INDIRECT(ADDRESS(11+MATCH(LEFT(Table20[[#This Row],[Min]],FIND("-",Table20[[#This Row],[Min]])-1),Table1[Content Sku],0),18,1,1,"Entities")),"review","ok"),"ok")</f>
        <v>ok</v>
      </c>
    </row>
    <row r="895" spans="5:41" x14ac:dyDescent="0.25">
      <c r="E895" t="s">
        <v>403</v>
      </c>
      <c r="F895">
        <v>0</v>
      </c>
      <c r="G895">
        <v>0</v>
      </c>
      <c r="H895" t="s">
        <v>8</v>
      </c>
      <c r="I895" s="74" t="str">
        <f ca="1">IF(Table7[[#This Row],[Type]]="KILL",IF(_xlfn.NUMBERVALUE(RIGHT(Table7[[#This Row],[Min]],LEN(Table7[[#This Row],[Min]])-FIND("-",Table7[[#This Row],[Min]])))&gt;INDIRECT(ADDRESS(11+MATCH(LEFT(Table7[[#This Row],[Min]],FIND("-",Table7[[#This Row],[Min]])-1),Table1[Content Sku],0),16,1,1,"Entities")),"review","ok"),"ok")</f>
        <v>ok</v>
      </c>
      <c r="U895" t="s">
        <v>123</v>
      </c>
      <c r="V895">
        <v>0</v>
      </c>
      <c r="W895">
        <v>30000</v>
      </c>
      <c r="X895" t="s">
        <v>205</v>
      </c>
      <c r="Y895" s="74" t="str">
        <f ca="1">IF(Table15[[#This Row],[Type]]="KILL",IF(_xlfn.NUMBERVALUE(RIGHT(Table15[[#This Row],[Min]],LEN(Table15[[#This Row],[Min]])-FIND("-",Table15[[#This Row],[Min]])))&gt;INDIRECT(ADDRESS(11+MATCH(LEFT(Table15[[#This Row],[Min]],FIND("-",Table15[[#This Row],[Min]])-1),Table1[Content Sku],0),16,1,1,"Entities")),"review","ok"),"ok")</f>
        <v>ok</v>
      </c>
      <c r="AK895" t="s">
        <v>46</v>
      </c>
      <c r="AL895">
        <v>0</v>
      </c>
      <c r="AM895">
        <v>0</v>
      </c>
      <c r="AN895" t="s">
        <v>8</v>
      </c>
      <c r="AO895" s="74" t="str">
        <f ca="1">IF(Table20[[#This Row],[Type]]="KILL",IF(_xlfn.NUMBERVALUE(RIGHT(Table20[[#This Row],[Min]],LEN(Table20[[#This Row],[Min]])-FIND("-",Table20[[#This Row],[Min]])))&gt;INDIRECT(ADDRESS(11+MATCH(LEFT(Table20[[#This Row],[Min]],FIND("-",Table20[[#This Row],[Min]])-1),Table1[Content Sku],0),18,1,1,"Entities")),"review","ok"),"ok")</f>
        <v>ok</v>
      </c>
    </row>
    <row r="896" spans="5:41" x14ac:dyDescent="0.25">
      <c r="E896" t="s">
        <v>393</v>
      </c>
      <c r="F896">
        <v>0</v>
      </c>
      <c r="G896">
        <v>0</v>
      </c>
      <c r="H896" t="s">
        <v>8</v>
      </c>
      <c r="I896" s="74" t="str">
        <f ca="1">IF(Table7[[#This Row],[Type]]="KILL",IF(_xlfn.NUMBERVALUE(RIGHT(Table7[[#This Row],[Min]],LEN(Table7[[#This Row],[Min]])-FIND("-",Table7[[#This Row],[Min]])))&gt;INDIRECT(ADDRESS(11+MATCH(LEFT(Table7[[#This Row],[Min]],FIND("-",Table7[[#This Row],[Min]])-1),Table1[Content Sku],0),16,1,1,"Entities")),"review","ok"),"ok")</f>
        <v>ok</v>
      </c>
      <c r="U896" t="s">
        <v>315</v>
      </c>
      <c r="V896">
        <v>0</v>
      </c>
      <c r="W896">
        <v>0</v>
      </c>
      <c r="X896" t="s">
        <v>8</v>
      </c>
      <c r="Y896" s="74" t="str">
        <f ca="1">IF(Table15[[#This Row],[Type]]="KILL",IF(_xlfn.NUMBERVALUE(RIGHT(Table15[[#This Row],[Min]],LEN(Table15[[#This Row],[Min]])-FIND("-",Table15[[#This Row],[Min]])))&gt;INDIRECT(ADDRESS(11+MATCH(LEFT(Table15[[#This Row],[Min]],FIND("-",Table15[[#This Row],[Min]])-1),Table1[Content Sku],0),16,1,1,"Entities")),"review","ok"),"ok")</f>
        <v>ok</v>
      </c>
      <c r="AK896" t="s">
        <v>39</v>
      </c>
      <c r="AL896">
        <v>0</v>
      </c>
      <c r="AM896">
        <v>0</v>
      </c>
      <c r="AN896" t="s">
        <v>8</v>
      </c>
      <c r="AO896" s="74" t="str">
        <f ca="1">IF(Table20[[#This Row],[Type]]="KILL",IF(_xlfn.NUMBERVALUE(RIGHT(Table20[[#This Row],[Min]],LEN(Table20[[#This Row],[Min]])-FIND("-",Table20[[#This Row],[Min]])))&gt;INDIRECT(ADDRESS(11+MATCH(LEFT(Table20[[#This Row],[Min]],FIND("-",Table20[[#This Row],[Min]])-1),Table1[Content Sku],0),18,1,1,"Entities")),"review","ok"),"ok")</f>
        <v>ok</v>
      </c>
    </row>
    <row r="897" spans="5:41" x14ac:dyDescent="0.25">
      <c r="E897" t="s">
        <v>289</v>
      </c>
      <c r="F897">
        <v>0</v>
      </c>
      <c r="G897">
        <v>0</v>
      </c>
      <c r="H897" t="s">
        <v>8</v>
      </c>
      <c r="I897" s="74" t="str">
        <f ca="1">IF(Table7[[#This Row],[Type]]="KILL",IF(_xlfn.NUMBERVALUE(RIGHT(Table7[[#This Row],[Min]],LEN(Table7[[#This Row],[Min]])-FIND("-",Table7[[#This Row],[Min]])))&gt;INDIRECT(ADDRESS(11+MATCH(LEFT(Table7[[#This Row],[Min]],FIND("-",Table7[[#This Row],[Min]])-1),Table1[Content Sku],0),16,1,1,"Entities")),"review","ok"),"ok")</f>
        <v>ok</v>
      </c>
      <c r="U897" t="s">
        <v>393</v>
      </c>
      <c r="V897">
        <v>0</v>
      </c>
      <c r="W897">
        <v>0</v>
      </c>
      <c r="X897" t="s">
        <v>8</v>
      </c>
      <c r="Y897" s="74" t="str">
        <f ca="1">IF(Table15[[#This Row],[Type]]="KILL",IF(_xlfn.NUMBERVALUE(RIGHT(Table15[[#This Row],[Min]],LEN(Table15[[#This Row],[Min]])-FIND("-",Table15[[#This Row],[Min]])))&gt;INDIRECT(ADDRESS(11+MATCH(LEFT(Table15[[#This Row],[Min]],FIND("-",Table15[[#This Row],[Min]])-1),Table1[Content Sku],0),16,1,1,"Entities")),"review","ok"),"ok")</f>
        <v>ok</v>
      </c>
      <c r="AK897" t="s">
        <v>2662</v>
      </c>
      <c r="AL897">
        <v>0</v>
      </c>
      <c r="AM897">
        <v>0</v>
      </c>
      <c r="AN897" t="s">
        <v>8</v>
      </c>
      <c r="AO897" s="74" t="str">
        <f ca="1">IF(Table20[[#This Row],[Type]]="KILL",IF(_xlfn.NUMBERVALUE(RIGHT(Table20[[#This Row],[Min]],LEN(Table20[[#This Row],[Min]])-FIND("-",Table20[[#This Row],[Min]])))&gt;INDIRECT(ADDRESS(11+MATCH(LEFT(Table20[[#This Row],[Min]],FIND("-",Table20[[#This Row],[Min]])-1),Table1[Content Sku],0),18,1,1,"Entities")),"review","ok"),"ok")</f>
        <v>ok</v>
      </c>
    </row>
    <row r="898" spans="5:41" x14ac:dyDescent="0.25">
      <c r="E898" t="s">
        <v>254</v>
      </c>
      <c r="F898">
        <v>0</v>
      </c>
      <c r="G898">
        <v>18000</v>
      </c>
      <c r="H898" t="s">
        <v>205</v>
      </c>
      <c r="I898" s="74" t="str">
        <f ca="1">IF(Table7[[#This Row],[Type]]="KILL",IF(_xlfn.NUMBERVALUE(RIGHT(Table7[[#This Row],[Min]],LEN(Table7[[#This Row],[Min]])-FIND("-",Table7[[#This Row],[Min]])))&gt;INDIRECT(ADDRESS(11+MATCH(LEFT(Table7[[#This Row],[Min]],FIND("-",Table7[[#This Row],[Min]])-1),Table1[Content Sku],0),16,1,1,"Entities")),"review","ok"),"ok")</f>
        <v>ok</v>
      </c>
      <c r="U898" t="s">
        <v>36</v>
      </c>
      <c r="V898">
        <v>0</v>
      </c>
      <c r="W898">
        <v>0</v>
      </c>
      <c r="X898" t="s">
        <v>8</v>
      </c>
      <c r="Y898" s="74" t="str">
        <f ca="1">IF(Table15[[#This Row],[Type]]="KILL",IF(_xlfn.NUMBERVALUE(RIGHT(Table15[[#This Row],[Min]],LEN(Table15[[#This Row],[Min]])-FIND("-",Table15[[#This Row],[Min]])))&gt;INDIRECT(ADDRESS(11+MATCH(LEFT(Table15[[#This Row],[Min]],FIND("-",Table15[[#This Row],[Min]])-1),Table1[Content Sku],0),16,1,1,"Entities")),"review","ok"),"ok")</f>
        <v>ok</v>
      </c>
      <c r="AK898" t="s">
        <v>540</v>
      </c>
      <c r="AL898">
        <v>0</v>
      </c>
      <c r="AM898">
        <v>0</v>
      </c>
      <c r="AN898" t="s">
        <v>8</v>
      </c>
      <c r="AO898" s="74" t="str">
        <f ca="1">IF(Table20[[#This Row],[Type]]="KILL",IF(_xlfn.NUMBERVALUE(RIGHT(Table20[[#This Row],[Min]],LEN(Table20[[#This Row],[Min]])-FIND("-",Table20[[#This Row],[Min]])))&gt;INDIRECT(ADDRESS(11+MATCH(LEFT(Table20[[#This Row],[Min]],FIND("-",Table20[[#This Row],[Min]])-1),Table1[Content Sku],0),18,1,1,"Entities")),"review","ok"),"ok")</f>
        <v>ok</v>
      </c>
    </row>
    <row r="899" spans="5:41" x14ac:dyDescent="0.25">
      <c r="E899" t="s">
        <v>418</v>
      </c>
      <c r="F899">
        <v>0</v>
      </c>
      <c r="G899">
        <v>0</v>
      </c>
      <c r="H899" t="s">
        <v>8</v>
      </c>
      <c r="I899" s="74" t="str">
        <f ca="1">IF(Table7[[#This Row],[Type]]="KILL",IF(_xlfn.NUMBERVALUE(RIGHT(Table7[[#This Row],[Min]],LEN(Table7[[#This Row],[Min]])-FIND("-",Table7[[#This Row],[Min]])))&gt;INDIRECT(ADDRESS(11+MATCH(LEFT(Table7[[#This Row],[Min]],FIND("-",Table7[[#This Row],[Min]])-1),Table1[Content Sku],0),16,1,1,"Entities")),"review","ok"),"ok")</f>
        <v>ok</v>
      </c>
      <c r="U899" t="s">
        <v>392</v>
      </c>
      <c r="V899">
        <v>0</v>
      </c>
      <c r="W899">
        <v>200</v>
      </c>
      <c r="X899" t="s">
        <v>4431</v>
      </c>
      <c r="Y899" s="74" t="str">
        <f ca="1">IF(Table15[[#This Row],[Type]]="KILL",IF(_xlfn.NUMBERVALUE(RIGHT(Table15[[#This Row],[Min]],LEN(Table15[[#This Row],[Min]])-FIND("-",Table15[[#This Row],[Min]])))&gt;INDIRECT(ADDRESS(11+MATCH(LEFT(Table15[[#This Row],[Min]],FIND("-",Table15[[#This Row],[Min]])-1),Table1[Content Sku],0),16,1,1,"Entities")),"review","ok"),"ok")</f>
        <v>ok</v>
      </c>
      <c r="AK899" t="s">
        <v>2670</v>
      </c>
      <c r="AL899">
        <v>0</v>
      </c>
      <c r="AM899">
        <v>0</v>
      </c>
      <c r="AN899" t="s">
        <v>8</v>
      </c>
      <c r="AO899" s="74" t="str">
        <f ca="1">IF(Table20[[#This Row],[Type]]="KILL",IF(_xlfn.NUMBERVALUE(RIGHT(Table20[[#This Row],[Min]],LEN(Table20[[#This Row],[Min]])-FIND("-",Table20[[#This Row],[Min]])))&gt;INDIRECT(ADDRESS(11+MATCH(LEFT(Table20[[#This Row],[Min]],FIND("-",Table20[[#This Row],[Min]])-1),Table1[Content Sku],0),18,1,1,"Entities")),"review","ok"),"ok")</f>
        <v>ok</v>
      </c>
    </row>
    <row r="900" spans="5:41" x14ac:dyDescent="0.25">
      <c r="E900" t="s">
        <v>4430</v>
      </c>
      <c r="F900">
        <v>150</v>
      </c>
      <c r="G900">
        <v>0</v>
      </c>
      <c r="H900" t="s">
        <v>4431</v>
      </c>
      <c r="I900" s="74" t="str">
        <f ca="1">IF(Table7[[#This Row],[Type]]="KILL",IF(_xlfn.NUMBERVALUE(RIGHT(Table7[[#This Row],[Min]],LEN(Table7[[#This Row],[Min]])-FIND("-",Table7[[#This Row],[Min]])))&gt;INDIRECT(ADDRESS(11+MATCH(LEFT(Table7[[#This Row],[Min]],FIND("-",Table7[[#This Row],[Min]])-1),Table1[Content Sku],0),16,1,1,"Entities")),"review","ok"),"ok")</f>
        <v>ok</v>
      </c>
      <c r="U900" t="s">
        <v>21</v>
      </c>
      <c r="V900">
        <v>0</v>
      </c>
      <c r="W900">
        <v>0</v>
      </c>
      <c r="X900" t="s">
        <v>8</v>
      </c>
      <c r="Y900" s="74" t="str">
        <f ca="1">IF(Table15[[#This Row],[Type]]="KILL",IF(_xlfn.NUMBERVALUE(RIGHT(Table15[[#This Row],[Min]],LEN(Table15[[#This Row],[Min]])-FIND("-",Table15[[#This Row],[Min]])))&gt;INDIRECT(ADDRESS(11+MATCH(LEFT(Table15[[#This Row],[Min]],FIND("-",Table15[[#This Row],[Min]])-1),Table1[Content Sku],0),16,1,1,"Entities")),"review","ok"),"ok")</f>
        <v>ok</v>
      </c>
      <c r="AK900" t="s">
        <v>398</v>
      </c>
      <c r="AL900">
        <v>0</v>
      </c>
      <c r="AM900">
        <v>0</v>
      </c>
      <c r="AN900" t="s">
        <v>8</v>
      </c>
      <c r="AO900" s="74" t="str">
        <f ca="1">IF(Table20[[#This Row],[Type]]="KILL",IF(_xlfn.NUMBERVALUE(RIGHT(Table20[[#This Row],[Min]],LEN(Table20[[#This Row],[Min]])-FIND("-",Table20[[#This Row],[Min]])))&gt;INDIRECT(ADDRESS(11+MATCH(LEFT(Table20[[#This Row],[Min]],FIND("-",Table20[[#This Row],[Min]])-1),Table1[Content Sku],0),18,1,1,"Entities")),"review","ok"),"ok")</f>
        <v>ok</v>
      </c>
    </row>
    <row r="901" spans="5:41" x14ac:dyDescent="0.25">
      <c r="E901" t="s">
        <v>289</v>
      </c>
      <c r="F901">
        <v>0</v>
      </c>
      <c r="G901">
        <v>0</v>
      </c>
      <c r="H901" t="s">
        <v>8</v>
      </c>
      <c r="I901" s="74" t="str">
        <f ca="1">IF(Table7[[#This Row],[Type]]="KILL",IF(_xlfn.NUMBERVALUE(RIGHT(Table7[[#This Row],[Min]],LEN(Table7[[#This Row],[Min]])-FIND("-",Table7[[#This Row],[Min]])))&gt;INDIRECT(ADDRESS(11+MATCH(LEFT(Table7[[#This Row],[Min]],FIND("-",Table7[[#This Row],[Min]])-1),Table1[Content Sku],0),16,1,1,"Entities")),"review","ok"),"ok")</f>
        <v>ok</v>
      </c>
      <c r="U901" t="s">
        <v>1</v>
      </c>
      <c r="V901">
        <v>0</v>
      </c>
      <c r="W901">
        <v>0</v>
      </c>
      <c r="X901" t="s">
        <v>8</v>
      </c>
      <c r="Y901" s="74" t="str">
        <f ca="1">IF(Table15[[#This Row],[Type]]="KILL",IF(_xlfn.NUMBERVALUE(RIGHT(Table15[[#This Row],[Min]],LEN(Table15[[#This Row],[Min]])-FIND("-",Table15[[#This Row],[Min]])))&gt;INDIRECT(ADDRESS(11+MATCH(LEFT(Table15[[#This Row],[Min]],FIND("-",Table15[[#This Row],[Min]])-1),Table1[Content Sku],0),16,1,1,"Entities")),"review","ok"),"ok")</f>
        <v>ok</v>
      </c>
      <c r="AK901" t="s">
        <v>50</v>
      </c>
      <c r="AL901">
        <v>270</v>
      </c>
      <c r="AM901">
        <v>0</v>
      </c>
      <c r="AN901" t="s">
        <v>4431</v>
      </c>
      <c r="AO901" s="74" t="str">
        <f ca="1">IF(Table20[[#This Row],[Type]]="KILL",IF(_xlfn.NUMBERVALUE(RIGHT(Table20[[#This Row],[Min]],LEN(Table20[[#This Row],[Min]])-FIND("-",Table20[[#This Row],[Min]])))&gt;INDIRECT(ADDRESS(11+MATCH(LEFT(Table20[[#This Row],[Min]],FIND("-",Table20[[#This Row],[Min]])-1),Table1[Content Sku],0),18,1,1,"Entities")),"review","ok"),"ok")</f>
        <v>ok</v>
      </c>
    </row>
    <row r="902" spans="5:41" x14ac:dyDescent="0.25">
      <c r="E902" t="s">
        <v>313</v>
      </c>
      <c r="F902">
        <v>0</v>
      </c>
      <c r="G902">
        <v>0</v>
      </c>
      <c r="H902" t="s">
        <v>8</v>
      </c>
      <c r="I902" s="74" t="str">
        <f ca="1">IF(Table7[[#This Row],[Type]]="KILL",IF(_xlfn.NUMBERVALUE(RIGHT(Table7[[#This Row],[Min]],LEN(Table7[[#This Row],[Min]])-FIND("-",Table7[[#This Row],[Min]])))&gt;INDIRECT(ADDRESS(11+MATCH(LEFT(Table7[[#This Row],[Min]],FIND("-",Table7[[#This Row],[Min]])-1),Table1[Content Sku],0),16,1,1,"Entities")),"review","ok"),"ok")</f>
        <v>ok</v>
      </c>
      <c r="U902" t="s">
        <v>313</v>
      </c>
      <c r="V902">
        <v>0</v>
      </c>
      <c r="W902">
        <v>0</v>
      </c>
      <c r="X902" t="s">
        <v>8</v>
      </c>
      <c r="Y902" s="74" t="str">
        <f ca="1">IF(Table15[[#This Row],[Type]]="KILL",IF(_xlfn.NUMBERVALUE(RIGHT(Table15[[#This Row],[Min]],LEN(Table15[[#This Row],[Min]])-FIND("-",Table15[[#This Row],[Min]])))&gt;INDIRECT(ADDRESS(11+MATCH(LEFT(Table15[[#This Row],[Min]],FIND("-",Table15[[#This Row],[Min]])-1),Table1[Content Sku],0),16,1,1,"Entities")),"review","ok"),"ok")</f>
        <v>ok</v>
      </c>
      <c r="AK902" t="s">
        <v>95</v>
      </c>
      <c r="AL902">
        <v>0</v>
      </c>
      <c r="AM902">
        <v>0</v>
      </c>
      <c r="AN902" t="s">
        <v>8</v>
      </c>
      <c r="AO902" s="74" t="str">
        <f ca="1">IF(Table20[[#This Row],[Type]]="KILL",IF(_xlfn.NUMBERVALUE(RIGHT(Table20[[#This Row],[Min]],LEN(Table20[[#This Row],[Min]])-FIND("-",Table20[[#This Row],[Min]])))&gt;INDIRECT(ADDRESS(11+MATCH(LEFT(Table20[[#This Row],[Min]],FIND("-",Table20[[#This Row],[Min]])-1),Table1[Content Sku],0),18,1,1,"Entities")),"review","ok"),"ok")</f>
        <v>ok</v>
      </c>
    </row>
    <row r="903" spans="5:41" x14ac:dyDescent="0.25">
      <c r="E903" t="s">
        <v>315</v>
      </c>
      <c r="F903">
        <v>0</v>
      </c>
      <c r="G903">
        <v>0</v>
      </c>
      <c r="H903" t="s">
        <v>8</v>
      </c>
      <c r="I903" s="74" t="str">
        <f ca="1">IF(Table7[[#This Row],[Type]]="KILL",IF(_xlfn.NUMBERVALUE(RIGHT(Table7[[#This Row],[Min]],LEN(Table7[[#This Row],[Min]])-FIND("-",Table7[[#This Row],[Min]])))&gt;INDIRECT(ADDRESS(11+MATCH(LEFT(Table7[[#This Row],[Min]],FIND("-",Table7[[#This Row],[Min]])-1),Table1[Content Sku],0),16,1,1,"Entities")),"review","ok"),"ok")</f>
        <v>ok</v>
      </c>
      <c r="U903" t="s">
        <v>313</v>
      </c>
      <c r="V903">
        <v>0</v>
      </c>
      <c r="W903">
        <v>0</v>
      </c>
      <c r="X903" t="s">
        <v>8</v>
      </c>
      <c r="Y903" s="74" t="str">
        <f ca="1">IF(Table15[[#This Row],[Type]]="KILL",IF(_xlfn.NUMBERVALUE(RIGHT(Table15[[#This Row],[Min]],LEN(Table15[[#This Row],[Min]])-FIND("-",Table15[[#This Row],[Min]])))&gt;INDIRECT(ADDRESS(11+MATCH(LEFT(Table15[[#This Row],[Min]],FIND("-",Table15[[#This Row],[Min]])-1),Table1[Content Sku],0),16,1,1,"Entities")),"review","ok"),"ok")</f>
        <v>ok</v>
      </c>
      <c r="AK903" t="s">
        <v>37</v>
      </c>
      <c r="AL903">
        <v>0</v>
      </c>
      <c r="AM903">
        <v>0</v>
      </c>
      <c r="AN903" t="s">
        <v>8</v>
      </c>
      <c r="AO903" s="74" t="str">
        <f ca="1">IF(Table20[[#This Row],[Type]]="KILL",IF(_xlfn.NUMBERVALUE(RIGHT(Table20[[#This Row],[Min]],LEN(Table20[[#This Row],[Min]])-FIND("-",Table20[[#This Row],[Min]])))&gt;INDIRECT(ADDRESS(11+MATCH(LEFT(Table20[[#This Row],[Min]],FIND("-",Table20[[#This Row],[Min]])-1),Table1[Content Sku],0),18,1,1,"Entities")),"review","ok"),"ok")</f>
        <v>ok</v>
      </c>
    </row>
    <row r="904" spans="5:41" x14ac:dyDescent="0.25">
      <c r="E904" t="s">
        <v>315</v>
      </c>
      <c r="F904">
        <v>0</v>
      </c>
      <c r="G904">
        <v>0</v>
      </c>
      <c r="H904" t="s">
        <v>8</v>
      </c>
      <c r="I904" s="74" t="str">
        <f ca="1">IF(Table7[[#This Row],[Type]]="KILL",IF(_xlfn.NUMBERVALUE(RIGHT(Table7[[#This Row],[Min]],LEN(Table7[[#This Row],[Min]])-FIND("-",Table7[[#This Row],[Min]])))&gt;INDIRECT(ADDRESS(11+MATCH(LEFT(Table7[[#This Row],[Min]],FIND("-",Table7[[#This Row],[Min]])-1),Table1[Content Sku],0),16,1,1,"Entities")),"review","ok"),"ok")</f>
        <v>ok</v>
      </c>
      <c r="U904" t="s">
        <v>391</v>
      </c>
      <c r="V904">
        <v>16000</v>
      </c>
      <c r="W904">
        <v>0</v>
      </c>
      <c r="X904" t="s">
        <v>205</v>
      </c>
      <c r="Y904" s="74" t="str">
        <f ca="1">IF(Table15[[#This Row],[Type]]="KILL",IF(_xlfn.NUMBERVALUE(RIGHT(Table15[[#This Row],[Min]],LEN(Table15[[#This Row],[Min]])-FIND("-",Table15[[#This Row],[Min]])))&gt;INDIRECT(ADDRESS(11+MATCH(LEFT(Table15[[#This Row],[Min]],FIND("-",Table15[[#This Row],[Min]])-1),Table1[Content Sku],0),16,1,1,"Entities")),"review","ok"),"ok")</f>
        <v>ok</v>
      </c>
      <c r="AK904" t="s">
        <v>4428</v>
      </c>
      <c r="AL904">
        <v>0</v>
      </c>
      <c r="AM904">
        <v>0</v>
      </c>
      <c r="AN904" t="s">
        <v>8</v>
      </c>
      <c r="AO904" s="74" t="str">
        <f ca="1">IF(Table20[[#This Row],[Type]]="KILL",IF(_xlfn.NUMBERVALUE(RIGHT(Table20[[#This Row],[Min]],LEN(Table20[[#This Row],[Min]])-FIND("-",Table20[[#This Row],[Min]])))&gt;INDIRECT(ADDRESS(11+MATCH(LEFT(Table20[[#This Row],[Min]],FIND("-",Table20[[#This Row],[Min]])-1),Table1[Content Sku],0),18,1,1,"Entities")),"review","ok"),"ok")</f>
        <v>ok</v>
      </c>
    </row>
    <row r="905" spans="5:41" x14ac:dyDescent="0.25">
      <c r="E905" t="s">
        <v>254</v>
      </c>
      <c r="F905">
        <v>0</v>
      </c>
      <c r="G905">
        <v>0</v>
      </c>
      <c r="H905" t="s">
        <v>8</v>
      </c>
      <c r="I905" s="74" t="str">
        <f ca="1">IF(Table7[[#This Row],[Type]]="KILL",IF(_xlfn.NUMBERVALUE(RIGHT(Table7[[#This Row],[Min]],LEN(Table7[[#This Row],[Min]])-FIND("-",Table7[[#This Row],[Min]])))&gt;INDIRECT(ADDRESS(11+MATCH(LEFT(Table7[[#This Row],[Min]],FIND("-",Table7[[#This Row],[Min]])-1),Table1[Content Sku],0),16,1,1,"Entities")),"review","ok"),"ok")</f>
        <v>ok</v>
      </c>
      <c r="U905" t="s">
        <v>39</v>
      </c>
      <c r="V905">
        <v>25000</v>
      </c>
      <c r="W905">
        <v>0</v>
      </c>
      <c r="X905" t="s">
        <v>205</v>
      </c>
      <c r="Y905" s="74" t="str">
        <f ca="1">IF(Table15[[#This Row],[Type]]="KILL",IF(_xlfn.NUMBERVALUE(RIGHT(Table15[[#This Row],[Min]],LEN(Table15[[#This Row],[Min]])-FIND("-",Table15[[#This Row],[Min]])))&gt;INDIRECT(ADDRESS(11+MATCH(LEFT(Table15[[#This Row],[Min]],FIND("-",Table15[[#This Row],[Min]])-1),Table1[Content Sku],0),16,1,1,"Entities")),"review","ok"),"ok")</f>
        <v>ok</v>
      </c>
      <c r="AK905" t="s">
        <v>258</v>
      </c>
      <c r="AL905">
        <v>0</v>
      </c>
      <c r="AM905">
        <v>0</v>
      </c>
      <c r="AN905" t="s">
        <v>8</v>
      </c>
      <c r="AO905" s="74" t="str">
        <f ca="1">IF(Table20[[#This Row],[Type]]="KILL",IF(_xlfn.NUMBERVALUE(RIGHT(Table20[[#This Row],[Min]],LEN(Table20[[#This Row],[Min]])-FIND("-",Table20[[#This Row],[Min]])))&gt;INDIRECT(ADDRESS(11+MATCH(LEFT(Table20[[#This Row],[Min]],FIND("-",Table20[[#This Row],[Min]])-1),Table1[Content Sku],0),18,1,1,"Entities")),"review","ok"),"ok")</f>
        <v>ok</v>
      </c>
    </row>
    <row r="906" spans="5:41" x14ac:dyDescent="0.25">
      <c r="E906" t="s">
        <v>306</v>
      </c>
      <c r="F906">
        <v>0</v>
      </c>
      <c r="G906">
        <v>0</v>
      </c>
      <c r="H906" t="s">
        <v>8</v>
      </c>
      <c r="I906" s="74" t="str">
        <f ca="1">IF(Table7[[#This Row],[Type]]="KILL",IF(_xlfn.NUMBERVALUE(RIGHT(Table7[[#This Row],[Min]],LEN(Table7[[#This Row],[Min]])-FIND("-",Table7[[#This Row],[Min]])))&gt;INDIRECT(ADDRESS(11+MATCH(LEFT(Table7[[#This Row],[Min]],FIND("-",Table7[[#This Row],[Min]])-1),Table1[Content Sku],0),16,1,1,"Entities")),"review","ok"),"ok")</f>
        <v>ok</v>
      </c>
      <c r="U906" t="s">
        <v>313</v>
      </c>
      <c r="V906">
        <v>0</v>
      </c>
      <c r="W906">
        <v>0</v>
      </c>
      <c r="X906" t="s">
        <v>8</v>
      </c>
      <c r="Y906" s="74" t="str">
        <f ca="1">IF(Table15[[#This Row],[Type]]="KILL",IF(_xlfn.NUMBERVALUE(RIGHT(Table15[[#This Row],[Min]],LEN(Table15[[#This Row],[Min]])-FIND("-",Table15[[#This Row],[Min]])))&gt;INDIRECT(ADDRESS(11+MATCH(LEFT(Table15[[#This Row],[Min]],FIND("-",Table15[[#This Row],[Min]])-1),Table1[Content Sku],0),16,1,1,"Entities")),"review","ok"),"ok")</f>
        <v>ok</v>
      </c>
      <c r="AK906" t="s">
        <v>2664</v>
      </c>
      <c r="AL906">
        <v>0</v>
      </c>
      <c r="AM906">
        <v>0</v>
      </c>
      <c r="AN906" t="s">
        <v>8</v>
      </c>
      <c r="AO906" s="74" t="str">
        <f ca="1">IF(Table20[[#This Row],[Type]]="KILL",IF(_xlfn.NUMBERVALUE(RIGHT(Table20[[#This Row],[Min]],LEN(Table20[[#This Row],[Min]])-FIND("-",Table20[[#This Row],[Min]])))&gt;INDIRECT(ADDRESS(11+MATCH(LEFT(Table20[[#This Row],[Min]],FIND("-",Table20[[#This Row],[Min]])-1),Table1[Content Sku],0),18,1,1,"Entities")),"review","ok"),"ok")</f>
        <v>ok</v>
      </c>
    </row>
    <row r="907" spans="5:41" x14ac:dyDescent="0.25">
      <c r="E907" t="s">
        <v>253</v>
      </c>
      <c r="F907">
        <v>0</v>
      </c>
      <c r="G907">
        <v>16000</v>
      </c>
      <c r="H907" t="s">
        <v>205</v>
      </c>
      <c r="I907" s="74" t="str">
        <f ca="1">IF(Table7[[#This Row],[Type]]="KILL",IF(_xlfn.NUMBERVALUE(RIGHT(Table7[[#This Row],[Min]],LEN(Table7[[#This Row],[Min]])-FIND("-",Table7[[#This Row],[Min]])))&gt;INDIRECT(ADDRESS(11+MATCH(LEFT(Table7[[#This Row],[Min]],FIND("-",Table7[[#This Row],[Min]])-1),Table1[Content Sku],0),16,1,1,"Entities")),"review","ok"),"ok")</f>
        <v>ok</v>
      </c>
      <c r="U907" t="s">
        <v>313</v>
      </c>
      <c r="V907">
        <v>0</v>
      </c>
      <c r="W907">
        <v>0</v>
      </c>
      <c r="X907" t="s">
        <v>8</v>
      </c>
      <c r="Y907" s="74" t="str">
        <f ca="1">IF(Table15[[#This Row],[Type]]="KILL",IF(_xlfn.NUMBERVALUE(RIGHT(Table15[[#This Row],[Min]],LEN(Table15[[#This Row],[Min]])-FIND("-",Table15[[#This Row],[Min]])))&gt;INDIRECT(ADDRESS(11+MATCH(LEFT(Table15[[#This Row],[Min]],FIND("-",Table15[[#This Row],[Min]])-1),Table1[Content Sku],0),16,1,1,"Entities")),"review","ok"),"ok")</f>
        <v>ok</v>
      </c>
      <c r="AK907" t="s">
        <v>2738</v>
      </c>
      <c r="AL907">
        <v>0</v>
      </c>
      <c r="AM907">
        <v>0</v>
      </c>
      <c r="AN907" t="s">
        <v>8</v>
      </c>
      <c r="AO907" s="74" t="str">
        <f ca="1">IF(Table20[[#This Row],[Type]]="KILL",IF(_xlfn.NUMBERVALUE(RIGHT(Table20[[#This Row],[Min]],LEN(Table20[[#This Row],[Min]])-FIND("-",Table20[[#This Row],[Min]])))&gt;INDIRECT(ADDRESS(11+MATCH(LEFT(Table20[[#This Row],[Min]],FIND("-",Table20[[#This Row],[Min]])-1),Table1[Content Sku],0),18,1,1,"Entities")),"review","ok"),"ok")</f>
        <v>ok</v>
      </c>
    </row>
    <row r="908" spans="5:41" x14ac:dyDescent="0.25">
      <c r="E908" t="s">
        <v>37</v>
      </c>
      <c r="F908">
        <v>0</v>
      </c>
      <c r="G908">
        <v>0</v>
      </c>
      <c r="H908" t="s">
        <v>8</v>
      </c>
      <c r="I908" s="74" t="str">
        <f ca="1">IF(Table7[[#This Row],[Type]]="KILL",IF(_xlfn.NUMBERVALUE(RIGHT(Table7[[#This Row],[Min]],LEN(Table7[[#This Row],[Min]])-FIND("-",Table7[[#This Row],[Min]])))&gt;INDIRECT(ADDRESS(11+MATCH(LEFT(Table7[[#This Row],[Min]],FIND("-",Table7[[#This Row],[Min]])-1),Table1[Content Sku],0),16,1,1,"Entities")),"review","ok"),"ok")</f>
        <v>ok</v>
      </c>
      <c r="U908" t="s">
        <v>289</v>
      </c>
      <c r="V908">
        <v>0</v>
      </c>
      <c r="W908">
        <v>0</v>
      </c>
      <c r="X908" t="s">
        <v>8</v>
      </c>
      <c r="Y908" s="74" t="str">
        <f ca="1">IF(Table15[[#This Row],[Type]]="KILL",IF(_xlfn.NUMBERVALUE(RIGHT(Table15[[#This Row],[Min]],LEN(Table15[[#This Row],[Min]])-FIND("-",Table15[[#This Row],[Min]])))&gt;INDIRECT(ADDRESS(11+MATCH(LEFT(Table15[[#This Row],[Min]],FIND("-",Table15[[#This Row],[Min]])-1),Table1[Content Sku],0),16,1,1,"Entities")),"review","ok"),"ok")</f>
        <v>ok</v>
      </c>
      <c r="AK908" t="s">
        <v>2726</v>
      </c>
      <c r="AL908">
        <v>0</v>
      </c>
      <c r="AM908">
        <v>0</v>
      </c>
      <c r="AN908" t="s">
        <v>8</v>
      </c>
      <c r="AO908" s="74" t="str">
        <f ca="1">IF(Table20[[#This Row],[Type]]="KILL",IF(_xlfn.NUMBERVALUE(RIGHT(Table20[[#This Row],[Min]],LEN(Table20[[#This Row],[Min]])-FIND("-",Table20[[#This Row],[Min]])))&gt;INDIRECT(ADDRESS(11+MATCH(LEFT(Table20[[#This Row],[Min]],FIND("-",Table20[[#This Row],[Min]])-1),Table1[Content Sku],0),18,1,1,"Entities")),"review","ok"),"ok")</f>
        <v>ok</v>
      </c>
    </row>
    <row r="909" spans="5:41" x14ac:dyDescent="0.25">
      <c r="E909" t="s">
        <v>311</v>
      </c>
      <c r="F909">
        <v>0</v>
      </c>
      <c r="G909">
        <v>0</v>
      </c>
      <c r="H909" t="s">
        <v>8</v>
      </c>
      <c r="I909" s="74" t="str">
        <f ca="1">IF(Table7[[#This Row],[Type]]="KILL",IF(_xlfn.NUMBERVALUE(RIGHT(Table7[[#This Row],[Min]],LEN(Table7[[#This Row],[Min]])-FIND("-",Table7[[#This Row],[Min]])))&gt;INDIRECT(ADDRESS(11+MATCH(LEFT(Table7[[#This Row],[Min]],FIND("-",Table7[[#This Row],[Min]])-1),Table1[Content Sku],0),16,1,1,"Entities")),"review","ok"),"ok")</f>
        <v>ok</v>
      </c>
      <c r="U909" t="s">
        <v>391</v>
      </c>
      <c r="V909">
        <v>0</v>
      </c>
      <c r="W909">
        <v>0</v>
      </c>
      <c r="X909" t="s">
        <v>8</v>
      </c>
      <c r="Y909" s="74" t="str">
        <f ca="1">IF(Table15[[#This Row],[Type]]="KILL",IF(_xlfn.NUMBERVALUE(RIGHT(Table15[[#This Row],[Min]],LEN(Table15[[#This Row],[Min]])-FIND("-",Table15[[#This Row],[Min]])))&gt;INDIRECT(ADDRESS(11+MATCH(LEFT(Table15[[#This Row],[Min]],FIND("-",Table15[[#This Row],[Min]])-1),Table1[Content Sku],0),16,1,1,"Entities")),"review","ok"),"ok")</f>
        <v>ok</v>
      </c>
      <c r="AK909" t="s">
        <v>398</v>
      </c>
      <c r="AL909">
        <v>0</v>
      </c>
      <c r="AM909">
        <v>0</v>
      </c>
      <c r="AN909" t="s">
        <v>8</v>
      </c>
      <c r="AO909" s="74" t="str">
        <f ca="1">IF(Table20[[#This Row],[Type]]="KILL",IF(_xlfn.NUMBERVALUE(RIGHT(Table20[[#This Row],[Min]],LEN(Table20[[#This Row],[Min]])-FIND("-",Table20[[#This Row],[Min]])))&gt;INDIRECT(ADDRESS(11+MATCH(LEFT(Table20[[#This Row],[Min]],FIND("-",Table20[[#This Row],[Min]])-1),Table1[Content Sku],0),18,1,1,"Entities")),"review","ok"),"ok")</f>
        <v>ok</v>
      </c>
    </row>
    <row r="910" spans="5:41" x14ac:dyDescent="0.25">
      <c r="E910" t="s">
        <v>289</v>
      </c>
      <c r="F910">
        <v>0</v>
      </c>
      <c r="G910">
        <v>0</v>
      </c>
      <c r="H910" t="s">
        <v>8</v>
      </c>
      <c r="I910" s="74" t="str">
        <f ca="1">IF(Table7[[#This Row],[Type]]="KILL",IF(_xlfn.NUMBERVALUE(RIGHT(Table7[[#This Row],[Min]],LEN(Table7[[#This Row],[Min]])-FIND("-",Table7[[#This Row],[Min]])))&gt;INDIRECT(ADDRESS(11+MATCH(LEFT(Table7[[#This Row],[Min]],FIND("-",Table7[[#This Row],[Min]])-1),Table1[Content Sku],0),16,1,1,"Entities")),"review","ok"),"ok")</f>
        <v>ok</v>
      </c>
      <c r="U910" t="s">
        <v>392</v>
      </c>
      <c r="V910">
        <v>0</v>
      </c>
      <c r="W910">
        <v>17000</v>
      </c>
      <c r="X910" t="s">
        <v>205</v>
      </c>
      <c r="Y910" s="74" t="str">
        <f ca="1">IF(Table15[[#This Row],[Type]]="KILL",IF(_xlfn.NUMBERVALUE(RIGHT(Table15[[#This Row],[Min]],LEN(Table15[[#This Row],[Min]])-FIND("-",Table15[[#This Row],[Min]])))&gt;INDIRECT(ADDRESS(11+MATCH(LEFT(Table15[[#This Row],[Min]],FIND("-",Table15[[#This Row],[Min]])-1),Table1[Content Sku],0),16,1,1,"Entities")),"review","ok"),"ok")</f>
        <v>ok</v>
      </c>
      <c r="AK910" t="s">
        <v>311</v>
      </c>
      <c r="AL910">
        <v>0</v>
      </c>
      <c r="AM910">
        <v>0</v>
      </c>
      <c r="AN910" t="s">
        <v>8</v>
      </c>
      <c r="AO910" s="74" t="str">
        <f ca="1">IF(Table20[[#This Row],[Type]]="KILL",IF(_xlfn.NUMBERVALUE(RIGHT(Table20[[#This Row],[Min]],LEN(Table20[[#This Row],[Min]])-FIND("-",Table20[[#This Row],[Min]])))&gt;INDIRECT(ADDRESS(11+MATCH(LEFT(Table20[[#This Row],[Min]],FIND("-",Table20[[#This Row],[Min]])-1),Table1[Content Sku],0),18,1,1,"Entities")),"review","ok"),"ok")</f>
        <v>ok</v>
      </c>
    </row>
    <row r="911" spans="5:41" x14ac:dyDescent="0.25">
      <c r="E911" t="s">
        <v>548</v>
      </c>
      <c r="F911">
        <v>0</v>
      </c>
      <c r="G911">
        <v>0</v>
      </c>
      <c r="H911" t="s">
        <v>8</v>
      </c>
      <c r="I911" s="74" t="str">
        <f ca="1">IF(Table7[[#This Row],[Type]]="KILL",IF(_xlfn.NUMBERVALUE(RIGHT(Table7[[#This Row],[Min]],LEN(Table7[[#This Row],[Min]])-FIND("-",Table7[[#This Row],[Min]])))&gt;INDIRECT(ADDRESS(11+MATCH(LEFT(Table7[[#This Row],[Min]],FIND("-",Table7[[#This Row],[Min]])-1),Table1[Content Sku],0),16,1,1,"Entities")),"review","ok"),"ok")</f>
        <v>ok</v>
      </c>
      <c r="U911" t="s">
        <v>40</v>
      </c>
      <c r="V911">
        <v>30000</v>
      </c>
      <c r="W911">
        <v>0</v>
      </c>
      <c r="X911" t="s">
        <v>205</v>
      </c>
      <c r="Y911" s="74" t="str">
        <f ca="1">IF(Table15[[#This Row],[Type]]="KILL",IF(_xlfn.NUMBERVALUE(RIGHT(Table15[[#This Row],[Min]],LEN(Table15[[#This Row],[Min]])-FIND("-",Table15[[#This Row],[Min]])))&gt;INDIRECT(ADDRESS(11+MATCH(LEFT(Table15[[#This Row],[Min]],FIND("-",Table15[[#This Row],[Min]])-1),Table1[Content Sku],0),16,1,1,"Entities")),"review","ok"),"ok")</f>
        <v>ok</v>
      </c>
      <c r="AK911" t="s">
        <v>2741</v>
      </c>
      <c r="AL911">
        <v>0</v>
      </c>
      <c r="AM911">
        <v>0</v>
      </c>
      <c r="AN911" t="s">
        <v>8</v>
      </c>
      <c r="AO911" s="74" t="str">
        <f ca="1">IF(Table20[[#This Row],[Type]]="KILL",IF(_xlfn.NUMBERVALUE(RIGHT(Table20[[#This Row],[Min]],LEN(Table20[[#This Row],[Min]])-FIND("-",Table20[[#This Row],[Min]])))&gt;INDIRECT(ADDRESS(11+MATCH(LEFT(Table20[[#This Row],[Min]],FIND("-",Table20[[#This Row],[Min]])-1),Table1[Content Sku],0),18,1,1,"Entities")),"review","ok"),"ok")</f>
        <v>ok</v>
      </c>
    </row>
    <row r="912" spans="5:41" x14ac:dyDescent="0.25">
      <c r="E912" t="s">
        <v>95</v>
      </c>
      <c r="F912">
        <v>0</v>
      </c>
      <c r="G912">
        <v>0</v>
      </c>
      <c r="H912" t="s">
        <v>8</v>
      </c>
      <c r="I912" s="74" t="str">
        <f ca="1">IF(Table7[[#This Row],[Type]]="KILL",IF(_xlfn.NUMBERVALUE(RIGHT(Table7[[#This Row],[Min]],LEN(Table7[[#This Row],[Min]])-FIND("-",Table7[[#This Row],[Min]])))&gt;INDIRECT(ADDRESS(11+MATCH(LEFT(Table7[[#This Row],[Min]],FIND("-",Table7[[#This Row],[Min]])-1),Table1[Content Sku],0),16,1,1,"Entities")),"review","ok"),"ok")</f>
        <v>ok</v>
      </c>
      <c r="U912" t="s">
        <v>283</v>
      </c>
      <c r="V912">
        <v>0</v>
      </c>
      <c r="W912">
        <v>0</v>
      </c>
      <c r="X912" t="s">
        <v>8</v>
      </c>
      <c r="Y912" s="74" t="str">
        <f ca="1">IF(Table15[[#This Row],[Type]]="KILL",IF(_xlfn.NUMBERVALUE(RIGHT(Table15[[#This Row],[Min]],LEN(Table15[[#This Row],[Min]])-FIND("-",Table15[[#This Row],[Min]])))&gt;INDIRECT(ADDRESS(11+MATCH(LEFT(Table15[[#This Row],[Min]],FIND("-",Table15[[#This Row],[Min]])-1),Table1[Content Sku],0),16,1,1,"Entities")),"review","ok"),"ok")</f>
        <v>ok</v>
      </c>
      <c r="AK912" t="s">
        <v>548</v>
      </c>
      <c r="AL912">
        <v>0</v>
      </c>
      <c r="AM912">
        <v>0</v>
      </c>
      <c r="AN912" t="s">
        <v>8</v>
      </c>
      <c r="AO912" s="74" t="str">
        <f ca="1">IF(Table20[[#This Row],[Type]]="KILL",IF(_xlfn.NUMBERVALUE(RIGHT(Table20[[#This Row],[Min]],LEN(Table20[[#This Row],[Min]])-FIND("-",Table20[[#This Row],[Min]])))&gt;INDIRECT(ADDRESS(11+MATCH(LEFT(Table20[[#This Row],[Min]],FIND("-",Table20[[#This Row],[Min]])-1),Table1[Content Sku],0),18,1,1,"Entities")),"review","ok"),"ok")</f>
        <v>ok</v>
      </c>
    </row>
    <row r="913" spans="5:41" x14ac:dyDescent="0.25">
      <c r="E913" t="s">
        <v>21</v>
      </c>
      <c r="F913">
        <v>4500</v>
      </c>
      <c r="G913">
        <v>0</v>
      </c>
      <c r="H913" t="s">
        <v>205</v>
      </c>
      <c r="I913" s="74" t="str">
        <f ca="1">IF(Table7[[#This Row],[Type]]="KILL",IF(_xlfn.NUMBERVALUE(RIGHT(Table7[[#This Row],[Min]],LEN(Table7[[#This Row],[Min]])-FIND("-",Table7[[#This Row],[Min]])))&gt;INDIRECT(ADDRESS(11+MATCH(LEFT(Table7[[#This Row],[Min]],FIND("-",Table7[[#This Row],[Min]])-1),Table1[Content Sku],0),16,1,1,"Entities")),"review","ok"),"ok")</f>
        <v>ok</v>
      </c>
      <c r="U913" t="s">
        <v>278</v>
      </c>
      <c r="V913">
        <v>0</v>
      </c>
      <c r="W913">
        <v>49000</v>
      </c>
      <c r="X913" t="s">
        <v>205</v>
      </c>
      <c r="Y913" s="74" t="str">
        <f ca="1">IF(Table15[[#This Row],[Type]]="KILL",IF(_xlfn.NUMBERVALUE(RIGHT(Table15[[#This Row],[Min]],LEN(Table15[[#This Row],[Min]])-FIND("-",Table15[[#This Row],[Min]])))&gt;INDIRECT(ADDRESS(11+MATCH(LEFT(Table15[[#This Row],[Min]],FIND("-",Table15[[#This Row],[Min]])-1),Table1[Content Sku],0),16,1,1,"Entities")),"review","ok"),"ok")</f>
        <v>ok</v>
      </c>
      <c r="AK913" t="s">
        <v>2767</v>
      </c>
      <c r="AL913">
        <v>0</v>
      </c>
      <c r="AM913">
        <v>0</v>
      </c>
      <c r="AN913" t="s">
        <v>8</v>
      </c>
      <c r="AO913" s="74" t="str">
        <f ca="1">IF(Table20[[#This Row],[Type]]="KILL",IF(_xlfn.NUMBERVALUE(RIGHT(Table20[[#This Row],[Min]],LEN(Table20[[#This Row],[Min]])-FIND("-",Table20[[#This Row],[Min]])))&gt;INDIRECT(ADDRESS(11+MATCH(LEFT(Table20[[#This Row],[Min]],FIND("-",Table20[[#This Row],[Min]])-1),Table1[Content Sku],0),18,1,1,"Entities")),"review","ok"),"ok")</f>
        <v>ok</v>
      </c>
    </row>
    <row r="914" spans="5:41" x14ac:dyDescent="0.25">
      <c r="E914" t="s">
        <v>418</v>
      </c>
      <c r="F914">
        <v>0</v>
      </c>
      <c r="G914">
        <v>0</v>
      </c>
      <c r="H914" t="s">
        <v>8</v>
      </c>
      <c r="I914" s="74" t="str">
        <f ca="1">IF(Table7[[#This Row],[Type]]="KILL",IF(_xlfn.NUMBERVALUE(RIGHT(Table7[[#This Row],[Min]],LEN(Table7[[#This Row],[Min]])-FIND("-",Table7[[#This Row],[Min]])))&gt;INDIRECT(ADDRESS(11+MATCH(LEFT(Table7[[#This Row],[Min]],FIND("-",Table7[[#This Row],[Min]])-1),Table1[Content Sku],0),16,1,1,"Entities")),"review","ok"),"ok")</f>
        <v>ok</v>
      </c>
      <c r="U914" t="s">
        <v>17</v>
      </c>
      <c r="V914">
        <v>0</v>
      </c>
      <c r="W914">
        <v>0</v>
      </c>
      <c r="X914" t="s">
        <v>8</v>
      </c>
      <c r="Y914" s="74" t="str">
        <f ca="1">IF(Table15[[#This Row],[Type]]="KILL",IF(_xlfn.NUMBERVALUE(RIGHT(Table15[[#This Row],[Min]],LEN(Table15[[#This Row],[Min]])-FIND("-",Table15[[#This Row],[Min]])))&gt;INDIRECT(ADDRESS(11+MATCH(LEFT(Table15[[#This Row],[Min]],FIND("-",Table15[[#This Row],[Min]])-1),Table1[Content Sku],0),16,1,1,"Entities")),"review","ok"),"ok")</f>
        <v>ok</v>
      </c>
      <c r="AK914" t="s">
        <v>39</v>
      </c>
      <c r="AL914">
        <v>0</v>
      </c>
      <c r="AM914">
        <v>33000</v>
      </c>
      <c r="AN914" t="s">
        <v>205</v>
      </c>
      <c r="AO914" s="74" t="str">
        <f ca="1">IF(Table20[[#This Row],[Type]]="KILL",IF(_xlfn.NUMBERVALUE(RIGHT(Table20[[#This Row],[Min]],LEN(Table20[[#This Row],[Min]])-FIND("-",Table20[[#This Row],[Min]])))&gt;INDIRECT(ADDRESS(11+MATCH(LEFT(Table20[[#This Row],[Min]],FIND("-",Table20[[#This Row],[Min]])-1),Table1[Content Sku],0),18,1,1,"Entities")),"review","ok"),"ok")</f>
        <v>ok</v>
      </c>
    </row>
    <row r="915" spans="5:41" x14ac:dyDescent="0.25">
      <c r="E915" t="s">
        <v>338</v>
      </c>
      <c r="F915">
        <v>0</v>
      </c>
      <c r="G915">
        <v>12000</v>
      </c>
      <c r="H915" t="s">
        <v>205</v>
      </c>
      <c r="I915" s="74" t="str">
        <f ca="1">IF(Table7[[#This Row],[Type]]="KILL",IF(_xlfn.NUMBERVALUE(RIGHT(Table7[[#This Row],[Min]],LEN(Table7[[#This Row],[Min]])-FIND("-",Table7[[#This Row],[Min]])))&gt;INDIRECT(ADDRESS(11+MATCH(LEFT(Table7[[#This Row],[Min]],FIND("-",Table7[[#This Row],[Min]])-1),Table1[Content Sku],0),16,1,1,"Entities")),"review","ok"),"ok")</f>
        <v>ok</v>
      </c>
      <c r="U915" t="s">
        <v>137</v>
      </c>
      <c r="V915">
        <v>0</v>
      </c>
      <c r="W915">
        <v>0</v>
      </c>
      <c r="X915" t="s">
        <v>8</v>
      </c>
      <c r="Y915" s="74" t="str">
        <f ca="1">IF(Table15[[#This Row],[Type]]="KILL",IF(_xlfn.NUMBERVALUE(RIGHT(Table15[[#This Row],[Min]],LEN(Table15[[#This Row],[Min]])-FIND("-",Table15[[#This Row],[Min]])))&gt;INDIRECT(ADDRESS(11+MATCH(LEFT(Table15[[#This Row],[Min]],FIND("-",Table15[[#This Row],[Min]])-1),Table1[Content Sku],0),16,1,1,"Entities")),"review","ok"),"ok")</f>
        <v>ok</v>
      </c>
      <c r="AK915" t="s">
        <v>95</v>
      </c>
      <c r="AL915">
        <v>0</v>
      </c>
      <c r="AM915">
        <v>31000</v>
      </c>
      <c r="AN915" t="s">
        <v>205</v>
      </c>
      <c r="AO915" s="74" t="str">
        <f ca="1">IF(Table20[[#This Row],[Type]]="KILL",IF(_xlfn.NUMBERVALUE(RIGHT(Table20[[#This Row],[Min]],LEN(Table20[[#This Row],[Min]])-FIND("-",Table20[[#This Row],[Min]])))&gt;INDIRECT(ADDRESS(11+MATCH(LEFT(Table20[[#This Row],[Min]],FIND("-",Table20[[#This Row],[Min]])-1),Table1[Content Sku],0),18,1,1,"Entities")),"review","ok"),"ok")</f>
        <v>ok</v>
      </c>
    </row>
    <row r="916" spans="5:41" x14ac:dyDescent="0.25">
      <c r="E916" t="s">
        <v>47</v>
      </c>
      <c r="F916">
        <v>0</v>
      </c>
      <c r="G916">
        <v>0</v>
      </c>
      <c r="H916" t="s">
        <v>8</v>
      </c>
      <c r="I916" s="74" t="str">
        <f ca="1">IF(Table7[[#This Row],[Type]]="KILL",IF(_xlfn.NUMBERVALUE(RIGHT(Table7[[#This Row],[Min]],LEN(Table7[[#This Row],[Min]])-FIND("-",Table7[[#This Row],[Min]])))&gt;INDIRECT(ADDRESS(11+MATCH(LEFT(Table7[[#This Row],[Min]],FIND("-",Table7[[#This Row],[Min]])-1),Table1[Content Sku],0),16,1,1,"Entities")),"review","ok"),"ok")</f>
        <v>ok</v>
      </c>
      <c r="U916" t="s">
        <v>54</v>
      </c>
      <c r="V916">
        <v>0</v>
      </c>
      <c r="W916">
        <v>0</v>
      </c>
      <c r="X916" t="s">
        <v>8</v>
      </c>
      <c r="Y916" s="74" t="str">
        <f ca="1">IF(Table15[[#This Row],[Type]]="KILL",IF(_xlfn.NUMBERVALUE(RIGHT(Table15[[#This Row],[Min]],LEN(Table15[[#This Row],[Min]])-FIND("-",Table15[[#This Row],[Min]])))&gt;INDIRECT(ADDRESS(11+MATCH(LEFT(Table15[[#This Row],[Min]],FIND("-",Table15[[#This Row],[Min]])-1),Table1[Content Sku],0),16,1,1,"Entities")),"review","ok"),"ok")</f>
        <v>ok</v>
      </c>
      <c r="AK916" t="s">
        <v>122</v>
      </c>
      <c r="AL916">
        <v>35000</v>
      </c>
      <c r="AM916">
        <v>0</v>
      </c>
      <c r="AN916" t="s">
        <v>205</v>
      </c>
      <c r="AO916" s="74" t="str">
        <f ca="1">IF(Table20[[#This Row],[Type]]="KILL",IF(_xlfn.NUMBERVALUE(RIGHT(Table20[[#This Row],[Min]],LEN(Table20[[#This Row],[Min]])-FIND("-",Table20[[#This Row],[Min]])))&gt;INDIRECT(ADDRESS(11+MATCH(LEFT(Table20[[#This Row],[Min]],FIND("-",Table20[[#This Row],[Min]])-1),Table1[Content Sku],0),18,1,1,"Entities")),"review","ok"),"ok")</f>
        <v>ok</v>
      </c>
    </row>
    <row r="917" spans="5:41" x14ac:dyDescent="0.25">
      <c r="E917" t="s">
        <v>393</v>
      </c>
      <c r="F917">
        <v>5000</v>
      </c>
      <c r="G917">
        <v>0</v>
      </c>
      <c r="H917" t="s">
        <v>205</v>
      </c>
      <c r="I917" s="74" t="str">
        <f ca="1">IF(Table7[[#This Row],[Type]]="KILL",IF(_xlfn.NUMBERVALUE(RIGHT(Table7[[#This Row],[Min]],LEN(Table7[[#This Row],[Min]])-FIND("-",Table7[[#This Row],[Min]])))&gt;INDIRECT(ADDRESS(11+MATCH(LEFT(Table7[[#This Row],[Min]],FIND("-",Table7[[#This Row],[Min]])-1),Table1[Content Sku],0),16,1,1,"Entities")),"review","ok"),"ok")</f>
        <v>ok</v>
      </c>
      <c r="U917" t="s">
        <v>548</v>
      </c>
      <c r="V917">
        <v>0</v>
      </c>
      <c r="W917">
        <v>0</v>
      </c>
      <c r="X917" t="s">
        <v>8</v>
      </c>
      <c r="Y917" s="74" t="str">
        <f ca="1">IF(Table15[[#This Row],[Type]]="KILL",IF(_xlfn.NUMBERVALUE(RIGHT(Table15[[#This Row],[Min]],LEN(Table15[[#This Row],[Min]])-FIND("-",Table15[[#This Row],[Min]])))&gt;INDIRECT(ADDRESS(11+MATCH(LEFT(Table15[[#This Row],[Min]],FIND("-",Table15[[#This Row],[Min]])-1),Table1[Content Sku],0),16,1,1,"Entities")),"review","ok"),"ok")</f>
        <v>ok</v>
      </c>
      <c r="AK917" t="s">
        <v>2686</v>
      </c>
      <c r="AL917">
        <v>92000</v>
      </c>
      <c r="AM917">
        <v>0</v>
      </c>
      <c r="AN917" t="s">
        <v>205</v>
      </c>
      <c r="AO917" s="74" t="str">
        <f ca="1">IF(Table20[[#This Row],[Type]]="KILL",IF(_xlfn.NUMBERVALUE(RIGHT(Table20[[#This Row],[Min]],LEN(Table20[[#This Row],[Min]])-FIND("-",Table20[[#This Row],[Min]])))&gt;INDIRECT(ADDRESS(11+MATCH(LEFT(Table20[[#This Row],[Min]],FIND("-",Table20[[#This Row],[Min]])-1),Table1[Content Sku],0),18,1,1,"Entities")),"review","ok"),"ok")</f>
        <v>ok</v>
      </c>
    </row>
    <row r="918" spans="5:41" x14ac:dyDescent="0.25">
      <c r="E918" t="s">
        <v>393</v>
      </c>
      <c r="F918">
        <v>0</v>
      </c>
      <c r="G918">
        <v>0</v>
      </c>
      <c r="H918" t="s">
        <v>8</v>
      </c>
      <c r="I918" s="74" t="str">
        <f ca="1">IF(Table7[[#This Row],[Type]]="KILL",IF(_xlfn.NUMBERVALUE(RIGHT(Table7[[#This Row],[Min]],LEN(Table7[[#This Row],[Min]])-FIND("-",Table7[[#This Row],[Min]])))&gt;INDIRECT(ADDRESS(11+MATCH(LEFT(Table7[[#This Row],[Min]],FIND("-",Table7[[#This Row],[Min]])-1),Table1[Content Sku],0),16,1,1,"Entities")),"review","ok"),"ok")</f>
        <v>ok</v>
      </c>
      <c r="U918" t="s">
        <v>2741</v>
      </c>
      <c r="V918">
        <v>0</v>
      </c>
      <c r="W918">
        <v>0</v>
      </c>
      <c r="X918" t="s">
        <v>8</v>
      </c>
      <c r="Y918" s="74" t="str">
        <f ca="1">IF(Table15[[#This Row],[Type]]="KILL",IF(_xlfn.NUMBERVALUE(RIGHT(Table15[[#This Row],[Min]],LEN(Table15[[#This Row],[Min]])-FIND("-",Table15[[#This Row],[Min]])))&gt;INDIRECT(ADDRESS(11+MATCH(LEFT(Table15[[#This Row],[Min]],FIND("-",Table15[[#This Row],[Min]])-1),Table1[Content Sku],0),16,1,1,"Entities")),"review","ok"),"ok")</f>
        <v>ok</v>
      </c>
      <c r="AK918" t="s">
        <v>37</v>
      </c>
      <c r="AL918">
        <v>28000</v>
      </c>
      <c r="AM918">
        <v>0</v>
      </c>
      <c r="AN918" t="s">
        <v>205</v>
      </c>
      <c r="AO918" s="74" t="str">
        <f ca="1">IF(Table20[[#This Row],[Type]]="KILL",IF(_xlfn.NUMBERVALUE(RIGHT(Table20[[#This Row],[Min]],LEN(Table20[[#This Row],[Min]])-FIND("-",Table20[[#This Row],[Min]])))&gt;INDIRECT(ADDRESS(11+MATCH(LEFT(Table20[[#This Row],[Min]],FIND("-",Table20[[#This Row],[Min]])-1),Table1[Content Sku],0),18,1,1,"Entities")),"review","ok"),"ok")</f>
        <v>ok</v>
      </c>
    </row>
    <row r="919" spans="5:41" x14ac:dyDescent="0.25">
      <c r="E919" t="s">
        <v>318</v>
      </c>
      <c r="F919">
        <v>0</v>
      </c>
      <c r="G919">
        <v>0</v>
      </c>
      <c r="H919" t="s">
        <v>8</v>
      </c>
      <c r="I919" s="74" t="str">
        <f ca="1">IF(Table7[[#This Row],[Type]]="KILL",IF(_xlfn.NUMBERVALUE(RIGHT(Table7[[#This Row],[Min]],LEN(Table7[[#This Row],[Min]])-FIND("-",Table7[[#This Row],[Min]])))&gt;INDIRECT(ADDRESS(11+MATCH(LEFT(Table7[[#This Row],[Min]],FIND("-",Table7[[#This Row],[Min]])-1),Table1[Content Sku],0),16,1,1,"Entities")),"review","ok"),"ok")</f>
        <v>ok</v>
      </c>
      <c r="U919" t="s">
        <v>45</v>
      </c>
      <c r="V919">
        <v>0</v>
      </c>
      <c r="W919">
        <v>0</v>
      </c>
      <c r="X919" t="s">
        <v>8</v>
      </c>
      <c r="Y919" s="74" t="str">
        <f ca="1">IF(Table15[[#This Row],[Type]]="KILL",IF(_xlfn.NUMBERVALUE(RIGHT(Table15[[#This Row],[Min]],LEN(Table15[[#This Row],[Min]])-FIND("-",Table15[[#This Row],[Min]])))&gt;INDIRECT(ADDRESS(11+MATCH(LEFT(Table15[[#This Row],[Min]],FIND("-",Table15[[#This Row],[Min]])-1),Table1[Content Sku],0),16,1,1,"Entities")),"review","ok"),"ok")</f>
        <v>ok</v>
      </c>
      <c r="AK919" t="s">
        <v>37</v>
      </c>
      <c r="AL919">
        <v>0</v>
      </c>
      <c r="AM919">
        <v>0</v>
      </c>
      <c r="AN919" t="s">
        <v>8</v>
      </c>
      <c r="AO919" s="74" t="str">
        <f ca="1">IF(Table20[[#This Row],[Type]]="KILL",IF(_xlfn.NUMBERVALUE(RIGHT(Table20[[#This Row],[Min]],LEN(Table20[[#This Row],[Min]])-FIND("-",Table20[[#This Row],[Min]])))&gt;INDIRECT(ADDRESS(11+MATCH(LEFT(Table20[[#This Row],[Min]],FIND("-",Table20[[#This Row],[Min]])-1),Table1[Content Sku],0),18,1,1,"Entities")),"review","ok"),"ok")</f>
        <v>ok</v>
      </c>
    </row>
    <row r="920" spans="5:41" x14ac:dyDescent="0.25">
      <c r="E920" t="s">
        <v>39</v>
      </c>
      <c r="F920">
        <v>8000</v>
      </c>
      <c r="G920">
        <v>53000</v>
      </c>
      <c r="H920" t="s">
        <v>205</v>
      </c>
      <c r="I920" s="74" t="str">
        <f ca="1">IF(Table7[[#This Row],[Type]]="KILL",IF(_xlfn.NUMBERVALUE(RIGHT(Table7[[#This Row],[Min]],LEN(Table7[[#This Row],[Min]])-FIND("-",Table7[[#This Row],[Min]])))&gt;INDIRECT(ADDRESS(11+MATCH(LEFT(Table7[[#This Row],[Min]],FIND("-",Table7[[#This Row],[Min]])-1),Table1[Content Sku],0),16,1,1,"Entities")),"review","ok"),"ok")</f>
        <v>ok</v>
      </c>
      <c r="U920" t="s">
        <v>289</v>
      </c>
      <c r="V920">
        <v>0</v>
      </c>
      <c r="W920">
        <v>0</v>
      </c>
      <c r="X920" t="s">
        <v>8</v>
      </c>
      <c r="Y920" s="74" t="str">
        <f ca="1">IF(Table15[[#This Row],[Type]]="KILL",IF(_xlfn.NUMBERVALUE(RIGHT(Table15[[#This Row],[Min]],LEN(Table15[[#This Row],[Min]])-FIND("-",Table15[[#This Row],[Min]])))&gt;INDIRECT(ADDRESS(11+MATCH(LEFT(Table15[[#This Row],[Min]],FIND("-",Table15[[#This Row],[Min]])-1),Table1[Content Sku],0),16,1,1,"Entities")),"review","ok"),"ok")</f>
        <v>ok</v>
      </c>
      <c r="AK920" t="s">
        <v>2741</v>
      </c>
      <c r="AL920">
        <v>0</v>
      </c>
      <c r="AM920">
        <v>0</v>
      </c>
      <c r="AN920" t="s">
        <v>8</v>
      </c>
      <c r="AO920" s="74" t="str">
        <f ca="1">IF(Table20[[#This Row],[Type]]="KILL",IF(_xlfn.NUMBERVALUE(RIGHT(Table20[[#This Row],[Min]],LEN(Table20[[#This Row],[Min]])-FIND("-",Table20[[#This Row],[Min]])))&gt;INDIRECT(ADDRESS(11+MATCH(LEFT(Table20[[#This Row],[Min]],FIND("-",Table20[[#This Row],[Min]])-1),Table1[Content Sku],0),18,1,1,"Entities")),"review","ok"),"ok")</f>
        <v>ok</v>
      </c>
    </row>
    <row r="921" spans="5:41" x14ac:dyDescent="0.25">
      <c r="E921" t="s">
        <v>254</v>
      </c>
      <c r="F921">
        <v>0</v>
      </c>
      <c r="G921">
        <v>0</v>
      </c>
      <c r="H921" t="s">
        <v>8</v>
      </c>
      <c r="I921" s="74" t="str">
        <f ca="1">IF(Table7[[#This Row],[Type]]="KILL",IF(_xlfn.NUMBERVALUE(RIGHT(Table7[[#This Row],[Min]],LEN(Table7[[#This Row],[Min]])-FIND("-",Table7[[#This Row],[Min]])))&gt;INDIRECT(ADDRESS(11+MATCH(LEFT(Table7[[#This Row],[Min]],FIND("-",Table7[[#This Row],[Min]])-1),Table1[Content Sku],0),16,1,1,"Entities")),"review","ok"),"ok")</f>
        <v>ok</v>
      </c>
      <c r="U921" t="s">
        <v>391</v>
      </c>
      <c r="V921">
        <v>0</v>
      </c>
      <c r="W921">
        <v>0</v>
      </c>
      <c r="X921" t="s">
        <v>8</v>
      </c>
      <c r="Y921" s="74" t="str">
        <f ca="1">IF(Table15[[#This Row],[Type]]="KILL",IF(_xlfn.NUMBERVALUE(RIGHT(Table15[[#This Row],[Min]],LEN(Table15[[#This Row],[Min]])-FIND("-",Table15[[#This Row],[Min]])))&gt;INDIRECT(ADDRESS(11+MATCH(LEFT(Table15[[#This Row],[Min]],FIND("-",Table15[[#This Row],[Min]])-1),Table1[Content Sku],0),16,1,1,"Entities")),"review","ok"),"ok")</f>
        <v>ok</v>
      </c>
      <c r="AK921" t="s">
        <v>2673</v>
      </c>
      <c r="AL921">
        <v>0</v>
      </c>
      <c r="AM921">
        <v>96000</v>
      </c>
      <c r="AN921" t="s">
        <v>205</v>
      </c>
      <c r="AO921" s="74" t="str">
        <f ca="1">IF(Table20[[#This Row],[Type]]="KILL",IF(_xlfn.NUMBERVALUE(RIGHT(Table20[[#This Row],[Min]],LEN(Table20[[#This Row],[Min]])-FIND("-",Table20[[#This Row],[Min]])))&gt;INDIRECT(ADDRESS(11+MATCH(LEFT(Table20[[#This Row],[Min]],FIND("-",Table20[[#This Row],[Min]])-1),Table1[Content Sku],0),18,1,1,"Entities")),"review","ok"),"ok")</f>
        <v>ok</v>
      </c>
    </row>
    <row r="922" spans="5:41" x14ac:dyDescent="0.25">
      <c r="E922" t="s">
        <v>289</v>
      </c>
      <c r="F922">
        <v>0</v>
      </c>
      <c r="G922">
        <v>0</v>
      </c>
      <c r="H922" t="s">
        <v>8</v>
      </c>
      <c r="I922" s="74" t="str">
        <f ca="1">IF(Table7[[#This Row],[Type]]="KILL",IF(_xlfn.NUMBERVALUE(RIGHT(Table7[[#This Row],[Min]],LEN(Table7[[#This Row],[Min]])-FIND("-",Table7[[#This Row],[Min]])))&gt;INDIRECT(ADDRESS(11+MATCH(LEFT(Table7[[#This Row],[Min]],FIND("-",Table7[[#This Row],[Min]])-1),Table1[Content Sku],0),16,1,1,"Entities")),"review","ok"),"ok")</f>
        <v>ok</v>
      </c>
      <c r="U922" t="s">
        <v>391</v>
      </c>
      <c r="V922">
        <v>0</v>
      </c>
      <c r="W922">
        <v>0</v>
      </c>
      <c r="X922" t="s">
        <v>8</v>
      </c>
      <c r="Y922" s="74" t="str">
        <f ca="1">IF(Table15[[#This Row],[Type]]="KILL",IF(_xlfn.NUMBERVALUE(RIGHT(Table15[[#This Row],[Min]],LEN(Table15[[#This Row],[Min]])-FIND("-",Table15[[#This Row],[Min]])))&gt;INDIRECT(ADDRESS(11+MATCH(LEFT(Table15[[#This Row],[Min]],FIND("-",Table15[[#This Row],[Min]])-1),Table1[Content Sku],0),16,1,1,"Entities")),"review","ok"),"ok")</f>
        <v>ok</v>
      </c>
      <c r="AK922" t="s">
        <v>2671</v>
      </c>
      <c r="AL922">
        <v>240</v>
      </c>
      <c r="AM922">
        <v>0</v>
      </c>
      <c r="AN922" t="s">
        <v>4431</v>
      </c>
      <c r="AO922" s="74" t="str">
        <f ca="1">IF(Table20[[#This Row],[Type]]="KILL",IF(_xlfn.NUMBERVALUE(RIGHT(Table20[[#This Row],[Min]],LEN(Table20[[#This Row],[Min]])-FIND("-",Table20[[#This Row],[Min]])))&gt;INDIRECT(ADDRESS(11+MATCH(LEFT(Table20[[#This Row],[Min]],FIND("-",Table20[[#This Row],[Min]])-1),Table1[Content Sku],0),18,1,1,"Entities")),"review","ok"),"ok")</f>
        <v>ok</v>
      </c>
    </row>
    <row r="923" spans="5:41" x14ac:dyDescent="0.25">
      <c r="E923" t="s">
        <v>39</v>
      </c>
      <c r="F923">
        <v>0</v>
      </c>
      <c r="G923">
        <v>0</v>
      </c>
      <c r="H923" t="s">
        <v>8</v>
      </c>
      <c r="I923" s="74" t="str">
        <f ca="1">IF(Table7[[#This Row],[Type]]="KILL",IF(_xlfn.NUMBERVALUE(RIGHT(Table7[[#This Row],[Min]],LEN(Table7[[#This Row],[Min]])-FIND("-",Table7[[#This Row],[Min]])))&gt;INDIRECT(ADDRESS(11+MATCH(LEFT(Table7[[#This Row],[Min]],FIND("-",Table7[[#This Row],[Min]])-1),Table1[Content Sku],0),16,1,1,"Entities")),"review","ok"),"ok")</f>
        <v>ok</v>
      </c>
      <c r="U923" t="s">
        <v>545</v>
      </c>
      <c r="V923">
        <v>0</v>
      </c>
      <c r="W923">
        <v>0</v>
      </c>
      <c r="X923" t="s">
        <v>8</v>
      </c>
      <c r="Y923" s="74" t="str">
        <f ca="1">IF(Table15[[#This Row],[Type]]="KILL",IF(_xlfn.NUMBERVALUE(RIGHT(Table15[[#This Row],[Min]],LEN(Table15[[#This Row],[Min]])-FIND("-",Table15[[#This Row],[Min]])))&gt;INDIRECT(ADDRESS(11+MATCH(LEFT(Table15[[#This Row],[Min]],FIND("-",Table15[[#This Row],[Min]])-1),Table1[Content Sku],0),16,1,1,"Entities")),"review","ok"),"ok")</f>
        <v>ok</v>
      </c>
      <c r="AK923" t="s">
        <v>40</v>
      </c>
      <c r="AL923">
        <v>32000</v>
      </c>
      <c r="AM923">
        <v>0</v>
      </c>
      <c r="AN923" t="s">
        <v>205</v>
      </c>
      <c r="AO923" s="74" t="str">
        <f ca="1">IF(Table20[[#This Row],[Type]]="KILL",IF(_xlfn.NUMBERVALUE(RIGHT(Table20[[#This Row],[Min]],LEN(Table20[[#This Row],[Min]])-FIND("-",Table20[[#This Row],[Min]])))&gt;INDIRECT(ADDRESS(11+MATCH(LEFT(Table20[[#This Row],[Min]],FIND("-",Table20[[#This Row],[Min]])-1),Table1[Content Sku],0),18,1,1,"Entities")),"review","ok"),"ok")</f>
        <v>ok</v>
      </c>
    </row>
    <row r="924" spans="5:41" x14ac:dyDescent="0.25">
      <c r="E924" t="s">
        <v>309</v>
      </c>
      <c r="F924">
        <v>0</v>
      </c>
      <c r="G924">
        <v>0</v>
      </c>
      <c r="H924" t="s">
        <v>8</v>
      </c>
      <c r="I924" s="74" t="str">
        <f ca="1">IF(Table7[[#This Row],[Type]]="KILL",IF(_xlfn.NUMBERVALUE(RIGHT(Table7[[#This Row],[Min]],LEN(Table7[[#This Row],[Min]])-FIND("-",Table7[[#This Row],[Min]])))&gt;INDIRECT(ADDRESS(11+MATCH(LEFT(Table7[[#This Row],[Min]],FIND("-",Table7[[#This Row],[Min]])-1),Table1[Content Sku],0),16,1,1,"Entities")),"review","ok"),"ok")</f>
        <v>ok</v>
      </c>
      <c r="U924" t="s">
        <v>300</v>
      </c>
      <c r="V924">
        <v>0</v>
      </c>
      <c r="W924">
        <v>200</v>
      </c>
      <c r="X924" t="s">
        <v>4431</v>
      </c>
      <c r="Y924" s="74" t="str">
        <f ca="1">IF(Table15[[#This Row],[Type]]="KILL",IF(_xlfn.NUMBERVALUE(RIGHT(Table15[[#This Row],[Min]],LEN(Table15[[#This Row],[Min]])-FIND("-",Table15[[#This Row],[Min]])))&gt;INDIRECT(ADDRESS(11+MATCH(LEFT(Table15[[#This Row],[Min]],FIND("-",Table15[[#This Row],[Min]])-1),Table1[Content Sku],0),16,1,1,"Entities")),"review","ok"),"ok")</f>
        <v>ok</v>
      </c>
      <c r="AK924" t="s">
        <v>2734</v>
      </c>
      <c r="AL924">
        <v>0</v>
      </c>
      <c r="AM924">
        <v>0</v>
      </c>
      <c r="AN924" t="s">
        <v>8</v>
      </c>
      <c r="AO924" s="74" t="str">
        <f ca="1">IF(Table20[[#This Row],[Type]]="KILL",IF(_xlfn.NUMBERVALUE(RIGHT(Table20[[#This Row],[Min]],LEN(Table20[[#This Row],[Min]])-FIND("-",Table20[[#This Row],[Min]])))&gt;INDIRECT(ADDRESS(11+MATCH(LEFT(Table20[[#This Row],[Min]],FIND("-",Table20[[#This Row],[Min]])-1),Table1[Content Sku],0),18,1,1,"Entities")),"review","ok"),"ok")</f>
        <v>ok</v>
      </c>
    </row>
    <row r="925" spans="5:41" x14ac:dyDescent="0.25">
      <c r="E925" t="s">
        <v>289</v>
      </c>
      <c r="F925">
        <v>0</v>
      </c>
      <c r="G925">
        <v>0</v>
      </c>
      <c r="H925" t="s">
        <v>8</v>
      </c>
      <c r="I925" s="74" t="str">
        <f ca="1">IF(Table7[[#This Row],[Type]]="KILL",IF(_xlfn.NUMBERVALUE(RIGHT(Table7[[#This Row],[Min]],LEN(Table7[[#This Row],[Min]])-FIND("-",Table7[[#This Row],[Min]])))&gt;INDIRECT(ADDRESS(11+MATCH(LEFT(Table7[[#This Row],[Min]],FIND("-",Table7[[#This Row],[Min]])-1),Table1[Content Sku],0),16,1,1,"Entities")),"review","ok"),"ok")</f>
        <v>ok</v>
      </c>
      <c r="U925" t="s">
        <v>548</v>
      </c>
      <c r="V925">
        <v>0</v>
      </c>
      <c r="W925">
        <v>0</v>
      </c>
      <c r="X925" t="s">
        <v>8</v>
      </c>
      <c r="Y925" s="74" t="str">
        <f ca="1">IF(Table15[[#This Row],[Type]]="KILL",IF(_xlfn.NUMBERVALUE(RIGHT(Table15[[#This Row],[Min]],LEN(Table15[[#This Row],[Min]])-FIND("-",Table15[[#This Row],[Min]])))&gt;INDIRECT(ADDRESS(11+MATCH(LEFT(Table15[[#This Row],[Min]],FIND("-",Table15[[#This Row],[Min]])-1),Table1[Content Sku],0),16,1,1,"Entities")),"review","ok"),"ok")</f>
        <v>ok</v>
      </c>
      <c r="AK925" t="s">
        <v>2674</v>
      </c>
      <c r="AL925">
        <v>0</v>
      </c>
      <c r="AM925">
        <v>0</v>
      </c>
      <c r="AN925" t="s">
        <v>8</v>
      </c>
      <c r="AO925" s="74" t="str">
        <f ca="1">IF(Table20[[#This Row],[Type]]="KILL",IF(_xlfn.NUMBERVALUE(RIGHT(Table20[[#This Row],[Min]],LEN(Table20[[#This Row],[Min]])-FIND("-",Table20[[#This Row],[Min]])))&gt;INDIRECT(ADDRESS(11+MATCH(LEFT(Table20[[#This Row],[Min]],FIND("-",Table20[[#This Row],[Min]])-1),Table1[Content Sku],0),18,1,1,"Entities")),"review","ok"),"ok")</f>
        <v>ok</v>
      </c>
    </row>
    <row r="926" spans="5:41" x14ac:dyDescent="0.25">
      <c r="E926" t="s">
        <v>46</v>
      </c>
      <c r="F926">
        <v>0</v>
      </c>
      <c r="G926">
        <v>0</v>
      </c>
      <c r="H926" t="s">
        <v>8</v>
      </c>
      <c r="I926" s="74" t="str">
        <f ca="1">IF(Table7[[#This Row],[Type]]="KILL",IF(_xlfn.NUMBERVALUE(RIGHT(Table7[[#This Row],[Min]],LEN(Table7[[#This Row],[Min]])-FIND("-",Table7[[#This Row],[Min]])))&gt;INDIRECT(ADDRESS(11+MATCH(LEFT(Table7[[#This Row],[Min]],FIND("-",Table7[[#This Row],[Min]])-1),Table1[Content Sku],0),16,1,1,"Entities")),"review","ok"),"ok")</f>
        <v>ok</v>
      </c>
      <c r="U926" t="s">
        <v>313</v>
      </c>
      <c r="V926">
        <v>0</v>
      </c>
      <c r="W926">
        <v>0</v>
      </c>
      <c r="X926" t="s">
        <v>8</v>
      </c>
      <c r="Y926" s="74" t="str">
        <f ca="1">IF(Table15[[#This Row],[Type]]="KILL",IF(_xlfn.NUMBERVALUE(RIGHT(Table15[[#This Row],[Min]],LEN(Table15[[#This Row],[Min]])-FIND("-",Table15[[#This Row],[Min]])))&gt;INDIRECT(ADDRESS(11+MATCH(LEFT(Table15[[#This Row],[Min]],FIND("-",Table15[[#This Row],[Min]])-1),Table1[Content Sku],0),16,1,1,"Entities")),"review","ok"),"ok")</f>
        <v>ok</v>
      </c>
      <c r="AK926" t="s">
        <v>2745</v>
      </c>
      <c r="AL926">
        <v>0</v>
      </c>
      <c r="AM926">
        <v>0</v>
      </c>
      <c r="AN926" t="s">
        <v>8</v>
      </c>
      <c r="AO926" s="74" t="str">
        <f ca="1">IF(Table20[[#This Row],[Type]]="KILL",IF(_xlfn.NUMBERVALUE(RIGHT(Table20[[#This Row],[Min]],LEN(Table20[[#This Row],[Min]])-FIND("-",Table20[[#This Row],[Min]])))&gt;INDIRECT(ADDRESS(11+MATCH(LEFT(Table20[[#This Row],[Min]],FIND("-",Table20[[#This Row],[Min]])-1),Table1[Content Sku],0),18,1,1,"Entities")),"review","ok"),"ok")</f>
        <v>ok</v>
      </c>
    </row>
    <row r="927" spans="5:41" x14ac:dyDescent="0.25">
      <c r="E927" t="s">
        <v>257</v>
      </c>
      <c r="F927">
        <v>0</v>
      </c>
      <c r="G927">
        <v>0</v>
      </c>
      <c r="H927" t="s">
        <v>8</v>
      </c>
      <c r="I927" s="74" t="str">
        <f ca="1">IF(Table7[[#This Row],[Type]]="KILL",IF(_xlfn.NUMBERVALUE(RIGHT(Table7[[#This Row],[Min]],LEN(Table7[[#This Row],[Min]])-FIND("-",Table7[[#This Row],[Min]])))&gt;INDIRECT(ADDRESS(11+MATCH(LEFT(Table7[[#This Row],[Min]],FIND("-",Table7[[#This Row],[Min]])-1),Table1[Content Sku],0),16,1,1,"Entities")),"review","ok"),"ok")</f>
        <v>ok</v>
      </c>
      <c r="U927" t="s">
        <v>2741</v>
      </c>
      <c r="V927">
        <v>0</v>
      </c>
      <c r="W927">
        <v>0</v>
      </c>
      <c r="X927" t="s">
        <v>8</v>
      </c>
      <c r="Y927" s="74" t="str">
        <f ca="1">IF(Table15[[#This Row],[Type]]="KILL",IF(_xlfn.NUMBERVALUE(RIGHT(Table15[[#This Row],[Min]],LEN(Table15[[#This Row],[Min]])-FIND("-",Table15[[#This Row],[Min]])))&gt;INDIRECT(ADDRESS(11+MATCH(LEFT(Table15[[#This Row],[Min]],FIND("-",Table15[[#This Row],[Min]])-1),Table1[Content Sku],0),16,1,1,"Entities")),"review","ok"),"ok")</f>
        <v>ok</v>
      </c>
      <c r="AK927" t="s">
        <v>2723</v>
      </c>
      <c r="AL927">
        <v>0</v>
      </c>
      <c r="AM927">
        <v>0</v>
      </c>
      <c r="AN927" t="s">
        <v>8</v>
      </c>
      <c r="AO927" s="74" t="str">
        <f ca="1">IF(Table20[[#This Row],[Type]]="KILL",IF(_xlfn.NUMBERVALUE(RIGHT(Table20[[#This Row],[Min]],LEN(Table20[[#This Row],[Min]])-FIND("-",Table20[[#This Row],[Min]])))&gt;INDIRECT(ADDRESS(11+MATCH(LEFT(Table20[[#This Row],[Min]],FIND("-",Table20[[#This Row],[Min]])-1),Table1[Content Sku],0),18,1,1,"Entities")),"review","ok"),"ok")</f>
        <v>ok</v>
      </c>
    </row>
    <row r="928" spans="5:41" x14ac:dyDescent="0.25">
      <c r="E928" t="s">
        <v>36</v>
      </c>
      <c r="F928">
        <v>0</v>
      </c>
      <c r="G928">
        <v>0</v>
      </c>
      <c r="H928" t="s">
        <v>8</v>
      </c>
      <c r="I928" s="74" t="str">
        <f ca="1">IF(Table7[[#This Row],[Type]]="KILL",IF(_xlfn.NUMBERVALUE(RIGHT(Table7[[#This Row],[Min]],LEN(Table7[[#This Row],[Min]])-FIND("-",Table7[[#This Row],[Min]])))&gt;INDIRECT(ADDRESS(11+MATCH(LEFT(Table7[[#This Row],[Min]],FIND("-",Table7[[#This Row],[Min]])-1),Table1[Content Sku],0),16,1,1,"Entities")),"review","ok"),"ok")</f>
        <v>ok</v>
      </c>
      <c r="U928" t="s">
        <v>545</v>
      </c>
      <c r="V928">
        <v>0</v>
      </c>
      <c r="W928">
        <v>0</v>
      </c>
      <c r="X928" t="s">
        <v>8</v>
      </c>
      <c r="Y928" s="74" t="str">
        <f ca="1">IF(Table15[[#This Row],[Type]]="KILL",IF(_xlfn.NUMBERVALUE(RIGHT(Table15[[#This Row],[Min]],LEN(Table15[[#This Row],[Min]])-FIND("-",Table15[[#This Row],[Min]])))&gt;INDIRECT(ADDRESS(11+MATCH(LEFT(Table15[[#This Row],[Min]],FIND("-",Table15[[#This Row],[Min]])-1),Table1[Content Sku],0),16,1,1,"Entities")),"review","ok"),"ok")</f>
        <v>ok</v>
      </c>
      <c r="AK928" t="s">
        <v>2676</v>
      </c>
      <c r="AL928">
        <v>0</v>
      </c>
      <c r="AM928">
        <v>0</v>
      </c>
      <c r="AN928" t="s">
        <v>8</v>
      </c>
      <c r="AO928" s="74" t="str">
        <f ca="1">IF(Table20[[#This Row],[Type]]="KILL",IF(_xlfn.NUMBERVALUE(RIGHT(Table20[[#This Row],[Min]],LEN(Table20[[#This Row],[Min]])-FIND("-",Table20[[#This Row],[Min]])))&gt;INDIRECT(ADDRESS(11+MATCH(LEFT(Table20[[#This Row],[Min]],FIND("-",Table20[[#This Row],[Min]])-1),Table1[Content Sku],0),18,1,1,"Entities")),"review","ok"),"ok")</f>
        <v>ok</v>
      </c>
    </row>
    <row r="929" spans="5:41" x14ac:dyDescent="0.25">
      <c r="E929" t="s">
        <v>391</v>
      </c>
      <c r="F929">
        <v>0</v>
      </c>
      <c r="G929">
        <v>0</v>
      </c>
      <c r="H929" t="s">
        <v>8</v>
      </c>
      <c r="I929" s="74" t="str">
        <f ca="1">IF(Table7[[#This Row],[Type]]="KILL",IF(_xlfn.NUMBERVALUE(RIGHT(Table7[[#This Row],[Min]],LEN(Table7[[#This Row],[Min]])-FIND("-",Table7[[#This Row],[Min]])))&gt;INDIRECT(ADDRESS(11+MATCH(LEFT(Table7[[#This Row],[Min]],FIND("-",Table7[[#This Row],[Min]])-1),Table1[Content Sku],0),16,1,1,"Entities")),"review","ok"),"ok")</f>
        <v>ok</v>
      </c>
      <c r="U929" t="s">
        <v>1</v>
      </c>
      <c r="V929">
        <v>200</v>
      </c>
      <c r="W929">
        <v>0</v>
      </c>
      <c r="X929" t="s">
        <v>4431</v>
      </c>
      <c r="Y929" s="74" t="str">
        <f ca="1">IF(Table15[[#This Row],[Type]]="KILL",IF(_xlfn.NUMBERVALUE(RIGHT(Table15[[#This Row],[Min]],LEN(Table15[[#This Row],[Min]])-FIND("-",Table15[[#This Row],[Min]])))&gt;INDIRECT(ADDRESS(11+MATCH(LEFT(Table15[[#This Row],[Min]],FIND("-",Table15[[#This Row],[Min]])-1),Table1[Content Sku],0),16,1,1,"Entities")),"review","ok"),"ok")</f>
        <v>ok</v>
      </c>
      <c r="AK929" t="s">
        <v>37</v>
      </c>
      <c r="AL929">
        <v>0</v>
      </c>
      <c r="AM929">
        <v>0</v>
      </c>
      <c r="AN929" t="s">
        <v>8</v>
      </c>
      <c r="AO929" s="74" t="str">
        <f ca="1">IF(Table20[[#This Row],[Type]]="KILL",IF(_xlfn.NUMBERVALUE(RIGHT(Table20[[#This Row],[Min]],LEN(Table20[[#This Row],[Min]])-FIND("-",Table20[[#This Row],[Min]])))&gt;INDIRECT(ADDRESS(11+MATCH(LEFT(Table20[[#This Row],[Min]],FIND("-",Table20[[#This Row],[Min]])-1),Table1[Content Sku],0),18,1,1,"Entities")),"review","ok"),"ok")</f>
        <v>ok</v>
      </c>
    </row>
    <row r="930" spans="5:41" x14ac:dyDescent="0.25">
      <c r="E930" t="s">
        <v>416</v>
      </c>
      <c r="F930">
        <v>0</v>
      </c>
      <c r="G930">
        <v>0</v>
      </c>
      <c r="H930" t="s">
        <v>8</v>
      </c>
      <c r="I930" s="74" t="str">
        <f ca="1">IF(Table7[[#This Row],[Type]]="KILL",IF(_xlfn.NUMBERVALUE(RIGHT(Table7[[#This Row],[Min]],LEN(Table7[[#This Row],[Min]])-FIND("-",Table7[[#This Row],[Min]])))&gt;INDIRECT(ADDRESS(11+MATCH(LEFT(Table7[[#This Row],[Min]],FIND("-",Table7[[#This Row],[Min]])-1),Table1[Content Sku],0),16,1,1,"Entities")),"review","ok"),"ok")</f>
        <v>ok</v>
      </c>
      <c r="U930" t="s">
        <v>95</v>
      </c>
      <c r="V930">
        <v>0</v>
      </c>
      <c r="W930">
        <v>0</v>
      </c>
      <c r="X930" t="s">
        <v>8</v>
      </c>
      <c r="Y930" s="74" t="str">
        <f ca="1">IF(Table15[[#This Row],[Type]]="KILL",IF(_xlfn.NUMBERVALUE(RIGHT(Table15[[#This Row],[Min]],LEN(Table15[[#This Row],[Min]])-FIND("-",Table15[[#This Row],[Min]])))&gt;INDIRECT(ADDRESS(11+MATCH(LEFT(Table15[[#This Row],[Min]],FIND("-",Table15[[#This Row],[Min]])-1),Table1[Content Sku],0),16,1,1,"Entities")),"review","ok"),"ok")</f>
        <v>ok</v>
      </c>
      <c r="AK930" t="s">
        <v>40</v>
      </c>
      <c r="AL930">
        <v>0</v>
      </c>
      <c r="AM930">
        <v>39000</v>
      </c>
      <c r="AN930" t="s">
        <v>205</v>
      </c>
      <c r="AO930" s="74" t="str">
        <f ca="1">IF(Table20[[#This Row],[Type]]="KILL",IF(_xlfn.NUMBERVALUE(RIGHT(Table20[[#This Row],[Min]],LEN(Table20[[#This Row],[Min]])-FIND("-",Table20[[#This Row],[Min]])))&gt;INDIRECT(ADDRESS(11+MATCH(LEFT(Table20[[#This Row],[Min]],FIND("-",Table20[[#This Row],[Min]])-1),Table1[Content Sku],0),18,1,1,"Entities")),"review","ok"),"ok")</f>
        <v>ok</v>
      </c>
    </row>
    <row r="931" spans="5:41" x14ac:dyDescent="0.25">
      <c r="E931" t="s">
        <v>313</v>
      </c>
      <c r="F931">
        <v>0</v>
      </c>
      <c r="G931">
        <v>0</v>
      </c>
      <c r="H931" t="s">
        <v>8</v>
      </c>
      <c r="I931" s="74" t="str">
        <f ca="1">IF(Table7[[#This Row],[Type]]="KILL",IF(_xlfn.NUMBERVALUE(RIGHT(Table7[[#This Row],[Min]],LEN(Table7[[#This Row],[Min]])-FIND("-",Table7[[#This Row],[Min]])))&gt;INDIRECT(ADDRESS(11+MATCH(LEFT(Table7[[#This Row],[Min]],FIND("-",Table7[[#This Row],[Min]])-1),Table1[Content Sku],0),16,1,1,"Entities")),"review","ok"),"ok")</f>
        <v>ok</v>
      </c>
      <c r="U931" t="s">
        <v>49</v>
      </c>
      <c r="V931">
        <v>45000</v>
      </c>
      <c r="W931">
        <v>0</v>
      </c>
      <c r="X931" t="s">
        <v>205</v>
      </c>
      <c r="Y931" s="74" t="str">
        <f ca="1">IF(Table15[[#This Row],[Type]]="KILL",IF(_xlfn.NUMBERVALUE(RIGHT(Table15[[#This Row],[Min]],LEN(Table15[[#This Row],[Min]])-FIND("-",Table15[[#This Row],[Min]])))&gt;INDIRECT(ADDRESS(11+MATCH(LEFT(Table15[[#This Row],[Min]],FIND("-",Table15[[#This Row],[Min]])-1),Table1[Content Sku],0),16,1,1,"Entities")),"review","ok"),"ok")</f>
        <v>ok</v>
      </c>
      <c r="AK931" t="s">
        <v>2741</v>
      </c>
      <c r="AL931">
        <v>0</v>
      </c>
      <c r="AM931">
        <v>0</v>
      </c>
      <c r="AN931" t="s">
        <v>8</v>
      </c>
      <c r="AO931" s="74" t="str">
        <f ca="1">IF(Table20[[#This Row],[Type]]="KILL",IF(_xlfn.NUMBERVALUE(RIGHT(Table20[[#This Row],[Min]],LEN(Table20[[#This Row],[Min]])-FIND("-",Table20[[#This Row],[Min]])))&gt;INDIRECT(ADDRESS(11+MATCH(LEFT(Table20[[#This Row],[Min]],FIND("-",Table20[[#This Row],[Min]])-1),Table1[Content Sku],0),18,1,1,"Entities")),"review","ok"),"ok")</f>
        <v>ok</v>
      </c>
    </row>
    <row r="932" spans="5:41" x14ac:dyDescent="0.25">
      <c r="E932" t="s">
        <v>95</v>
      </c>
      <c r="F932">
        <v>0</v>
      </c>
      <c r="G932">
        <v>0</v>
      </c>
      <c r="H932" t="s">
        <v>8</v>
      </c>
      <c r="I932" s="74" t="str">
        <f ca="1">IF(Table7[[#This Row],[Type]]="KILL",IF(_xlfn.NUMBERVALUE(RIGHT(Table7[[#This Row],[Min]],LEN(Table7[[#This Row],[Min]])-FIND("-",Table7[[#This Row],[Min]])))&gt;INDIRECT(ADDRESS(11+MATCH(LEFT(Table7[[#This Row],[Min]],FIND("-",Table7[[#This Row],[Min]])-1),Table1[Content Sku],0),16,1,1,"Entities")),"review","ok"),"ok")</f>
        <v>ok</v>
      </c>
      <c r="U932" t="s">
        <v>309</v>
      </c>
      <c r="V932">
        <v>0</v>
      </c>
      <c r="W932">
        <v>0</v>
      </c>
      <c r="X932" t="s">
        <v>8</v>
      </c>
      <c r="Y932" s="74" t="str">
        <f ca="1">IF(Table15[[#This Row],[Type]]="KILL",IF(_xlfn.NUMBERVALUE(RIGHT(Table15[[#This Row],[Min]],LEN(Table15[[#This Row],[Min]])-FIND("-",Table15[[#This Row],[Min]])))&gt;INDIRECT(ADDRESS(11+MATCH(LEFT(Table15[[#This Row],[Min]],FIND("-",Table15[[#This Row],[Min]])-1),Table1[Content Sku],0),16,1,1,"Entities")),"review","ok"),"ok")</f>
        <v>ok</v>
      </c>
      <c r="AK932" t="s">
        <v>2673</v>
      </c>
      <c r="AL932">
        <v>0</v>
      </c>
      <c r="AM932">
        <v>0</v>
      </c>
      <c r="AN932" t="s">
        <v>8</v>
      </c>
      <c r="AO932" s="74" t="str">
        <f ca="1">IF(Table20[[#This Row],[Type]]="KILL",IF(_xlfn.NUMBERVALUE(RIGHT(Table20[[#This Row],[Min]],LEN(Table20[[#This Row],[Min]])-FIND("-",Table20[[#This Row],[Min]])))&gt;INDIRECT(ADDRESS(11+MATCH(LEFT(Table20[[#This Row],[Min]],FIND("-",Table20[[#This Row],[Min]])-1),Table1[Content Sku],0),18,1,1,"Entities")),"review","ok"),"ok")</f>
        <v>ok</v>
      </c>
    </row>
    <row r="933" spans="5:41" x14ac:dyDescent="0.25">
      <c r="E933" t="s">
        <v>315</v>
      </c>
      <c r="F933">
        <v>0</v>
      </c>
      <c r="G933">
        <v>0</v>
      </c>
      <c r="H933" t="s">
        <v>8</v>
      </c>
      <c r="I933" s="74" t="str">
        <f ca="1">IF(Table7[[#This Row],[Type]]="KILL",IF(_xlfn.NUMBERVALUE(RIGHT(Table7[[#This Row],[Min]],LEN(Table7[[#This Row],[Min]])-FIND("-",Table7[[#This Row],[Min]])))&gt;INDIRECT(ADDRESS(11+MATCH(LEFT(Table7[[#This Row],[Min]],FIND("-",Table7[[#This Row],[Min]])-1),Table1[Content Sku],0),16,1,1,"Entities")),"review","ok"),"ok")</f>
        <v>ok</v>
      </c>
      <c r="U933" t="s">
        <v>545</v>
      </c>
      <c r="V933">
        <v>0</v>
      </c>
      <c r="W933">
        <v>0</v>
      </c>
      <c r="X933" t="s">
        <v>8</v>
      </c>
      <c r="Y933" s="74" t="str">
        <f ca="1">IF(Table15[[#This Row],[Type]]="KILL",IF(_xlfn.NUMBERVALUE(RIGHT(Table15[[#This Row],[Min]],LEN(Table15[[#This Row],[Min]])-FIND("-",Table15[[#This Row],[Min]])))&gt;INDIRECT(ADDRESS(11+MATCH(LEFT(Table15[[#This Row],[Min]],FIND("-",Table15[[#This Row],[Min]])-1),Table1[Content Sku],0),16,1,1,"Entities")),"review","ok"),"ok")</f>
        <v>ok</v>
      </c>
      <c r="AK933" t="s">
        <v>2674</v>
      </c>
      <c r="AL933">
        <v>0</v>
      </c>
      <c r="AM933">
        <v>50000</v>
      </c>
      <c r="AN933" t="s">
        <v>205</v>
      </c>
      <c r="AO933" s="74" t="str">
        <f ca="1">IF(Table20[[#This Row],[Type]]="KILL",IF(_xlfn.NUMBERVALUE(RIGHT(Table20[[#This Row],[Min]],LEN(Table20[[#This Row],[Min]])-FIND("-",Table20[[#This Row],[Min]])))&gt;INDIRECT(ADDRESS(11+MATCH(LEFT(Table20[[#This Row],[Min]],FIND("-",Table20[[#This Row],[Min]])-1),Table1[Content Sku],0),18,1,1,"Entities")),"review","ok"),"ok")</f>
        <v>ok</v>
      </c>
    </row>
    <row r="934" spans="5:41" x14ac:dyDescent="0.25">
      <c r="E934" t="s">
        <v>289</v>
      </c>
      <c r="F934">
        <v>0</v>
      </c>
      <c r="G934">
        <v>0</v>
      </c>
      <c r="H934" t="s">
        <v>8</v>
      </c>
      <c r="I934" s="74" t="str">
        <f ca="1">IF(Table7[[#This Row],[Type]]="KILL",IF(_xlfn.NUMBERVALUE(RIGHT(Table7[[#This Row],[Min]],LEN(Table7[[#This Row],[Min]])-FIND("-",Table7[[#This Row],[Min]])))&gt;INDIRECT(ADDRESS(11+MATCH(LEFT(Table7[[#This Row],[Min]],FIND("-",Table7[[#This Row],[Min]])-1),Table1[Content Sku],0),16,1,1,"Entities")),"review","ok"),"ok")</f>
        <v>ok</v>
      </c>
      <c r="U934" t="s">
        <v>403</v>
      </c>
      <c r="V934">
        <v>0</v>
      </c>
      <c r="W934">
        <v>0</v>
      </c>
      <c r="X934" t="s">
        <v>8</v>
      </c>
      <c r="Y934" s="74" t="str">
        <f ca="1">IF(Table15[[#This Row],[Type]]="KILL",IF(_xlfn.NUMBERVALUE(RIGHT(Table15[[#This Row],[Min]],LEN(Table15[[#This Row],[Min]])-FIND("-",Table15[[#This Row],[Min]])))&gt;INDIRECT(ADDRESS(11+MATCH(LEFT(Table15[[#This Row],[Min]],FIND("-",Table15[[#This Row],[Min]])-1),Table1[Content Sku],0),16,1,1,"Entities")),"review","ok"),"ok")</f>
        <v>ok</v>
      </c>
      <c r="AK934" t="s">
        <v>2669</v>
      </c>
      <c r="AL934" t="s">
        <v>5011</v>
      </c>
      <c r="AM934" t="s">
        <v>4467</v>
      </c>
      <c r="AN934" t="s">
        <v>4468</v>
      </c>
      <c r="AO934" s="74" t="str">
        <f ca="1">IF(Table20[[#This Row],[Type]]="KILL",IF(_xlfn.NUMBERVALUE(RIGHT(Table20[[#This Row],[Min]],LEN(Table20[[#This Row],[Min]])-FIND("-",Table20[[#This Row],[Min]])))&gt;INDIRECT(ADDRESS(11+MATCH(LEFT(Table20[[#This Row],[Min]],FIND("-",Table20[[#This Row],[Min]])-1),Table1[Content Sku],0),18,1,1,"Entities")),"review","ok"),"ok")</f>
        <v>review</v>
      </c>
    </row>
    <row r="935" spans="5:41" x14ac:dyDescent="0.25">
      <c r="E935" t="s">
        <v>254</v>
      </c>
      <c r="F935">
        <v>6000</v>
      </c>
      <c r="G935">
        <v>0</v>
      </c>
      <c r="H935" t="s">
        <v>205</v>
      </c>
      <c r="I935" s="74" t="str">
        <f ca="1">IF(Table7[[#This Row],[Type]]="KILL",IF(_xlfn.NUMBERVALUE(RIGHT(Table7[[#This Row],[Min]],LEN(Table7[[#This Row],[Min]])-FIND("-",Table7[[#This Row],[Min]])))&gt;INDIRECT(ADDRESS(11+MATCH(LEFT(Table7[[#This Row],[Min]],FIND("-",Table7[[#This Row],[Min]])-1),Table1[Content Sku],0),16,1,1,"Entities")),"review","ok"),"ok")</f>
        <v>ok</v>
      </c>
      <c r="U935" t="s">
        <v>253</v>
      </c>
      <c r="V935">
        <v>0</v>
      </c>
      <c r="W935">
        <v>0</v>
      </c>
      <c r="X935" t="s">
        <v>8</v>
      </c>
      <c r="Y935" s="74" t="str">
        <f ca="1">IF(Table15[[#This Row],[Type]]="KILL",IF(_xlfn.NUMBERVALUE(RIGHT(Table15[[#This Row],[Min]],LEN(Table15[[#This Row],[Min]])-FIND("-",Table15[[#This Row],[Min]])))&gt;INDIRECT(ADDRESS(11+MATCH(LEFT(Table15[[#This Row],[Min]],FIND("-",Table15[[#This Row],[Min]])-1),Table1[Content Sku],0),16,1,1,"Entities")),"review","ok"),"ok")</f>
        <v>ok</v>
      </c>
      <c r="AK935" t="s">
        <v>2662</v>
      </c>
      <c r="AL935">
        <v>0</v>
      </c>
      <c r="AM935">
        <v>0</v>
      </c>
      <c r="AN935" t="s">
        <v>8</v>
      </c>
      <c r="AO935" s="74" t="str">
        <f ca="1">IF(Table20[[#This Row],[Type]]="KILL",IF(_xlfn.NUMBERVALUE(RIGHT(Table20[[#This Row],[Min]],LEN(Table20[[#This Row],[Min]])-FIND("-",Table20[[#This Row],[Min]])))&gt;INDIRECT(ADDRESS(11+MATCH(LEFT(Table20[[#This Row],[Min]],FIND("-",Table20[[#This Row],[Min]])-1),Table1[Content Sku],0),18,1,1,"Entities")),"review","ok"),"ok")</f>
        <v>ok</v>
      </c>
    </row>
    <row r="936" spans="5:41" x14ac:dyDescent="0.25">
      <c r="E936" t="s">
        <v>286</v>
      </c>
      <c r="F936">
        <v>0</v>
      </c>
      <c r="G936">
        <v>0</v>
      </c>
      <c r="H936" t="s">
        <v>8</v>
      </c>
      <c r="I936" s="74" t="str">
        <f ca="1">IF(Table7[[#This Row],[Type]]="KILL",IF(_xlfn.NUMBERVALUE(RIGHT(Table7[[#This Row],[Min]],LEN(Table7[[#This Row],[Min]])-FIND("-",Table7[[#This Row],[Min]])))&gt;INDIRECT(ADDRESS(11+MATCH(LEFT(Table7[[#This Row],[Min]],FIND("-",Table7[[#This Row],[Min]])-1),Table1[Content Sku],0),16,1,1,"Entities")),"review","ok"),"ok")</f>
        <v>ok</v>
      </c>
      <c r="U936" t="s">
        <v>313</v>
      </c>
      <c r="V936">
        <v>0</v>
      </c>
      <c r="W936">
        <v>0</v>
      </c>
      <c r="X936" t="s">
        <v>8</v>
      </c>
      <c r="Y936" s="74" t="str">
        <f ca="1">IF(Table15[[#This Row],[Type]]="KILL",IF(_xlfn.NUMBERVALUE(RIGHT(Table15[[#This Row],[Min]],LEN(Table15[[#This Row],[Min]])-FIND("-",Table15[[#This Row],[Min]])))&gt;INDIRECT(ADDRESS(11+MATCH(LEFT(Table15[[#This Row],[Min]],FIND("-",Table15[[#This Row],[Min]])-1),Table1[Content Sku],0),16,1,1,"Entities")),"review","ok"),"ok")</f>
        <v>ok</v>
      </c>
      <c r="AK936" t="s">
        <v>309</v>
      </c>
      <c r="AL936">
        <v>0</v>
      </c>
      <c r="AM936">
        <v>0</v>
      </c>
      <c r="AN936" t="s">
        <v>8</v>
      </c>
      <c r="AO936" s="74" t="str">
        <f ca="1">IF(Table20[[#This Row],[Type]]="KILL",IF(_xlfn.NUMBERVALUE(RIGHT(Table20[[#This Row],[Min]],LEN(Table20[[#This Row],[Min]])-FIND("-",Table20[[#This Row],[Min]])))&gt;INDIRECT(ADDRESS(11+MATCH(LEFT(Table20[[#This Row],[Min]],FIND("-",Table20[[#This Row],[Min]])-1),Table1[Content Sku],0),18,1,1,"Entities")),"review","ok"),"ok")</f>
        <v>ok</v>
      </c>
    </row>
    <row r="937" spans="5:41" x14ac:dyDescent="0.25">
      <c r="E937" t="s">
        <v>21</v>
      </c>
      <c r="F937">
        <v>18000</v>
      </c>
      <c r="G937">
        <v>0</v>
      </c>
      <c r="H937" t="s">
        <v>205</v>
      </c>
      <c r="I937" s="74" t="str">
        <f ca="1">IF(Table7[[#This Row],[Type]]="KILL",IF(_xlfn.NUMBERVALUE(RIGHT(Table7[[#This Row],[Min]],LEN(Table7[[#This Row],[Min]])-FIND("-",Table7[[#This Row],[Min]])))&gt;INDIRECT(ADDRESS(11+MATCH(LEFT(Table7[[#This Row],[Min]],FIND("-",Table7[[#This Row],[Min]])-1),Table1[Content Sku],0),16,1,1,"Entities")),"review","ok"),"ok")</f>
        <v>ok</v>
      </c>
      <c r="U937" t="s">
        <v>313</v>
      </c>
      <c r="V937">
        <v>0</v>
      </c>
      <c r="W937">
        <v>0</v>
      </c>
      <c r="X937" t="s">
        <v>8</v>
      </c>
      <c r="Y937" s="74" t="str">
        <f ca="1">IF(Table15[[#This Row],[Type]]="KILL",IF(_xlfn.NUMBERVALUE(RIGHT(Table15[[#This Row],[Min]],LEN(Table15[[#This Row],[Min]])-FIND("-",Table15[[#This Row],[Min]])))&gt;INDIRECT(ADDRESS(11+MATCH(LEFT(Table15[[#This Row],[Min]],FIND("-",Table15[[#This Row],[Min]])-1),Table1[Content Sku],0),16,1,1,"Entities")),"review","ok"),"ok")</f>
        <v>ok</v>
      </c>
      <c r="AK937" t="s">
        <v>2674</v>
      </c>
      <c r="AL937">
        <v>0</v>
      </c>
      <c r="AM937">
        <v>0</v>
      </c>
      <c r="AN937" t="s">
        <v>8</v>
      </c>
      <c r="AO937" s="74" t="str">
        <f ca="1">IF(Table20[[#This Row],[Type]]="KILL",IF(_xlfn.NUMBERVALUE(RIGHT(Table20[[#This Row],[Min]],LEN(Table20[[#This Row],[Min]])-FIND("-",Table20[[#This Row],[Min]])))&gt;INDIRECT(ADDRESS(11+MATCH(LEFT(Table20[[#This Row],[Min]],FIND("-",Table20[[#This Row],[Min]])-1),Table1[Content Sku],0),18,1,1,"Entities")),"review","ok"),"ok")</f>
        <v>ok</v>
      </c>
    </row>
    <row r="938" spans="5:41" x14ac:dyDescent="0.25">
      <c r="E938" t="s">
        <v>39</v>
      </c>
      <c r="F938">
        <v>0</v>
      </c>
      <c r="G938">
        <v>0</v>
      </c>
      <c r="H938" t="s">
        <v>8</v>
      </c>
      <c r="I938" s="74" t="str">
        <f ca="1">IF(Table7[[#This Row],[Type]]="KILL",IF(_xlfn.NUMBERVALUE(RIGHT(Table7[[#This Row],[Min]],LEN(Table7[[#This Row],[Min]])-FIND("-",Table7[[#This Row],[Min]])))&gt;INDIRECT(ADDRESS(11+MATCH(LEFT(Table7[[#This Row],[Min]],FIND("-",Table7[[#This Row],[Min]])-1),Table1[Content Sku],0),16,1,1,"Entities")),"review","ok"),"ok")</f>
        <v>ok</v>
      </c>
      <c r="U938" t="s">
        <v>313</v>
      </c>
      <c r="V938">
        <v>0</v>
      </c>
      <c r="W938">
        <v>0</v>
      </c>
      <c r="X938" t="s">
        <v>8</v>
      </c>
      <c r="Y938" s="74" t="str">
        <f ca="1">IF(Table15[[#This Row],[Type]]="KILL",IF(_xlfn.NUMBERVALUE(RIGHT(Table15[[#This Row],[Min]],LEN(Table15[[#This Row],[Min]])-FIND("-",Table15[[#This Row],[Min]])))&gt;INDIRECT(ADDRESS(11+MATCH(LEFT(Table15[[#This Row],[Min]],FIND("-",Table15[[#This Row],[Min]])-1),Table1[Content Sku],0),16,1,1,"Entities")),"review","ok"),"ok")</f>
        <v>ok</v>
      </c>
      <c r="AK938" t="s">
        <v>2767</v>
      </c>
      <c r="AL938">
        <v>0</v>
      </c>
      <c r="AM938">
        <v>0</v>
      </c>
      <c r="AN938" t="s">
        <v>8</v>
      </c>
      <c r="AO938" s="74" t="str">
        <f ca="1">IF(Table20[[#This Row],[Type]]="KILL",IF(_xlfn.NUMBERVALUE(RIGHT(Table20[[#This Row],[Min]],LEN(Table20[[#This Row],[Min]])-FIND("-",Table20[[#This Row],[Min]])))&gt;INDIRECT(ADDRESS(11+MATCH(LEFT(Table20[[#This Row],[Min]],FIND("-",Table20[[#This Row],[Min]])-1),Table1[Content Sku],0),18,1,1,"Entities")),"review","ok"),"ok")</f>
        <v>ok</v>
      </c>
    </row>
    <row r="939" spans="5:41" x14ac:dyDescent="0.25">
      <c r="E939" t="s">
        <v>545</v>
      </c>
      <c r="F939">
        <v>0</v>
      </c>
      <c r="G939">
        <v>0</v>
      </c>
      <c r="H939" t="s">
        <v>8</v>
      </c>
      <c r="I939" s="74" t="str">
        <f ca="1">IF(Table7[[#This Row],[Type]]="KILL",IF(_xlfn.NUMBERVALUE(RIGHT(Table7[[#This Row],[Min]],LEN(Table7[[#This Row],[Min]])-FIND("-",Table7[[#This Row],[Min]])))&gt;INDIRECT(ADDRESS(11+MATCH(LEFT(Table7[[#This Row],[Min]],FIND("-",Table7[[#This Row],[Min]])-1),Table1[Content Sku],0),16,1,1,"Entities")),"review","ok"),"ok")</f>
        <v>ok</v>
      </c>
      <c r="U939" t="s">
        <v>39</v>
      </c>
      <c r="V939">
        <v>27000</v>
      </c>
      <c r="W939">
        <v>0</v>
      </c>
      <c r="X939" t="s">
        <v>205</v>
      </c>
      <c r="Y939" s="74" t="str">
        <f ca="1">IF(Table15[[#This Row],[Type]]="KILL",IF(_xlfn.NUMBERVALUE(RIGHT(Table15[[#This Row],[Min]],LEN(Table15[[#This Row],[Min]])-FIND("-",Table15[[#This Row],[Min]])))&gt;INDIRECT(ADDRESS(11+MATCH(LEFT(Table15[[#This Row],[Min]],FIND("-",Table15[[#This Row],[Min]])-1),Table1[Content Sku],0),16,1,1,"Entities")),"review","ok"),"ok")</f>
        <v>ok</v>
      </c>
      <c r="AK939" t="s">
        <v>2741</v>
      </c>
      <c r="AL939">
        <v>0</v>
      </c>
      <c r="AM939">
        <v>0</v>
      </c>
      <c r="AN939" t="s">
        <v>8</v>
      </c>
      <c r="AO939" s="74" t="str">
        <f ca="1">IF(Table20[[#This Row],[Type]]="KILL",IF(_xlfn.NUMBERVALUE(RIGHT(Table20[[#This Row],[Min]],LEN(Table20[[#This Row],[Min]])-FIND("-",Table20[[#This Row],[Min]])))&gt;INDIRECT(ADDRESS(11+MATCH(LEFT(Table20[[#This Row],[Min]],FIND("-",Table20[[#This Row],[Min]])-1),Table1[Content Sku],0),18,1,1,"Entities")),"review","ok"),"ok")</f>
        <v>ok</v>
      </c>
    </row>
    <row r="940" spans="5:41" x14ac:dyDescent="0.25">
      <c r="E940" t="s">
        <v>283</v>
      </c>
      <c r="F940">
        <v>0</v>
      </c>
      <c r="G940">
        <v>0</v>
      </c>
      <c r="H940" t="s">
        <v>8</v>
      </c>
      <c r="I940" s="74" t="str">
        <f ca="1">IF(Table7[[#This Row],[Type]]="KILL",IF(_xlfn.NUMBERVALUE(RIGHT(Table7[[#This Row],[Min]],LEN(Table7[[#This Row],[Min]])-FIND("-",Table7[[#This Row],[Min]])))&gt;INDIRECT(ADDRESS(11+MATCH(LEFT(Table7[[#This Row],[Min]],FIND("-",Table7[[#This Row],[Min]])-1),Table1[Content Sku],0),16,1,1,"Entities")),"review","ok"),"ok")</f>
        <v>ok</v>
      </c>
      <c r="U940" t="s">
        <v>460</v>
      </c>
      <c r="V940">
        <v>0</v>
      </c>
      <c r="W940">
        <v>0</v>
      </c>
      <c r="X940" t="s">
        <v>8</v>
      </c>
      <c r="Y940" s="74" t="str">
        <f ca="1">IF(Table15[[#This Row],[Type]]="KILL",IF(_xlfn.NUMBERVALUE(RIGHT(Table15[[#This Row],[Min]],LEN(Table15[[#This Row],[Min]])-FIND("-",Table15[[#This Row],[Min]])))&gt;INDIRECT(ADDRESS(11+MATCH(LEFT(Table15[[#This Row],[Min]],FIND("-",Table15[[#This Row],[Min]])-1),Table1[Content Sku],0),16,1,1,"Entities")),"review","ok"),"ok")</f>
        <v>ok</v>
      </c>
      <c r="AK940" t="s">
        <v>95</v>
      </c>
      <c r="AL940">
        <v>0</v>
      </c>
      <c r="AM940">
        <v>0</v>
      </c>
      <c r="AN940" t="s">
        <v>8</v>
      </c>
      <c r="AO940" s="74" t="str">
        <f ca="1">IF(Table20[[#This Row],[Type]]="KILL",IF(_xlfn.NUMBERVALUE(RIGHT(Table20[[#This Row],[Min]],LEN(Table20[[#This Row],[Min]])-FIND("-",Table20[[#This Row],[Min]])))&gt;INDIRECT(ADDRESS(11+MATCH(LEFT(Table20[[#This Row],[Min]],FIND("-",Table20[[#This Row],[Min]])-1),Table1[Content Sku],0),18,1,1,"Entities")),"review","ok"),"ok")</f>
        <v>ok</v>
      </c>
    </row>
    <row r="941" spans="5:41" x14ac:dyDescent="0.25">
      <c r="E941" t="s">
        <v>313</v>
      </c>
      <c r="F941">
        <v>0</v>
      </c>
      <c r="G941">
        <v>0</v>
      </c>
      <c r="H941" t="s">
        <v>8</v>
      </c>
      <c r="I941" s="74" t="str">
        <f ca="1">IF(Table7[[#This Row],[Type]]="KILL",IF(_xlfn.NUMBERVALUE(RIGHT(Table7[[#This Row],[Min]],LEN(Table7[[#This Row],[Min]])-FIND("-",Table7[[#This Row],[Min]])))&gt;INDIRECT(ADDRESS(11+MATCH(LEFT(Table7[[#This Row],[Min]],FIND("-",Table7[[#This Row],[Min]])-1),Table1[Content Sku],0),16,1,1,"Entities")),"review","ok"),"ok")</f>
        <v>ok</v>
      </c>
      <c r="U941" t="s">
        <v>318</v>
      </c>
      <c r="V941">
        <v>0</v>
      </c>
      <c r="W941">
        <v>0</v>
      </c>
      <c r="X941" t="s">
        <v>8</v>
      </c>
      <c r="Y941" s="74" t="str">
        <f ca="1">IF(Table15[[#This Row],[Type]]="KILL",IF(_xlfn.NUMBERVALUE(RIGHT(Table15[[#This Row],[Min]],LEN(Table15[[#This Row],[Min]])-FIND("-",Table15[[#This Row],[Min]])))&gt;INDIRECT(ADDRESS(11+MATCH(LEFT(Table15[[#This Row],[Min]],FIND("-",Table15[[#This Row],[Min]])-1),Table1[Content Sku],0),16,1,1,"Entities")),"review","ok"),"ok")</f>
        <v>ok</v>
      </c>
      <c r="AK941" t="s">
        <v>49</v>
      </c>
      <c r="AL941">
        <v>0</v>
      </c>
      <c r="AM941">
        <v>0</v>
      </c>
      <c r="AN941" t="s">
        <v>8</v>
      </c>
      <c r="AO941" s="74" t="str">
        <f ca="1">IF(Table20[[#This Row],[Type]]="KILL",IF(_xlfn.NUMBERVALUE(RIGHT(Table20[[#This Row],[Min]],LEN(Table20[[#This Row],[Min]])-FIND("-",Table20[[#This Row],[Min]])))&gt;INDIRECT(ADDRESS(11+MATCH(LEFT(Table20[[#This Row],[Min]],FIND("-",Table20[[#This Row],[Min]])-1),Table1[Content Sku],0),18,1,1,"Entities")),"review","ok"),"ok")</f>
        <v>ok</v>
      </c>
    </row>
    <row r="942" spans="5:41" x14ac:dyDescent="0.25">
      <c r="E942" t="s">
        <v>313</v>
      </c>
      <c r="F942">
        <v>0</v>
      </c>
      <c r="G942">
        <v>0</v>
      </c>
      <c r="H942" t="s">
        <v>8</v>
      </c>
      <c r="I942" s="74" t="str">
        <f ca="1">IF(Table7[[#This Row],[Type]]="KILL",IF(_xlfn.NUMBERVALUE(RIGHT(Table7[[#This Row],[Min]],LEN(Table7[[#This Row],[Min]])-FIND("-",Table7[[#This Row],[Min]])))&gt;INDIRECT(ADDRESS(11+MATCH(LEFT(Table7[[#This Row],[Min]],FIND("-",Table7[[#This Row],[Min]])-1),Table1[Content Sku],0),16,1,1,"Entities")),"review","ok"),"ok")</f>
        <v>ok</v>
      </c>
      <c r="U942" t="s">
        <v>283</v>
      </c>
      <c r="V942">
        <v>0</v>
      </c>
      <c r="W942">
        <v>0</v>
      </c>
      <c r="X942" t="s">
        <v>8</v>
      </c>
      <c r="Y942" s="74" t="str">
        <f ca="1">IF(Table15[[#This Row],[Type]]="KILL",IF(_xlfn.NUMBERVALUE(RIGHT(Table15[[#This Row],[Min]],LEN(Table15[[#This Row],[Min]])-FIND("-",Table15[[#This Row],[Min]])))&gt;INDIRECT(ADDRESS(11+MATCH(LEFT(Table15[[#This Row],[Min]],FIND("-",Table15[[#This Row],[Min]])-1),Table1[Content Sku],0),16,1,1,"Entities")),"review","ok"),"ok")</f>
        <v>ok</v>
      </c>
      <c r="AK942" t="s">
        <v>2741</v>
      </c>
      <c r="AL942">
        <v>0</v>
      </c>
      <c r="AM942">
        <v>0</v>
      </c>
      <c r="AN942" t="s">
        <v>8</v>
      </c>
      <c r="AO942" s="74" t="str">
        <f ca="1">IF(Table20[[#This Row],[Type]]="KILL",IF(_xlfn.NUMBERVALUE(RIGHT(Table20[[#This Row],[Min]],LEN(Table20[[#This Row],[Min]])-FIND("-",Table20[[#This Row],[Min]])))&gt;INDIRECT(ADDRESS(11+MATCH(LEFT(Table20[[#This Row],[Min]],FIND("-",Table20[[#This Row],[Min]])-1),Table1[Content Sku],0),18,1,1,"Entities")),"review","ok"),"ok")</f>
        <v>ok</v>
      </c>
    </row>
    <row r="943" spans="5:41" x14ac:dyDescent="0.25">
      <c r="E943" t="s">
        <v>412</v>
      </c>
      <c r="F943">
        <v>10000</v>
      </c>
      <c r="G943">
        <v>15000</v>
      </c>
      <c r="H943" t="s">
        <v>205</v>
      </c>
      <c r="I943" s="74" t="str">
        <f ca="1">IF(Table7[[#This Row],[Type]]="KILL",IF(_xlfn.NUMBERVALUE(RIGHT(Table7[[#This Row],[Min]],LEN(Table7[[#This Row],[Min]])-FIND("-",Table7[[#This Row],[Min]])))&gt;INDIRECT(ADDRESS(11+MATCH(LEFT(Table7[[#This Row],[Min]],FIND("-",Table7[[#This Row],[Min]])-1),Table1[Content Sku],0),16,1,1,"Entities")),"review","ok"),"ok")</f>
        <v>ok</v>
      </c>
      <c r="U943" t="s">
        <v>21</v>
      </c>
      <c r="V943">
        <v>0</v>
      </c>
      <c r="W943">
        <v>0</v>
      </c>
      <c r="X943" t="s">
        <v>8</v>
      </c>
      <c r="Y943" s="74" t="str">
        <f ca="1">IF(Table15[[#This Row],[Type]]="KILL",IF(_xlfn.NUMBERVALUE(RIGHT(Table15[[#This Row],[Min]],LEN(Table15[[#This Row],[Min]])-FIND("-",Table15[[#This Row],[Min]])))&gt;INDIRECT(ADDRESS(11+MATCH(LEFT(Table15[[#This Row],[Min]],FIND("-",Table15[[#This Row],[Min]])-1),Table1[Content Sku],0),16,1,1,"Entities")),"review","ok"),"ok")</f>
        <v>ok</v>
      </c>
      <c r="AK943" t="s">
        <v>412</v>
      </c>
      <c r="AL943">
        <v>27000</v>
      </c>
      <c r="AM943">
        <v>0</v>
      </c>
      <c r="AN943" t="s">
        <v>205</v>
      </c>
      <c r="AO943" s="74" t="str">
        <f ca="1">IF(Table20[[#This Row],[Type]]="KILL",IF(_xlfn.NUMBERVALUE(RIGHT(Table20[[#This Row],[Min]],LEN(Table20[[#This Row],[Min]])-FIND("-",Table20[[#This Row],[Min]])))&gt;INDIRECT(ADDRESS(11+MATCH(LEFT(Table20[[#This Row],[Min]],FIND("-",Table20[[#This Row],[Min]])-1),Table1[Content Sku],0),18,1,1,"Entities")),"review","ok"),"ok")</f>
        <v>ok</v>
      </c>
    </row>
    <row r="944" spans="5:41" x14ac:dyDescent="0.25">
      <c r="E944" t="s">
        <v>306</v>
      </c>
      <c r="F944">
        <v>0</v>
      </c>
      <c r="G944">
        <v>0</v>
      </c>
      <c r="H944" t="s">
        <v>8</v>
      </c>
      <c r="I944" s="74" t="str">
        <f ca="1">IF(Table7[[#This Row],[Type]]="KILL",IF(_xlfn.NUMBERVALUE(RIGHT(Table7[[#This Row],[Min]],LEN(Table7[[#This Row],[Min]])-FIND("-",Table7[[#This Row],[Min]])))&gt;INDIRECT(ADDRESS(11+MATCH(LEFT(Table7[[#This Row],[Min]],FIND("-",Table7[[#This Row],[Min]])-1),Table1[Content Sku],0),16,1,1,"Entities")),"review","ok"),"ok")</f>
        <v>ok</v>
      </c>
      <c r="U944" t="s">
        <v>313</v>
      </c>
      <c r="V944">
        <v>0</v>
      </c>
      <c r="W944">
        <v>0</v>
      </c>
      <c r="X944" t="s">
        <v>8</v>
      </c>
      <c r="Y944" s="74" t="str">
        <f ca="1">IF(Table15[[#This Row],[Type]]="KILL",IF(_xlfn.NUMBERVALUE(RIGHT(Table15[[#This Row],[Min]],LEN(Table15[[#This Row],[Min]])-FIND("-",Table15[[#This Row],[Min]])))&gt;INDIRECT(ADDRESS(11+MATCH(LEFT(Table15[[#This Row],[Min]],FIND("-",Table15[[#This Row],[Min]])-1),Table1[Content Sku],0),16,1,1,"Entities")),"review","ok"),"ok")</f>
        <v>ok</v>
      </c>
      <c r="AK944" t="s">
        <v>482</v>
      </c>
      <c r="AL944">
        <v>0</v>
      </c>
      <c r="AM944">
        <v>0</v>
      </c>
      <c r="AN944" t="s">
        <v>8</v>
      </c>
      <c r="AO944" s="74" t="str">
        <f ca="1">IF(Table20[[#This Row],[Type]]="KILL",IF(_xlfn.NUMBERVALUE(RIGHT(Table20[[#This Row],[Min]],LEN(Table20[[#This Row],[Min]])-FIND("-",Table20[[#This Row],[Min]])))&gt;INDIRECT(ADDRESS(11+MATCH(LEFT(Table20[[#This Row],[Min]],FIND("-",Table20[[#This Row],[Min]])-1),Table1[Content Sku],0),18,1,1,"Entities")),"review","ok"),"ok")</f>
        <v>ok</v>
      </c>
    </row>
    <row r="945" spans="5:41" x14ac:dyDescent="0.25">
      <c r="E945" t="s">
        <v>313</v>
      </c>
      <c r="F945">
        <v>0</v>
      </c>
      <c r="G945">
        <v>0</v>
      </c>
      <c r="H945" t="s">
        <v>8</v>
      </c>
      <c r="I945" s="74" t="str">
        <f ca="1">IF(Table7[[#This Row],[Type]]="KILL",IF(_xlfn.NUMBERVALUE(RIGHT(Table7[[#This Row],[Min]],LEN(Table7[[#This Row],[Min]])-FIND("-",Table7[[#This Row],[Min]])))&gt;INDIRECT(ADDRESS(11+MATCH(LEFT(Table7[[#This Row],[Min]],FIND("-",Table7[[#This Row],[Min]])-1),Table1[Content Sku],0),16,1,1,"Entities")),"review","ok"),"ok")</f>
        <v>ok</v>
      </c>
      <c r="U945" t="s">
        <v>95</v>
      </c>
      <c r="V945">
        <v>0</v>
      </c>
      <c r="W945">
        <v>0</v>
      </c>
      <c r="X945" t="s">
        <v>8</v>
      </c>
      <c r="Y945" s="74" t="str">
        <f ca="1">IF(Table15[[#This Row],[Type]]="KILL",IF(_xlfn.NUMBERVALUE(RIGHT(Table15[[#This Row],[Min]],LEN(Table15[[#This Row],[Min]])-FIND("-",Table15[[#This Row],[Min]])))&gt;INDIRECT(ADDRESS(11+MATCH(LEFT(Table15[[#This Row],[Min]],FIND("-",Table15[[#This Row],[Min]])-1),Table1[Content Sku],0),16,1,1,"Entities")),"review","ok"),"ok")</f>
        <v>ok</v>
      </c>
      <c r="AK945" t="s">
        <v>313</v>
      </c>
      <c r="AL945">
        <v>0</v>
      </c>
      <c r="AM945">
        <v>0</v>
      </c>
      <c r="AN945" t="s">
        <v>8</v>
      </c>
      <c r="AO945" s="74" t="str">
        <f ca="1">IF(Table20[[#This Row],[Type]]="KILL",IF(_xlfn.NUMBERVALUE(RIGHT(Table20[[#This Row],[Min]],LEN(Table20[[#This Row],[Min]])-FIND("-",Table20[[#This Row],[Min]])))&gt;INDIRECT(ADDRESS(11+MATCH(LEFT(Table20[[#This Row],[Min]],FIND("-",Table20[[#This Row],[Min]])-1),Table1[Content Sku],0),18,1,1,"Entities")),"review","ok"),"ok")</f>
        <v>ok</v>
      </c>
    </row>
    <row r="946" spans="5:41" x14ac:dyDescent="0.25">
      <c r="E946" t="s">
        <v>95</v>
      </c>
      <c r="F946">
        <v>0</v>
      </c>
      <c r="G946">
        <v>0</v>
      </c>
      <c r="H946" t="s">
        <v>8</v>
      </c>
      <c r="I946" s="74" t="str">
        <f ca="1">IF(Table7[[#This Row],[Type]]="KILL",IF(_xlfn.NUMBERVALUE(RIGHT(Table7[[#This Row],[Min]],LEN(Table7[[#This Row],[Min]])-FIND("-",Table7[[#This Row],[Min]])))&gt;INDIRECT(ADDRESS(11+MATCH(LEFT(Table7[[#This Row],[Min]],FIND("-",Table7[[#This Row],[Min]])-1),Table1[Content Sku],0),16,1,1,"Entities")),"review","ok"),"ok")</f>
        <v>ok</v>
      </c>
      <c r="U946" t="s">
        <v>8133</v>
      </c>
      <c r="V946">
        <v>0</v>
      </c>
      <c r="W946">
        <v>0</v>
      </c>
      <c r="X946" t="s">
        <v>8</v>
      </c>
      <c r="Y946" s="74" t="str">
        <f ca="1">IF(Table15[[#This Row],[Type]]="KILL",IF(_xlfn.NUMBERVALUE(RIGHT(Table15[[#This Row],[Min]],LEN(Table15[[#This Row],[Min]])-FIND("-",Table15[[#This Row],[Min]])))&gt;INDIRECT(ADDRESS(11+MATCH(LEFT(Table15[[#This Row],[Min]],FIND("-",Table15[[#This Row],[Min]])-1),Table1[Content Sku],0),16,1,1,"Entities")),"review","ok"),"ok")</f>
        <v>ok</v>
      </c>
      <c r="AK946" t="s">
        <v>578</v>
      </c>
      <c r="AL946">
        <v>0</v>
      </c>
      <c r="AM946">
        <v>0</v>
      </c>
      <c r="AN946" t="s">
        <v>8</v>
      </c>
      <c r="AO946" s="74" t="str">
        <f ca="1">IF(Table20[[#This Row],[Type]]="KILL",IF(_xlfn.NUMBERVALUE(RIGHT(Table20[[#This Row],[Min]],LEN(Table20[[#This Row],[Min]])-FIND("-",Table20[[#This Row],[Min]])))&gt;INDIRECT(ADDRESS(11+MATCH(LEFT(Table20[[#This Row],[Min]],FIND("-",Table20[[#This Row],[Min]])-1),Table1[Content Sku],0),18,1,1,"Entities")),"review","ok"),"ok")</f>
        <v>ok</v>
      </c>
    </row>
    <row r="947" spans="5:41" x14ac:dyDescent="0.25">
      <c r="E947" t="s">
        <v>548</v>
      </c>
      <c r="F947">
        <v>0</v>
      </c>
      <c r="G947">
        <v>0</v>
      </c>
      <c r="H947" t="s">
        <v>8</v>
      </c>
      <c r="I947" s="74" t="str">
        <f ca="1">IF(Table7[[#This Row],[Type]]="KILL",IF(_xlfn.NUMBERVALUE(RIGHT(Table7[[#This Row],[Min]],LEN(Table7[[#This Row],[Min]])-FIND("-",Table7[[#This Row],[Min]])))&gt;INDIRECT(ADDRESS(11+MATCH(LEFT(Table7[[#This Row],[Min]],FIND("-",Table7[[#This Row],[Min]])-1),Table1[Content Sku],0),16,1,1,"Entities")),"review","ok"),"ok")</f>
        <v>ok</v>
      </c>
      <c r="U947" t="s">
        <v>313</v>
      </c>
      <c r="V947">
        <v>26000</v>
      </c>
      <c r="W947">
        <v>0</v>
      </c>
      <c r="X947" t="s">
        <v>205</v>
      </c>
      <c r="Y947" s="74" t="str">
        <f ca="1">IF(Table15[[#This Row],[Type]]="KILL",IF(_xlfn.NUMBERVALUE(RIGHT(Table15[[#This Row],[Min]],LEN(Table15[[#This Row],[Min]])-FIND("-",Table15[[#This Row],[Min]])))&gt;INDIRECT(ADDRESS(11+MATCH(LEFT(Table15[[#This Row],[Min]],FIND("-",Table15[[#This Row],[Min]])-1),Table1[Content Sku],0),16,1,1,"Entities")),"review","ok"),"ok")</f>
        <v>ok</v>
      </c>
      <c r="AK947" t="s">
        <v>313</v>
      </c>
      <c r="AL947">
        <v>0</v>
      </c>
      <c r="AM947">
        <v>0</v>
      </c>
      <c r="AN947" t="s">
        <v>8</v>
      </c>
      <c r="AO947" s="74" t="str">
        <f ca="1">IF(Table20[[#This Row],[Type]]="KILL",IF(_xlfn.NUMBERVALUE(RIGHT(Table20[[#This Row],[Min]],LEN(Table20[[#This Row],[Min]])-FIND("-",Table20[[#This Row],[Min]])))&gt;INDIRECT(ADDRESS(11+MATCH(LEFT(Table20[[#This Row],[Min]],FIND("-",Table20[[#This Row],[Min]])-1),Table1[Content Sku],0),18,1,1,"Entities")),"review","ok"),"ok")</f>
        <v>ok</v>
      </c>
    </row>
    <row r="948" spans="5:41" x14ac:dyDescent="0.25">
      <c r="E948" t="s">
        <v>90</v>
      </c>
      <c r="F948">
        <v>0</v>
      </c>
      <c r="G948">
        <v>0</v>
      </c>
      <c r="H948" t="s">
        <v>8</v>
      </c>
      <c r="I948" s="74" t="str">
        <f ca="1">IF(Table7[[#This Row],[Type]]="KILL",IF(_xlfn.NUMBERVALUE(RIGHT(Table7[[#This Row],[Min]],LEN(Table7[[#This Row],[Min]])-FIND("-",Table7[[#This Row],[Min]])))&gt;INDIRECT(ADDRESS(11+MATCH(LEFT(Table7[[#This Row],[Min]],FIND("-",Table7[[#This Row],[Min]])-1),Table1[Content Sku],0),16,1,1,"Entities")),"review","ok"),"ok")</f>
        <v>ok</v>
      </c>
      <c r="U948" t="s">
        <v>122</v>
      </c>
      <c r="V948">
        <v>0</v>
      </c>
      <c r="W948">
        <v>0</v>
      </c>
      <c r="X948" t="s">
        <v>8</v>
      </c>
      <c r="Y948" s="74" t="str">
        <f ca="1">IF(Table15[[#This Row],[Type]]="KILL",IF(_xlfn.NUMBERVALUE(RIGHT(Table15[[#This Row],[Min]],LEN(Table15[[#This Row],[Min]])-FIND("-",Table15[[#This Row],[Min]])))&gt;INDIRECT(ADDRESS(11+MATCH(LEFT(Table15[[#This Row],[Min]],FIND("-",Table15[[#This Row],[Min]])-1),Table1[Content Sku],0),16,1,1,"Entities")),"review","ok"),"ok")</f>
        <v>ok</v>
      </c>
      <c r="AK948" t="s">
        <v>576</v>
      </c>
      <c r="AL948">
        <v>0</v>
      </c>
      <c r="AM948">
        <v>0</v>
      </c>
      <c r="AN948" t="s">
        <v>8</v>
      </c>
      <c r="AO948" s="74" t="str">
        <f ca="1">IF(Table20[[#This Row],[Type]]="KILL",IF(_xlfn.NUMBERVALUE(RIGHT(Table20[[#This Row],[Min]],LEN(Table20[[#This Row],[Min]])-FIND("-",Table20[[#This Row],[Min]])))&gt;INDIRECT(ADDRESS(11+MATCH(LEFT(Table20[[#This Row],[Min]],FIND("-",Table20[[#This Row],[Min]])-1),Table1[Content Sku],0),18,1,1,"Entities")),"review","ok"),"ok")</f>
        <v>ok</v>
      </c>
    </row>
    <row r="949" spans="5:41" x14ac:dyDescent="0.25">
      <c r="E949" t="s">
        <v>393</v>
      </c>
      <c r="F949">
        <v>0</v>
      </c>
      <c r="G949">
        <v>0</v>
      </c>
      <c r="H949" t="s">
        <v>8</v>
      </c>
      <c r="I949" s="74" t="str">
        <f ca="1">IF(Table7[[#This Row],[Type]]="KILL",IF(_xlfn.NUMBERVALUE(RIGHT(Table7[[#This Row],[Min]],LEN(Table7[[#This Row],[Min]])-FIND("-",Table7[[#This Row],[Min]])))&gt;INDIRECT(ADDRESS(11+MATCH(LEFT(Table7[[#This Row],[Min]],FIND("-",Table7[[#This Row],[Min]])-1),Table1[Content Sku],0),16,1,1,"Entities")),"review","ok"),"ok")</f>
        <v>ok</v>
      </c>
      <c r="U949" t="s">
        <v>311</v>
      </c>
      <c r="V949">
        <v>0</v>
      </c>
      <c r="W949">
        <v>0</v>
      </c>
      <c r="X949" t="s">
        <v>8</v>
      </c>
      <c r="Y949" s="74" t="str">
        <f ca="1">IF(Table15[[#This Row],[Type]]="KILL",IF(_xlfn.NUMBERVALUE(RIGHT(Table15[[#This Row],[Min]],LEN(Table15[[#This Row],[Min]])-FIND("-",Table15[[#This Row],[Min]])))&gt;INDIRECT(ADDRESS(11+MATCH(LEFT(Table15[[#This Row],[Min]],FIND("-",Table15[[#This Row],[Min]])-1),Table1[Content Sku],0),16,1,1,"Entities")),"review","ok"),"ok")</f>
        <v>ok</v>
      </c>
      <c r="AK949" t="s">
        <v>37</v>
      </c>
      <c r="AL949">
        <v>0</v>
      </c>
      <c r="AM949">
        <v>0</v>
      </c>
      <c r="AN949" t="s">
        <v>8</v>
      </c>
      <c r="AO949" s="74" t="str">
        <f ca="1">IF(Table20[[#This Row],[Type]]="KILL",IF(_xlfn.NUMBERVALUE(RIGHT(Table20[[#This Row],[Min]],LEN(Table20[[#This Row],[Min]])-FIND("-",Table20[[#This Row],[Min]])))&gt;INDIRECT(ADDRESS(11+MATCH(LEFT(Table20[[#This Row],[Min]],FIND("-",Table20[[#This Row],[Min]])-1),Table1[Content Sku],0),18,1,1,"Entities")),"review","ok"),"ok")</f>
        <v>ok</v>
      </c>
    </row>
    <row r="950" spans="5:41" x14ac:dyDescent="0.25">
      <c r="E950" t="s">
        <v>36</v>
      </c>
      <c r="F950">
        <v>6500</v>
      </c>
      <c r="G950">
        <v>0</v>
      </c>
      <c r="H950" t="s">
        <v>205</v>
      </c>
      <c r="I950" s="74" t="str">
        <f ca="1">IF(Table7[[#This Row],[Type]]="KILL",IF(_xlfn.NUMBERVALUE(RIGHT(Table7[[#This Row],[Min]],LEN(Table7[[#This Row],[Min]])-FIND("-",Table7[[#This Row],[Min]])))&gt;INDIRECT(ADDRESS(11+MATCH(LEFT(Table7[[#This Row],[Min]],FIND("-",Table7[[#This Row],[Min]])-1),Table1[Content Sku],0),16,1,1,"Entities")),"review","ok"),"ok")</f>
        <v>ok</v>
      </c>
      <c r="U950" t="s">
        <v>403</v>
      </c>
      <c r="V950">
        <v>0</v>
      </c>
      <c r="W950">
        <v>0</v>
      </c>
      <c r="X950" t="s">
        <v>8</v>
      </c>
      <c r="Y950" s="74" t="str">
        <f ca="1">IF(Table15[[#This Row],[Type]]="KILL",IF(_xlfn.NUMBERVALUE(RIGHT(Table15[[#This Row],[Min]],LEN(Table15[[#This Row],[Min]])-FIND("-",Table15[[#This Row],[Min]])))&gt;INDIRECT(ADDRESS(11+MATCH(LEFT(Table15[[#This Row],[Min]],FIND("-",Table15[[#This Row],[Min]])-1),Table1[Content Sku],0),16,1,1,"Entities")),"review","ok"),"ok")</f>
        <v>ok</v>
      </c>
      <c r="AK950" t="s">
        <v>2741</v>
      </c>
      <c r="AL950">
        <v>0</v>
      </c>
      <c r="AM950">
        <v>0</v>
      </c>
      <c r="AN950" t="s">
        <v>8</v>
      </c>
      <c r="AO950" s="74" t="str">
        <f ca="1">IF(Table20[[#This Row],[Type]]="KILL",IF(_xlfn.NUMBERVALUE(RIGHT(Table20[[#This Row],[Min]],LEN(Table20[[#This Row],[Min]])-FIND("-",Table20[[#This Row],[Min]])))&gt;INDIRECT(ADDRESS(11+MATCH(LEFT(Table20[[#This Row],[Min]],FIND("-",Table20[[#This Row],[Min]])-1),Table1[Content Sku],0),18,1,1,"Entities")),"review","ok"),"ok")</f>
        <v>ok</v>
      </c>
    </row>
    <row r="951" spans="5:41" x14ac:dyDescent="0.25">
      <c r="E951" t="s">
        <v>90</v>
      </c>
      <c r="F951">
        <v>0</v>
      </c>
      <c r="G951">
        <v>21000</v>
      </c>
      <c r="H951" t="s">
        <v>205</v>
      </c>
      <c r="I951" s="74" t="str">
        <f ca="1">IF(Table7[[#This Row],[Type]]="KILL",IF(_xlfn.NUMBERVALUE(RIGHT(Table7[[#This Row],[Min]],LEN(Table7[[#This Row],[Min]])-FIND("-",Table7[[#This Row],[Min]])))&gt;INDIRECT(ADDRESS(11+MATCH(LEFT(Table7[[#This Row],[Min]],FIND("-",Table7[[#This Row],[Min]])-1),Table1[Content Sku],0),16,1,1,"Entities")),"review","ok"),"ok")</f>
        <v>ok</v>
      </c>
      <c r="U951" t="s">
        <v>8133</v>
      </c>
      <c r="V951">
        <v>0</v>
      </c>
      <c r="W951">
        <v>0</v>
      </c>
      <c r="X951" t="s">
        <v>8</v>
      </c>
      <c r="Y951" s="74" t="str">
        <f ca="1">IF(Table15[[#This Row],[Type]]="KILL",IF(_xlfn.NUMBERVALUE(RIGHT(Table15[[#This Row],[Min]],LEN(Table15[[#This Row],[Min]])-FIND("-",Table15[[#This Row],[Min]])))&gt;INDIRECT(ADDRESS(11+MATCH(LEFT(Table15[[#This Row],[Min]],FIND("-",Table15[[#This Row],[Min]])-1),Table1[Content Sku],0),16,1,1,"Entities")),"review","ok"),"ok")</f>
        <v>ok</v>
      </c>
      <c r="AK951" t="s">
        <v>416</v>
      </c>
      <c r="AL951">
        <v>34000</v>
      </c>
      <c r="AM951">
        <v>0</v>
      </c>
      <c r="AN951" t="s">
        <v>205</v>
      </c>
      <c r="AO951" s="74" t="str">
        <f ca="1">IF(Table20[[#This Row],[Type]]="KILL",IF(_xlfn.NUMBERVALUE(RIGHT(Table20[[#This Row],[Min]],LEN(Table20[[#This Row],[Min]])-FIND("-",Table20[[#This Row],[Min]])))&gt;INDIRECT(ADDRESS(11+MATCH(LEFT(Table20[[#This Row],[Min]],FIND("-",Table20[[#This Row],[Min]])-1),Table1[Content Sku],0),18,1,1,"Entities")),"review","ok"),"ok")</f>
        <v>ok</v>
      </c>
    </row>
    <row r="952" spans="5:41" x14ac:dyDescent="0.25">
      <c r="E952" t="s">
        <v>313</v>
      </c>
      <c r="F952">
        <v>0</v>
      </c>
      <c r="G952">
        <v>0</v>
      </c>
      <c r="H952" t="s">
        <v>8</v>
      </c>
      <c r="I952" s="74" t="str">
        <f ca="1">IF(Table7[[#This Row],[Type]]="KILL",IF(_xlfn.NUMBERVALUE(RIGHT(Table7[[#This Row],[Min]],LEN(Table7[[#This Row],[Min]])-FIND("-",Table7[[#This Row],[Min]])))&gt;INDIRECT(ADDRESS(11+MATCH(LEFT(Table7[[#This Row],[Min]],FIND("-",Table7[[#This Row],[Min]])-1),Table1[Content Sku],0),16,1,1,"Entities")),"review","ok"),"ok")</f>
        <v>ok</v>
      </c>
      <c r="U952" t="s">
        <v>95</v>
      </c>
      <c r="V952">
        <v>0</v>
      </c>
      <c r="W952">
        <v>0</v>
      </c>
      <c r="X952" t="s">
        <v>8</v>
      </c>
      <c r="Y952" s="74" t="str">
        <f ca="1">IF(Table15[[#This Row],[Type]]="KILL",IF(_xlfn.NUMBERVALUE(RIGHT(Table15[[#This Row],[Min]],LEN(Table15[[#This Row],[Min]])-FIND("-",Table15[[#This Row],[Min]])))&gt;INDIRECT(ADDRESS(11+MATCH(LEFT(Table15[[#This Row],[Min]],FIND("-",Table15[[#This Row],[Min]])-1),Table1[Content Sku],0),16,1,1,"Entities")),"review","ok"),"ok")</f>
        <v>ok</v>
      </c>
      <c r="AK952" t="s">
        <v>2667</v>
      </c>
      <c r="AL952">
        <v>0</v>
      </c>
      <c r="AM952">
        <v>0</v>
      </c>
      <c r="AN952" t="s">
        <v>8</v>
      </c>
      <c r="AO952" s="74" t="str">
        <f ca="1">IF(Table20[[#This Row],[Type]]="KILL",IF(_xlfn.NUMBERVALUE(RIGHT(Table20[[#This Row],[Min]],LEN(Table20[[#This Row],[Min]])-FIND("-",Table20[[#This Row],[Min]])))&gt;INDIRECT(ADDRESS(11+MATCH(LEFT(Table20[[#This Row],[Min]],FIND("-",Table20[[#This Row],[Min]])-1),Table1[Content Sku],0),18,1,1,"Entities")),"review","ok"),"ok")</f>
        <v>ok</v>
      </c>
    </row>
    <row r="953" spans="5:41" x14ac:dyDescent="0.25">
      <c r="E953" t="s">
        <v>37</v>
      </c>
      <c r="F953">
        <v>0</v>
      </c>
      <c r="G953">
        <v>0</v>
      </c>
      <c r="H953" t="s">
        <v>8</v>
      </c>
      <c r="I953" s="74" t="str">
        <f ca="1">IF(Table7[[#This Row],[Type]]="KILL",IF(_xlfn.NUMBERVALUE(RIGHT(Table7[[#This Row],[Min]],LEN(Table7[[#This Row],[Min]])-FIND("-",Table7[[#This Row],[Min]])))&gt;INDIRECT(ADDRESS(11+MATCH(LEFT(Table7[[#This Row],[Min]],FIND("-",Table7[[#This Row],[Min]])-1),Table1[Content Sku],0),16,1,1,"Entities")),"review","ok"),"ok")</f>
        <v>ok</v>
      </c>
      <c r="U953" t="s">
        <v>545</v>
      </c>
      <c r="V953">
        <v>0</v>
      </c>
      <c r="W953">
        <v>0</v>
      </c>
      <c r="X953" t="s">
        <v>8</v>
      </c>
      <c r="Y953" s="74" t="str">
        <f ca="1">IF(Table15[[#This Row],[Type]]="KILL",IF(_xlfn.NUMBERVALUE(RIGHT(Table15[[#This Row],[Min]],LEN(Table15[[#This Row],[Min]])-FIND("-",Table15[[#This Row],[Min]])))&gt;INDIRECT(ADDRESS(11+MATCH(LEFT(Table15[[#This Row],[Min]],FIND("-",Table15[[#This Row],[Min]])-1),Table1[Content Sku],0),16,1,1,"Entities")),"review","ok"),"ok")</f>
        <v>ok</v>
      </c>
      <c r="AK953" t="s">
        <v>545</v>
      </c>
      <c r="AL953">
        <v>34000</v>
      </c>
      <c r="AM953">
        <v>0</v>
      </c>
      <c r="AN953" t="s">
        <v>205</v>
      </c>
      <c r="AO953" s="74" t="str">
        <f ca="1">IF(Table20[[#This Row],[Type]]="KILL",IF(_xlfn.NUMBERVALUE(RIGHT(Table20[[#This Row],[Min]],LEN(Table20[[#This Row],[Min]])-FIND("-",Table20[[#This Row],[Min]])))&gt;INDIRECT(ADDRESS(11+MATCH(LEFT(Table20[[#This Row],[Min]],FIND("-",Table20[[#This Row],[Min]])-1),Table1[Content Sku],0),18,1,1,"Entities")),"review","ok"),"ok")</f>
        <v>ok</v>
      </c>
    </row>
    <row r="954" spans="5:41" x14ac:dyDescent="0.25">
      <c r="E954" t="s">
        <v>391</v>
      </c>
      <c r="F954">
        <v>0</v>
      </c>
      <c r="G954">
        <v>0</v>
      </c>
      <c r="H954" t="s">
        <v>8</v>
      </c>
      <c r="I954" s="74" t="str">
        <f ca="1">IF(Table7[[#This Row],[Type]]="KILL",IF(_xlfn.NUMBERVALUE(RIGHT(Table7[[#This Row],[Min]],LEN(Table7[[#This Row],[Min]])-FIND("-",Table7[[#This Row],[Min]])))&gt;INDIRECT(ADDRESS(11+MATCH(LEFT(Table7[[#This Row],[Min]],FIND("-",Table7[[#This Row],[Min]])-1),Table1[Content Sku],0),16,1,1,"Entities")),"review","ok"),"ok")</f>
        <v>ok</v>
      </c>
      <c r="U954" t="s">
        <v>313</v>
      </c>
      <c r="V954">
        <v>18000</v>
      </c>
      <c r="W954">
        <v>0</v>
      </c>
      <c r="X954" t="s">
        <v>205</v>
      </c>
      <c r="Y954" s="74" t="str">
        <f ca="1">IF(Table15[[#This Row],[Type]]="KILL",IF(_xlfn.NUMBERVALUE(RIGHT(Table15[[#This Row],[Min]],LEN(Table15[[#This Row],[Min]])-FIND("-",Table15[[#This Row],[Min]])))&gt;INDIRECT(ADDRESS(11+MATCH(LEFT(Table15[[#This Row],[Min]],FIND("-",Table15[[#This Row],[Min]])-1),Table1[Content Sku],0),16,1,1,"Entities")),"review","ok"),"ok")</f>
        <v>ok</v>
      </c>
      <c r="AK954" t="s">
        <v>400</v>
      </c>
      <c r="AL954">
        <v>0</v>
      </c>
      <c r="AM954">
        <v>0</v>
      </c>
      <c r="AN954" t="s">
        <v>8</v>
      </c>
      <c r="AO954" s="74" t="str">
        <f ca="1">IF(Table20[[#This Row],[Type]]="KILL",IF(_xlfn.NUMBERVALUE(RIGHT(Table20[[#This Row],[Min]],LEN(Table20[[#This Row],[Min]])-FIND("-",Table20[[#This Row],[Min]])))&gt;INDIRECT(ADDRESS(11+MATCH(LEFT(Table20[[#This Row],[Min]],FIND("-",Table20[[#This Row],[Min]])-1),Table1[Content Sku],0),18,1,1,"Entities")),"review","ok"),"ok")</f>
        <v>ok</v>
      </c>
    </row>
    <row r="955" spans="5:41" x14ac:dyDescent="0.25">
      <c r="E955" t="s">
        <v>393</v>
      </c>
      <c r="F955">
        <v>0</v>
      </c>
      <c r="G955">
        <v>0</v>
      </c>
      <c r="H955" t="s">
        <v>8</v>
      </c>
      <c r="I955" s="74" t="str">
        <f ca="1">IF(Table7[[#This Row],[Type]]="KILL",IF(_xlfn.NUMBERVALUE(RIGHT(Table7[[#This Row],[Min]],LEN(Table7[[#This Row],[Min]])-FIND("-",Table7[[#This Row],[Min]])))&gt;INDIRECT(ADDRESS(11+MATCH(LEFT(Table7[[#This Row],[Min]],FIND("-",Table7[[#This Row],[Min]])-1),Table1[Content Sku],0),16,1,1,"Entities")),"review","ok"),"ok")</f>
        <v>ok</v>
      </c>
      <c r="U955" t="s">
        <v>49</v>
      </c>
      <c r="V955">
        <v>25000</v>
      </c>
      <c r="W955">
        <v>0</v>
      </c>
      <c r="X955" t="s">
        <v>205</v>
      </c>
      <c r="Y955" s="74" t="str">
        <f ca="1">IF(Table15[[#This Row],[Type]]="KILL",IF(_xlfn.NUMBERVALUE(RIGHT(Table15[[#This Row],[Min]],LEN(Table15[[#This Row],[Min]])-FIND("-",Table15[[#This Row],[Min]])))&gt;INDIRECT(ADDRESS(11+MATCH(LEFT(Table15[[#This Row],[Min]],FIND("-",Table15[[#This Row],[Min]])-1),Table1[Content Sku],0),16,1,1,"Entities")),"review","ok"),"ok")</f>
        <v>ok</v>
      </c>
      <c r="AK955" t="s">
        <v>2767</v>
      </c>
      <c r="AL955">
        <v>0</v>
      </c>
      <c r="AM955">
        <v>0</v>
      </c>
      <c r="AN955" t="s">
        <v>8</v>
      </c>
      <c r="AO955" s="74" t="str">
        <f ca="1">IF(Table20[[#This Row],[Type]]="KILL",IF(_xlfn.NUMBERVALUE(RIGHT(Table20[[#This Row],[Min]],LEN(Table20[[#This Row],[Min]])-FIND("-",Table20[[#This Row],[Min]])))&gt;INDIRECT(ADDRESS(11+MATCH(LEFT(Table20[[#This Row],[Min]],FIND("-",Table20[[#This Row],[Min]])-1),Table1[Content Sku],0),18,1,1,"Entities")),"review","ok"),"ok")</f>
        <v>ok</v>
      </c>
    </row>
    <row r="956" spans="5:41" x14ac:dyDescent="0.25">
      <c r="E956" t="s">
        <v>313</v>
      </c>
      <c r="F956">
        <v>0</v>
      </c>
      <c r="G956">
        <v>0</v>
      </c>
      <c r="H956" t="s">
        <v>8</v>
      </c>
      <c r="I956" s="74" t="str">
        <f ca="1">IF(Table7[[#This Row],[Type]]="KILL",IF(_xlfn.NUMBERVALUE(RIGHT(Table7[[#This Row],[Min]],LEN(Table7[[#This Row],[Min]])-FIND("-",Table7[[#This Row],[Min]])))&gt;INDIRECT(ADDRESS(11+MATCH(LEFT(Table7[[#This Row],[Min]],FIND("-",Table7[[#This Row],[Min]])-1),Table1[Content Sku],0),16,1,1,"Entities")),"review","ok"),"ok")</f>
        <v>ok</v>
      </c>
      <c r="U956" t="s">
        <v>460</v>
      </c>
      <c r="V956">
        <v>0</v>
      </c>
      <c r="W956">
        <v>0</v>
      </c>
      <c r="X956" t="s">
        <v>8</v>
      </c>
      <c r="Y956" s="74" t="str">
        <f ca="1">IF(Table15[[#This Row],[Type]]="KILL",IF(_xlfn.NUMBERVALUE(RIGHT(Table15[[#This Row],[Min]],LEN(Table15[[#This Row],[Min]])-FIND("-",Table15[[#This Row],[Min]])))&gt;INDIRECT(ADDRESS(11+MATCH(LEFT(Table15[[#This Row],[Min]],FIND("-",Table15[[#This Row],[Min]])-1),Table1[Content Sku],0),16,1,1,"Entities")),"review","ok"),"ok")</f>
        <v>ok</v>
      </c>
      <c r="AK956" t="s">
        <v>2766</v>
      </c>
      <c r="AL956">
        <v>0</v>
      </c>
      <c r="AM956">
        <v>0</v>
      </c>
      <c r="AN956" t="s">
        <v>8</v>
      </c>
      <c r="AO956" s="74" t="str">
        <f ca="1">IF(Table20[[#This Row],[Type]]="KILL",IF(_xlfn.NUMBERVALUE(RIGHT(Table20[[#This Row],[Min]],LEN(Table20[[#This Row],[Min]])-FIND("-",Table20[[#This Row],[Min]])))&gt;INDIRECT(ADDRESS(11+MATCH(LEFT(Table20[[#This Row],[Min]],FIND("-",Table20[[#This Row],[Min]])-1),Table1[Content Sku],0),18,1,1,"Entities")),"review","ok"),"ok")</f>
        <v>ok</v>
      </c>
    </row>
    <row r="957" spans="5:41" x14ac:dyDescent="0.25">
      <c r="E957" t="s">
        <v>315</v>
      </c>
      <c r="F957">
        <v>0</v>
      </c>
      <c r="G957">
        <v>0</v>
      </c>
      <c r="H957" t="s">
        <v>8</v>
      </c>
      <c r="I957" s="74" t="str">
        <f ca="1">IF(Table7[[#This Row],[Type]]="KILL",IF(_xlfn.NUMBERVALUE(RIGHT(Table7[[#This Row],[Min]],LEN(Table7[[#This Row],[Min]])-FIND("-",Table7[[#This Row],[Min]])))&gt;INDIRECT(ADDRESS(11+MATCH(LEFT(Table7[[#This Row],[Min]],FIND("-",Table7[[#This Row],[Min]])-1),Table1[Content Sku],0),16,1,1,"Entities")),"review","ok"),"ok")</f>
        <v>ok</v>
      </c>
      <c r="U957" t="s">
        <v>37</v>
      </c>
      <c r="V957">
        <v>0</v>
      </c>
      <c r="W957">
        <v>0</v>
      </c>
      <c r="X957" t="s">
        <v>8</v>
      </c>
      <c r="Y957" s="74" t="str">
        <f ca="1">IF(Table15[[#This Row],[Type]]="KILL",IF(_xlfn.NUMBERVALUE(RIGHT(Table15[[#This Row],[Min]],LEN(Table15[[#This Row],[Min]])-FIND("-",Table15[[#This Row],[Min]])))&gt;INDIRECT(ADDRESS(11+MATCH(LEFT(Table15[[#This Row],[Min]],FIND("-",Table15[[#This Row],[Min]])-1),Table1[Content Sku],0),16,1,1,"Entities")),"review","ok"),"ok")</f>
        <v>ok</v>
      </c>
      <c r="AK957" t="s">
        <v>2676</v>
      </c>
      <c r="AL957">
        <v>0</v>
      </c>
      <c r="AM957">
        <v>0</v>
      </c>
      <c r="AN957" t="s">
        <v>8</v>
      </c>
      <c r="AO957" s="74" t="str">
        <f ca="1">IF(Table20[[#This Row],[Type]]="KILL",IF(_xlfn.NUMBERVALUE(RIGHT(Table20[[#This Row],[Min]],LEN(Table20[[#This Row],[Min]])-FIND("-",Table20[[#This Row],[Min]])))&gt;INDIRECT(ADDRESS(11+MATCH(LEFT(Table20[[#This Row],[Min]],FIND("-",Table20[[#This Row],[Min]])-1),Table1[Content Sku],0),18,1,1,"Entities")),"review","ok"),"ok")</f>
        <v>ok</v>
      </c>
    </row>
    <row r="958" spans="5:41" x14ac:dyDescent="0.25">
      <c r="E958" t="s">
        <v>46</v>
      </c>
      <c r="F958">
        <v>0</v>
      </c>
      <c r="G958">
        <v>0</v>
      </c>
      <c r="H958" t="s">
        <v>8</v>
      </c>
      <c r="I958" s="74" t="str">
        <f ca="1">IF(Table7[[#This Row],[Type]]="KILL",IF(_xlfn.NUMBERVALUE(RIGHT(Table7[[#This Row],[Min]],LEN(Table7[[#This Row],[Min]])-FIND("-",Table7[[#This Row],[Min]])))&gt;INDIRECT(ADDRESS(11+MATCH(LEFT(Table7[[#This Row],[Min]],FIND("-",Table7[[#This Row],[Min]])-1),Table1[Content Sku],0),16,1,1,"Entities")),"review","ok"),"ok")</f>
        <v>ok</v>
      </c>
      <c r="U958" t="s">
        <v>39</v>
      </c>
      <c r="V958">
        <v>0</v>
      </c>
      <c r="W958">
        <v>0</v>
      </c>
      <c r="X958" t="s">
        <v>8</v>
      </c>
      <c r="Y958" s="74" t="str">
        <f ca="1">IF(Table15[[#This Row],[Type]]="KILL",IF(_xlfn.NUMBERVALUE(RIGHT(Table15[[#This Row],[Min]],LEN(Table15[[#This Row],[Min]])-FIND("-",Table15[[#This Row],[Min]])))&gt;INDIRECT(ADDRESS(11+MATCH(LEFT(Table15[[#This Row],[Min]],FIND("-",Table15[[#This Row],[Min]])-1),Table1[Content Sku],0),16,1,1,"Entities")),"review","ok"),"ok")</f>
        <v>ok</v>
      </c>
      <c r="AK958" t="s">
        <v>2741</v>
      </c>
      <c r="AL958">
        <v>0</v>
      </c>
      <c r="AM958">
        <v>0</v>
      </c>
      <c r="AN958" t="s">
        <v>8</v>
      </c>
      <c r="AO958" s="74" t="str">
        <f ca="1">IF(Table20[[#This Row],[Type]]="KILL",IF(_xlfn.NUMBERVALUE(RIGHT(Table20[[#This Row],[Min]],LEN(Table20[[#This Row],[Min]])-FIND("-",Table20[[#This Row],[Min]])))&gt;INDIRECT(ADDRESS(11+MATCH(LEFT(Table20[[#This Row],[Min]],FIND("-",Table20[[#This Row],[Min]])-1),Table1[Content Sku],0),18,1,1,"Entities")),"review","ok"),"ok")</f>
        <v>ok</v>
      </c>
    </row>
    <row r="959" spans="5:41" x14ac:dyDescent="0.25">
      <c r="E959" t="s">
        <v>37</v>
      </c>
      <c r="F959">
        <v>0</v>
      </c>
      <c r="G959">
        <v>0</v>
      </c>
      <c r="H959" t="s">
        <v>8</v>
      </c>
      <c r="I959" s="74" t="str">
        <f ca="1">IF(Table7[[#This Row],[Type]]="KILL",IF(_xlfn.NUMBERVALUE(RIGHT(Table7[[#This Row],[Min]],LEN(Table7[[#This Row],[Min]])-FIND("-",Table7[[#This Row],[Min]])))&gt;INDIRECT(ADDRESS(11+MATCH(LEFT(Table7[[#This Row],[Min]],FIND("-",Table7[[#This Row],[Min]])-1),Table1[Content Sku],0),16,1,1,"Entities")),"review","ok"),"ok")</f>
        <v>ok</v>
      </c>
      <c r="U959" t="s">
        <v>253</v>
      </c>
      <c r="V959">
        <v>0</v>
      </c>
      <c r="W959">
        <v>0</v>
      </c>
      <c r="X959" t="s">
        <v>8</v>
      </c>
      <c r="Y959" s="74" t="str">
        <f ca="1">IF(Table15[[#This Row],[Type]]="KILL",IF(_xlfn.NUMBERVALUE(RIGHT(Table15[[#This Row],[Min]],LEN(Table15[[#This Row],[Min]])-FIND("-",Table15[[#This Row],[Min]])))&gt;INDIRECT(ADDRESS(11+MATCH(LEFT(Table15[[#This Row],[Min]],FIND("-",Table15[[#This Row],[Min]])-1),Table1[Content Sku],0),16,1,1,"Entities")),"review","ok"),"ok")</f>
        <v>ok</v>
      </c>
      <c r="AK959" t="s">
        <v>37</v>
      </c>
      <c r="AL959">
        <v>0</v>
      </c>
      <c r="AM959">
        <v>0</v>
      </c>
      <c r="AN959" t="s">
        <v>8</v>
      </c>
      <c r="AO959" s="74" t="str">
        <f ca="1">IF(Table20[[#This Row],[Type]]="KILL",IF(_xlfn.NUMBERVALUE(RIGHT(Table20[[#This Row],[Min]],LEN(Table20[[#This Row],[Min]])-FIND("-",Table20[[#This Row],[Min]])))&gt;INDIRECT(ADDRESS(11+MATCH(LEFT(Table20[[#This Row],[Min]],FIND("-",Table20[[#This Row],[Min]])-1),Table1[Content Sku],0),18,1,1,"Entities")),"review","ok"),"ok")</f>
        <v>ok</v>
      </c>
    </row>
    <row r="960" spans="5:41" x14ac:dyDescent="0.25">
      <c r="E960" t="s">
        <v>39</v>
      </c>
      <c r="F960">
        <v>0</v>
      </c>
      <c r="G960">
        <v>0</v>
      </c>
      <c r="H960" t="s">
        <v>8</v>
      </c>
      <c r="I960" s="74" t="str">
        <f ca="1">IF(Table7[[#This Row],[Type]]="KILL",IF(_xlfn.NUMBERVALUE(RIGHT(Table7[[#This Row],[Min]],LEN(Table7[[#This Row],[Min]])-FIND("-",Table7[[#This Row],[Min]])))&gt;INDIRECT(ADDRESS(11+MATCH(LEFT(Table7[[#This Row],[Min]],FIND("-",Table7[[#This Row],[Min]])-1),Table1[Content Sku],0),16,1,1,"Entities")),"review","ok"),"ok")</f>
        <v>ok</v>
      </c>
      <c r="U960" t="s">
        <v>254</v>
      </c>
      <c r="V960">
        <v>0</v>
      </c>
      <c r="W960">
        <v>0</v>
      </c>
      <c r="X960" t="s">
        <v>8</v>
      </c>
      <c r="Y960" s="74" t="str">
        <f ca="1">IF(Table15[[#This Row],[Type]]="KILL",IF(_xlfn.NUMBERVALUE(RIGHT(Table15[[#This Row],[Min]],LEN(Table15[[#This Row],[Min]])-FIND("-",Table15[[#This Row],[Min]])))&gt;INDIRECT(ADDRESS(11+MATCH(LEFT(Table15[[#This Row],[Min]],FIND("-",Table15[[#This Row],[Min]])-1),Table1[Content Sku],0),16,1,1,"Entities")),"review","ok"),"ok")</f>
        <v>ok</v>
      </c>
      <c r="AK960" t="s">
        <v>95</v>
      </c>
      <c r="AL960">
        <v>0</v>
      </c>
      <c r="AM960">
        <v>31000</v>
      </c>
      <c r="AN960" t="s">
        <v>205</v>
      </c>
      <c r="AO960" s="74" t="str">
        <f ca="1">IF(Table20[[#This Row],[Type]]="KILL",IF(_xlfn.NUMBERVALUE(RIGHT(Table20[[#This Row],[Min]],LEN(Table20[[#This Row],[Min]])-FIND("-",Table20[[#This Row],[Min]])))&gt;INDIRECT(ADDRESS(11+MATCH(LEFT(Table20[[#This Row],[Min]],FIND("-",Table20[[#This Row],[Min]])-1),Table1[Content Sku],0),18,1,1,"Entities")),"review","ok"),"ok")</f>
        <v>ok</v>
      </c>
    </row>
    <row r="961" spans="5:41" x14ac:dyDescent="0.25">
      <c r="E961" t="s">
        <v>396</v>
      </c>
      <c r="F961">
        <v>26000</v>
      </c>
      <c r="G961">
        <v>0</v>
      </c>
      <c r="H961" t="s">
        <v>205</v>
      </c>
      <c r="I961" s="74" t="str">
        <f ca="1">IF(Table7[[#This Row],[Type]]="KILL",IF(_xlfn.NUMBERVALUE(RIGHT(Table7[[#This Row],[Min]],LEN(Table7[[#This Row],[Min]])-FIND("-",Table7[[#This Row],[Min]])))&gt;INDIRECT(ADDRESS(11+MATCH(LEFT(Table7[[#This Row],[Min]],FIND("-",Table7[[#This Row],[Min]])-1),Table1[Content Sku],0),16,1,1,"Entities")),"review","ok"),"ok")</f>
        <v>ok</v>
      </c>
      <c r="U961" t="s">
        <v>545</v>
      </c>
      <c r="V961">
        <v>0</v>
      </c>
      <c r="W961">
        <v>0</v>
      </c>
      <c r="X961" t="s">
        <v>8</v>
      </c>
      <c r="Y961" s="74" t="str">
        <f ca="1">IF(Table15[[#This Row],[Type]]="KILL",IF(_xlfn.NUMBERVALUE(RIGHT(Table15[[#This Row],[Min]],LEN(Table15[[#This Row],[Min]])-FIND("-",Table15[[#This Row],[Min]])))&gt;INDIRECT(ADDRESS(11+MATCH(LEFT(Table15[[#This Row],[Min]],FIND("-",Table15[[#This Row],[Min]])-1),Table1[Content Sku],0),16,1,1,"Entities")),"review","ok"),"ok")</f>
        <v>ok</v>
      </c>
      <c r="AK961" t="s">
        <v>2767</v>
      </c>
      <c r="AL961">
        <v>0</v>
      </c>
      <c r="AM961">
        <v>0</v>
      </c>
      <c r="AN961" t="s">
        <v>8</v>
      </c>
      <c r="AO961" s="74" t="str">
        <f ca="1">IF(Table20[[#This Row],[Type]]="KILL",IF(_xlfn.NUMBERVALUE(RIGHT(Table20[[#This Row],[Min]],LEN(Table20[[#This Row],[Min]])-FIND("-",Table20[[#This Row],[Min]])))&gt;INDIRECT(ADDRESS(11+MATCH(LEFT(Table20[[#This Row],[Min]],FIND("-",Table20[[#This Row],[Min]])-1),Table1[Content Sku],0),18,1,1,"Entities")),"review","ok"),"ok")</f>
        <v>ok</v>
      </c>
    </row>
    <row r="962" spans="5:41" x14ac:dyDescent="0.25">
      <c r="E962" t="s">
        <v>37</v>
      </c>
      <c r="F962">
        <v>0</v>
      </c>
      <c r="G962">
        <v>0</v>
      </c>
      <c r="H962" t="s">
        <v>8</v>
      </c>
      <c r="I962" s="74" t="str">
        <f ca="1">IF(Table7[[#This Row],[Type]]="KILL",IF(_xlfn.NUMBERVALUE(RIGHT(Table7[[#This Row],[Min]],LEN(Table7[[#This Row],[Min]])-FIND("-",Table7[[#This Row],[Min]])))&gt;INDIRECT(ADDRESS(11+MATCH(LEFT(Table7[[#This Row],[Min]],FIND("-",Table7[[#This Row],[Min]])-1),Table1[Content Sku],0),16,1,1,"Entities")),"review","ok"),"ok")</f>
        <v>ok</v>
      </c>
      <c r="U962" t="s">
        <v>391</v>
      </c>
      <c r="V962">
        <v>0</v>
      </c>
      <c r="W962">
        <v>0</v>
      </c>
      <c r="X962" t="s">
        <v>8</v>
      </c>
      <c r="Y962" s="74" t="str">
        <f ca="1">IF(Table15[[#This Row],[Type]]="KILL",IF(_xlfn.NUMBERVALUE(RIGHT(Table15[[#This Row],[Min]],LEN(Table15[[#This Row],[Min]])-FIND("-",Table15[[#This Row],[Min]])))&gt;INDIRECT(ADDRESS(11+MATCH(LEFT(Table15[[#This Row],[Min]],FIND("-",Table15[[#This Row],[Min]])-1),Table1[Content Sku],0),16,1,1,"Entities")),"review","ok"),"ok")</f>
        <v>ok</v>
      </c>
      <c r="AK962" t="s">
        <v>2766</v>
      </c>
      <c r="AL962">
        <v>0</v>
      </c>
      <c r="AM962">
        <v>0</v>
      </c>
      <c r="AN962" t="s">
        <v>8</v>
      </c>
      <c r="AO962" s="74" t="str">
        <f ca="1">IF(Table20[[#This Row],[Type]]="KILL",IF(_xlfn.NUMBERVALUE(RIGHT(Table20[[#This Row],[Min]],LEN(Table20[[#This Row],[Min]])-FIND("-",Table20[[#This Row],[Min]])))&gt;INDIRECT(ADDRESS(11+MATCH(LEFT(Table20[[#This Row],[Min]],FIND("-",Table20[[#This Row],[Min]])-1),Table1[Content Sku],0),18,1,1,"Entities")),"review","ok"),"ok")</f>
        <v>ok</v>
      </c>
    </row>
    <row r="963" spans="5:41" x14ac:dyDescent="0.25">
      <c r="E963" t="s">
        <v>63</v>
      </c>
      <c r="F963">
        <v>0</v>
      </c>
      <c r="G963">
        <v>0</v>
      </c>
      <c r="H963" t="s">
        <v>8</v>
      </c>
      <c r="I963" s="74" t="str">
        <f ca="1">IF(Table7[[#This Row],[Type]]="KILL",IF(_xlfn.NUMBERVALUE(RIGHT(Table7[[#This Row],[Min]],LEN(Table7[[#This Row],[Min]])-FIND("-",Table7[[#This Row],[Min]])))&gt;INDIRECT(ADDRESS(11+MATCH(LEFT(Table7[[#This Row],[Min]],FIND("-",Table7[[#This Row],[Min]])-1),Table1[Content Sku],0),16,1,1,"Entities")),"review","ok"),"ok")</f>
        <v>ok</v>
      </c>
      <c r="U963" t="s">
        <v>21</v>
      </c>
      <c r="V963">
        <v>24000</v>
      </c>
      <c r="W963">
        <v>0</v>
      </c>
      <c r="X963" t="s">
        <v>205</v>
      </c>
      <c r="Y963" s="74" t="str">
        <f ca="1">IF(Table15[[#This Row],[Type]]="KILL",IF(_xlfn.NUMBERVALUE(RIGHT(Table15[[#This Row],[Min]],LEN(Table15[[#This Row],[Min]])-FIND("-",Table15[[#This Row],[Min]])))&gt;INDIRECT(ADDRESS(11+MATCH(LEFT(Table15[[#This Row],[Min]],FIND("-",Table15[[#This Row],[Min]])-1),Table1[Content Sku],0),16,1,1,"Entities")),"review","ok"),"ok")</f>
        <v>ok</v>
      </c>
      <c r="AK963" t="s">
        <v>95</v>
      </c>
      <c r="AL963">
        <v>0</v>
      </c>
      <c r="AM963">
        <v>0</v>
      </c>
      <c r="AN963" t="s">
        <v>8</v>
      </c>
      <c r="AO963" s="74" t="str">
        <f ca="1">IF(Table20[[#This Row],[Type]]="KILL",IF(_xlfn.NUMBERVALUE(RIGHT(Table20[[#This Row],[Min]],LEN(Table20[[#This Row],[Min]])-FIND("-",Table20[[#This Row],[Min]])))&gt;INDIRECT(ADDRESS(11+MATCH(LEFT(Table20[[#This Row],[Min]],FIND("-",Table20[[#This Row],[Min]])-1),Table1[Content Sku],0),18,1,1,"Entities")),"review","ok"),"ok")</f>
        <v>ok</v>
      </c>
    </row>
    <row r="964" spans="5:41" x14ac:dyDescent="0.25">
      <c r="E964" t="s">
        <v>283</v>
      </c>
      <c r="F964">
        <v>4000</v>
      </c>
      <c r="G964">
        <v>0</v>
      </c>
      <c r="H964" t="s">
        <v>205</v>
      </c>
      <c r="I964" s="74" t="str">
        <f ca="1">IF(Table7[[#This Row],[Type]]="KILL",IF(_xlfn.NUMBERVALUE(RIGHT(Table7[[#This Row],[Min]],LEN(Table7[[#This Row],[Min]])-FIND("-",Table7[[#This Row],[Min]])))&gt;INDIRECT(ADDRESS(11+MATCH(LEFT(Table7[[#This Row],[Min]],FIND("-",Table7[[#This Row],[Min]])-1),Table1[Content Sku],0),16,1,1,"Entities")),"review","ok"),"ok")</f>
        <v>ok</v>
      </c>
      <c r="U964" t="s">
        <v>47</v>
      </c>
      <c r="V964">
        <v>0</v>
      </c>
      <c r="W964">
        <v>0</v>
      </c>
      <c r="X964" t="s">
        <v>8</v>
      </c>
      <c r="Y964" s="74" t="str">
        <f ca="1">IF(Table15[[#This Row],[Type]]="KILL",IF(_xlfn.NUMBERVALUE(RIGHT(Table15[[#This Row],[Min]],LEN(Table15[[#This Row],[Min]])-FIND("-",Table15[[#This Row],[Min]])))&gt;INDIRECT(ADDRESS(11+MATCH(LEFT(Table15[[#This Row],[Min]],FIND("-",Table15[[#This Row],[Min]])-1),Table1[Content Sku],0),16,1,1,"Entities")),"review","ok"),"ok")</f>
        <v>ok</v>
      </c>
      <c r="AK964" t="s">
        <v>37</v>
      </c>
      <c r="AL964">
        <v>0</v>
      </c>
      <c r="AM964">
        <v>0</v>
      </c>
      <c r="AN964" t="s">
        <v>8</v>
      </c>
      <c r="AO964" s="74" t="str">
        <f ca="1">IF(Table20[[#This Row],[Type]]="KILL",IF(_xlfn.NUMBERVALUE(RIGHT(Table20[[#This Row],[Min]],LEN(Table20[[#This Row],[Min]])-FIND("-",Table20[[#This Row],[Min]])))&gt;INDIRECT(ADDRESS(11+MATCH(LEFT(Table20[[#This Row],[Min]],FIND("-",Table20[[#This Row],[Min]])-1),Table1[Content Sku],0),18,1,1,"Entities")),"review","ok"),"ok")</f>
        <v>ok</v>
      </c>
    </row>
    <row r="965" spans="5:41" x14ac:dyDescent="0.25">
      <c r="E965" t="s">
        <v>95</v>
      </c>
      <c r="F965">
        <v>0</v>
      </c>
      <c r="G965">
        <v>0</v>
      </c>
      <c r="H965" t="s">
        <v>8</v>
      </c>
      <c r="I965" s="74" t="str">
        <f ca="1">IF(Table7[[#This Row],[Type]]="KILL",IF(_xlfn.NUMBERVALUE(RIGHT(Table7[[#This Row],[Min]],LEN(Table7[[#This Row],[Min]])-FIND("-",Table7[[#This Row],[Min]])))&gt;INDIRECT(ADDRESS(11+MATCH(LEFT(Table7[[#This Row],[Min]],FIND("-",Table7[[#This Row],[Min]])-1),Table1[Content Sku],0),16,1,1,"Entities")),"review","ok"),"ok")</f>
        <v>ok</v>
      </c>
      <c r="U965" t="s">
        <v>63</v>
      </c>
      <c r="V965">
        <v>0</v>
      </c>
      <c r="W965">
        <v>0</v>
      </c>
      <c r="X965" t="s">
        <v>8</v>
      </c>
      <c r="Y965" s="74" t="str">
        <f ca="1">IF(Table15[[#This Row],[Type]]="KILL",IF(_xlfn.NUMBERVALUE(RIGHT(Table15[[#This Row],[Min]],LEN(Table15[[#This Row],[Min]])-FIND("-",Table15[[#This Row],[Min]])))&gt;INDIRECT(ADDRESS(11+MATCH(LEFT(Table15[[#This Row],[Min]],FIND("-",Table15[[#This Row],[Min]])-1),Table1[Content Sku],0),16,1,1,"Entities")),"review","ok"),"ok")</f>
        <v>ok</v>
      </c>
      <c r="AK965" t="s">
        <v>2662</v>
      </c>
      <c r="AL965">
        <v>0</v>
      </c>
      <c r="AM965">
        <v>0</v>
      </c>
      <c r="AN965" t="s">
        <v>8</v>
      </c>
      <c r="AO965" s="74" t="str">
        <f ca="1">IF(Table20[[#This Row],[Type]]="KILL",IF(_xlfn.NUMBERVALUE(RIGHT(Table20[[#This Row],[Min]],LEN(Table20[[#This Row],[Min]])-FIND("-",Table20[[#This Row],[Min]])))&gt;INDIRECT(ADDRESS(11+MATCH(LEFT(Table20[[#This Row],[Min]],FIND("-",Table20[[#This Row],[Min]])-1),Table1[Content Sku],0),18,1,1,"Entities")),"review","ok"),"ok")</f>
        <v>ok</v>
      </c>
    </row>
    <row r="966" spans="5:41" x14ac:dyDescent="0.25">
      <c r="E966" t="s">
        <v>39</v>
      </c>
      <c r="F966">
        <v>0</v>
      </c>
      <c r="G966">
        <v>0</v>
      </c>
      <c r="H966" t="s">
        <v>8</v>
      </c>
      <c r="I966" s="74" t="str">
        <f ca="1">IF(Table7[[#This Row],[Type]]="KILL",IF(_xlfn.NUMBERVALUE(RIGHT(Table7[[#This Row],[Min]],LEN(Table7[[#This Row],[Min]])-FIND("-",Table7[[#This Row],[Min]])))&gt;INDIRECT(ADDRESS(11+MATCH(LEFT(Table7[[#This Row],[Min]],FIND("-",Table7[[#This Row],[Min]])-1),Table1[Content Sku],0),16,1,1,"Entities")),"review","ok"),"ok")</f>
        <v>ok</v>
      </c>
      <c r="U966" t="s">
        <v>62</v>
      </c>
      <c r="V966">
        <v>0</v>
      </c>
      <c r="W966">
        <v>0</v>
      </c>
      <c r="X966" t="s">
        <v>8</v>
      </c>
      <c r="Y966" s="74" t="str">
        <f ca="1">IF(Table15[[#This Row],[Type]]="KILL",IF(_xlfn.NUMBERVALUE(RIGHT(Table15[[#This Row],[Min]],LEN(Table15[[#This Row],[Min]])-FIND("-",Table15[[#This Row],[Min]])))&gt;INDIRECT(ADDRESS(11+MATCH(LEFT(Table15[[#This Row],[Min]],FIND("-",Table15[[#This Row],[Min]])-1),Table1[Content Sku],0),16,1,1,"Entities")),"review","ok"),"ok")</f>
        <v>ok</v>
      </c>
      <c r="AK966" t="s">
        <v>4430</v>
      </c>
      <c r="AL966">
        <v>0</v>
      </c>
      <c r="AM966">
        <v>0</v>
      </c>
      <c r="AN966" t="s">
        <v>8</v>
      </c>
      <c r="AO966" s="74" t="str">
        <f ca="1">IF(Table20[[#This Row],[Type]]="KILL",IF(_xlfn.NUMBERVALUE(RIGHT(Table20[[#This Row],[Min]],LEN(Table20[[#This Row],[Min]])-FIND("-",Table20[[#This Row],[Min]])))&gt;INDIRECT(ADDRESS(11+MATCH(LEFT(Table20[[#This Row],[Min]],FIND("-",Table20[[#This Row],[Min]])-1),Table1[Content Sku],0),18,1,1,"Entities")),"review","ok"),"ok")</f>
        <v>ok</v>
      </c>
    </row>
    <row r="967" spans="5:41" x14ac:dyDescent="0.25">
      <c r="E967" t="s">
        <v>39</v>
      </c>
      <c r="F967">
        <v>0</v>
      </c>
      <c r="G967">
        <v>0</v>
      </c>
      <c r="H967" t="s">
        <v>8</v>
      </c>
      <c r="I967" s="74" t="str">
        <f ca="1">IF(Table7[[#This Row],[Type]]="KILL",IF(_xlfn.NUMBERVALUE(RIGHT(Table7[[#This Row],[Min]],LEN(Table7[[#This Row],[Min]])-FIND("-",Table7[[#This Row],[Min]])))&gt;INDIRECT(ADDRESS(11+MATCH(LEFT(Table7[[#This Row],[Min]],FIND("-",Table7[[#This Row],[Min]])-1),Table1[Content Sku],0),16,1,1,"Entities")),"review","ok"),"ok")</f>
        <v>ok</v>
      </c>
      <c r="U967" t="s">
        <v>122</v>
      </c>
      <c r="V967">
        <v>31000</v>
      </c>
      <c r="W967">
        <v>0</v>
      </c>
      <c r="X967" t="s">
        <v>205</v>
      </c>
      <c r="Y967" s="74" t="str">
        <f ca="1">IF(Table15[[#This Row],[Type]]="KILL",IF(_xlfn.NUMBERVALUE(RIGHT(Table15[[#This Row],[Min]],LEN(Table15[[#This Row],[Min]])-FIND("-",Table15[[#This Row],[Min]])))&gt;INDIRECT(ADDRESS(11+MATCH(LEFT(Table15[[#This Row],[Min]],FIND("-",Table15[[#This Row],[Min]])-1),Table1[Content Sku],0),16,1,1,"Entities")),"review","ok"),"ok")</f>
        <v>ok</v>
      </c>
      <c r="AK967" t="s">
        <v>2673</v>
      </c>
      <c r="AL967">
        <v>0</v>
      </c>
      <c r="AM967">
        <v>74000</v>
      </c>
      <c r="AN967" t="s">
        <v>205</v>
      </c>
      <c r="AO967" s="74" t="str">
        <f ca="1">IF(Table20[[#This Row],[Type]]="KILL",IF(_xlfn.NUMBERVALUE(RIGHT(Table20[[#This Row],[Min]],LEN(Table20[[#This Row],[Min]])-FIND("-",Table20[[#This Row],[Min]])))&gt;INDIRECT(ADDRESS(11+MATCH(LEFT(Table20[[#This Row],[Min]],FIND("-",Table20[[#This Row],[Min]])-1),Table1[Content Sku],0),18,1,1,"Entities")),"review","ok"),"ok")</f>
        <v>ok</v>
      </c>
    </row>
    <row r="968" spans="5:41" x14ac:dyDescent="0.25">
      <c r="E968" t="s">
        <v>393</v>
      </c>
      <c r="F968">
        <v>0</v>
      </c>
      <c r="G968">
        <v>0</v>
      </c>
      <c r="H968" t="s">
        <v>8</v>
      </c>
      <c r="I968" s="74" t="str">
        <f ca="1">IF(Table7[[#This Row],[Type]]="KILL",IF(_xlfn.NUMBERVALUE(RIGHT(Table7[[#This Row],[Min]],LEN(Table7[[#This Row],[Min]])-FIND("-",Table7[[#This Row],[Min]])))&gt;INDIRECT(ADDRESS(11+MATCH(LEFT(Table7[[#This Row],[Min]],FIND("-",Table7[[#This Row],[Min]])-1),Table1[Content Sku],0),16,1,1,"Entities")),"review","ok"),"ok")</f>
        <v>ok</v>
      </c>
      <c r="U968" t="s">
        <v>311</v>
      </c>
      <c r="V968">
        <v>0</v>
      </c>
      <c r="W968">
        <v>0</v>
      </c>
      <c r="X968" t="s">
        <v>8</v>
      </c>
      <c r="Y968" s="74" t="str">
        <f ca="1">IF(Table15[[#This Row],[Type]]="KILL",IF(_xlfn.NUMBERVALUE(RIGHT(Table15[[#This Row],[Min]],LEN(Table15[[#This Row],[Min]])-FIND("-",Table15[[#This Row],[Min]])))&gt;INDIRECT(ADDRESS(11+MATCH(LEFT(Table15[[#This Row],[Min]],FIND("-",Table15[[#This Row],[Min]])-1),Table1[Content Sku],0),16,1,1,"Entities")),"review","ok"),"ok")</f>
        <v>ok</v>
      </c>
      <c r="AK968" t="s">
        <v>578</v>
      </c>
      <c r="AL968">
        <v>0</v>
      </c>
      <c r="AM968">
        <v>44500</v>
      </c>
      <c r="AN968" t="s">
        <v>205</v>
      </c>
      <c r="AO968" s="74" t="str">
        <f ca="1">IF(Table20[[#This Row],[Type]]="KILL",IF(_xlfn.NUMBERVALUE(RIGHT(Table20[[#This Row],[Min]],LEN(Table20[[#This Row],[Min]])-FIND("-",Table20[[#This Row],[Min]])))&gt;INDIRECT(ADDRESS(11+MATCH(LEFT(Table20[[#This Row],[Min]],FIND("-",Table20[[#This Row],[Min]])-1),Table1[Content Sku],0),18,1,1,"Entities")),"review","ok"),"ok")</f>
        <v>ok</v>
      </c>
    </row>
    <row r="969" spans="5:41" x14ac:dyDescent="0.25">
      <c r="E969" t="s">
        <v>48</v>
      </c>
      <c r="F969">
        <v>7000</v>
      </c>
      <c r="G969">
        <v>0</v>
      </c>
      <c r="H969" t="s">
        <v>205</v>
      </c>
      <c r="I969" s="74" t="str">
        <f ca="1">IF(Table7[[#This Row],[Type]]="KILL",IF(_xlfn.NUMBERVALUE(RIGHT(Table7[[#This Row],[Min]],LEN(Table7[[#This Row],[Min]])-FIND("-",Table7[[#This Row],[Min]])))&gt;INDIRECT(ADDRESS(11+MATCH(LEFT(Table7[[#This Row],[Min]],FIND("-",Table7[[#This Row],[Min]])-1),Table1[Content Sku],0),16,1,1,"Entities")),"review","ok"),"ok")</f>
        <v>ok</v>
      </c>
      <c r="U969" t="s">
        <v>254</v>
      </c>
      <c r="V969">
        <v>0</v>
      </c>
      <c r="W969">
        <v>0</v>
      </c>
      <c r="X969" t="s">
        <v>8</v>
      </c>
      <c r="Y969" s="74" t="str">
        <f ca="1">IF(Table15[[#This Row],[Type]]="KILL",IF(_xlfn.NUMBERVALUE(RIGHT(Table15[[#This Row],[Min]],LEN(Table15[[#This Row],[Min]])-FIND("-",Table15[[#This Row],[Min]])))&gt;INDIRECT(ADDRESS(11+MATCH(LEFT(Table15[[#This Row],[Min]],FIND("-",Table15[[#This Row],[Min]])-1),Table1[Content Sku],0),16,1,1,"Entities")),"review","ok"),"ok")</f>
        <v>ok</v>
      </c>
      <c r="AK969" t="s">
        <v>46</v>
      </c>
      <c r="AL969">
        <v>0</v>
      </c>
      <c r="AM969">
        <v>0</v>
      </c>
      <c r="AN969" t="s">
        <v>8</v>
      </c>
      <c r="AO969" s="74" t="str">
        <f ca="1">IF(Table20[[#This Row],[Type]]="KILL",IF(_xlfn.NUMBERVALUE(RIGHT(Table20[[#This Row],[Min]],LEN(Table20[[#This Row],[Min]])-FIND("-",Table20[[#This Row],[Min]])))&gt;INDIRECT(ADDRESS(11+MATCH(LEFT(Table20[[#This Row],[Min]],FIND("-",Table20[[#This Row],[Min]])-1),Table1[Content Sku],0),18,1,1,"Entities")),"review","ok"),"ok")</f>
        <v>ok</v>
      </c>
    </row>
    <row r="970" spans="5:41" x14ac:dyDescent="0.25">
      <c r="E970" t="s">
        <v>315</v>
      </c>
      <c r="F970">
        <v>0</v>
      </c>
      <c r="G970">
        <v>0</v>
      </c>
      <c r="H970" t="s">
        <v>8</v>
      </c>
      <c r="I970" s="74" t="str">
        <f ca="1">IF(Table7[[#This Row],[Type]]="KILL",IF(_xlfn.NUMBERVALUE(RIGHT(Table7[[#This Row],[Min]],LEN(Table7[[#This Row],[Min]])-FIND("-",Table7[[#This Row],[Min]])))&gt;INDIRECT(ADDRESS(11+MATCH(LEFT(Table7[[#This Row],[Min]],FIND("-",Table7[[#This Row],[Min]])-1),Table1[Content Sku],0),16,1,1,"Entities")),"review","ok"),"ok")</f>
        <v>ok</v>
      </c>
      <c r="U970" t="s">
        <v>22</v>
      </c>
      <c r="V970">
        <v>46000</v>
      </c>
      <c r="W970">
        <v>0</v>
      </c>
      <c r="X970" t="s">
        <v>205</v>
      </c>
      <c r="Y970" s="74" t="str">
        <f ca="1">IF(Table15[[#This Row],[Type]]="KILL",IF(_xlfn.NUMBERVALUE(RIGHT(Table15[[#This Row],[Min]],LEN(Table15[[#This Row],[Min]])-FIND("-",Table15[[#This Row],[Min]])))&gt;INDIRECT(ADDRESS(11+MATCH(LEFT(Table15[[#This Row],[Min]],FIND("-",Table15[[#This Row],[Min]])-1),Table1[Content Sku],0),16,1,1,"Entities")),"review","ok"),"ok")</f>
        <v>ok</v>
      </c>
      <c r="AK970" t="s">
        <v>46</v>
      </c>
      <c r="AL970">
        <v>0</v>
      </c>
      <c r="AM970">
        <v>0</v>
      </c>
      <c r="AN970" t="s">
        <v>8</v>
      </c>
      <c r="AO970" s="74" t="str">
        <f ca="1">IF(Table20[[#This Row],[Type]]="KILL",IF(_xlfn.NUMBERVALUE(RIGHT(Table20[[#This Row],[Min]],LEN(Table20[[#This Row],[Min]])-FIND("-",Table20[[#This Row],[Min]])))&gt;INDIRECT(ADDRESS(11+MATCH(LEFT(Table20[[#This Row],[Min]],FIND("-",Table20[[#This Row],[Min]])-1),Table1[Content Sku],0),18,1,1,"Entities")),"review","ok"),"ok")</f>
        <v>ok</v>
      </c>
    </row>
    <row r="971" spans="5:41" x14ac:dyDescent="0.25">
      <c r="E971" t="s">
        <v>289</v>
      </c>
      <c r="F971">
        <v>0</v>
      </c>
      <c r="G971">
        <v>0</v>
      </c>
      <c r="H971" t="s">
        <v>8</v>
      </c>
      <c r="I971" s="74" t="str">
        <f ca="1">IF(Table7[[#This Row],[Type]]="KILL",IF(_xlfn.NUMBERVALUE(RIGHT(Table7[[#This Row],[Min]],LEN(Table7[[#This Row],[Min]])-FIND("-",Table7[[#This Row],[Min]])))&gt;INDIRECT(ADDRESS(11+MATCH(LEFT(Table7[[#This Row],[Min]],FIND("-",Table7[[#This Row],[Min]])-1),Table1[Content Sku],0),16,1,1,"Entities")),"review","ok"),"ok")</f>
        <v>ok</v>
      </c>
      <c r="U971" t="s">
        <v>253</v>
      </c>
      <c r="V971">
        <v>0</v>
      </c>
      <c r="W971">
        <v>0</v>
      </c>
      <c r="X971" t="s">
        <v>8</v>
      </c>
      <c r="Y971" s="74" t="str">
        <f ca="1">IF(Table15[[#This Row],[Type]]="KILL",IF(_xlfn.NUMBERVALUE(RIGHT(Table15[[#This Row],[Min]],LEN(Table15[[#This Row],[Min]])-FIND("-",Table15[[#This Row],[Min]])))&gt;INDIRECT(ADDRESS(11+MATCH(LEFT(Table15[[#This Row],[Min]],FIND("-",Table15[[#This Row],[Min]])-1),Table1[Content Sku],0),16,1,1,"Entities")),"review","ok"),"ok")</f>
        <v>ok</v>
      </c>
      <c r="AK971" t="s">
        <v>418</v>
      </c>
      <c r="AL971">
        <v>0</v>
      </c>
      <c r="AM971">
        <v>0</v>
      </c>
      <c r="AN971" t="s">
        <v>8</v>
      </c>
      <c r="AO971" s="74" t="str">
        <f ca="1">IF(Table20[[#This Row],[Type]]="KILL",IF(_xlfn.NUMBERVALUE(RIGHT(Table20[[#This Row],[Min]],LEN(Table20[[#This Row],[Min]])-FIND("-",Table20[[#This Row],[Min]])))&gt;INDIRECT(ADDRESS(11+MATCH(LEFT(Table20[[#This Row],[Min]],FIND("-",Table20[[#This Row],[Min]])-1),Table1[Content Sku],0),18,1,1,"Entities")),"review","ok"),"ok")</f>
        <v>ok</v>
      </c>
    </row>
    <row r="972" spans="5:41" x14ac:dyDescent="0.25">
      <c r="E972" t="s">
        <v>391</v>
      </c>
      <c r="F972">
        <v>0</v>
      </c>
      <c r="G972">
        <v>0</v>
      </c>
      <c r="H972" t="s">
        <v>8</v>
      </c>
      <c r="I972" s="74" t="str">
        <f ca="1">IF(Table7[[#This Row],[Type]]="KILL",IF(_xlfn.NUMBERVALUE(RIGHT(Table7[[#This Row],[Min]],LEN(Table7[[#This Row],[Min]])-FIND("-",Table7[[#This Row],[Min]])))&gt;INDIRECT(ADDRESS(11+MATCH(LEFT(Table7[[#This Row],[Min]],FIND("-",Table7[[#This Row],[Min]])-1),Table1[Content Sku],0),16,1,1,"Entities")),"review","ok"),"ok")</f>
        <v>ok</v>
      </c>
      <c r="U972" t="s">
        <v>313</v>
      </c>
      <c r="V972">
        <v>0</v>
      </c>
      <c r="W972">
        <v>0</v>
      </c>
      <c r="X972" t="s">
        <v>8</v>
      </c>
      <c r="Y972" s="74" t="str">
        <f ca="1">IF(Table15[[#This Row],[Type]]="KILL",IF(_xlfn.NUMBERVALUE(RIGHT(Table15[[#This Row],[Min]],LEN(Table15[[#This Row],[Min]])-FIND("-",Table15[[#This Row],[Min]])))&gt;INDIRECT(ADDRESS(11+MATCH(LEFT(Table15[[#This Row],[Min]],FIND("-",Table15[[#This Row],[Min]])-1),Table1[Content Sku],0),16,1,1,"Entities")),"review","ok"),"ok")</f>
        <v>ok</v>
      </c>
      <c r="AK972" t="s">
        <v>2741</v>
      </c>
      <c r="AL972">
        <v>0</v>
      </c>
      <c r="AM972">
        <v>0</v>
      </c>
      <c r="AN972" t="s">
        <v>8</v>
      </c>
      <c r="AO972" s="74" t="str">
        <f ca="1">IF(Table20[[#This Row],[Type]]="KILL",IF(_xlfn.NUMBERVALUE(RIGHT(Table20[[#This Row],[Min]],LEN(Table20[[#This Row],[Min]])-FIND("-",Table20[[#This Row],[Min]])))&gt;INDIRECT(ADDRESS(11+MATCH(LEFT(Table20[[#This Row],[Min]],FIND("-",Table20[[#This Row],[Min]])-1),Table1[Content Sku],0),18,1,1,"Entities")),"review","ok"),"ok")</f>
        <v>ok</v>
      </c>
    </row>
    <row r="973" spans="5:41" x14ac:dyDescent="0.25">
      <c r="E973" t="s">
        <v>346</v>
      </c>
      <c r="F973">
        <v>28000</v>
      </c>
      <c r="G973">
        <v>0</v>
      </c>
      <c r="H973" t="s">
        <v>205</v>
      </c>
      <c r="I973" s="74" t="str">
        <f ca="1">IF(Table7[[#This Row],[Type]]="KILL",IF(_xlfn.NUMBERVALUE(RIGHT(Table7[[#This Row],[Min]],LEN(Table7[[#This Row],[Min]])-FIND("-",Table7[[#This Row],[Min]])))&gt;INDIRECT(ADDRESS(11+MATCH(LEFT(Table7[[#This Row],[Min]],FIND("-",Table7[[#This Row],[Min]])-1),Table1[Content Sku],0),16,1,1,"Entities")),"review","ok"),"ok")</f>
        <v>ok</v>
      </c>
      <c r="U973" t="s">
        <v>391</v>
      </c>
      <c r="V973">
        <v>0</v>
      </c>
      <c r="W973">
        <v>0</v>
      </c>
      <c r="X973" t="s">
        <v>8</v>
      </c>
      <c r="Y973" s="74" t="str">
        <f ca="1">IF(Table15[[#This Row],[Type]]="KILL",IF(_xlfn.NUMBERVALUE(RIGHT(Table15[[#This Row],[Min]],LEN(Table15[[#This Row],[Min]])-FIND("-",Table15[[#This Row],[Min]])))&gt;INDIRECT(ADDRESS(11+MATCH(LEFT(Table15[[#This Row],[Min]],FIND("-",Table15[[#This Row],[Min]])-1),Table1[Content Sku],0),16,1,1,"Entities")),"review","ok"),"ok")</f>
        <v>ok</v>
      </c>
      <c r="AK973" t="s">
        <v>313</v>
      </c>
      <c r="AL973">
        <v>0</v>
      </c>
      <c r="AM973">
        <v>0</v>
      </c>
      <c r="AN973" t="s">
        <v>8</v>
      </c>
      <c r="AO973" s="74" t="str">
        <f ca="1">IF(Table20[[#This Row],[Type]]="KILL",IF(_xlfn.NUMBERVALUE(RIGHT(Table20[[#This Row],[Min]],LEN(Table20[[#This Row],[Min]])-FIND("-",Table20[[#This Row],[Min]])))&gt;INDIRECT(ADDRESS(11+MATCH(LEFT(Table20[[#This Row],[Min]],FIND("-",Table20[[#This Row],[Min]])-1),Table1[Content Sku],0),18,1,1,"Entities")),"review","ok"),"ok")</f>
        <v>ok</v>
      </c>
    </row>
    <row r="974" spans="5:41" x14ac:dyDescent="0.25">
      <c r="E974" t="s">
        <v>391</v>
      </c>
      <c r="F974">
        <v>0</v>
      </c>
      <c r="G974">
        <v>0</v>
      </c>
      <c r="H974" t="s">
        <v>8</v>
      </c>
      <c r="I974" s="74" t="str">
        <f ca="1">IF(Table7[[#This Row],[Type]]="KILL",IF(_xlfn.NUMBERVALUE(RIGHT(Table7[[#This Row],[Min]],LEN(Table7[[#This Row],[Min]])-FIND("-",Table7[[#This Row],[Min]])))&gt;INDIRECT(ADDRESS(11+MATCH(LEFT(Table7[[#This Row],[Min]],FIND("-",Table7[[#This Row],[Min]])-1),Table1[Content Sku],0),16,1,1,"Entities")),"review","ok"),"ok")</f>
        <v>ok</v>
      </c>
      <c r="U974" t="s">
        <v>273</v>
      </c>
      <c r="V974">
        <v>26000</v>
      </c>
      <c r="W974">
        <v>80000</v>
      </c>
      <c r="X974" t="s">
        <v>205</v>
      </c>
      <c r="Y974" s="74" t="str">
        <f ca="1">IF(Table15[[#This Row],[Type]]="KILL",IF(_xlfn.NUMBERVALUE(RIGHT(Table15[[#This Row],[Min]],LEN(Table15[[#This Row],[Min]])-FIND("-",Table15[[#This Row],[Min]])))&gt;INDIRECT(ADDRESS(11+MATCH(LEFT(Table15[[#This Row],[Min]],FIND("-",Table15[[#This Row],[Min]])-1),Table1[Content Sku],0),16,1,1,"Entities")),"review","ok"),"ok")</f>
        <v>ok</v>
      </c>
      <c r="AK974" t="s">
        <v>2767</v>
      </c>
      <c r="AL974">
        <v>0</v>
      </c>
      <c r="AM974">
        <v>0</v>
      </c>
      <c r="AN974" t="s">
        <v>8</v>
      </c>
      <c r="AO974" s="74" t="str">
        <f ca="1">IF(Table20[[#This Row],[Type]]="KILL",IF(_xlfn.NUMBERVALUE(RIGHT(Table20[[#This Row],[Min]],LEN(Table20[[#This Row],[Min]])-FIND("-",Table20[[#This Row],[Min]])))&gt;INDIRECT(ADDRESS(11+MATCH(LEFT(Table20[[#This Row],[Min]],FIND("-",Table20[[#This Row],[Min]])-1),Table1[Content Sku],0),18,1,1,"Entities")),"review","ok"),"ok")</f>
        <v>ok</v>
      </c>
    </row>
    <row r="975" spans="5:41" x14ac:dyDescent="0.25">
      <c r="E975" t="s">
        <v>123</v>
      </c>
      <c r="F975">
        <v>0</v>
      </c>
      <c r="G975">
        <v>0</v>
      </c>
      <c r="H975" t="s">
        <v>8</v>
      </c>
      <c r="I975" s="74" t="str">
        <f ca="1">IF(Table7[[#This Row],[Type]]="KILL",IF(_xlfn.NUMBERVALUE(RIGHT(Table7[[#This Row],[Min]],LEN(Table7[[#This Row],[Min]])-FIND("-",Table7[[#This Row],[Min]])))&gt;INDIRECT(ADDRESS(11+MATCH(LEFT(Table7[[#This Row],[Min]],FIND("-",Table7[[#This Row],[Min]])-1),Table1[Content Sku],0),16,1,1,"Entities")),"review","ok"),"ok")</f>
        <v>ok</v>
      </c>
      <c r="U975" t="s">
        <v>311</v>
      </c>
      <c r="V975">
        <v>0</v>
      </c>
      <c r="W975">
        <v>0</v>
      </c>
      <c r="X975" t="s">
        <v>8</v>
      </c>
      <c r="Y975" s="74" t="str">
        <f ca="1">IF(Table15[[#This Row],[Type]]="KILL",IF(_xlfn.NUMBERVALUE(RIGHT(Table15[[#This Row],[Min]],LEN(Table15[[#This Row],[Min]])-FIND("-",Table15[[#This Row],[Min]])))&gt;INDIRECT(ADDRESS(11+MATCH(LEFT(Table15[[#This Row],[Min]],FIND("-",Table15[[#This Row],[Min]])-1),Table1[Content Sku],0),16,1,1,"Entities")),"review","ok"),"ok")</f>
        <v>ok</v>
      </c>
      <c r="AK975" t="s">
        <v>41</v>
      </c>
      <c r="AL975">
        <v>66000</v>
      </c>
      <c r="AM975">
        <v>0</v>
      </c>
      <c r="AN975" t="s">
        <v>205</v>
      </c>
      <c r="AO975" s="74" t="str">
        <f ca="1">IF(Table20[[#This Row],[Type]]="KILL",IF(_xlfn.NUMBERVALUE(RIGHT(Table20[[#This Row],[Min]],LEN(Table20[[#This Row],[Min]])-FIND("-",Table20[[#This Row],[Min]])))&gt;INDIRECT(ADDRESS(11+MATCH(LEFT(Table20[[#This Row],[Min]],FIND("-",Table20[[#This Row],[Min]])-1),Table1[Content Sku],0),18,1,1,"Entities")),"review","ok"),"ok")</f>
        <v>ok</v>
      </c>
    </row>
    <row r="976" spans="5:41" x14ac:dyDescent="0.25">
      <c r="E976" t="s">
        <v>289</v>
      </c>
      <c r="F976">
        <v>0</v>
      </c>
      <c r="G976">
        <v>0</v>
      </c>
      <c r="H976" t="s">
        <v>8</v>
      </c>
      <c r="I976" s="74" t="str">
        <f ca="1">IF(Table7[[#This Row],[Type]]="KILL",IF(_xlfn.NUMBERVALUE(RIGHT(Table7[[#This Row],[Min]],LEN(Table7[[#This Row],[Min]])-FIND("-",Table7[[#This Row],[Min]])))&gt;INDIRECT(ADDRESS(11+MATCH(LEFT(Table7[[#This Row],[Min]],FIND("-",Table7[[#This Row],[Min]])-1),Table1[Content Sku],0),16,1,1,"Entities")),"review","ok"),"ok")</f>
        <v>ok</v>
      </c>
      <c r="U976" t="s">
        <v>391</v>
      </c>
      <c r="V976">
        <v>0</v>
      </c>
      <c r="W976">
        <v>45000</v>
      </c>
      <c r="X976" t="s">
        <v>205</v>
      </c>
      <c r="Y976" s="74" t="str">
        <f ca="1">IF(Table15[[#This Row],[Type]]="KILL",IF(_xlfn.NUMBERVALUE(RIGHT(Table15[[#This Row],[Min]],LEN(Table15[[#This Row],[Min]])-FIND("-",Table15[[#This Row],[Min]])))&gt;INDIRECT(ADDRESS(11+MATCH(LEFT(Table15[[#This Row],[Min]],FIND("-",Table15[[#This Row],[Min]])-1),Table1[Content Sku],0),16,1,1,"Entities")),"review","ok"),"ok")</f>
        <v>ok</v>
      </c>
      <c r="AK976" t="s">
        <v>2668</v>
      </c>
      <c r="AL976" t="s">
        <v>5013</v>
      </c>
      <c r="AM976" t="s">
        <v>4467</v>
      </c>
      <c r="AN976" t="s">
        <v>4468</v>
      </c>
      <c r="AO976" s="74" t="str">
        <f ca="1">IF(Table20[[#This Row],[Type]]="KILL",IF(_xlfn.NUMBERVALUE(RIGHT(Table20[[#This Row],[Min]],LEN(Table20[[#This Row],[Min]])-FIND("-",Table20[[#This Row],[Min]])))&gt;INDIRECT(ADDRESS(11+MATCH(LEFT(Table20[[#This Row],[Min]],FIND("-",Table20[[#This Row],[Min]])-1),Table1[Content Sku],0),18,1,1,"Entities")),"review","ok"),"ok")</f>
        <v>ok</v>
      </c>
    </row>
    <row r="977" spans="5:41" x14ac:dyDescent="0.25">
      <c r="E977" t="s">
        <v>311</v>
      </c>
      <c r="F977">
        <v>0</v>
      </c>
      <c r="G977">
        <v>0</v>
      </c>
      <c r="H977" t="s">
        <v>8</v>
      </c>
      <c r="I977" s="74" t="str">
        <f ca="1">IF(Table7[[#This Row],[Type]]="KILL",IF(_xlfn.NUMBERVALUE(RIGHT(Table7[[#This Row],[Min]],LEN(Table7[[#This Row],[Min]])-FIND("-",Table7[[#This Row],[Min]])))&gt;INDIRECT(ADDRESS(11+MATCH(LEFT(Table7[[#This Row],[Min]],FIND("-",Table7[[#This Row],[Min]])-1),Table1[Content Sku],0),16,1,1,"Entities")),"review","ok"),"ok")</f>
        <v>ok</v>
      </c>
      <c r="U977" t="s">
        <v>460</v>
      </c>
      <c r="V977">
        <v>0</v>
      </c>
      <c r="W977">
        <v>0</v>
      </c>
      <c r="X977" t="s">
        <v>8</v>
      </c>
      <c r="Y977" s="74" t="str">
        <f ca="1">IF(Table15[[#This Row],[Type]]="KILL",IF(_xlfn.NUMBERVALUE(RIGHT(Table15[[#This Row],[Min]],LEN(Table15[[#This Row],[Min]])-FIND("-",Table15[[#This Row],[Min]])))&gt;INDIRECT(ADDRESS(11+MATCH(LEFT(Table15[[#This Row],[Min]],FIND("-",Table15[[#This Row],[Min]])-1),Table1[Content Sku],0),16,1,1,"Entities")),"review","ok"),"ok")</f>
        <v>ok</v>
      </c>
      <c r="AK977" t="s">
        <v>2662</v>
      </c>
      <c r="AL977" t="s">
        <v>4467</v>
      </c>
      <c r="AM977" t="s">
        <v>4477</v>
      </c>
      <c r="AN977" t="s">
        <v>4468</v>
      </c>
      <c r="AO977" s="74" t="e">
        <f ca="1">IF(Table20[[#This Row],[Type]]="KILL",IF(_xlfn.NUMBERVALUE(RIGHT(Table20[[#This Row],[Min]],LEN(Table20[[#This Row],[Min]])-FIND("-",Table20[[#This Row],[Min]])))&gt;INDIRECT(ADDRESS(11+MATCH(LEFT(Table20[[#This Row],[Min]],FIND("-",Table20[[#This Row],[Min]])-1),Table1[Content Sku],0),18,1,1,"Entities")),"review","ok"),"ok")</f>
        <v>#N/A</v>
      </c>
    </row>
    <row r="978" spans="5:41" x14ac:dyDescent="0.25">
      <c r="E978" t="s">
        <v>313</v>
      </c>
      <c r="F978">
        <v>0</v>
      </c>
      <c r="G978">
        <v>17000</v>
      </c>
      <c r="H978" t="s">
        <v>205</v>
      </c>
      <c r="I978" s="74" t="str">
        <f ca="1">IF(Table7[[#This Row],[Type]]="KILL",IF(_xlfn.NUMBERVALUE(RIGHT(Table7[[#This Row],[Min]],LEN(Table7[[#This Row],[Min]])-FIND("-",Table7[[#This Row],[Min]])))&gt;INDIRECT(ADDRESS(11+MATCH(LEFT(Table7[[#This Row],[Min]],FIND("-",Table7[[#This Row],[Min]])-1),Table1[Content Sku],0),16,1,1,"Entities")),"review","ok"),"ok")</f>
        <v>ok</v>
      </c>
      <c r="U978" t="s">
        <v>278</v>
      </c>
      <c r="V978">
        <v>26000</v>
      </c>
      <c r="W978">
        <v>0</v>
      </c>
      <c r="X978" t="s">
        <v>205</v>
      </c>
      <c r="Y978" s="74" t="str">
        <f ca="1">IF(Table15[[#This Row],[Type]]="KILL",IF(_xlfn.NUMBERVALUE(RIGHT(Table15[[#This Row],[Min]],LEN(Table15[[#This Row],[Min]])-FIND("-",Table15[[#This Row],[Min]])))&gt;INDIRECT(ADDRESS(11+MATCH(LEFT(Table15[[#This Row],[Min]],FIND("-",Table15[[#This Row],[Min]])-1),Table1[Content Sku],0),16,1,1,"Entities")),"review","ok"),"ok")</f>
        <v>ok</v>
      </c>
      <c r="AK978" t="s">
        <v>2743</v>
      </c>
      <c r="AL978">
        <v>31000</v>
      </c>
      <c r="AM978">
        <v>0</v>
      </c>
      <c r="AN978" t="s">
        <v>205</v>
      </c>
      <c r="AO978" s="74" t="str">
        <f ca="1">IF(Table20[[#This Row],[Type]]="KILL",IF(_xlfn.NUMBERVALUE(RIGHT(Table20[[#This Row],[Min]],LEN(Table20[[#This Row],[Min]])-FIND("-",Table20[[#This Row],[Min]])))&gt;INDIRECT(ADDRESS(11+MATCH(LEFT(Table20[[#This Row],[Min]],FIND("-",Table20[[#This Row],[Min]])-1),Table1[Content Sku],0),18,1,1,"Entities")),"review","ok"),"ok")</f>
        <v>ok</v>
      </c>
    </row>
    <row r="979" spans="5:41" x14ac:dyDescent="0.25">
      <c r="E979" t="s">
        <v>311</v>
      </c>
      <c r="F979">
        <v>0</v>
      </c>
      <c r="G979">
        <v>0</v>
      </c>
      <c r="H979" t="s">
        <v>8</v>
      </c>
      <c r="I979" s="74" t="str">
        <f ca="1">IF(Table7[[#This Row],[Type]]="KILL",IF(_xlfn.NUMBERVALUE(RIGHT(Table7[[#This Row],[Min]],LEN(Table7[[#This Row],[Min]])-FIND("-",Table7[[#This Row],[Min]])))&gt;INDIRECT(ADDRESS(11+MATCH(LEFT(Table7[[#This Row],[Min]],FIND("-",Table7[[#This Row],[Min]])-1),Table1[Content Sku],0),16,1,1,"Entities")),"review","ok"),"ok")</f>
        <v>ok</v>
      </c>
      <c r="U979" t="s">
        <v>313</v>
      </c>
      <c r="V979">
        <v>0</v>
      </c>
      <c r="W979">
        <v>0</v>
      </c>
      <c r="X979" t="s">
        <v>8</v>
      </c>
      <c r="Y979" s="74" t="str">
        <f ca="1">IF(Table15[[#This Row],[Type]]="KILL",IF(_xlfn.NUMBERVALUE(RIGHT(Table15[[#This Row],[Min]],LEN(Table15[[#This Row],[Min]])-FIND("-",Table15[[#This Row],[Min]])))&gt;INDIRECT(ADDRESS(11+MATCH(LEFT(Table15[[#This Row],[Min]],FIND("-",Table15[[#This Row],[Min]])-1),Table1[Content Sku],0),16,1,1,"Entities")),"review","ok"),"ok")</f>
        <v>ok</v>
      </c>
      <c r="AK979" t="s">
        <v>2736</v>
      </c>
      <c r="AL979">
        <v>0</v>
      </c>
      <c r="AM979">
        <v>0</v>
      </c>
      <c r="AN979" t="s">
        <v>8</v>
      </c>
      <c r="AO979" s="74" t="str">
        <f ca="1">IF(Table20[[#This Row],[Type]]="KILL",IF(_xlfn.NUMBERVALUE(RIGHT(Table20[[#This Row],[Min]],LEN(Table20[[#This Row],[Min]])-FIND("-",Table20[[#This Row],[Min]])))&gt;INDIRECT(ADDRESS(11+MATCH(LEFT(Table20[[#This Row],[Min]],FIND("-",Table20[[#This Row],[Min]])-1),Table1[Content Sku],0),18,1,1,"Entities")),"review","ok"),"ok")</f>
        <v>ok</v>
      </c>
    </row>
    <row r="980" spans="5:41" x14ac:dyDescent="0.25">
      <c r="E980" t="s">
        <v>257</v>
      </c>
      <c r="F980">
        <v>0</v>
      </c>
      <c r="G980">
        <v>0</v>
      </c>
      <c r="H980" t="s">
        <v>8</v>
      </c>
      <c r="I980" s="74" t="str">
        <f ca="1">IF(Table7[[#This Row],[Type]]="KILL",IF(_xlfn.NUMBERVALUE(RIGHT(Table7[[#This Row],[Min]],LEN(Table7[[#This Row],[Min]])-FIND("-",Table7[[#This Row],[Min]])))&gt;INDIRECT(ADDRESS(11+MATCH(LEFT(Table7[[#This Row],[Min]],FIND("-",Table7[[#This Row],[Min]])-1),Table1[Content Sku],0),16,1,1,"Entities")),"review","ok"),"ok")</f>
        <v>ok</v>
      </c>
      <c r="U980" t="s">
        <v>1</v>
      </c>
      <c r="V980">
        <v>20000</v>
      </c>
      <c r="W980">
        <v>0</v>
      </c>
      <c r="X980" t="s">
        <v>205</v>
      </c>
      <c r="Y980" s="74" t="str">
        <f ca="1">IF(Table15[[#This Row],[Type]]="KILL",IF(_xlfn.NUMBERVALUE(RIGHT(Table15[[#This Row],[Min]],LEN(Table15[[#This Row],[Min]])-FIND("-",Table15[[#This Row],[Min]])))&gt;INDIRECT(ADDRESS(11+MATCH(LEFT(Table15[[#This Row],[Min]],FIND("-",Table15[[#This Row],[Min]])-1),Table1[Content Sku],0),16,1,1,"Entities")),"review","ok"),"ok")</f>
        <v>ok</v>
      </c>
      <c r="AK980" t="s">
        <v>2741</v>
      </c>
      <c r="AL980">
        <v>0</v>
      </c>
      <c r="AM980">
        <v>0</v>
      </c>
      <c r="AN980" t="s">
        <v>8</v>
      </c>
      <c r="AO980" s="74" t="str">
        <f ca="1">IF(Table20[[#This Row],[Type]]="KILL",IF(_xlfn.NUMBERVALUE(RIGHT(Table20[[#This Row],[Min]],LEN(Table20[[#This Row],[Min]])-FIND("-",Table20[[#This Row],[Min]])))&gt;INDIRECT(ADDRESS(11+MATCH(LEFT(Table20[[#This Row],[Min]],FIND("-",Table20[[#This Row],[Min]])-1),Table1[Content Sku],0),18,1,1,"Entities")),"review","ok"),"ok")</f>
        <v>ok</v>
      </c>
    </row>
    <row r="981" spans="5:41" x14ac:dyDescent="0.25">
      <c r="E981" t="s">
        <v>393</v>
      </c>
      <c r="F981">
        <v>0</v>
      </c>
      <c r="G981">
        <v>0</v>
      </c>
      <c r="H981" t="s">
        <v>8</v>
      </c>
      <c r="I981" s="74" t="str">
        <f ca="1">IF(Table7[[#This Row],[Type]]="KILL",IF(_xlfn.NUMBERVALUE(RIGHT(Table7[[#This Row],[Min]],LEN(Table7[[#This Row],[Min]])-FIND("-",Table7[[#This Row],[Min]])))&gt;INDIRECT(ADDRESS(11+MATCH(LEFT(Table7[[#This Row],[Min]],FIND("-",Table7[[#This Row],[Min]])-1),Table1[Content Sku],0),16,1,1,"Entities")),"review","ok"),"ok")</f>
        <v>ok</v>
      </c>
      <c r="U981" t="s">
        <v>313</v>
      </c>
      <c r="V981">
        <v>0</v>
      </c>
      <c r="W981">
        <v>0</v>
      </c>
      <c r="X981" t="s">
        <v>8</v>
      </c>
      <c r="Y981" s="74" t="str">
        <f ca="1">IF(Table15[[#This Row],[Type]]="KILL",IF(_xlfn.NUMBERVALUE(RIGHT(Table15[[#This Row],[Min]],LEN(Table15[[#This Row],[Min]])-FIND("-",Table15[[#This Row],[Min]])))&gt;INDIRECT(ADDRESS(11+MATCH(LEFT(Table15[[#This Row],[Min]],FIND("-",Table15[[#This Row],[Min]])-1),Table1[Content Sku],0),16,1,1,"Entities")),"review","ok"),"ok")</f>
        <v>ok</v>
      </c>
      <c r="AK981" t="s">
        <v>2738</v>
      </c>
      <c r="AL981">
        <v>0</v>
      </c>
      <c r="AM981">
        <v>0</v>
      </c>
      <c r="AN981" t="s">
        <v>8</v>
      </c>
      <c r="AO981" s="74" t="str">
        <f ca="1">IF(Table20[[#This Row],[Type]]="KILL",IF(_xlfn.NUMBERVALUE(RIGHT(Table20[[#This Row],[Min]],LEN(Table20[[#This Row],[Min]])-FIND("-",Table20[[#This Row],[Min]])))&gt;INDIRECT(ADDRESS(11+MATCH(LEFT(Table20[[#This Row],[Min]],FIND("-",Table20[[#This Row],[Min]])-1),Table1[Content Sku],0),18,1,1,"Entities")),"review","ok"),"ok")</f>
        <v>ok</v>
      </c>
    </row>
    <row r="982" spans="5:41" x14ac:dyDescent="0.25">
      <c r="E982" t="s">
        <v>313</v>
      </c>
      <c r="F982">
        <v>0</v>
      </c>
      <c r="G982">
        <v>0</v>
      </c>
      <c r="H982" t="s">
        <v>8</v>
      </c>
      <c r="I982" s="74" t="str">
        <f ca="1">IF(Table7[[#This Row],[Type]]="KILL",IF(_xlfn.NUMBERVALUE(RIGHT(Table7[[#This Row],[Min]],LEN(Table7[[#This Row],[Min]])-FIND("-",Table7[[#This Row],[Min]])))&gt;INDIRECT(ADDRESS(11+MATCH(LEFT(Table7[[#This Row],[Min]],FIND("-",Table7[[#This Row],[Min]])-1),Table1[Content Sku],0),16,1,1,"Entities")),"review","ok"),"ok")</f>
        <v>ok</v>
      </c>
      <c r="U982" t="s">
        <v>391</v>
      </c>
      <c r="V982">
        <v>22000</v>
      </c>
      <c r="W982">
        <v>0</v>
      </c>
      <c r="X982" t="s">
        <v>205</v>
      </c>
      <c r="Y982" s="74" t="str">
        <f ca="1">IF(Table15[[#This Row],[Type]]="KILL",IF(_xlfn.NUMBERVALUE(RIGHT(Table15[[#This Row],[Min]],LEN(Table15[[#This Row],[Min]])-FIND("-",Table15[[#This Row],[Min]])))&gt;INDIRECT(ADDRESS(11+MATCH(LEFT(Table15[[#This Row],[Min]],FIND("-",Table15[[#This Row],[Min]])-1),Table1[Content Sku],0),16,1,1,"Entities")),"review","ok"),"ok")</f>
        <v>ok</v>
      </c>
      <c r="AK982" t="s">
        <v>122</v>
      </c>
      <c r="AL982">
        <v>0</v>
      </c>
      <c r="AM982">
        <v>0</v>
      </c>
      <c r="AN982" t="s">
        <v>8</v>
      </c>
      <c r="AO982" s="74" t="str">
        <f ca="1">IF(Table20[[#This Row],[Type]]="KILL",IF(_xlfn.NUMBERVALUE(RIGHT(Table20[[#This Row],[Min]],LEN(Table20[[#This Row],[Min]])-FIND("-",Table20[[#This Row],[Min]])))&gt;INDIRECT(ADDRESS(11+MATCH(LEFT(Table20[[#This Row],[Min]],FIND("-",Table20[[#This Row],[Min]])-1),Table1[Content Sku],0),18,1,1,"Entities")),"review","ok"),"ok")</f>
        <v>ok</v>
      </c>
    </row>
    <row r="983" spans="5:41" x14ac:dyDescent="0.25">
      <c r="E983" t="s">
        <v>311</v>
      </c>
      <c r="F983">
        <v>0</v>
      </c>
      <c r="G983">
        <v>0</v>
      </c>
      <c r="H983" t="s">
        <v>8</v>
      </c>
      <c r="I983" s="74" t="str">
        <f ca="1">IF(Table7[[#This Row],[Type]]="KILL",IF(_xlfn.NUMBERVALUE(RIGHT(Table7[[#This Row],[Min]],LEN(Table7[[#This Row],[Min]])-FIND("-",Table7[[#This Row],[Min]])))&gt;INDIRECT(ADDRESS(11+MATCH(LEFT(Table7[[#This Row],[Min]],FIND("-",Table7[[#This Row],[Min]])-1),Table1[Content Sku],0),16,1,1,"Entities")),"review","ok"),"ok")</f>
        <v>ok</v>
      </c>
      <c r="U983" t="s">
        <v>1</v>
      </c>
      <c r="V983">
        <v>22000</v>
      </c>
      <c r="W983">
        <v>0</v>
      </c>
      <c r="X983" t="s">
        <v>205</v>
      </c>
      <c r="Y983" s="74" t="str">
        <f ca="1">IF(Table15[[#This Row],[Type]]="KILL",IF(_xlfn.NUMBERVALUE(RIGHT(Table15[[#This Row],[Min]],LEN(Table15[[#This Row],[Min]])-FIND("-",Table15[[#This Row],[Min]])))&gt;INDIRECT(ADDRESS(11+MATCH(LEFT(Table15[[#This Row],[Min]],FIND("-",Table15[[#This Row],[Min]])-1),Table1[Content Sku],0),16,1,1,"Entities")),"review","ok"),"ok")</f>
        <v>ok</v>
      </c>
      <c r="AK983" t="s">
        <v>39</v>
      </c>
      <c r="AL983">
        <v>0</v>
      </c>
      <c r="AM983">
        <v>58000</v>
      </c>
      <c r="AN983" t="s">
        <v>205</v>
      </c>
      <c r="AO983" s="74" t="str">
        <f ca="1">IF(Table20[[#This Row],[Type]]="KILL",IF(_xlfn.NUMBERVALUE(RIGHT(Table20[[#This Row],[Min]],LEN(Table20[[#This Row],[Min]])-FIND("-",Table20[[#This Row],[Min]])))&gt;INDIRECT(ADDRESS(11+MATCH(LEFT(Table20[[#This Row],[Min]],FIND("-",Table20[[#This Row],[Min]])-1),Table1[Content Sku],0),18,1,1,"Entities")),"review","ok"),"ok")</f>
        <v>ok</v>
      </c>
    </row>
    <row r="984" spans="5:41" x14ac:dyDescent="0.25">
      <c r="E984" t="s">
        <v>545</v>
      </c>
      <c r="F984">
        <v>0</v>
      </c>
      <c r="G984">
        <v>0</v>
      </c>
      <c r="H984" t="s">
        <v>8</v>
      </c>
      <c r="I984" s="74" t="str">
        <f ca="1">IF(Table7[[#This Row],[Type]]="KILL",IF(_xlfn.NUMBERVALUE(RIGHT(Table7[[#This Row],[Min]],LEN(Table7[[#This Row],[Min]])-FIND("-",Table7[[#This Row],[Min]])))&gt;INDIRECT(ADDRESS(11+MATCH(LEFT(Table7[[#This Row],[Min]],FIND("-",Table7[[#This Row],[Min]])-1),Table1[Content Sku],0),16,1,1,"Entities")),"review","ok"),"ok")</f>
        <v>ok</v>
      </c>
      <c r="U984" t="s">
        <v>122</v>
      </c>
      <c r="V984">
        <v>29000</v>
      </c>
      <c r="W984">
        <v>0</v>
      </c>
      <c r="X984" t="s">
        <v>205</v>
      </c>
      <c r="Y984" s="74" t="str">
        <f ca="1">IF(Table15[[#This Row],[Type]]="KILL",IF(_xlfn.NUMBERVALUE(RIGHT(Table15[[#This Row],[Min]],LEN(Table15[[#This Row],[Min]])-FIND("-",Table15[[#This Row],[Min]])))&gt;INDIRECT(ADDRESS(11+MATCH(LEFT(Table15[[#This Row],[Min]],FIND("-",Table15[[#This Row],[Min]])-1),Table1[Content Sku],0),16,1,1,"Entities")),"review","ok"),"ok")</f>
        <v>ok</v>
      </c>
      <c r="AK984" t="s">
        <v>2667</v>
      </c>
      <c r="AL984">
        <v>0</v>
      </c>
      <c r="AM984">
        <v>0</v>
      </c>
      <c r="AN984" t="s">
        <v>8</v>
      </c>
      <c r="AO984" s="74" t="str">
        <f ca="1">IF(Table20[[#This Row],[Type]]="KILL",IF(_xlfn.NUMBERVALUE(RIGHT(Table20[[#This Row],[Min]],LEN(Table20[[#This Row],[Min]])-FIND("-",Table20[[#This Row],[Min]])))&gt;INDIRECT(ADDRESS(11+MATCH(LEFT(Table20[[#This Row],[Min]],FIND("-",Table20[[#This Row],[Min]])-1),Table1[Content Sku],0),18,1,1,"Entities")),"review","ok"),"ok")</f>
        <v>ok</v>
      </c>
    </row>
    <row r="985" spans="5:41" x14ac:dyDescent="0.25">
      <c r="E985" t="s">
        <v>21</v>
      </c>
      <c r="F985">
        <v>0</v>
      </c>
      <c r="G985">
        <v>0</v>
      </c>
      <c r="H985" t="s">
        <v>8</v>
      </c>
      <c r="I985" s="74" t="str">
        <f ca="1">IF(Table7[[#This Row],[Type]]="KILL",IF(_xlfn.NUMBERVALUE(RIGHT(Table7[[#This Row],[Min]],LEN(Table7[[#This Row],[Min]])-FIND("-",Table7[[#This Row],[Min]])))&gt;INDIRECT(ADDRESS(11+MATCH(LEFT(Table7[[#This Row],[Min]],FIND("-",Table7[[#This Row],[Min]])-1),Table1[Content Sku],0),16,1,1,"Entities")),"review","ok"),"ok")</f>
        <v>ok</v>
      </c>
      <c r="U985" t="s">
        <v>311</v>
      </c>
      <c r="V985">
        <v>22000</v>
      </c>
      <c r="W985">
        <v>0</v>
      </c>
      <c r="X985" t="s">
        <v>205</v>
      </c>
      <c r="Y985" s="74" t="str">
        <f ca="1">IF(Table15[[#This Row],[Type]]="KILL",IF(_xlfn.NUMBERVALUE(RIGHT(Table15[[#This Row],[Min]],LEN(Table15[[#This Row],[Min]])-FIND("-",Table15[[#This Row],[Min]])))&gt;INDIRECT(ADDRESS(11+MATCH(LEFT(Table15[[#This Row],[Min]],FIND("-",Table15[[#This Row],[Min]])-1),Table1[Content Sku],0),16,1,1,"Entities")),"review","ok"),"ok")</f>
        <v>ok</v>
      </c>
      <c r="AK985" t="s">
        <v>2767</v>
      </c>
      <c r="AL985">
        <v>0</v>
      </c>
      <c r="AM985">
        <v>0</v>
      </c>
      <c r="AN985" t="s">
        <v>8</v>
      </c>
      <c r="AO985" s="74" t="str">
        <f ca="1">IF(Table20[[#This Row],[Type]]="KILL",IF(_xlfn.NUMBERVALUE(RIGHT(Table20[[#This Row],[Min]],LEN(Table20[[#This Row],[Min]])-FIND("-",Table20[[#This Row],[Min]])))&gt;INDIRECT(ADDRESS(11+MATCH(LEFT(Table20[[#This Row],[Min]],FIND("-",Table20[[#This Row],[Min]])-1),Table1[Content Sku],0),18,1,1,"Entities")),"review","ok"),"ok")</f>
        <v>ok</v>
      </c>
    </row>
    <row r="986" spans="5:41" x14ac:dyDescent="0.25">
      <c r="E986" t="s">
        <v>17</v>
      </c>
      <c r="F986">
        <v>0</v>
      </c>
      <c r="G986">
        <v>0</v>
      </c>
      <c r="H986" t="s">
        <v>8</v>
      </c>
      <c r="I986" s="74" t="str">
        <f ca="1">IF(Table7[[#This Row],[Type]]="KILL",IF(_xlfn.NUMBERVALUE(RIGHT(Table7[[#This Row],[Min]],LEN(Table7[[#This Row],[Min]])-FIND("-",Table7[[#This Row],[Min]])))&gt;INDIRECT(ADDRESS(11+MATCH(LEFT(Table7[[#This Row],[Min]],FIND("-",Table7[[#This Row],[Min]])-1),Table1[Content Sku],0),16,1,1,"Entities")),"review","ok"),"ok")</f>
        <v>ok</v>
      </c>
      <c r="U986" t="s">
        <v>293</v>
      </c>
      <c r="V986">
        <v>0</v>
      </c>
      <c r="W986">
        <v>0</v>
      </c>
      <c r="X986" t="s">
        <v>8</v>
      </c>
      <c r="Y986" s="74" t="str">
        <f ca="1">IF(Table15[[#This Row],[Type]]="KILL",IF(_xlfn.NUMBERVALUE(RIGHT(Table15[[#This Row],[Min]],LEN(Table15[[#This Row],[Min]])-FIND("-",Table15[[#This Row],[Min]])))&gt;INDIRECT(ADDRESS(11+MATCH(LEFT(Table15[[#This Row],[Min]],FIND("-",Table15[[#This Row],[Min]])-1),Table1[Content Sku],0),16,1,1,"Entities")),"review","ok"),"ok")</f>
        <v>ok</v>
      </c>
      <c r="AK986" t="s">
        <v>400</v>
      </c>
      <c r="AL986">
        <v>0</v>
      </c>
      <c r="AM986">
        <v>0</v>
      </c>
      <c r="AN986" t="s">
        <v>8</v>
      </c>
      <c r="AO986" s="74" t="str">
        <f ca="1">IF(Table20[[#This Row],[Type]]="KILL",IF(_xlfn.NUMBERVALUE(RIGHT(Table20[[#This Row],[Min]],LEN(Table20[[#This Row],[Min]])-FIND("-",Table20[[#This Row],[Min]])))&gt;INDIRECT(ADDRESS(11+MATCH(LEFT(Table20[[#This Row],[Min]],FIND("-",Table20[[#This Row],[Min]])-1),Table1[Content Sku],0),18,1,1,"Entities")),"review","ok"),"ok")</f>
        <v>ok</v>
      </c>
    </row>
    <row r="987" spans="5:41" x14ac:dyDescent="0.25">
      <c r="E987" t="s">
        <v>90</v>
      </c>
      <c r="F987">
        <v>0</v>
      </c>
      <c r="G987">
        <v>14000</v>
      </c>
      <c r="H987" t="s">
        <v>205</v>
      </c>
      <c r="I987" s="74" t="str">
        <f ca="1">IF(Table7[[#This Row],[Type]]="KILL",IF(_xlfn.NUMBERVALUE(RIGHT(Table7[[#This Row],[Min]],LEN(Table7[[#This Row],[Min]])-FIND("-",Table7[[#This Row],[Min]])))&gt;INDIRECT(ADDRESS(11+MATCH(LEFT(Table7[[#This Row],[Min]],FIND("-",Table7[[#This Row],[Min]])-1),Table1[Content Sku],0),16,1,1,"Entities")),"review","ok"),"ok")</f>
        <v>ok</v>
      </c>
      <c r="U987" t="s">
        <v>392</v>
      </c>
      <c r="V987">
        <v>30000</v>
      </c>
      <c r="W987">
        <v>0</v>
      </c>
      <c r="X987" t="s">
        <v>205</v>
      </c>
      <c r="Y987" s="74" t="str">
        <f ca="1">IF(Table15[[#This Row],[Type]]="KILL",IF(_xlfn.NUMBERVALUE(RIGHT(Table15[[#This Row],[Min]],LEN(Table15[[#This Row],[Min]])-FIND("-",Table15[[#This Row],[Min]])))&gt;INDIRECT(ADDRESS(11+MATCH(LEFT(Table15[[#This Row],[Min]],FIND("-",Table15[[#This Row],[Min]])-1),Table1[Content Sku],0),16,1,1,"Entities")),"review","ok"),"ok")</f>
        <v>ok</v>
      </c>
      <c r="AK987" t="s">
        <v>398</v>
      </c>
      <c r="AL987">
        <v>0</v>
      </c>
      <c r="AM987">
        <v>0</v>
      </c>
      <c r="AN987" t="s">
        <v>8</v>
      </c>
      <c r="AO987" s="74" t="str">
        <f ca="1">IF(Table20[[#This Row],[Type]]="KILL",IF(_xlfn.NUMBERVALUE(RIGHT(Table20[[#This Row],[Min]],LEN(Table20[[#This Row],[Min]])-FIND("-",Table20[[#This Row],[Min]])))&gt;INDIRECT(ADDRESS(11+MATCH(LEFT(Table20[[#This Row],[Min]],FIND("-",Table20[[#This Row],[Min]])-1),Table1[Content Sku],0),18,1,1,"Entities")),"review","ok"),"ok")</f>
        <v>ok</v>
      </c>
    </row>
    <row r="988" spans="5:41" x14ac:dyDescent="0.25">
      <c r="E988" t="s">
        <v>393</v>
      </c>
      <c r="F988">
        <v>0</v>
      </c>
      <c r="G988">
        <v>0</v>
      </c>
      <c r="H988" t="s">
        <v>8</v>
      </c>
      <c r="I988" s="74" t="str">
        <f ca="1">IF(Table7[[#This Row],[Type]]="KILL",IF(_xlfn.NUMBERVALUE(RIGHT(Table7[[#This Row],[Min]],LEN(Table7[[#This Row],[Min]])-FIND("-",Table7[[#This Row],[Min]])))&gt;INDIRECT(ADDRESS(11+MATCH(LEFT(Table7[[#This Row],[Min]],FIND("-",Table7[[#This Row],[Min]])-1),Table1[Content Sku],0),16,1,1,"Entities")),"review","ok"),"ok")</f>
        <v>ok</v>
      </c>
      <c r="U988" t="s">
        <v>313</v>
      </c>
      <c r="V988">
        <v>21000</v>
      </c>
      <c r="W988">
        <v>0</v>
      </c>
      <c r="X988" t="s">
        <v>205</v>
      </c>
      <c r="Y988" s="74" t="str">
        <f ca="1">IF(Table15[[#This Row],[Type]]="KILL",IF(_xlfn.NUMBERVALUE(RIGHT(Table15[[#This Row],[Min]],LEN(Table15[[#This Row],[Min]])-FIND("-",Table15[[#This Row],[Min]])))&gt;INDIRECT(ADDRESS(11+MATCH(LEFT(Table15[[#This Row],[Min]],FIND("-",Table15[[#This Row],[Min]])-1),Table1[Content Sku],0),16,1,1,"Entities")),"review","ok"),"ok")</f>
        <v>ok</v>
      </c>
      <c r="AK988" t="s">
        <v>4428</v>
      </c>
      <c r="AL988">
        <v>0</v>
      </c>
      <c r="AM988">
        <v>0</v>
      </c>
      <c r="AN988" t="s">
        <v>8</v>
      </c>
      <c r="AO988" s="74" t="str">
        <f ca="1">IF(Table20[[#This Row],[Type]]="KILL",IF(_xlfn.NUMBERVALUE(RIGHT(Table20[[#This Row],[Min]],LEN(Table20[[#This Row],[Min]])-FIND("-",Table20[[#This Row],[Min]])))&gt;INDIRECT(ADDRESS(11+MATCH(LEFT(Table20[[#This Row],[Min]],FIND("-",Table20[[#This Row],[Min]])-1),Table1[Content Sku],0),18,1,1,"Entities")),"review","ok"),"ok")</f>
        <v>ok</v>
      </c>
    </row>
    <row r="989" spans="5:41" x14ac:dyDescent="0.25">
      <c r="E989" t="s">
        <v>253</v>
      </c>
      <c r="F989">
        <v>0</v>
      </c>
      <c r="G989">
        <v>20000</v>
      </c>
      <c r="H989" t="s">
        <v>205</v>
      </c>
      <c r="I989" s="74" t="str">
        <f ca="1">IF(Table7[[#This Row],[Type]]="KILL",IF(_xlfn.NUMBERVALUE(RIGHT(Table7[[#This Row],[Min]],LEN(Table7[[#This Row],[Min]])-FIND("-",Table7[[#This Row],[Min]])))&gt;INDIRECT(ADDRESS(11+MATCH(LEFT(Table7[[#This Row],[Min]],FIND("-",Table7[[#This Row],[Min]])-1),Table1[Content Sku],0),16,1,1,"Entities")),"review","ok"),"ok")</f>
        <v>ok</v>
      </c>
      <c r="U989" t="s">
        <v>278</v>
      </c>
      <c r="V989">
        <v>30000</v>
      </c>
      <c r="W989">
        <v>0</v>
      </c>
      <c r="X989" t="s">
        <v>205</v>
      </c>
      <c r="Y989" s="74" t="str">
        <f ca="1">IF(Table15[[#This Row],[Type]]="KILL",IF(_xlfn.NUMBERVALUE(RIGHT(Table15[[#This Row],[Min]],LEN(Table15[[#This Row],[Min]])-FIND("-",Table15[[#This Row],[Min]])))&gt;INDIRECT(ADDRESS(11+MATCH(LEFT(Table15[[#This Row],[Min]],FIND("-",Table15[[#This Row],[Min]])-1),Table1[Content Sku],0),16,1,1,"Entities")),"review","ok"),"ok")</f>
        <v>ok</v>
      </c>
      <c r="AK989" t="s">
        <v>396</v>
      </c>
      <c r="AL989">
        <v>42000</v>
      </c>
      <c r="AM989">
        <v>0</v>
      </c>
      <c r="AN989" t="s">
        <v>205</v>
      </c>
      <c r="AO989" s="74" t="str">
        <f ca="1">IF(Table20[[#This Row],[Type]]="KILL",IF(_xlfn.NUMBERVALUE(RIGHT(Table20[[#This Row],[Min]],LEN(Table20[[#This Row],[Min]])-FIND("-",Table20[[#This Row],[Min]])))&gt;INDIRECT(ADDRESS(11+MATCH(LEFT(Table20[[#This Row],[Min]],FIND("-",Table20[[#This Row],[Min]])-1),Table1[Content Sku],0),18,1,1,"Entities")),"review","ok"),"ok")</f>
        <v>ok</v>
      </c>
    </row>
    <row r="990" spans="5:41" x14ac:dyDescent="0.25">
      <c r="E990" t="s">
        <v>123</v>
      </c>
      <c r="F990">
        <v>0</v>
      </c>
      <c r="G990">
        <v>0</v>
      </c>
      <c r="H990" t="s">
        <v>8</v>
      </c>
      <c r="I990" s="74" t="str">
        <f ca="1">IF(Table7[[#This Row],[Type]]="KILL",IF(_xlfn.NUMBERVALUE(RIGHT(Table7[[#This Row],[Min]],LEN(Table7[[#This Row],[Min]])-FIND("-",Table7[[#This Row],[Min]])))&gt;INDIRECT(ADDRESS(11+MATCH(LEFT(Table7[[#This Row],[Min]],FIND("-",Table7[[#This Row],[Min]])-1),Table1[Content Sku],0),16,1,1,"Entities")),"review","ok"),"ok")</f>
        <v>ok</v>
      </c>
      <c r="U990" t="s">
        <v>391</v>
      </c>
      <c r="V990">
        <v>21000</v>
      </c>
      <c r="W990">
        <v>0</v>
      </c>
      <c r="X990" t="s">
        <v>205</v>
      </c>
      <c r="Y990" s="74" t="str">
        <f ca="1">IF(Table15[[#This Row],[Type]]="KILL",IF(_xlfn.NUMBERVALUE(RIGHT(Table15[[#This Row],[Min]],LEN(Table15[[#This Row],[Min]])-FIND("-",Table15[[#This Row],[Min]])))&gt;INDIRECT(ADDRESS(11+MATCH(LEFT(Table15[[#This Row],[Min]],FIND("-",Table15[[#This Row],[Min]])-1),Table1[Content Sku],0),16,1,1,"Entities")),"review","ok"),"ok")</f>
        <v>ok</v>
      </c>
      <c r="AK990" t="s">
        <v>2741</v>
      </c>
      <c r="AL990">
        <v>0</v>
      </c>
      <c r="AM990">
        <v>0</v>
      </c>
      <c r="AN990" t="s">
        <v>8</v>
      </c>
      <c r="AO990" s="74" t="str">
        <f ca="1">IF(Table20[[#This Row],[Type]]="KILL",IF(_xlfn.NUMBERVALUE(RIGHT(Table20[[#This Row],[Min]],LEN(Table20[[#This Row],[Min]])-FIND("-",Table20[[#This Row],[Min]])))&gt;INDIRECT(ADDRESS(11+MATCH(LEFT(Table20[[#This Row],[Min]],FIND("-",Table20[[#This Row],[Min]])-1),Table1[Content Sku],0),18,1,1,"Entities")),"review","ok"),"ok")</f>
        <v>ok</v>
      </c>
    </row>
    <row r="991" spans="5:41" x14ac:dyDescent="0.25">
      <c r="E991" t="s">
        <v>311</v>
      </c>
      <c r="F991">
        <v>0</v>
      </c>
      <c r="G991">
        <v>0</v>
      </c>
      <c r="H991" t="s">
        <v>8</v>
      </c>
      <c r="I991" s="74" t="str">
        <f ca="1">IF(Table7[[#This Row],[Type]]="KILL",IF(_xlfn.NUMBERVALUE(RIGHT(Table7[[#This Row],[Min]],LEN(Table7[[#This Row],[Min]])-FIND("-",Table7[[#This Row],[Min]])))&gt;INDIRECT(ADDRESS(11+MATCH(LEFT(Table7[[#This Row],[Min]],FIND("-",Table7[[#This Row],[Min]])-1),Table1[Content Sku],0),16,1,1,"Entities")),"review","ok"),"ok")</f>
        <v>ok</v>
      </c>
      <c r="U991" t="s">
        <v>2766</v>
      </c>
      <c r="V991">
        <v>0</v>
      </c>
      <c r="W991">
        <v>0</v>
      </c>
      <c r="X991" t="s">
        <v>8</v>
      </c>
      <c r="Y991" s="74" t="str">
        <f ca="1">IF(Table15[[#This Row],[Type]]="KILL",IF(_xlfn.NUMBERVALUE(RIGHT(Table15[[#This Row],[Min]],LEN(Table15[[#This Row],[Min]])-FIND("-",Table15[[#This Row],[Min]])))&gt;INDIRECT(ADDRESS(11+MATCH(LEFT(Table15[[#This Row],[Min]],FIND("-",Table15[[#This Row],[Min]])-1),Table1[Content Sku],0),16,1,1,"Entities")),"review","ok"),"ok")</f>
        <v>ok</v>
      </c>
      <c r="AK991" t="s">
        <v>2741</v>
      </c>
      <c r="AL991">
        <v>0</v>
      </c>
      <c r="AM991">
        <v>0</v>
      </c>
      <c r="AN991" t="s">
        <v>8</v>
      </c>
      <c r="AO991" s="74" t="str">
        <f ca="1">IF(Table20[[#This Row],[Type]]="KILL",IF(_xlfn.NUMBERVALUE(RIGHT(Table20[[#This Row],[Min]],LEN(Table20[[#This Row],[Min]])-FIND("-",Table20[[#This Row],[Min]])))&gt;INDIRECT(ADDRESS(11+MATCH(LEFT(Table20[[#This Row],[Min]],FIND("-",Table20[[#This Row],[Min]])-1),Table1[Content Sku],0),18,1,1,"Entities")),"review","ok"),"ok")</f>
        <v>ok</v>
      </c>
    </row>
    <row r="992" spans="5:41" x14ac:dyDescent="0.25">
      <c r="E992" t="s">
        <v>548</v>
      </c>
      <c r="F992">
        <v>0</v>
      </c>
      <c r="G992">
        <v>0</v>
      </c>
      <c r="H992" t="s">
        <v>8</v>
      </c>
      <c r="I992" s="74" t="str">
        <f ca="1">IF(Table7[[#This Row],[Type]]="KILL",IF(_xlfn.NUMBERVALUE(RIGHT(Table7[[#This Row],[Min]],LEN(Table7[[#This Row],[Min]])-FIND("-",Table7[[#This Row],[Min]])))&gt;INDIRECT(ADDRESS(11+MATCH(LEFT(Table7[[#This Row],[Min]],FIND("-",Table7[[#This Row],[Min]])-1),Table1[Content Sku],0),16,1,1,"Entities")),"review","ok"),"ok")</f>
        <v>ok</v>
      </c>
      <c r="U992" t="s">
        <v>49</v>
      </c>
      <c r="V992">
        <v>0</v>
      </c>
      <c r="W992">
        <v>0</v>
      </c>
      <c r="X992" t="s">
        <v>8</v>
      </c>
      <c r="Y992" s="74" t="str">
        <f ca="1">IF(Table15[[#This Row],[Type]]="KILL",IF(_xlfn.NUMBERVALUE(RIGHT(Table15[[#This Row],[Min]],LEN(Table15[[#This Row],[Min]])-FIND("-",Table15[[#This Row],[Min]])))&gt;INDIRECT(ADDRESS(11+MATCH(LEFT(Table15[[#This Row],[Min]],FIND("-",Table15[[#This Row],[Min]])-1),Table1[Content Sku],0),16,1,1,"Entities")),"review","ok"),"ok")</f>
        <v>ok</v>
      </c>
      <c r="AK992" t="s">
        <v>2677</v>
      </c>
      <c r="AL992">
        <v>40000</v>
      </c>
      <c r="AM992">
        <v>0</v>
      </c>
      <c r="AN992" t="s">
        <v>205</v>
      </c>
      <c r="AO992" s="74" t="str">
        <f ca="1">IF(Table20[[#This Row],[Type]]="KILL",IF(_xlfn.NUMBERVALUE(RIGHT(Table20[[#This Row],[Min]],LEN(Table20[[#This Row],[Min]])-FIND("-",Table20[[#This Row],[Min]])))&gt;INDIRECT(ADDRESS(11+MATCH(LEFT(Table20[[#This Row],[Min]],FIND("-",Table20[[#This Row],[Min]])-1),Table1[Content Sku],0),18,1,1,"Entities")),"review","ok"),"ok")</f>
        <v>ok</v>
      </c>
    </row>
    <row r="993" spans="5:41" x14ac:dyDescent="0.25">
      <c r="E993" t="s">
        <v>254</v>
      </c>
      <c r="F993">
        <v>0</v>
      </c>
      <c r="G993">
        <v>25000</v>
      </c>
      <c r="H993" t="s">
        <v>205</v>
      </c>
      <c r="I993" s="74" t="str">
        <f ca="1">IF(Table7[[#This Row],[Type]]="KILL",IF(_xlfn.NUMBERVALUE(RIGHT(Table7[[#This Row],[Min]],LEN(Table7[[#This Row],[Min]])-FIND("-",Table7[[#This Row],[Min]])))&gt;INDIRECT(ADDRESS(11+MATCH(LEFT(Table7[[#This Row],[Min]],FIND("-",Table7[[#This Row],[Min]])-1),Table1[Content Sku],0),16,1,1,"Entities")),"review","ok"),"ok")</f>
        <v>ok</v>
      </c>
      <c r="U993" t="s">
        <v>460</v>
      </c>
      <c r="V993">
        <v>0</v>
      </c>
      <c r="W993">
        <v>0</v>
      </c>
      <c r="X993" t="s">
        <v>8</v>
      </c>
      <c r="Y993" s="74" t="str">
        <f ca="1">IF(Table15[[#This Row],[Type]]="KILL",IF(_xlfn.NUMBERVALUE(RIGHT(Table15[[#This Row],[Min]],LEN(Table15[[#This Row],[Min]])-FIND("-",Table15[[#This Row],[Min]])))&gt;INDIRECT(ADDRESS(11+MATCH(LEFT(Table15[[#This Row],[Min]],FIND("-",Table15[[#This Row],[Min]])-1),Table1[Content Sku],0),16,1,1,"Entities")),"review","ok"),"ok")</f>
        <v>ok</v>
      </c>
      <c r="AK993" t="s">
        <v>2767</v>
      </c>
      <c r="AL993">
        <v>0</v>
      </c>
      <c r="AM993">
        <v>0</v>
      </c>
      <c r="AN993" t="s">
        <v>8</v>
      </c>
      <c r="AO993" s="74" t="str">
        <f ca="1">IF(Table20[[#This Row],[Type]]="KILL",IF(_xlfn.NUMBERVALUE(RIGHT(Table20[[#This Row],[Min]],LEN(Table20[[#This Row],[Min]])-FIND("-",Table20[[#This Row],[Min]])))&gt;INDIRECT(ADDRESS(11+MATCH(LEFT(Table20[[#This Row],[Min]],FIND("-",Table20[[#This Row],[Min]])-1),Table1[Content Sku],0),18,1,1,"Entities")),"review","ok"),"ok")</f>
        <v>ok</v>
      </c>
    </row>
    <row r="994" spans="5:41" x14ac:dyDescent="0.25">
      <c r="E994" t="s">
        <v>50</v>
      </c>
      <c r="F994">
        <v>20000</v>
      </c>
      <c r="G994">
        <v>0</v>
      </c>
      <c r="H994" t="s">
        <v>205</v>
      </c>
      <c r="I994" s="74" t="str">
        <f ca="1">IF(Table7[[#This Row],[Type]]="KILL",IF(_xlfn.NUMBERVALUE(RIGHT(Table7[[#This Row],[Min]],LEN(Table7[[#This Row],[Min]])-FIND("-",Table7[[#This Row],[Min]])))&gt;INDIRECT(ADDRESS(11+MATCH(LEFT(Table7[[#This Row],[Min]],FIND("-",Table7[[#This Row],[Min]])-1),Table1[Content Sku],0),16,1,1,"Entities")),"review","ok"),"ok")</f>
        <v>ok</v>
      </c>
      <c r="U994" t="s">
        <v>44</v>
      </c>
      <c r="V994">
        <v>15000</v>
      </c>
      <c r="W994">
        <v>0</v>
      </c>
      <c r="X994" t="s">
        <v>205</v>
      </c>
      <c r="Y994" s="74" t="str">
        <f ca="1">IF(Table15[[#This Row],[Type]]="KILL",IF(_xlfn.NUMBERVALUE(RIGHT(Table15[[#This Row],[Min]],LEN(Table15[[#This Row],[Min]])-FIND("-",Table15[[#This Row],[Min]])))&gt;INDIRECT(ADDRESS(11+MATCH(LEFT(Table15[[#This Row],[Min]],FIND("-",Table15[[#This Row],[Min]])-1),Table1[Content Sku],0),16,1,1,"Entities")),"review","ok"),"ok")</f>
        <v>ok</v>
      </c>
      <c r="AK994" t="s">
        <v>574</v>
      </c>
      <c r="AL994">
        <v>0</v>
      </c>
      <c r="AM994">
        <v>0</v>
      </c>
      <c r="AN994" t="s">
        <v>8</v>
      </c>
      <c r="AO994" s="74" t="str">
        <f ca="1">IF(Table20[[#This Row],[Type]]="KILL",IF(_xlfn.NUMBERVALUE(RIGHT(Table20[[#This Row],[Min]],LEN(Table20[[#This Row],[Min]])-FIND("-",Table20[[#This Row],[Min]])))&gt;INDIRECT(ADDRESS(11+MATCH(LEFT(Table20[[#This Row],[Min]],FIND("-",Table20[[#This Row],[Min]])-1),Table1[Content Sku],0),18,1,1,"Entities")),"review","ok"),"ok")</f>
        <v>ok</v>
      </c>
    </row>
    <row r="995" spans="5:41" x14ac:dyDescent="0.25">
      <c r="E995" t="s">
        <v>90</v>
      </c>
      <c r="F995">
        <v>0</v>
      </c>
      <c r="G995">
        <v>23000</v>
      </c>
      <c r="H995" t="s">
        <v>205</v>
      </c>
      <c r="I995" s="74" t="str">
        <f ca="1">IF(Table7[[#This Row],[Type]]="KILL",IF(_xlfn.NUMBERVALUE(RIGHT(Table7[[#This Row],[Min]],LEN(Table7[[#This Row],[Min]])-FIND("-",Table7[[#This Row],[Min]])))&gt;INDIRECT(ADDRESS(11+MATCH(LEFT(Table7[[#This Row],[Min]],FIND("-",Table7[[#This Row],[Min]])-1),Table1[Content Sku],0),16,1,1,"Entities")),"review","ok"),"ok")</f>
        <v>ok</v>
      </c>
      <c r="U995" t="s">
        <v>403</v>
      </c>
      <c r="V995">
        <v>0</v>
      </c>
      <c r="W995">
        <v>0</v>
      </c>
      <c r="X995" t="s">
        <v>8</v>
      </c>
      <c r="Y995" s="74" t="str">
        <f ca="1">IF(Table15[[#This Row],[Type]]="KILL",IF(_xlfn.NUMBERVALUE(RIGHT(Table15[[#This Row],[Min]],LEN(Table15[[#This Row],[Min]])-FIND("-",Table15[[#This Row],[Min]])))&gt;INDIRECT(ADDRESS(11+MATCH(LEFT(Table15[[#This Row],[Min]],FIND("-",Table15[[#This Row],[Min]])-1),Table1[Content Sku],0),16,1,1,"Entities")),"review","ok"),"ok")</f>
        <v>ok</v>
      </c>
      <c r="AK995" t="s">
        <v>313</v>
      </c>
      <c r="AL995">
        <v>0</v>
      </c>
      <c r="AM995">
        <v>25000</v>
      </c>
      <c r="AN995" t="s">
        <v>205</v>
      </c>
      <c r="AO995" s="74" t="str">
        <f ca="1">IF(Table20[[#This Row],[Type]]="KILL",IF(_xlfn.NUMBERVALUE(RIGHT(Table20[[#This Row],[Min]],LEN(Table20[[#This Row],[Min]])-FIND("-",Table20[[#This Row],[Min]])))&gt;INDIRECT(ADDRESS(11+MATCH(LEFT(Table20[[#This Row],[Min]],FIND("-",Table20[[#This Row],[Min]])-1),Table1[Content Sku],0),18,1,1,"Entities")),"review","ok"),"ok")</f>
        <v>ok</v>
      </c>
    </row>
    <row r="996" spans="5:41" x14ac:dyDescent="0.25">
      <c r="E996" t="s">
        <v>289</v>
      </c>
      <c r="F996">
        <v>0</v>
      </c>
      <c r="G996">
        <v>0</v>
      </c>
      <c r="H996" t="s">
        <v>8</v>
      </c>
      <c r="I996" s="74" t="str">
        <f ca="1">IF(Table7[[#This Row],[Type]]="KILL",IF(_xlfn.NUMBERVALUE(RIGHT(Table7[[#This Row],[Min]],LEN(Table7[[#This Row],[Min]])-FIND("-",Table7[[#This Row],[Min]])))&gt;INDIRECT(ADDRESS(11+MATCH(LEFT(Table7[[#This Row],[Min]],FIND("-",Table7[[#This Row],[Min]])-1),Table1[Content Sku],0),16,1,1,"Entities")),"review","ok"),"ok")</f>
        <v>ok</v>
      </c>
      <c r="U996" t="s">
        <v>95</v>
      </c>
      <c r="V996">
        <v>0</v>
      </c>
      <c r="W996">
        <v>0</v>
      </c>
      <c r="X996" t="s">
        <v>8</v>
      </c>
      <c r="Y996" s="74" t="str">
        <f ca="1">IF(Table15[[#This Row],[Type]]="KILL",IF(_xlfn.NUMBERVALUE(RIGHT(Table15[[#This Row],[Min]],LEN(Table15[[#This Row],[Min]])-FIND("-",Table15[[#This Row],[Min]])))&gt;INDIRECT(ADDRESS(11+MATCH(LEFT(Table15[[#This Row],[Min]],FIND("-",Table15[[#This Row],[Min]])-1),Table1[Content Sku],0),16,1,1,"Entities")),"review","ok"),"ok")</f>
        <v>ok</v>
      </c>
      <c r="AK996" t="s">
        <v>2726</v>
      </c>
      <c r="AL996">
        <v>0</v>
      </c>
      <c r="AM996">
        <v>0</v>
      </c>
      <c r="AN996" t="s">
        <v>8</v>
      </c>
      <c r="AO996" s="74" t="str">
        <f ca="1">IF(Table20[[#This Row],[Type]]="KILL",IF(_xlfn.NUMBERVALUE(RIGHT(Table20[[#This Row],[Min]],LEN(Table20[[#This Row],[Min]])-FIND("-",Table20[[#This Row],[Min]])))&gt;INDIRECT(ADDRESS(11+MATCH(LEFT(Table20[[#This Row],[Min]],FIND("-",Table20[[#This Row],[Min]])-1),Table1[Content Sku],0),18,1,1,"Entities")),"review","ok"),"ok")</f>
        <v>ok</v>
      </c>
    </row>
    <row r="997" spans="5:41" x14ac:dyDescent="0.25">
      <c r="E997" t="s">
        <v>47</v>
      </c>
      <c r="F997">
        <v>0</v>
      </c>
      <c r="G997">
        <v>0</v>
      </c>
      <c r="H997" t="s">
        <v>8</v>
      </c>
      <c r="I997" s="74" t="str">
        <f ca="1">IF(Table7[[#This Row],[Type]]="KILL",IF(_xlfn.NUMBERVALUE(RIGHT(Table7[[#This Row],[Min]],LEN(Table7[[#This Row],[Min]])-FIND("-",Table7[[#This Row],[Min]])))&gt;INDIRECT(ADDRESS(11+MATCH(LEFT(Table7[[#This Row],[Min]],FIND("-",Table7[[#This Row],[Min]])-1),Table1[Content Sku],0),16,1,1,"Entities")),"review","ok"),"ok")</f>
        <v>ok</v>
      </c>
      <c r="U997" t="s">
        <v>47</v>
      </c>
      <c r="V997">
        <v>0</v>
      </c>
      <c r="W997">
        <v>0</v>
      </c>
      <c r="X997" t="s">
        <v>8</v>
      </c>
      <c r="Y997" s="74" t="str">
        <f ca="1">IF(Table15[[#This Row],[Type]]="KILL",IF(_xlfn.NUMBERVALUE(RIGHT(Table15[[#This Row],[Min]],LEN(Table15[[#This Row],[Min]])-FIND("-",Table15[[#This Row],[Min]])))&gt;INDIRECT(ADDRESS(11+MATCH(LEFT(Table15[[#This Row],[Min]],FIND("-",Table15[[#This Row],[Min]])-1),Table1[Content Sku],0),16,1,1,"Entities")),"review","ok"),"ok")</f>
        <v>ok</v>
      </c>
      <c r="AK997" t="s">
        <v>37</v>
      </c>
      <c r="AL997">
        <v>0</v>
      </c>
      <c r="AM997">
        <v>0</v>
      </c>
      <c r="AN997" t="s">
        <v>8</v>
      </c>
      <c r="AO997" s="74" t="str">
        <f ca="1">IF(Table20[[#This Row],[Type]]="KILL",IF(_xlfn.NUMBERVALUE(RIGHT(Table20[[#This Row],[Min]],LEN(Table20[[#This Row],[Min]])-FIND("-",Table20[[#This Row],[Min]])))&gt;INDIRECT(ADDRESS(11+MATCH(LEFT(Table20[[#This Row],[Min]],FIND("-",Table20[[#This Row],[Min]])-1),Table1[Content Sku],0),18,1,1,"Entities")),"review","ok"),"ok")</f>
        <v>ok</v>
      </c>
    </row>
    <row r="998" spans="5:41" x14ac:dyDescent="0.25">
      <c r="E998" t="s">
        <v>2741</v>
      </c>
      <c r="F998">
        <v>0</v>
      </c>
      <c r="G998">
        <v>0</v>
      </c>
      <c r="H998" t="s">
        <v>8</v>
      </c>
      <c r="I998" s="74" t="str">
        <f ca="1">IF(Table7[[#This Row],[Type]]="KILL",IF(_xlfn.NUMBERVALUE(RIGHT(Table7[[#This Row],[Min]],LEN(Table7[[#This Row],[Min]])-FIND("-",Table7[[#This Row],[Min]])))&gt;INDIRECT(ADDRESS(11+MATCH(LEFT(Table7[[#This Row],[Min]],FIND("-",Table7[[#This Row],[Min]])-1),Table1[Content Sku],0),16,1,1,"Entities")),"review","ok"),"ok")</f>
        <v>ok</v>
      </c>
      <c r="U998" t="s">
        <v>51</v>
      </c>
      <c r="V998">
        <v>200</v>
      </c>
      <c r="W998">
        <v>0</v>
      </c>
      <c r="X998" t="s">
        <v>4431</v>
      </c>
      <c r="Y998" s="74" t="str">
        <f ca="1">IF(Table15[[#This Row],[Type]]="KILL",IF(_xlfn.NUMBERVALUE(RIGHT(Table15[[#This Row],[Min]],LEN(Table15[[#This Row],[Min]])-FIND("-",Table15[[#This Row],[Min]])))&gt;INDIRECT(ADDRESS(11+MATCH(LEFT(Table15[[#This Row],[Min]],FIND("-",Table15[[#This Row],[Min]])-1),Table1[Content Sku],0),16,1,1,"Entities")),"review","ok"),"ok")</f>
        <v>ok</v>
      </c>
      <c r="AK998" t="s">
        <v>95</v>
      </c>
      <c r="AL998">
        <v>0</v>
      </c>
      <c r="AM998">
        <v>0</v>
      </c>
      <c r="AN998" t="s">
        <v>8</v>
      </c>
      <c r="AO998" s="74" t="str">
        <f ca="1">IF(Table20[[#This Row],[Type]]="KILL",IF(_xlfn.NUMBERVALUE(RIGHT(Table20[[#This Row],[Min]],LEN(Table20[[#This Row],[Min]])-FIND("-",Table20[[#This Row],[Min]])))&gt;INDIRECT(ADDRESS(11+MATCH(LEFT(Table20[[#This Row],[Min]],FIND("-",Table20[[#This Row],[Min]])-1),Table1[Content Sku],0),18,1,1,"Entities")),"review","ok"),"ok")</f>
        <v>ok</v>
      </c>
    </row>
    <row r="999" spans="5:41" x14ac:dyDescent="0.25">
      <c r="E999" t="s">
        <v>254</v>
      </c>
      <c r="F999">
        <v>0</v>
      </c>
      <c r="G999">
        <v>13000</v>
      </c>
      <c r="H999" t="s">
        <v>205</v>
      </c>
      <c r="I999" s="74" t="str">
        <f ca="1">IF(Table7[[#This Row],[Type]]="KILL",IF(_xlfn.NUMBERVALUE(RIGHT(Table7[[#This Row],[Min]],LEN(Table7[[#This Row],[Min]])-FIND("-",Table7[[#This Row],[Min]])))&gt;INDIRECT(ADDRESS(11+MATCH(LEFT(Table7[[#This Row],[Min]],FIND("-",Table7[[#This Row],[Min]])-1),Table1[Content Sku],0),16,1,1,"Entities")),"review","ok"),"ok")</f>
        <v>ok</v>
      </c>
      <c r="U999" t="s">
        <v>8133</v>
      </c>
      <c r="V999">
        <v>0</v>
      </c>
      <c r="W999">
        <v>0</v>
      </c>
      <c r="X999" t="s">
        <v>8</v>
      </c>
      <c r="Y999" s="74" t="str">
        <f ca="1">IF(Table15[[#This Row],[Type]]="KILL",IF(_xlfn.NUMBERVALUE(RIGHT(Table15[[#This Row],[Min]],LEN(Table15[[#This Row],[Min]])-FIND("-",Table15[[#This Row],[Min]])))&gt;INDIRECT(ADDRESS(11+MATCH(LEFT(Table15[[#This Row],[Min]],FIND("-",Table15[[#This Row],[Min]])-1),Table1[Content Sku],0),16,1,1,"Entities")),"review","ok"),"ok")</f>
        <v>ok</v>
      </c>
      <c r="AK999" t="s">
        <v>2667</v>
      </c>
      <c r="AL999">
        <v>0</v>
      </c>
      <c r="AM999">
        <v>0</v>
      </c>
      <c r="AN999" t="s">
        <v>8</v>
      </c>
      <c r="AO999" s="74" t="str">
        <f ca="1">IF(Table20[[#This Row],[Type]]="KILL",IF(_xlfn.NUMBERVALUE(RIGHT(Table20[[#This Row],[Min]],LEN(Table20[[#This Row],[Min]])-FIND("-",Table20[[#This Row],[Min]])))&gt;INDIRECT(ADDRESS(11+MATCH(LEFT(Table20[[#This Row],[Min]],FIND("-",Table20[[#This Row],[Min]])-1),Table1[Content Sku],0),18,1,1,"Entities")),"review","ok"),"ok")</f>
        <v>ok</v>
      </c>
    </row>
    <row r="1000" spans="5:41" x14ac:dyDescent="0.25">
      <c r="E1000" t="s">
        <v>313</v>
      </c>
      <c r="F1000">
        <v>0</v>
      </c>
      <c r="G1000">
        <v>0</v>
      </c>
      <c r="H1000" t="s">
        <v>8</v>
      </c>
      <c r="I1000" s="74" t="str">
        <f ca="1">IF(Table7[[#This Row],[Type]]="KILL",IF(_xlfn.NUMBERVALUE(RIGHT(Table7[[#This Row],[Min]],LEN(Table7[[#This Row],[Min]])-FIND("-",Table7[[#This Row],[Min]])))&gt;INDIRECT(ADDRESS(11+MATCH(LEFT(Table7[[#This Row],[Min]],FIND("-",Table7[[#This Row],[Min]])-1),Table1[Content Sku],0),16,1,1,"Entities")),"review","ok"),"ok")</f>
        <v>ok</v>
      </c>
      <c r="U1000" t="s">
        <v>50</v>
      </c>
      <c r="V1000">
        <v>40000</v>
      </c>
      <c r="W1000">
        <v>0</v>
      </c>
      <c r="X1000" t="s">
        <v>205</v>
      </c>
      <c r="Y1000" s="74" t="str">
        <f ca="1">IF(Table15[[#This Row],[Type]]="KILL",IF(_xlfn.NUMBERVALUE(RIGHT(Table15[[#This Row],[Min]],LEN(Table15[[#This Row],[Min]])-FIND("-",Table15[[#This Row],[Min]])))&gt;INDIRECT(ADDRESS(11+MATCH(LEFT(Table15[[#This Row],[Min]],FIND("-",Table15[[#This Row],[Min]])-1),Table1[Content Sku],0),16,1,1,"Entities")),"review","ok"),"ok")</f>
        <v>ok</v>
      </c>
      <c r="AK1000" t="s">
        <v>8103</v>
      </c>
      <c r="AL1000">
        <v>50000</v>
      </c>
      <c r="AM1000">
        <v>0</v>
      </c>
      <c r="AN1000" t="s">
        <v>205</v>
      </c>
      <c r="AO1000" s="74" t="str">
        <f ca="1">IF(Table20[[#This Row],[Type]]="KILL",IF(_xlfn.NUMBERVALUE(RIGHT(Table20[[#This Row],[Min]],LEN(Table20[[#This Row],[Min]])-FIND("-",Table20[[#This Row],[Min]])))&gt;INDIRECT(ADDRESS(11+MATCH(LEFT(Table20[[#This Row],[Min]],FIND("-",Table20[[#This Row],[Min]])-1),Table1[Content Sku],0),18,1,1,"Entities")),"review","ok"),"ok")</f>
        <v>ok</v>
      </c>
    </row>
    <row r="1001" spans="5:41" x14ac:dyDescent="0.25">
      <c r="E1001" t="s">
        <v>0</v>
      </c>
      <c r="F1001">
        <v>0</v>
      </c>
      <c r="G1001">
        <v>0</v>
      </c>
      <c r="H1001" t="s">
        <v>8</v>
      </c>
      <c r="I1001" s="74" t="str">
        <f ca="1">IF(Table7[[#This Row],[Type]]="KILL",IF(_xlfn.NUMBERVALUE(RIGHT(Table7[[#This Row],[Min]],LEN(Table7[[#This Row],[Min]])-FIND("-",Table7[[#This Row],[Min]])))&gt;INDIRECT(ADDRESS(11+MATCH(LEFT(Table7[[#This Row],[Min]],FIND("-",Table7[[#This Row],[Min]])-1),Table1[Content Sku],0),16,1,1,"Entities")),"review","ok"),"ok")</f>
        <v>ok</v>
      </c>
      <c r="U1001" t="s">
        <v>545</v>
      </c>
      <c r="V1001">
        <v>0</v>
      </c>
      <c r="W1001">
        <v>0</v>
      </c>
      <c r="X1001" t="s">
        <v>8</v>
      </c>
      <c r="Y1001" s="74" t="str">
        <f ca="1">IF(Table15[[#This Row],[Type]]="KILL",IF(_xlfn.NUMBERVALUE(RIGHT(Table15[[#This Row],[Min]],LEN(Table15[[#This Row],[Min]])-FIND("-",Table15[[#This Row],[Min]])))&gt;INDIRECT(ADDRESS(11+MATCH(LEFT(Table15[[#This Row],[Min]],FIND("-",Table15[[#This Row],[Min]])-1),Table1[Content Sku],0),16,1,1,"Entities")),"review","ok"),"ok")</f>
        <v>ok</v>
      </c>
      <c r="AK1001" t="s">
        <v>95</v>
      </c>
      <c r="AL1001">
        <v>0</v>
      </c>
      <c r="AM1001">
        <v>0</v>
      </c>
      <c r="AN1001" t="s">
        <v>8</v>
      </c>
      <c r="AO1001" s="74" t="str">
        <f ca="1">IF(Table20[[#This Row],[Type]]="KILL",IF(_xlfn.NUMBERVALUE(RIGHT(Table20[[#This Row],[Min]],LEN(Table20[[#This Row],[Min]])-FIND("-",Table20[[#This Row],[Min]])))&gt;INDIRECT(ADDRESS(11+MATCH(LEFT(Table20[[#This Row],[Min]],FIND("-",Table20[[#This Row],[Min]])-1),Table1[Content Sku],0),18,1,1,"Entities")),"review","ok"),"ok")</f>
        <v>ok</v>
      </c>
    </row>
    <row r="1002" spans="5:41" x14ac:dyDescent="0.25">
      <c r="E1002" t="s">
        <v>289</v>
      </c>
      <c r="F1002">
        <v>0</v>
      </c>
      <c r="G1002">
        <v>0</v>
      </c>
      <c r="H1002" t="s">
        <v>8</v>
      </c>
      <c r="I1002" s="74" t="str">
        <f ca="1">IF(Table7[[#This Row],[Type]]="KILL",IF(_xlfn.NUMBERVALUE(RIGHT(Table7[[#This Row],[Min]],LEN(Table7[[#This Row],[Min]])-FIND("-",Table7[[#This Row],[Min]])))&gt;INDIRECT(ADDRESS(11+MATCH(LEFT(Table7[[#This Row],[Min]],FIND("-",Table7[[#This Row],[Min]])-1),Table1[Content Sku],0),16,1,1,"Entities")),"review","ok"),"ok")</f>
        <v>ok</v>
      </c>
      <c r="U1002" t="s">
        <v>391</v>
      </c>
      <c r="V1002">
        <v>0</v>
      </c>
      <c r="W1002">
        <v>0</v>
      </c>
      <c r="X1002" t="s">
        <v>8</v>
      </c>
      <c r="Y1002" s="74" t="str">
        <f ca="1">IF(Table15[[#This Row],[Type]]="KILL",IF(_xlfn.NUMBERVALUE(RIGHT(Table15[[#This Row],[Min]],LEN(Table15[[#This Row],[Min]])-FIND("-",Table15[[#This Row],[Min]])))&gt;INDIRECT(ADDRESS(11+MATCH(LEFT(Table15[[#This Row],[Min]],FIND("-",Table15[[#This Row],[Min]])-1),Table1[Content Sku],0),16,1,1,"Entities")),"review","ok"),"ok")</f>
        <v>ok</v>
      </c>
      <c r="AK1002" t="s">
        <v>2671</v>
      </c>
      <c r="AL1002">
        <v>35000</v>
      </c>
      <c r="AM1002">
        <v>0</v>
      </c>
      <c r="AN1002" t="s">
        <v>205</v>
      </c>
      <c r="AO1002" s="74" t="str">
        <f ca="1">IF(Table20[[#This Row],[Type]]="KILL",IF(_xlfn.NUMBERVALUE(RIGHT(Table20[[#This Row],[Min]],LEN(Table20[[#This Row],[Min]])-FIND("-",Table20[[#This Row],[Min]])))&gt;INDIRECT(ADDRESS(11+MATCH(LEFT(Table20[[#This Row],[Min]],FIND("-",Table20[[#This Row],[Min]])-1),Table1[Content Sku],0),18,1,1,"Entities")),"review","ok"),"ok")</f>
        <v>ok</v>
      </c>
    </row>
    <row r="1003" spans="5:41" x14ac:dyDescent="0.25">
      <c r="E1003" t="s">
        <v>95</v>
      </c>
      <c r="F1003">
        <v>0</v>
      </c>
      <c r="G1003">
        <v>0</v>
      </c>
      <c r="H1003" t="s">
        <v>8</v>
      </c>
      <c r="I1003" s="74" t="str">
        <f ca="1">IF(Table7[[#This Row],[Type]]="KILL",IF(_xlfn.NUMBERVALUE(RIGHT(Table7[[#This Row],[Min]],LEN(Table7[[#This Row],[Min]])-FIND("-",Table7[[#This Row],[Min]])))&gt;INDIRECT(ADDRESS(11+MATCH(LEFT(Table7[[#This Row],[Min]],FIND("-",Table7[[#This Row],[Min]])-1),Table1[Content Sku],0),16,1,1,"Entities")),"review","ok"),"ok")</f>
        <v>ok</v>
      </c>
      <c r="U1003" t="s">
        <v>392</v>
      </c>
      <c r="V1003">
        <v>0</v>
      </c>
      <c r="W1003">
        <v>23000</v>
      </c>
      <c r="X1003" t="s">
        <v>205</v>
      </c>
      <c r="Y1003" s="74" t="str">
        <f ca="1">IF(Table15[[#This Row],[Type]]="KILL",IF(_xlfn.NUMBERVALUE(RIGHT(Table15[[#This Row],[Min]],LEN(Table15[[#This Row],[Min]])-FIND("-",Table15[[#This Row],[Min]])))&gt;INDIRECT(ADDRESS(11+MATCH(LEFT(Table15[[#This Row],[Min]],FIND("-",Table15[[#This Row],[Min]])-1),Table1[Content Sku],0),16,1,1,"Entities")),"review","ok"),"ok")</f>
        <v>ok</v>
      </c>
      <c r="AK1003" t="s">
        <v>545</v>
      </c>
      <c r="AL1003">
        <v>0</v>
      </c>
      <c r="AM1003">
        <v>0</v>
      </c>
      <c r="AN1003" t="s">
        <v>8</v>
      </c>
      <c r="AO1003" s="74" t="str">
        <f ca="1">IF(Table20[[#This Row],[Type]]="KILL",IF(_xlfn.NUMBERVALUE(RIGHT(Table20[[#This Row],[Min]],LEN(Table20[[#This Row],[Min]])-FIND("-",Table20[[#This Row],[Min]])))&gt;INDIRECT(ADDRESS(11+MATCH(LEFT(Table20[[#This Row],[Min]],FIND("-",Table20[[#This Row],[Min]])-1),Table1[Content Sku],0),18,1,1,"Entities")),"review","ok"),"ok")</f>
        <v>ok</v>
      </c>
    </row>
    <row r="1004" spans="5:41" x14ac:dyDescent="0.25">
      <c r="E1004" t="s">
        <v>338</v>
      </c>
      <c r="F1004">
        <v>0</v>
      </c>
      <c r="G1004">
        <v>0</v>
      </c>
      <c r="H1004" t="s">
        <v>8</v>
      </c>
      <c r="I1004" s="74" t="str">
        <f ca="1">IF(Table7[[#This Row],[Type]]="KILL",IF(_xlfn.NUMBERVALUE(RIGHT(Table7[[#This Row],[Min]],LEN(Table7[[#This Row],[Min]])-FIND("-",Table7[[#This Row],[Min]])))&gt;INDIRECT(ADDRESS(11+MATCH(LEFT(Table7[[#This Row],[Min]],FIND("-",Table7[[#This Row],[Min]])-1),Table1[Content Sku],0),16,1,1,"Entities")),"review","ok"),"ok")</f>
        <v>ok</v>
      </c>
      <c r="U1004" t="s">
        <v>313</v>
      </c>
      <c r="V1004">
        <v>16000</v>
      </c>
      <c r="W1004">
        <v>0</v>
      </c>
      <c r="X1004" t="s">
        <v>205</v>
      </c>
      <c r="Y1004" s="74" t="str">
        <f ca="1">IF(Table15[[#This Row],[Type]]="KILL",IF(_xlfn.NUMBERVALUE(RIGHT(Table15[[#This Row],[Min]],LEN(Table15[[#This Row],[Min]])-FIND("-",Table15[[#This Row],[Min]])))&gt;INDIRECT(ADDRESS(11+MATCH(LEFT(Table15[[#This Row],[Min]],FIND("-",Table15[[#This Row],[Min]])-1),Table1[Content Sku],0),16,1,1,"Entities")),"review","ok"),"ok")</f>
        <v>ok</v>
      </c>
      <c r="AK1004" t="s">
        <v>40</v>
      </c>
      <c r="AL1004">
        <v>0</v>
      </c>
      <c r="AM1004">
        <v>33000</v>
      </c>
      <c r="AN1004" t="s">
        <v>205</v>
      </c>
      <c r="AO1004" s="74" t="str">
        <f ca="1">IF(Table20[[#This Row],[Type]]="KILL",IF(_xlfn.NUMBERVALUE(RIGHT(Table20[[#This Row],[Min]],LEN(Table20[[#This Row],[Min]])-FIND("-",Table20[[#This Row],[Min]])))&gt;INDIRECT(ADDRESS(11+MATCH(LEFT(Table20[[#This Row],[Min]],FIND("-",Table20[[#This Row],[Min]])-1),Table1[Content Sku],0),18,1,1,"Entities")),"review","ok"),"ok")</f>
        <v>ok</v>
      </c>
    </row>
    <row r="1005" spans="5:41" x14ac:dyDescent="0.25">
      <c r="E1005" t="s">
        <v>258</v>
      </c>
      <c r="F1005">
        <v>30000</v>
      </c>
      <c r="G1005">
        <v>0</v>
      </c>
      <c r="H1005" t="s">
        <v>205</v>
      </c>
      <c r="I1005" s="74" t="str">
        <f ca="1">IF(Table7[[#This Row],[Type]]="KILL",IF(_xlfn.NUMBERVALUE(RIGHT(Table7[[#This Row],[Min]],LEN(Table7[[#This Row],[Min]])-FIND("-",Table7[[#This Row],[Min]])))&gt;INDIRECT(ADDRESS(11+MATCH(LEFT(Table7[[#This Row],[Min]],FIND("-",Table7[[#This Row],[Min]])-1),Table1[Content Sku],0),16,1,1,"Entities")),"review","ok"),"ok")</f>
        <v>ok</v>
      </c>
      <c r="U1005" t="s">
        <v>254</v>
      </c>
      <c r="V1005">
        <v>0</v>
      </c>
      <c r="W1005">
        <v>45000</v>
      </c>
      <c r="X1005" t="s">
        <v>205</v>
      </c>
      <c r="Y1005" s="74" t="str">
        <f ca="1">IF(Table15[[#This Row],[Type]]="KILL",IF(_xlfn.NUMBERVALUE(RIGHT(Table15[[#This Row],[Min]],LEN(Table15[[#This Row],[Min]])-FIND("-",Table15[[#This Row],[Min]])))&gt;INDIRECT(ADDRESS(11+MATCH(LEFT(Table15[[#This Row],[Min]],FIND("-",Table15[[#This Row],[Min]])-1),Table1[Content Sku],0),16,1,1,"Entities")),"review","ok"),"ok")</f>
        <v>ok</v>
      </c>
      <c r="AK1005" t="s">
        <v>2667</v>
      </c>
      <c r="AL1005">
        <v>0</v>
      </c>
      <c r="AM1005">
        <v>0</v>
      </c>
      <c r="AN1005" t="s">
        <v>8</v>
      </c>
      <c r="AO1005" s="74" t="str">
        <f ca="1">IF(Table20[[#This Row],[Type]]="KILL",IF(_xlfn.NUMBERVALUE(RIGHT(Table20[[#This Row],[Min]],LEN(Table20[[#This Row],[Min]])-FIND("-",Table20[[#This Row],[Min]])))&gt;INDIRECT(ADDRESS(11+MATCH(LEFT(Table20[[#This Row],[Min]],FIND("-",Table20[[#This Row],[Min]])-1),Table1[Content Sku],0),18,1,1,"Entities")),"review","ok"),"ok")</f>
        <v>ok</v>
      </c>
    </row>
    <row r="1006" spans="5:41" x14ac:dyDescent="0.25">
      <c r="E1006" t="s">
        <v>2738</v>
      </c>
      <c r="F1006">
        <v>0</v>
      </c>
      <c r="G1006">
        <v>0</v>
      </c>
      <c r="H1006" t="s">
        <v>8</v>
      </c>
      <c r="I1006" s="74" t="str">
        <f ca="1">IF(Table7[[#This Row],[Type]]="KILL",IF(_xlfn.NUMBERVALUE(RIGHT(Table7[[#This Row],[Min]],LEN(Table7[[#This Row],[Min]])-FIND("-",Table7[[#This Row],[Min]])))&gt;INDIRECT(ADDRESS(11+MATCH(LEFT(Table7[[#This Row],[Min]],FIND("-",Table7[[#This Row],[Min]])-1),Table1[Content Sku],0),16,1,1,"Entities")),"review","ok"),"ok")</f>
        <v>ok</v>
      </c>
      <c r="U1006" t="s">
        <v>391</v>
      </c>
      <c r="V1006">
        <v>0</v>
      </c>
      <c r="W1006">
        <v>0</v>
      </c>
      <c r="X1006" t="s">
        <v>8</v>
      </c>
      <c r="Y1006" s="74" t="str">
        <f ca="1">IF(Table15[[#This Row],[Type]]="KILL",IF(_xlfn.NUMBERVALUE(RIGHT(Table15[[#This Row],[Min]],LEN(Table15[[#This Row],[Min]])-FIND("-",Table15[[#This Row],[Min]])))&gt;INDIRECT(ADDRESS(11+MATCH(LEFT(Table15[[#This Row],[Min]],FIND("-",Table15[[#This Row],[Min]])-1),Table1[Content Sku],0),16,1,1,"Entities")),"review","ok"),"ok")</f>
        <v>ok</v>
      </c>
      <c r="AK1006" t="s">
        <v>137</v>
      </c>
      <c r="AL1006">
        <v>0</v>
      </c>
      <c r="AM1006">
        <v>0</v>
      </c>
      <c r="AN1006" t="s">
        <v>8</v>
      </c>
      <c r="AO1006" s="74" t="str">
        <f ca="1">IF(Table20[[#This Row],[Type]]="KILL",IF(_xlfn.NUMBERVALUE(RIGHT(Table20[[#This Row],[Min]],LEN(Table20[[#This Row],[Min]])-FIND("-",Table20[[#This Row],[Min]])))&gt;INDIRECT(ADDRESS(11+MATCH(LEFT(Table20[[#This Row],[Min]],FIND("-",Table20[[#This Row],[Min]])-1),Table1[Content Sku],0),18,1,1,"Entities")),"review","ok"),"ok")</f>
        <v>ok</v>
      </c>
    </row>
    <row r="1007" spans="5:41" x14ac:dyDescent="0.25">
      <c r="E1007" t="s">
        <v>253</v>
      </c>
      <c r="F1007">
        <v>0</v>
      </c>
      <c r="G1007">
        <v>0</v>
      </c>
      <c r="H1007" t="s">
        <v>8</v>
      </c>
      <c r="I1007" s="74" t="str">
        <f ca="1">IF(Table7[[#This Row],[Type]]="KILL",IF(_xlfn.NUMBERVALUE(RIGHT(Table7[[#This Row],[Min]],LEN(Table7[[#This Row],[Min]])-FIND("-",Table7[[#This Row],[Min]])))&gt;INDIRECT(ADDRESS(11+MATCH(LEFT(Table7[[#This Row],[Min]],FIND("-",Table7[[#This Row],[Min]])-1),Table1[Content Sku],0),16,1,1,"Entities")),"review","ok"),"ok")</f>
        <v>ok</v>
      </c>
      <c r="U1007" t="s">
        <v>313</v>
      </c>
      <c r="V1007">
        <v>34000</v>
      </c>
      <c r="W1007">
        <v>0</v>
      </c>
      <c r="X1007" t="s">
        <v>205</v>
      </c>
      <c r="Y1007" s="74" t="str">
        <f ca="1">IF(Table15[[#This Row],[Type]]="KILL",IF(_xlfn.NUMBERVALUE(RIGHT(Table15[[#This Row],[Min]],LEN(Table15[[#This Row],[Min]])-FIND("-",Table15[[#This Row],[Min]])))&gt;INDIRECT(ADDRESS(11+MATCH(LEFT(Table15[[#This Row],[Min]],FIND("-",Table15[[#This Row],[Min]])-1),Table1[Content Sku],0),16,1,1,"Entities")),"review","ok"),"ok")</f>
        <v>ok</v>
      </c>
      <c r="AK1007" t="s">
        <v>50</v>
      </c>
      <c r="AL1007">
        <v>0</v>
      </c>
      <c r="AM1007">
        <v>0</v>
      </c>
      <c r="AN1007" t="s">
        <v>8</v>
      </c>
      <c r="AO1007" s="74" t="str">
        <f ca="1">IF(Table20[[#This Row],[Type]]="KILL",IF(_xlfn.NUMBERVALUE(RIGHT(Table20[[#This Row],[Min]],LEN(Table20[[#This Row],[Min]])-FIND("-",Table20[[#This Row],[Min]])))&gt;INDIRECT(ADDRESS(11+MATCH(LEFT(Table20[[#This Row],[Min]],FIND("-",Table20[[#This Row],[Min]])-1),Table1[Content Sku],0),18,1,1,"Entities")),"review","ok"),"ok")</f>
        <v>ok</v>
      </c>
    </row>
    <row r="1008" spans="5:41" x14ac:dyDescent="0.25">
      <c r="E1008" t="s">
        <v>8133</v>
      </c>
      <c r="F1008">
        <v>0</v>
      </c>
      <c r="G1008">
        <v>0</v>
      </c>
      <c r="H1008" t="s">
        <v>8</v>
      </c>
      <c r="I1008" s="74" t="str">
        <f ca="1">IF(Table7[[#This Row],[Type]]="KILL",IF(_xlfn.NUMBERVALUE(RIGHT(Table7[[#This Row],[Min]],LEN(Table7[[#This Row],[Min]])-FIND("-",Table7[[#This Row],[Min]])))&gt;INDIRECT(ADDRESS(11+MATCH(LEFT(Table7[[#This Row],[Min]],FIND("-",Table7[[#This Row],[Min]])-1),Table1[Content Sku],0),16,1,1,"Entities")),"review","ok"),"ok")</f>
        <v>ok</v>
      </c>
      <c r="U1008" t="s">
        <v>46</v>
      </c>
      <c r="V1008">
        <v>0</v>
      </c>
      <c r="W1008">
        <v>0</v>
      </c>
      <c r="X1008" t="s">
        <v>8</v>
      </c>
      <c r="Y1008" s="74" t="str">
        <f ca="1">IF(Table15[[#This Row],[Type]]="KILL",IF(_xlfn.NUMBERVALUE(RIGHT(Table15[[#This Row],[Min]],LEN(Table15[[#This Row],[Min]])-FIND("-",Table15[[#This Row],[Min]])))&gt;INDIRECT(ADDRESS(11+MATCH(LEFT(Table15[[#This Row],[Min]],FIND("-",Table15[[#This Row],[Min]])-1),Table1[Content Sku],0),16,1,1,"Entities")),"review","ok"),"ok")</f>
        <v>ok</v>
      </c>
      <c r="AK1008" t="s">
        <v>2767</v>
      </c>
      <c r="AL1008">
        <v>0</v>
      </c>
      <c r="AM1008">
        <v>0</v>
      </c>
      <c r="AN1008" t="s">
        <v>8</v>
      </c>
      <c r="AO1008" s="74" t="str">
        <f ca="1">IF(Table20[[#This Row],[Type]]="KILL",IF(_xlfn.NUMBERVALUE(RIGHT(Table20[[#This Row],[Min]],LEN(Table20[[#This Row],[Min]])-FIND("-",Table20[[#This Row],[Min]])))&gt;INDIRECT(ADDRESS(11+MATCH(LEFT(Table20[[#This Row],[Min]],FIND("-",Table20[[#This Row],[Min]])-1),Table1[Content Sku],0),18,1,1,"Entities")),"review","ok"),"ok")</f>
        <v>ok</v>
      </c>
    </row>
    <row r="1009" spans="5:41" x14ac:dyDescent="0.25">
      <c r="E1009" t="s">
        <v>47</v>
      </c>
      <c r="F1009">
        <v>3000</v>
      </c>
      <c r="G1009">
        <v>0</v>
      </c>
      <c r="H1009" t="s">
        <v>205</v>
      </c>
      <c r="I1009" s="74" t="str">
        <f ca="1">IF(Table7[[#This Row],[Type]]="KILL",IF(_xlfn.NUMBERVALUE(RIGHT(Table7[[#This Row],[Min]],LEN(Table7[[#This Row],[Min]])-FIND("-",Table7[[#This Row],[Min]])))&gt;INDIRECT(ADDRESS(11+MATCH(LEFT(Table7[[#This Row],[Min]],FIND("-",Table7[[#This Row],[Min]])-1),Table1[Content Sku],0),16,1,1,"Entities")),"review","ok"),"ok")</f>
        <v>ok</v>
      </c>
      <c r="U1009" t="s">
        <v>39</v>
      </c>
      <c r="V1009">
        <v>0</v>
      </c>
      <c r="W1009">
        <v>0</v>
      </c>
      <c r="X1009" t="s">
        <v>8</v>
      </c>
      <c r="Y1009" s="74" t="str">
        <f ca="1">IF(Table15[[#This Row],[Type]]="KILL",IF(_xlfn.NUMBERVALUE(RIGHT(Table15[[#This Row],[Min]],LEN(Table15[[#This Row],[Min]])-FIND("-",Table15[[#This Row],[Min]])))&gt;INDIRECT(ADDRESS(11+MATCH(LEFT(Table15[[#This Row],[Min]],FIND("-",Table15[[#This Row],[Min]])-1),Table1[Content Sku],0),16,1,1,"Entities")),"review","ok"),"ok")</f>
        <v>ok</v>
      </c>
      <c r="AK1009" t="s">
        <v>122</v>
      </c>
      <c r="AL1009">
        <v>0</v>
      </c>
      <c r="AM1009">
        <v>0</v>
      </c>
      <c r="AN1009" t="s">
        <v>8</v>
      </c>
      <c r="AO1009" s="74" t="str">
        <f ca="1">IF(Table20[[#This Row],[Type]]="KILL",IF(_xlfn.NUMBERVALUE(RIGHT(Table20[[#This Row],[Min]],LEN(Table20[[#This Row],[Min]])-FIND("-",Table20[[#This Row],[Min]])))&gt;INDIRECT(ADDRESS(11+MATCH(LEFT(Table20[[#This Row],[Min]],FIND("-",Table20[[#This Row],[Min]])-1),Table1[Content Sku],0),18,1,1,"Entities")),"review","ok"),"ok")</f>
        <v>ok</v>
      </c>
    </row>
    <row r="1010" spans="5:41" x14ac:dyDescent="0.25">
      <c r="E1010" t="s">
        <v>2741</v>
      </c>
      <c r="F1010">
        <v>0</v>
      </c>
      <c r="G1010">
        <v>0</v>
      </c>
      <c r="H1010" t="s">
        <v>8</v>
      </c>
      <c r="I1010" s="74" t="str">
        <f ca="1">IF(Table7[[#This Row],[Type]]="KILL",IF(_xlfn.NUMBERVALUE(RIGHT(Table7[[#This Row],[Min]],LEN(Table7[[#This Row],[Min]])-FIND("-",Table7[[#This Row],[Min]])))&gt;INDIRECT(ADDRESS(11+MATCH(LEFT(Table7[[#This Row],[Min]],FIND("-",Table7[[#This Row],[Min]])-1),Table1[Content Sku],0),16,1,1,"Entities")),"review","ok"),"ok")</f>
        <v>ok</v>
      </c>
      <c r="U1010" t="s">
        <v>37</v>
      </c>
      <c r="V1010">
        <v>0</v>
      </c>
      <c r="W1010">
        <v>0</v>
      </c>
      <c r="X1010" t="s">
        <v>8</v>
      </c>
      <c r="Y1010" s="74" t="str">
        <f ca="1">IF(Table15[[#This Row],[Type]]="KILL",IF(_xlfn.NUMBERVALUE(RIGHT(Table15[[#This Row],[Min]],LEN(Table15[[#This Row],[Min]])-FIND("-",Table15[[#This Row],[Min]])))&gt;INDIRECT(ADDRESS(11+MATCH(LEFT(Table15[[#This Row],[Min]],FIND("-",Table15[[#This Row],[Min]])-1),Table1[Content Sku],0),16,1,1,"Entities")),"review","ok"),"ok")</f>
        <v>ok</v>
      </c>
      <c r="AK1010" t="s">
        <v>2741</v>
      </c>
      <c r="AL1010">
        <v>0</v>
      </c>
      <c r="AM1010">
        <v>0</v>
      </c>
      <c r="AN1010" t="s">
        <v>8</v>
      </c>
      <c r="AO1010" s="74" t="str">
        <f ca="1">IF(Table20[[#This Row],[Type]]="KILL",IF(_xlfn.NUMBERVALUE(RIGHT(Table20[[#This Row],[Min]],LEN(Table20[[#This Row],[Min]])-FIND("-",Table20[[#This Row],[Min]])))&gt;INDIRECT(ADDRESS(11+MATCH(LEFT(Table20[[#This Row],[Min]],FIND("-",Table20[[#This Row],[Min]])-1),Table1[Content Sku],0),18,1,1,"Entities")),"review","ok"),"ok")</f>
        <v>ok</v>
      </c>
    </row>
    <row r="1011" spans="5:41" x14ac:dyDescent="0.25">
      <c r="E1011" t="s">
        <v>253</v>
      </c>
      <c r="F1011">
        <v>0</v>
      </c>
      <c r="G1011">
        <v>0</v>
      </c>
      <c r="H1011" t="s">
        <v>8</v>
      </c>
      <c r="I1011" s="74" t="str">
        <f ca="1">IF(Table7[[#This Row],[Type]]="KILL",IF(_xlfn.NUMBERVALUE(RIGHT(Table7[[#This Row],[Min]],LEN(Table7[[#This Row],[Min]])-FIND("-",Table7[[#This Row],[Min]])))&gt;INDIRECT(ADDRESS(11+MATCH(LEFT(Table7[[#This Row],[Min]],FIND("-",Table7[[#This Row],[Min]])-1),Table1[Content Sku],0),16,1,1,"Entities")),"review","ok"),"ok")</f>
        <v>ok</v>
      </c>
      <c r="U1011" t="s">
        <v>44</v>
      </c>
      <c r="V1011">
        <v>180</v>
      </c>
      <c r="W1011">
        <v>0</v>
      </c>
      <c r="X1011" t="s">
        <v>4431</v>
      </c>
      <c r="Y1011" s="74" t="str">
        <f ca="1">IF(Table15[[#This Row],[Type]]="KILL",IF(_xlfn.NUMBERVALUE(RIGHT(Table15[[#This Row],[Min]],LEN(Table15[[#This Row],[Min]])-FIND("-",Table15[[#This Row],[Min]])))&gt;INDIRECT(ADDRESS(11+MATCH(LEFT(Table15[[#This Row],[Min]],FIND("-",Table15[[#This Row],[Min]])-1),Table1[Content Sku],0),16,1,1,"Entities")),"review","ok"),"ok")</f>
        <v>ok</v>
      </c>
      <c r="AK1011" t="s">
        <v>313</v>
      </c>
      <c r="AL1011">
        <v>0</v>
      </c>
      <c r="AM1011">
        <v>0</v>
      </c>
      <c r="AN1011" t="s">
        <v>8</v>
      </c>
      <c r="AO1011" s="74" t="str">
        <f ca="1">IF(Table20[[#This Row],[Type]]="KILL",IF(_xlfn.NUMBERVALUE(RIGHT(Table20[[#This Row],[Min]],LEN(Table20[[#This Row],[Min]])-FIND("-",Table20[[#This Row],[Min]])))&gt;INDIRECT(ADDRESS(11+MATCH(LEFT(Table20[[#This Row],[Min]],FIND("-",Table20[[#This Row],[Min]])-1),Table1[Content Sku],0),18,1,1,"Entities")),"review","ok"),"ok")</f>
        <v>ok</v>
      </c>
    </row>
    <row r="1012" spans="5:41" x14ac:dyDescent="0.25">
      <c r="E1012" t="s">
        <v>313</v>
      </c>
      <c r="F1012">
        <v>0</v>
      </c>
      <c r="G1012">
        <v>0</v>
      </c>
      <c r="H1012" t="s">
        <v>8</v>
      </c>
      <c r="I1012" s="74" t="str">
        <f ca="1">IF(Table7[[#This Row],[Type]]="KILL",IF(_xlfn.NUMBERVALUE(RIGHT(Table7[[#This Row],[Min]],LEN(Table7[[#This Row],[Min]])-FIND("-",Table7[[#This Row],[Min]])))&gt;INDIRECT(ADDRESS(11+MATCH(LEFT(Table7[[#This Row],[Min]],FIND("-",Table7[[#This Row],[Min]])-1),Table1[Content Sku],0),16,1,1,"Entities")),"review","ok"),"ok")</f>
        <v>ok</v>
      </c>
      <c r="U1012" t="s">
        <v>254</v>
      </c>
      <c r="V1012">
        <v>0</v>
      </c>
      <c r="W1012">
        <v>0</v>
      </c>
      <c r="X1012" t="s">
        <v>8</v>
      </c>
      <c r="Y1012" s="74" t="str">
        <f ca="1">IF(Table15[[#This Row],[Type]]="KILL",IF(_xlfn.NUMBERVALUE(RIGHT(Table15[[#This Row],[Min]],LEN(Table15[[#This Row],[Min]])-FIND("-",Table15[[#This Row],[Min]])))&gt;INDIRECT(ADDRESS(11+MATCH(LEFT(Table15[[#This Row],[Min]],FIND("-",Table15[[#This Row],[Min]])-1),Table1[Content Sku],0),16,1,1,"Entities")),"review","ok"),"ok")</f>
        <v>ok</v>
      </c>
      <c r="AK1012" t="s">
        <v>537</v>
      </c>
      <c r="AL1012">
        <v>0</v>
      </c>
      <c r="AM1012">
        <v>0</v>
      </c>
      <c r="AN1012" t="s">
        <v>8</v>
      </c>
      <c r="AO1012" s="74" t="str">
        <f ca="1">IF(Table20[[#This Row],[Type]]="KILL",IF(_xlfn.NUMBERVALUE(RIGHT(Table20[[#This Row],[Min]],LEN(Table20[[#This Row],[Min]])-FIND("-",Table20[[#This Row],[Min]])))&gt;INDIRECT(ADDRESS(11+MATCH(LEFT(Table20[[#This Row],[Min]],FIND("-",Table20[[#This Row],[Min]])-1),Table1[Content Sku],0),18,1,1,"Entities")),"review","ok"),"ok")</f>
        <v>ok</v>
      </c>
    </row>
    <row r="1013" spans="5:41" x14ac:dyDescent="0.25">
      <c r="E1013" t="s">
        <v>39</v>
      </c>
      <c r="F1013">
        <v>5000</v>
      </c>
      <c r="G1013">
        <v>0</v>
      </c>
      <c r="H1013" t="s">
        <v>205</v>
      </c>
      <c r="I1013" s="74" t="str">
        <f ca="1">IF(Table7[[#This Row],[Type]]="KILL",IF(_xlfn.NUMBERVALUE(RIGHT(Table7[[#This Row],[Min]],LEN(Table7[[#This Row],[Min]])-FIND("-",Table7[[#This Row],[Min]])))&gt;INDIRECT(ADDRESS(11+MATCH(LEFT(Table7[[#This Row],[Min]],FIND("-",Table7[[#This Row],[Min]])-1),Table1[Content Sku],0),16,1,1,"Entities")),"review","ok"),"ok")</f>
        <v>ok</v>
      </c>
      <c r="U1013" t="s">
        <v>313</v>
      </c>
      <c r="V1013">
        <v>0</v>
      </c>
      <c r="W1013">
        <v>0</v>
      </c>
      <c r="X1013" t="s">
        <v>8</v>
      </c>
      <c r="Y1013" s="74" t="str">
        <f ca="1">IF(Table15[[#This Row],[Type]]="KILL",IF(_xlfn.NUMBERVALUE(RIGHT(Table15[[#This Row],[Min]],LEN(Table15[[#This Row],[Min]])-FIND("-",Table15[[#This Row],[Min]])))&gt;INDIRECT(ADDRESS(11+MATCH(LEFT(Table15[[#This Row],[Min]],FIND("-",Table15[[#This Row],[Min]])-1),Table1[Content Sku],0),16,1,1,"Entities")),"review","ok"),"ok")</f>
        <v>ok</v>
      </c>
      <c r="AK1013" t="s">
        <v>2680</v>
      </c>
      <c r="AL1013">
        <v>0</v>
      </c>
      <c r="AM1013">
        <v>0</v>
      </c>
      <c r="AN1013" t="s">
        <v>8</v>
      </c>
      <c r="AO1013" s="74" t="str">
        <f ca="1">IF(Table20[[#This Row],[Type]]="KILL",IF(_xlfn.NUMBERVALUE(RIGHT(Table20[[#This Row],[Min]],LEN(Table20[[#This Row],[Min]])-FIND("-",Table20[[#This Row],[Min]])))&gt;INDIRECT(ADDRESS(11+MATCH(LEFT(Table20[[#This Row],[Min]],FIND("-",Table20[[#This Row],[Min]])-1),Table1[Content Sku],0),18,1,1,"Entities")),"review","ok"),"ok")</f>
        <v>ok</v>
      </c>
    </row>
    <row r="1014" spans="5:41" x14ac:dyDescent="0.25">
      <c r="E1014" t="s">
        <v>545</v>
      </c>
      <c r="F1014">
        <v>0</v>
      </c>
      <c r="G1014">
        <v>0</v>
      </c>
      <c r="H1014" t="s">
        <v>8</v>
      </c>
      <c r="I1014" s="74" t="str">
        <f ca="1">IF(Table7[[#This Row],[Type]]="KILL",IF(_xlfn.NUMBERVALUE(RIGHT(Table7[[#This Row],[Min]],LEN(Table7[[#This Row],[Min]])-FIND("-",Table7[[#This Row],[Min]])))&gt;INDIRECT(ADDRESS(11+MATCH(LEFT(Table7[[#This Row],[Min]],FIND("-",Table7[[#This Row],[Min]])-1),Table1[Content Sku],0),16,1,1,"Entities")),"review","ok"),"ok")</f>
        <v>ok</v>
      </c>
      <c r="U1014" t="s">
        <v>36</v>
      </c>
      <c r="V1014">
        <v>20000</v>
      </c>
      <c r="W1014">
        <v>0</v>
      </c>
      <c r="X1014" t="s">
        <v>205</v>
      </c>
      <c r="Y1014" s="74" t="str">
        <f ca="1">IF(Table15[[#This Row],[Type]]="KILL",IF(_xlfn.NUMBERVALUE(RIGHT(Table15[[#This Row],[Min]],LEN(Table15[[#This Row],[Min]])-FIND("-",Table15[[#This Row],[Min]])))&gt;INDIRECT(ADDRESS(11+MATCH(LEFT(Table15[[#This Row],[Min]],FIND("-",Table15[[#This Row],[Min]])-1),Table1[Content Sku],0),16,1,1,"Entities")),"review","ok"),"ok")</f>
        <v>ok</v>
      </c>
      <c r="AK1014" t="s">
        <v>2741</v>
      </c>
      <c r="AL1014">
        <v>0</v>
      </c>
      <c r="AM1014">
        <v>0</v>
      </c>
      <c r="AN1014" t="s">
        <v>8</v>
      </c>
      <c r="AO1014" s="74" t="str">
        <f ca="1">IF(Table20[[#This Row],[Type]]="KILL",IF(_xlfn.NUMBERVALUE(RIGHT(Table20[[#This Row],[Min]],LEN(Table20[[#This Row],[Min]])-FIND("-",Table20[[#This Row],[Min]])))&gt;INDIRECT(ADDRESS(11+MATCH(LEFT(Table20[[#This Row],[Min]],FIND("-",Table20[[#This Row],[Min]])-1),Table1[Content Sku],0),18,1,1,"Entities")),"review","ok"),"ok")</f>
        <v>ok</v>
      </c>
    </row>
    <row r="1015" spans="5:41" x14ac:dyDescent="0.25">
      <c r="E1015" t="s">
        <v>95</v>
      </c>
      <c r="F1015">
        <v>0</v>
      </c>
      <c r="G1015">
        <v>0</v>
      </c>
      <c r="H1015" t="s">
        <v>8</v>
      </c>
      <c r="I1015" s="74" t="str">
        <f ca="1">IF(Table7[[#This Row],[Type]]="KILL",IF(_xlfn.NUMBERVALUE(RIGHT(Table7[[#This Row],[Min]],LEN(Table7[[#This Row],[Min]])-FIND("-",Table7[[#This Row],[Min]])))&gt;INDIRECT(ADDRESS(11+MATCH(LEFT(Table7[[#This Row],[Min]],FIND("-",Table7[[#This Row],[Min]])-1),Table1[Content Sku],0),16,1,1,"Entities")),"review","ok"),"ok")</f>
        <v>ok</v>
      </c>
      <c r="U1015" t="s">
        <v>8133</v>
      </c>
      <c r="V1015">
        <v>0</v>
      </c>
      <c r="W1015">
        <v>0</v>
      </c>
      <c r="X1015" t="s">
        <v>8</v>
      </c>
      <c r="Y1015" s="74" t="str">
        <f ca="1">IF(Table15[[#This Row],[Type]]="KILL",IF(_xlfn.NUMBERVALUE(RIGHT(Table15[[#This Row],[Min]],LEN(Table15[[#This Row],[Min]])-FIND("-",Table15[[#This Row],[Min]])))&gt;INDIRECT(ADDRESS(11+MATCH(LEFT(Table15[[#This Row],[Min]],FIND("-",Table15[[#This Row],[Min]])-1),Table1[Content Sku],0),16,1,1,"Entities")),"review","ok"),"ok")</f>
        <v>ok</v>
      </c>
      <c r="AK1015" t="s">
        <v>313</v>
      </c>
      <c r="AL1015">
        <v>0</v>
      </c>
      <c r="AM1015">
        <v>0</v>
      </c>
      <c r="AN1015" t="s">
        <v>8</v>
      </c>
      <c r="AO1015" s="74" t="str">
        <f ca="1">IF(Table20[[#This Row],[Type]]="KILL",IF(_xlfn.NUMBERVALUE(RIGHT(Table20[[#This Row],[Min]],LEN(Table20[[#This Row],[Min]])-FIND("-",Table20[[#This Row],[Min]])))&gt;INDIRECT(ADDRESS(11+MATCH(LEFT(Table20[[#This Row],[Min]],FIND("-",Table20[[#This Row],[Min]])-1),Table1[Content Sku],0),18,1,1,"Entities")),"review","ok"),"ok")</f>
        <v>ok</v>
      </c>
    </row>
    <row r="1016" spans="5:41" x14ac:dyDescent="0.25">
      <c r="E1016" t="s">
        <v>273</v>
      </c>
      <c r="F1016">
        <v>9100</v>
      </c>
      <c r="G1016">
        <v>0</v>
      </c>
      <c r="H1016" t="s">
        <v>205</v>
      </c>
      <c r="I1016" s="74" t="str">
        <f ca="1">IF(Table7[[#This Row],[Type]]="KILL",IF(_xlfn.NUMBERVALUE(RIGHT(Table7[[#This Row],[Min]],LEN(Table7[[#This Row],[Min]])-FIND("-",Table7[[#This Row],[Min]])))&gt;INDIRECT(ADDRESS(11+MATCH(LEFT(Table7[[#This Row],[Min]],FIND("-",Table7[[#This Row],[Min]])-1),Table1[Content Sku],0),16,1,1,"Entities")),"review","ok"),"ok")</f>
        <v>ok</v>
      </c>
      <c r="U1016" t="s">
        <v>253</v>
      </c>
      <c r="V1016">
        <v>0</v>
      </c>
      <c r="W1016">
        <v>0</v>
      </c>
      <c r="X1016" t="s">
        <v>8</v>
      </c>
      <c r="Y1016" s="74" t="str">
        <f ca="1">IF(Table15[[#This Row],[Type]]="KILL",IF(_xlfn.NUMBERVALUE(RIGHT(Table15[[#This Row],[Min]],LEN(Table15[[#This Row],[Min]])-FIND("-",Table15[[#This Row],[Min]])))&gt;INDIRECT(ADDRESS(11+MATCH(LEFT(Table15[[#This Row],[Min]],FIND("-",Table15[[#This Row],[Min]])-1),Table1[Content Sku],0),16,1,1,"Entities")),"review","ok"),"ok")</f>
        <v>ok</v>
      </c>
      <c r="AK1016" t="s">
        <v>2663</v>
      </c>
      <c r="AL1016">
        <v>0</v>
      </c>
      <c r="AM1016">
        <v>0</v>
      </c>
      <c r="AN1016" t="s">
        <v>8</v>
      </c>
      <c r="AO1016" s="74" t="str">
        <f ca="1">IF(Table20[[#This Row],[Type]]="KILL",IF(_xlfn.NUMBERVALUE(RIGHT(Table20[[#This Row],[Min]],LEN(Table20[[#This Row],[Min]])-FIND("-",Table20[[#This Row],[Min]])))&gt;INDIRECT(ADDRESS(11+MATCH(LEFT(Table20[[#This Row],[Min]],FIND("-",Table20[[#This Row],[Min]])-1),Table1[Content Sku],0),18,1,1,"Entities")),"review","ok"),"ok")</f>
        <v>ok</v>
      </c>
    </row>
    <row r="1017" spans="5:41" x14ac:dyDescent="0.25">
      <c r="E1017" t="s">
        <v>8133</v>
      </c>
      <c r="F1017">
        <v>0</v>
      </c>
      <c r="G1017">
        <v>0</v>
      </c>
      <c r="H1017" t="s">
        <v>8</v>
      </c>
      <c r="I1017" s="74" t="str">
        <f ca="1">IF(Table7[[#This Row],[Type]]="KILL",IF(_xlfn.NUMBERVALUE(RIGHT(Table7[[#This Row],[Min]],LEN(Table7[[#This Row],[Min]])-FIND("-",Table7[[#This Row],[Min]])))&gt;INDIRECT(ADDRESS(11+MATCH(LEFT(Table7[[#This Row],[Min]],FIND("-",Table7[[#This Row],[Min]])-1),Table1[Content Sku],0),16,1,1,"Entities")),"review","ok"),"ok")</f>
        <v>ok</v>
      </c>
      <c r="U1017" t="s">
        <v>95</v>
      </c>
      <c r="V1017">
        <v>0</v>
      </c>
      <c r="W1017">
        <v>0</v>
      </c>
      <c r="X1017" t="s">
        <v>8</v>
      </c>
      <c r="Y1017" s="74" t="str">
        <f ca="1">IF(Table15[[#This Row],[Type]]="KILL",IF(_xlfn.NUMBERVALUE(RIGHT(Table15[[#This Row],[Min]],LEN(Table15[[#This Row],[Min]])-FIND("-",Table15[[#This Row],[Min]])))&gt;INDIRECT(ADDRESS(11+MATCH(LEFT(Table15[[#This Row],[Min]],FIND("-",Table15[[#This Row],[Min]])-1),Table1[Content Sku],0),16,1,1,"Entities")),"review","ok"),"ok")</f>
        <v>ok</v>
      </c>
      <c r="AK1017" t="s">
        <v>2670</v>
      </c>
      <c r="AL1017">
        <v>0</v>
      </c>
      <c r="AM1017">
        <v>0</v>
      </c>
      <c r="AN1017" t="s">
        <v>8</v>
      </c>
      <c r="AO1017" s="74" t="str">
        <f ca="1">IF(Table20[[#This Row],[Type]]="KILL",IF(_xlfn.NUMBERVALUE(RIGHT(Table20[[#This Row],[Min]],LEN(Table20[[#This Row],[Min]])-FIND("-",Table20[[#This Row],[Min]])))&gt;INDIRECT(ADDRESS(11+MATCH(LEFT(Table20[[#This Row],[Min]],FIND("-",Table20[[#This Row],[Min]])-1),Table1[Content Sku],0),18,1,1,"Entities")),"review","ok"),"ok")</f>
        <v>ok</v>
      </c>
    </row>
    <row r="1018" spans="5:41" x14ac:dyDescent="0.25">
      <c r="E1018" t="s">
        <v>313</v>
      </c>
      <c r="F1018">
        <v>0</v>
      </c>
      <c r="G1018">
        <v>0</v>
      </c>
      <c r="H1018" t="s">
        <v>8</v>
      </c>
      <c r="I1018" s="74" t="str">
        <f ca="1">IF(Table7[[#This Row],[Type]]="KILL",IF(_xlfn.NUMBERVALUE(RIGHT(Table7[[#This Row],[Min]],LEN(Table7[[#This Row],[Min]])-FIND("-",Table7[[#This Row],[Min]])))&gt;INDIRECT(ADDRESS(11+MATCH(LEFT(Table7[[#This Row],[Min]],FIND("-",Table7[[#This Row],[Min]])-1),Table1[Content Sku],0),16,1,1,"Entities")),"review","ok"),"ok")</f>
        <v>ok</v>
      </c>
      <c r="U1018" t="s">
        <v>8133</v>
      </c>
      <c r="V1018">
        <v>0</v>
      </c>
      <c r="W1018">
        <v>0</v>
      </c>
      <c r="X1018" t="s">
        <v>8</v>
      </c>
      <c r="Y1018" s="74" t="str">
        <f ca="1">IF(Table15[[#This Row],[Type]]="KILL",IF(_xlfn.NUMBERVALUE(RIGHT(Table15[[#This Row],[Min]],LEN(Table15[[#This Row],[Min]])-FIND("-",Table15[[#This Row],[Min]])))&gt;INDIRECT(ADDRESS(11+MATCH(LEFT(Table15[[#This Row],[Min]],FIND("-",Table15[[#This Row],[Min]])-1),Table1[Content Sku],0),16,1,1,"Entities")),"review","ok"),"ok")</f>
        <v>ok</v>
      </c>
      <c r="AK1018" t="s">
        <v>540</v>
      </c>
      <c r="AL1018">
        <v>0</v>
      </c>
      <c r="AM1018">
        <v>0</v>
      </c>
      <c r="AN1018" t="s">
        <v>8</v>
      </c>
      <c r="AO1018" s="74" t="str">
        <f ca="1">IF(Table20[[#This Row],[Type]]="KILL",IF(_xlfn.NUMBERVALUE(RIGHT(Table20[[#This Row],[Min]],LEN(Table20[[#This Row],[Min]])-FIND("-",Table20[[#This Row],[Min]])))&gt;INDIRECT(ADDRESS(11+MATCH(LEFT(Table20[[#This Row],[Min]],FIND("-",Table20[[#This Row],[Min]])-1),Table1[Content Sku],0),18,1,1,"Entities")),"review","ok"),"ok")</f>
        <v>ok</v>
      </c>
    </row>
    <row r="1019" spans="5:41" x14ac:dyDescent="0.25">
      <c r="E1019" t="s">
        <v>400</v>
      </c>
      <c r="F1019">
        <v>0</v>
      </c>
      <c r="G1019">
        <v>0</v>
      </c>
      <c r="H1019" t="s">
        <v>8</v>
      </c>
      <c r="I1019" s="74" t="str">
        <f ca="1">IF(Table7[[#This Row],[Type]]="KILL",IF(_xlfn.NUMBERVALUE(RIGHT(Table7[[#This Row],[Min]],LEN(Table7[[#This Row],[Min]])-FIND("-",Table7[[#This Row],[Min]])))&gt;INDIRECT(ADDRESS(11+MATCH(LEFT(Table7[[#This Row],[Min]],FIND("-",Table7[[#This Row],[Min]])-1),Table1[Content Sku],0),16,1,1,"Entities")),"review","ok"),"ok")</f>
        <v>ok</v>
      </c>
      <c r="U1019" t="s">
        <v>313</v>
      </c>
      <c r="V1019">
        <v>0</v>
      </c>
      <c r="W1019">
        <v>0</v>
      </c>
      <c r="X1019" t="s">
        <v>8</v>
      </c>
      <c r="Y1019" s="74" t="str">
        <f ca="1">IF(Table15[[#This Row],[Type]]="KILL",IF(_xlfn.NUMBERVALUE(RIGHT(Table15[[#This Row],[Min]],LEN(Table15[[#This Row],[Min]])-FIND("-",Table15[[#This Row],[Min]])))&gt;INDIRECT(ADDRESS(11+MATCH(LEFT(Table15[[#This Row],[Min]],FIND("-",Table15[[#This Row],[Min]])-1),Table1[Content Sku],0),16,1,1,"Entities")),"review","ok"),"ok")</f>
        <v>ok</v>
      </c>
      <c r="AK1019" t="s">
        <v>2680</v>
      </c>
      <c r="AL1019">
        <v>0</v>
      </c>
      <c r="AM1019">
        <v>0</v>
      </c>
      <c r="AN1019" t="s">
        <v>8</v>
      </c>
      <c r="AO1019" s="74" t="str">
        <f ca="1">IF(Table20[[#This Row],[Type]]="KILL",IF(_xlfn.NUMBERVALUE(RIGHT(Table20[[#This Row],[Min]],LEN(Table20[[#This Row],[Min]])-FIND("-",Table20[[#This Row],[Min]])))&gt;INDIRECT(ADDRESS(11+MATCH(LEFT(Table20[[#This Row],[Min]],FIND("-",Table20[[#This Row],[Min]])-1),Table1[Content Sku],0),18,1,1,"Entities")),"review","ok"),"ok")</f>
        <v>ok</v>
      </c>
    </row>
    <row r="1020" spans="5:41" x14ac:dyDescent="0.25">
      <c r="E1020" t="s">
        <v>396</v>
      </c>
      <c r="F1020">
        <v>25000</v>
      </c>
      <c r="G1020">
        <v>0</v>
      </c>
      <c r="H1020" t="s">
        <v>205</v>
      </c>
      <c r="I1020" s="74" t="str">
        <f ca="1">IF(Table7[[#This Row],[Type]]="KILL",IF(_xlfn.NUMBERVALUE(RIGHT(Table7[[#This Row],[Min]],LEN(Table7[[#This Row],[Min]])-FIND("-",Table7[[#This Row],[Min]])))&gt;INDIRECT(ADDRESS(11+MATCH(LEFT(Table7[[#This Row],[Min]],FIND("-",Table7[[#This Row],[Min]])-1),Table1[Content Sku],0),16,1,1,"Entities")),"review","ok"),"ok")</f>
        <v>ok</v>
      </c>
      <c r="U1020" t="s">
        <v>2741</v>
      </c>
      <c r="V1020">
        <v>0</v>
      </c>
      <c r="W1020">
        <v>0</v>
      </c>
      <c r="X1020" t="s">
        <v>8</v>
      </c>
      <c r="Y1020" s="74" t="str">
        <f ca="1">IF(Table15[[#This Row],[Type]]="KILL",IF(_xlfn.NUMBERVALUE(RIGHT(Table15[[#This Row],[Min]],LEN(Table15[[#This Row],[Min]])-FIND("-",Table15[[#This Row],[Min]])))&gt;INDIRECT(ADDRESS(11+MATCH(LEFT(Table15[[#This Row],[Min]],FIND("-",Table15[[#This Row],[Min]])-1),Table1[Content Sku],0),16,1,1,"Entities")),"review","ok"),"ok")</f>
        <v>ok</v>
      </c>
      <c r="AK1020" t="s">
        <v>2667</v>
      </c>
      <c r="AL1020">
        <v>0</v>
      </c>
      <c r="AM1020">
        <v>0</v>
      </c>
      <c r="AN1020" t="s">
        <v>8</v>
      </c>
      <c r="AO1020" s="74" t="str">
        <f ca="1">IF(Table20[[#This Row],[Type]]="KILL",IF(_xlfn.NUMBERVALUE(RIGHT(Table20[[#This Row],[Min]],LEN(Table20[[#This Row],[Min]])-FIND("-",Table20[[#This Row],[Min]])))&gt;INDIRECT(ADDRESS(11+MATCH(LEFT(Table20[[#This Row],[Min]],FIND("-",Table20[[#This Row],[Min]])-1),Table1[Content Sku],0),18,1,1,"Entities")),"review","ok"),"ok")</f>
        <v>ok</v>
      </c>
    </row>
    <row r="1021" spans="5:41" x14ac:dyDescent="0.25">
      <c r="E1021" t="s">
        <v>254</v>
      </c>
      <c r="F1021">
        <v>0</v>
      </c>
      <c r="G1021">
        <v>0</v>
      </c>
      <c r="H1021" t="s">
        <v>8</v>
      </c>
      <c r="I1021" s="74" t="str">
        <f ca="1">IF(Table7[[#This Row],[Type]]="KILL",IF(_xlfn.NUMBERVALUE(RIGHT(Table7[[#This Row],[Min]],LEN(Table7[[#This Row],[Min]])-FIND("-",Table7[[#This Row],[Min]])))&gt;INDIRECT(ADDRESS(11+MATCH(LEFT(Table7[[#This Row],[Min]],FIND("-",Table7[[#This Row],[Min]])-1),Table1[Content Sku],0),16,1,1,"Entities")),"review","ok"),"ok")</f>
        <v>ok</v>
      </c>
      <c r="U1021" t="s">
        <v>8133</v>
      </c>
      <c r="V1021">
        <v>0</v>
      </c>
      <c r="W1021">
        <v>0</v>
      </c>
      <c r="X1021" t="s">
        <v>8</v>
      </c>
      <c r="Y1021" s="74" t="str">
        <f ca="1">IF(Table15[[#This Row],[Type]]="KILL",IF(_xlfn.NUMBERVALUE(RIGHT(Table15[[#This Row],[Min]],LEN(Table15[[#This Row],[Min]])-FIND("-",Table15[[#This Row],[Min]])))&gt;INDIRECT(ADDRESS(11+MATCH(LEFT(Table15[[#This Row],[Min]],FIND("-",Table15[[#This Row],[Min]])-1),Table1[Content Sku],0),16,1,1,"Entities")),"review","ok"),"ok")</f>
        <v>ok</v>
      </c>
      <c r="AK1021" t="s">
        <v>2741</v>
      </c>
      <c r="AL1021">
        <v>0</v>
      </c>
      <c r="AM1021">
        <v>0</v>
      </c>
      <c r="AN1021" t="s">
        <v>8</v>
      </c>
      <c r="AO1021" s="74" t="str">
        <f ca="1">IF(Table20[[#This Row],[Type]]="KILL",IF(_xlfn.NUMBERVALUE(RIGHT(Table20[[#This Row],[Min]],LEN(Table20[[#This Row],[Min]])-FIND("-",Table20[[#This Row],[Min]])))&gt;INDIRECT(ADDRESS(11+MATCH(LEFT(Table20[[#This Row],[Min]],FIND("-",Table20[[#This Row],[Min]])-1),Table1[Content Sku],0),18,1,1,"Entities")),"review","ok"),"ok")</f>
        <v>ok</v>
      </c>
    </row>
    <row r="1022" spans="5:41" x14ac:dyDescent="0.25">
      <c r="E1022" t="s">
        <v>254</v>
      </c>
      <c r="F1022">
        <v>0</v>
      </c>
      <c r="G1022">
        <v>0</v>
      </c>
      <c r="H1022" t="s">
        <v>8</v>
      </c>
      <c r="I1022" s="74" t="str">
        <f ca="1">IF(Table7[[#This Row],[Type]]="KILL",IF(_xlfn.NUMBERVALUE(RIGHT(Table7[[#This Row],[Min]],LEN(Table7[[#This Row],[Min]])-FIND("-",Table7[[#This Row],[Min]])))&gt;INDIRECT(ADDRESS(11+MATCH(LEFT(Table7[[#This Row],[Min]],FIND("-",Table7[[#This Row],[Min]])-1),Table1[Content Sku],0),16,1,1,"Entities")),"review","ok"),"ok")</f>
        <v>ok</v>
      </c>
      <c r="U1022" t="s">
        <v>253</v>
      </c>
      <c r="V1022">
        <v>0</v>
      </c>
      <c r="W1022">
        <v>0</v>
      </c>
      <c r="X1022" t="s">
        <v>8</v>
      </c>
      <c r="Y1022" s="74" t="str">
        <f ca="1">IF(Table15[[#This Row],[Type]]="KILL",IF(_xlfn.NUMBERVALUE(RIGHT(Table15[[#This Row],[Min]],LEN(Table15[[#This Row],[Min]])-FIND("-",Table15[[#This Row],[Min]])))&gt;INDIRECT(ADDRESS(11+MATCH(LEFT(Table15[[#This Row],[Min]],FIND("-",Table15[[#This Row],[Min]])-1),Table1[Content Sku],0),16,1,1,"Entities")),"review","ok"),"ok")</f>
        <v>ok</v>
      </c>
      <c r="AK1022" t="s">
        <v>545</v>
      </c>
      <c r="AL1022">
        <v>0</v>
      </c>
      <c r="AM1022">
        <v>0</v>
      </c>
      <c r="AN1022" t="s">
        <v>8</v>
      </c>
      <c r="AO1022" s="74" t="str">
        <f ca="1">IF(Table20[[#This Row],[Type]]="KILL",IF(_xlfn.NUMBERVALUE(RIGHT(Table20[[#This Row],[Min]],LEN(Table20[[#This Row],[Min]])-FIND("-",Table20[[#This Row],[Min]])))&gt;INDIRECT(ADDRESS(11+MATCH(LEFT(Table20[[#This Row],[Min]],FIND("-",Table20[[#This Row],[Min]])-1),Table1[Content Sku],0),18,1,1,"Entities")),"review","ok"),"ok")</f>
        <v>ok</v>
      </c>
    </row>
    <row r="1023" spans="5:41" x14ac:dyDescent="0.25">
      <c r="E1023" t="s">
        <v>2741</v>
      </c>
      <c r="F1023">
        <v>0</v>
      </c>
      <c r="G1023">
        <v>0</v>
      </c>
      <c r="H1023" t="s">
        <v>8</v>
      </c>
      <c r="I1023" s="74" t="str">
        <f ca="1">IF(Table7[[#This Row],[Type]]="KILL",IF(_xlfn.NUMBERVALUE(RIGHT(Table7[[#This Row],[Min]],LEN(Table7[[#This Row],[Min]])-FIND("-",Table7[[#This Row],[Min]])))&gt;INDIRECT(ADDRESS(11+MATCH(LEFT(Table7[[#This Row],[Min]],FIND("-",Table7[[#This Row],[Min]])-1),Table1[Content Sku],0),16,1,1,"Entities")),"review","ok"),"ok")</f>
        <v>ok</v>
      </c>
      <c r="U1023" t="s">
        <v>340</v>
      </c>
      <c r="V1023">
        <v>0</v>
      </c>
      <c r="W1023">
        <v>19000</v>
      </c>
      <c r="X1023" t="s">
        <v>205</v>
      </c>
      <c r="Y1023" s="74" t="str">
        <f ca="1">IF(Table15[[#This Row],[Type]]="KILL",IF(_xlfn.NUMBERVALUE(RIGHT(Table15[[#This Row],[Min]],LEN(Table15[[#This Row],[Min]])-FIND("-",Table15[[#This Row],[Min]])))&gt;INDIRECT(ADDRESS(11+MATCH(LEFT(Table15[[#This Row],[Min]],FIND("-",Table15[[#This Row],[Min]])-1),Table1[Content Sku],0),16,1,1,"Entities")),"review","ok"),"ok")</f>
        <v>ok</v>
      </c>
      <c r="AK1023" t="s">
        <v>548</v>
      </c>
      <c r="AL1023">
        <v>0</v>
      </c>
      <c r="AM1023">
        <v>0</v>
      </c>
      <c r="AN1023" t="s">
        <v>8</v>
      </c>
      <c r="AO1023" s="74" t="str">
        <f ca="1">IF(Table20[[#This Row],[Type]]="KILL",IF(_xlfn.NUMBERVALUE(RIGHT(Table20[[#This Row],[Min]],LEN(Table20[[#This Row],[Min]])-FIND("-",Table20[[#This Row],[Min]])))&gt;INDIRECT(ADDRESS(11+MATCH(LEFT(Table20[[#This Row],[Min]],FIND("-",Table20[[#This Row],[Min]])-1),Table1[Content Sku],0),18,1,1,"Entities")),"review","ok"),"ok")</f>
        <v>ok</v>
      </c>
    </row>
    <row r="1024" spans="5:41" x14ac:dyDescent="0.25">
      <c r="E1024" t="s">
        <v>318</v>
      </c>
      <c r="F1024">
        <v>0</v>
      </c>
      <c r="G1024">
        <v>0</v>
      </c>
      <c r="H1024" t="s">
        <v>8</v>
      </c>
      <c r="I1024" s="74" t="str">
        <f ca="1">IF(Table7[[#This Row],[Type]]="KILL",IF(_xlfn.NUMBERVALUE(RIGHT(Table7[[#This Row],[Min]],LEN(Table7[[#This Row],[Min]])-FIND("-",Table7[[#This Row],[Min]])))&gt;INDIRECT(ADDRESS(11+MATCH(LEFT(Table7[[#This Row],[Min]],FIND("-",Table7[[#This Row],[Min]])-1),Table1[Content Sku],0),16,1,1,"Entities")),"review","ok"),"ok")</f>
        <v>ok</v>
      </c>
      <c r="U1024" t="s">
        <v>8133</v>
      </c>
      <c r="V1024">
        <v>0</v>
      </c>
      <c r="W1024">
        <v>0</v>
      </c>
      <c r="X1024" t="s">
        <v>8</v>
      </c>
      <c r="Y1024" s="74" t="str">
        <f ca="1">IF(Table15[[#This Row],[Type]]="KILL",IF(_xlfn.NUMBERVALUE(RIGHT(Table15[[#This Row],[Min]],LEN(Table15[[#This Row],[Min]])-FIND("-",Table15[[#This Row],[Min]])))&gt;INDIRECT(ADDRESS(11+MATCH(LEFT(Table15[[#This Row],[Min]],FIND("-",Table15[[#This Row],[Min]])-1),Table1[Content Sku],0),16,1,1,"Entities")),"review","ok"),"ok")</f>
        <v>ok</v>
      </c>
      <c r="AK1024" t="s">
        <v>95</v>
      </c>
      <c r="AL1024">
        <v>0</v>
      </c>
      <c r="AM1024">
        <v>0</v>
      </c>
      <c r="AN1024" t="s">
        <v>8</v>
      </c>
      <c r="AO1024" s="74" t="str">
        <f ca="1">IF(Table20[[#This Row],[Type]]="KILL",IF(_xlfn.NUMBERVALUE(RIGHT(Table20[[#This Row],[Min]],LEN(Table20[[#This Row],[Min]])-FIND("-",Table20[[#This Row],[Min]])))&gt;INDIRECT(ADDRESS(11+MATCH(LEFT(Table20[[#This Row],[Min]],FIND("-",Table20[[#This Row],[Min]])-1),Table1[Content Sku],0),18,1,1,"Entities")),"review","ok"),"ok")</f>
        <v>ok</v>
      </c>
    </row>
    <row r="1025" spans="5:41" x14ac:dyDescent="0.25">
      <c r="E1025" t="s">
        <v>0</v>
      </c>
      <c r="F1025">
        <v>35000</v>
      </c>
      <c r="G1025">
        <v>0</v>
      </c>
      <c r="H1025" t="s">
        <v>205</v>
      </c>
      <c r="I1025" s="74" t="str">
        <f ca="1">IF(Table7[[#This Row],[Type]]="KILL",IF(_xlfn.NUMBERVALUE(RIGHT(Table7[[#This Row],[Min]],LEN(Table7[[#This Row],[Min]])-FIND("-",Table7[[#This Row],[Min]])))&gt;INDIRECT(ADDRESS(11+MATCH(LEFT(Table7[[#This Row],[Min]],FIND("-",Table7[[#This Row],[Min]])-1),Table1[Content Sku],0),16,1,1,"Entities")),"review","ok"),"ok")</f>
        <v>ok</v>
      </c>
      <c r="U1025" t="s">
        <v>253</v>
      </c>
      <c r="V1025">
        <v>0</v>
      </c>
      <c r="W1025">
        <v>0</v>
      </c>
      <c r="X1025" t="s">
        <v>8</v>
      </c>
      <c r="Y1025" s="74" t="str">
        <f ca="1">IF(Table15[[#This Row],[Type]]="KILL",IF(_xlfn.NUMBERVALUE(RIGHT(Table15[[#This Row],[Min]],LEN(Table15[[#This Row],[Min]])-FIND("-",Table15[[#This Row],[Min]])))&gt;INDIRECT(ADDRESS(11+MATCH(LEFT(Table15[[#This Row],[Min]],FIND("-",Table15[[#This Row],[Min]])-1),Table1[Content Sku],0),16,1,1,"Entities")),"review","ok"),"ok")</f>
        <v>ok</v>
      </c>
      <c r="AK1025" t="s">
        <v>313</v>
      </c>
      <c r="AL1025">
        <v>0</v>
      </c>
      <c r="AM1025">
        <v>0</v>
      </c>
      <c r="AN1025" t="s">
        <v>8</v>
      </c>
      <c r="AO1025" s="74" t="str">
        <f ca="1">IF(Table20[[#This Row],[Type]]="KILL",IF(_xlfn.NUMBERVALUE(RIGHT(Table20[[#This Row],[Min]],LEN(Table20[[#This Row],[Min]])-FIND("-",Table20[[#This Row],[Min]])))&gt;INDIRECT(ADDRESS(11+MATCH(LEFT(Table20[[#This Row],[Min]],FIND("-",Table20[[#This Row],[Min]])-1),Table1[Content Sku],0),18,1,1,"Entities")),"review","ok"),"ok")</f>
        <v>ok</v>
      </c>
    </row>
    <row r="1026" spans="5:41" x14ac:dyDescent="0.25">
      <c r="E1026" t="s">
        <v>406</v>
      </c>
      <c r="F1026">
        <v>0</v>
      </c>
      <c r="G1026">
        <v>0</v>
      </c>
      <c r="H1026" t="s">
        <v>8</v>
      </c>
      <c r="I1026" s="74" t="str">
        <f ca="1">IF(Table7[[#This Row],[Type]]="KILL",IF(_xlfn.NUMBERVALUE(RIGHT(Table7[[#This Row],[Min]],LEN(Table7[[#This Row],[Min]])-FIND("-",Table7[[#This Row],[Min]])))&gt;INDIRECT(ADDRESS(11+MATCH(LEFT(Table7[[#This Row],[Min]],FIND("-",Table7[[#This Row],[Min]])-1),Table1[Content Sku],0),16,1,1,"Entities")),"review","ok"),"ok")</f>
        <v>ok</v>
      </c>
      <c r="U1026" t="s">
        <v>313</v>
      </c>
      <c r="V1026">
        <v>0</v>
      </c>
      <c r="W1026">
        <v>0</v>
      </c>
      <c r="X1026" t="s">
        <v>8</v>
      </c>
      <c r="Y1026" s="74" t="str">
        <f ca="1">IF(Table15[[#This Row],[Type]]="KILL",IF(_xlfn.NUMBERVALUE(RIGHT(Table15[[#This Row],[Min]],LEN(Table15[[#This Row],[Min]])-FIND("-",Table15[[#This Row],[Min]])))&gt;INDIRECT(ADDRESS(11+MATCH(LEFT(Table15[[#This Row],[Min]],FIND("-",Table15[[#This Row],[Min]])-1),Table1[Content Sku],0),16,1,1,"Entities")),"review","ok"),"ok")</f>
        <v>ok</v>
      </c>
      <c r="AK1026" t="s">
        <v>482</v>
      </c>
      <c r="AL1026">
        <v>0</v>
      </c>
      <c r="AM1026">
        <v>0</v>
      </c>
      <c r="AN1026" t="s">
        <v>8</v>
      </c>
      <c r="AO1026" s="74" t="str">
        <f ca="1">IF(Table20[[#This Row],[Type]]="KILL",IF(_xlfn.NUMBERVALUE(RIGHT(Table20[[#This Row],[Min]],LEN(Table20[[#This Row],[Min]])-FIND("-",Table20[[#This Row],[Min]])))&gt;INDIRECT(ADDRESS(11+MATCH(LEFT(Table20[[#This Row],[Min]],FIND("-",Table20[[#This Row],[Min]])-1),Table1[Content Sku],0),18,1,1,"Entities")),"review","ok"),"ok")</f>
        <v>ok</v>
      </c>
    </row>
    <row r="1027" spans="5:41" x14ac:dyDescent="0.25">
      <c r="E1027" t="s">
        <v>2732</v>
      </c>
      <c r="F1027">
        <v>0</v>
      </c>
      <c r="G1027">
        <v>0</v>
      </c>
      <c r="H1027" t="s">
        <v>8</v>
      </c>
      <c r="I1027" s="74" t="str">
        <f ca="1">IF(Table7[[#This Row],[Type]]="KILL",IF(_xlfn.NUMBERVALUE(RIGHT(Table7[[#This Row],[Min]],LEN(Table7[[#This Row],[Min]])-FIND("-",Table7[[#This Row],[Min]])))&gt;INDIRECT(ADDRESS(11+MATCH(LEFT(Table7[[#This Row],[Min]],FIND("-",Table7[[#This Row],[Min]])-1),Table1[Content Sku],0),16,1,1,"Entities")),"review","ok"),"ok")</f>
        <v>ok</v>
      </c>
      <c r="U1027" t="s">
        <v>313</v>
      </c>
      <c r="V1027">
        <v>0</v>
      </c>
      <c r="W1027">
        <v>0</v>
      </c>
      <c r="X1027" t="s">
        <v>8</v>
      </c>
      <c r="Y1027" s="74" t="str">
        <f ca="1">IF(Table15[[#This Row],[Type]]="KILL",IF(_xlfn.NUMBERVALUE(RIGHT(Table15[[#This Row],[Min]],LEN(Table15[[#This Row],[Min]])-FIND("-",Table15[[#This Row],[Min]])))&gt;INDIRECT(ADDRESS(11+MATCH(LEFT(Table15[[#This Row],[Min]],FIND("-",Table15[[#This Row],[Min]])-1),Table1[Content Sku],0),16,1,1,"Entities")),"review","ok"),"ok")</f>
        <v>ok</v>
      </c>
      <c r="AK1027" t="s">
        <v>2670</v>
      </c>
      <c r="AL1027">
        <v>0</v>
      </c>
      <c r="AM1027">
        <v>0</v>
      </c>
      <c r="AN1027" t="s">
        <v>8</v>
      </c>
      <c r="AO1027" s="74" t="str">
        <f ca="1">IF(Table20[[#This Row],[Type]]="KILL",IF(_xlfn.NUMBERVALUE(RIGHT(Table20[[#This Row],[Min]],LEN(Table20[[#This Row],[Min]])-FIND("-",Table20[[#This Row],[Min]])))&gt;INDIRECT(ADDRESS(11+MATCH(LEFT(Table20[[#This Row],[Min]],FIND("-",Table20[[#This Row],[Min]])-1),Table1[Content Sku],0),18,1,1,"Entities")),"review","ok"),"ok")</f>
        <v>ok</v>
      </c>
    </row>
    <row r="1028" spans="5:41" x14ac:dyDescent="0.25">
      <c r="E1028" t="s">
        <v>8133</v>
      </c>
      <c r="F1028">
        <v>0</v>
      </c>
      <c r="G1028">
        <v>0</v>
      </c>
      <c r="H1028" t="s">
        <v>8</v>
      </c>
      <c r="I1028" s="74" t="str">
        <f ca="1">IF(Table7[[#This Row],[Type]]="KILL",IF(_xlfn.NUMBERVALUE(RIGHT(Table7[[#This Row],[Min]],LEN(Table7[[#This Row],[Min]])-FIND("-",Table7[[#This Row],[Min]])))&gt;INDIRECT(ADDRESS(11+MATCH(LEFT(Table7[[#This Row],[Min]],FIND("-",Table7[[#This Row],[Min]])-1),Table1[Content Sku],0),16,1,1,"Entities")),"review","ok"),"ok")</f>
        <v>ok</v>
      </c>
      <c r="U1028" t="s">
        <v>283</v>
      </c>
      <c r="V1028">
        <v>24000</v>
      </c>
      <c r="W1028">
        <v>0</v>
      </c>
      <c r="X1028" t="s">
        <v>205</v>
      </c>
      <c r="Y1028" s="74" t="str">
        <f ca="1">IF(Table15[[#This Row],[Type]]="KILL",IF(_xlfn.NUMBERVALUE(RIGHT(Table15[[#This Row],[Min]],LEN(Table15[[#This Row],[Min]])-FIND("-",Table15[[#This Row],[Min]])))&gt;INDIRECT(ADDRESS(11+MATCH(LEFT(Table15[[#This Row],[Min]],FIND("-",Table15[[#This Row],[Min]])-1),Table1[Content Sku],0),16,1,1,"Entities")),"review","ok"),"ok")</f>
        <v>ok</v>
      </c>
      <c r="AK1028" t="s">
        <v>2663</v>
      </c>
      <c r="AL1028">
        <v>0</v>
      </c>
      <c r="AM1028">
        <v>0</v>
      </c>
      <c r="AN1028" t="s">
        <v>8</v>
      </c>
      <c r="AO1028" s="74" t="str">
        <f ca="1">IF(Table20[[#This Row],[Type]]="KILL",IF(_xlfn.NUMBERVALUE(RIGHT(Table20[[#This Row],[Min]],LEN(Table20[[#This Row],[Min]])-FIND("-",Table20[[#This Row],[Min]])))&gt;INDIRECT(ADDRESS(11+MATCH(LEFT(Table20[[#This Row],[Min]],FIND("-",Table20[[#This Row],[Min]])-1),Table1[Content Sku],0),18,1,1,"Entities")),"review","ok"),"ok")</f>
        <v>ok</v>
      </c>
    </row>
    <row r="1029" spans="5:41" x14ac:dyDescent="0.25">
      <c r="E1029" t="s">
        <v>36</v>
      </c>
      <c r="F1029">
        <v>6650</v>
      </c>
      <c r="G1029">
        <v>0</v>
      </c>
      <c r="H1029" t="s">
        <v>205</v>
      </c>
      <c r="I1029" s="74" t="str">
        <f ca="1">IF(Table7[[#This Row],[Type]]="KILL",IF(_xlfn.NUMBERVALUE(RIGHT(Table7[[#This Row],[Min]],LEN(Table7[[#This Row],[Min]])-FIND("-",Table7[[#This Row],[Min]])))&gt;INDIRECT(ADDRESS(11+MATCH(LEFT(Table7[[#This Row],[Min]],FIND("-",Table7[[#This Row],[Min]])-1),Table1[Content Sku],0),16,1,1,"Entities")),"review","ok"),"ok")</f>
        <v>ok</v>
      </c>
      <c r="U1029" t="s">
        <v>2747</v>
      </c>
      <c r="V1029">
        <v>0</v>
      </c>
      <c r="W1029">
        <v>0</v>
      </c>
      <c r="X1029" t="s">
        <v>8</v>
      </c>
      <c r="Y1029" s="74" t="str">
        <f ca="1">IF(Table15[[#This Row],[Type]]="KILL",IF(_xlfn.NUMBERVALUE(RIGHT(Table15[[#This Row],[Min]],LEN(Table15[[#This Row],[Min]])-FIND("-",Table15[[#This Row],[Min]])))&gt;INDIRECT(ADDRESS(11+MATCH(LEFT(Table15[[#This Row],[Min]],FIND("-",Table15[[#This Row],[Min]])-1),Table1[Content Sku],0),16,1,1,"Entities")),"review","ok"),"ok")</f>
        <v>ok</v>
      </c>
      <c r="AK1029" t="s">
        <v>46</v>
      </c>
      <c r="AL1029">
        <v>35000</v>
      </c>
      <c r="AM1029">
        <v>0</v>
      </c>
      <c r="AN1029" t="s">
        <v>205</v>
      </c>
      <c r="AO1029" s="74" t="str">
        <f ca="1">IF(Table20[[#This Row],[Type]]="KILL",IF(_xlfn.NUMBERVALUE(RIGHT(Table20[[#This Row],[Min]],LEN(Table20[[#This Row],[Min]])-FIND("-",Table20[[#This Row],[Min]])))&gt;INDIRECT(ADDRESS(11+MATCH(LEFT(Table20[[#This Row],[Min]],FIND("-",Table20[[#This Row],[Min]])-1),Table1[Content Sku],0),18,1,1,"Entities")),"review","ok"),"ok")</f>
        <v>ok</v>
      </c>
    </row>
    <row r="1030" spans="5:41" x14ac:dyDescent="0.25">
      <c r="E1030" t="s">
        <v>254</v>
      </c>
      <c r="F1030">
        <v>0</v>
      </c>
      <c r="G1030">
        <v>0</v>
      </c>
      <c r="H1030" t="s">
        <v>8</v>
      </c>
      <c r="I1030" s="74" t="str">
        <f ca="1">IF(Table7[[#This Row],[Type]]="KILL",IF(_xlfn.NUMBERVALUE(RIGHT(Table7[[#This Row],[Min]],LEN(Table7[[#This Row],[Min]])-FIND("-",Table7[[#This Row],[Min]])))&gt;INDIRECT(ADDRESS(11+MATCH(LEFT(Table7[[#This Row],[Min]],FIND("-",Table7[[#This Row],[Min]])-1),Table1[Content Sku],0),16,1,1,"Entities")),"review","ok"),"ok")</f>
        <v>ok</v>
      </c>
      <c r="U1030" t="s">
        <v>289</v>
      </c>
      <c r="V1030">
        <v>0</v>
      </c>
      <c r="W1030">
        <v>0</v>
      </c>
      <c r="X1030" t="s">
        <v>8</v>
      </c>
      <c r="Y1030" s="74" t="str">
        <f ca="1">IF(Table15[[#This Row],[Type]]="KILL",IF(_xlfn.NUMBERVALUE(RIGHT(Table15[[#This Row],[Min]],LEN(Table15[[#This Row],[Min]])-FIND("-",Table15[[#This Row],[Min]])))&gt;INDIRECT(ADDRESS(11+MATCH(LEFT(Table15[[#This Row],[Min]],FIND("-",Table15[[#This Row],[Min]])-1),Table1[Content Sku],0),16,1,1,"Entities")),"review","ok"),"ok")</f>
        <v>ok</v>
      </c>
      <c r="AK1030" t="s">
        <v>2767</v>
      </c>
      <c r="AL1030">
        <v>0</v>
      </c>
      <c r="AM1030">
        <v>0</v>
      </c>
      <c r="AN1030" t="s">
        <v>8</v>
      </c>
      <c r="AO1030" s="74" t="str">
        <f ca="1">IF(Table20[[#This Row],[Type]]="KILL",IF(_xlfn.NUMBERVALUE(RIGHT(Table20[[#This Row],[Min]],LEN(Table20[[#This Row],[Min]])-FIND("-",Table20[[#This Row],[Min]])))&gt;INDIRECT(ADDRESS(11+MATCH(LEFT(Table20[[#This Row],[Min]],FIND("-",Table20[[#This Row],[Min]])-1),Table1[Content Sku],0),18,1,1,"Entities")),"review","ok"),"ok")</f>
        <v>ok</v>
      </c>
    </row>
    <row r="1031" spans="5:41" x14ac:dyDescent="0.25">
      <c r="E1031" t="s">
        <v>123</v>
      </c>
      <c r="F1031" t="s">
        <v>8116</v>
      </c>
      <c r="G1031" t="s">
        <v>4467</v>
      </c>
      <c r="H1031" t="s">
        <v>4468</v>
      </c>
      <c r="I1031" s="74" t="str">
        <f ca="1">IF(Table7[[#This Row],[Type]]="KILL",IF(_xlfn.NUMBERVALUE(RIGHT(Table7[[#This Row],[Min]],LEN(Table7[[#This Row],[Min]])-FIND("-",Table7[[#This Row],[Min]])))&gt;INDIRECT(ADDRESS(11+MATCH(LEFT(Table7[[#This Row],[Min]],FIND("-",Table7[[#This Row],[Min]])-1),Table1[Content Sku],0),16,1,1,"Entities")),"review","ok"),"ok")</f>
        <v>review</v>
      </c>
      <c r="U1031" t="s">
        <v>8133</v>
      </c>
      <c r="V1031">
        <v>0</v>
      </c>
      <c r="W1031">
        <v>0</v>
      </c>
      <c r="X1031" t="s">
        <v>8</v>
      </c>
      <c r="Y1031" s="74" t="str">
        <f ca="1">IF(Table15[[#This Row],[Type]]="KILL",IF(_xlfn.NUMBERVALUE(RIGHT(Table15[[#This Row],[Min]],LEN(Table15[[#This Row],[Min]])-FIND("-",Table15[[#This Row],[Min]])))&gt;INDIRECT(ADDRESS(11+MATCH(LEFT(Table15[[#This Row],[Min]],FIND("-",Table15[[#This Row],[Min]])-1),Table1[Content Sku],0),16,1,1,"Entities")),"review","ok"),"ok")</f>
        <v>ok</v>
      </c>
      <c r="AK1031" t="s">
        <v>2767</v>
      </c>
      <c r="AL1031">
        <v>0</v>
      </c>
      <c r="AM1031">
        <v>0</v>
      </c>
      <c r="AN1031" t="s">
        <v>8</v>
      </c>
      <c r="AO1031" s="74" t="str">
        <f ca="1">IF(Table20[[#This Row],[Type]]="KILL",IF(_xlfn.NUMBERVALUE(RIGHT(Table20[[#This Row],[Min]],LEN(Table20[[#This Row],[Min]])-FIND("-",Table20[[#This Row],[Min]])))&gt;INDIRECT(ADDRESS(11+MATCH(LEFT(Table20[[#This Row],[Min]],FIND("-",Table20[[#This Row],[Min]])-1),Table1[Content Sku],0),18,1,1,"Entities")),"review","ok"),"ok")</f>
        <v>ok</v>
      </c>
    </row>
    <row r="1032" spans="5:41" x14ac:dyDescent="0.25">
      <c r="E1032" t="s">
        <v>295</v>
      </c>
      <c r="F1032">
        <v>0</v>
      </c>
      <c r="G1032">
        <v>0</v>
      </c>
      <c r="H1032" t="s">
        <v>8</v>
      </c>
      <c r="I1032" s="74" t="str">
        <f ca="1">IF(Table7[[#This Row],[Type]]="KILL",IF(_xlfn.NUMBERVALUE(RIGHT(Table7[[#This Row],[Min]],LEN(Table7[[#This Row],[Min]])-FIND("-",Table7[[#This Row],[Min]])))&gt;INDIRECT(ADDRESS(11+MATCH(LEFT(Table7[[#This Row],[Min]],FIND("-",Table7[[#This Row],[Min]])-1),Table1[Content Sku],0),16,1,1,"Entities")),"review","ok"),"ok")</f>
        <v>ok</v>
      </c>
      <c r="U1032" t="s">
        <v>545</v>
      </c>
      <c r="V1032">
        <v>0</v>
      </c>
      <c r="W1032">
        <v>0</v>
      </c>
      <c r="X1032" t="s">
        <v>8</v>
      </c>
      <c r="Y1032" s="74" t="str">
        <f ca="1">IF(Table15[[#This Row],[Type]]="KILL",IF(_xlfn.NUMBERVALUE(RIGHT(Table15[[#This Row],[Min]],LEN(Table15[[#This Row],[Min]])-FIND("-",Table15[[#This Row],[Min]])))&gt;INDIRECT(ADDRESS(11+MATCH(LEFT(Table15[[#This Row],[Min]],FIND("-",Table15[[#This Row],[Min]])-1),Table1[Content Sku],0),16,1,1,"Entities")),"review","ok"),"ok")</f>
        <v>ok</v>
      </c>
      <c r="AK1032" t="s">
        <v>40</v>
      </c>
      <c r="AL1032">
        <v>0</v>
      </c>
      <c r="AM1032">
        <v>0</v>
      </c>
      <c r="AN1032" t="s">
        <v>8</v>
      </c>
      <c r="AO1032" s="74" t="str">
        <f ca="1">IF(Table20[[#This Row],[Type]]="KILL",IF(_xlfn.NUMBERVALUE(RIGHT(Table20[[#This Row],[Min]],LEN(Table20[[#This Row],[Min]])-FIND("-",Table20[[#This Row],[Min]])))&gt;INDIRECT(ADDRESS(11+MATCH(LEFT(Table20[[#This Row],[Min]],FIND("-",Table20[[#This Row],[Min]])-1),Table1[Content Sku],0),18,1,1,"Entities")),"review","ok"),"ok")</f>
        <v>ok</v>
      </c>
    </row>
    <row r="1033" spans="5:41" x14ac:dyDescent="0.25">
      <c r="E1033" t="s">
        <v>2741</v>
      </c>
      <c r="F1033">
        <v>0</v>
      </c>
      <c r="G1033">
        <v>0</v>
      </c>
      <c r="H1033" t="s">
        <v>8</v>
      </c>
      <c r="I1033" s="74" t="str">
        <f ca="1">IF(Table7[[#This Row],[Type]]="KILL",IF(_xlfn.NUMBERVALUE(RIGHT(Table7[[#This Row],[Min]],LEN(Table7[[#This Row],[Min]])-FIND("-",Table7[[#This Row],[Min]])))&gt;INDIRECT(ADDRESS(11+MATCH(LEFT(Table7[[#This Row],[Min]],FIND("-",Table7[[#This Row],[Min]])-1),Table1[Content Sku],0),16,1,1,"Entities")),"review","ok"),"ok")</f>
        <v>ok</v>
      </c>
      <c r="U1033" t="s">
        <v>309</v>
      </c>
      <c r="V1033">
        <v>0</v>
      </c>
      <c r="W1033">
        <v>0</v>
      </c>
      <c r="X1033" t="s">
        <v>8</v>
      </c>
      <c r="Y1033" s="74" t="str">
        <f ca="1">IF(Table15[[#This Row],[Type]]="KILL",IF(_xlfn.NUMBERVALUE(RIGHT(Table15[[#This Row],[Min]],LEN(Table15[[#This Row],[Min]])-FIND("-",Table15[[#This Row],[Min]])))&gt;INDIRECT(ADDRESS(11+MATCH(LEFT(Table15[[#This Row],[Min]],FIND("-",Table15[[#This Row],[Min]])-1),Table1[Content Sku],0),16,1,1,"Entities")),"review","ok"),"ok")</f>
        <v>ok</v>
      </c>
      <c r="AK1033" t="s">
        <v>122</v>
      </c>
      <c r="AL1033">
        <v>0</v>
      </c>
      <c r="AM1033">
        <v>0</v>
      </c>
      <c r="AN1033" t="s">
        <v>8</v>
      </c>
      <c r="AO1033" s="74" t="str">
        <f ca="1">IF(Table20[[#This Row],[Type]]="KILL",IF(_xlfn.NUMBERVALUE(RIGHT(Table20[[#This Row],[Min]],LEN(Table20[[#This Row],[Min]])-FIND("-",Table20[[#This Row],[Min]])))&gt;INDIRECT(ADDRESS(11+MATCH(LEFT(Table20[[#This Row],[Min]],FIND("-",Table20[[#This Row],[Min]])-1),Table1[Content Sku],0),18,1,1,"Entities")),"review","ok"),"ok")</f>
        <v>ok</v>
      </c>
    </row>
    <row r="1034" spans="5:41" x14ac:dyDescent="0.25">
      <c r="E1034" t="s">
        <v>8133</v>
      </c>
      <c r="F1034">
        <v>0</v>
      </c>
      <c r="G1034">
        <v>0</v>
      </c>
      <c r="H1034" t="s">
        <v>8</v>
      </c>
      <c r="I1034" s="74" t="str">
        <f ca="1">IF(Table7[[#This Row],[Type]]="KILL",IF(_xlfn.NUMBERVALUE(RIGHT(Table7[[#This Row],[Min]],LEN(Table7[[#This Row],[Min]])-FIND("-",Table7[[#This Row],[Min]])))&gt;INDIRECT(ADDRESS(11+MATCH(LEFT(Table7[[#This Row],[Min]],FIND("-",Table7[[#This Row],[Min]])-1),Table1[Content Sku],0),16,1,1,"Entities")),"review","ok"),"ok")</f>
        <v>ok</v>
      </c>
      <c r="U1034" t="s">
        <v>280</v>
      </c>
      <c r="V1034">
        <v>0</v>
      </c>
      <c r="W1034">
        <v>0</v>
      </c>
      <c r="X1034" t="s">
        <v>8</v>
      </c>
      <c r="Y1034" s="74" t="str">
        <f ca="1">IF(Table15[[#This Row],[Type]]="KILL",IF(_xlfn.NUMBERVALUE(RIGHT(Table15[[#This Row],[Min]],LEN(Table15[[#This Row],[Min]])-FIND("-",Table15[[#This Row],[Min]])))&gt;INDIRECT(ADDRESS(11+MATCH(LEFT(Table15[[#This Row],[Min]],FIND("-",Table15[[#This Row],[Min]])-1),Table1[Content Sku],0),16,1,1,"Entities")),"review","ok"),"ok")</f>
        <v>ok</v>
      </c>
      <c r="AK1034" t="s">
        <v>257</v>
      </c>
      <c r="AL1034">
        <v>0</v>
      </c>
      <c r="AM1034">
        <v>42000</v>
      </c>
      <c r="AN1034" t="s">
        <v>205</v>
      </c>
      <c r="AO1034" s="74" t="str">
        <f ca="1">IF(Table20[[#This Row],[Type]]="KILL",IF(_xlfn.NUMBERVALUE(RIGHT(Table20[[#This Row],[Min]],LEN(Table20[[#This Row],[Min]])-FIND("-",Table20[[#This Row],[Min]])))&gt;INDIRECT(ADDRESS(11+MATCH(LEFT(Table20[[#This Row],[Min]],FIND("-",Table20[[#This Row],[Min]])-1),Table1[Content Sku],0),18,1,1,"Entities")),"review","ok"),"ok")</f>
        <v>ok</v>
      </c>
    </row>
    <row r="1035" spans="5:41" x14ac:dyDescent="0.25">
      <c r="E1035" t="s">
        <v>43</v>
      </c>
      <c r="F1035">
        <v>400</v>
      </c>
      <c r="G1035">
        <v>0</v>
      </c>
      <c r="H1035" t="s">
        <v>4431</v>
      </c>
      <c r="I1035" s="74" t="str">
        <f ca="1">IF(Table7[[#This Row],[Type]]="KILL",IF(_xlfn.NUMBERVALUE(RIGHT(Table7[[#This Row],[Min]],LEN(Table7[[#This Row],[Min]])-FIND("-",Table7[[#This Row],[Min]])))&gt;INDIRECT(ADDRESS(11+MATCH(LEFT(Table7[[#This Row],[Min]],FIND("-",Table7[[#This Row],[Min]])-1),Table1[Content Sku],0),16,1,1,"Entities")),"review","ok"),"ok")</f>
        <v>ok</v>
      </c>
      <c r="U1035" t="s">
        <v>286</v>
      </c>
      <c r="V1035">
        <v>0</v>
      </c>
      <c r="W1035">
        <v>0</v>
      </c>
      <c r="X1035" t="s">
        <v>8</v>
      </c>
      <c r="Y1035" s="74" t="str">
        <f ca="1">IF(Table15[[#This Row],[Type]]="KILL",IF(_xlfn.NUMBERVALUE(RIGHT(Table15[[#This Row],[Min]],LEN(Table15[[#This Row],[Min]])-FIND("-",Table15[[#This Row],[Min]])))&gt;INDIRECT(ADDRESS(11+MATCH(LEFT(Table15[[#This Row],[Min]],FIND("-",Table15[[#This Row],[Min]])-1),Table1[Content Sku],0),16,1,1,"Entities")),"review","ok"),"ok")</f>
        <v>ok</v>
      </c>
      <c r="AK1035" t="s">
        <v>2678</v>
      </c>
      <c r="AL1035">
        <v>33000</v>
      </c>
      <c r="AM1035">
        <v>0</v>
      </c>
      <c r="AN1035" t="s">
        <v>205</v>
      </c>
      <c r="AO1035" s="74" t="str">
        <f ca="1">IF(Table20[[#This Row],[Type]]="KILL",IF(_xlfn.NUMBERVALUE(RIGHT(Table20[[#This Row],[Min]],LEN(Table20[[#This Row],[Min]])-FIND("-",Table20[[#This Row],[Min]])))&gt;INDIRECT(ADDRESS(11+MATCH(LEFT(Table20[[#This Row],[Min]],FIND("-",Table20[[#This Row],[Min]])-1),Table1[Content Sku],0),18,1,1,"Entities")),"review","ok"),"ok")</f>
        <v>ok</v>
      </c>
    </row>
    <row r="1036" spans="5:41" x14ac:dyDescent="0.25">
      <c r="E1036" t="s">
        <v>253</v>
      </c>
      <c r="F1036">
        <v>0</v>
      </c>
      <c r="G1036">
        <v>0</v>
      </c>
      <c r="H1036" t="s">
        <v>8</v>
      </c>
      <c r="I1036" s="74" t="str">
        <f ca="1">IF(Table7[[#This Row],[Type]]="KILL",IF(_xlfn.NUMBERVALUE(RIGHT(Table7[[#This Row],[Min]],LEN(Table7[[#This Row],[Min]])-FIND("-",Table7[[#This Row],[Min]])))&gt;INDIRECT(ADDRESS(11+MATCH(LEFT(Table7[[#This Row],[Min]],FIND("-",Table7[[#This Row],[Min]])-1),Table1[Content Sku],0),16,1,1,"Entities")),"review","ok"),"ok")</f>
        <v>ok</v>
      </c>
      <c r="U1036" t="s">
        <v>392</v>
      </c>
      <c r="V1036">
        <v>300</v>
      </c>
      <c r="W1036">
        <v>0</v>
      </c>
      <c r="X1036" t="s">
        <v>4431</v>
      </c>
      <c r="Y1036" s="74" t="str">
        <f ca="1">IF(Table15[[#This Row],[Type]]="KILL",IF(_xlfn.NUMBERVALUE(RIGHT(Table15[[#This Row],[Min]],LEN(Table15[[#This Row],[Min]])-FIND("-",Table15[[#This Row],[Min]])))&gt;INDIRECT(ADDRESS(11+MATCH(LEFT(Table15[[#This Row],[Min]],FIND("-",Table15[[#This Row],[Min]])-1),Table1[Content Sku],0),16,1,1,"Entities")),"review","ok"),"ok")</f>
        <v>ok</v>
      </c>
      <c r="AK1036" t="s">
        <v>2741</v>
      </c>
      <c r="AL1036">
        <v>0</v>
      </c>
      <c r="AM1036">
        <v>0</v>
      </c>
      <c r="AN1036" t="s">
        <v>8</v>
      </c>
      <c r="AO1036" s="74" t="str">
        <f ca="1">IF(Table20[[#This Row],[Type]]="KILL",IF(_xlfn.NUMBERVALUE(RIGHT(Table20[[#This Row],[Min]],LEN(Table20[[#This Row],[Min]])-FIND("-",Table20[[#This Row],[Min]])))&gt;INDIRECT(ADDRESS(11+MATCH(LEFT(Table20[[#This Row],[Min]],FIND("-",Table20[[#This Row],[Min]])-1),Table1[Content Sku],0),18,1,1,"Entities")),"review","ok"),"ok")</f>
        <v>ok</v>
      </c>
    </row>
    <row r="1037" spans="5:41" x14ac:dyDescent="0.25">
      <c r="E1037" t="s">
        <v>295</v>
      </c>
      <c r="F1037">
        <v>3000</v>
      </c>
      <c r="G1037">
        <v>0</v>
      </c>
      <c r="H1037" t="s">
        <v>205</v>
      </c>
      <c r="I1037" s="74" t="str">
        <f ca="1">IF(Table7[[#This Row],[Type]]="KILL",IF(_xlfn.NUMBERVALUE(RIGHT(Table7[[#This Row],[Min]],LEN(Table7[[#This Row],[Min]])-FIND("-",Table7[[#This Row],[Min]])))&gt;INDIRECT(ADDRESS(11+MATCH(LEFT(Table7[[#This Row],[Min]],FIND("-",Table7[[#This Row],[Min]])-1),Table1[Content Sku],0),16,1,1,"Entities")),"review","ok"),"ok")</f>
        <v>ok</v>
      </c>
      <c r="U1037" t="s">
        <v>122</v>
      </c>
      <c r="V1037">
        <v>0</v>
      </c>
      <c r="W1037">
        <v>0</v>
      </c>
      <c r="X1037" t="s">
        <v>8</v>
      </c>
      <c r="Y1037" s="74" t="str">
        <f ca="1">IF(Table15[[#This Row],[Type]]="KILL",IF(_xlfn.NUMBERVALUE(RIGHT(Table15[[#This Row],[Min]],LEN(Table15[[#This Row],[Min]])-FIND("-",Table15[[#This Row],[Min]])))&gt;INDIRECT(ADDRESS(11+MATCH(LEFT(Table15[[#This Row],[Min]],FIND("-",Table15[[#This Row],[Min]])-1),Table1[Content Sku],0),16,1,1,"Entities")),"review","ok"),"ok")</f>
        <v>ok</v>
      </c>
      <c r="AK1037" t="s">
        <v>2738</v>
      </c>
      <c r="AL1037">
        <v>0</v>
      </c>
      <c r="AM1037">
        <v>0</v>
      </c>
      <c r="AN1037" t="s">
        <v>8</v>
      </c>
      <c r="AO1037" s="74" t="str">
        <f ca="1">IF(Table20[[#This Row],[Type]]="KILL",IF(_xlfn.NUMBERVALUE(RIGHT(Table20[[#This Row],[Min]],LEN(Table20[[#This Row],[Min]])-FIND("-",Table20[[#This Row],[Min]])))&gt;INDIRECT(ADDRESS(11+MATCH(LEFT(Table20[[#This Row],[Min]],FIND("-",Table20[[#This Row],[Min]])-1),Table1[Content Sku],0),18,1,1,"Entities")),"review","ok"),"ok")</f>
        <v>ok</v>
      </c>
    </row>
    <row r="1038" spans="5:41" x14ac:dyDescent="0.25">
      <c r="E1038" t="s">
        <v>39</v>
      </c>
      <c r="F1038">
        <v>0</v>
      </c>
      <c r="G1038">
        <v>4000</v>
      </c>
      <c r="H1038" t="s">
        <v>205</v>
      </c>
      <c r="I1038" s="74" t="str">
        <f ca="1">IF(Table7[[#This Row],[Type]]="KILL",IF(_xlfn.NUMBERVALUE(RIGHT(Table7[[#This Row],[Min]],LEN(Table7[[#This Row],[Min]])-FIND("-",Table7[[#This Row],[Min]])))&gt;INDIRECT(ADDRESS(11+MATCH(LEFT(Table7[[#This Row],[Min]],FIND("-",Table7[[#This Row],[Min]])-1),Table1[Content Sku],0),16,1,1,"Entities")),"review","ok"),"ok")</f>
        <v>ok</v>
      </c>
      <c r="U1038" t="s">
        <v>311</v>
      </c>
      <c r="V1038">
        <v>0</v>
      </c>
      <c r="W1038">
        <v>0</v>
      </c>
      <c r="X1038" t="s">
        <v>8</v>
      </c>
      <c r="Y1038" s="74" t="str">
        <f ca="1">IF(Table15[[#This Row],[Type]]="KILL",IF(_xlfn.NUMBERVALUE(RIGHT(Table15[[#This Row],[Min]],LEN(Table15[[#This Row],[Min]])-FIND("-",Table15[[#This Row],[Min]])))&gt;INDIRECT(ADDRESS(11+MATCH(LEFT(Table15[[#This Row],[Min]],FIND("-",Table15[[#This Row],[Min]])-1),Table1[Content Sku],0),16,1,1,"Entities")),"review","ok"),"ok")</f>
        <v>ok</v>
      </c>
      <c r="AK1038" t="s">
        <v>2663</v>
      </c>
      <c r="AL1038" t="s">
        <v>5014</v>
      </c>
      <c r="AM1038" t="s">
        <v>4467</v>
      </c>
      <c r="AN1038" t="s">
        <v>4468</v>
      </c>
      <c r="AO1038" s="74" t="str">
        <f ca="1">IF(Table20[[#This Row],[Type]]="KILL",IF(_xlfn.NUMBERVALUE(RIGHT(Table20[[#This Row],[Min]],LEN(Table20[[#This Row],[Min]])-FIND("-",Table20[[#This Row],[Min]])))&gt;INDIRECT(ADDRESS(11+MATCH(LEFT(Table20[[#This Row],[Min]],FIND("-",Table20[[#This Row],[Min]])-1),Table1[Content Sku],0),18,1,1,"Entities")),"review","ok"),"ok")</f>
        <v>ok</v>
      </c>
    </row>
    <row r="1039" spans="5:41" x14ac:dyDescent="0.25">
      <c r="E1039" t="s">
        <v>318</v>
      </c>
      <c r="F1039">
        <v>0</v>
      </c>
      <c r="G1039">
        <v>0</v>
      </c>
      <c r="H1039" t="s">
        <v>8</v>
      </c>
      <c r="I1039" s="74" t="str">
        <f ca="1">IF(Table7[[#This Row],[Type]]="KILL",IF(_xlfn.NUMBERVALUE(RIGHT(Table7[[#This Row],[Min]],LEN(Table7[[#This Row],[Min]])-FIND("-",Table7[[#This Row],[Min]])))&gt;INDIRECT(ADDRESS(11+MATCH(LEFT(Table7[[#This Row],[Min]],FIND("-",Table7[[#This Row],[Min]])-1),Table1[Content Sku],0),16,1,1,"Entities")),"review","ok"),"ok")</f>
        <v>ok</v>
      </c>
      <c r="U1039" t="s">
        <v>254</v>
      </c>
      <c r="V1039">
        <v>0</v>
      </c>
      <c r="W1039">
        <v>0</v>
      </c>
      <c r="X1039" t="s">
        <v>8</v>
      </c>
      <c r="Y1039" s="74" t="str">
        <f ca="1">IF(Table15[[#This Row],[Type]]="KILL",IF(_xlfn.NUMBERVALUE(RIGHT(Table15[[#This Row],[Min]],LEN(Table15[[#This Row],[Min]])-FIND("-",Table15[[#This Row],[Min]])))&gt;INDIRECT(ADDRESS(11+MATCH(LEFT(Table15[[#This Row],[Min]],FIND("-",Table15[[#This Row],[Min]])-1),Table1[Content Sku],0),16,1,1,"Entities")),"review","ok"),"ok")</f>
        <v>ok</v>
      </c>
      <c r="AK1039" t="s">
        <v>37</v>
      </c>
      <c r="AL1039">
        <v>0</v>
      </c>
      <c r="AM1039">
        <v>0</v>
      </c>
      <c r="AN1039" t="s">
        <v>8</v>
      </c>
      <c r="AO1039" s="74" t="str">
        <f ca="1">IF(Table20[[#This Row],[Type]]="KILL",IF(_xlfn.NUMBERVALUE(RIGHT(Table20[[#This Row],[Min]],LEN(Table20[[#This Row],[Min]])-FIND("-",Table20[[#This Row],[Min]])))&gt;INDIRECT(ADDRESS(11+MATCH(LEFT(Table20[[#This Row],[Min]],FIND("-",Table20[[#This Row],[Min]])-1),Table1[Content Sku],0),18,1,1,"Entities")),"review","ok"),"ok")</f>
        <v>ok</v>
      </c>
    </row>
    <row r="1040" spans="5:41" x14ac:dyDescent="0.25">
      <c r="E1040" t="s">
        <v>254</v>
      </c>
      <c r="F1040">
        <v>0</v>
      </c>
      <c r="G1040">
        <v>0</v>
      </c>
      <c r="H1040" t="s">
        <v>8</v>
      </c>
      <c r="I1040" s="74" t="str">
        <f ca="1">IF(Table7[[#This Row],[Type]]="KILL",IF(_xlfn.NUMBERVALUE(RIGHT(Table7[[#This Row],[Min]],LEN(Table7[[#This Row],[Min]])-FIND("-",Table7[[#This Row],[Min]])))&gt;INDIRECT(ADDRESS(11+MATCH(LEFT(Table7[[#This Row],[Min]],FIND("-",Table7[[#This Row],[Min]])-1),Table1[Content Sku],0),16,1,1,"Entities")),"review","ok"),"ok")</f>
        <v>ok</v>
      </c>
      <c r="U1040" t="s">
        <v>37</v>
      </c>
      <c r="V1040">
        <v>18000</v>
      </c>
      <c r="W1040">
        <v>0</v>
      </c>
      <c r="X1040" t="s">
        <v>205</v>
      </c>
      <c r="Y1040" s="74" t="str">
        <f ca="1">IF(Table15[[#This Row],[Type]]="KILL",IF(_xlfn.NUMBERVALUE(RIGHT(Table15[[#This Row],[Min]],LEN(Table15[[#This Row],[Min]])-FIND("-",Table15[[#This Row],[Min]])))&gt;INDIRECT(ADDRESS(11+MATCH(LEFT(Table15[[#This Row],[Min]],FIND("-",Table15[[#This Row],[Min]])-1),Table1[Content Sku],0),16,1,1,"Entities")),"review","ok"),"ok")</f>
        <v>ok</v>
      </c>
      <c r="AK1040" t="s">
        <v>137</v>
      </c>
      <c r="AL1040">
        <v>0</v>
      </c>
      <c r="AM1040">
        <v>0</v>
      </c>
      <c r="AN1040" t="s">
        <v>8</v>
      </c>
      <c r="AO1040" s="74" t="str">
        <f ca="1">IF(Table20[[#This Row],[Type]]="KILL",IF(_xlfn.NUMBERVALUE(RIGHT(Table20[[#This Row],[Min]],LEN(Table20[[#This Row],[Min]])-FIND("-",Table20[[#This Row],[Min]])))&gt;INDIRECT(ADDRESS(11+MATCH(LEFT(Table20[[#This Row],[Min]],FIND("-",Table20[[#This Row],[Min]])-1),Table1[Content Sku],0),18,1,1,"Entities")),"review","ok"),"ok")</f>
        <v>ok</v>
      </c>
    </row>
    <row r="1041" spans="5:41" x14ac:dyDescent="0.25">
      <c r="E1041" t="s">
        <v>338</v>
      </c>
      <c r="F1041">
        <v>0</v>
      </c>
      <c r="G1041">
        <v>0</v>
      </c>
      <c r="H1041" t="s">
        <v>8</v>
      </c>
      <c r="I1041" s="74" t="str">
        <f ca="1">IF(Table7[[#This Row],[Type]]="KILL",IF(_xlfn.NUMBERVALUE(RIGHT(Table7[[#This Row],[Min]],LEN(Table7[[#This Row],[Min]])-FIND("-",Table7[[#This Row],[Min]])))&gt;INDIRECT(ADDRESS(11+MATCH(LEFT(Table7[[#This Row],[Min]],FIND("-",Table7[[#This Row],[Min]])-1),Table1[Content Sku],0),16,1,1,"Entities")),"review","ok"),"ok")</f>
        <v>ok</v>
      </c>
      <c r="U1041" t="s">
        <v>313</v>
      </c>
      <c r="V1041">
        <v>22000</v>
      </c>
      <c r="W1041">
        <v>0</v>
      </c>
      <c r="X1041" t="s">
        <v>205</v>
      </c>
      <c r="Y1041" s="74" t="str">
        <f ca="1">IF(Table15[[#This Row],[Type]]="KILL",IF(_xlfn.NUMBERVALUE(RIGHT(Table15[[#This Row],[Min]],LEN(Table15[[#This Row],[Min]])-FIND("-",Table15[[#This Row],[Min]])))&gt;INDIRECT(ADDRESS(11+MATCH(LEFT(Table15[[#This Row],[Min]],FIND("-",Table15[[#This Row],[Min]])-1),Table1[Content Sku],0),16,1,1,"Entities")),"review","ok"),"ok")</f>
        <v>ok</v>
      </c>
      <c r="AK1041" t="s">
        <v>36</v>
      </c>
      <c r="AL1041">
        <v>30000</v>
      </c>
      <c r="AM1041">
        <v>0</v>
      </c>
      <c r="AN1041" t="s">
        <v>205</v>
      </c>
      <c r="AO1041" s="74" t="str">
        <f ca="1">IF(Table20[[#This Row],[Type]]="KILL",IF(_xlfn.NUMBERVALUE(RIGHT(Table20[[#This Row],[Min]],LEN(Table20[[#This Row],[Min]])-FIND("-",Table20[[#This Row],[Min]])))&gt;INDIRECT(ADDRESS(11+MATCH(LEFT(Table20[[#This Row],[Min]],FIND("-",Table20[[#This Row],[Min]])-1),Table1[Content Sku],0),18,1,1,"Entities")),"review","ok"),"ok")</f>
        <v>ok</v>
      </c>
    </row>
    <row r="1042" spans="5:41" x14ac:dyDescent="0.25">
      <c r="E1042" t="s">
        <v>295</v>
      </c>
      <c r="F1042">
        <v>0</v>
      </c>
      <c r="G1042">
        <v>16000</v>
      </c>
      <c r="H1042" t="s">
        <v>205</v>
      </c>
      <c r="I1042" s="74" t="str">
        <f ca="1">IF(Table7[[#This Row],[Type]]="KILL",IF(_xlfn.NUMBERVALUE(RIGHT(Table7[[#This Row],[Min]],LEN(Table7[[#This Row],[Min]])-FIND("-",Table7[[#This Row],[Min]])))&gt;INDIRECT(ADDRESS(11+MATCH(LEFT(Table7[[#This Row],[Min]],FIND("-",Table7[[#This Row],[Min]])-1),Table1[Content Sku],0),16,1,1,"Entities")),"review","ok"),"ok")</f>
        <v>ok</v>
      </c>
      <c r="U1042" t="s">
        <v>254</v>
      </c>
      <c r="V1042">
        <v>0</v>
      </c>
      <c r="W1042">
        <v>0</v>
      </c>
      <c r="X1042" t="s">
        <v>8</v>
      </c>
      <c r="Y1042" s="74" t="str">
        <f ca="1">IF(Table15[[#This Row],[Type]]="KILL",IF(_xlfn.NUMBERVALUE(RIGHT(Table15[[#This Row],[Min]],LEN(Table15[[#This Row],[Min]])-FIND("-",Table15[[#This Row],[Min]])))&gt;INDIRECT(ADDRESS(11+MATCH(LEFT(Table15[[#This Row],[Min]],FIND("-",Table15[[#This Row],[Min]])-1),Table1[Content Sku],0),16,1,1,"Entities")),"review","ok"),"ok")</f>
        <v>ok</v>
      </c>
      <c r="AK1042" t="s">
        <v>2670</v>
      </c>
      <c r="AL1042">
        <v>0</v>
      </c>
      <c r="AM1042">
        <v>0</v>
      </c>
      <c r="AN1042" t="s">
        <v>8</v>
      </c>
      <c r="AO1042" s="74" t="str">
        <f ca="1">IF(Table20[[#This Row],[Type]]="KILL",IF(_xlfn.NUMBERVALUE(RIGHT(Table20[[#This Row],[Min]],LEN(Table20[[#This Row],[Min]])-FIND("-",Table20[[#This Row],[Min]])))&gt;INDIRECT(ADDRESS(11+MATCH(LEFT(Table20[[#This Row],[Min]],FIND("-",Table20[[#This Row],[Min]])-1),Table1[Content Sku],0),18,1,1,"Entities")),"review","ok"),"ok")</f>
        <v>ok</v>
      </c>
    </row>
    <row r="1043" spans="5:41" x14ac:dyDescent="0.25">
      <c r="E1043" t="s">
        <v>254</v>
      </c>
      <c r="F1043">
        <v>8000</v>
      </c>
      <c r="G1043">
        <v>0</v>
      </c>
      <c r="H1043" t="s">
        <v>205</v>
      </c>
      <c r="I1043" s="74" t="str">
        <f ca="1">IF(Table7[[#This Row],[Type]]="KILL",IF(_xlfn.NUMBERVALUE(RIGHT(Table7[[#This Row],[Min]],LEN(Table7[[#This Row],[Min]])-FIND("-",Table7[[#This Row],[Min]])))&gt;INDIRECT(ADDRESS(11+MATCH(LEFT(Table7[[#This Row],[Min]],FIND("-",Table7[[#This Row],[Min]])-1),Table1[Content Sku],0),16,1,1,"Entities")),"review","ok"),"ok")</f>
        <v>ok</v>
      </c>
      <c r="U1043" t="s">
        <v>313</v>
      </c>
      <c r="V1043">
        <v>0</v>
      </c>
      <c r="W1043">
        <v>0</v>
      </c>
      <c r="X1043" t="s">
        <v>8</v>
      </c>
      <c r="Y1043" s="74" t="str">
        <f ca="1">IF(Table15[[#This Row],[Type]]="KILL",IF(_xlfn.NUMBERVALUE(RIGHT(Table15[[#This Row],[Min]],LEN(Table15[[#This Row],[Min]])-FIND("-",Table15[[#This Row],[Min]])))&gt;INDIRECT(ADDRESS(11+MATCH(LEFT(Table15[[#This Row],[Min]],FIND("-",Table15[[#This Row],[Min]])-1),Table1[Content Sku],0),16,1,1,"Entities")),"review","ok"),"ok")</f>
        <v>ok</v>
      </c>
      <c r="AK1043" t="s">
        <v>2741</v>
      </c>
      <c r="AL1043">
        <v>0</v>
      </c>
      <c r="AM1043">
        <v>0</v>
      </c>
      <c r="AN1043" t="s">
        <v>8</v>
      </c>
      <c r="AO1043" s="74" t="str">
        <f ca="1">IF(Table20[[#This Row],[Type]]="KILL",IF(_xlfn.NUMBERVALUE(RIGHT(Table20[[#This Row],[Min]],LEN(Table20[[#This Row],[Min]])-FIND("-",Table20[[#This Row],[Min]])))&gt;INDIRECT(ADDRESS(11+MATCH(LEFT(Table20[[#This Row],[Min]],FIND("-",Table20[[#This Row],[Min]])-1),Table1[Content Sku],0),18,1,1,"Entities")),"review","ok"),"ok")</f>
        <v>ok</v>
      </c>
    </row>
    <row r="1044" spans="5:41" x14ac:dyDescent="0.25">
      <c r="E1044" t="s">
        <v>8133</v>
      </c>
      <c r="F1044">
        <v>0</v>
      </c>
      <c r="G1044">
        <v>0</v>
      </c>
      <c r="H1044" t="s">
        <v>8</v>
      </c>
      <c r="I1044" s="74" t="str">
        <f ca="1">IF(Table7[[#This Row],[Type]]="KILL",IF(_xlfn.NUMBERVALUE(RIGHT(Table7[[#This Row],[Min]],LEN(Table7[[#This Row],[Min]])-FIND("-",Table7[[#This Row],[Min]])))&gt;INDIRECT(ADDRESS(11+MATCH(LEFT(Table7[[#This Row],[Min]],FIND("-",Table7[[#This Row],[Min]])-1),Table1[Content Sku],0),16,1,1,"Entities")),"review","ok"),"ok")</f>
        <v>ok</v>
      </c>
      <c r="U1044" t="s">
        <v>304</v>
      </c>
      <c r="V1044">
        <v>0</v>
      </c>
      <c r="W1044">
        <v>220</v>
      </c>
      <c r="X1044" t="s">
        <v>4431</v>
      </c>
      <c r="Y1044" s="74" t="str">
        <f ca="1">IF(Table15[[#This Row],[Type]]="KILL",IF(_xlfn.NUMBERVALUE(RIGHT(Table15[[#This Row],[Min]],LEN(Table15[[#This Row],[Min]])-FIND("-",Table15[[#This Row],[Min]])))&gt;INDIRECT(ADDRESS(11+MATCH(LEFT(Table15[[#This Row],[Min]],FIND("-",Table15[[#This Row],[Min]])-1),Table1[Content Sku],0),16,1,1,"Entities")),"review","ok"),"ok")</f>
        <v>ok</v>
      </c>
      <c r="AK1044" t="s">
        <v>258</v>
      </c>
      <c r="AL1044">
        <v>41000</v>
      </c>
      <c r="AM1044">
        <v>0</v>
      </c>
      <c r="AN1044" t="s">
        <v>205</v>
      </c>
      <c r="AO1044" s="74" t="str">
        <f ca="1">IF(Table20[[#This Row],[Type]]="KILL",IF(_xlfn.NUMBERVALUE(RIGHT(Table20[[#This Row],[Min]],LEN(Table20[[#This Row],[Min]])-FIND("-",Table20[[#This Row],[Min]])))&gt;INDIRECT(ADDRESS(11+MATCH(LEFT(Table20[[#This Row],[Min]],FIND("-",Table20[[#This Row],[Min]])-1),Table1[Content Sku],0),18,1,1,"Entities")),"review","ok"),"ok")</f>
        <v>ok</v>
      </c>
    </row>
    <row r="1045" spans="5:41" x14ac:dyDescent="0.25">
      <c r="E1045" t="s">
        <v>2741</v>
      </c>
      <c r="F1045">
        <v>0</v>
      </c>
      <c r="G1045">
        <v>0</v>
      </c>
      <c r="H1045" t="s">
        <v>8</v>
      </c>
      <c r="I1045" s="74" t="str">
        <f ca="1">IF(Table7[[#This Row],[Type]]="KILL",IF(_xlfn.NUMBERVALUE(RIGHT(Table7[[#This Row],[Min]],LEN(Table7[[#This Row],[Min]])-FIND("-",Table7[[#This Row],[Min]])))&gt;INDIRECT(ADDRESS(11+MATCH(LEFT(Table7[[#This Row],[Min]],FIND("-",Table7[[#This Row],[Min]])-1),Table1[Content Sku],0),16,1,1,"Entities")),"review","ok"),"ok")</f>
        <v>ok</v>
      </c>
      <c r="U1045" t="s">
        <v>313</v>
      </c>
      <c r="V1045">
        <v>24000</v>
      </c>
      <c r="W1045">
        <v>0</v>
      </c>
      <c r="X1045" t="s">
        <v>205</v>
      </c>
      <c r="Y1045" s="74" t="str">
        <f ca="1">IF(Table15[[#This Row],[Type]]="KILL",IF(_xlfn.NUMBERVALUE(RIGHT(Table15[[#This Row],[Min]],LEN(Table15[[#This Row],[Min]])-FIND("-",Table15[[#This Row],[Min]])))&gt;INDIRECT(ADDRESS(11+MATCH(LEFT(Table15[[#This Row],[Min]],FIND("-",Table15[[#This Row],[Min]])-1),Table1[Content Sku],0),16,1,1,"Entities")),"review","ok"),"ok")</f>
        <v>ok</v>
      </c>
      <c r="AK1045" t="s">
        <v>2767</v>
      </c>
      <c r="AL1045">
        <v>0</v>
      </c>
      <c r="AM1045">
        <v>0</v>
      </c>
      <c r="AN1045" t="s">
        <v>8</v>
      </c>
      <c r="AO1045" s="74" t="str">
        <f ca="1">IF(Table20[[#This Row],[Type]]="KILL",IF(_xlfn.NUMBERVALUE(RIGHT(Table20[[#This Row],[Min]],LEN(Table20[[#This Row],[Min]])-FIND("-",Table20[[#This Row],[Min]])))&gt;INDIRECT(ADDRESS(11+MATCH(LEFT(Table20[[#This Row],[Min]],FIND("-",Table20[[#This Row],[Min]])-1),Table1[Content Sku],0),18,1,1,"Entities")),"review","ok"),"ok")</f>
        <v>ok</v>
      </c>
    </row>
    <row r="1046" spans="5:41" x14ac:dyDescent="0.25">
      <c r="E1046" t="s">
        <v>2738</v>
      </c>
      <c r="F1046">
        <v>0</v>
      </c>
      <c r="G1046">
        <v>0</v>
      </c>
      <c r="H1046" t="s">
        <v>8</v>
      </c>
      <c r="I1046" s="74" t="str">
        <f ca="1">IF(Table7[[#This Row],[Type]]="KILL",IF(_xlfn.NUMBERVALUE(RIGHT(Table7[[#This Row],[Min]],LEN(Table7[[#This Row],[Min]])-FIND("-",Table7[[#This Row],[Min]])))&gt;INDIRECT(ADDRESS(11+MATCH(LEFT(Table7[[#This Row],[Min]],FIND("-",Table7[[#This Row],[Min]])-1),Table1[Content Sku],0),16,1,1,"Entities")),"review","ok"),"ok")</f>
        <v>ok</v>
      </c>
      <c r="U1046" t="s">
        <v>289</v>
      </c>
      <c r="V1046">
        <v>0</v>
      </c>
      <c r="W1046">
        <v>0</v>
      </c>
      <c r="X1046" t="s">
        <v>8</v>
      </c>
      <c r="Y1046" s="74" t="str">
        <f ca="1">IF(Table15[[#This Row],[Type]]="KILL",IF(_xlfn.NUMBERVALUE(RIGHT(Table15[[#This Row],[Min]],LEN(Table15[[#This Row],[Min]])-FIND("-",Table15[[#This Row],[Min]])))&gt;INDIRECT(ADDRESS(11+MATCH(LEFT(Table15[[#This Row],[Min]],FIND("-",Table15[[#This Row],[Min]])-1),Table1[Content Sku],0),16,1,1,"Entities")),"review","ok"),"ok")</f>
        <v>ok</v>
      </c>
      <c r="AK1046" t="s">
        <v>412</v>
      </c>
      <c r="AL1046">
        <v>29000</v>
      </c>
      <c r="AM1046">
        <v>0</v>
      </c>
      <c r="AN1046" t="s">
        <v>205</v>
      </c>
      <c r="AO1046" s="74" t="str">
        <f ca="1">IF(Table20[[#This Row],[Type]]="KILL",IF(_xlfn.NUMBERVALUE(RIGHT(Table20[[#This Row],[Min]],LEN(Table20[[#This Row],[Min]])-FIND("-",Table20[[#This Row],[Min]])))&gt;INDIRECT(ADDRESS(11+MATCH(LEFT(Table20[[#This Row],[Min]],FIND("-",Table20[[#This Row],[Min]])-1),Table1[Content Sku],0),18,1,1,"Entities")),"review","ok"),"ok")</f>
        <v>ok</v>
      </c>
    </row>
    <row r="1047" spans="5:41" x14ac:dyDescent="0.25">
      <c r="E1047" t="s">
        <v>396</v>
      </c>
      <c r="F1047">
        <v>0</v>
      </c>
      <c r="G1047">
        <v>0</v>
      </c>
      <c r="H1047" t="s">
        <v>8</v>
      </c>
      <c r="I1047" s="74" t="str">
        <f ca="1">IF(Table7[[#This Row],[Type]]="KILL",IF(_xlfn.NUMBERVALUE(RIGHT(Table7[[#This Row],[Min]],LEN(Table7[[#This Row],[Min]])-FIND("-",Table7[[#This Row],[Min]])))&gt;INDIRECT(ADDRESS(11+MATCH(LEFT(Table7[[#This Row],[Min]],FIND("-",Table7[[#This Row],[Min]])-1),Table1[Content Sku],0),16,1,1,"Entities")),"review","ok"),"ok")</f>
        <v>ok</v>
      </c>
      <c r="U1047" t="s">
        <v>254</v>
      </c>
      <c r="V1047">
        <v>0</v>
      </c>
      <c r="W1047">
        <v>0</v>
      </c>
      <c r="X1047" t="s">
        <v>8</v>
      </c>
      <c r="Y1047" s="74" t="str">
        <f ca="1">IF(Table15[[#This Row],[Type]]="KILL",IF(_xlfn.NUMBERVALUE(RIGHT(Table15[[#This Row],[Min]],LEN(Table15[[#This Row],[Min]])-FIND("-",Table15[[#This Row],[Min]])))&gt;INDIRECT(ADDRESS(11+MATCH(LEFT(Table15[[#This Row],[Min]],FIND("-",Table15[[#This Row],[Min]])-1),Table1[Content Sku],0),16,1,1,"Entities")),"review","ok"),"ok")</f>
        <v>ok</v>
      </c>
      <c r="AK1047" t="s">
        <v>2676</v>
      </c>
      <c r="AL1047">
        <v>50000</v>
      </c>
      <c r="AM1047">
        <v>0</v>
      </c>
      <c r="AN1047" t="s">
        <v>205</v>
      </c>
      <c r="AO1047" s="74" t="str">
        <f ca="1">IF(Table20[[#This Row],[Type]]="KILL",IF(_xlfn.NUMBERVALUE(RIGHT(Table20[[#This Row],[Min]],LEN(Table20[[#This Row],[Min]])-FIND("-",Table20[[#This Row],[Min]])))&gt;INDIRECT(ADDRESS(11+MATCH(LEFT(Table20[[#This Row],[Min]],FIND("-",Table20[[#This Row],[Min]])-1),Table1[Content Sku],0),18,1,1,"Entities")),"review","ok"),"ok")</f>
        <v>ok</v>
      </c>
    </row>
    <row r="1048" spans="5:41" x14ac:dyDescent="0.25">
      <c r="E1048" t="s">
        <v>311</v>
      </c>
      <c r="F1048">
        <v>0</v>
      </c>
      <c r="G1048">
        <v>0</v>
      </c>
      <c r="H1048" t="s">
        <v>8</v>
      </c>
      <c r="I1048" s="74" t="str">
        <f ca="1">IF(Table7[[#This Row],[Type]]="KILL",IF(_xlfn.NUMBERVALUE(RIGHT(Table7[[#This Row],[Min]],LEN(Table7[[#This Row],[Min]])-FIND("-",Table7[[#This Row],[Min]])))&gt;INDIRECT(ADDRESS(11+MATCH(LEFT(Table7[[#This Row],[Min]],FIND("-",Table7[[#This Row],[Min]])-1),Table1[Content Sku],0),16,1,1,"Entities")),"review","ok"),"ok")</f>
        <v>ok</v>
      </c>
      <c r="U1048" t="s">
        <v>318</v>
      </c>
      <c r="V1048">
        <v>0</v>
      </c>
      <c r="W1048">
        <v>0</v>
      </c>
      <c r="X1048" t="s">
        <v>8</v>
      </c>
      <c r="Y1048" s="74" t="str">
        <f ca="1">IF(Table15[[#This Row],[Type]]="KILL",IF(_xlfn.NUMBERVALUE(RIGHT(Table15[[#This Row],[Min]],LEN(Table15[[#This Row],[Min]])-FIND("-",Table15[[#This Row],[Min]])))&gt;INDIRECT(ADDRESS(11+MATCH(LEFT(Table15[[#This Row],[Min]],FIND("-",Table15[[#This Row],[Min]])-1),Table1[Content Sku],0),16,1,1,"Entities")),"review","ok"),"ok")</f>
        <v>ok</v>
      </c>
      <c r="AK1048" t="s">
        <v>2677</v>
      </c>
      <c r="AL1048">
        <v>0</v>
      </c>
      <c r="AM1048">
        <v>0</v>
      </c>
      <c r="AN1048" t="s">
        <v>8</v>
      </c>
      <c r="AO1048" s="74" t="str">
        <f ca="1">IF(Table20[[#This Row],[Type]]="KILL",IF(_xlfn.NUMBERVALUE(RIGHT(Table20[[#This Row],[Min]],LEN(Table20[[#This Row],[Min]])-FIND("-",Table20[[#This Row],[Min]])))&gt;INDIRECT(ADDRESS(11+MATCH(LEFT(Table20[[#This Row],[Min]],FIND("-",Table20[[#This Row],[Min]])-1),Table1[Content Sku],0),18,1,1,"Entities")),"review","ok"),"ok")</f>
        <v>ok</v>
      </c>
    </row>
    <row r="1049" spans="5:41" x14ac:dyDescent="0.25">
      <c r="E1049" t="s">
        <v>2726</v>
      </c>
      <c r="F1049">
        <v>0</v>
      </c>
      <c r="G1049">
        <v>0</v>
      </c>
      <c r="H1049" t="s">
        <v>8</v>
      </c>
      <c r="I1049" s="74" t="str">
        <f ca="1">IF(Table7[[#This Row],[Type]]="KILL",IF(_xlfn.NUMBERVALUE(RIGHT(Table7[[#This Row],[Min]],LEN(Table7[[#This Row],[Min]])-FIND("-",Table7[[#This Row],[Min]])))&gt;INDIRECT(ADDRESS(11+MATCH(LEFT(Table7[[#This Row],[Min]],FIND("-",Table7[[#This Row],[Min]])-1),Table1[Content Sku],0),16,1,1,"Entities")),"review","ok"),"ok")</f>
        <v>ok</v>
      </c>
      <c r="U1049" t="s">
        <v>304</v>
      </c>
      <c r="V1049">
        <v>0</v>
      </c>
      <c r="W1049">
        <v>0</v>
      </c>
      <c r="X1049" t="s">
        <v>8</v>
      </c>
      <c r="Y1049" s="74" t="str">
        <f ca="1">IF(Table15[[#This Row],[Type]]="KILL",IF(_xlfn.NUMBERVALUE(RIGHT(Table15[[#This Row],[Min]],LEN(Table15[[#This Row],[Min]])-FIND("-",Table15[[#This Row],[Min]])))&gt;INDIRECT(ADDRESS(11+MATCH(LEFT(Table15[[#This Row],[Min]],FIND("-",Table15[[#This Row],[Min]])-1),Table1[Content Sku],0),16,1,1,"Entities")),"review","ok"),"ok")</f>
        <v>ok</v>
      </c>
      <c r="AK1049" t="s">
        <v>416</v>
      </c>
      <c r="AL1049">
        <v>0</v>
      </c>
      <c r="AM1049">
        <v>0</v>
      </c>
      <c r="AN1049" t="s">
        <v>8</v>
      </c>
      <c r="AO1049" s="74" t="str">
        <f ca="1">IF(Table20[[#This Row],[Type]]="KILL",IF(_xlfn.NUMBERVALUE(RIGHT(Table20[[#This Row],[Min]],LEN(Table20[[#This Row],[Min]])-FIND("-",Table20[[#This Row],[Min]])))&gt;INDIRECT(ADDRESS(11+MATCH(LEFT(Table20[[#This Row],[Min]],FIND("-",Table20[[#This Row],[Min]])-1),Table1[Content Sku],0),18,1,1,"Entities")),"review","ok"),"ok")</f>
        <v>ok</v>
      </c>
    </row>
    <row r="1050" spans="5:41" x14ac:dyDescent="0.25">
      <c r="E1050" t="s">
        <v>46</v>
      </c>
      <c r="F1050">
        <v>0</v>
      </c>
      <c r="G1050">
        <v>0</v>
      </c>
      <c r="H1050" t="s">
        <v>8</v>
      </c>
      <c r="I1050" s="74" t="str">
        <f ca="1">IF(Table7[[#This Row],[Type]]="KILL",IF(_xlfn.NUMBERVALUE(RIGHT(Table7[[#This Row],[Min]],LEN(Table7[[#This Row],[Min]])-FIND("-",Table7[[#This Row],[Min]])))&gt;INDIRECT(ADDRESS(11+MATCH(LEFT(Table7[[#This Row],[Min]],FIND("-",Table7[[#This Row],[Min]])-1),Table1[Content Sku],0),16,1,1,"Entities")),"review","ok"),"ok")</f>
        <v>ok</v>
      </c>
      <c r="U1050" t="s">
        <v>300</v>
      </c>
      <c r="V1050">
        <v>20000</v>
      </c>
      <c r="W1050">
        <v>0</v>
      </c>
      <c r="X1050" t="s">
        <v>205</v>
      </c>
      <c r="Y1050" s="74" t="str">
        <f ca="1">IF(Table15[[#This Row],[Type]]="KILL",IF(_xlfn.NUMBERVALUE(RIGHT(Table15[[#This Row],[Min]],LEN(Table15[[#This Row],[Min]])-FIND("-",Table15[[#This Row],[Min]])))&gt;INDIRECT(ADDRESS(11+MATCH(LEFT(Table15[[#This Row],[Min]],FIND("-",Table15[[#This Row],[Min]])-1),Table1[Content Sku],0),16,1,1,"Entities")),"review","ok"),"ok")</f>
        <v>ok</v>
      </c>
      <c r="AK1050" t="s">
        <v>2745</v>
      </c>
      <c r="AL1050">
        <v>0</v>
      </c>
      <c r="AM1050">
        <v>0</v>
      </c>
      <c r="AN1050" t="s">
        <v>8</v>
      </c>
      <c r="AO1050" s="74" t="str">
        <f ca="1">IF(Table20[[#This Row],[Type]]="KILL",IF(_xlfn.NUMBERVALUE(RIGHT(Table20[[#This Row],[Min]],LEN(Table20[[#This Row],[Min]])-FIND("-",Table20[[#This Row],[Min]])))&gt;INDIRECT(ADDRESS(11+MATCH(LEFT(Table20[[#This Row],[Min]],FIND("-",Table20[[#This Row],[Min]])-1),Table1[Content Sku],0),18,1,1,"Entities")),"review","ok"),"ok")</f>
        <v>ok</v>
      </c>
    </row>
    <row r="1051" spans="5:41" x14ac:dyDescent="0.25">
      <c r="E1051" t="s">
        <v>47</v>
      </c>
      <c r="F1051">
        <v>11000</v>
      </c>
      <c r="G1051">
        <v>0</v>
      </c>
      <c r="H1051" t="s">
        <v>205</v>
      </c>
      <c r="I1051" s="74" t="str">
        <f ca="1">IF(Table7[[#This Row],[Type]]="KILL",IF(_xlfn.NUMBERVALUE(RIGHT(Table7[[#This Row],[Min]],LEN(Table7[[#This Row],[Min]])-FIND("-",Table7[[#This Row],[Min]])))&gt;INDIRECT(ADDRESS(11+MATCH(LEFT(Table7[[#This Row],[Min]],FIND("-",Table7[[#This Row],[Min]])-1),Table1[Content Sku],0),16,1,1,"Entities")),"review","ok"),"ok")</f>
        <v>ok</v>
      </c>
      <c r="U1051" t="s">
        <v>95</v>
      </c>
      <c r="V1051">
        <v>0</v>
      </c>
      <c r="W1051">
        <v>0</v>
      </c>
      <c r="X1051" t="s">
        <v>8</v>
      </c>
      <c r="Y1051" s="74" t="str">
        <f ca="1">IF(Table15[[#This Row],[Type]]="KILL",IF(_xlfn.NUMBERVALUE(RIGHT(Table15[[#This Row],[Min]],LEN(Table15[[#This Row],[Min]])-FIND("-",Table15[[#This Row],[Min]])))&gt;INDIRECT(ADDRESS(11+MATCH(LEFT(Table15[[#This Row],[Min]],FIND("-",Table15[[#This Row],[Min]])-1),Table1[Content Sku],0),16,1,1,"Entities")),"review","ok"),"ok")</f>
        <v>ok</v>
      </c>
      <c r="AK1051" t="s">
        <v>2674</v>
      </c>
      <c r="AL1051">
        <v>0</v>
      </c>
      <c r="AM1051">
        <v>0</v>
      </c>
      <c r="AN1051" t="s">
        <v>8</v>
      </c>
      <c r="AO1051" s="74" t="str">
        <f ca="1">IF(Table20[[#This Row],[Type]]="KILL",IF(_xlfn.NUMBERVALUE(RIGHT(Table20[[#This Row],[Min]],LEN(Table20[[#This Row],[Min]])-FIND("-",Table20[[#This Row],[Min]])))&gt;INDIRECT(ADDRESS(11+MATCH(LEFT(Table20[[#This Row],[Min]],FIND("-",Table20[[#This Row],[Min]])-1),Table1[Content Sku],0),18,1,1,"Entities")),"review","ok"),"ok")</f>
        <v>ok</v>
      </c>
    </row>
    <row r="1052" spans="5:41" x14ac:dyDescent="0.25">
      <c r="E1052" t="s">
        <v>313</v>
      </c>
      <c r="F1052">
        <v>0</v>
      </c>
      <c r="G1052">
        <v>0</v>
      </c>
      <c r="H1052" t="s">
        <v>8</v>
      </c>
      <c r="I1052" s="74" t="str">
        <f ca="1">IF(Table7[[#This Row],[Type]]="KILL",IF(_xlfn.NUMBERVALUE(RIGHT(Table7[[#This Row],[Min]],LEN(Table7[[#This Row],[Min]])-FIND("-",Table7[[#This Row],[Min]])))&gt;INDIRECT(ADDRESS(11+MATCH(LEFT(Table7[[#This Row],[Min]],FIND("-",Table7[[#This Row],[Min]])-1),Table1[Content Sku],0),16,1,1,"Entities")),"review","ok"),"ok")</f>
        <v>ok</v>
      </c>
      <c r="U1052" t="s">
        <v>8133</v>
      </c>
      <c r="V1052">
        <v>0</v>
      </c>
      <c r="W1052">
        <v>0</v>
      </c>
      <c r="X1052" t="s">
        <v>8</v>
      </c>
      <c r="Y1052" s="74" t="str">
        <f ca="1">IF(Table15[[#This Row],[Type]]="KILL",IF(_xlfn.NUMBERVALUE(RIGHT(Table15[[#This Row],[Min]],LEN(Table15[[#This Row],[Min]])-FIND("-",Table15[[#This Row],[Min]])))&gt;INDIRECT(ADDRESS(11+MATCH(LEFT(Table15[[#This Row],[Min]],FIND("-",Table15[[#This Row],[Min]])-1),Table1[Content Sku],0),16,1,1,"Entities")),"review","ok"),"ok")</f>
        <v>ok</v>
      </c>
      <c r="AK1052" t="s">
        <v>540</v>
      </c>
      <c r="AL1052">
        <v>0</v>
      </c>
      <c r="AM1052">
        <v>0</v>
      </c>
      <c r="AN1052" t="s">
        <v>8</v>
      </c>
      <c r="AO1052" s="74" t="str">
        <f ca="1">IF(Table20[[#This Row],[Type]]="KILL",IF(_xlfn.NUMBERVALUE(RIGHT(Table20[[#This Row],[Min]],LEN(Table20[[#This Row],[Min]])-FIND("-",Table20[[#This Row],[Min]])))&gt;INDIRECT(ADDRESS(11+MATCH(LEFT(Table20[[#This Row],[Min]],FIND("-",Table20[[#This Row],[Min]])-1),Table1[Content Sku],0),18,1,1,"Entities")),"review","ok"),"ok")</f>
        <v>ok</v>
      </c>
    </row>
    <row r="1053" spans="5:41" x14ac:dyDescent="0.25">
      <c r="E1053" t="s">
        <v>393</v>
      </c>
      <c r="F1053">
        <v>0</v>
      </c>
      <c r="G1053">
        <v>0</v>
      </c>
      <c r="H1053" t="s">
        <v>8</v>
      </c>
      <c r="I1053" s="74" t="str">
        <f ca="1">IF(Table7[[#This Row],[Type]]="KILL",IF(_xlfn.NUMBERVALUE(RIGHT(Table7[[#This Row],[Min]],LEN(Table7[[#This Row],[Min]])-FIND("-",Table7[[#This Row],[Min]])))&gt;INDIRECT(ADDRESS(11+MATCH(LEFT(Table7[[#This Row],[Min]],FIND("-",Table7[[#This Row],[Min]])-1),Table1[Content Sku],0),16,1,1,"Entities")),"review","ok"),"ok")</f>
        <v>ok</v>
      </c>
      <c r="U1053" t="s">
        <v>392</v>
      </c>
      <c r="V1053">
        <v>0</v>
      </c>
      <c r="W1053">
        <v>0</v>
      </c>
      <c r="X1053" t="s">
        <v>8</v>
      </c>
      <c r="Y1053" s="74" t="str">
        <f ca="1">IF(Table15[[#This Row],[Type]]="KILL",IF(_xlfn.NUMBERVALUE(RIGHT(Table15[[#This Row],[Min]],LEN(Table15[[#This Row],[Min]])-FIND("-",Table15[[#This Row],[Min]])))&gt;INDIRECT(ADDRESS(11+MATCH(LEFT(Table15[[#This Row],[Min]],FIND("-",Table15[[#This Row],[Min]])-1),Table1[Content Sku],0),16,1,1,"Entities")),"review","ok"),"ok")</f>
        <v>ok</v>
      </c>
      <c r="AK1053" t="s">
        <v>2723</v>
      </c>
      <c r="AL1053">
        <v>0</v>
      </c>
      <c r="AM1053">
        <v>0</v>
      </c>
      <c r="AN1053" t="s">
        <v>8</v>
      </c>
      <c r="AO1053" s="74" t="str">
        <f ca="1">IF(Table20[[#This Row],[Type]]="KILL",IF(_xlfn.NUMBERVALUE(RIGHT(Table20[[#This Row],[Min]],LEN(Table20[[#This Row],[Min]])-FIND("-",Table20[[#This Row],[Min]])))&gt;INDIRECT(ADDRESS(11+MATCH(LEFT(Table20[[#This Row],[Min]],FIND("-",Table20[[#This Row],[Min]])-1),Table1[Content Sku],0),18,1,1,"Entities")),"review","ok"),"ok")</f>
        <v>ok</v>
      </c>
    </row>
    <row r="1054" spans="5:41" x14ac:dyDescent="0.25">
      <c r="E1054" t="s">
        <v>46</v>
      </c>
      <c r="F1054">
        <v>0</v>
      </c>
      <c r="G1054">
        <v>0</v>
      </c>
      <c r="H1054" t="s">
        <v>8</v>
      </c>
      <c r="I1054" s="74" t="str">
        <f ca="1">IF(Table7[[#This Row],[Type]]="KILL",IF(_xlfn.NUMBERVALUE(RIGHT(Table7[[#This Row],[Min]],LEN(Table7[[#This Row],[Min]])-FIND("-",Table7[[#This Row],[Min]])))&gt;INDIRECT(ADDRESS(11+MATCH(LEFT(Table7[[#This Row],[Min]],FIND("-",Table7[[#This Row],[Min]])-1),Table1[Content Sku],0),16,1,1,"Entities")),"review","ok"),"ok")</f>
        <v>ok</v>
      </c>
      <c r="U1054" t="s">
        <v>2729</v>
      </c>
      <c r="V1054">
        <v>0</v>
      </c>
      <c r="W1054">
        <v>0</v>
      </c>
      <c r="X1054" t="s">
        <v>8</v>
      </c>
      <c r="Y1054" s="74" t="str">
        <f ca="1">IF(Table15[[#This Row],[Type]]="KILL",IF(_xlfn.NUMBERVALUE(RIGHT(Table15[[#This Row],[Min]],LEN(Table15[[#This Row],[Min]])-FIND("-",Table15[[#This Row],[Min]])))&gt;INDIRECT(ADDRESS(11+MATCH(LEFT(Table15[[#This Row],[Min]],FIND("-",Table15[[#This Row],[Min]])-1),Table1[Content Sku],0),16,1,1,"Entities")),"review","ok"),"ok")</f>
        <v>ok</v>
      </c>
      <c r="AK1054" t="s">
        <v>2767</v>
      </c>
      <c r="AL1054">
        <v>0</v>
      </c>
      <c r="AM1054">
        <v>0</v>
      </c>
      <c r="AN1054" t="s">
        <v>8</v>
      </c>
      <c r="AO1054" s="74" t="str">
        <f ca="1">IF(Table20[[#This Row],[Type]]="KILL",IF(_xlfn.NUMBERVALUE(RIGHT(Table20[[#This Row],[Min]],LEN(Table20[[#This Row],[Min]])-FIND("-",Table20[[#This Row],[Min]])))&gt;INDIRECT(ADDRESS(11+MATCH(LEFT(Table20[[#This Row],[Min]],FIND("-",Table20[[#This Row],[Min]])-1),Table1[Content Sku],0),18,1,1,"Entities")),"review","ok"),"ok")</f>
        <v>ok</v>
      </c>
    </row>
    <row r="1055" spans="5:41" x14ac:dyDescent="0.25">
      <c r="E1055" t="s">
        <v>10</v>
      </c>
      <c r="F1055">
        <v>0</v>
      </c>
      <c r="G1055">
        <v>0</v>
      </c>
      <c r="H1055" t="s">
        <v>8</v>
      </c>
      <c r="I1055" s="74" t="str">
        <f ca="1">IF(Table7[[#This Row],[Type]]="KILL",IF(_xlfn.NUMBERVALUE(RIGHT(Table7[[#This Row],[Min]],LEN(Table7[[#This Row],[Min]])-FIND("-",Table7[[#This Row],[Min]])))&gt;INDIRECT(ADDRESS(11+MATCH(LEFT(Table7[[#This Row],[Min]],FIND("-",Table7[[#This Row],[Min]])-1),Table1[Content Sku],0),16,1,1,"Entities")),"review","ok"),"ok")</f>
        <v>ok</v>
      </c>
      <c r="U1055" t="s">
        <v>254</v>
      </c>
      <c r="V1055">
        <v>0</v>
      </c>
      <c r="W1055">
        <v>0</v>
      </c>
      <c r="X1055" t="s">
        <v>8</v>
      </c>
      <c r="Y1055" s="74" t="str">
        <f ca="1">IF(Table15[[#This Row],[Type]]="KILL",IF(_xlfn.NUMBERVALUE(RIGHT(Table15[[#This Row],[Min]],LEN(Table15[[#This Row],[Min]])-FIND("-",Table15[[#This Row],[Min]])))&gt;INDIRECT(ADDRESS(11+MATCH(LEFT(Table15[[#This Row],[Min]],FIND("-",Table15[[#This Row],[Min]])-1),Table1[Content Sku],0),16,1,1,"Entities")),"review","ok"),"ok")</f>
        <v>ok</v>
      </c>
      <c r="AK1055" t="s">
        <v>398</v>
      </c>
      <c r="AL1055">
        <v>0</v>
      </c>
      <c r="AM1055">
        <v>0</v>
      </c>
      <c r="AN1055" t="s">
        <v>8</v>
      </c>
      <c r="AO1055" s="74" t="str">
        <f ca="1">IF(Table20[[#This Row],[Type]]="KILL",IF(_xlfn.NUMBERVALUE(RIGHT(Table20[[#This Row],[Min]],LEN(Table20[[#This Row],[Min]])-FIND("-",Table20[[#This Row],[Min]])))&gt;INDIRECT(ADDRESS(11+MATCH(LEFT(Table20[[#This Row],[Min]],FIND("-",Table20[[#This Row],[Min]])-1),Table1[Content Sku],0),18,1,1,"Entities")),"review","ok"),"ok")</f>
        <v>ok</v>
      </c>
    </row>
    <row r="1056" spans="5:41" x14ac:dyDescent="0.25">
      <c r="E1056" t="s">
        <v>318</v>
      </c>
      <c r="F1056">
        <v>8000</v>
      </c>
      <c r="G1056">
        <v>0</v>
      </c>
      <c r="H1056" t="s">
        <v>205</v>
      </c>
      <c r="I1056" s="74" t="str">
        <f ca="1">IF(Table7[[#This Row],[Type]]="KILL",IF(_xlfn.NUMBERVALUE(RIGHT(Table7[[#This Row],[Min]],LEN(Table7[[#This Row],[Min]])-FIND("-",Table7[[#This Row],[Min]])))&gt;INDIRECT(ADDRESS(11+MATCH(LEFT(Table7[[#This Row],[Min]],FIND("-",Table7[[#This Row],[Min]])-1),Table1[Content Sku],0),16,1,1,"Entities")),"review","ok"),"ok")</f>
        <v>ok</v>
      </c>
      <c r="U1056" t="s">
        <v>37</v>
      </c>
      <c r="V1056">
        <v>0</v>
      </c>
      <c r="W1056">
        <v>0</v>
      </c>
      <c r="X1056" t="s">
        <v>8</v>
      </c>
      <c r="Y1056" s="74" t="str">
        <f ca="1">IF(Table15[[#This Row],[Type]]="KILL",IF(_xlfn.NUMBERVALUE(RIGHT(Table15[[#This Row],[Min]],LEN(Table15[[#This Row],[Min]])-FIND("-",Table15[[#This Row],[Min]])))&gt;INDIRECT(ADDRESS(11+MATCH(LEFT(Table15[[#This Row],[Min]],FIND("-",Table15[[#This Row],[Min]])-1),Table1[Content Sku],0),16,1,1,"Entities")),"review","ok"),"ok")</f>
        <v>ok</v>
      </c>
      <c r="AK1056" t="s">
        <v>36</v>
      </c>
      <c r="AL1056">
        <v>12000</v>
      </c>
      <c r="AM1056">
        <v>0</v>
      </c>
      <c r="AN1056" t="s">
        <v>205</v>
      </c>
      <c r="AO1056" s="74" t="str">
        <f ca="1">IF(Table20[[#This Row],[Type]]="KILL",IF(_xlfn.NUMBERVALUE(RIGHT(Table20[[#This Row],[Min]],LEN(Table20[[#This Row],[Min]])-FIND("-",Table20[[#This Row],[Min]])))&gt;INDIRECT(ADDRESS(11+MATCH(LEFT(Table20[[#This Row],[Min]],FIND("-",Table20[[#This Row],[Min]])-1),Table1[Content Sku],0),18,1,1,"Entities")),"review","ok"),"ok")</f>
        <v>ok</v>
      </c>
    </row>
    <row r="1057" spans="5:41" x14ac:dyDescent="0.25">
      <c r="E1057" t="s">
        <v>2741</v>
      </c>
      <c r="F1057">
        <v>0</v>
      </c>
      <c r="G1057">
        <v>0</v>
      </c>
      <c r="H1057" t="s">
        <v>8</v>
      </c>
      <c r="I1057" s="74" t="str">
        <f ca="1">IF(Table7[[#This Row],[Type]]="KILL",IF(_xlfn.NUMBERVALUE(RIGHT(Table7[[#This Row],[Min]],LEN(Table7[[#This Row],[Min]])-FIND("-",Table7[[#This Row],[Min]])))&gt;INDIRECT(ADDRESS(11+MATCH(LEFT(Table7[[#This Row],[Min]],FIND("-",Table7[[#This Row],[Min]])-1),Table1[Content Sku],0),16,1,1,"Entities")),"review","ok"),"ok")</f>
        <v>ok</v>
      </c>
      <c r="U1057" t="s">
        <v>280</v>
      </c>
      <c r="V1057">
        <v>0</v>
      </c>
      <c r="W1057">
        <v>0</v>
      </c>
      <c r="X1057" t="s">
        <v>8</v>
      </c>
      <c r="Y1057" s="74" t="str">
        <f ca="1">IF(Table15[[#This Row],[Type]]="KILL",IF(_xlfn.NUMBERVALUE(RIGHT(Table15[[#This Row],[Min]],LEN(Table15[[#This Row],[Min]])-FIND("-",Table15[[#This Row],[Min]])))&gt;INDIRECT(ADDRESS(11+MATCH(LEFT(Table15[[#This Row],[Min]],FIND("-",Table15[[#This Row],[Min]])-1),Table1[Content Sku],0),16,1,1,"Entities")),"review","ok"),"ok")</f>
        <v>ok</v>
      </c>
      <c r="AK1057" t="s">
        <v>2767</v>
      </c>
      <c r="AL1057">
        <v>0</v>
      </c>
      <c r="AM1057">
        <v>0</v>
      </c>
      <c r="AN1057" t="s">
        <v>8</v>
      </c>
      <c r="AO1057" s="74" t="str">
        <f ca="1">IF(Table20[[#This Row],[Type]]="KILL",IF(_xlfn.NUMBERVALUE(RIGHT(Table20[[#This Row],[Min]],LEN(Table20[[#This Row],[Min]])-FIND("-",Table20[[#This Row],[Min]])))&gt;INDIRECT(ADDRESS(11+MATCH(LEFT(Table20[[#This Row],[Min]],FIND("-",Table20[[#This Row],[Min]])-1),Table1[Content Sku],0),18,1,1,"Entities")),"review","ok"),"ok")</f>
        <v>ok</v>
      </c>
    </row>
    <row r="1058" spans="5:41" x14ac:dyDescent="0.25">
      <c r="E1058" t="s">
        <v>256</v>
      </c>
      <c r="F1058">
        <v>1000</v>
      </c>
      <c r="G1058">
        <v>0</v>
      </c>
      <c r="H1058" t="s">
        <v>205</v>
      </c>
      <c r="I1058" s="74" t="str">
        <f ca="1">IF(Table7[[#This Row],[Type]]="KILL",IF(_xlfn.NUMBERVALUE(RIGHT(Table7[[#This Row],[Min]],LEN(Table7[[#This Row],[Min]])-FIND("-",Table7[[#This Row],[Min]])))&gt;INDIRECT(ADDRESS(11+MATCH(LEFT(Table7[[#This Row],[Min]],FIND("-",Table7[[#This Row],[Min]])-1),Table1[Content Sku],0),16,1,1,"Entities")),"review","ok"),"ok")</f>
        <v>ok</v>
      </c>
      <c r="U1058" t="s">
        <v>403</v>
      </c>
      <c r="V1058">
        <v>0</v>
      </c>
      <c r="W1058">
        <v>0</v>
      </c>
      <c r="X1058" t="s">
        <v>8</v>
      </c>
      <c r="Y1058" s="74" t="str">
        <f ca="1">IF(Table15[[#This Row],[Type]]="KILL",IF(_xlfn.NUMBERVALUE(RIGHT(Table15[[#This Row],[Min]],LEN(Table15[[#This Row],[Min]])-FIND("-",Table15[[#This Row],[Min]])))&gt;INDIRECT(ADDRESS(11+MATCH(LEFT(Table15[[#This Row],[Min]],FIND("-",Table15[[#This Row],[Min]])-1),Table1[Content Sku],0),16,1,1,"Entities")),"review","ok"),"ok")</f>
        <v>ok</v>
      </c>
      <c r="AK1058" t="s">
        <v>37</v>
      </c>
      <c r="AL1058">
        <v>0</v>
      </c>
      <c r="AM1058">
        <v>0</v>
      </c>
      <c r="AN1058" t="s">
        <v>8</v>
      </c>
      <c r="AO1058" s="74" t="str">
        <f ca="1">IF(Table20[[#This Row],[Type]]="KILL",IF(_xlfn.NUMBERVALUE(RIGHT(Table20[[#This Row],[Min]],LEN(Table20[[#This Row],[Min]])-FIND("-",Table20[[#This Row],[Min]])))&gt;INDIRECT(ADDRESS(11+MATCH(LEFT(Table20[[#This Row],[Min]],FIND("-",Table20[[#This Row],[Min]])-1),Table1[Content Sku],0),18,1,1,"Entities")),"review","ok"),"ok")</f>
        <v>ok</v>
      </c>
    </row>
    <row r="1059" spans="5:41" x14ac:dyDescent="0.25">
      <c r="E1059" t="s">
        <v>254</v>
      </c>
      <c r="F1059">
        <v>0</v>
      </c>
      <c r="G1059">
        <v>0</v>
      </c>
      <c r="H1059" t="s">
        <v>8</v>
      </c>
      <c r="I1059" s="74" t="str">
        <f ca="1">IF(Table7[[#This Row],[Type]]="KILL",IF(_xlfn.NUMBERVALUE(RIGHT(Table7[[#This Row],[Min]],LEN(Table7[[#This Row],[Min]])-FIND("-",Table7[[#This Row],[Min]])))&gt;INDIRECT(ADDRESS(11+MATCH(LEFT(Table7[[#This Row],[Min]],FIND("-",Table7[[#This Row],[Min]])-1),Table1[Content Sku],0),16,1,1,"Entities")),"review","ok"),"ok")</f>
        <v>ok</v>
      </c>
      <c r="U1059" t="s">
        <v>460</v>
      </c>
      <c r="V1059">
        <v>0</v>
      </c>
      <c r="W1059">
        <v>0</v>
      </c>
      <c r="X1059" t="s">
        <v>8</v>
      </c>
      <c r="Y1059" s="74" t="str">
        <f ca="1">IF(Table15[[#This Row],[Type]]="KILL",IF(_xlfn.NUMBERVALUE(RIGHT(Table15[[#This Row],[Min]],LEN(Table15[[#This Row],[Min]])-FIND("-",Table15[[#This Row],[Min]])))&gt;INDIRECT(ADDRESS(11+MATCH(LEFT(Table15[[#This Row],[Min]],FIND("-",Table15[[#This Row],[Min]])-1),Table1[Content Sku],0),16,1,1,"Entities")),"review","ok"),"ok")</f>
        <v>ok</v>
      </c>
      <c r="AK1059" t="s">
        <v>2662</v>
      </c>
      <c r="AL1059">
        <v>0</v>
      </c>
      <c r="AM1059">
        <v>0</v>
      </c>
      <c r="AN1059" t="s">
        <v>8</v>
      </c>
      <c r="AO1059" s="74" t="str">
        <f ca="1">IF(Table20[[#This Row],[Type]]="KILL",IF(_xlfn.NUMBERVALUE(RIGHT(Table20[[#This Row],[Min]],LEN(Table20[[#This Row],[Min]])-FIND("-",Table20[[#This Row],[Min]])))&gt;INDIRECT(ADDRESS(11+MATCH(LEFT(Table20[[#This Row],[Min]],FIND("-",Table20[[#This Row],[Min]])-1),Table1[Content Sku],0),18,1,1,"Entities")),"review","ok"),"ok")</f>
        <v>ok</v>
      </c>
    </row>
    <row r="1060" spans="5:41" x14ac:dyDescent="0.25">
      <c r="E1060" t="s">
        <v>8133</v>
      </c>
      <c r="F1060">
        <v>0</v>
      </c>
      <c r="G1060">
        <v>0</v>
      </c>
      <c r="H1060" t="s">
        <v>8</v>
      </c>
      <c r="I1060" s="74" t="str">
        <f ca="1">IF(Table7[[#This Row],[Type]]="KILL",IF(_xlfn.NUMBERVALUE(RIGHT(Table7[[#This Row],[Min]],LEN(Table7[[#This Row],[Min]])-FIND("-",Table7[[#This Row],[Min]])))&gt;INDIRECT(ADDRESS(11+MATCH(LEFT(Table7[[#This Row],[Min]],FIND("-",Table7[[#This Row],[Min]])-1),Table1[Content Sku],0),16,1,1,"Entities")),"review","ok"),"ok")</f>
        <v>ok</v>
      </c>
      <c r="U1060" t="s">
        <v>313</v>
      </c>
      <c r="V1060">
        <v>0</v>
      </c>
      <c r="W1060">
        <v>0</v>
      </c>
      <c r="X1060" t="s">
        <v>8</v>
      </c>
      <c r="Y1060" s="74" t="str">
        <f ca="1">IF(Table15[[#This Row],[Type]]="KILL",IF(_xlfn.NUMBERVALUE(RIGHT(Table15[[#This Row],[Min]],LEN(Table15[[#This Row],[Min]])-FIND("-",Table15[[#This Row],[Min]])))&gt;INDIRECT(ADDRESS(11+MATCH(LEFT(Table15[[#This Row],[Min]],FIND("-",Table15[[#This Row],[Min]])-1),Table1[Content Sku],0),16,1,1,"Entities")),"review","ok"),"ok")</f>
        <v>ok</v>
      </c>
      <c r="AK1060" t="s">
        <v>2664</v>
      </c>
      <c r="AL1060">
        <v>0</v>
      </c>
      <c r="AM1060">
        <v>0</v>
      </c>
      <c r="AN1060" t="s">
        <v>8</v>
      </c>
      <c r="AO1060" s="74" t="str">
        <f ca="1">IF(Table20[[#This Row],[Type]]="KILL",IF(_xlfn.NUMBERVALUE(RIGHT(Table20[[#This Row],[Min]],LEN(Table20[[#This Row],[Min]])-FIND("-",Table20[[#This Row],[Min]])))&gt;INDIRECT(ADDRESS(11+MATCH(LEFT(Table20[[#This Row],[Min]],FIND("-",Table20[[#This Row],[Min]])-1),Table1[Content Sku],0),18,1,1,"Entities")),"review","ok"),"ok")</f>
        <v>ok</v>
      </c>
    </row>
    <row r="1061" spans="5:41" x14ac:dyDescent="0.25">
      <c r="E1061" t="s">
        <v>253</v>
      </c>
      <c r="F1061">
        <v>0</v>
      </c>
      <c r="G1061">
        <v>0</v>
      </c>
      <c r="H1061" t="s">
        <v>8</v>
      </c>
      <c r="I1061" s="74" t="str">
        <f ca="1">IF(Table7[[#This Row],[Type]]="KILL",IF(_xlfn.NUMBERVALUE(RIGHT(Table7[[#This Row],[Min]],LEN(Table7[[#This Row],[Min]])-FIND("-",Table7[[#This Row],[Min]])))&gt;INDIRECT(ADDRESS(11+MATCH(LEFT(Table7[[#This Row],[Min]],FIND("-",Table7[[#This Row],[Min]])-1),Table1[Content Sku],0),16,1,1,"Entities")),"review","ok"),"ok")</f>
        <v>ok</v>
      </c>
      <c r="U1061" t="s">
        <v>254</v>
      </c>
      <c r="V1061">
        <v>0</v>
      </c>
      <c r="W1061">
        <v>0</v>
      </c>
      <c r="X1061" t="s">
        <v>8</v>
      </c>
      <c r="Y1061" s="74" t="str">
        <f ca="1">IF(Table15[[#This Row],[Type]]="KILL",IF(_xlfn.NUMBERVALUE(RIGHT(Table15[[#This Row],[Min]],LEN(Table15[[#This Row],[Min]])-FIND("-",Table15[[#This Row],[Min]])))&gt;INDIRECT(ADDRESS(11+MATCH(LEFT(Table15[[#This Row],[Min]],FIND("-",Table15[[#This Row],[Min]])-1),Table1[Content Sku],0),16,1,1,"Entities")),"review","ok"),"ok")</f>
        <v>ok</v>
      </c>
      <c r="AK1061" t="s">
        <v>50</v>
      </c>
      <c r="AL1061">
        <v>0</v>
      </c>
      <c r="AM1061">
        <v>33000</v>
      </c>
      <c r="AN1061" t="s">
        <v>205</v>
      </c>
      <c r="AO1061" s="74" t="str">
        <f ca="1">IF(Table20[[#This Row],[Type]]="KILL",IF(_xlfn.NUMBERVALUE(RIGHT(Table20[[#This Row],[Min]],LEN(Table20[[#This Row],[Min]])-FIND("-",Table20[[#This Row],[Min]])))&gt;INDIRECT(ADDRESS(11+MATCH(LEFT(Table20[[#This Row],[Min]],FIND("-",Table20[[#This Row],[Min]])-1),Table1[Content Sku],0),18,1,1,"Entities")),"review","ok"),"ok")</f>
        <v>ok</v>
      </c>
    </row>
    <row r="1062" spans="5:41" x14ac:dyDescent="0.25">
      <c r="E1062" t="s">
        <v>8148</v>
      </c>
      <c r="F1062">
        <v>0</v>
      </c>
      <c r="G1062">
        <v>0</v>
      </c>
      <c r="H1062" t="s">
        <v>8</v>
      </c>
      <c r="I1062" s="74" t="str">
        <f ca="1">IF(Table7[[#This Row],[Type]]="KILL",IF(_xlfn.NUMBERVALUE(RIGHT(Table7[[#This Row],[Min]],LEN(Table7[[#This Row],[Min]])-FIND("-",Table7[[#This Row],[Min]])))&gt;INDIRECT(ADDRESS(11+MATCH(LEFT(Table7[[#This Row],[Min]],FIND("-",Table7[[#This Row],[Min]])-1),Table1[Content Sku],0),16,1,1,"Entities")),"review","ok"),"ok")</f>
        <v>ok</v>
      </c>
      <c r="U1062" t="s">
        <v>1</v>
      </c>
      <c r="V1062">
        <v>0</v>
      </c>
      <c r="W1062">
        <v>0</v>
      </c>
      <c r="X1062" t="s">
        <v>8</v>
      </c>
      <c r="Y1062" s="74" t="str">
        <f ca="1">IF(Table15[[#This Row],[Type]]="KILL",IF(_xlfn.NUMBERVALUE(RIGHT(Table15[[#This Row],[Min]],LEN(Table15[[#This Row],[Min]])-FIND("-",Table15[[#This Row],[Min]])))&gt;INDIRECT(ADDRESS(11+MATCH(LEFT(Table15[[#This Row],[Min]],FIND("-",Table15[[#This Row],[Min]])-1),Table1[Content Sku],0),16,1,1,"Entities")),"review","ok"),"ok")</f>
        <v>ok</v>
      </c>
      <c r="AK1062" t="s">
        <v>2741</v>
      </c>
      <c r="AL1062">
        <v>0</v>
      </c>
      <c r="AM1062">
        <v>0</v>
      </c>
      <c r="AN1062" t="s">
        <v>8</v>
      </c>
      <c r="AO1062" s="74" t="str">
        <f ca="1">IF(Table20[[#This Row],[Type]]="KILL",IF(_xlfn.NUMBERVALUE(RIGHT(Table20[[#This Row],[Min]],LEN(Table20[[#This Row],[Min]])-FIND("-",Table20[[#This Row],[Min]])))&gt;INDIRECT(ADDRESS(11+MATCH(LEFT(Table20[[#This Row],[Min]],FIND("-",Table20[[#This Row],[Min]])-1),Table1[Content Sku],0),18,1,1,"Entities")),"review","ok"),"ok")</f>
        <v>ok</v>
      </c>
    </row>
    <row r="1063" spans="5:41" x14ac:dyDescent="0.25">
      <c r="E1063" t="s">
        <v>8100</v>
      </c>
      <c r="F1063">
        <v>0</v>
      </c>
      <c r="G1063">
        <v>0</v>
      </c>
      <c r="H1063" t="s">
        <v>8</v>
      </c>
      <c r="I1063" s="74" t="str">
        <f ca="1">IF(Table7[[#This Row],[Type]]="KILL",IF(_xlfn.NUMBERVALUE(RIGHT(Table7[[#This Row],[Min]],LEN(Table7[[#This Row],[Min]])-FIND("-",Table7[[#This Row],[Min]])))&gt;INDIRECT(ADDRESS(11+MATCH(LEFT(Table7[[#This Row],[Min]],FIND("-",Table7[[#This Row],[Min]])-1),Table1[Content Sku],0),16,1,1,"Entities")),"review","ok"),"ok")</f>
        <v>ok</v>
      </c>
      <c r="U1063" t="s">
        <v>318</v>
      </c>
      <c r="V1063">
        <v>0</v>
      </c>
      <c r="W1063">
        <v>0</v>
      </c>
      <c r="X1063" t="s">
        <v>8</v>
      </c>
      <c r="Y1063" s="74" t="str">
        <f ca="1">IF(Table15[[#This Row],[Type]]="KILL",IF(_xlfn.NUMBERVALUE(RIGHT(Table15[[#This Row],[Min]],LEN(Table15[[#This Row],[Min]])-FIND("-",Table15[[#This Row],[Min]])))&gt;INDIRECT(ADDRESS(11+MATCH(LEFT(Table15[[#This Row],[Min]],FIND("-",Table15[[#This Row],[Min]])-1),Table1[Content Sku],0),16,1,1,"Entities")),"review","ok"),"ok")</f>
        <v>ok</v>
      </c>
      <c r="AK1063" t="s">
        <v>574</v>
      </c>
      <c r="AL1063">
        <v>0</v>
      </c>
      <c r="AM1063">
        <v>0</v>
      </c>
      <c r="AN1063" t="s">
        <v>8</v>
      </c>
      <c r="AO1063" s="74" t="str">
        <f ca="1">IF(Table20[[#This Row],[Type]]="KILL",IF(_xlfn.NUMBERVALUE(RIGHT(Table20[[#This Row],[Min]],LEN(Table20[[#This Row],[Min]])-FIND("-",Table20[[#This Row],[Min]])))&gt;INDIRECT(ADDRESS(11+MATCH(LEFT(Table20[[#This Row],[Min]],FIND("-",Table20[[#This Row],[Min]])-1),Table1[Content Sku],0),18,1,1,"Entities")),"review","ok"),"ok")</f>
        <v>ok</v>
      </c>
    </row>
    <row r="1064" spans="5:41" x14ac:dyDescent="0.25">
      <c r="E1064" t="s">
        <v>48</v>
      </c>
      <c r="F1064">
        <v>6000</v>
      </c>
      <c r="G1064">
        <v>0</v>
      </c>
      <c r="H1064" t="s">
        <v>205</v>
      </c>
      <c r="I1064" s="74" t="str">
        <f ca="1">IF(Table7[[#This Row],[Type]]="KILL",IF(_xlfn.NUMBERVALUE(RIGHT(Table7[[#This Row],[Min]],LEN(Table7[[#This Row],[Min]])-FIND("-",Table7[[#This Row],[Min]])))&gt;INDIRECT(ADDRESS(11+MATCH(LEFT(Table7[[#This Row],[Min]],FIND("-",Table7[[#This Row],[Min]])-1),Table1[Content Sku],0),16,1,1,"Entities")),"review","ok"),"ok")</f>
        <v>ok</v>
      </c>
      <c r="U1064" t="s">
        <v>7991</v>
      </c>
      <c r="V1064">
        <v>0</v>
      </c>
      <c r="W1064">
        <v>0</v>
      </c>
      <c r="X1064" t="s">
        <v>8</v>
      </c>
      <c r="Y1064" s="74" t="str">
        <f ca="1">IF(Table15[[#This Row],[Type]]="KILL",IF(_xlfn.NUMBERVALUE(RIGHT(Table15[[#This Row],[Min]],LEN(Table15[[#This Row],[Min]])-FIND("-",Table15[[#This Row],[Min]])))&gt;INDIRECT(ADDRESS(11+MATCH(LEFT(Table15[[#This Row],[Min]],FIND("-",Table15[[#This Row],[Min]])-1),Table1[Content Sku],0),16,1,1,"Entities")),"review","ok"),"ok")</f>
        <v>ok</v>
      </c>
      <c r="AK1064" t="s">
        <v>574</v>
      </c>
      <c r="AL1064">
        <v>0</v>
      </c>
      <c r="AM1064">
        <v>0</v>
      </c>
      <c r="AN1064" t="s">
        <v>8</v>
      </c>
      <c r="AO1064" s="74" t="str">
        <f ca="1">IF(Table20[[#This Row],[Type]]="KILL",IF(_xlfn.NUMBERVALUE(RIGHT(Table20[[#This Row],[Min]],LEN(Table20[[#This Row],[Min]])-FIND("-",Table20[[#This Row],[Min]])))&gt;INDIRECT(ADDRESS(11+MATCH(LEFT(Table20[[#This Row],[Min]],FIND("-",Table20[[#This Row],[Min]])-1),Table1[Content Sku],0),18,1,1,"Entities")),"review","ok"),"ok")</f>
        <v>ok</v>
      </c>
    </row>
    <row r="1065" spans="5:41" x14ac:dyDescent="0.25">
      <c r="E1065" t="s">
        <v>258</v>
      </c>
      <c r="F1065">
        <v>25000</v>
      </c>
      <c r="G1065">
        <v>0</v>
      </c>
      <c r="H1065" t="s">
        <v>205</v>
      </c>
      <c r="I1065" s="74" t="str">
        <f ca="1">IF(Table7[[#This Row],[Type]]="KILL",IF(_xlfn.NUMBERVALUE(RIGHT(Table7[[#This Row],[Min]],LEN(Table7[[#This Row],[Min]])-FIND("-",Table7[[#This Row],[Min]])))&gt;INDIRECT(ADDRESS(11+MATCH(LEFT(Table7[[#This Row],[Min]],FIND("-",Table7[[#This Row],[Min]])-1),Table1[Content Sku],0),16,1,1,"Entities")),"review","ok"),"ok")</f>
        <v>ok</v>
      </c>
      <c r="U1065" t="s">
        <v>313</v>
      </c>
      <c r="V1065">
        <v>0</v>
      </c>
      <c r="W1065">
        <v>0</v>
      </c>
      <c r="X1065" t="s">
        <v>8</v>
      </c>
      <c r="Y1065" s="74" t="str">
        <f ca="1">IF(Table15[[#This Row],[Type]]="KILL",IF(_xlfn.NUMBERVALUE(RIGHT(Table15[[#This Row],[Min]],LEN(Table15[[#This Row],[Min]])-FIND("-",Table15[[#This Row],[Min]])))&gt;INDIRECT(ADDRESS(11+MATCH(LEFT(Table15[[#This Row],[Min]],FIND("-",Table15[[#This Row],[Min]])-1),Table1[Content Sku],0),16,1,1,"Entities")),"review","ok"),"ok")</f>
        <v>ok</v>
      </c>
      <c r="AK1065" t="s">
        <v>37</v>
      </c>
      <c r="AL1065">
        <v>0</v>
      </c>
      <c r="AM1065">
        <v>20000</v>
      </c>
      <c r="AN1065" t="s">
        <v>205</v>
      </c>
      <c r="AO1065" s="74" t="str">
        <f ca="1">IF(Table20[[#This Row],[Type]]="KILL",IF(_xlfn.NUMBERVALUE(RIGHT(Table20[[#This Row],[Min]],LEN(Table20[[#This Row],[Min]])-FIND("-",Table20[[#This Row],[Min]])))&gt;INDIRECT(ADDRESS(11+MATCH(LEFT(Table20[[#This Row],[Min]],FIND("-",Table20[[#This Row],[Min]])-1),Table1[Content Sku],0),18,1,1,"Entities")),"review","ok"),"ok")</f>
        <v>ok</v>
      </c>
    </row>
    <row r="1066" spans="5:41" x14ac:dyDescent="0.25">
      <c r="E1066" t="s">
        <v>14</v>
      </c>
      <c r="F1066">
        <v>0</v>
      </c>
      <c r="G1066">
        <v>0</v>
      </c>
      <c r="H1066" t="s">
        <v>8</v>
      </c>
      <c r="I1066" s="74" t="str">
        <f ca="1">IF(Table7[[#This Row],[Type]]="KILL",IF(_xlfn.NUMBERVALUE(RIGHT(Table7[[#This Row],[Min]],LEN(Table7[[#This Row],[Min]])-FIND("-",Table7[[#This Row],[Min]])))&gt;INDIRECT(ADDRESS(11+MATCH(LEFT(Table7[[#This Row],[Min]],FIND("-",Table7[[#This Row],[Min]])-1),Table1[Content Sku],0),16,1,1,"Entities")),"review","ok"),"ok")</f>
        <v>ok</v>
      </c>
      <c r="U1066" t="s">
        <v>37</v>
      </c>
      <c r="V1066">
        <v>0</v>
      </c>
      <c r="W1066">
        <v>0</v>
      </c>
      <c r="X1066" t="s">
        <v>8</v>
      </c>
      <c r="Y1066" s="74" t="str">
        <f ca="1">IF(Table15[[#This Row],[Type]]="KILL",IF(_xlfn.NUMBERVALUE(RIGHT(Table15[[#This Row],[Min]],LEN(Table15[[#This Row],[Min]])-FIND("-",Table15[[#This Row],[Min]])))&gt;INDIRECT(ADDRESS(11+MATCH(LEFT(Table15[[#This Row],[Min]],FIND("-",Table15[[#This Row],[Min]])-1),Table1[Content Sku],0),16,1,1,"Entities")),"review","ok"),"ok")</f>
        <v>ok</v>
      </c>
      <c r="AK1066" t="s">
        <v>95</v>
      </c>
      <c r="AL1066">
        <v>0</v>
      </c>
      <c r="AM1066">
        <v>0</v>
      </c>
      <c r="AN1066" t="s">
        <v>8</v>
      </c>
      <c r="AO1066" s="74" t="str">
        <f ca="1">IF(Table20[[#This Row],[Type]]="KILL",IF(_xlfn.NUMBERVALUE(RIGHT(Table20[[#This Row],[Min]],LEN(Table20[[#This Row],[Min]])-FIND("-",Table20[[#This Row],[Min]])))&gt;INDIRECT(ADDRESS(11+MATCH(LEFT(Table20[[#This Row],[Min]],FIND("-",Table20[[#This Row],[Min]])-1),Table1[Content Sku],0),18,1,1,"Entities")),"review","ok"),"ok")</f>
        <v>ok</v>
      </c>
    </row>
    <row r="1067" spans="5:41" x14ac:dyDescent="0.25">
      <c r="E1067" t="s">
        <v>338</v>
      </c>
      <c r="F1067">
        <v>16000</v>
      </c>
      <c r="G1067">
        <v>0</v>
      </c>
      <c r="H1067" t="s">
        <v>205</v>
      </c>
      <c r="I1067" s="74" t="str">
        <f ca="1">IF(Table7[[#This Row],[Type]]="KILL",IF(_xlfn.NUMBERVALUE(RIGHT(Table7[[#This Row],[Min]],LEN(Table7[[#This Row],[Min]])-FIND("-",Table7[[#This Row],[Min]])))&gt;INDIRECT(ADDRESS(11+MATCH(LEFT(Table7[[#This Row],[Min]],FIND("-",Table7[[#This Row],[Min]])-1),Table1[Content Sku],0),16,1,1,"Entities")),"review","ok"),"ok")</f>
        <v>ok</v>
      </c>
      <c r="U1067" t="s">
        <v>122</v>
      </c>
      <c r="V1067">
        <v>0</v>
      </c>
      <c r="W1067">
        <v>0</v>
      </c>
      <c r="X1067" t="s">
        <v>8</v>
      </c>
      <c r="Y1067" s="74" t="str">
        <f ca="1">IF(Table15[[#This Row],[Type]]="KILL",IF(_xlfn.NUMBERVALUE(RIGHT(Table15[[#This Row],[Min]],LEN(Table15[[#This Row],[Min]])-FIND("-",Table15[[#This Row],[Min]])))&gt;INDIRECT(ADDRESS(11+MATCH(LEFT(Table15[[#This Row],[Min]],FIND("-",Table15[[#This Row],[Min]])-1),Table1[Content Sku],0),16,1,1,"Entities")),"review","ok"),"ok")</f>
        <v>ok</v>
      </c>
      <c r="AK1067" t="s">
        <v>2677</v>
      </c>
      <c r="AL1067">
        <v>35000</v>
      </c>
      <c r="AM1067">
        <v>0</v>
      </c>
      <c r="AN1067" t="s">
        <v>205</v>
      </c>
      <c r="AO1067" s="74" t="str">
        <f ca="1">IF(Table20[[#This Row],[Type]]="KILL",IF(_xlfn.NUMBERVALUE(RIGHT(Table20[[#This Row],[Min]],LEN(Table20[[#This Row],[Min]])-FIND("-",Table20[[#This Row],[Min]])))&gt;INDIRECT(ADDRESS(11+MATCH(LEFT(Table20[[#This Row],[Min]],FIND("-",Table20[[#This Row],[Min]])-1),Table1[Content Sku],0),18,1,1,"Entities")),"review","ok"),"ok")</f>
        <v>ok</v>
      </c>
    </row>
    <row r="1068" spans="5:41" x14ac:dyDescent="0.25">
      <c r="E1068" t="s">
        <v>92</v>
      </c>
      <c r="F1068">
        <v>0</v>
      </c>
      <c r="G1068">
        <v>0</v>
      </c>
      <c r="H1068" t="s">
        <v>8</v>
      </c>
      <c r="I1068" s="74" t="str">
        <f ca="1">IF(Table7[[#This Row],[Type]]="KILL",IF(_xlfn.NUMBERVALUE(RIGHT(Table7[[#This Row],[Min]],LEN(Table7[[#This Row],[Min]])-FIND("-",Table7[[#This Row],[Min]])))&gt;INDIRECT(ADDRESS(11+MATCH(LEFT(Table7[[#This Row],[Min]],FIND("-",Table7[[#This Row],[Min]])-1),Table1[Content Sku],0),16,1,1,"Entities")),"review","ok"),"ok")</f>
        <v>ok</v>
      </c>
      <c r="U1068" t="s">
        <v>37</v>
      </c>
      <c r="V1068">
        <v>0</v>
      </c>
      <c r="W1068">
        <v>0</v>
      </c>
      <c r="X1068" t="s">
        <v>8</v>
      </c>
      <c r="Y1068" s="74" t="str">
        <f ca="1">IF(Table15[[#This Row],[Type]]="KILL",IF(_xlfn.NUMBERVALUE(RIGHT(Table15[[#This Row],[Min]],LEN(Table15[[#This Row],[Min]])-FIND("-",Table15[[#This Row],[Min]])))&gt;INDIRECT(ADDRESS(11+MATCH(LEFT(Table15[[#This Row],[Min]],FIND("-",Table15[[#This Row],[Min]])-1),Table1[Content Sku],0),16,1,1,"Entities")),"review","ok"),"ok")</f>
        <v>ok</v>
      </c>
      <c r="AK1068" t="s">
        <v>576</v>
      </c>
      <c r="AL1068">
        <v>0</v>
      </c>
      <c r="AM1068">
        <v>0</v>
      </c>
      <c r="AN1068" t="s">
        <v>8</v>
      </c>
      <c r="AO1068" s="74" t="str">
        <f ca="1">IF(Table20[[#This Row],[Type]]="KILL",IF(_xlfn.NUMBERVALUE(RIGHT(Table20[[#This Row],[Min]],LEN(Table20[[#This Row],[Min]])-FIND("-",Table20[[#This Row],[Min]])))&gt;INDIRECT(ADDRESS(11+MATCH(LEFT(Table20[[#This Row],[Min]],FIND("-",Table20[[#This Row],[Min]])-1),Table1[Content Sku],0),18,1,1,"Entities")),"review","ok"),"ok")</f>
        <v>ok</v>
      </c>
    </row>
    <row r="1069" spans="5:41" x14ac:dyDescent="0.25">
      <c r="E1069" t="s">
        <v>123</v>
      </c>
      <c r="F1069">
        <v>12000</v>
      </c>
      <c r="G1069">
        <v>0</v>
      </c>
      <c r="H1069" t="s">
        <v>205</v>
      </c>
      <c r="I1069" s="74" t="str">
        <f ca="1">IF(Table7[[#This Row],[Type]]="KILL",IF(_xlfn.NUMBERVALUE(RIGHT(Table7[[#This Row],[Min]],LEN(Table7[[#This Row],[Min]])-FIND("-",Table7[[#This Row],[Min]])))&gt;INDIRECT(ADDRESS(11+MATCH(LEFT(Table7[[#This Row],[Min]],FIND("-",Table7[[#This Row],[Min]])-1),Table1[Content Sku],0),16,1,1,"Entities")),"review","ok"),"ok")</f>
        <v>ok</v>
      </c>
      <c r="U1069" t="s">
        <v>313</v>
      </c>
      <c r="V1069">
        <v>0</v>
      </c>
      <c r="W1069">
        <v>0</v>
      </c>
      <c r="X1069" t="s">
        <v>8</v>
      </c>
      <c r="Y1069" s="74" t="str">
        <f ca="1">IF(Table15[[#This Row],[Type]]="KILL",IF(_xlfn.NUMBERVALUE(RIGHT(Table15[[#This Row],[Min]],LEN(Table15[[#This Row],[Min]])-FIND("-",Table15[[#This Row],[Min]])))&gt;INDIRECT(ADDRESS(11+MATCH(LEFT(Table15[[#This Row],[Min]],FIND("-",Table15[[#This Row],[Min]])-1),Table1[Content Sku],0),16,1,1,"Entities")),"review","ok"),"ok")</f>
        <v>ok</v>
      </c>
      <c r="AK1069" t="s">
        <v>2662</v>
      </c>
      <c r="AL1069">
        <v>0</v>
      </c>
      <c r="AM1069">
        <v>0</v>
      </c>
      <c r="AN1069" t="s">
        <v>8</v>
      </c>
      <c r="AO1069" s="74" t="str">
        <f ca="1">IF(Table20[[#This Row],[Type]]="KILL",IF(_xlfn.NUMBERVALUE(RIGHT(Table20[[#This Row],[Min]],LEN(Table20[[#This Row],[Min]])-FIND("-",Table20[[#This Row],[Min]])))&gt;INDIRECT(ADDRESS(11+MATCH(LEFT(Table20[[#This Row],[Min]],FIND("-",Table20[[#This Row],[Min]])-1),Table1[Content Sku],0),18,1,1,"Entities")),"review","ok"),"ok")</f>
        <v>ok</v>
      </c>
    </row>
    <row r="1070" spans="5:41" x14ac:dyDescent="0.25">
      <c r="E1070" t="s">
        <v>123</v>
      </c>
      <c r="F1070">
        <v>0</v>
      </c>
      <c r="G1070">
        <v>0</v>
      </c>
      <c r="H1070" t="s">
        <v>8</v>
      </c>
      <c r="I1070" s="74" t="str">
        <f ca="1">IF(Table7[[#This Row],[Type]]="KILL",IF(_xlfn.NUMBERVALUE(RIGHT(Table7[[#This Row],[Min]],LEN(Table7[[#This Row],[Min]])-FIND("-",Table7[[#This Row],[Min]])))&gt;INDIRECT(ADDRESS(11+MATCH(LEFT(Table7[[#This Row],[Min]],FIND("-",Table7[[#This Row],[Min]])-1),Table1[Content Sku],0),16,1,1,"Entities")),"review","ok"),"ok")</f>
        <v>ok</v>
      </c>
      <c r="U1070" t="s">
        <v>313</v>
      </c>
      <c r="V1070">
        <v>0</v>
      </c>
      <c r="W1070">
        <v>0</v>
      </c>
      <c r="X1070" t="s">
        <v>8</v>
      </c>
      <c r="Y1070" s="74" t="str">
        <f ca="1">IF(Table15[[#This Row],[Type]]="KILL",IF(_xlfn.NUMBERVALUE(RIGHT(Table15[[#This Row],[Min]],LEN(Table15[[#This Row],[Min]])-FIND("-",Table15[[#This Row],[Min]])))&gt;INDIRECT(ADDRESS(11+MATCH(LEFT(Table15[[#This Row],[Min]],FIND("-",Table15[[#This Row],[Min]])-1),Table1[Content Sku],0),16,1,1,"Entities")),"review","ok"),"ok")</f>
        <v>ok</v>
      </c>
      <c r="AK1070" t="s">
        <v>95</v>
      </c>
      <c r="AL1070">
        <v>0</v>
      </c>
      <c r="AM1070">
        <v>0</v>
      </c>
      <c r="AN1070" t="s">
        <v>8</v>
      </c>
      <c r="AO1070" s="74" t="str">
        <f ca="1">IF(Table20[[#This Row],[Type]]="KILL",IF(_xlfn.NUMBERVALUE(RIGHT(Table20[[#This Row],[Min]],LEN(Table20[[#This Row],[Min]])-FIND("-",Table20[[#This Row],[Min]])))&gt;INDIRECT(ADDRESS(11+MATCH(LEFT(Table20[[#This Row],[Min]],FIND("-",Table20[[#This Row],[Min]])-1),Table1[Content Sku],0),18,1,1,"Entities")),"review","ok"),"ok")</f>
        <v>ok</v>
      </c>
    </row>
    <row r="1071" spans="5:41" x14ac:dyDescent="0.25">
      <c r="E1071" t="s">
        <v>2741</v>
      </c>
      <c r="F1071">
        <v>0</v>
      </c>
      <c r="G1071">
        <v>0</v>
      </c>
      <c r="H1071" t="s">
        <v>8</v>
      </c>
      <c r="I1071" s="74" t="str">
        <f ca="1">IF(Table7[[#This Row],[Type]]="KILL",IF(_xlfn.NUMBERVALUE(RIGHT(Table7[[#This Row],[Min]],LEN(Table7[[#This Row],[Min]])-FIND("-",Table7[[#This Row],[Min]])))&gt;INDIRECT(ADDRESS(11+MATCH(LEFT(Table7[[#This Row],[Min]],FIND("-",Table7[[#This Row],[Min]])-1),Table1[Content Sku],0),16,1,1,"Entities")),"review","ok"),"ok")</f>
        <v>ok</v>
      </c>
      <c r="U1071" t="s">
        <v>286</v>
      </c>
      <c r="V1071">
        <v>18000</v>
      </c>
      <c r="W1071">
        <v>40000</v>
      </c>
      <c r="X1071" t="s">
        <v>205</v>
      </c>
      <c r="Y1071" s="74" t="str">
        <f ca="1">IF(Table15[[#This Row],[Type]]="KILL",IF(_xlfn.NUMBERVALUE(RIGHT(Table15[[#This Row],[Min]],LEN(Table15[[#This Row],[Min]])-FIND("-",Table15[[#This Row],[Min]])))&gt;INDIRECT(ADDRESS(11+MATCH(LEFT(Table15[[#This Row],[Min]],FIND("-",Table15[[#This Row],[Min]])-1),Table1[Content Sku],0),16,1,1,"Entities")),"review","ok"),"ok")</f>
        <v>ok</v>
      </c>
      <c r="AK1071" t="s">
        <v>258</v>
      </c>
      <c r="AL1071">
        <v>34000</v>
      </c>
      <c r="AM1071">
        <v>0</v>
      </c>
      <c r="AN1071" t="s">
        <v>205</v>
      </c>
      <c r="AO1071" s="74" t="str">
        <f ca="1">IF(Table20[[#This Row],[Type]]="KILL",IF(_xlfn.NUMBERVALUE(RIGHT(Table20[[#This Row],[Min]],LEN(Table20[[#This Row],[Min]])-FIND("-",Table20[[#This Row],[Min]])))&gt;INDIRECT(ADDRESS(11+MATCH(LEFT(Table20[[#This Row],[Min]],FIND("-",Table20[[#This Row],[Min]])-1),Table1[Content Sku],0),18,1,1,"Entities")),"review","ok"),"ok")</f>
        <v>ok</v>
      </c>
    </row>
    <row r="1072" spans="5:41" x14ac:dyDescent="0.25">
      <c r="E1072" t="s">
        <v>253</v>
      </c>
      <c r="F1072">
        <v>0</v>
      </c>
      <c r="G1072">
        <v>0</v>
      </c>
      <c r="H1072" t="s">
        <v>8</v>
      </c>
      <c r="I1072" s="74" t="str">
        <f ca="1">IF(Table7[[#This Row],[Type]]="KILL",IF(_xlfn.NUMBERVALUE(RIGHT(Table7[[#This Row],[Min]],LEN(Table7[[#This Row],[Min]])-FIND("-",Table7[[#This Row],[Min]])))&gt;INDIRECT(ADDRESS(11+MATCH(LEFT(Table7[[#This Row],[Min]],FIND("-",Table7[[#This Row],[Min]])-1),Table1[Content Sku],0),16,1,1,"Entities")),"review","ok"),"ok")</f>
        <v>ok</v>
      </c>
      <c r="U1072" t="s">
        <v>1</v>
      </c>
      <c r="V1072">
        <v>26000</v>
      </c>
      <c r="W1072">
        <v>0</v>
      </c>
      <c r="X1072" t="s">
        <v>205</v>
      </c>
      <c r="Y1072" s="74" t="str">
        <f ca="1">IF(Table15[[#This Row],[Type]]="KILL",IF(_xlfn.NUMBERVALUE(RIGHT(Table15[[#This Row],[Min]],LEN(Table15[[#This Row],[Min]])-FIND("-",Table15[[#This Row],[Min]])))&gt;INDIRECT(ADDRESS(11+MATCH(LEFT(Table15[[#This Row],[Min]],FIND("-",Table15[[#This Row],[Min]])-1),Table1[Content Sku],0),16,1,1,"Entities")),"review","ok"),"ok")</f>
        <v>ok</v>
      </c>
      <c r="AK1072" t="s">
        <v>2747</v>
      </c>
      <c r="AL1072">
        <v>0</v>
      </c>
      <c r="AM1072">
        <v>0</v>
      </c>
      <c r="AN1072" t="s">
        <v>8</v>
      </c>
      <c r="AO1072" s="74" t="str">
        <f ca="1">IF(Table20[[#This Row],[Type]]="KILL",IF(_xlfn.NUMBERVALUE(RIGHT(Table20[[#This Row],[Min]],LEN(Table20[[#This Row],[Min]])-FIND("-",Table20[[#This Row],[Min]])))&gt;INDIRECT(ADDRESS(11+MATCH(LEFT(Table20[[#This Row],[Min]],FIND("-",Table20[[#This Row],[Min]])-1),Table1[Content Sku],0),18,1,1,"Entities")),"review","ok"),"ok")</f>
        <v>ok</v>
      </c>
    </row>
    <row r="1073" spans="5:41" x14ac:dyDescent="0.25">
      <c r="E1073" t="s">
        <v>295</v>
      </c>
      <c r="F1073">
        <v>0</v>
      </c>
      <c r="G1073">
        <v>14000</v>
      </c>
      <c r="H1073" t="s">
        <v>205</v>
      </c>
      <c r="I1073" s="74" t="str">
        <f ca="1">IF(Table7[[#This Row],[Type]]="KILL",IF(_xlfn.NUMBERVALUE(RIGHT(Table7[[#This Row],[Min]],LEN(Table7[[#This Row],[Min]])-FIND("-",Table7[[#This Row],[Min]])))&gt;INDIRECT(ADDRESS(11+MATCH(LEFT(Table7[[#This Row],[Min]],FIND("-",Table7[[#This Row],[Min]])-1),Table1[Content Sku],0),16,1,1,"Entities")),"review","ok"),"ok")</f>
        <v>ok</v>
      </c>
      <c r="U1073" t="s">
        <v>391</v>
      </c>
      <c r="V1073">
        <v>0</v>
      </c>
      <c r="W1073">
        <v>0</v>
      </c>
      <c r="X1073" t="s">
        <v>8</v>
      </c>
      <c r="Y1073" s="74" t="str">
        <f ca="1">IF(Table15[[#This Row],[Type]]="KILL",IF(_xlfn.NUMBERVALUE(RIGHT(Table15[[#This Row],[Min]],LEN(Table15[[#This Row],[Min]])-FIND("-",Table15[[#This Row],[Min]])))&gt;INDIRECT(ADDRESS(11+MATCH(LEFT(Table15[[#This Row],[Min]],FIND("-",Table15[[#This Row],[Min]])-1),Table1[Content Sku],0),16,1,1,"Entities")),"review","ok"),"ok")</f>
        <v>ok</v>
      </c>
      <c r="AK1073" t="s">
        <v>37</v>
      </c>
      <c r="AL1073">
        <v>0</v>
      </c>
      <c r="AM1073">
        <v>0</v>
      </c>
      <c r="AN1073" t="s">
        <v>8</v>
      </c>
      <c r="AO1073" s="74" t="str">
        <f ca="1">IF(Table20[[#This Row],[Type]]="KILL",IF(_xlfn.NUMBERVALUE(RIGHT(Table20[[#This Row],[Min]],LEN(Table20[[#This Row],[Min]])-FIND("-",Table20[[#This Row],[Min]])))&gt;INDIRECT(ADDRESS(11+MATCH(LEFT(Table20[[#This Row],[Min]],FIND("-",Table20[[#This Row],[Min]])-1),Table1[Content Sku],0),18,1,1,"Entities")),"review","ok"),"ok")</f>
        <v>ok</v>
      </c>
    </row>
    <row r="1074" spans="5:41" x14ac:dyDescent="0.25">
      <c r="E1074" t="s">
        <v>545</v>
      </c>
      <c r="F1074">
        <v>0</v>
      </c>
      <c r="G1074">
        <v>0</v>
      </c>
      <c r="H1074" t="s">
        <v>8</v>
      </c>
      <c r="I1074" s="74" t="str">
        <f ca="1">IF(Table7[[#This Row],[Type]]="KILL",IF(_xlfn.NUMBERVALUE(RIGHT(Table7[[#This Row],[Min]],LEN(Table7[[#This Row],[Min]])-FIND("-",Table7[[#This Row],[Min]])))&gt;INDIRECT(ADDRESS(11+MATCH(LEFT(Table7[[#This Row],[Min]],FIND("-",Table7[[#This Row],[Min]])-1),Table1[Content Sku],0),16,1,1,"Entities")),"review","ok"),"ok")</f>
        <v>ok</v>
      </c>
      <c r="U1074" t="s">
        <v>311</v>
      </c>
      <c r="V1074">
        <v>0</v>
      </c>
      <c r="W1074">
        <v>0</v>
      </c>
      <c r="X1074" t="s">
        <v>8</v>
      </c>
      <c r="Y1074" s="74" t="str">
        <f ca="1">IF(Table15[[#This Row],[Type]]="KILL",IF(_xlfn.NUMBERVALUE(RIGHT(Table15[[#This Row],[Min]],LEN(Table15[[#This Row],[Min]])-FIND("-",Table15[[#This Row],[Min]])))&gt;INDIRECT(ADDRESS(11+MATCH(LEFT(Table15[[#This Row],[Min]],FIND("-",Table15[[#This Row],[Min]])-1),Table1[Content Sku],0),16,1,1,"Entities")),"review","ok"),"ok")</f>
        <v>ok</v>
      </c>
      <c r="AK1074" t="s">
        <v>256</v>
      </c>
      <c r="AL1074">
        <v>0</v>
      </c>
      <c r="AM1074">
        <v>0</v>
      </c>
      <c r="AN1074" t="s">
        <v>8</v>
      </c>
      <c r="AO1074" s="74" t="str">
        <f ca="1">IF(Table20[[#This Row],[Type]]="KILL",IF(_xlfn.NUMBERVALUE(RIGHT(Table20[[#This Row],[Min]],LEN(Table20[[#This Row],[Min]])-FIND("-",Table20[[#This Row],[Min]])))&gt;INDIRECT(ADDRESS(11+MATCH(LEFT(Table20[[#This Row],[Min]],FIND("-",Table20[[#This Row],[Min]])-1),Table1[Content Sku],0),18,1,1,"Entities")),"review","ok"),"ok")</f>
        <v>ok</v>
      </c>
    </row>
    <row r="1075" spans="5:41" x14ac:dyDescent="0.25">
      <c r="E1075" t="s">
        <v>95</v>
      </c>
      <c r="F1075">
        <v>0</v>
      </c>
      <c r="G1075">
        <v>0</v>
      </c>
      <c r="H1075" t="s">
        <v>8</v>
      </c>
      <c r="I1075" s="74" t="str">
        <f ca="1">IF(Table7[[#This Row],[Type]]="KILL",IF(_xlfn.NUMBERVALUE(RIGHT(Table7[[#This Row],[Min]],LEN(Table7[[#This Row],[Min]])-FIND("-",Table7[[#This Row],[Min]])))&gt;INDIRECT(ADDRESS(11+MATCH(LEFT(Table7[[#This Row],[Min]],FIND("-",Table7[[#This Row],[Min]])-1),Table1[Content Sku],0),16,1,1,"Entities")),"review","ok"),"ok")</f>
        <v>ok</v>
      </c>
      <c r="U1075" t="s">
        <v>548</v>
      </c>
      <c r="V1075">
        <v>0</v>
      </c>
      <c r="W1075">
        <v>0</v>
      </c>
      <c r="X1075" t="s">
        <v>8</v>
      </c>
      <c r="Y1075" s="74" t="str">
        <f ca="1">IF(Table15[[#This Row],[Type]]="KILL",IF(_xlfn.NUMBERVALUE(RIGHT(Table15[[#This Row],[Min]],LEN(Table15[[#This Row],[Min]])-FIND("-",Table15[[#This Row],[Min]])))&gt;INDIRECT(ADDRESS(11+MATCH(LEFT(Table15[[#This Row],[Min]],FIND("-",Table15[[#This Row],[Min]])-1),Table1[Content Sku],0),16,1,1,"Entities")),"review","ok"),"ok")</f>
        <v>ok</v>
      </c>
      <c r="AK1075" t="s">
        <v>2670</v>
      </c>
      <c r="AL1075">
        <v>0</v>
      </c>
      <c r="AM1075">
        <v>0</v>
      </c>
      <c r="AN1075" t="s">
        <v>8</v>
      </c>
      <c r="AO1075" s="74" t="str">
        <f ca="1">IF(Table20[[#This Row],[Type]]="KILL",IF(_xlfn.NUMBERVALUE(RIGHT(Table20[[#This Row],[Min]],LEN(Table20[[#This Row],[Min]])-FIND("-",Table20[[#This Row],[Min]])))&gt;INDIRECT(ADDRESS(11+MATCH(LEFT(Table20[[#This Row],[Min]],FIND("-",Table20[[#This Row],[Min]])-1),Table1[Content Sku],0),18,1,1,"Entities")),"review","ok"),"ok")</f>
        <v>ok</v>
      </c>
    </row>
    <row r="1076" spans="5:41" x14ac:dyDescent="0.25">
      <c r="E1076" t="s">
        <v>278</v>
      </c>
      <c r="F1076">
        <v>5000</v>
      </c>
      <c r="G1076">
        <v>0</v>
      </c>
      <c r="H1076" t="s">
        <v>205</v>
      </c>
      <c r="I1076" s="74" t="str">
        <f ca="1">IF(Table7[[#This Row],[Type]]="KILL",IF(_xlfn.NUMBERVALUE(RIGHT(Table7[[#This Row],[Min]],LEN(Table7[[#This Row],[Min]])-FIND("-",Table7[[#This Row],[Min]])))&gt;INDIRECT(ADDRESS(11+MATCH(LEFT(Table7[[#This Row],[Min]],FIND("-",Table7[[#This Row],[Min]])-1),Table1[Content Sku],0),16,1,1,"Entities")),"review","ok"),"ok")</f>
        <v>ok</v>
      </c>
      <c r="U1076" t="s">
        <v>286</v>
      </c>
      <c r="V1076">
        <v>0</v>
      </c>
      <c r="W1076">
        <v>0</v>
      </c>
      <c r="X1076" t="s">
        <v>8</v>
      </c>
      <c r="Y1076" s="74" t="str">
        <f ca="1">IF(Table15[[#This Row],[Type]]="KILL",IF(_xlfn.NUMBERVALUE(RIGHT(Table15[[#This Row],[Min]],LEN(Table15[[#This Row],[Min]])-FIND("-",Table15[[#This Row],[Min]])))&gt;INDIRECT(ADDRESS(11+MATCH(LEFT(Table15[[#This Row],[Min]],FIND("-",Table15[[#This Row],[Min]])-1),Table1[Content Sku],0),16,1,1,"Entities")),"review","ok"),"ok")</f>
        <v>ok</v>
      </c>
      <c r="AK1076" t="s">
        <v>37</v>
      </c>
      <c r="AL1076">
        <v>0</v>
      </c>
      <c r="AM1076">
        <v>21000</v>
      </c>
      <c r="AN1076" t="s">
        <v>205</v>
      </c>
      <c r="AO1076" s="74" t="str">
        <f ca="1">IF(Table20[[#This Row],[Type]]="KILL",IF(_xlfn.NUMBERVALUE(RIGHT(Table20[[#This Row],[Min]],LEN(Table20[[#This Row],[Min]])-FIND("-",Table20[[#This Row],[Min]])))&gt;INDIRECT(ADDRESS(11+MATCH(LEFT(Table20[[#This Row],[Min]],FIND("-",Table20[[#This Row],[Min]])-1),Table1[Content Sku],0),18,1,1,"Entities")),"review","ok"),"ok")</f>
        <v>ok</v>
      </c>
    </row>
    <row r="1077" spans="5:41" x14ac:dyDescent="0.25">
      <c r="E1077" t="s">
        <v>2741</v>
      </c>
      <c r="F1077">
        <v>0</v>
      </c>
      <c r="G1077">
        <v>0</v>
      </c>
      <c r="H1077" t="s">
        <v>8</v>
      </c>
      <c r="I1077" s="74" t="str">
        <f ca="1">IF(Table7[[#This Row],[Type]]="KILL",IF(_xlfn.NUMBERVALUE(RIGHT(Table7[[#This Row],[Min]],LEN(Table7[[#This Row],[Min]])-FIND("-",Table7[[#This Row],[Min]])))&gt;INDIRECT(ADDRESS(11+MATCH(LEFT(Table7[[#This Row],[Min]],FIND("-",Table7[[#This Row],[Min]])-1),Table1[Content Sku],0),16,1,1,"Entities")),"review","ok"),"ok")</f>
        <v>ok</v>
      </c>
      <c r="U1077" t="s">
        <v>315</v>
      </c>
      <c r="V1077">
        <v>0</v>
      </c>
      <c r="W1077">
        <v>0</v>
      </c>
      <c r="X1077" t="s">
        <v>8</v>
      </c>
      <c r="Y1077" s="74" t="str">
        <f ca="1">IF(Table15[[#This Row],[Type]]="KILL",IF(_xlfn.NUMBERVALUE(RIGHT(Table15[[#This Row],[Min]],LEN(Table15[[#This Row],[Min]])-FIND("-",Table15[[#This Row],[Min]])))&gt;INDIRECT(ADDRESS(11+MATCH(LEFT(Table15[[#This Row],[Min]],FIND("-",Table15[[#This Row],[Min]])-1),Table1[Content Sku],0),16,1,1,"Entities")),"review","ok"),"ok")</f>
        <v>ok</v>
      </c>
      <c r="AK1077" t="s">
        <v>2741</v>
      </c>
      <c r="AL1077">
        <v>0</v>
      </c>
      <c r="AM1077">
        <v>0</v>
      </c>
      <c r="AN1077" t="s">
        <v>8</v>
      </c>
      <c r="AO1077" s="74" t="str">
        <f ca="1">IF(Table20[[#This Row],[Type]]="KILL",IF(_xlfn.NUMBERVALUE(RIGHT(Table20[[#This Row],[Min]],LEN(Table20[[#This Row],[Min]])-FIND("-",Table20[[#This Row],[Min]])))&gt;INDIRECT(ADDRESS(11+MATCH(LEFT(Table20[[#This Row],[Min]],FIND("-",Table20[[#This Row],[Min]])-1),Table1[Content Sku],0),18,1,1,"Entities")),"review","ok"),"ok")</f>
        <v>ok</v>
      </c>
    </row>
    <row r="1078" spans="5:41" x14ac:dyDescent="0.25">
      <c r="E1078" t="s">
        <v>2732</v>
      </c>
      <c r="F1078">
        <v>0</v>
      </c>
      <c r="G1078">
        <v>0</v>
      </c>
      <c r="H1078" t="s">
        <v>8</v>
      </c>
      <c r="I1078" s="74" t="str">
        <f ca="1">IF(Table7[[#This Row],[Type]]="KILL",IF(_xlfn.NUMBERVALUE(RIGHT(Table7[[#This Row],[Min]],LEN(Table7[[#This Row],[Min]])-FIND("-",Table7[[#This Row],[Min]])))&gt;INDIRECT(ADDRESS(11+MATCH(LEFT(Table7[[#This Row],[Min]],FIND("-",Table7[[#This Row],[Min]])-1),Table1[Content Sku],0),16,1,1,"Entities")),"review","ok"),"ok")</f>
        <v>ok</v>
      </c>
      <c r="U1078" t="s">
        <v>300</v>
      </c>
      <c r="V1078">
        <v>0</v>
      </c>
      <c r="W1078">
        <v>220</v>
      </c>
      <c r="X1078" t="s">
        <v>4431</v>
      </c>
      <c r="Y1078" s="74" t="str">
        <f ca="1">IF(Table15[[#This Row],[Type]]="KILL",IF(_xlfn.NUMBERVALUE(RIGHT(Table15[[#This Row],[Min]],LEN(Table15[[#This Row],[Min]])-FIND("-",Table15[[#This Row],[Min]])))&gt;INDIRECT(ADDRESS(11+MATCH(LEFT(Table15[[#This Row],[Min]],FIND("-",Table15[[#This Row],[Min]])-1),Table1[Content Sku],0),16,1,1,"Entities")),"review","ok"),"ok")</f>
        <v>ok</v>
      </c>
      <c r="AK1078" t="s">
        <v>2767</v>
      </c>
      <c r="AL1078">
        <v>0</v>
      </c>
      <c r="AM1078">
        <v>0</v>
      </c>
      <c r="AN1078" t="s">
        <v>8</v>
      </c>
      <c r="AO1078" s="74" t="str">
        <f ca="1">IF(Table20[[#This Row],[Type]]="KILL",IF(_xlfn.NUMBERVALUE(RIGHT(Table20[[#This Row],[Min]],LEN(Table20[[#This Row],[Min]])-FIND("-",Table20[[#This Row],[Min]])))&gt;INDIRECT(ADDRESS(11+MATCH(LEFT(Table20[[#This Row],[Min]],FIND("-",Table20[[#This Row],[Min]])-1),Table1[Content Sku],0),18,1,1,"Entities")),"review","ok"),"ok")</f>
        <v>ok</v>
      </c>
    </row>
    <row r="1079" spans="5:41" x14ac:dyDescent="0.25">
      <c r="E1079" t="s">
        <v>392</v>
      </c>
      <c r="F1079">
        <v>0</v>
      </c>
      <c r="G1079">
        <v>8000</v>
      </c>
      <c r="H1079" t="s">
        <v>205</v>
      </c>
      <c r="I1079" s="74" t="str">
        <f ca="1">IF(Table7[[#This Row],[Type]]="KILL",IF(_xlfn.NUMBERVALUE(RIGHT(Table7[[#This Row],[Min]],LEN(Table7[[#This Row],[Min]])-FIND("-",Table7[[#This Row],[Min]])))&gt;INDIRECT(ADDRESS(11+MATCH(LEFT(Table7[[#This Row],[Min]],FIND("-",Table7[[#This Row],[Min]])-1),Table1[Content Sku],0),16,1,1,"Entities")),"review","ok"),"ok")</f>
        <v>ok</v>
      </c>
      <c r="U1079" t="s">
        <v>291</v>
      </c>
      <c r="V1079">
        <v>0</v>
      </c>
      <c r="W1079">
        <v>0</v>
      </c>
      <c r="X1079" t="s">
        <v>8</v>
      </c>
      <c r="Y1079" s="74" t="str">
        <f ca="1">IF(Table15[[#This Row],[Type]]="KILL",IF(_xlfn.NUMBERVALUE(RIGHT(Table15[[#This Row],[Min]],LEN(Table15[[#This Row],[Min]])-FIND("-",Table15[[#This Row],[Min]])))&gt;INDIRECT(ADDRESS(11+MATCH(LEFT(Table15[[#This Row],[Min]],FIND("-",Table15[[#This Row],[Min]])-1),Table1[Content Sku],0),16,1,1,"Entities")),"review","ok"),"ok")</f>
        <v>ok</v>
      </c>
      <c r="AK1079" t="s">
        <v>2670</v>
      </c>
      <c r="AL1079">
        <v>0</v>
      </c>
      <c r="AM1079">
        <v>0</v>
      </c>
      <c r="AN1079" t="s">
        <v>8</v>
      </c>
      <c r="AO1079" s="74" t="str">
        <f ca="1">IF(Table20[[#This Row],[Type]]="KILL",IF(_xlfn.NUMBERVALUE(RIGHT(Table20[[#This Row],[Min]],LEN(Table20[[#This Row],[Min]])-FIND("-",Table20[[#This Row],[Min]])))&gt;INDIRECT(ADDRESS(11+MATCH(LEFT(Table20[[#This Row],[Min]],FIND("-",Table20[[#This Row],[Min]])-1),Table1[Content Sku],0),18,1,1,"Entities")),"review","ok"),"ok")</f>
        <v>ok</v>
      </c>
    </row>
    <row r="1080" spans="5:41" x14ac:dyDescent="0.25">
      <c r="E1080" t="s">
        <v>313</v>
      </c>
      <c r="F1080">
        <v>5000</v>
      </c>
      <c r="G1080">
        <v>0</v>
      </c>
      <c r="H1080" t="s">
        <v>205</v>
      </c>
      <c r="I1080" s="74" t="str">
        <f ca="1">IF(Table7[[#This Row],[Type]]="KILL",IF(_xlfn.NUMBERVALUE(RIGHT(Table7[[#This Row],[Min]],LEN(Table7[[#This Row],[Min]])-FIND("-",Table7[[#This Row],[Min]])))&gt;INDIRECT(ADDRESS(11+MATCH(LEFT(Table7[[#This Row],[Min]],FIND("-",Table7[[#This Row],[Min]])-1),Table1[Content Sku],0),16,1,1,"Entities")),"review","ok"),"ok")</f>
        <v>ok</v>
      </c>
      <c r="U1080" t="s">
        <v>311</v>
      </c>
      <c r="V1080">
        <v>0</v>
      </c>
      <c r="W1080">
        <v>0</v>
      </c>
      <c r="X1080" t="s">
        <v>8</v>
      </c>
      <c r="Y1080" s="74" t="str">
        <f ca="1">IF(Table15[[#This Row],[Type]]="KILL",IF(_xlfn.NUMBERVALUE(RIGHT(Table15[[#This Row],[Min]],LEN(Table15[[#This Row],[Min]])-FIND("-",Table15[[#This Row],[Min]])))&gt;INDIRECT(ADDRESS(11+MATCH(LEFT(Table15[[#This Row],[Min]],FIND("-",Table15[[#This Row],[Min]])-1),Table1[Content Sku],0),16,1,1,"Entities")),"review","ok"),"ok")</f>
        <v>ok</v>
      </c>
      <c r="AK1080" t="s">
        <v>2670</v>
      </c>
      <c r="AL1080">
        <v>0</v>
      </c>
      <c r="AM1080">
        <v>0</v>
      </c>
      <c r="AN1080" t="s">
        <v>8</v>
      </c>
      <c r="AO1080" s="74" t="str">
        <f ca="1">IF(Table20[[#This Row],[Type]]="KILL",IF(_xlfn.NUMBERVALUE(RIGHT(Table20[[#This Row],[Min]],LEN(Table20[[#This Row],[Min]])-FIND("-",Table20[[#This Row],[Min]])))&gt;INDIRECT(ADDRESS(11+MATCH(LEFT(Table20[[#This Row],[Min]],FIND("-",Table20[[#This Row],[Min]])-1),Table1[Content Sku],0),18,1,1,"Entities")),"review","ok"),"ok")</f>
        <v>ok</v>
      </c>
    </row>
    <row r="1081" spans="5:41" x14ac:dyDescent="0.25">
      <c r="E1081" t="s">
        <v>340</v>
      </c>
      <c r="F1081">
        <v>0</v>
      </c>
      <c r="G1081">
        <v>17000</v>
      </c>
      <c r="H1081" t="s">
        <v>205</v>
      </c>
      <c r="I1081" s="74" t="str">
        <f ca="1">IF(Table7[[#This Row],[Type]]="KILL",IF(_xlfn.NUMBERVALUE(RIGHT(Table7[[#This Row],[Min]],LEN(Table7[[#This Row],[Min]])-FIND("-",Table7[[#This Row],[Min]])))&gt;INDIRECT(ADDRESS(11+MATCH(LEFT(Table7[[#This Row],[Min]],FIND("-",Table7[[#This Row],[Min]])-1),Table1[Content Sku],0),16,1,1,"Entities")),"review","ok"),"ok")</f>
        <v>ok</v>
      </c>
      <c r="U1081" t="s">
        <v>311</v>
      </c>
      <c r="V1081">
        <v>0</v>
      </c>
      <c r="W1081">
        <v>0</v>
      </c>
      <c r="X1081" t="s">
        <v>8</v>
      </c>
      <c r="Y1081" s="74" t="str">
        <f ca="1">IF(Table15[[#This Row],[Type]]="KILL",IF(_xlfn.NUMBERVALUE(RIGHT(Table15[[#This Row],[Min]],LEN(Table15[[#This Row],[Min]])-FIND("-",Table15[[#This Row],[Min]])))&gt;INDIRECT(ADDRESS(11+MATCH(LEFT(Table15[[#This Row],[Min]],FIND("-",Table15[[#This Row],[Min]])-1),Table1[Content Sku],0),16,1,1,"Entities")),"review","ok"),"ok")</f>
        <v>ok</v>
      </c>
      <c r="AK1081" t="s">
        <v>578</v>
      </c>
      <c r="AL1081">
        <v>0</v>
      </c>
      <c r="AM1081">
        <v>0</v>
      </c>
      <c r="AN1081" t="s">
        <v>8</v>
      </c>
      <c r="AO1081" s="74" t="str">
        <f ca="1">IF(Table20[[#This Row],[Type]]="KILL",IF(_xlfn.NUMBERVALUE(RIGHT(Table20[[#This Row],[Min]],LEN(Table20[[#This Row],[Min]])-FIND("-",Table20[[#This Row],[Min]])))&gt;INDIRECT(ADDRESS(11+MATCH(LEFT(Table20[[#This Row],[Min]],FIND("-",Table20[[#This Row],[Min]])-1),Table1[Content Sku],0),18,1,1,"Entities")),"review","ok"),"ok")</f>
        <v>ok</v>
      </c>
    </row>
    <row r="1082" spans="5:41" x14ac:dyDescent="0.25">
      <c r="E1082" t="s">
        <v>253</v>
      </c>
      <c r="F1082">
        <v>0</v>
      </c>
      <c r="G1082">
        <v>0</v>
      </c>
      <c r="H1082" t="s">
        <v>8</v>
      </c>
      <c r="I1082" s="74" t="str">
        <f ca="1">IF(Table7[[#This Row],[Type]]="KILL",IF(_xlfn.NUMBERVALUE(RIGHT(Table7[[#This Row],[Min]],LEN(Table7[[#This Row],[Min]])-FIND("-",Table7[[#This Row],[Min]])))&gt;INDIRECT(ADDRESS(11+MATCH(LEFT(Table7[[#This Row],[Min]],FIND("-",Table7[[#This Row],[Min]])-1),Table1[Content Sku],0),16,1,1,"Entities")),"review","ok"),"ok")</f>
        <v>ok</v>
      </c>
      <c r="U1082" t="s">
        <v>280</v>
      </c>
      <c r="V1082">
        <v>0</v>
      </c>
      <c r="W1082">
        <v>0</v>
      </c>
      <c r="X1082" t="s">
        <v>8</v>
      </c>
      <c r="Y1082" s="74" t="str">
        <f ca="1">IF(Table15[[#This Row],[Type]]="KILL",IF(_xlfn.NUMBERVALUE(RIGHT(Table15[[#This Row],[Min]],LEN(Table15[[#This Row],[Min]])-FIND("-",Table15[[#This Row],[Min]])))&gt;INDIRECT(ADDRESS(11+MATCH(LEFT(Table15[[#This Row],[Min]],FIND("-",Table15[[#This Row],[Min]])-1),Table1[Content Sku],0),16,1,1,"Entities")),"review","ok"),"ok")</f>
        <v>ok</v>
      </c>
      <c r="AK1082" t="s">
        <v>37</v>
      </c>
      <c r="AL1082">
        <v>0</v>
      </c>
      <c r="AM1082">
        <v>0</v>
      </c>
      <c r="AN1082" t="s">
        <v>8</v>
      </c>
      <c r="AO1082" s="74" t="str">
        <f ca="1">IF(Table20[[#This Row],[Type]]="KILL",IF(_xlfn.NUMBERVALUE(RIGHT(Table20[[#This Row],[Min]],LEN(Table20[[#This Row],[Min]])-FIND("-",Table20[[#This Row],[Min]])))&gt;INDIRECT(ADDRESS(11+MATCH(LEFT(Table20[[#This Row],[Min]],FIND("-",Table20[[#This Row],[Min]])-1),Table1[Content Sku],0),18,1,1,"Entities")),"review","ok"),"ok")</f>
        <v>ok</v>
      </c>
    </row>
    <row r="1083" spans="5:41" x14ac:dyDescent="0.25">
      <c r="E1083" t="s">
        <v>46</v>
      </c>
      <c r="F1083">
        <v>0</v>
      </c>
      <c r="G1083">
        <v>0</v>
      </c>
      <c r="H1083" t="s">
        <v>8</v>
      </c>
      <c r="I1083" s="74" t="str">
        <f ca="1">IF(Table7[[#This Row],[Type]]="KILL",IF(_xlfn.NUMBERVALUE(RIGHT(Table7[[#This Row],[Min]],LEN(Table7[[#This Row],[Min]])-FIND("-",Table7[[#This Row],[Min]])))&gt;INDIRECT(ADDRESS(11+MATCH(LEFT(Table7[[#This Row],[Min]],FIND("-",Table7[[#This Row],[Min]])-1),Table1[Content Sku],0),16,1,1,"Entities")),"review","ok"),"ok")</f>
        <v>ok</v>
      </c>
      <c r="U1083" t="s">
        <v>273</v>
      </c>
      <c r="V1083">
        <v>40000</v>
      </c>
      <c r="W1083">
        <v>50000</v>
      </c>
      <c r="X1083" t="s">
        <v>205</v>
      </c>
      <c r="Y1083" s="74" t="str">
        <f ca="1">IF(Table15[[#This Row],[Type]]="KILL",IF(_xlfn.NUMBERVALUE(RIGHT(Table15[[#This Row],[Min]],LEN(Table15[[#This Row],[Min]])-FIND("-",Table15[[#This Row],[Min]])))&gt;INDIRECT(ADDRESS(11+MATCH(LEFT(Table15[[#This Row],[Min]],FIND("-",Table15[[#This Row],[Min]])-1),Table1[Content Sku],0),16,1,1,"Entities")),"review","ok"),"ok")</f>
        <v>ok</v>
      </c>
      <c r="AK1083" t="s">
        <v>2665</v>
      </c>
      <c r="AL1083">
        <v>0</v>
      </c>
      <c r="AM1083">
        <v>90000</v>
      </c>
      <c r="AN1083" t="s">
        <v>205</v>
      </c>
      <c r="AO1083" s="74" t="str">
        <f ca="1">IF(Table20[[#This Row],[Type]]="KILL",IF(_xlfn.NUMBERVALUE(RIGHT(Table20[[#This Row],[Min]],LEN(Table20[[#This Row],[Min]])-FIND("-",Table20[[#This Row],[Min]])))&gt;INDIRECT(ADDRESS(11+MATCH(LEFT(Table20[[#This Row],[Min]],FIND("-",Table20[[#This Row],[Min]])-1),Table1[Content Sku],0),18,1,1,"Entities")),"review","ok"),"ok")</f>
        <v>ok</v>
      </c>
    </row>
    <row r="1084" spans="5:41" x14ac:dyDescent="0.25">
      <c r="E1084" t="s">
        <v>396</v>
      </c>
      <c r="F1084">
        <v>15500</v>
      </c>
      <c r="G1084">
        <v>0</v>
      </c>
      <c r="H1084" t="s">
        <v>205</v>
      </c>
      <c r="I1084" s="74" t="str">
        <f ca="1">IF(Table7[[#This Row],[Type]]="KILL",IF(_xlfn.NUMBERVALUE(RIGHT(Table7[[#This Row],[Min]],LEN(Table7[[#This Row],[Min]])-FIND("-",Table7[[#This Row],[Min]])))&gt;INDIRECT(ADDRESS(11+MATCH(LEFT(Table7[[#This Row],[Min]],FIND("-",Table7[[#This Row],[Min]])-1),Table1[Content Sku],0),16,1,1,"Entities")),"review","ok"),"ok")</f>
        <v>ok</v>
      </c>
      <c r="U1084" t="s">
        <v>548</v>
      </c>
      <c r="V1084">
        <v>0</v>
      </c>
      <c r="W1084">
        <v>0</v>
      </c>
      <c r="X1084" t="s">
        <v>8</v>
      </c>
      <c r="Y1084" s="74" t="str">
        <f ca="1">IF(Table15[[#This Row],[Type]]="KILL",IF(_xlfn.NUMBERVALUE(RIGHT(Table15[[#This Row],[Min]],LEN(Table15[[#This Row],[Min]])-FIND("-",Table15[[#This Row],[Min]])))&gt;INDIRECT(ADDRESS(11+MATCH(LEFT(Table15[[#This Row],[Min]],FIND("-",Table15[[#This Row],[Min]])-1),Table1[Content Sku],0),16,1,1,"Entities")),"review","ok"),"ok")</f>
        <v>ok</v>
      </c>
      <c r="AK1084" t="s">
        <v>2741</v>
      </c>
      <c r="AL1084">
        <v>0</v>
      </c>
      <c r="AM1084">
        <v>0</v>
      </c>
      <c r="AN1084" t="s">
        <v>8</v>
      </c>
      <c r="AO1084" s="74" t="str">
        <f ca="1">IF(Table20[[#This Row],[Type]]="KILL",IF(_xlfn.NUMBERVALUE(RIGHT(Table20[[#This Row],[Min]],LEN(Table20[[#This Row],[Min]])-FIND("-",Table20[[#This Row],[Min]])))&gt;INDIRECT(ADDRESS(11+MATCH(LEFT(Table20[[#This Row],[Min]],FIND("-",Table20[[#This Row],[Min]])-1),Table1[Content Sku],0),18,1,1,"Entities")),"review","ok"),"ok")</f>
        <v>ok</v>
      </c>
    </row>
    <row r="1085" spans="5:41" x14ac:dyDescent="0.25">
      <c r="E1085" t="s">
        <v>2741</v>
      </c>
      <c r="F1085">
        <v>0</v>
      </c>
      <c r="G1085">
        <v>0</v>
      </c>
      <c r="H1085" t="s">
        <v>8</v>
      </c>
      <c r="I1085" s="74" t="str">
        <f ca="1">IF(Table7[[#This Row],[Type]]="KILL",IF(_xlfn.NUMBERVALUE(RIGHT(Table7[[#This Row],[Min]],LEN(Table7[[#This Row],[Min]])-FIND("-",Table7[[#This Row],[Min]])))&gt;INDIRECT(ADDRESS(11+MATCH(LEFT(Table7[[#This Row],[Min]],FIND("-",Table7[[#This Row],[Min]])-1),Table1[Content Sku],0),16,1,1,"Entities")),"review","ok"),"ok")</f>
        <v>ok</v>
      </c>
      <c r="U1085" t="s">
        <v>37</v>
      </c>
      <c r="V1085">
        <v>20000</v>
      </c>
      <c r="W1085">
        <v>0</v>
      </c>
      <c r="X1085" t="s">
        <v>205</v>
      </c>
      <c r="Y1085" s="74" t="str">
        <f ca="1">IF(Table15[[#This Row],[Type]]="KILL",IF(_xlfn.NUMBERVALUE(RIGHT(Table15[[#This Row],[Min]],LEN(Table15[[#This Row],[Min]])-FIND("-",Table15[[#This Row],[Min]])))&gt;INDIRECT(ADDRESS(11+MATCH(LEFT(Table15[[#This Row],[Min]],FIND("-",Table15[[#This Row],[Min]])-1),Table1[Content Sku],0),16,1,1,"Entities")),"review","ok"),"ok")</f>
        <v>ok</v>
      </c>
      <c r="AK1085" t="s">
        <v>37</v>
      </c>
      <c r="AL1085">
        <v>0</v>
      </c>
      <c r="AM1085">
        <v>0</v>
      </c>
      <c r="AN1085" t="s">
        <v>8</v>
      </c>
      <c r="AO1085" s="74" t="str">
        <f ca="1">IF(Table20[[#This Row],[Type]]="KILL",IF(_xlfn.NUMBERVALUE(RIGHT(Table20[[#This Row],[Min]],LEN(Table20[[#This Row],[Min]])-FIND("-",Table20[[#This Row],[Min]])))&gt;INDIRECT(ADDRESS(11+MATCH(LEFT(Table20[[#This Row],[Min]],FIND("-",Table20[[#This Row],[Min]])-1),Table1[Content Sku],0),18,1,1,"Entities")),"review","ok"),"ok")</f>
        <v>ok</v>
      </c>
    </row>
    <row r="1086" spans="5:41" x14ac:dyDescent="0.25">
      <c r="E1086" t="s">
        <v>2741</v>
      </c>
      <c r="F1086">
        <v>0</v>
      </c>
      <c r="G1086">
        <v>0</v>
      </c>
      <c r="H1086" t="s">
        <v>8</v>
      </c>
      <c r="I1086" s="74" t="str">
        <f ca="1">IF(Table7[[#This Row],[Type]]="KILL",IF(_xlfn.NUMBERVALUE(RIGHT(Table7[[#This Row],[Min]],LEN(Table7[[#This Row],[Min]])-FIND("-",Table7[[#This Row],[Min]])))&gt;INDIRECT(ADDRESS(11+MATCH(LEFT(Table7[[#This Row],[Min]],FIND("-",Table7[[#This Row],[Min]])-1),Table1[Content Sku],0),16,1,1,"Entities")),"review","ok"),"ok")</f>
        <v>ok</v>
      </c>
      <c r="U1086" t="s">
        <v>311</v>
      </c>
      <c r="V1086">
        <v>20000</v>
      </c>
      <c r="W1086">
        <v>0</v>
      </c>
      <c r="X1086" t="s">
        <v>205</v>
      </c>
      <c r="Y1086" s="74" t="str">
        <f ca="1">IF(Table15[[#This Row],[Type]]="KILL",IF(_xlfn.NUMBERVALUE(RIGHT(Table15[[#This Row],[Min]],LEN(Table15[[#This Row],[Min]])-FIND("-",Table15[[#This Row],[Min]])))&gt;INDIRECT(ADDRESS(11+MATCH(LEFT(Table15[[#This Row],[Min]],FIND("-",Table15[[#This Row],[Min]])-1),Table1[Content Sku],0),16,1,1,"Entities")),"review","ok"),"ok")</f>
        <v>ok</v>
      </c>
      <c r="AK1086" t="s">
        <v>313</v>
      </c>
      <c r="AL1086">
        <v>0</v>
      </c>
      <c r="AM1086">
        <v>0</v>
      </c>
      <c r="AN1086" t="s">
        <v>8</v>
      </c>
      <c r="AO1086" s="74" t="str">
        <f ca="1">IF(Table20[[#This Row],[Type]]="KILL",IF(_xlfn.NUMBERVALUE(RIGHT(Table20[[#This Row],[Min]],LEN(Table20[[#This Row],[Min]])-FIND("-",Table20[[#This Row],[Min]])))&gt;INDIRECT(ADDRESS(11+MATCH(LEFT(Table20[[#This Row],[Min]],FIND("-",Table20[[#This Row],[Min]])-1),Table1[Content Sku],0),18,1,1,"Entities")),"review","ok"),"ok")</f>
        <v>ok</v>
      </c>
    </row>
    <row r="1087" spans="5:41" x14ac:dyDescent="0.25">
      <c r="E1087" t="s">
        <v>90</v>
      </c>
      <c r="F1087">
        <v>0</v>
      </c>
      <c r="G1087">
        <v>25000</v>
      </c>
      <c r="H1087" t="s">
        <v>205</v>
      </c>
      <c r="I1087" s="74" t="str">
        <f ca="1">IF(Table7[[#This Row],[Type]]="KILL",IF(_xlfn.NUMBERVALUE(RIGHT(Table7[[#This Row],[Min]],LEN(Table7[[#This Row],[Min]])-FIND("-",Table7[[#This Row],[Min]])))&gt;INDIRECT(ADDRESS(11+MATCH(LEFT(Table7[[#This Row],[Min]],FIND("-",Table7[[#This Row],[Min]])-1),Table1[Content Sku],0),16,1,1,"Entities")),"review","ok"),"ok")</f>
        <v>ok</v>
      </c>
      <c r="U1087" t="s">
        <v>315</v>
      </c>
      <c r="V1087">
        <v>0</v>
      </c>
      <c r="W1087">
        <v>0</v>
      </c>
      <c r="X1087" t="s">
        <v>8</v>
      </c>
      <c r="Y1087" s="74" t="str">
        <f ca="1">IF(Table15[[#This Row],[Type]]="KILL",IF(_xlfn.NUMBERVALUE(RIGHT(Table15[[#This Row],[Min]],LEN(Table15[[#This Row],[Min]])-FIND("-",Table15[[#This Row],[Min]])))&gt;INDIRECT(ADDRESS(11+MATCH(LEFT(Table15[[#This Row],[Min]],FIND("-",Table15[[#This Row],[Min]])-1),Table1[Content Sku],0),16,1,1,"Entities")),"review","ok"),"ok")</f>
        <v>ok</v>
      </c>
      <c r="AK1087" t="s">
        <v>37</v>
      </c>
      <c r="AL1087">
        <v>0</v>
      </c>
      <c r="AM1087">
        <v>0</v>
      </c>
      <c r="AN1087" t="s">
        <v>8</v>
      </c>
      <c r="AO1087" s="74" t="str">
        <f ca="1">IF(Table20[[#This Row],[Type]]="KILL",IF(_xlfn.NUMBERVALUE(RIGHT(Table20[[#This Row],[Min]],LEN(Table20[[#This Row],[Min]])-FIND("-",Table20[[#This Row],[Min]])))&gt;INDIRECT(ADDRESS(11+MATCH(LEFT(Table20[[#This Row],[Min]],FIND("-",Table20[[#This Row],[Min]])-1),Table1[Content Sku],0),18,1,1,"Entities")),"review","ok"),"ok")</f>
        <v>ok</v>
      </c>
    </row>
    <row r="1088" spans="5:41" x14ac:dyDescent="0.25">
      <c r="E1088" t="s">
        <v>254</v>
      </c>
      <c r="F1088">
        <v>6000</v>
      </c>
      <c r="G1088">
        <v>0</v>
      </c>
      <c r="H1088" t="s">
        <v>205</v>
      </c>
      <c r="I1088" s="74" t="str">
        <f ca="1">IF(Table7[[#This Row],[Type]]="KILL",IF(_xlfn.NUMBERVALUE(RIGHT(Table7[[#This Row],[Min]],LEN(Table7[[#This Row],[Min]])-FIND("-",Table7[[#This Row],[Min]])))&gt;INDIRECT(ADDRESS(11+MATCH(LEFT(Table7[[#This Row],[Min]],FIND("-",Table7[[#This Row],[Min]])-1),Table1[Content Sku],0),16,1,1,"Entities")),"review","ok"),"ok")</f>
        <v>ok</v>
      </c>
      <c r="U1088" t="s">
        <v>392</v>
      </c>
      <c r="V1088">
        <v>0</v>
      </c>
      <c r="W1088">
        <v>21000</v>
      </c>
      <c r="X1088" t="s">
        <v>205</v>
      </c>
      <c r="Y1088" s="74" t="str">
        <f ca="1">IF(Table15[[#This Row],[Type]]="KILL",IF(_xlfn.NUMBERVALUE(RIGHT(Table15[[#This Row],[Min]],LEN(Table15[[#This Row],[Min]])-FIND("-",Table15[[#This Row],[Min]])))&gt;INDIRECT(ADDRESS(11+MATCH(LEFT(Table15[[#This Row],[Min]],FIND("-",Table15[[#This Row],[Min]])-1),Table1[Content Sku],0),16,1,1,"Entities")),"review","ok"),"ok")</f>
        <v>ok</v>
      </c>
      <c r="AK1088" t="s">
        <v>39</v>
      </c>
      <c r="AL1088">
        <v>0</v>
      </c>
      <c r="AM1088">
        <v>37000</v>
      </c>
      <c r="AN1088" t="s">
        <v>205</v>
      </c>
      <c r="AO1088" s="74" t="str">
        <f ca="1">IF(Table20[[#This Row],[Type]]="KILL",IF(_xlfn.NUMBERVALUE(RIGHT(Table20[[#This Row],[Min]],LEN(Table20[[#This Row],[Min]])-FIND("-",Table20[[#This Row],[Min]])))&gt;INDIRECT(ADDRESS(11+MATCH(LEFT(Table20[[#This Row],[Min]],FIND("-",Table20[[#This Row],[Min]])-1),Table1[Content Sku],0),18,1,1,"Entities")),"review","ok"),"ok")</f>
        <v>ok</v>
      </c>
    </row>
    <row r="1089" spans="5:41" x14ac:dyDescent="0.25">
      <c r="E1089" t="s">
        <v>396</v>
      </c>
      <c r="F1089">
        <v>18000</v>
      </c>
      <c r="G1089">
        <v>0</v>
      </c>
      <c r="H1089" t="s">
        <v>205</v>
      </c>
      <c r="I1089" s="74" t="str">
        <f ca="1">IF(Table7[[#This Row],[Type]]="KILL",IF(_xlfn.NUMBERVALUE(RIGHT(Table7[[#This Row],[Min]],LEN(Table7[[#This Row],[Min]])-FIND("-",Table7[[#This Row],[Min]])))&gt;INDIRECT(ADDRESS(11+MATCH(LEFT(Table7[[#This Row],[Min]],FIND("-",Table7[[#This Row],[Min]])-1),Table1[Content Sku],0),16,1,1,"Entities")),"review","ok"),"ok")</f>
        <v>ok</v>
      </c>
      <c r="U1089" t="s">
        <v>545</v>
      </c>
      <c r="V1089">
        <v>0</v>
      </c>
      <c r="W1089">
        <v>0</v>
      </c>
      <c r="X1089" t="s">
        <v>8</v>
      </c>
      <c r="Y1089" s="74" t="str">
        <f ca="1">IF(Table15[[#This Row],[Type]]="KILL",IF(_xlfn.NUMBERVALUE(RIGHT(Table15[[#This Row],[Min]],LEN(Table15[[#This Row],[Min]])-FIND("-",Table15[[#This Row],[Min]])))&gt;INDIRECT(ADDRESS(11+MATCH(LEFT(Table15[[#This Row],[Min]],FIND("-",Table15[[#This Row],[Min]])-1),Table1[Content Sku],0),16,1,1,"Entities")),"review","ok"),"ok")</f>
        <v>ok</v>
      </c>
      <c r="AK1089" t="s">
        <v>40</v>
      </c>
      <c r="AL1089">
        <v>0</v>
      </c>
      <c r="AM1089">
        <v>35000</v>
      </c>
      <c r="AN1089" t="s">
        <v>205</v>
      </c>
      <c r="AO1089" s="74" t="str">
        <f ca="1">IF(Table20[[#This Row],[Type]]="KILL",IF(_xlfn.NUMBERVALUE(RIGHT(Table20[[#This Row],[Min]],LEN(Table20[[#This Row],[Min]])-FIND("-",Table20[[#This Row],[Min]])))&gt;INDIRECT(ADDRESS(11+MATCH(LEFT(Table20[[#This Row],[Min]],FIND("-",Table20[[#This Row],[Min]])-1),Table1[Content Sku],0),18,1,1,"Entities")),"review","ok"),"ok")</f>
        <v>ok</v>
      </c>
    </row>
    <row r="1090" spans="5:41" x14ac:dyDescent="0.25">
      <c r="E1090" t="s">
        <v>313</v>
      </c>
      <c r="F1090">
        <v>0</v>
      </c>
      <c r="G1090">
        <v>0</v>
      </c>
      <c r="H1090" t="s">
        <v>8</v>
      </c>
      <c r="I1090" s="74" t="str">
        <f ca="1">IF(Table7[[#This Row],[Type]]="KILL",IF(_xlfn.NUMBERVALUE(RIGHT(Table7[[#This Row],[Min]],LEN(Table7[[#This Row],[Min]])-FIND("-",Table7[[#This Row],[Min]])))&gt;INDIRECT(ADDRESS(11+MATCH(LEFT(Table7[[#This Row],[Min]],FIND("-",Table7[[#This Row],[Min]])-1),Table1[Content Sku],0),16,1,1,"Entities")),"review","ok"),"ok")</f>
        <v>ok</v>
      </c>
      <c r="U1090" t="s">
        <v>315</v>
      </c>
      <c r="V1090">
        <v>0</v>
      </c>
      <c r="W1090">
        <v>0</v>
      </c>
      <c r="X1090" t="s">
        <v>8</v>
      </c>
      <c r="Y1090" s="74" t="str">
        <f ca="1">IF(Table15[[#This Row],[Type]]="KILL",IF(_xlfn.NUMBERVALUE(RIGHT(Table15[[#This Row],[Min]],LEN(Table15[[#This Row],[Min]])-FIND("-",Table15[[#This Row],[Min]])))&gt;INDIRECT(ADDRESS(11+MATCH(LEFT(Table15[[#This Row],[Min]],FIND("-",Table15[[#This Row],[Min]])-1),Table1[Content Sku],0),16,1,1,"Entities")),"review","ok"),"ok")</f>
        <v>ok</v>
      </c>
      <c r="AK1090" t="s">
        <v>2767</v>
      </c>
      <c r="AL1090">
        <v>0</v>
      </c>
      <c r="AM1090">
        <v>0</v>
      </c>
      <c r="AN1090" t="s">
        <v>8</v>
      </c>
      <c r="AO1090" s="74" t="str">
        <f ca="1">IF(Table20[[#This Row],[Type]]="KILL",IF(_xlfn.NUMBERVALUE(RIGHT(Table20[[#This Row],[Min]],LEN(Table20[[#This Row],[Min]])-FIND("-",Table20[[#This Row],[Min]])))&gt;INDIRECT(ADDRESS(11+MATCH(LEFT(Table20[[#This Row],[Min]],FIND("-",Table20[[#This Row],[Min]])-1),Table1[Content Sku],0),18,1,1,"Entities")),"review","ok"),"ok")</f>
        <v>ok</v>
      </c>
    </row>
    <row r="1091" spans="5:41" x14ac:dyDescent="0.25">
      <c r="E1091" t="s">
        <v>8133</v>
      </c>
      <c r="F1091">
        <v>0</v>
      </c>
      <c r="G1091">
        <v>0</v>
      </c>
      <c r="H1091" t="s">
        <v>8</v>
      </c>
      <c r="I1091" s="74" t="str">
        <f ca="1">IF(Table7[[#This Row],[Type]]="KILL",IF(_xlfn.NUMBERVALUE(RIGHT(Table7[[#This Row],[Min]],LEN(Table7[[#This Row],[Min]])-FIND("-",Table7[[#This Row],[Min]])))&gt;INDIRECT(ADDRESS(11+MATCH(LEFT(Table7[[#This Row],[Min]],FIND("-",Table7[[#This Row],[Min]])-1),Table1[Content Sku],0),16,1,1,"Entities")),"review","ok"),"ok")</f>
        <v>ok</v>
      </c>
      <c r="U1091" t="s">
        <v>400</v>
      </c>
      <c r="V1091">
        <v>0</v>
      </c>
      <c r="W1091">
        <v>0</v>
      </c>
      <c r="X1091" t="s">
        <v>8</v>
      </c>
      <c r="Y1091" s="74" t="str">
        <f ca="1">IF(Table15[[#This Row],[Type]]="KILL",IF(_xlfn.NUMBERVALUE(RIGHT(Table15[[#This Row],[Min]],LEN(Table15[[#This Row],[Min]])-FIND("-",Table15[[#This Row],[Min]])))&gt;INDIRECT(ADDRESS(11+MATCH(LEFT(Table15[[#This Row],[Min]],FIND("-",Table15[[#This Row],[Min]])-1),Table1[Content Sku],0),16,1,1,"Entities")),"review","ok"),"ok")</f>
        <v>ok</v>
      </c>
      <c r="AK1091" t="s">
        <v>37</v>
      </c>
      <c r="AL1091">
        <v>0</v>
      </c>
      <c r="AM1091">
        <v>0</v>
      </c>
      <c r="AN1091" t="s">
        <v>8</v>
      </c>
      <c r="AO1091" s="74" t="str">
        <f ca="1">IF(Table20[[#This Row],[Type]]="KILL",IF(_xlfn.NUMBERVALUE(RIGHT(Table20[[#This Row],[Min]],LEN(Table20[[#This Row],[Min]])-FIND("-",Table20[[#This Row],[Min]])))&gt;INDIRECT(ADDRESS(11+MATCH(LEFT(Table20[[#This Row],[Min]],FIND("-",Table20[[#This Row],[Min]])-1),Table1[Content Sku],0),18,1,1,"Entities")),"review","ok"),"ok")</f>
        <v>ok</v>
      </c>
    </row>
    <row r="1092" spans="5:41" x14ac:dyDescent="0.25">
      <c r="E1092" t="s">
        <v>42</v>
      </c>
      <c r="F1092">
        <v>17000</v>
      </c>
      <c r="G1092">
        <v>0</v>
      </c>
      <c r="H1092" t="s">
        <v>205</v>
      </c>
      <c r="I1092" s="74" t="str">
        <f ca="1">IF(Table7[[#This Row],[Type]]="KILL",IF(_xlfn.NUMBERVALUE(RIGHT(Table7[[#This Row],[Min]],LEN(Table7[[#This Row],[Min]])-FIND("-",Table7[[#This Row],[Min]])))&gt;INDIRECT(ADDRESS(11+MATCH(LEFT(Table7[[#This Row],[Min]],FIND("-",Table7[[#This Row],[Min]])-1),Table1[Content Sku],0),16,1,1,"Entities")),"review","ok"),"ok")</f>
        <v>ok</v>
      </c>
      <c r="U1092" t="s">
        <v>254</v>
      </c>
      <c r="V1092">
        <v>0</v>
      </c>
      <c r="W1092">
        <v>0</v>
      </c>
      <c r="X1092" t="s">
        <v>8</v>
      </c>
      <c r="Y1092" s="74" t="str">
        <f ca="1">IF(Table15[[#This Row],[Type]]="KILL",IF(_xlfn.NUMBERVALUE(RIGHT(Table15[[#This Row],[Min]],LEN(Table15[[#This Row],[Min]])-FIND("-",Table15[[#This Row],[Min]])))&gt;INDIRECT(ADDRESS(11+MATCH(LEFT(Table15[[#This Row],[Min]],FIND("-",Table15[[#This Row],[Min]])-1),Table1[Content Sku],0),16,1,1,"Entities")),"review","ok"),"ok")</f>
        <v>ok</v>
      </c>
      <c r="AK1092" t="s">
        <v>416</v>
      </c>
      <c r="AL1092">
        <v>0</v>
      </c>
      <c r="AM1092">
        <v>0</v>
      </c>
      <c r="AN1092" t="s">
        <v>8</v>
      </c>
      <c r="AO1092" s="74" t="str">
        <f ca="1">IF(Table20[[#This Row],[Type]]="KILL",IF(_xlfn.NUMBERVALUE(RIGHT(Table20[[#This Row],[Min]],LEN(Table20[[#This Row],[Min]])-FIND("-",Table20[[#This Row],[Min]])))&gt;INDIRECT(ADDRESS(11+MATCH(LEFT(Table20[[#This Row],[Min]],FIND("-",Table20[[#This Row],[Min]])-1),Table1[Content Sku],0),18,1,1,"Entities")),"review","ok"),"ok")</f>
        <v>ok</v>
      </c>
    </row>
    <row r="1093" spans="5:41" x14ac:dyDescent="0.25">
      <c r="E1093" t="s">
        <v>393</v>
      </c>
      <c r="F1093">
        <v>0</v>
      </c>
      <c r="G1093">
        <v>0</v>
      </c>
      <c r="H1093" t="s">
        <v>8</v>
      </c>
      <c r="I1093" s="74" t="str">
        <f ca="1">IF(Table7[[#This Row],[Type]]="KILL",IF(_xlfn.NUMBERVALUE(RIGHT(Table7[[#This Row],[Min]],LEN(Table7[[#This Row],[Min]])-FIND("-",Table7[[#This Row],[Min]])))&gt;INDIRECT(ADDRESS(11+MATCH(LEFT(Table7[[#This Row],[Min]],FIND("-",Table7[[#This Row],[Min]])-1),Table1[Content Sku],0),16,1,1,"Entities")),"review","ok"),"ok")</f>
        <v>ok</v>
      </c>
      <c r="U1093" t="s">
        <v>315</v>
      </c>
      <c r="V1093">
        <v>30000</v>
      </c>
      <c r="W1093">
        <v>0</v>
      </c>
      <c r="X1093" t="s">
        <v>205</v>
      </c>
      <c r="Y1093" s="74" t="str">
        <f ca="1">IF(Table15[[#This Row],[Type]]="KILL",IF(_xlfn.NUMBERVALUE(RIGHT(Table15[[#This Row],[Min]],LEN(Table15[[#This Row],[Min]])-FIND("-",Table15[[#This Row],[Min]])))&gt;INDIRECT(ADDRESS(11+MATCH(LEFT(Table15[[#This Row],[Min]],FIND("-",Table15[[#This Row],[Min]])-1),Table1[Content Sku],0),16,1,1,"Entities")),"review","ok"),"ok")</f>
        <v>ok</v>
      </c>
      <c r="AK1093" t="s">
        <v>37</v>
      </c>
      <c r="AL1093">
        <v>0</v>
      </c>
      <c r="AM1093">
        <v>0</v>
      </c>
      <c r="AN1093" t="s">
        <v>8</v>
      </c>
      <c r="AO1093" s="74" t="str">
        <f ca="1">IF(Table20[[#This Row],[Type]]="KILL",IF(_xlfn.NUMBERVALUE(RIGHT(Table20[[#This Row],[Min]],LEN(Table20[[#This Row],[Min]])-FIND("-",Table20[[#This Row],[Min]])))&gt;INDIRECT(ADDRESS(11+MATCH(LEFT(Table20[[#This Row],[Min]],FIND("-",Table20[[#This Row],[Min]])-1),Table1[Content Sku],0),18,1,1,"Entities")),"review","ok"),"ok")</f>
        <v>ok</v>
      </c>
    </row>
    <row r="1094" spans="5:41" x14ac:dyDescent="0.25">
      <c r="E1094" t="s">
        <v>406</v>
      </c>
      <c r="F1094">
        <v>14000</v>
      </c>
      <c r="G1094">
        <v>0</v>
      </c>
      <c r="H1094" t="s">
        <v>205</v>
      </c>
      <c r="I1094" s="74" t="str">
        <f ca="1">IF(Table7[[#This Row],[Type]]="KILL",IF(_xlfn.NUMBERVALUE(RIGHT(Table7[[#This Row],[Min]],LEN(Table7[[#This Row],[Min]])-FIND("-",Table7[[#This Row],[Min]])))&gt;INDIRECT(ADDRESS(11+MATCH(LEFT(Table7[[#This Row],[Min]],FIND("-",Table7[[#This Row],[Min]])-1),Table1[Content Sku],0),16,1,1,"Entities")),"review","ok"),"ok")</f>
        <v>ok</v>
      </c>
      <c r="U1094" t="s">
        <v>254</v>
      </c>
      <c r="V1094">
        <v>0</v>
      </c>
      <c r="W1094">
        <v>0</v>
      </c>
      <c r="X1094" t="s">
        <v>8</v>
      </c>
      <c r="Y1094" s="74" t="str">
        <f ca="1">IF(Table15[[#This Row],[Type]]="KILL",IF(_xlfn.NUMBERVALUE(RIGHT(Table15[[#This Row],[Min]],LEN(Table15[[#This Row],[Min]])-FIND("-",Table15[[#This Row],[Min]])))&gt;INDIRECT(ADDRESS(11+MATCH(LEFT(Table15[[#This Row],[Min]],FIND("-",Table15[[#This Row],[Min]])-1),Table1[Content Sku],0),16,1,1,"Entities")),"review","ok"),"ok")</f>
        <v>ok</v>
      </c>
      <c r="AK1094" t="s">
        <v>40</v>
      </c>
      <c r="AL1094">
        <v>0</v>
      </c>
      <c r="AM1094">
        <v>39000</v>
      </c>
      <c r="AN1094" t="s">
        <v>205</v>
      </c>
      <c r="AO1094" s="74" t="str">
        <f ca="1">IF(Table20[[#This Row],[Type]]="KILL",IF(_xlfn.NUMBERVALUE(RIGHT(Table20[[#This Row],[Min]],LEN(Table20[[#This Row],[Min]])-FIND("-",Table20[[#This Row],[Min]])))&gt;INDIRECT(ADDRESS(11+MATCH(LEFT(Table20[[#This Row],[Min]],FIND("-",Table20[[#This Row],[Min]])-1),Table1[Content Sku],0),18,1,1,"Entities")),"review","ok"),"ok")</f>
        <v>ok</v>
      </c>
    </row>
    <row r="1095" spans="5:41" x14ac:dyDescent="0.25">
      <c r="E1095" t="s">
        <v>2741</v>
      </c>
      <c r="F1095">
        <v>0</v>
      </c>
      <c r="G1095">
        <v>0</v>
      </c>
      <c r="H1095" t="s">
        <v>8</v>
      </c>
      <c r="I1095" s="74" t="str">
        <f ca="1">IF(Table7[[#This Row],[Type]]="KILL",IF(_xlfn.NUMBERVALUE(RIGHT(Table7[[#This Row],[Min]],LEN(Table7[[#This Row],[Min]])-FIND("-",Table7[[#This Row],[Min]])))&gt;INDIRECT(ADDRESS(11+MATCH(LEFT(Table7[[#This Row],[Min]],FIND("-",Table7[[#This Row],[Min]])-1),Table1[Content Sku],0),16,1,1,"Entities")),"review","ok"),"ok")</f>
        <v>ok</v>
      </c>
      <c r="U1095" t="s">
        <v>45</v>
      </c>
      <c r="V1095">
        <v>16000</v>
      </c>
      <c r="W1095">
        <v>0</v>
      </c>
      <c r="X1095" t="s">
        <v>205</v>
      </c>
      <c r="Y1095" s="74" t="str">
        <f ca="1">IF(Table15[[#This Row],[Type]]="KILL",IF(_xlfn.NUMBERVALUE(RIGHT(Table15[[#This Row],[Min]],LEN(Table15[[#This Row],[Min]])-FIND("-",Table15[[#This Row],[Min]])))&gt;INDIRECT(ADDRESS(11+MATCH(LEFT(Table15[[#This Row],[Min]],FIND("-",Table15[[#This Row],[Min]])-1),Table1[Content Sku],0),16,1,1,"Entities")),"review","ok"),"ok")</f>
        <v>ok</v>
      </c>
      <c r="AK1095" t="s">
        <v>2741</v>
      </c>
      <c r="AL1095">
        <v>0</v>
      </c>
      <c r="AM1095">
        <v>0</v>
      </c>
      <c r="AN1095" t="s">
        <v>8</v>
      </c>
      <c r="AO1095" s="74" t="str">
        <f ca="1">IF(Table20[[#This Row],[Type]]="KILL",IF(_xlfn.NUMBERVALUE(RIGHT(Table20[[#This Row],[Min]],LEN(Table20[[#This Row],[Min]])-FIND("-",Table20[[#This Row],[Min]])))&gt;INDIRECT(ADDRESS(11+MATCH(LEFT(Table20[[#This Row],[Min]],FIND("-",Table20[[#This Row],[Min]])-1),Table1[Content Sku],0),18,1,1,"Entities")),"review","ok"),"ok")</f>
        <v>ok</v>
      </c>
    </row>
    <row r="1096" spans="5:41" x14ac:dyDescent="0.25">
      <c r="E1096" t="s">
        <v>311</v>
      </c>
      <c r="F1096">
        <v>8000</v>
      </c>
      <c r="G1096">
        <v>0</v>
      </c>
      <c r="H1096" t="s">
        <v>205</v>
      </c>
      <c r="I1096" s="74" t="str">
        <f ca="1">IF(Table7[[#This Row],[Type]]="KILL",IF(_xlfn.NUMBERVALUE(RIGHT(Table7[[#This Row],[Min]],LEN(Table7[[#This Row],[Min]])-FIND("-",Table7[[#This Row],[Min]])))&gt;INDIRECT(ADDRESS(11+MATCH(LEFT(Table7[[#This Row],[Min]],FIND("-",Table7[[#This Row],[Min]])-1),Table1[Content Sku],0),16,1,1,"Entities")),"review","ok"),"ok")</f>
        <v>ok</v>
      </c>
      <c r="U1096" t="s">
        <v>2747</v>
      </c>
      <c r="V1096">
        <v>0</v>
      </c>
      <c r="W1096">
        <v>0</v>
      </c>
      <c r="X1096" t="s">
        <v>8</v>
      </c>
      <c r="Y1096" s="74" t="str">
        <f ca="1">IF(Table15[[#This Row],[Type]]="KILL",IF(_xlfn.NUMBERVALUE(RIGHT(Table15[[#This Row],[Min]],LEN(Table15[[#This Row],[Min]])-FIND("-",Table15[[#This Row],[Min]])))&gt;INDIRECT(ADDRESS(11+MATCH(LEFT(Table15[[#This Row],[Min]],FIND("-",Table15[[#This Row],[Min]])-1),Table1[Content Sku],0),16,1,1,"Entities")),"review","ok"),"ok")</f>
        <v>ok</v>
      </c>
      <c r="AK1096" t="s">
        <v>313</v>
      </c>
      <c r="AL1096">
        <v>0</v>
      </c>
      <c r="AM1096">
        <v>0</v>
      </c>
      <c r="AN1096" t="s">
        <v>8</v>
      </c>
      <c r="AO1096" s="74" t="str">
        <f ca="1">IF(Table20[[#This Row],[Type]]="KILL",IF(_xlfn.NUMBERVALUE(RIGHT(Table20[[#This Row],[Min]],LEN(Table20[[#This Row],[Min]])-FIND("-",Table20[[#This Row],[Min]])))&gt;INDIRECT(ADDRESS(11+MATCH(LEFT(Table20[[#This Row],[Min]],FIND("-",Table20[[#This Row],[Min]])-1),Table1[Content Sku],0),18,1,1,"Entities")),"review","ok"),"ok")</f>
        <v>ok</v>
      </c>
    </row>
    <row r="1097" spans="5:41" x14ac:dyDescent="0.25">
      <c r="E1097" t="s">
        <v>313</v>
      </c>
      <c r="F1097">
        <v>0</v>
      </c>
      <c r="G1097">
        <v>27000</v>
      </c>
      <c r="H1097" t="s">
        <v>205</v>
      </c>
      <c r="I1097" s="74" t="str">
        <f ca="1">IF(Table7[[#This Row],[Type]]="KILL",IF(_xlfn.NUMBERVALUE(RIGHT(Table7[[#This Row],[Min]],LEN(Table7[[#This Row],[Min]])-FIND("-",Table7[[#This Row],[Min]])))&gt;INDIRECT(ADDRESS(11+MATCH(LEFT(Table7[[#This Row],[Min]],FIND("-",Table7[[#This Row],[Min]])-1),Table1[Content Sku],0),16,1,1,"Entities")),"review","ok"),"ok")</f>
        <v>ok</v>
      </c>
      <c r="U1097" t="s">
        <v>313</v>
      </c>
      <c r="V1097">
        <v>28000</v>
      </c>
      <c r="W1097">
        <v>0</v>
      </c>
      <c r="X1097" t="s">
        <v>205</v>
      </c>
      <c r="Y1097" s="74" t="str">
        <f ca="1">IF(Table15[[#This Row],[Type]]="KILL",IF(_xlfn.NUMBERVALUE(RIGHT(Table15[[#This Row],[Min]],LEN(Table15[[#This Row],[Min]])-FIND("-",Table15[[#This Row],[Min]])))&gt;INDIRECT(ADDRESS(11+MATCH(LEFT(Table15[[#This Row],[Min]],FIND("-",Table15[[#This Row],[Min]])-1),Table1[Content Sku],0),16,1,1,"Entities")),"review","ok"),"ok")</f>
        <v>ok</v>
      </c>
      <c r="AK1097" t="s">
        <v>2674</v>
      </c>
      <c r="AL1097">
        <v>0</v>
      </c>
      <c r="AM1097">
        <v>0</v>
      </c>
      <c r="AN1097" t="s">
        <v>8</v>
      </c>
      <c r="AO1097" s="74" t="str">
        <f ca="1">IF(Table20[[#This Row],[Type]]="KILL",IF(_xlfn.NUMBERVALUE(RIGHT(Table20[[#This Row],[Min]],LEN(Table20[[#This Row],[Min]])-FIND("-",Table20[[#This Row],[Min]])))&gt;INDIRECT(ADDRESS(11+MATCH(LEFT(Table20[[#This Row],[Min]],FIND("-",Table20[[#This Row],[Min]])-1),Table1[Content Sku],0),18,1,1,"Entities")),"review","ok"),"ok")</f>
        <v>ok</v>
      </c>
    </row>
    <row r="1098" spans="5:41" x14ac:dyDescent="0.25">
      <c r="E1098" t="s">
        <v>338</v>
      </c>
      <c r="F1098">
        <v>0</v>
      </c>
      <c r="G1098">
        <v>0</v>
      </c>
      <c r="H1098" t="s">
        <v>8</v>
      </c>
      <c r="I1098" s="74" t="str">
        <f ca="1">IF(Table7[[#This Row],[Type]]="KILL",IF(_xlfn.NUMBERVALUE(RIGHT(Table7[[#This Row],[Min]],LEN(Table7[[#This Row],[Min]])-FIND("-",Table7[[#This Row],[Min]])))&gt;INDIRECT(ADDRESS(11+MATCH(LEFT(Table7[[#This Row],[Min]],FIND("-",Table7[[#This Row],[Min]])-1),Table1[Content Sku],0),16,1,1,"Entities")),"review","ok"),"ok")</f>
        <v>ok</v>
      </c>
      <c r="U1098" t="s">
        <v>278</v>
      </c>
      <c r="V1098">
        <v>14000</v>
      </c>
      <c r="W1098">
        <v>0</v>
      </c>
      <c r="X1098" t="s">
        <v>205</v>
      </c>
      <c r="Y1098" s="74" t="str">
        <f ca="1">IF(Table15[[#This Row],[Type]]="KILL",IF(_xlfn.NUMBERVALUE(RIGHT(Table15[[#This Row],[Min]],LEN(Table15[[#This Row],[Min]])-FIND("-",Table15[[#This Row],[Min]])))&gt;INDIRECT(ADDRESS(11+MATCH(LEFT(Table15[[#This Row],[Min]],FIND("-",Table15[[#This Row],[Min]])-1),Table1[Content Sku],0),16,1,1,"Entities")),"review","ok"),"ok")</f>
        <v>ok</v>
      </c>
      <c r="AK1098" t="s">
        <v>2673</v>
      </c>
      <c r="AL1098">
        <v>40000</v>
      </c>
      <c r="AM1098">
        <v>0</v>
      </c>
      <c r="AN1098" t="s">
        <v>205</v>
      </c>
      <c r="AO1098" s="74" t="str">
        <f ca="1">IF(Table20[[#This Row],[Type]]="KILL",IF(_xlfn.NUMBERVALUE(RIGHT(Table20[[#This Row],[Min]],LEN(Table20[[#This Row],[Min]])-FIND("-",Table20[[#This Row],[Min]])))&gt;INDIRECT(ADDRESS(11+MATCH(LEFT(Table20[[#This Row],[Min]],FIND("-",Table20[[#This Row],[Min]])-1),Table1[Content Sku],0),18,1,1,"Entities")),"review","ok"),"ok")</f>
        <v>ok</v>
      </c>
    </row>
    <row r="1099" spans="5:41" x14ac:dyDescent="0.25">
      <c r="E1099" t="s">
        <v>295</v>
      </c>
      <c r="F1099">
        <v>0</v>
      </c>
      <c r="G1099">
        <v>0</v>
      </c>
      <c r="H1099" t="s">
        <v>8</v>
      </c>
      <c r="I1099" s="74" t="str">
        <f ca="1">IF(Table7[[#This Row],[Type]]="KILL",IF(_xlfn.NUMBERVALUE(RIGHT(Table7[[#This Row],[Min]],LEN(Table7[[#This Row],[Min]])-FIND("-",Table7[[#This Row],[Min]])))&gt;INDIRECT(ADDRESS(11+MATCH(LEFT(Table7[[#This Row],[Min]],FIND("-",Table7[[#This Row],[Min]])-1),Table1[Content Sku],0),16,1,1,"Entities")),"review","ok"),"ok")</f>
        <v>ok</v>
      </c>
      <c r="U1099" t="s">
        <v>254</v>
      </c>
      <c r="V1099">
        <v>0</v>
      </c>
      <c r="W1099">
        <v>0</v>
      </c>
      <c r="X1099" t="s">
        <v>8</v>
      </c>
      <c r="Y1099" s="74" t="str">
        <f ca="1">IF(Table15[[#This Row],[Type]]="KILL",IF(_xlfn.NUMBERVALUE(RIGHT(Table15[[#This Row],[Min]],LEN(Table15[[#This Row],[Min]])-FIND("-",Table15[[#This Row],[Min]])))&gt;INDIRECT(ADDRESS(11+MATCH(LEFT(Table15[[#This Row],[Min]],FIND("-",Table15[[#This Row],[Min]])-1),Table1[Content Sku],0),16,1,1,"Entities")),"review","ok"),"ok")</f>
        <v>ok</v>
      </c>
      <c r="AK1099" t="s">
        <v>2686</v>
      </c>
      <c r="AL1099">
        <v>96000</v>
      </c>
      <c r="AM1099">
        <v>0</v>
      </c>
      <c r="AN1099" t="s">
        <v>205</v>
      </c>
      <c r="AO1099" s="74" t="str">
        <f ca="1">IF(Table20[[#This Row],[Type]]="KILL",IF(_xlfn.NUMBERVALUE(RIGHT(Table20[[#This Row],[Min]],LEN(Table20[[#This Row],[Min]])-FIND("-",Table20[[#This Row],[Min]])))&gt;INDIRECT(ADDRESS(11+MATCH(LEFT(Table20[[#This Row],[Min]],FIND("-",Table20[[#This Row],[Min]])-1),Table1[Content Sku],0),18,1,1,"Entities")),"review","ok"),"ok")</f>
        <v>ok</v>
      </c>
    </row>
    <row r="1100" spans="5:41" x14ac:dyDescent="0.25">
      <c r="E1100" t="s">
        <v>338</v>
      </c>
      <c r="F1100">
        <v>0</v>
      </c>
      <c r="G1100">
        <v>30000</v>
      </c>
      <c r="H1100" t="s">
        <v>205</v>
      </c>
      <c r="I1100" s="74" t="str">
        <f ca="1">IF(Table7[[#This Row],[Type]]="KILL",IF(_xlfn.NUMBERVALUE(RIGHT(Table7[[#This Row],[Min]],LEN(Table7[[#This Row],[Min]])-FIND("-",Table7[[#This Row],[Min]])))&gt;INDIRECT(ADDRESS(11+MATCH(LEFT(Table7[[#This Row],[Min]],FIND("-",Table7[[#This Row],[Min]])-1),Table1[Content Sku],0),16,1,1,"Entities")),"review","ok"),"ok")</f>
        <v>ok</v>
      </c>
      <c r="U1100" t="s">
        <v>50</v>
      </c>
      <c r="V1100">
        <v>50000</v>
      </c>
      <c r="W1100">
        <v>0</v>
      </c>
      <c r="X1100" t="s">
        <v>205</v>
      </c>
      <c r="Y1100" s="74" t="str">
        <f ca="1">IF(Table15[[#This Row],[Type]]="KILL",IF(_xlfn.NUMBERVALUE(RIGHT(Table15[[#This Row],[Min]],LEN(Table15[[#This Row],[Min]])-FIND("-",Table15[[#This Row],[Min]])))&gt;INDIRECT(ADDRESS(11+MATCH(LEFT(Table15[[#This Row],[Min]],FIND("-",Table15[[#This Row],[Min]])-1),Table1[Content Sku],0),16,1,1,"Entities")),"review","ok"),"ok")</f>
        <v>ok</v>
      </c>
      <c r="AK1100" t="s">
        <v>2662</v>
      </c>
      <c r="AL1100">
        <v>0</v>
      </c>
      <c r="AM1100">
        <v>0</v>
      </c>
      <c r="AN1100" t="s">
        <v>8</v>
      </c>
      <c r="AO1100" s="74" t="str">
        <f ca="1">IF(Table20[[#This Row],[Type]]="KILL",IF(_xlfn.NUMBERVALUE(RIGHT(Table20[[#This Row],[Min]],LEN(Table20[[#This Row],[Min]])-FIND("-",Table20[[#This Row],[Min]])))&gt;INDIRECT(ADDRESS(11+MATCH(LEFT(Table20[[#This Row],[Min]],FIND("-",Table20[[#This Row],[Min]])-1),Table1[Content Sku],0),18,1,1,"Entities")),"review","ok"),"ok")</f>
        <v>ok</v>
      </c>
    </row>
    <row r="1101" spans="5:41" x14ac:dyDescent="0.25">
      <c r="E1101" t="s">
        <v>318</v>
      </c>
      <c r="F1101">
        <v>0</v>
      </c>
      <c r="G1101">
        <v>0</v>
      </c>
      <c r="H1101" t="s">
        <v>8</v>
      </c>
      <c r="I1101" s="74" t="str">
        <f ca="1">IF(Table7[[#This Row],[Type]]="KILL",IF(_xlfn.NUMBERVALUE(RIGHT(Table7[[#This Row],[Min]],LEN(Table7[[#This Row],[Min]])-FIND("-",Table7[[#This Row],[Min]])))&gt;INDIRECT(ADDRESS(11+MATCH(LEFT(Table7[[#This Row],[Min]],FIND("-",Table7[[#This Row],[Min]])-1),Table1[Content Sku],0),16,1,1,"Entities")),"review","ok"),"ok")</f>
        <v>ok</v>
      </c>
      <c r="U1101" t="s">
        <v>8134</v>
      </c>
      <c r="V1101">
        <v>0</v>
      </c>
      <c r="W1101">
        <v>0</v>
      </c>
      <c r="X1101" t="s">
        <v>8</v>
      </c>
      <c r="Y1101" s="74" t="str">
        <f ca="1">IF(Table15[[#This Row],[Type]]="KILL",IF(_xlfn.NUMBERVALUE(RIGHT(Table15[[#This Row],[Min]],LEN(Table15[[#This Row],[Min]])-FIND("-",Table15[[#This Row],[Min]])))&gt;INDIRECT(ADDRESS(11+MATCH(LEFT(Table15[[#This Row],[Min]],FIND("-",Table15[[#This Row],[Min]])-1),Table1[Content Sku],0),16,1,1,"Entities")),"review","ok"),"ok")</f>
        <v>ok</v>
      </c>
      <c r="AK1101" t="s">
        <v>4430</v>
      </c>
      <c r="AL1101">
        <v>0</v>
      </c>
      <c r="AM1101">
        <v>0</v>
      </c>
      <c r="AN1101" t="s">
        <v>8</v>
      </c>
      <c r="AO1101" s="74" t="str">
        <f ca="1">IF(Table20[[#This Row],[Type]]="KILL",IF(_xlfn.NUMBERVALUE(RIGHT(Table20[[#This Row],[Min]],LEN(Table20[[#This Row],[Min]])-FIND("-",Table20[[#This Row],[Min]])))&gt;INDIRECT(ADDRESS(11+MATCH(LEFT(Table20[[#This Row],[Min]],FIND("-",Table20[[#This Row],[Min]])-1),Table1[Content Sku],0),18,1,1,"Entities")),"review","ok"),"ok")</f>
        <v>ok</v>
      </c>
    </row>
    <row r="1102" spans="5:41" x14ac:dyDescent="0.25">
      <c r="E1102" t="s">
        <v>14</v>
      </c>
      <c r="F1102">
        <v>20000</v>
      </c>
      <c r="G1102">
        <v>30000</v>
      </c>
      <c r="H1102" t="s">
        <v>205</v>
      </c>
      <c r="I1102" s="74" t="str">
        <f ca="1">IF(Table7[[#This Row],[Type]]="KILL",IF(_xlfn.NUMBERVALUE(RIGHT(Table7[[#This Row],[Min]],LEN(Table7[[#This Row],[Min]])-FIND("-",Table7[[#This Row],[Min]])))&gt;INDIRECT(ADDRESS(11+MATCH(LEFT(Table7[[#This Row],[Min]],FIND("-",Table7[[#This Row],[Min]])-1),Table1[Content Sku],0),16,1,1,"Entities")),"review","ok"),"ok")</f>
        <v>ok</v>
      </c>
      <c r="U1102" t="s">
        <v>293</v>
      </c>
      <c r="V1102">
        <v>0</v>
      </c>
      <c r="W1102">
        <v>0</v>
      </c>
      <c r="X1102" t="s">
        <v>8</v>
      </c>
      <c r="Y1102" s="74" t="str">
        <f ca="1">IF(Table15[[#This Row],[Type]]="KILL",IF(_xlfn.NUMBERVALUE(RIGHT(Table15[[#This Row],[Min]],LEN(Table15[[#This Row],[Min]])-FIND("-",Table15[[#This Row],[Min]])))&gt;INDIRECT(ADDRESS(11+MATCH(LEFT(Table15[[#This Row],[Min]],FIND("-",Table15[[#This Row],[Min]])-1),Table1[Content Sku],0),16,1,1,"Entities")),"review","ok"),"ok")</f>
        <v>ok</v>
      </c>
      <c r="AK1102" t="s">
        <v>313</v>
      </c>
      <c r="AL1102">
        <v>0</v>
      </c>
      <c r="AM1102">
        <v>0</v>
      </c>
      <c r="AN1102" t="s">
        <v>8</v>
      </c>
      <c r="AO1102" s="74" t="str">
        <f ca="1">IF(Table20[[#This Row],[Type]]="KILL",IF(_xlfn.NUMBERVALUE(RIGHT(Table20[[#This Row],[Min]],LEN(Table20[[#This Row],[Min]])-FIND("-",Table20[[#This Row],[Min]])))&gt;INDIRECT(ADDRESS(11+MATCH(LEFT(Table20[[#This Row],[Min]],FIND("-",Table20[[#This Row],[Min]])-1),Table1[Content Sku],0),18,1,1,"Entities")),"review","ok"),"ok")</f>
        <v>ok</v>
      </c>
    </row>
    <row r="1103" spans="5:41" x14ac:dyDescent="0.25">
      <c r="E1103" t="s">
        <v>2741</v>
      </c>
      <c r="F1103">
        <v>0</v>
      </c>
      <c r="G1103">
        <v>0</v>
      </c>
      <c r="H1103" t="s">
        <v>8</v>
      </c>
      <c r="I1103" s="74" t="str">
        <f ca="1">IF(Table7[[#This Row],[Type]]="KILL",IF(_xlfn.NUMBERVALUE(RIGHT(Table7[[#This Row],[Min]],LEN(Table7[[#This Row],[Min]])-FIND("-",Table7[[#This Row],[Min]])))&gt;INDIRECT(ADDRESS(11+MATCH(LEFT(Table7[[#This Row],[Min]],FIND("-",Table7[[#This Row],[Min]])-1),Table1[Content Sku],0),16,1,1,"Entities")),"review","ok"),"ok")</f>
        <v>ok</v>
      </c>
      <c r="U1103" t="s">
        <v>393</v>
      </c>
      <c r="V1103">
        <v>21000</v>
      </c>
      <c r="W1103">
        <v>0</v>
      </c>
      <c r="X1103" t="s">
        <v>205</v>
      </c>
      <c r="Y1103" s="74" t="str">
        <f ca="1">IF(Table15[[#This Row],[Type]]="KILL",IF(_xlfn.NUMBERVALUE(RIGHT(Table15[[#This Row],[Min]],LEN(Table15[[#This Row],[Min]])-FIND("-",Table15[[#This Row],[Min]])))&gt;INDIRECT(ADDRESS(11+MATCH(LEFT(Table15[[#This Row],[Min]],FIND("-",Table15[[#This Row],[Min]])-1),Table1[Content Sku],0),16,1,1,"Entities")),"review","ok"),"ok")</f>
        <v>ok</v>
      </c>
      <c r="AK1103" t="s">
        <v>480</v>
      </c>
      <c r="AL1103">
        <v>30000</v>
      </c>
      <c r="AM1103">
        <v>0</v>
      </c>
      <c r="AN1103" t="s">
        <v>205</v>
      </c>
      <c r="AO1103" s="74" t="str">
        <f ca="1">IF(Table20[[#This Row],[Type]]="KILL",IF(_xlfn.NUMBERVALUE(RIGHT(Table20[[#This Row],[Min]],LEN(Table20[[#This Row],[Min]])-FIND("-",Table20[[#This Row],[Min]])))&gt;INDIRECT(ADDRESS(11+MATCH(LEFT(Table20[[#This Row],[Min]],FIND("-",Table20[[#This Row],[Min]])-1),Table1[Content Sku],0),18,1,1,"Entities")),"review","ok"),"ok")</f>
        <v>ok</v>
      </c>
    </row>
    <row r="1104" spans="5:41" x14ac:dyDescent="0.25">
      <c r="E1104" t="s">
        <v>2741</v>
      </c>
      <c r="F1104">
        <v>0</v>
      </c>
      <c r="G1104">
        <v>0</v>
      </c>
      <c r="H1104" t="s">
        <v>8</v>
      </c>
      <c r="I1104" s="74" t="str">
        <f ca="1">IF(Table7[[#This Row],[Type]]="KILL",IF(_xlfn.NUMBERVALUE(RIGHT(Table7[[#This Row],[Min]],LEN(Table7[[#This Row],[Min]])-FIND("-",Table7[[#This Row],[Min]])))&gt;INDIRECT(ADDRESS(11+MATCH(LEFT(Table7[[#This Row],[Min]],FIND("-",Table7[[#This Row],[Min]])-1),Table1[Content Sku],0),16,1,1,"Entities")),"review","ok"),"ok")</f>
        <v>ok</v>
      </c>
      <c r="U1104" t="s">
        <v>276</v>
      </c>
      <c r="V1104">
        <v>0</v>
      </c>
      <c r="W1104">
        <v>40000</v>
      </c>
      <c r="X1104" t="s">
        <v>205</v>
      </c>
      <c r="Y1104" s="74" t="str">
        <f ca="1">IF(Table15[[#This Row],[Type]]="KILL",IF(_xlfn.NUMBERVALUE(RIGHT(Table15[[#This Row],[Min]],LEN(Table15[[#This Row],[Min]])-FIND("-",Table15[[#This Row],[Min]])))&gt;INDIRECT(ADDRESS(11+MATCH(LEFT(Table15[[#This Row],[Min]],FIND("-",Table15[[#This Row],[Min]])-1),Table1[Content Sku],0),16,1,1,"Entities")),"review","ok"),"ok")</f>
        <v>ok</v>
      </c>
      <c r="AK1104" t="s">
        <v>2662</v>
      </c>
      <c r="AL1104">
        <v>0</v>
      </c>
      <c r="AM1104">
        <v>0</v>
      </c>
      <c r="AN1104" t="s">
        <v>8</v>
      </c>
      <c r="AO1104" s="74" t="str">
        <f ca="1">IF(Table20[[#This Row],[Type]]="KILL",IF(_xlfn.NUMBERVALUE(RIGHT(Table20[[#This Row],[Min]],LEN(Table20[[#This Row],[Min]])-FIND("-",Table20[[#This Row],[Min]])))&gt;INDIRECT(ADDRESS(11+MATCH(LEFT(Table20[[#This Row],[Min]],FIND("-",Table20[[#This Row],[Min]])-1),Table1[Content Sku],0),18,1,1,"Entities")),"review","ok"),"ok")</f>
        <v>ok</v>
      </c>
    </row>
    <row r="1105" spans="5:41" x14ac:dyDescent="0.25">
      <c r="E1105" t="s">
        <v>48</v>
      </c>
      <c r="F1105">
        <v>6500</v>
      </c>
      <c r="G1105">
        <v>0</v>
      </c>
      <c r="H1105" t="s">
        <v>205</v>
      </c>
      <c r="I1105" s="74" t="str">
        <f ca="1">IF(Table7[[#This Row],[Type]]="KILL",IF(_xlfn.NUMBERVALUE(RIGHT(Table7[[#This Row],[Min]],LEN(Table7[[#This Row],[Min]])-FIND("-",Table7[[#This Row],[Min]])))&gt;INDIRECT(ADDRESS(11+MATCH(LEFT(Table7[[#This Row],[Min]],FIND("-",Table7[[#This Row],[Min]])-1),Table1[Content Sku],0),16,1,1,"Entities")),"review","ok"),"ok")</f>
        <v>ok</v>
      </c>
      <c r="U1105" t="s">
        <v>122</v>
      </c>
      <c r="V1105">
        <v>0</v>
      </c>
      <c r="W1105">
        <v>0</v>
      </c>
      <c r="X1105" t="s">
        <v>8</v>
      </c>
      <c r="Y1105" s="74" t="str">
        <f ca="1">IF(Table15[[#This Row],[Type]]="KILL",IF(_xlfn.NUMBERVALUE(RIGHT(Table15[[#This Row],[Min]],LEN(Table15[[#This Row],[Min]])-FIND("-",Table15[[#This Row],[Min]])))&gt;INDIRECT(ADDRESS(11+MATCH(LEFT(Table15[[#This Row],[Min]],FIND("-",Table15[[#This Row],[Min]])-1),Table1[Content Sku],0),16,1,1,"Entities")),"review","ok"),"ok")</f>
        <v>ok</v>
      </c>
      <c r="AK1105" t="s">
        <v>2671</v>
      </c>
      <c r="AL1105">
        <v>0</v>
      </c>
      <c r="AM1105">
        <v>0</v>
      </c>
      <c r="AN1105" t="s">
        <v>8</v>
      </c>
      <c r="AO1105" s="74" t="str">
        <f ca="1">IF(Table20[[#This Row],[Type]]="KILL",IF(_xlfn.NUMBERVALUE(RIGHT(Table20[[#This Row],[Min]],LEN(Table20[[#This Row],[Min]])-FIND("-",Table20[[#This Row],[Min]])))&gt;INDIRECT(ADDRESS(11+MATCH(LEFT(Table20[[#This Row],[Min]],FIND("-",Table20[[#This Row],[Min]])-1),Table1[Content Sku],0),18,1,1,"Entities")),"review","ok"),"ok")</f>
        <v>ok</v>
      </c>
    </row>
    <row r="1106" spans="5:41" x14ac:dyDescent="0.25">
      <c r="E1106" t="s">
        <v>254</v>
      </c>
      <c r="F1106">
        <v>8000</v>
      </c>
      <c r="G1106">
        <v>0</v>
      </c>
      <c r="H1106" t="s">
        <v>205</v>
      </c>
      <c r="I1106" s="74" t="str">
        <f ca="1">IF(Table7[[#This Row],[Type]]="KILL",IF(_xlfn.NUMBERVALUE(RIGHT(Table7[[#This Row],[Min]],LEN(Table7[[#This Row],[Min]])-FIND("-",Table7[[#This Row],[Min]])))&gt;INDIRECT(ADDRESS(11+MATCH(LEFT(Table7[[#This Row],[Min]],FIND("-",Table7[[#This Row],[Min]])-1),Table1[Content Sku],0),16,1,1,"Entities")),"review","ok"),"ok")</f>
        <v>ok</v>
      </c>
      <c r="U1106" t="s">
        <v>8133</v>
      </c>
      <c r="V1106">
        <v>0</v>
      </c>
      <c r="W1106">
        <v>0</v>
      </c>
      <c r="X1106" t="s">
        <v>8</v>
      </c>
      <c r="Y1106" s="74" t="str">
        <f ca="1">IF(Table15[[#This Row],[Type]]="KILL",IF(_xlfn.NUMBERVALUE(RIGHT(Table15[[#This Row],[Min]],LEN(Table15[[#This Row],[Min]])-FIND("-",Table15[[#This Row],[Min]])))&gt;INDIRECT(ADDRESS(11+MATCH(LEFT(Table15[[#This Row],[Min]],FIND("-",Table15[[#This Row],[Min]])-1),Table1[Content Sku],0),16,1,1,"Entities")),"review","ok"),"ok")</f>
        <v>ok</v>
      </c>
      <c r="AK1106" t="s">
        <v>313</v>
      </c>
      <c r="AL1106">
        <v>0</v>
      </c>
      <c r="AM1106">
        <v>0</v>
      </c>
      <c r="AN1106" t="s">
        <v>8</v>
      </c>
      <c r="AO1106" s="74" t="str">
        <f ca="1">IF(Table20[[#This Row],[Type]]="KILL",IF(_xlfn.NUMBERVALUE(RIGHT(Table20[[#This Row],[Min]],LEN(Table20[[#This Row],[Min]])-FIND("-",Table20[[#This Row],[Min]])))&gt;INDIRECT(ADDRESS(11+MATCH(LEFT(Table20[[#This Row],[Min]],FIND("-",Table20[[#This Row],[Min]])-1),Table1[Content Sku],0),18,1,1,"Entities")),"review","ok"),"ok")</f>
        <v>ok</v>
      </c>
    </row>
    <row r="1107" spans="5:41" x14ac:dyDescent="0.25">
      <c r="E1107" t="s">
        <v>45</v>
      </c>
      <c r="F1107">
        <v>0</v>
      </c>
      <c r="G1107">
        <v>0</v>
      </c>
      <c r="H1107" t="s">
        <v>8</v>
      </c>
      <c r="I1107" s="74" t="str">
        <f ca="1">IF(Table7[[#This Row],[Type]]="KILL",IF(_xlfn.NUMBERVALUE(RIGHT(Table7[[#This Row],[Min]],LEN(Table7[[#This Row],[Min]])-FIND("-",Table7[[#This Row],[Min]])))&gt;INDIRECT(ADDRESS(11+MATCH(LEFT(Table7[[#This Row],[Min]],FIND("-",Table7[[#This Row],[Min]])-1),Table1[Content Sku],0),16,1,1,"Entities")),"review","ok"),"ok")</f>
        <v>ok</v>
      </c>
      <c r="U1107" t="s">
        <v>313</v>
      </c>
      <c r="V1107">
        <v>0</v>
      </c>
      <c r="W1107">
        <v>0</v>
      </c>
      <c r="X1107" t="s">
        <v>8</v>
      </c>
      <c r="Y1107" s="74" t="str">
        <f ca="1">IF(Table15[[#This Row],[Type]]="KILL",IF(_xlfn.NUMBERVALUE(RIGHT(Table15[[#This Row],[Min]],LEN(Table15[[#This Row],[Min]])-FIND("-",Table15[[#This Row],[Min]])))&gt;INDIRECT(ADDRESS(11+MATCH(LEFT(Table15[[#This Row],[Min]],FIND("-",Table15[[#This Row],[Min]])-1),Table1[Content Sku],0),16,1,1,"Entities")),"review","ok"),"ok")</f>
        <v>ok</v>
      </c>
      <c r="AK1107" t="s">
        <v>2669</v>
      </c>
      <c r="AL1107">
        <v>0</v>
      </c>
      <c r="AM1107">
        <v>0</v>
      </c>
      <c r="AN1107" t="s">
        <v>8</v>
      </c>
      <c r="AO1107" s="74" t="str">
        <f ca="1">IF(Table20[[#This Row],[Type]]="KILL",IF(_xlfn.NUMBERVALUE(RIGHT(Table20[[#This Row],[Min]],LEN(Table20[[#This Row],[Min]])-FIND("-",Table20[[#This Row],[Min]])))&gt;INDIRECT(ADDRESS(11+MATCH(LEFT(Table20[[#This Row],[Min]],FIND("-",Table20[[#This Row],[Min]])-1),Table1[Content Sku],0),18,1,1,"Entities")),"review","ok"),"ok")</f>
        <v>ok</v>
      </c>
    </row>
    <row r="1108" spans="5:41" x14ac:dyDescent="0.25">
      <c r="E1108" t="s">
        <v>313</v>
      </c>
      <c r="F1108">
        <v>0</v>
      </c>
      <c r="G1108">
        <v>0</v>
      </c>
      <c r="H1108" t="s">
        <v>8</v>
      </c>
      <c r="I1108" s="74" t="str">
        <f ca="1">IF(Table7[[#This Row],[Type]]="KILL",IF(_xlfn.NUMBERVALUE(RIGHT(Table7[[#This Row],[Min]],LEN(Table7[[#This Row],[Min]])-FIND("-",Table7[[#This Row],[Min]])))&gt;INDIRECT(ADDRESS(11+MATCH(LEFT(Table7[[#This Row],[Min]],FIND("-",Table7[[#This Row],[Min]])-1),Table1[Content Sku],0),16,1,1,"Entities")),"review","ok"),"ok")</f>
        <v>ok</v>
      </c>
      <c r="U1108" t="s">
        <v>1</v>
      </c>
      <c r="V1108">
        <v>0</v>
      </c>
      <c r="W1108">
        <v>0</v>
      </c>
      <c r="X1108" t="s">
        <v>8</v>
      </c>
      <c r="Y1108" s="74" t="str">
        <f ca="1">IF(Table15[[#This Row],[Type]]="KILL",IF(_xlfn.NUMBERVALUE(RIGHT(Table15[[#This Row],[Min]],LEN(Table15[[#This Row],[Min]])-FIND("-",Table15[[#This Row],[Min]])))&gt;INDIRECT(ADDRESS(11+MATCH(LEFT(Table15[[#This Row],[Min]],FIND("-",Table15[[#This Row],[Min]])-1),Table1[Content Sku],0),16,1,1,"Entities")),"review","ok"),"ok")</f>
        <v>ok</v>
      </c>
      <c r="AK1108" t="s">
        <v>2666</v>
      </c>
      <c r="AL1108">
        <v>0</v>
      </c>
      <c r="AM1108">
        <v>0</v>
      </c>
      <c r="AN1108" t="s">
        <v>8</v>
      </c>
      <c r="AO1108" s="74" t="str">
        <f ca="1">IF(Table20[[#This Row],[Type]]="KILL",IF(_xlfn.NUMBERVALUE(RIGHT(Table20[[#This Row],[Min]],LEN(Table20[[#This Row],[Min]])-FIND("-",Table20[[#This Row],[Min]])))&gt;INDIRECT(ADDRESS(11+MATCH(LEFT(Table20[[#This Row],[Min]],FIND("-",Table20[[#This Row],[Min]])-1),Table1[Content Sku],0),18,1,1,"Entities")),"review","ok"),"ok")</f>
        <v>ok</v>
      </c>
    </row>
    <row r="1109" spans="5:41" x14ac:dyDescent="0.25">
      <c r="E1109" t="s">
        <v>286</v>
      </c>
      <c r="F1109">
        <v>0</v>
      </c>
      <c r="G1109">
        <v>0</v>
      </c>
      <c r="H1109" t="s">
        <v>8</v>
      </c>
      <c r="I1109" s="74" t="str">
        <f ca="1">IF(Table7[[#This Row],[Type]]="KILL",IF(_xlfn.NUMBERVALUE(RIGHT(Table7[[#This Row],[Min]],LEN(Table7[[#This Row],[Min]])-FIND("-",Table7[[#This Row],[Min]])))&gt;INDIRECT(ADDRESS(11+MATCH(LEFT(Table7[[#This Row],[Min]],FIND("-",Table7[[#This Row],[Min]])-1),Table1[Content Sku],0),16,1,1,"Entities")),"review","ok"),"ok")</f>
        <v>ok</v>
      </c>
      <c r="U1109" t="s">
        <v>392</v>
      </c>
      <c r="V1109">
        <v>0</v>
      </c>
      <c r="W1109">
        <v>0</v>
      </c>
      <c r="X1109" t="s">
        <v>8</v>
      </c>
      <c r="Y1109" s="74" t="str">
        <f ca="1">IF(Table15[[#This Row],[Type]]="KILL",IF(_xlfn.NUMBERVALUE(RIGHT(Table15[[#This Row],[Min]],LEN(Table15[[#This Row],[Min]])-FIND("-",Table15[[#This Row],[Min]])))&gt;INDIRECT(ADDRESS(11+MATCH(LEFT(Table15[[#This Row],[Min]],FIND("-",Table15[[#This Row],[Min]])-1),Table1[Content Sku],0),16,1,1,"Entities")),"review","ok"),"ok")</f>
        <v>ok</v>
      </c>
      <c r="AK1109" t="s">
        <v>137</v>
      </c>
      <c r="AL1109">
        <v>0</v>
      </c>
      <c r="AM1109">
        <v>0</v>
      </c>
      <c r="AN1109" t="s">
        <v>8</v>
      </c>
      <c r="AO1109" s="74" t="str">
        <f ca="1">IF(Table20[[#This Row],[Type]]="KILL",IF(_xlfn.NUMBERVALUE(RIGHT(Table20[[#This Row],[Min]],LEN(Table20[[#This Row],[Min]])-FIND("-",Table20[[#This Row],[Min]])))&gt;INDIRECT(ADDRESS(11+MATCH(LEFT(Table20[[#This Row],[Min]],FIND("-",Table20[[#This Row],[Min]])-1),Table1[Content Sku],0),18,1,1,"Entities")),"review","ok"),"ok")</f>
        <v>ok</v>
      </c>
    </row>
    <row r="1110" spans="5:41" x14ac:dyDescent="0.25">
      <c r="E1110" t="s">
        <v>257</v>
      </c>
      <c r="F1110">
        <v>0</v>
      </c>
      <c r="G1110">
        <v>0</v>
      </c>
      <c r="H1110" t="s">
        <v>8</v>
      </c>
      <c r="I1110" s="74" t="str">
        <f ca="1">IF(Table7[[#This Row],[Type]]="KILL",IF(_xlfn.NUMBERVALUE(RIGHT(Table7[[#This Row],[Min]],LEN(Table7[[#This Row],[Min]])-FIND("-",Table7[[#This Row],[Min]])))&gt;INDIRECT(ADDRESS(11+MATCH(LEFT(Table7[[#This Row],[Min]],FIND("-",Table7[[#This Row],[Min]])-1),Table1[Content Sku],0),16,1,1,"Entities")),"review","ok"),"ok")</f>
        <v>ok</v>
      </c>
      <c r="U1110" t="s">
        <v>315</v>
      </c>
      <c r="V1110">
        <v>0</v>
      </c>
      <c r="W1110">
        <v>0</v>
      </c>
      <c r="X1110" t="s">
        <v>8</v>
      </c>
      <c r="Y1110" s="74" t="str">
        <f ca="1">IF(Table15[[#This Row],[Type]]="KILL",IF(_xlfn.NUMBERVALUE(RIGHT(Table15[[#This Row],[Min]],LEN(Table15[[#This Row],[Min]])-FIND("-",Table15[[#This Row],[Min]])))&gt;INDIRECT(ADDRESS(11+MATCH(LEFT(Table15[[#This Row],[Min]],FIND("-",Table15[[#This Row],[Min]])-1),Table1[Content Sku],0),16,1,1,"Entities")),"review","ok"),"ok")</f>
        <v>ok</v>
      </c>
      <c r="AK1110" t="s">
        <v>256</v>
      </c>
      <c r="AL1110">
        <v>0</v>
      </c>
      <c r="AM1110">
        <v>0</v>
      </c>
      <c r="AN1110" t="s">
        <v>8</v>
      </c>
      <c r="AO1110" s="74" t="str">
        <f ca="1">IF(Table20[[#This Row],[Type]]="KILL",IF(_xlfn.NUMBERVALUE(RIGHT(Table20[[#This Row],[Min]],LEN(Table20[[#This Row],[Min]])-FIND("-",Table20[[#This Row],[Min]])))&gt;INDIRECT(ADDRESS(11+MATCH(LEFT(Table20[[#This Row],[Min]],FIND("-",Table20[[#This Row],[Min]])-1),Table1[Content Sku],0),18,1,1,"Entities")),"review","ok"),"ok")</f>
        <v>ok</v>
      </c>
    </row>
    <row r="1111" spans="5:41" x14ac:dyDescent="0.25">
      <c r="E1111" t="s">
        <v>311</v>
      </c>
      <c r="F1111">
        <v>4500</v>
      </c>
      <c r="G1111">
        <v>0</v>
      </c>
      <c r="H1111" t="s">
        <v>205</v>
      </c>
      <c r="I1111" s="74" t="str">
        <f ca="1">IF(Table7[[#This Row],[Type]]="KILL",IF(_xlfn.NUMBERVALUE(RIGHT(Table7[[#This Row],[Min]],LEN(Table7[[#This Row],[Min]])-FIND("-",Table7[[#This Row],[Min]])))&gt;INDIRECT(ADDRESS(11+MATCH(LEFT(Table7[[#This Row],[Min]],FIND("-",Table7[[#This Row],[Min]])-1),Table1[Content Sku],0),16,1,1,"Entities")),"review","ok"),"ok")</f>
        <v>ok</v>
      </c>
      <c r="U1111" t="s">
        <v>8133</v>
      </c>
      <c r="V1111">
        <v>0</v>
      </c>
      <c r="W1111">
        <v>0</v>
      </c>
      <c r="X1111" t="s">
        <v>8</v>
      </c>
      <c r="Y1111" s="74" t="str">
        <f ca="1">IF(Table15[[#This Row],[Type]]="KILL",IF(_xlfn.NUMBERVALUE(RIGHT(Table15[[#This Row],[Min]],LEN(Table15[[#This Row],[Min]])-FIND("-",Table15[[#This Row],[Min]])))&gt;INDIRECT(ADDRESS(11+MATCH(LEFT(Table15[[#This Row],[Min]],FIND("-",Table15[[#This Row],[Min]])-1),Table1[Content Sku],0),16,1,1,"Entities")),"review","ok"),"ok")</f>
        <v>ok</v>
      </c>
      <c r="AK1111" t="s">
        <v>36</v>
      </c>
      <c r="AL1111">
        <v>0</v>
      </c>
      <c r="AM1111">
        <v>0</v>
      </c>
      <c r="AN1111" t="s">
        <v>8</v>
      </c>
      <c r="AO1111" s="74" t="str">
        <f ca="1">IF(Table20[[#This Row],[Type]]="KILL",IF(_xlfn.NUMBERVALUE(RIGHT(Table20[[#This Row],[Min]],LEN(Table20[[#This Row],[Min]])-FIND("-",Table20[[#This Row],[Min]])))&gt;INDIRECT(ADDRESS(11+MATCH(LEFT(Table20[[#This Row],[Min]],FIND("-",Table20[[#This Row],[Min]])-1),Table1[Content Sku],0),18,1,1,"Entities")),"review","ok"),"ok")</f>
        <v>ok</v>
      </c>
    </row>
    <row r="1112" spans="5:41" x14ac:dyDescent="0.25">
      <c r="E1112" t="s">
        <v>4</v>
      </c>
      <c r="F1112">
        <v>0</v>
      </c>
      <c r="G1112">
        <v>0</v>
      </c>
      <c r="H1112" t="s">
        <v>8</v>
      </c>
      <c r="I1112" s="74" t="str">
        <f ca="1">IF(Table7[[#This Row],[Type]]="KILL",IF(_xlfn.NUMBERVALUE(RIGHT(Table7[[#This Row],[Min]],LEN(Table7[[#This Row],[Min]])-FIND("-",Table7[[#This Row],[Min]])))&gt;INDIRECT(ADDRESS(11+MATCH(LEFT(Table7[[#This Row],[Min]],FIND("-",Table7[[#This Row],[Min]])-1),Table1[Content Sku],0),16,1,1,"Entities")),"review","ok"),"ok")</f>
        <v>ok</v>
      </c>
      <c r="U1112" t="s">
        <v>286</v>
      </c>
      <c r="V1112">
        <v>0</v>
      </c>
      <c r="W1112">
        <v>0</v>
      </c>
      <c r="X1112" t="s">
        <v>8</v>
      </c>
      <c r="Y1112" s="74" t="str">
        <f ca="1">IF(Table15[[#This Row],[Type]]="KILL",IF(_xlfn.NUMBERVALUE(RIGHT(Table15[[#This Row],[Min]],LEN(Table15[[#This Row],[Min]])-FIND("-",Table15[[#This Row],[Min]])))&gt;INDIRECT(ADDRESS(11+MATCH(LEFT(Table15[[#This Row],[Min]],FIND("-",Table15[[#This Row],[Min]])-1),Table1[Content Sku],0),16,1,1,"Entities")),"review","ok"),"ok")</f>
        <v>ok</v>
      </c>
      <c r="AK1112" t="s">
        <v>122</v>
      </c>
      <c r="AL1112">
        <v>35000</v>
      </c>
      <c r="AM1112">
        <v>0</v>
      </c>
      <c r="AN1112" t="s">
        <v>205</v>
      </c>
      <c r="AO1112" s="74" t="str">
        <f ca="1">IF(Table20[[#This Row],[Type]]="KILL",IF(_xlfn.NUMBERVALUE(RIGHT(Table20[[#This Row],[Min]],LEN(Table20[[#This Row],[Min]])-FIND("-",Table20[[#This Row],[Min]])))&gt;INDIRECT(ADDRESS(11+MATCH(LEFT(Table20[[#This Row],[Min]],FIND("-",Table20[[#This Row],[Min]])-1),Table1[Content Sku],0),18,1,1,"Entities")),"review","ok"),"ok")</f>
        <v>ok</v>
      </c>
    </row>
    <row r="1113" spans="5:41" x14ac:dyDescent="0.25">
      <c r="E1113" t="s">
        <v>8133</v>
      </c>
      <c r="F1113">
        <v>0</v>
      </c>
      <c r="G1113">
        <v>0</v>
      </c>
      <c r="H1113" t="s">
        <v>8</v>
      </c>
      <c r="I1113" s="74" t="str">
        <f ca="1">IF(Table7[[#This Row],[Type]]="KILL",IF(_xlfn.NUMBERVALUE(RIGHT(Table7[[#This Row],[Min]],LEN(Table7[[#This Row],[Min]])-FIND("-",Table7[[#This Row],[Min]])))&gt;INDIRECT(ADDRESS(11+MATCH(LEFT(Table7[[#This Row],[Min]],FIND("-",Table7[[#This Row],[Min]])-1),Table1[Content Sku],0),16,1,1,"Entities")),"review","ok"),"ok")</f>
        <v>ok</v>
      </c>
      <c r="U1113" t="s">
        <v>313</v>
      </c>
      <c r="V1113">
        <v>0</v>
      </c>
      <c r="W1113">
        <v>0</v>
      </c>
      <c r="X1113" t="s">
        <v>8</v>
      </c>
      <c r="Y1113" s="74" t="str">
        <f ca="1">IF(Table15[[#This Row],[Type]]="KILL",IF(_xlfn.NUMBERVALUE(RIGHT(Table15[[#This Row],[Min]],LEN(Table15[[#This Row],[Min]])-FIND("-",Table15[[#This Row],[Min]])))&gt;INDIRECT(ADDRESS(11+MATCH(LEFT(Table15[[#This Row],[Min]],FIND("-",Table15[[#This Row],[Min]])-1),Table1[Content Sku],0),16,1,1,"Entities")),"review","ok"),"ok")</f>
        <v>ok</v>
      </c>
      <c r="AK1113" t="s">
        <v>37</v>
      </c>
      <c r="AL1113">
        <v>0</v>
      </c>
      <c r="AM1113">
        <v>0</v>
      </c>
      <c r="AN1113" t="s">
        <v>8</v>
      </c>
      <c r="AO1113" s="74" t="str">
        <f ca="1">IF(Table20[[#This Row],[Type]]="KILL",IF(_xlfn.NUMBERVALUE(RIGHT(Table20[[#This Row],[Min]],LEN(Table20[[#This Row],[Min]])-FIND("-",Table20[[#This Row],[Min]])))&gt;INDIRECT(ADDRESS(11+MATCH(LEFT(Table20[[#This Row],[Min]],FIND("-",Table20[[#This Row],[Min]])-1),Table1[Content Sku],0),18,1,1,"Entities")),"review","ok"),"ok")</f>
        <v>ok</v>
      </c>
    </row>
    <row r="1114" spans="5:41" x14ac:dyDescent="0.25">
      <c r="E1114" t="s">
        <v>95</v>
      </c>
      <c r="F1114">
        <v>0</v>
      </c>
      <c r="G1114">
        <v>26000</v>
      </c>
      <c r="H1114" t="s">
        <v>205</v>
      </c>
      <c r="I1114" s="74" t="str">
        <f ca="1">IF(Table7[[#This Row],[Type]]="KILL",IF(_xlfn.NUMBERVALUE(RIGHT(Table7[[#This Row],[Min]],LEN(Table7[[#This Row],[Min]])-FIND("-",Table7[[#This Row],[Min]])))&gt;INDIRECT(ADDRESS(11+MATCH(LEFT(Table7[[#This Row],[Min]],FIND("-",Table7[[#This Row],[Min]])-1),Table1[Content Sku],0),16,1,1,"Entities")),"review","ok"),"ok")</f>
        <v>ok</v>
      </c>
      <c r="U1114" t="s">
        <v>545</v>
      </c>
      <c r="V1114">
        <v>0</v>
      </c>
      <c r="W1114">
        <v>0</v>
      </c>
      <c r="X1114" t="s">
        <v>8</v>
      </c>
      <c r="Y1114" s="74" t="str">
        <f ca="1">IF(Table15[[#This Row],[Type]]="KILL",IF(_xlfn.NUMBERVALUE(RIGHT(Table15[[#This Row],[Min]],LEN(Table15[[#This Row],[Min]])-FIND("-",Table15[[#This Row],[Min]])))&gt;INDIRECT(ADDRESS(11+MATCH(LEFT(Table15[[#This Row],[Min]],FIND("-",Table15[[#This Row],[Min]])-1),Table1[Content Sku],0),16,1,1,"Entities")),"review","ok"),"ok")</f>
        <v>ok</v>
      </c>
      <c r="AK1114" t="s">
        <v>37</v>
      </c>
      <c r="AL1114">
        <v>0</v>
      </c>
      <c r="AM1114">
        <v>0</v>
      </c>
      <c r="AN1114" t="s">
        <v>8</v>
      </c>
      <c r="AO1114" s="74" t="str">
        <f ca="1">IF(Table20[[#This Row],[Type]]="KILL",IF(_xlfn.NUMBERVALUE(RIGHT(Table20[[#This Row],[Min]],LEN(Table20[[#This Row],[Min]])-FIND("-",Table20[[#This Row],[Min]])))&gt;INDIRECT(ADDRESS(11+MATCH(LEFT(Table20[[#This Row],[Min]],FIND("-",Table20[[#This Row],[Min]])-1),Table1[Content Sku],0),18,1,1,"Entities")),"review","ok"),"ok")</f>
        <v>ok</v>
      </c>
    </row>
    <row r="1115" spans="5:41" x14ac:dyDescent="0.25">
      <c r="E1115" t="s">
        <v>256</v>
      </c>
      <c r="F1115">
        <v>0</v>
      </c>
      <c r="G1115">
        <v>0</v>
      </c>
      <c r="H1115" t="s">
        <v>8</v>
      </c>
      <c r="I1115" s="74" t="str">
        <f ca="1">IF(Table7[[#This Row],[Type]]="KILL",IF(_xlfn.NUMBERVALUE(RIGHT(Table7[[#This Row],[Min]],LEN(Table7[[#This Row],[Min]])-FIND("-",Table7[[#This Row],[Min]])))&gt;INDIRECT(ADDRESS(11+MATCH(LEFT(Table7[[#This Row],[Min]],FIND("-",Table7[[#This Row],[Min]])-1),Table1[Content Sku],0),16,1,1,"Entities")),"review","ok"),"ok")</f>
        <v>ok</v>
      </c>
      <c r="U1115" t="s">
        <v>50</v>
      </c>
      <c r="V1115">
        <v>200</v>
      </c>
      <c r="W1115">
        <v>0</v>
      </c>
      <c r="X1115" t="s">
        <v>4431</v>
      </c>
      <c r="Y1115" s="74" t="str">
        <f ca="1">IF(Table15[[#This Row],[Type]]="KILL",IF(_xlfn.NUMBERVALUE(RIGHT(Table15[[#This Row],[Min]],LEN(Table15[[#This Row],[Min]])-FIND("-",Table15[[#This Row],[Min]])))&gt;INDIRECT(ADDRESS(11+MATCH(LEFT(Table15[[#This Row],[Min]],FIND("-",Table15[[#This Row],[Min]])-1),Table1[Content Sku],0),16,1,1,"Entities")),"review","ok"),"ok")</f>
        <v>ok</v>
      </c>
      <c r="AK1115" t="s">
        <v>396</v>
      </c>
      <c r="AL1115">
        <v>48000</v>
      </c>
      <c r="AM1115">
        <v>0</v>
      </c>
      <c r="AN1115" t="s">
        <v>205</v>
      </c>
      <c r="AO1115" s="74" t="str">
        <f ca="1">IF(Table20[[#This Row],[Type]]="KILL",IF(_xlfn.NUMBERVALUE(RIGHT(Table20[[#This Row],[Min]],LEN(Table20[[#This Row],[Min]])-FIND("-",Table20[[#This Row],[Min]])))&gt;INDIRECT(ADDRESS(11+MATCH(LEFT(Table20[[#This Row],[Min]],FIND("-",Table20[[#This Row],[Min]])-1),Table1[Content Sku],0),18,1,1,"Entities")),"review","ok"),"ok")</f>
        <v>ok</v>
      </c>
    </row>
    <row r="1116" spans="5:41" x14ac:dyDescent="0.25">
      <c r="E1116" t="s">
        <v>545</v>
      </c>
      <c r="F1116">
        <v>0</v>
      </c>
      <c r="G1116">
        <v>0</v>
      </c>
      <c r="H1116" t="s">
        <v>8</v>
      </c>
      <c r="I1116" s="74" t="str">
        <f ca="1">IF(Table7[[#This Row],[Type]]="KILL",IF(_xlfn.NUMBERVALUE(RIGHT(Table7[[#This Row],[Min]],LEN(Table7[[#This Row],[Min]])-FIND("-",Table7[[#This Row],[Min]])))&gt;INDIRECT(ADDRESS(11+MATCH(LEFT(Table7[[#This Row],[Min]],FIND("-",Table7[[#This Row],[Min]])-1),Table1[Content Sku],0),16,1,1,"Entities")),"review","ok"),"ok")</f>
        <v>ok</v>
      </c>
      <c r="U1116" t="s">
        <v>293</v>
      </c>
      <c r="V1116">
        <v>30000</v>
      </c>
      <c r="W1116">
        <v>0</v>
      </c>
      <c r="X1116" t="s">
        <v>205</v>
      </c>
      <c r="Y1116" s="74" t="str">
        <f ca="1">IF(Table15[[#This Row],[Type]]="KILL",IF(_xlfn.NUMBERVALUE(RIGHT(Table15[[#This Row],[Min]],LEN(Table15[[#This Row],[Min]])-FIND("-",Table15[[#This Row],[Min]])))&gt;INDIRECT(ADDRESS(11+MATCH(LEFT(Table15[[#This Row],[Min]],FIND("-",Table15[[#This Row],[Min]])-1),Table1[Content Sku],0),16,1,1,"Entities")),"review","ok"),"ok")</f>
        <v>ok</v>
      </c>
      <c r="AK1116" t="s">
        <v>37</v>
      </c>
      <c r="AL1116">
        <v>0</v>
      </c>
      <c r="AM1116">
        <v>0</v>
      </c>
      <c r="AN1116" t="s">
        <v>8</v>
      </c>
      <c r="AO1116" s="74" t="str">
        <f ca="1">IF(Table20[[#This Row],[Type]]="KILL",IF(_xlfn.NUMBERVALUE(RIGHT(Table20[[#This Row],[Min]],LEN(Table20[[#This Row],[Min]])-FIND("-",Table20[[#This Row],[Min]])))&gt;INDIRECT(ADDRESS(11+MATCH(LEFT(Table20[[#This Row],[Min]],FIND("-",Table20[[#This Row],[Min]])-1),Table1[Content Sku],0),18,1,1,"Entities")),"review","ok"),"ok")</f>
        <v>ok</v>
      </c>
    </row>
    <row r="1117" spans="5:41" x14ac:dyDescent="0.25">
      <c r="E1117" t="s">
        <v>258</v>
      </c>
      <c r="F1117">
        <v>55000</v>
      </c>
      <c r="G1117">
        <v>0</v>
      </c>
      <c r="H1117" t="s">
        <v>205</v>
      </c>
      <c r="I1117" s="74" t="str">
        <f ca="1">IF(Table7[[#This Row],[Type]]="KILL",IF(_xlfn.NUMBERVALUE(RIGHT(Table7[[#This Row],[Min]],LEN(Table7[[#This Row],[Min]])-FIND("-",Table7[[#This Row],[Min]])))&gt;INDIRECT(ADDRESS(11+MATCH(LEFT(Table7[[#This Row],[Min]],FIND("-",Table7[[#This Row],[Min]])-1),Table1[Content Sku],0),16,1,1,"Entities")),"review","ok"),"ok")</f>
        <v>ok</v>
      </c>
      <c r="U1117" t="s">
        <v>254</v>
      </c>
      <c r="V1117">
        <v>0</v>
      </c>
      <c r="W1117">
        <v>0</v>
      </c>
      <c r="X1117" t="s">
        <v>8</v>
      </c>
      <c r="Y1117" s="74" t="str">
        <f ca="1">IF(Table15[[#This Row],[Type]]="KILL",IF(_xlfn.NUMBERVALUE(RIGHT(Table15[[#This Row],[Min]],LEN(Table15[[#This Row],[Min]])-FIND("-",Table15[[#This Row],[Min]])))&gt;INDIRECT(ADDRESS(11+MATCH(LEFT(Table15[[#This Row],[Min]],FIND("-",Table15[[#This Row],[Min]])-1),Table1[Content Sku],0),16,1,1,"Entities")),"review","ok"),"ok")</f>
        <v>ok</v>
      </c>
      <c r="AK1117" t="s">
        <v>37</v>
      </c>
      <c r="AL1117">
        <v>0</v>
      </c>
      <c r="AM1117">
        <v>0</v>
      </c>
      <c r="AN1117" t="s">
        <v>8</v>
      </c>
      <c r="AO1117" s="74" t="str">
        <f ca="1">IF(Table20[[#This Row],[Type]]="KILL",IF(_xlfn.NUMBERVALUE(RIGHT(Table20[[#This Row],[Min]],LEN(Table20[[#This Row],[Min]])-FIND("-",Table20[[#This Row],[Min]])))&gt;INDIRECT(ADDRESS(11+MATCH(LEFT(Table20[[#This Row],[Min]],FIND("-",Table20[[#This Row],[Min]])-1),Table1[Content Sku],0),18,1,1,"Entities")),"review","ok"),"ok")</f>
        <v>ok</v>
      </c>
    </row>
    <row r="1118" spans="5:41" x14ac:dyDescent="0.25">
      <c r="E1118" t="s">
        <v>340</v>
      </c>
      <c r="F1118">
        <v>0</v>
      </c>
      <c r="G1118">
        <v>1600</v>
      </c>
      <c r="H1118" t="s">
        <v>205</v>
      </c>
      <c r="I1118" s="74" t="str">
        <f ca="1">IF(Table7[[#This Row],[Type]]="KILL",IF(_xlfn.NUMBERVALUE(RIGHT(Table7[[#This Row],[Min]],LEN(Table7[[#This Row],[Min]])-FIND("-",Table7[[#This Row],[Min]])))&gt;INDIRECT(ADDRESS(11+MATCH(LEFT(Table7[[#This Row],[Min]],FIND("-",Table7[[#This Row],[Min]])-1),Table1[Content Sku],0),16,1,1,"Entities")),"review","ok"),"ok")</f>
        <v>ok</v>
      </c>
      <c r="U1118" t="s">
        <v>392</v>
      </c>
      <c r="V1118">
        <v>0</v>
      </c>
      <c r="W1118">
        <v>0</v>
      </c>
      <c r="X1118" t="s">
        <v>8</v>
      </c>
      <c r="Y1118" s="74" t="str">
        <f ca="1">IF(Table15[[#This Row],[Type]]="KILL",IF(_xlfn.NUMBERVALUE(RIGHT(Table15[[#This Row],[Min]],LEN(Table15[[#This Row],[Min]])-FIND("-",Table15[[#This Row],[Min]])))&gt;INDIRECT(ADDRESS(11+MATCH(LEFT(Table15[[#This Row],[Min]],FIND("-",Table15[[#This Row],[Min]])-1),Table1[Content Sku],0),16,1,1,"Entities")),"review","ok"),"ok")</f>
        <v>ok</v>
      </c>
      <c r="AK1118" t="s">
        <v>2741</v>
      </c>
      <c r="AL1118">
        <v>0</v>
      </c>
      <c r="AM1118">
        <v>0</v>
      </c>
      <c r="AN1118" t="s">
        <v>8</v>
      </c>
      <c r="AO1118" s="74" t="str">
        <f ca="1">IF(Table20[[#This Row],[Type]]="KILL",IF(_xlfn.NUMBERVALUE(RIGHT(Table20[[#This Row],[Min]],LEN(Table20[[#This Row],[Min]])-FIND("-",Table20[[#This Row],[Min]])))&gt;INDIRECT(ADDRESS(11+MATCH(LEFT(Table20[[#This Row],[Min]],FIND("-",Table20[[#This Row],[Min]])-1),Table1[Content Sku],0),18,1,1,"Entities")),"review","ok"),"ok")</f>
        <v>ok</v>
      </c>
    </row>
    <row r="1119" spans="5:41" x14ac:dyDescent="0.25">
      <c r="E1119" t="s">
        <v>123</v>
      </c>
      <c r="F1119">
        <v>0</v>
      </c>
      <c r="G1119">
        <v>0</v>
      </c>
      <c r="H1119" t="s">
        <v>8</v>
      </c>
      <c r="I1119" s="74" t="str">
        <f ca="1">IF(Table7[[#This Row],[Type]]="KILL",IF(_xlfn.NUMBERVALUE(RIGHT(Table7[[#This Row],[Min]],LEN(Table7[[#This Row],[Min]])-FIND("-",Table7[[#This Row],[Min]])))&gt;INDIRECT(ADDRESS(11+MATCH(LEFT(Table7[[#This Row],[Min]],FIND("-",Table7[[#This Row],[Min]])-1),Table1[Content Sku],0),16,1,1,"Entities")),"review","ok"),"ok")</f>
        <v>ok</v>
      </c>
      <c r="U1119" t="s">
        <v>123</v>
      </c>
      <c r="V1119">
        <v>0</v>
      </c>
      <c r="W1119">
        <v>0</v>
      </c>
      <c r="X1119" t="s">
        <v>8</v>
      </c>
      <c r="Y1119" s="74" t="str">
        <f ca="1">IF(Table15[[#This Row],[Type]]="KILL",IF(_xlfn.NUMBERVALUE(RIGHT(Table15[[#This Row],[Min]],LEN(Table15[[#This Row],[Min]])-FIND("-",Table15[[#This Row],[Min]])))&gt;INDIRECT(ADDRESS(11+MATCH(LEFT(Table15[[#This Row],[Min]],FIND("-",Table15[[#This Row],[Min]])-1),Table1[Content Sku],0),16,1,1,"Entities")),"review","ok"),"ok")</f>
        <v>ok</v>
      </c>
      <c r="AK1119" t="s">
        <v>41</v>
      </c>
      <c r="AL1119">
        <v>70000</v>
      </c>
      <c r="AM1119">
        <v>0</v>
      </c>
      <c r="AN1119" t="s">
        <v>205</v>
      </c>
      <c r="AO1119" s="74" t="str">
        <f ca="1">IF(Table20[[#This Row],[Type]]="KILL",IF(_xlfn.NUMBERVALUE(RIGHT(Table20[[#This Row],[Min]],LEN(Table20[[#This Row],[Min]])-FIND("-",Table20[[#This Row],[Min]])))&gt;INDIRECT(ADDRESS(11+MATCH(LEFT(Table20[[#This Row],[Min]],FIND("-",Table20[[#This Row],[Min]])-1),Table1[Content Sku],0),18,1,1,"Entities")),"review","ok"),"ok")</f>
        <v>ok</v>
      </c>
    </row>
    <row r="1120" spans="5:41" x14ac:dyDescent="0.25">
      <c r="E1120" t="s">
        <v>123</v>
      </c>
      <c r="F1120">
        <v>0</v>
      </c>
      <c r="G1120">
        <v>0</v>
      </c>
      <c r="H1120" t="s">
        <v>8</v>
      </c>
      <c r="I1120" s="74" t="str">
        <f ca="1">IF(Table7[[#This Row],[Type]]="KILL",IF(_xlfn.NUMBERVALUE(RIGHT(Table7[[#This Row],[Min]],LEN(Table7[[#This Row],[Min]])-FIND("-",Table7[[#This Row],[Min]])))&gt;INDIRECT(ADDRESS(11+MATCH(LEFT(Table7[[#This Row],[Min]],FIND("-",Table7[[#This Row],[Min]])-1),Table1[Content Sku],0),16,1,1,"Entities")),"review","ok"),"ok")</f>
        <v>ok</v>
      </c>
      <c r="U1120" t="s">
        <v>391</v>
      </c>
      <c r="V1120">
        <v>0</v>
      </c>
      <c r="W1120">
        <v>0</v>
      </c>
      <c r="X1120" t="s">
        <v>8</v>
      </c>
      <c r="Y1120" s="74" t="str">
        <f ca="1">IF(Table15[[#This Row],[Type]]="KILL",IF(_xlfn.NUMBERVALUE(RIGHT(Table15[[#This Row],[Min]],LEN(Table15[[#This Row],[Min]])-FIND("-",Table15[[#This Row],[Min]])))&gt;INDIRECT(ADDRESS(11+MATCH(LEFT(Table15[[#This Row],[Min]],FIND("-",Table15[[#This Row],[Min]])-1),Table1[Content Sku],0),16,1,1,"Entities")),"review","ok"),"ok")</f>
        <v>ok</v>
      </c>
      <c r="AK1120" t="s">
        <v>4430</v>
      </c>
      <c r="AL1120">
        <v>0</v>
      </c>
      <c r="AM1120">
        <v>0</v>
      </c>
      <c r="AN1120" t="s">
        <v>8</v>
      </c>
      <c r="AO1120" s="74" t="str">
        <f ca="1">IF(Table20[[#This Row],[Type]]="KILL",IF(_xlfn.NUMBERVALUE(RIGHT(Table20[[#This Row],[Min]],LEN(Table20[[#This Row],[Min]])-FIND("-",Table20[[#This Row],[Min]])))&gt;INDIRECT(ADDRESS(11+MATCH(LEFT(Table20[[#This Row],[Min]],FIND("-",Table20[[#This Row],[Min]])-1),Table1[Content Sku],0),18,1,1,"Entities")),"review","ok"),"ok")</f>
        <v>ok</v>
      </c>
    </row>
    <row r="1121" spans="5:41" x14ac:dyDescent="0.25">
      <c r="E1121" t="s">
        <v>254</v>
      </c>
      <c r="F1121">
        <v>1400</v>
      </c>
      <c r="G1121">
        <v>0</v>
      </c>
      <c r="H1121" t="s">
        <v>205</v>
      </c>
      <c r="I1121" s="74" t="str">
        <f ca="1">IF(Table7[[#This Row],[Type]]="KILL",IF(_xlfn.NUMBERVALUE(RIGHT(Table7[[#This Row],[Min]],LEN(Table7[[#This Row],[Min]])-FIND("-",Table7[[#This Row],[Min]])))&gt;INDIRECT(ADDRESS(11+MATCH(LEFT(Table7[[#This Row],[Min]],FIND("-",Table7[[#This Row],[Min]])-1),Table1[Content Sku],0),16,1,1,"Entities")),"review","ok"),"ok")</f>
        <v>ok</v>
      </c>
      <c r="U1121" t="s">
        <v>36</v>
      </c>
      <c r="V1121">
        <v>17000</v>
      </c>
      <c r="W1121">
        <v>0</v>
      </c>
      <c r="X1121" t="s">
        <v>205</v>
      </c>
      <c r="Y1121" s="74" t="str">
        <f ca="1">IF(Table15[[#This Row],[Type]]="KILL",IF(_xlfn.NUMBERVALUE(RIGHT(Table15[[#This Row],[Min]],LEN(Table15[[#This Row],[Min]])-FIND("-",Table15[[#This Row],[Min]])))&gt;INDIRECT(ADDRESS(11+MATCH(LEFT(Table15[[#This Row],[Min]],FIND("-",Table15[[#This Row],[Min]])-1),Table1[Content Sku],0),16,1,1,"Entities")),"review","ok"),"ok")</f>
        <v>ok</v>
      </c>
      <c r="AK1121" t="s">
        <v>2663</v>
      </c>
      <c r="AL1121">
        <v>0</v>
      </c>
      <c r="AM1121">
        <v>0</v>
      </c>
      <c r="AN1121" t="s">
        <v>8</v>
      </c>
      <c r="AO1121" s="74" t="str">
        <f ca="1">IF(Table20[[#This Row],[Type]]="KILL",IF(_xlfn.NUMBERVALUE(RIGHT(Table20[[#This Row],[Min]],LEN(Table20[[#This Row],[Min]])-FIND("-",Table20[[#This Row],[Min]])))&gt;INDIRECT(ADDRESS(11+MATCH(LEFT(Table20[[#This Row],[Min]],FIND("-",Table20[[#This Row],[Min]])-1),Table1[Content Sku],0),18,1,1,"Entities")),"review","ok"),"ok")</f>
        <v>ok</v>
      </c>
    </row>
    <row r="1122" spans="5:41" x14ac:dyDescent="0.25">
      <c r="E1122" t="s">
        <v>2741</v>
      </c>
      <c r="F1122">
        <v>0</v>
      </c>
      <c r="G1122">
        <v>0</v>
      </c>
      <c r="H1122" t="s">
        <v>8</v>
      </c>
      <c r="I1122" s="74" t="str">
        <f ca="1">IF(Table7[[#This Row],[Type]]="KILL",IF(_xlfn.NUMBERVALUE(RIGHT(Table7[[#This Row],[Min]],LEN(Table7[[#This Row],[Min]])-FIND("-",Table7[[#This Row],[Min]])))&gt;INDIRECT(ADDRESS(11+MATCH(LEFT(Table7[[#This Row],[Min]],FIND("-",Table7[[#This Row],[Min]])-1),Table1[Content Sku],0),16,1,1,"Entities")),"review","ok"),"ok")</f>
        <v>ok</v>
      </c>
      <c r="U1122" t="s">
        <v>37</v>
      </c>
      <c r="V1122">
        <v>0</v>
      </c>
      <c r="W1122">
        <v>0</v>
      </c>
      <c r="X1122" t="s">
        <v>8</v>
      </c>
      <c r="Y1122" s="74" t="str">
        <f ca="1">IF(Table15[[#This Row],[Type]]="KILL",IF(_xlfn.NUMBERVALUE(RIGHT(Table15[[#This Row],[Min]],LEN(Table15[[#This Row],[Min]])-FIND("-",Table15[[#This Row],[Min]])))&gt;INDIRECT(ADDRESS(11+MATCH(LEFT(Table15[[#This Row],[Min]],FIND("-",Table15[[#This Row],[Min]])-1),Table1[Content Sku],0),16,1,1,"Entities")),"review","ok"),"ok")</f>
        <v>ok</v>
      </c>
      <c r="AK1122" t="s">
        <v>313</v>
      </c>
      <c r="AL1122">
        <v>0</v>
      </c>
      <c r="AM1122">
        <v>0</v>
      </c>
      <c r="AN1122" t="s">
        <v>8</v>
      </c>
      <c r="AO1122" s="74" t="str">
        <f ca="1">IF(Table20[[#This Row],[Type]]="KILL",IF(_xlfn.NUMBERVALUE(RIGHT(Table20[[#This Row],[Min]],LEN(Table20[[#This Row],[Min]])-FIND("-",Table20[[#This Row],[Min]])))&gt;INDIRECT(ADDRESS(11+MATCH(LEFT(Table20[[#This Row],[Min]],FIND("-",Table20[[#This Row],[Min]])-1),Table1[Content Sku],0),18,1,1,"Entities")),"review","ok"),"ok")</f>
        <v>ok</v>
      </c>
    </row>
    <row r="1123" spans="5:41" x14ac:dyDescent="0.25">
      <c r="E1123" t="s">
        <v>8149</v>
      </c>
      <c r="F1123">
        <v>0</v>
      </c>
      <c r="G1123">
        <v>0</v>
      </c>
      <c r="H1123" t="s">
        <v>8</v>
      </c>
      <c r="I1123" s="74" t="str">
        <f ca="1">IF(Table7[[#This Row],[Type]]="KILL",IF(_xlfn.NUMBERVALUE(RIGHT(Table7[[#This Row],[Min]],LEN(Table7[[#This Row],[Min]])-FIND("-",Table7[[#This Row],[Min]])))&gt;INDIRECT(ADDRESS(11+MATCH(LEFT(Table7[[#This Row],[Min]],FIND("-",Table7[[#This Row],[Min]])-1),Table1[Content Sku],0),16,1,1,"Entities")),"review","ok"),"ok")</f>
        <v>ok</v>
      </c>
      <c r="U1123" t="s">
        <v>39</v>
      </c>
      <c r="V1123">
        <v>0</v>
      </c>
      <c r="W1123">
        <v>0</v>
      </c>
      <c r="X1123" t="s">
        <v>8</v>
      </c>
      <c r="Y1123" s="74" t="str">
        <f ca="1">IF(Table15[[#This Row],[Type]]="KILL",IF(_xlfn.NUMBERVALUE(RIGHT(Table15[[#This Row],[Min]],LEN(Table15[[#This Row],[Min]])-FIND("-",Table15[[#This Row],[Min]])))&gt;INDIRECT(ADDRESS(11+MATCH(LEFT(Table15[[#This Row],[Min]],FIND("-",Table15[[#This Row],[Min]])-1),Table1[Content Sku],0),16,1,1,"Entities")),"review","ok"),"ok")</f>
        <v>ok</v>
      </c>
      <c r="AK1123" t="s">
        <v>46</v>
      </c>
      <c r="AL1123">
        <v>0</v>
      </c>
      <c r="AM1123">
        <v>0</v>
      </c>
      <c r="AN1123" t="s">
        <v>8</v>
      </c>
      <c r="AO1123" s="74" t="str">
        <f ca="1">IF(Table20[[#This Row],[Type]]="KILL",IF(_xlfn.NUMBERVALUE(RIGHT(Table20[[#This Row],[Min]],LEN(Table20[[#This Row],[Min]])-FIND("-",Table20[[#This Row],[Min]])))&gt;INDIRECT(ADDRESS(11+MATCH(LEFT(Table20[[#This Row],[Min]],FIND("-",Table20[[#This Row],[Min]])-1),Table1[Content Sku],0),18,1,1,"Entities")),"review","ok"),"ok")</f>
        <v>ok</v>
      </c>
    </row>
    <row r="1124" spans="5:41" x14ac:dyDescent="0.25">
      <c r="E1124" t="s">
        <v>47</v>
      </c>
      <c r="F1124">
        <v>0</v>
      </c>
      <c r="G1124">
        <v>0</v>
      </c>
      <c r="H1124" t="s">
        <v>8</v>
      </c>
      <c r="I1124" s="74" t="str">
        <f ca="1">IF(Table7[[#This Row],[Type]]="KILL",IF(_xlfn.NUMBERVALUE(RIGHT(Table7[[#This Row],[Min]],LEN(Table7[[#This Row],[Min]])-FIND("-",Table7[[#This Row],[Min]])))&gt;INDIRECT(ADDRESS(11+MATCH(LEFT(Table7[[#This Row],[Min]],FIND("-",Table7[[#This Row],[Min]])-1),Table1[Content Sku],0),16,1,1,"Entities")),"review","ok"),"ok")</f>
        <v>ok</v>
      </c>
      <c r="U1124" t="s">
        <v>254</v>
      </c>
      <c r="V1124">
        <v>0</v>
      </c>
      <c r="W1124">
        <v>0</v>
      </c>
      <c r="X1124" t="s">
        <v>8</v>
      </c>
      <c r="Y1124" s="74" t="str">
        <f ca="1">IF(Table15[[#This Row],[Type]]="KILL",IF(_xlfn.NUMBERVALUE(RIGHT(Table15[[#This Row],[Min]],LEN(Table15[[#This Row],[Min]])-FIND("-",Table15[[#This Row],[Min]])))&gt;INDIRECT(ADDRESS(11+MATCH(LEFT(Table15[[#This Row],[Min]],FIND("-",Table15[[#This Row],[Min]])-1),Table1[Content Sku],0),16,1,1,"Entities")),"review","ok"),"ok")</f>
        <v>ok</v>
      </c>
      <c r="AK1124" t="s">
        <v>40</v>
      </c>
      <c r="AL1124">
        <v>31000</v>
      </c>
      <c r="AM1124">
        <v>0</v>
      </c>
      <c r="AN1124" t="s">
        <v>205</v>
      </c>
      <c r="AO1124" s="74" t="str">
        <f ca="1">IF(Table20[[#This Row],[Type]]="KILL",IF(_xlfn.NUMBERVALUE(RIGHT(Table20[[#This Row],[Min]],LEN(Table20[[#This Row],[Min]])-FIND("-",Table20[[#This Row],[Min]])))&gt;INDIRECT(ADDRESS(11+MATCH(LEFT(Table20[[#This Row],[Min]],FIND("-",Table20[[#This Row],[Min]])-1),Table1[Content Sku],0),18,1,1,"Entities")),"review","ok"),"ok")</f>
        <v>ok</v>
      </c>
    </row>
    <row r="1125" spans="5:41" x14ac:dyDescent="0.25">
      <c r="E1125" t="s">
        <v>42</v>
      </c>
      <c r="F1125">
        <v>18500</v>
      </c>
      <c r="G1125">
        <v>0</v>
      </c>
      <c r="H1125" t="s">
        <v>205</v>
      </c>
      <c r="I1125" s="74" t="str">
        <f ca="1">IF(Table7[[#This Row],[Type]]="KILL",IF(_xlfn.NUMBERVALUE(RIGHT(Table7[[#This Row],[Min]],LEN(Table7[[#This Row],[Min]])-FIND("-",Table7[[#This Row],[Min]])))&gt;INDIRECT(ADDRESS(11+MATCH(LEFT(Table7[[#This Row],[Min]],FIND("-",Table7[[#This Row],[Min]])-1),Table1[Content Sku],0),16,1,1,"Entities")),"review","ok"),"ok")</f>
        <v>ok</v>
      </c>
      <c r="U1125" t="s">
        <v>1</v>
      </c>
      <c r="V1125">
        <v>35000</v>
      </c>
      <c r="W1125">
        <v>0</v>
      </c>
      <c r="X1125" t="s">
        <v>205</v>
      </c>
      <c r="Y1125" s="74" t="str">
        <f ca="1">IF(Table15[[#This Row],[Type]]="KILL",IF(_xlfn.NUMBERVALUE(RIGHT(Table15[[#This Row],[Min]],LEN(Table15[[#This Row],[Min]])-FIND("-",Table15[[#This Row],[Min]])))&gt;INDIRECT(ADDRESS(11+MATCH(LEFT(Table15[[#This Row],[Min]],FIND("-",Table15[[#This Row],[Min]])-1),Table1[Content Sku],0),16,1,1,"Entities")),"review","ok"),"ok")</f>
        <v>ok</v>
      </c>
      <c r="AK1125" t="s">
        <v>2741</v>
      </c>
      <c r="AL1125">
        <v>0</v>
      </c>
      <c r="AM1125">
        <v>0</v>
      </c>
      <c r="AN1125" t="s">
        <v>8</v>
      </c>
      <c r="AO1125" s="74" t="str">
        <f ca="1">IF(Table20[[#This Row],[Type]]="KILL",IF(_xlfn.NUMBERVALUE(RIGHT(Table20[[#This Row],[Min]],LEN(Table20[[#This Row],[Min]])-FIND("-",Table20[[#This Row],[Min]])))&gt;INDIRECT(ADDRESS(11+MATCH(LEFT(Table20[[#This Row],[Min]],FIND("-",Table20[[#This Row],[Min]])-1),Table1[Content Sku],0),18,1,1,"Entities")),"review","ok"),"ok")</f>
        <v>ok</v>
      </c>
    </row>
    <row r="1126" spans="5:41" x14ac:dyDescent="0.25">
      <c r="E1126" t="s">
        <v>347</v>
      </c>
      <c r="F1126">
        <v>0</v>
      </c>
      <c r="G1126">
        <v>7000</v>
      </c>
      <c r="H1126" t="s">
        <v>205</v>
      </c>
      <c r="I1126" s="74" t="str">
        <f ca="1">IF(Table7[[#This Row],[Type]]="KILL",IF(_xlfn.NUMBERVALUE(RIGHT(Table7[[#This Row],[Min]],LEN(Table7[[#This Row],[Min]])-FIND("-",Table7[[#This Row],[Min]])))&gt;INDIRECT(ADDRESS(11+MATCH(LEFT(Table7[[#This Row],[Min]],FIND("-",Table7[[#This Row],[Min]])-1),Table1[Content Sku],0),16,1,1,"Entities")),"review","ok"),"ok")</f>
        <v>ok</v>
      </c>
      <c r="U1126" t="s">
        <v>313</v>
      </c>
      <c r="V1126">
        <v>0</v>
      </c>
      <c r="W1126">
        <v>0</v>
      </c>
      <c r="X1126" t="s">
        <v>8</v>
      </c>
      <c r="Y1126" s="74" t="str">
        <f ca="1">IF(Table15[[#This Row],[Type]]="KILL",IF(_xlfn.NUMBERVALUE(RIGHT(Table15[[#This Row],[Min]],LEN(Table15[[#This Row],[Min]])-FIND("-",Table15[[#This Row],[Min]])))&gt;INDIRECT(ADDRESS(11+MATCH(LEFT(Table15[[#This Row],[Min]],FIND("-",Table15[[#This Row],[Min]])-1),Table1[Content Sku],0),16,1,1,"Entities")),"review","ok"),"ok")</f>
        <v>ok</v>
      </c>
      <c r="AK1126" t="s">
        <v>37</v>
      </c>
      <c r="AL1126">
        <v>0</v>
      </c>
      <c r="AM1126">
        <v>0</v>
      </c>
      <c r="AN1126" t="s">
        <v>8</v>
      </c>
      <c r="AO1126" s="74" t="str">
        <f ca="1">IF(Table20[[#This Row],[Type]]="KILL",IF(_xlfn.NUMBERVALUE(RIGHT(Table20[[#This Row],[Min]],LEN(Table20[[#This Row],[Min]])-FIND("-",Table20[[#This Row],[Min]])))&gt;INDIRECT(ADDRESS(11+MATCH(LEFT(Table20[[#This Row],[Min]],FIND("-",Table20[[#This Row],[Min]])-1),Table1[Content Sku],0),18,1,1,"Entities")),"review","ok"),"ok")</f>
        <v>ok</v>
      </c>
    </row>
    <row r="1127" spans="5:41" x14ac:dyDescent="0.25">
      <c r="E1127" t="s">
        <v>8133</v>
      </c>
      <c r="F1127">
        <v>0</v>
      </c>
      <c r="G1127">
        <v>0</v>
      </c>
      <c r="H1127" t="s">
        <v>8</v>
      </c>
      <c r="I1127" s="74" t="str">
        <f ca="1">IF(Table7[[#This Row],[Type]]="KILL",IF(_xlfn.NUMBERVALUE(RIGHT(Table7[[#This Row],[Min]],LEN(Table7[[#This Row],[Min]])-FIND("-",Table7[[#This Row],[Min]])))&gt;INDIRECT(ADDRESS(11+MATCH(LEFT(Table7[[#This Row],[Min]],FIND("-",Table7[[#This Row],[Min]])-1),Table1[Content Sku],0),16,1,1,"Entities")),"review","ok"),"ok")</f>
        <v>ok</v>
      </c>
      <c r="U1127" t="s">
        <v>391</v>
      </c>
      <c r="V1127">
        <v>0</v>
      </c>
      <c r="W1127">
        <v>0</v>
      </c>
      <c r="X1127" t="s">
        <v>8</v>
      </c>
      <c r="Y1127" s="74" t="str">
        <f ca="1">IF(Table15[[#This Row],[Type]]="KILL",IF(_xlfn.NUMBERVALUE(RIGHT(Table15[[#This Row],[Min]],LEN(Table15[[#This Row],[Min]])-FIND("-",Table15[[#This Row],[Min]])))&gt;INDIRECT(ADDRESS(11+MATCH(LEFT(Table15[[#This Row],[Min]],FIND("-",Table15[[#This Row],[Min]])-1),Table1[Content Sku],0),16,1,1,"Entities")),"review","ok"),"ok")</f>
        <v>ok</v>
      </c>
      <c r="AK1127" t="s">
        <v>313</v>
      </c>
      <c r="AL1127">
        <v>0</v>
      </c>
      <c r="AM1127">
        <v>0</v>
      </c>
      <c r="AN1127" t="s">
        <v>8</v>
      </c>
      <c r="AO1127" s="74" t="str">
        <f ca="1">IF(Table20[[#This Row],[Type]]="KILL",IF(_xlfn.NUMBERVALUE(RIGHT(Table20[[#This Row],[Min]],LEN(Table20[[#This Row],[Min]])-FIND("-",Table20[[#This Row],[Min]])))&gt;INDIRECT(ADDRESS(11+MATCH(LEFT(Table20[[#This Row],[Min]],FIND("-",Table20[[#This Row],[Min]])-1),Table1[Content Sku],0),18,1,1,"Entities")),"review","ok"),"ok")</f>
        <v>ok</v>
      </c>
    </row>
    <row r="1128" spans="5:41" x14ac:dyDescent="0.25">
      <c r="E1128" t="s">
        <v>90</v>
      </c>
      <c r="F1128">
        <v>0</v>
      </c>
      <c r="G1128">
        <v>20000</v>
      </c>
      <c r="H1128" t="s">
        <v>205</v>
      </c>
      <c r="I1128" s="74" t="str">
        <f ca="1">IF(Table7[[#This Row],[Type]]="KILL",IF(_xlfn.NUMBERVALUE(RIGHT(Table7[[#This Row],[Min]],LEN(Table7[[#This Row],[Min]])-FIND("-",Table7[[#This Row],[Min]])))&gt;INDIRECT(ADDRESS(11+MATCH(LEFT(Table7[[#This Row],[Min]],FIND("-",Table7[[#This Row],[Min]])-1),Table1[Content Sku],0),16,1,1,"Entities")),"review","ok"),"ok")</f>
        <v>ok</v>
      </c>
      <c r="U1128" t="s">
        <v>95</v>
      </c>
      <c r="V1128">
        <v>0</v>
      </c>
      <c r="W1128">
        <v>35000</v>
      </c>
      <c r="X1128" t="s">
        <v>205</v>
      </c>
      <c r="Y1128" s="74" t="str">
        <f ca="1">IF(Table15[[#This Row],[Type]]="KILL",IF(_xlfn.NUMBERVALUE(RIGHT(Table15[[#This Row],[Min]],LEN(Table15[[#This Row],[Min]])-FIND("-",Table15[[#This Row],[Min]])))&gt;INDIRECT(ADDRESS(11+MATCH(LEFT(Table15[[#This Row],[Min]],FIND("-",Table15[[#This Row],[Min]])-1),Table1[Content Sku],0),16,1,1,"Entities")),"review","ok"),"ok")</f>
        <v>ok</v>
      </c>
      <c r="AK1128" t="s">
        <v>2767</v>
      </c>
      <c r="AL1128">
        <v>0</v>
      </c>
      <c r="AM1128">
        <v>0</v>
      </c>
      <c r="AN1128" t="s">
        <v>8</v>
      </c>
      <c r="AO1128" s="74" t="str">
        <f ca="1">IF(Table20[[#This Row],[Type]]="KILL",IF(_xlfn.NUMBERVALUE(RIGHT(Table20[[#This Row],[Min]],LEN(Table20[[#This Row],[Min]])-FIND("-",Table20[[#This Row],[Min]])))&gt;INDIRECT(ADDRESS(11+MATCH(LEFT(Table20[[#This Row],[Min]],FIND("-",Table20[[#This Row],[Min]])-1),Table1[Content Sku],0),18,1,1,"Entities")),"review","ok"),"ok")</f>
        <v>ok</v>
      </c>
    </row>
    <row r="1129" spans="5:41" x14ac:dyDescent="0.25">
      <c r="E1129" t="s">
        <v>8133</v>
      </c>
      <c r="F1129">
        <v>0</v>
      </c>
      <c r="G1129">
        <v>0</v>
      </c>
      <c r="H1129" t="s">
        <v>8</v>
      </c>
      <c r="I1129" s="74" t="str">
        <f ca="1">IF(Table7[[#This Row],[Type]]="KILL",IF(_xlfn.NUMBERVALUE(RIGHT(Table7[[#This Row],[Min]],LEN(Table7[[#This Row],[Min]])-FIND("-",Table7[[#This Row],[Min]])))&gt;INDIRECT(ADDRESS(11+MATCH(LEFT(Table7[[#This Row],[Min]],FIND("-",Table7[[#This Row],[Min]])-1),Table1[Content Sku],0),16,1,1,"Entities")),"review","ok"),"ok")</f>
        <v>ok</v>
      </c>
      <c r="U1129" t="s">
        <v>95</v>
      </c>
      <c r="V1129">
        <v>0</v>
      </c>
      <c r="W1129">
        <v>0</v>
      </c>
      <c r="X1129" t="s">
        <v>8</v>
      </c>
      <c r="Y1129" s="74" t="str">
        <f ca="1">IF(Table15[[#This Row],[Type]]="KILL",IF(_xlfn.NUMBERVALUE(RIGHT(Table15[[#This Row],[Min]],LEN(Table15[[#This Row],[Min]])-FIND("-",Table15[[#This Row],[Min]])))&gt;INDIRECT(ADDRESS(11+MATCH(LEFT(Table15[[#This Row],[Min]],FIND("-",Table15[[#This Row],[Min]])-1),Table1[Content Sku],0),16,1,1,"Entities")),"review","ok"),"ok")</f>
        <v>ok</v>
      </c>
      <c r="AK1129" t="s">
        <v>4428</v>
      </c>
      <c r="AL1129">
        <v>0</v>
      </c>
      <c r="AM1129">
        <v>0</v>
      </c>
      <c r="AN1129" t="s">
        <v>8</v>
      </c>
      <c r="AO1129" s="74" t="str">
        <f ca="1">IF(Table20[[#This Row],[Type]]="KILL",IF(_xlfn.NUMBERVALUE(RIGHT(Table20[[#This Row],[Min]],LEN(Table20[[#This Row],[Min]])-FIND("-",Table20[[#This Row],[Min]])))&gt;INDIRECT(ADDRESS(11+MATCH(LEFT(Table20[[#This Row],[Min]],FIND("-",Table20[[#This Row],[Min]])-1),Table1[Content Sku],0),18,1,1,"Entities")),"review","ok"),"ok")</f>
        <v>ok</v>
      </c>
    </row>
    <row r="1130" spans="5:41" x14ac:dyDescent="0.25">
      <c r="E1130" t="s">
        <v>90</v>
      </c>
      <c r="F1130">
        <v>0</v>
      </c>
      <c r="G1130">
        <v>0</v>
      </c>
      <c r="H1130" t="s">
        <v>8</v>
      </c>
      <c r="I1130" s="74" t="str">
        <f ca="1">IF(Table7[[#This Row],[Type]]="KILL",IF(_xlfn.NUMBERVALUE(RIGHT(Table7[[#This Row],[Min]],LEN(Table7[[#This Row],[Min]])-FIND("-",Table7[[#This Row],[Min]])))&gt;INDIRECT(ADDRESS(11+MATCH(LEFT(Table7[[#This Row],[Min]],FIND("-",Table7[[#This Row],[Min]])-1),Table1[Content Sku],0),16,1,1,"Entities")),"review","ok"),"ok")</f>
        <v>ok</v>
      </c>
      <c r="U1130" t="s">
        <v>37</v>
      </c>
      <c r="V1130">
        <v>0</v>
      </c>
      <c r="W1130">
        <v>0</v>
      </c>
      <c r="X1130" t="s">
        <v>8</v>
      </c>
      <c r="Y1130" s="74" t="str">
        <f ca="1">IF(Table15[[#This Row],[Type]]="KILL",IF(_xlfn.NUMBERVALUE(RIGHT(Table15[[#This Row],[Min]],LEN(Table15[[#This Row],[Min]])-FIND("-",Table15[[#This Row],[Min]])))&gt;INDIRECT(ADDRESS(11+MATCH(LEFT(Table15[[#This Row],[Min]],FIND("-",Table15[[#This Row],[Min]])-1),Table1[Content Sku],0),16,1,1,"Entities")),"review","ok"),"ok")</f>
        <v>ok</v>
      </c>
      <c r="AK1130" t="s">
        <v>2741</v>
      </c>
      <c r="AL1130">
        <v>0</v>
      </c>
      <c r="AM1130">
        <v>0</v>
      </c>
      <c r="AN1130" t="s">
        <v>8</v>
      </c>
      <c r="AO1130" s="74" t="str">
        <f ca="1">IF(Table20[[#This Row],[Type]]="KILL",IF(_xlfn.NUMBERVALUE(RIGHT(Table20[[#This Row],[Min]],LEN(Table20[[#This Row],[Min]])-FIND("-",Table20[[#This Row],[Min]])))&gt;INDIRECT(ADDRESS(11+MATCH(LEFT(Table20[[#This Row],[Min]],FIND("-",Table20[[#This Row],[Min]])-1),Table1[Content Sku],0),18,1,1,"Entities")),"review","ok"),"ok")</f>
        <v>ok</v>
      </c>
    </row>
    <row r="1131" spans="5:41" x14ac:dyDescent="0.25">
      <c r="E1131" t="s">
        <v>400</v>
      </c>
      <c r="F1131">
        <v>0</v>
      </c>
      <c r="G1131">
        <v>0</v>
      </c>
      <c r="H1131" t="s">
        <v>8</v>
      </c>
      <c r="I1131" s="74" t="str">
        <f ca="1">IF(Table7[[#This Row],[Type]]="KILL",IF(_xlfn.NUMBERVALUE(RIGHT(Table7[[#This Row],[Min]],LEN(Table7[[#This Row],[Min]])-FIND("-",Table7[[#This Row],[Min]])))&gt;INDIRECT(ADDRESS(11+MATCH(LEFT(Table7[[#This Row],[Min]],FIND("-",Table7[[#This Row],[Min]])-1),Table1[Content Sku],0),16,1,1,"Entities")),"review","ok"),"ok")</f>
        <v>ok</v>
      </c>
      <c r="U1131" t="s">
        <v>311</v>
      </c>
      <c r="V1131">
        <v>0</v>
      </c>
      <c r="W1131">
        <v>0</v>
      </c>
      <c r="X1131" t="s">
        <v>8</v>
      </c>
      <c r="Y1131" s="74" t="str">
        <f ca="1">IF(Table15[[#This Row],[Type]]="KILL",IF(_xlfn.NUMBERVALUE(RIGHT(Table15[[#This Row],[Min]],LEN(Table15[[#This Row],[Min]])-FIND("-",Table15[[#This Row],[Min]])))&gt;INDIRECT(ADDRESS(11+MATCH(LEFT(Table15[[#This Row],[Min]],FIND("-",Table15[[#This Row],[Min]])-1),Table1[Content Sku],0),16,1,1,"Entities")),"review","ok"),"ok")</f>
        <v>ok</v>
      </c>
      <c r="AK1131" t="s">
        <v>2664</v>
      </c>
      <c r="AL1131">
        <v>0</v>
      </c>
      <c r="AM1131">
        <v>0</v>
      </c>
      <c r="AN1131" t="s">
        <v>8</v>
      </c>
      <c r="AO1131" s="74" t="str">
        <f ca="1">IF(Table20[[#This Row],[Type]]="KILL",IF(_xlfn.NUMBERVALUE(RIGHT(Table20[[#This Row],[Min]],LEN(Table20[[#This Row],[Min]])-FIND("-",Table20[[#This Row],[Min]])))&gt;INDIRECT(ADDRESS(11+MATCH(LEFT(Table20[[#This Row],[Min]],FIND("-",Table20[[#This Row],[Min]])-1),Table1[Content Sku],0),18,1,1,"Entities")),"review","ok"),"ok")</f>
        <v>ok</v>
      </c>
    </row>
    <row r="1132" spans="5:41" x14ac:dyDescent="0.25">
      <c r="E1132" t="s">
        <v>313</v>
      </c>
      <c r="F1132">
        <v>0</v>
      </c>
      <c r="G1132">
        <v>0</v>
      </c>
      <c r="H1132" t="s">
        <v>8</v>
      </c>
      <c r="I1132" s="74" t="str">
        <f ca="1">IF(Table7[[#This Row],[Type]]="KILL",IF(_xlfn.NUMBERVALUE(RIGHT(Table7[[#This Row],[Min]],LEN(Table7[[#This Row],[Min]])-FIND("-",Table7[[#This Row],[Min]])))&gt;INDIRECT(ADDRESS(11+MATCH(LEFT(Table7[[#This Row],[Min]],FIND("-",Table7[[#This Row],[Min]])-1),Table1[Content Sku],0),16,1,1,"Entities")),"review","ok"),"ok")</f>
        <v>ok</v>
      </c>
      <c r="U1132" t="s">
        <v>44</v>
      </c>
      <c r="V1132">
        <v>30000</v>
      </c>
      <c r="W1132">
        <v>0</v>
      </c>
      <c r="X1132" t="s">
        <v>205</v>
      </c>
      <c r="Y1132" s="74" t="str">
        <f ca="1">IF(Table15[[#This Row],[Type]]="KILL",IF(_xlfn.NUMBERVALUE(RIGHT(Table15[[#This Row],[Min]],LEN(Table15[[#This Row],[Min]])-FIND("-",Table15[[#This Row],[Min]])))&gt;INDIRECT(ADDRESS(11+MATCH(LEFT(Table15[[#This Row],[Min]],FIND("-",Table15[[#This Row],[Min]])-1),Table1[Content Sku],0),16,1,1,"Entities")),"review","ok"),"ok")</f>
        <v>ok</v>
      </c>
      <c r="AK1132" t="s">
        <v>578</v>
      </c>
      <c r="AL1132">
        <v>0</v>
      </c>
      <c r="AM1132">
        <v>0</v>
      </c>
      <c r="AN1132" t="s">
        <v>8</v>
      </c>
      <c r="AO1132" s="74" t="str">
        <f ca="1">IF(Table20[[#This Row],[Type]]="KILL",IF(_xlfn.NUMBERVALUE(RIGHT(Table20[[#This Row],[Min]],LEN(Table20[[#This Row],[Min]])-FIND("-",Table20[[#This Row],[Min]])))&gt;INDIRECT(ADDRESS(11+MATCH(LEFT(Table20[[#This Row],[Min]],FIND("-",Table20[[#This Row],[Min]])-1),Table1[Content Sku],0),18,1,1,"Entities")),"review","ok"),"ok")</f>
        <v>ok</v>
      </c>
    </row>
    <row r="1133" spans="5:41" x14ac:dyDescent="0.25">
      <c r="E1133" t="s">
        <v>2732</v>
      </c>
      <c r="F1133">
        <v>0</v>
      </c>
      <c r="G1133">
        <v>0</v>
      </c>
      <c r="H1133" t="s">
        <v>8</v>
      </c>
      <c r="I1133" s="74" t="str">
        <f ca="1">IF(Table7[[#This Row],[Type]]="KILL",IF(_xlfn.NUMBERVALUE(RIGHT(Table7[[#This Row],[Min]],LEN(Table7[[#This Row],[Min]])-FIND("-",Table7[[#This Row],[Min]])))&gt;INDIRECT(ADDRESS(11+MATCH(LEFT(Table7[[#This Row],[Min]],FIND("-",Table7[[#This Row],[Min]])-1),Table1[Content Sku],0),16,1,1,"Entities")),"review","ok"),"ok")</f>
        <v>ok</v>
      </c>
      <c r="U1133" t="s">
        <v>1</v>
      </c>
      <c r="V1133">
        <v>0</v>
      </c>
      <c r="W1133">
        <v>0</v>
      </c>
      <c r="X1133" t="s">
        <v>8</v>
      </c>
      <c r="Y1133" s="74" t="str">
        <f ca="1">IF(Table15[[#This Row],[Type]]="KILL",IF(_xlfn.NUMBERVALUE(RIGHT(Table15[[#This Row],[Min]],LEN(Table15[[#This Row],[Min]])-FIND("-",Table15[[#This Row],[Min]])))&gt;INDIRECT(ADDRESS(11+MATCH(LEFT(Table15[[#This Row],[Min]],FIND("-",Table15[[#This Row],[Min]])-1),Table1[Content Sku],0),16,1,1,"Entities")),"review","ok"),"ok")</f>
        <v>ok</v>
      </c>
      <c r="AK1133" t="s">
        <v>2663</v>
      </c>
      <c r="AL1133">
        <v>0</v>
      </c>
      <c r="AM1133">
        <v>0</v>
      </c>
      <c r="AN1133" t="s">
        <v>8</v>
      </c>
      <c r="AO1133" s="74" t="str">
        <f ca="1">IF(Table20[[#This Row],[Type]]="KILL",IF(_xlfn.NUMBERVALUE(RIGHT(Table20[[#This Row],[Min]],LEN(Table20[[#This Row],[Min]])-FIND("-",Table20[[#This Row],[Min]])))&gt;INDIRECT(ADDRESS(11+MATCH(LEFT(Table20[[#This Row],[Min]],FIND("-",Table20[[#This Row],[Min]])-1),Table1[Content Sku],0),18,1,1,"Entities")),"review","ok"),"ok")</f>
        <v>ok</v>
      </c>
    </row>
    <row r="1134" spans="5:41" x14ac:dyDescent="0.25">
      <c r="E1134" t="s">
        <v>95</v>
      </c>
      <c r="F1134">
        <v>0</v>
      </c>
      <c r="G1134">
        <v>0</v>
      </c>
      <c r="H1134" t="s">
        <v>8</v>
      </c>
      <c r="I1134" s="74" t="str">
        <f ca="1">IF(Table7[[#This Row],[Type]]="KILL",IF(_xlfn.NUMBERVALUE(RIGHT(Table7[[#This Row],[Min]],LEN(Table7[[#This Row],[Min]])-FIND("-",Table7[[#This Row],[Min]])))&gt;INDIRECT(ADDRESS(11+MATCH(LEFT(Table7[[#This Row],[Min]],FIND("-",Table7[[#This Row],[Min]])-1),Table1[Content Sku],0),16,1,1,"Entities")),"review","ok"),"ok")</f>
        <v>ok</v>
      </c>
      <c r="U1134" t="s">
        <v>286</v>
      </c>
      <c r="V1134">
        <v>0</v>
      </c>
      <c r="W1134">
        <v>0</v>
      </c>
      <c r="X1134" t="s">
        <v>8</v>
      </c>
      <c r="Y1134" s="74" t="str">
        <f ca="1">IF(Table15[[#This Row],[Type]]="KILL",IF(_xlfn.NUMBERVALUE(RIGHT(Table15[[#This Row],[Min]],LEN(Table15[[#This Row],[Min]])-FIND("-",Table15[[#This Row],[Min]])))&gt;INDIRECT(ADDRESS(11+MATCH(LEFT(Table15[[#This Row],[Min]],FIND("-",Table15[[#This Row],[Min]])-1),Table1[Content Sku],0),16,1,1,"Entities")),"review","ok"),"ok")</f>
        <v>ok</v>
      </c>
      <c r="AK1134" t="s">
        <v>95</v>
      </c>
      <c r="AL1134">
        <v>0</v>
      </c>
      <c r="AM1134">
        <v>0</v>
      </c>
      <c r="AN1134" t="s">
        <v>8</v>
      </c>
      <c r="AO1134" s="74" t="str">
        <f ca="1">IF(Table20[[#This Row],[Type]]="KILL",IF(_xlfn.NUMBERVALUE(RIGHT(Table20[[#This Row],[Min]],LEN(Table20[[#This Row],[Min]])-FIND("-",Table20[[#This Row],[Min]])))&gt;INDIRECT(ADDRESS(11+MATCH(LEFT(Table20[[#This Row],[Min]],FIND("-",Table20[[#This Row],[Min]])-1),Table1[Content Sku],0),18,1,1,"Entities")),"review","ok"),"ok")</f>
        <v>ok</v>
      </c>
    </row>
    <row r="1135" spans="5:41" x14ac:dyDescent="0.25">
      <c r="E1135" t="s">
        <v>422</v>
      </c>
      <c r="F1135">
        <v>30</v>
      </c>
      <c r="G1135">
        <v>0</v>
      </c>
      <c r="H1135" t="s">
        <v>4431</v>
      </c>
      <c r="I1135" s="74" t="str">
        <f ca="1">IF(Table7[[#This Row],[Type]]="KILL",IF(_xlfn.NUMBERVALUE(RIGHT(Table7[[#This Row],[Min]],LEN(Table7[[#This Row],[Min]])-FIND("-",Table7[[#This Row],[Min]])))&gt;INDIRECT(ADDRESS(11+MATCH(LEFT(Table7[[#This Row],[Min]],FIND("-",Table7[[#This Row],[Min]])-1),Table1[Content Sku],0),16,1,1,"Entities")),"review","ok"),"ok")</f>
        <v>ok</v>
      </c>
      <c r="U1135" t="s">
        <v>313</v>
      </c>
      <c r="V1135">
        <v>0</v>
      </c>
      <c r="W1135">
        <v>0</v>
      </c>
      <c r="X1135" t="s">
        <v>8</v>
      </c>
      <c r="Y1135" s="74" t="str">
        <f ca="1">IF(Table15[[#This Row],[Type]]="KILL",IF(_xlfn.NUMBERVALUE(RIGHT(Table15[[#This Row],[Min]],LEN(Table15[[#This Row],[Min]])-FIND("-",Table15[[#This Row],[Min]])))&gt;INDIRECT(ADDRESS(11+MATCH(LEFT(Table15[[#This Row],[Min]],FIND("-",Table15[[#This Row],[Min]])-1),Table1[Content Sku],0),16,1,1,"Entities")),"review","ok"),"ok")</f>
        <v>ok</v>
      </c>
      <c r="AK1135" t="s">
        <v>51</v>
      </c>
      <c r="AL1135">
        <v>38000</v>
      </c>
      <c r="AM1135">
        <v>0</v>
      </c>
      <c r="AN1135" t="s">
        <v>205</v>
      </c>
      <c r="AO1135" s="74" t="str">
        <f ca="1">IF(Table20[[#This Row],[Type]]="KILL",IF(_xlfn.NUMBERVALUE(RIGHT(Table20[[#This Row],[Min]],LEN(Table20[[#This Row],[Min]])-FIND("-",Table20[[#This Row],[Min]])))&gt;INDIRECT(ADDRESS(11+MATCH(LEFT(Table20[[#This Row],[Min]],FIND("-",Table20[[#This Row],[Min]])-1),Table1[Content Sku],0),18,1,1,"Entities")),"review","ok"),"ok")</f>
        <v>ok</v>
      </c>
    </row>
    <row r="1136" spans="5:41" x14ac:dyDescent="0.25">
      <c r="E1136" t="s">
        <v>295</v>
      </c>
      <c r="F1136">
        <v>0</v>
      </c>
      <c r="G1136">
        <v>16000</v>
      </c>
      <c r="H1136" t="s">
        <v>205</v>
      </c>
      <c r="I1136" s="74" t="str">
        <f ca="1">IF(Table7[[#This Row],[Type]]="KILL",IF(_xlfn.NUMBERVALUE(RIGHT(Table7[[#This Row],[Min]],LEN(Table7[[#This Row],[Min]])-FIND("-",Table7[[#This Row],[Min]])))&gt;INDIRECT(ADDRESS(11+MATCH(LEFT(Table7[[#This Row],[Min]],FIND("-",Table7[[#This Row],[Min]])-1),Table1[Content Sku],0),16,1,1,"Entities")),"review","ok"),"ok")</f>
        <v>ok</v>
      </c>
      <c r="U1136" t="s">
        <v>254</v>
      </c>
      <c r="V1136">
        <v>0</v>
      </c>
      <c r="W1136">
        <v>0</v>
      </c>
      <c r="X1136" t="s">
        <v>8</v>
      </c>
      <c r="Y1136" s="74" t="str">
        <f ca="1">IF(Table15[[#This Row],[Type]]="KILL",IF(_xlfn.NUMBERVALUE(RIGHT(Table15[[#This Row],[Min]],LEN(Table15[[#This Row],[Min]])-FIND("-",Table15[[#This Row],[Min]])))&gt;INDIRECT(ADDRESS(11+MATCH(LEFT(Table15[[#This Row],[Min]],FIND("-",Table15[[#This Row],[Min]])-1),Table1[Content Sku],0),16,1,1,"Entities")),"review","ok"),"ok")</f>
        <v>ok</v>
      </c>
      <c r="AK1136" t="s">
        <v>46</v>
      </c>
      <c r="AL1136">
        <v>0</v>
      </c>
      <c r="AM1136">
        <v>0</v>
      </c>
      <c r="AN1136" t="s">
        <v>8</v>
      </c>
      <c r="AO1136" s="74" t="str">
        <f ca="1">IF(Table20[[#This Row],[Type]]="KILL",IF(_xlfn.NUMBERVALUE(RIGHT(Table20[[#This Row],[Min]],LEN(Table20[[#This Row],[Min]])-FIND("-",Table20[[#This Row],[Min]])))&gt;INDIRECT(ADDRESS(11+MATCH(LEFT(Table20[[#This Row],[Min]],FIND("-",Table20[[#This Row],[Min]])-1),Table1[Content Sku],0),18,1,1,"Entities")),"review","ok"),"ok")</f>
        <v>ok</v>
      </c>
    </row>
    <row r="1137" spans="5:41" x14ac:dyDescent="0.25">
      <c r="E1137" t="s">
        <v>318</v>
      </c>
      <c r="F1137">
        <v>0</v>
      </c>
      <c r="G1137">
        <v>0</v>
      </c>
      <c r="H1137" t="s">
        <v>8</v>
      </c>
      <c r="I1137" s="74" t="str">
        <f ca="1">IF(Table7[[#This Row],[Type]]="KILL",IF(_xlfn.NUMBERVALUE(RIGHT(Table7[[#This Row],[Min]],LEN(Table7[[#This Row],[Min]])-FIND("-",Table7[[#This Row],[Min]])))&gt;INDIRECT(ADDRESS(11+MATCH(LEFT(Table7[[#This Row],[Min]],FIND("-",Table7[[#This Row],[Min]])-1),Table1[Content Sku],0),16,1,1,"Entities")),"review","ok"),"ok")</f>
        <v>ok</v>
      </c>
      <c r="U1137" t="s">
        <v>545</v>
      </c>
      <c r="V1137">
        <v>0</v>
      </c>
      <c r="W1137">
        <v>0</v>
      </c>
      <c r="X1137" t="s">
        <v>8</v>
      </c>
      <c r="Y1137" s="74" t="str">
        <f ca="1">IF(Table15[[#This Row],[Type]]="KILL",IF(_xlfn.NUMBERVALUE(RIGHT(Table15[[#This Row],[Min]],LEN(Table15[[#This Row],[Min]])-FIND("-",Table15[[#This Row],[Min]])))&gt;INDIRECT(ADDRESS(11+MATCH(LEFT(Table15[[#This Row],[Min]],FIND("-",Table15[[#This Row],[Min]])-1),Table1[Content Sku],0),16,1,1,"Entities")),"review","ok"),"ok")</f>
        <v>ok</v>
      </c>
      <c r="AK1137" t="s">
        <v>258</v>
      </c>
      <c r="AL1137">
        <v>46000</v>
      </c>
      <c r="AM1137">
        <v>0</v>
      </c>
      <c r="AN1137" t="s">
        <v>205</v>
      </c>
      <c r="AO1137" s="74" t="str">
        <f ca="1">IF(Table20[[#This Row],[Type]]="KILL",IF(_xlfn.NUMBERVALUE(RIGHT(Table20[[#This Row],[Min]],LEN(Table20[[#This Row],[Min]])-FIND("-",Table20[[#This Row],[Min]])))&gt;INDIRECT(ADDRESS(11+MATCH(LEFT(Table20[[#This Row],[Min]],FIND("-",Table20[[#This Row],[Min]])-1),Table1[Content Sku],0),18,1,1,"Entities")),"review","ok"),"ok")</f>
        <v>ok</v>
      </c>
    </row>
    <row r="1138" spans="5:41" x14ac:dyDescent="0.25">
      <c r="E1138" t="s">
        <v>318</v>
      </c>
      <c r="F1138">
        <v>4000</v>
      </c>
      <c r="G1138">
        <v>0</v>
      </c>
      <c r="H1138" t="s">
        <v>205</v>
      </c>
      <c r="I1138" s="74" t="str">
        <f ca="1">IF(Table7[[#This Row],[Type]]="KILL",IF(_xlfn.NUMBERVALUE(RIGHT(Table7[[#This Row],[Min]],LEN(Table7[[#This Row],[Min]])-FIND("-",Table7[[#This Row],[Min]])))&gt;INDIRECT(ADDRESS(11+MATCH(LEFT(Table7[[#This Row],[Min]],FIND("-",Table7[[#This Row],[Min]])-1),Table1[Content Sku],0),16,1,1,"Entities")),"review","ok"),"ok")</f>
        <v>ok</v>
      </c>
      <c r="U1138" t="s">
        <v>400</v>
      </c>
      <c r="V1138">
        <v>10000</v>
      </c>
      <c r="W1138">
        <v>0</v>
      </c>
      <c r="X1138" t="s">
        <v>205</v>
      </c>
      <c r="Y1138" s="74" t="str">
        <f ca="1">IF(Table15[[#This Row],[Type]]="KILL",IF(_xlfn.NUMBERVALUE(RIGHT(Table15[[#This Row],[Min]],LEN(Table15[[#This Row],[Min]])-FIND("-",Table15[[#This Row],[Min]])))&gt;INDIRECT(ADDRESS(11+MATCH(LEFT(Table15[[#This Row],[Min]],FIND("-",Table15[[#This Row],[Min]])-1),Table1[Content Sku],0),16,1,1,"Entities")),"review","ok"),"ok")</f>
        <v>ok</v>
      </c>
      <c r="AK1138" t="s">
        <v>122</v>
      </c>
      <c r="AL1138">
        <v>0</v>
      </c>
      <c r="AM1138">
        <v>0</v>
      </c>
      <c r="AN1138" t="s">
        <v>8</v>
      </c>
      <c r="AO1138" s="74" t="str">
        <f ca="1">IF(Table20[[#This Row],[Type]]="KILL",IF(_xlfn.NUMBERVALUE(RIGHT(Table20[[#This Row],[Min]],LEN(Table20[[#This Row],[Min]])-FIND("-",Table20[[#This Row],[Min]])))&gt;INDIRECT(ADDRESS(11+MATCH(LEFT(Table20[[#This Row],[Min]],FIND("-",Table20[[#This Row],[Min]])-1),Table1[Content Sku],0),18,1,1,"Entities")),"review","ok"),"ok")</f>
        <v>ok</v>
      </c>
    </row>
    <row r="1139" spans="5:41" x14ac:dyDescent="0.25">
      <c r="E1139" t="s">
        <v>8104</v>
      </c>
      <c r="F1139">
        <v>0</v>
      </c>
      <c r="G1139">
        <v>0</v>
      </c>
      <c r="H1139" t="s">
        <v>8</v>
      </c>
      <c r="I1139" s="74" t="str">
        <f ca="1">IF(Table7[[#This Row],[Type]]="KILL",IF(_xlfn.NUMBERVALUE(RIGHT(Table7[[#This Row],[Min]],LEN(Table7[[#This Row],[Min]])-FIND("-",Table7[[#This Row],[Min]])))&gt;INDIRECT(ADDRESS(11+MATCH(LEFT(Table7[[#This Row],[Min]],FIND("-",Table7[[#This Row],[Min]])-1),Table1[Content Sku],0),16,1,1,"Entities")),"review","ok"),"ok")</f>
        <v>ok</v>
      </c>
      <c r="U1139" t="s">
        <v>289</v>
      </c>
      <c r="V1139">
        <v>0</v>
      </c>
      <c r="W1139">
        <v>0</v>
      </c>
      <c r="X1139" t="s">
        <v>8</v>
      </c>
      <c r="Y1139" s="74" t="str">
        <f ca="1">IF(Table15[[#This Row],[Type]]="KILL",IF(_xlfn.NUMBERVALUE(RIGHT(Table15[[#This Row],[Min]],LEN(Table15[[#This Row],[Min]])-FIND("-",Table15[[#This Row],[Min]])))&gt;INDIRECT(ADDRESS(11+MATCH(LEFT(Table15[[#This Row],[Min]],FIND("-",Table15[[#This Row],[Min]])-1),Table1[Content Sku],0),16,1,1,"Entities")),"review","ok"),"ok")</f>
        <v>ok</v>
      </c>
      <c r="AK1139" t="s">
        <v>2767</v>
      </c>
      <c r="AL1139">
        <v>0</v>
      </c>
      <c r="AM1139">
        <v>0</v>
      </c>
      <c r="AN1139" t="s">
        <v>8</v>
      </c>
      <c r="AO1139" s="74" t="str">
        <f ca="1">IF(Table20[[#This Row],[Type]]="KILL",IF(_xlfn.NUMBERVALUE(RIGHT(Table20[[#This Row],[Min]],LEN(Table20[[#This Row],[Min]])-FIND("-",Table20[[#This Row],[Min]])))&gt;INDIRECT(ADDRESS(11+MATCH(LEFT(Table20[[#This Row],[Min]],FIND("-",Table20[[#This Row],[Min]])-1),Table1[Content Sku],0),18,1,1,"Entities")),"review","ok"),"ok")</f>
        <v>ok</v>
      </c>
    </row>
    <row r="1140" spans="5:41" x14ac:dyDescent="0.25">
      <c r="E1140" t="s">
        <v>313</v>
      </c>
      <c r="F1140">
        <v>5000</v>
      </c>
      <c r="G1140">
        <v>0</v>
      </c>
      <c r="H1140" t="s">
        <v>205</v>
      </c>
      <c r="I1140" s="74" t="str">
        <f ca="1">IF(Table7[[#This Row],[Type]]="KILL",IF(_xlfn.NUMBERVALUE(RIGHT(Table7[[#This Row],[Min]],LEN(Table7[[#This Row],[Min]])-FIND("-",Table7[[#This Row],[Min]])))&gt;INDIRECT(ADDRESS(11+MATCH(LEFT(Table7[[#This Row],[Min]],FIND("-",Table7[[#This Row],[Min]])-1),Table1[Content Sku],0),16,1,1,"Entities")),"review","ok"),"ok")</f>
        <v>ok</v>
      </c>
      <c r="U1140" t="s">
        <v>315</v>
      </c>
      <c r="V1140">
        <v>35000</v>
      </c>
      <c r="W1140">
        <v>0</v>
      </c>
      <c r="X1140" t="s">
        <v>205</v>
      </c>
      <c r="Y1140" s="74" t="str">
        <f ca="1">IF(Table15[[#This Row],[Type]]="KILL",IF(_xlfn.NUMBERVALUE(RIGHT(Table15[[#This Row],[Min]],LEN(Table15[[#This Row],[Min]])-FIND("-",Table15[[#This Row],[Min]])))&gt;INDIRECT(ADDRESS(11+MATCH(LEFT(Table15[[#This Row],[Min]],FIND("-",Table15[[#This Row],[Min]])-1),Table1[Content Sku],0),16,1,1,"Entities")),"review","ok"),"ok")</f>
        <v>ok</v>
      </c>
      <c r="AK1140" t="s">
        <v>39</v>
      </c>
      <c r="AL1140">
        <v>0</v>
      </c>
      <c r="AM1140">
        <v>39000</v>
      </c>
      <c r="AN1140" t="s">
        <v>205</v>
      </c>
      <c r="AO1140" s="74" t="str">
        <f ca="1">IF(Table20[[#This Row],[Type]]="KILL",IF(_xlfn.NUMBERVALUE(RIGHT(Table20[[#This Row],[Min]],LEN(Table20[[#This Row],[Min]])-FIND("-",Table20[[#This Row],[Min]])))&gt;INDIRECT(ADDRESS(11+MATCH(LEFT(Table20[[#This Row],[Min]],FIND("-",Table20[[#This Row],[Min]])-1),Table1[Content Sku],0),18,1,1,"Entities")),"review","ok"),"ok")</f>
        <v>ok</v>
      </c>
    </row>
    <row r="1141" spans="5:41" x14ac:dyDescent="0.25">
      <c r="E1141" t="s">
        <v>0</v>
      </c>
      <c r="F1141">
        <v>5500</v>
      </c>
      <c r="G1141">
        <v>0</v>
      </c>
      <c r="H1141" t="s">
        <v>205</v>
      </c>
      <c r="I1141" s="74" t="str">
        <f ca="1">IF(Table7[[#This Row],[Type]]="KILL",IF(_xlfn.NUMBERVALUE(RIGHT(Table7[[#This Row],[Min]],LEN(Table7[[#This Row],[Min]])-FIND("-",Table7[[#This Row],[Min]])))&gt;INDIRECT(ADDRESS(11+MATCH(LEFT(Table7[[#This Row],[Min]],FIND("-",Table7[[#This Row],[Min]])-1),Table1[Content Sku],0),16,1,1,"Entities")),"review","ok"),"ok")</f>
        <v>ok</v>
      </c>
      <c r="U1141" t="s">
        <v>392</v>
      </c>
      <c r="V1141">
        <v>0</v>
      </c>
      <c r="W1141">
        <v>19000</v>
      </c>
      <c r="X1141" t="s">
        <v>205</v>
      </c>
      <c r="Y1141" s="74" t="str">
        <f ca="1">IF(Table15[[#This Row],[Type]]="KILL",IF(_xlfn.NUMBERVALUE(RIGHT(Table15[[#This Row],[Min]],LEN(Table15[[#This Row],[Min]])-FIND("-",Table15[[#This Row],[Min]])))&gt;INDIRECT(ADDRESS(11+MATCH(LEFT(Table15[[#This Row],[Min]],FIND("-",Table15[[#This Row],[Min]])-1),Table1[Content Sku],0),16,1,1,"Entities")),"review","ok"),"ok")</f>
        <v>ok</v>
      </c>
      <c r="AK1141" t="s">
        <v>336</v>
      </c>
      <c r="AL1141">
        <v>0</v>
      </c>
      <c r="AM1141">
        <v>0</v>
      </c>
      <c r="AN1141" t="s">
        <v>8</v>
      </c>
      <c r="AO1141" s="74" t="str">
        <f ca="1">IF(Table20[[#This Row],[Type]]="KILL",IF(_xlfn.NUMBERVALUE(RIGHT(Table20[[#This Row],[Min]],LEN(Table20[[#This Row],[Min]])-FIND("-",Table20[[#This Row],[Min]])))&gt;INDIRECT(ADDRESS(11+MATCH(LEFT(Table20[[#This Row],[Min]],FIND("-",Table20[[#This Row],[Min]])-1),Table1[Content Sku],0),18,1,1,"Entities")),"review","ok"),"ok")</f>
        <v>ok</v>
      </c>
    </row>
    <row r="1142" spans="5:41" x14ac:dyDescent="0.25">
      <c r="E1142" t="s">
        <v>273</v>
      </c>
      <c r="F1142">
        <v>8000</v>
      </c>
      <c r="G1142">
        <v>0</v>
      </c>
      <c r="H1142" t="s">
        <v>205</v>
      </c>
      <c r="I1142" s="74" t="str">
        <f ca="1">IF(Table7[[#This Row],[Type]]="KILL",IF(_xlfn.NUMBERVALUE(RIGHT(Table7[[#This Row],[Min]],LEN(Table7[[#This Row],[Min]])-FIND("-",Table7[[#This Row],[Min]])))&gt;INDIRECT(ADDRESS(11+MATCH(LEFT(Table7[[#This Row],[Min]],FIND("-",Table7[[#This Row],[Min]])-1),Table1[Content Sku],0),16,1,1,"Entities")),"review","ok"),"ok")</f>
        <v>ok</v>
      </c>
      <c r="U1142" t="s">
        <v>37</v>
      </c>
      <c r="V1142">
        <v>0</v>
      </c>
      <c r="W1142">
        <v>0</v>
      </c>
      <c r="X1142" t="s">
        <v>8</v>
      </c>
      <c r="Y1142" s="74" t="str">
        <f ca="1">IF(Table15[[#This Row],[Type]]="KILL",IF(_xlfn.NUMBERVALUE(RIGHT(Table15[[#This Row],[Min]],LEN(Table15[[#This Row],[Min]])-FIND("-",Table15[[#This Row],[Min]])))&gt;INDIRECT(ADDRESS(11+MATCH(LEFT(Table15[[#This Row],[Min]],FIND("-",Table15[[#This Row],[Min]])-1),Table1[Content Sku],0),16,1,1,"Entities")),"review","ok"),"ok")</f>
        <v>ok</v>
      </c>
      <c r="AK1142" t="s">
        <v>2680</v>
      </c>
      <c r="AL1142">
        <v>0</v>
      </c>
      <c r="AM1142">
        <v>0</v>
      </c>
      <c r="AN1142" t="s">
        <v>8</v>
      </c>
      <c r="AO1142" s="74" t="str">
        <f ca="1">IF(Table20[[#This Row],[Type]]="KILL",IF(_xlfn.NUMBERVALUE(RIGHT(Table20[[#This Row],[Min]],LEN(Table20[[#This Row],[Min]])-FIND("-",Table20[[#This Row],[Min]])))&gt;INDIRECT(ADDRESS(11+MATCH(LEFT(Table20[[#This Row],[Min]],FIND("-",Table20[[#This Row],[Min]])-1),Table1[Content Sku],0),18,1,1,"Entities")),"review","ok"),"ok")</f>
        <v>ok</v>
      </c>
    </row>
    <row r="1143" spans="5:41" x14ac:dyDescent="0.25">
      <c r="E1143" t="s">
        <v>8133</v>
      </c>
      <c r="F1143">
        <v>0</v>
      </c>
      <c r="G1143">
        <v>0</v>
      </c>
      <c r="H1143" t="s">
        <v>8</v>
      </c>
      <c r="I1143" s="74" t="str">
        <f ca="1">IF(Table7[[#This Row],[Type]]="KILL",IF(_xlfn.NUMBERVALUE(RIGHT(Table7[[#This Row],[Min]],LEN(Table7[[#This Row],[Min]])-FIND("-",Table7[[#This Row],[Min]])))&gt;INDIRECT(ADDRESS(11+MATCH(LEFT(Table7[[#This Row],[Min]],FIND("-",Table7[[#This Row],[Min]])-1),Table1[Content Sku],0),16,1,1,"Entities")),"review","ok"),"ok")</f>
        <v>ok</v>
      </c>
      <c r="U1143" t="s">
        <v>460</v>
      </c>
      <c r="V1143">
        <v>0</v>
      </c>
      <c r="W1143">
        <v>0</v>
      </c>
      <c r="X1143" t="s">
        <v>8</v>
      </c>
      <c r="Y1143" s="74" t="str">
        <f ca="1">IF(Table15[[#This Row],[Type]]="KILL",IF(_xlfn.NUMBERVALUE(RIGHT(Table15[[#This Row],[Min]],LEN(Table15[[#This Row],[Min]])-FIND("-",Table15[[#This Row],[Min]])))&gt;INDIRECT(ADDRESS(11+MATCH(LEFT(Table15[[#This Row],[Min]],FIND("-",Table15[[#This Row],[Min]])-1),Table1[Content Sku],0),16,1,1,"Entities")),"review","ok"),"ok")</f>
        <v>ok</v>
      </c>
      <c r="AK1143" t="s">
        <v>482</v>
      </c>
      <c r="AL1143">
        <v>0</v>
      </c>
      <c r="AM1143">
        <v>0</v>
      </c>
      <c r="AN1143" t="s">
        <v>8</v>
      </c>
      <c r="AO1143" s="74" t="str">
        <f ca="1">IF(Table20[[#This Row],[Type]]="KILL",IF(_xlfn.NUMBERVALUE(RIGHT(Table20[[#This Row],[Min]],LEN(Table20[[#This Row],[Min]])-FIND("-",Table20[[#This Row],[Min]])))&gt;INDIRECT(ADDRESS(11+MATCH(LEFT(Table20[[#This Row],[Min]],FIND("-",Table20[[#This Row],[Min]])-1),Table1[Content Sku],0),18,1,1,"Entities")),"review","ok"),"ok")</f>
        <v>ok</v>
      </c>
    </row>
    <row r="1144" spans="5:41" x14ac:dyDescent="0.25">
      <c r="E1144" t="s">
        <v>8133</v>
      </c>
      <c r="F1144">
        <v>0</v>
      </c>
      <c r="G1144">
        <v>0</v>
      </c>
      <c r="H1144" t="s">
        <v>8</v>
      </c>
      <c r="I1144" s="74" t="str">
        <f ca="1">IF(Table7[[#This Row],[Type]]="KILL",IF(_xlfn.NUMBERVALUE(RIGHT(Table7[[#This Row],[Min]],LEN(Table7[[#This Row],[Min]])-FIND("-",Table7[[#This Row],[Min]])))&gt;INDIRECT(ADDRESS(11+MATCH(LEFT(Table7[[#This Row],[Min]],FIND("-",Table7[[#This Row],[Min]])-1),Table1[Content Sku],0),16,1,1,"Entities")),"review","ok"),"ok")</f>
        <v>ok</v>
      </c>
      <c r="U1144" t="s">
        <v>122</v>
      </c>
      <c r="V1144">
        <v>33000</v>
      </c>
      <c r="W1144">
        <v>0</v>
      </c>
      <c r="X1144" t="s">
        <v>205</v>
      </c>
      <c r="Y1144" s="74" t="str">
        <f ca="1">IF(Table15[[#This Row],[Type]]="KILL",IF(_xlfn.NUMBERVALUE(RIGHT(Table15[[#This Row],[Min]],LEN(Table15[[#This Row],[Min]])-FIND("-",Table15[[#This Row],[Min]])))&gt;INDIRECT(ADDRESS(11+MATCH(LEFT(Table15[[#This Row],[Min]],FIND("-",Table15[[#This Row],[Min]])-1),Table1[Content Sku],0),16,1,1,"Entities")),"review","ok"),"ok")</f>
        <v>ok</v>
      </c>
      <c r="AK1144" t="s">
        <v>578</v>
      </c>
      <c r="AL1144">
        <v>0</v>
      </c>
      <c r="AM1144">
        <v>30000</v>
      </c>
      <c r="AN1144" t="s">
        <v>205</v>
      </c>
      <c r="AO1144" s="74" t="str">
        <f ca="1">IF(Table20[[#This Row],[Type]]="KILL",IF(_xlfn.NUMBERVALUE(RIGHT(Table20[[#This Row],[Min]],LEN(Table20[[#This Row],[Min]])-FIND("-",Table20[[#This Row],[Min]])))&gt;INDIRECT(ADDRESS(11+MATCH(LEFT(Table20[[#This Row],[Min]],FIND("-",Table20[[#This Row],[Min]])-1),Table1[Content Sku],0),18,1,1,"Entities")),"review","ok"),"ok")</f>
        <v>ok</v>
      </c>
    </row>
    <row r="1145" spans="5:41" x14ac:dyDescent="0.25">
      <c r="E1145" t="s">
        <v>313</v>
      </c>
      <c r="F1145">
        <v>0</v>
      </c>
      <c r="G1145">
        <v>0</v>
      </c>
      <c r="H1145" t="s">
        <v>8</v>
      </c>
      <c r="I1145" s="74" t="str">
        <f ca="1">IF(Table7[[#This Row],[Type]]="KILL",IF(_xlfn.NUMBERVALUE(RIGHT(Table7[[#This Row],[Min]],LEN(Table7[[#This Row],[Min]])-FIND("-",Table7[[#This Row],[Min]])))&gt;INDIRECT(ADDRESS(11+MATCH(LEFT(Table7[[#This Row],[Min]],FIND("-",Table7[[#This Row],[Min]])-1),Table1[Content Sku],0),16,1,1,"Entities")),"review","ok"),"ok")</f>
        <v>ok</v>
      </c>
      <c r="U1145" t="s">
        <v>545</v>
      </c>
      <c r="V1145">
        <v>0</v>
      </c>
      <c r="W1145">
        <v>0</v>
      </c>
      <c r="X1145" t="s">
        <v>8</v>
      </c>
      <c r="Y1145" s="74" t="str">
        <f ca="1">IF(Table15[[#This Row],[Type]]="KILL",IF(_xlfn.NUMBERVALUE(RIGHT(Table15[[#This Row],[Min]],LEN(Table15[[#This Row],[Min]])-FIND("-",Table15[[#This Row],[Min]])))&gt;INDIRECT(ADDRESS(11+MATCH(LEFT(Table15[[#This Row],[Min]],FIND("-",Table15[[#This Row],[Min]])-1),Table1[Content Sku],0),16,1,1,"Entities")),"review","ok"),"ok")</f>
        <v>ok</v>
      </c>
      <c r="AK1145" t="s">
        <v>2741</v>
      </c>
      <c r="AL1145">
        <v>0</v>
      </c>
      <c r="AM1145">
        <v>0</v>
      </c>
      <c r="AN1145" t="s">
        <v>8</v>
      </c>
      <c r="AO1145" s="74" t="str">
        <f ca="1">IF(Table20[[#This Row],[Type]]="KILL",IF(_xlfn.NUMBERVALUE(RIGHT(Table20[[#This Row],[Min]],LEN(Table20[[#This Row],[Min]])-FIND("-",Table20[[#This Row],[Min]])))&gt;INDIRECT(ADDRESS(11+MATCH(LEFT(Table20[[#This Row],[Min]],FIND("-",Table20[[#This Row],[Min]])-1),Table1[Content Sku],0),18,1,1,"Entities")),"review","ok"),"ok")</f>
        <v>ok</v>
      </c>
    </row>
    <row r="1146" spans="5:41" x14ac:dyDescent="0.25">
      <c r="E1146" t="s">
        <v>396</v>
      </c>
      <c r="F1146">
        <v>20000</v>
      </c>
      <c r="G1146">
        <v>0</v>
      </c>
      <c r="H1146" t="s">
        <v>205</v>
      </c>
      <c r="I1146" s="74" t="str">
        <f ca="1">IF(Table7[[#This Row],[Type]]="KILL",IF(_xlfn.NUMBERVALUE(RIGHT(Table7[[#This Row],[Min]],LEN(Table7[[#This Row],[Min]])-FIND("-",Table7[[#This Row],[Min]])))&gt;INDIRECT(ADDRESS(11+MATCH(LEFT(Table7[[#This Row],[Min]],FIND("-",Table7[[#This Row],[Min]])-1),Table1[Content Sku],0),16,1,1,"Entities")),"review","ok"),"ok")</f>
        <v>ok</v>
      </c>
      <c r="U1146" t="s">
        <v>1</v>
      </c>
      <c r="V1146">
        <v>17000</v>
      </c>
      <c r="W1146">
        <v>0</v>
      </c>
      <c r="X1146" t="s">
        <v>205</v>
      </c>
      <c r="Y1146" s="74" t="str">
        <f ca="1">IF(Table15[[#This Row],[Type]]="KILL",IF(_xlfn.NUMBERVALUE(RIGHT(Table15[[#This Row],[Min]],LEN(Table15[[#This Row],[Min]])-FIND("-",Table15[[#This Row],[Min]])))&gt;INDIRECT(ADDRESS(11+MATCH(LEFT(Table15[[#This Row],[Min]],FIND("-",Table15[[#This Row],[Min]])-1),Table1[Content Sku],0),16,1,1,"Entities")),"review","ok"),"ok")</f>
        <v>ok</v>
      </c>
      <c r="AK1146" t="s">
        <v>2663</v>
      </c>
      <c r="AL1146">
        <v>0</v>
      </c>
      <c r="AM1146">
        <v>0</v>
      </c>
      <c r="AN1146" t="s">
        <v>8</v>
      </c>
      <c r="AO1146" s="74" t="str">
        <f ca="1">IF(Table20[[#This Row],[Type]]="KILL",IF(_xlfn.NUMBERVALUE(RIGHT(Table20[[#This Row],[Min]],LEN(Table20[[#This Row],[Min]])-FIND("-",Table20[[#This Row],[Min]])))&gt;INDIRECT(ADDRESS(11+MATCH(LEFT(Table20[[#This Row],[Min]],FIND("-",Table20[[#This Row],[Min]])-1),Table1[Content Sku],0),18,1,1,"Entities")),"review","ok"),"ok")</f>
        <v>ok</v>
      </c>
    </row>
    <row r="1147" spans="5:41" x14ac:dyDescent="0.25">
      <c r="E1147" t="s">
        <v>2766</v>
      </c>
      <c r="F1147">
        <v>0</v>
      </c>
      <c r="G1147">
        <v>0</v>
      </c>
      <c r="H1147" t="s">
        <v>8</v>
      </c>
      <c r="I1147" s="74" t="str">
        <f ca="1">IF(Table7[[#This Row],[Type]]="KILL",IF(_xlfn.NUMBERVALUE(RIGHT(Table7[[#This Row],[Min]],LEN(Table7[[#This Row],[Min]])-FIND("-",Table7[[#This Row],[Min]])))&gt;INDIRECT(ADDRESS(11+MATCH(LEFT(Table7[[#This Row],[Min]],FIND("-",Table7[[#This Row],[Min]])-1),Table1[Content Sku],0),16,1,1,"Entities")),"review","ok"),"ok")</f>
        <v>ok</v>
      </c>
      <c r="U1147" t="s">
        <v>254</v>
      </c>
      <c r="V1147">
        <v>0</v>
      </c>
      <c r="W1147">
        <v>0</v>
      </c>
      <c r="X1147" t="s">
        <v>8</v>
      </c>
      <c r="Y1147" s="74" t="str">
        <f ca="1">IF(Table15[[#This Row],[Type]]="KILL",IF(_xlfn.NUMBERVALUE(RIGHT(Table15[[#This Row],[Min]],LEN(Table15[[#This Row],[Min]])-FIND("-",Table15[[#This Row],[Min]])))&gt;INDIRECT(ADDRESS(11+MATCH(LEFT(Table15[[#This Row],[Min]],FIND("-",Table15[[#This Row],[Min]])-1),Table1[Content Sku],0),16,1,1,"Entities")),"review","ok"),"ok")</f>
        <v>ok</v>
      </c>
      <c r="AK1147" t="s">
        <v>315</v>
      </c>
      <c r="AL1147">
        <v>25000</v>
      </c>
      <c r="AM1147">
        <v>0</v>
      </c>
      <c r="AN1147" t="s">
        <v>205</v>
      </c>
      <c r="AO1147" s="74" t="str">
        <f ca="1">IF(Table20[[#This Row],[Type]]="KILL",IF(_xlfn.NUMBERVALUE(RIGHT(Table20[[#This Row],[Min]],LEN(Table20[[#This Row],[Min]])-FIND("-",Table20[[#This Row],[Min]])))&gt;INDIRECT(ADDRESS(11+MATCH(LEFT(Table20[[#This Row],[Min]],FIND("-",Table20[[#This Row],[Min]])-1),Table1[Content Sku],0),18,1,1,"Entities")),"review","ok"),"ok")</f>
        <v>ok</v>
      </c>
    </row>
    <row r="1148" spans="5:41" x14ac:dyDescent="0.25">
      <c r="E1148" t="s">
        <v>254</v>
      </c>
      <c r="F1148">
        <v>0</v>
      </c>
      <c r="G1148">
        <v>0</v>
      </c>
      <c r="H1148" t="s">
        <v>8</v>
      </c>
      <c r="I1148" s="74" t="str">
        <f ca="1">IF(Table7[[#This Row],[Type]]="KILL",IF(_xlfn.NUMBERVALUE(RIGHT(Table7[[#This Row],[Min]],LEN(Table7[[#This Row],[Min]])-FIND("-",Table7[[#This Row],[Min]])))&gt;INDIRECT(ADDRESS(11+MATCH(LEFT(Table7[[#This Row],[Min]],FIND("-",Table7[[#This Row],[Min]])-1),Table1[Content Sku],0),16,1,1,"Entities")),"review","ok"),"ok")</f>
        <v>ok</v>
      </c>
      <c r="U1148" t="s">
        <v>313</v>
      </c>
      <c r="V1148">
        <v>0</v>
      </c>
      <c r="W1148">
        <v>0</v>
      </c>
      <c r="X1148" t="s">
        <v>8</v>
      </c>
      <c r="Y1148" s="74" t="str">
        <f ca="1">IF(Table15[[#This Row],[Type]]="KILL",IF(_xlfn.NUMBERVALUE(RIGHT(Table15[[#This Row],[Min]],LEN(Table15[[#This Row],[Min]])-FIND("-",Table15[[#This Row],[Min]])))&gt;INDIRECT(ADDRESS(11+MATCH(LEFT(Table15[[#This Row],[Min]],FIND("-",Table15[[#This Row],[Min]])-1),Table1[Content Sku],0),16,1,1,"Entities")),"review","ok"),"ok")</f>
        <v>ok</v>
      </c>
      <c r="AK1148" t="s">
        <v>257</v>
      </c>
      <c r="AL1148">
        <v>0</v>
      </c>
      <c r="AM1148">
        <v>42000</v>
      </c>
      <c r="AN1148" t="s">
        <v>205</v>
      </c>
      <c r="AO1148" s="74" t="str">
        <f ca="1">IF(Table20[[#This Row],[Type]]="KILL",IF(_xlfn.NUMBERVALUE(RIGHT(Table20[[#This Row],[Min]],LEN(Table20[[#This Row],[Min]])-FIND("-",Table20[[#This Row],[Min]])))&gt;INDIRECT(ADDRESS(11+MATCH(LEFT(Table20[[#This Row],[Min]],FIND("-",Table20[[#This Row],[Min]])-1),Table1[Content Sku],0),18,1,1,"Entities")),"review","ok"),"ok")</f>
        <v>ok</v>
      </c>
    </row>
    <row r="1149" spans="5:41" x14ac:dyDescent="0.25">
      <c r="E1149" t="s">
        <v>313</v>
      </c>
      <c r="F1149">
        <v>0</v>
      </c>
      <c r="G1149">
        <v>27000</v>
      </c>
      <c r="H1149" t="s">
        <v>205</v>
      </c>
      <c r="I1149" s="74" t="str">
        <f ca="1">IF(Table7[[#This Row],[Type]]="KILL",IF(_xlfn.NUMBERVALUE(RIGHT(Table7[[#This Row],[Min]],LEN(Table7[[#This Row],[Min]])-FIND("-",Table7[[#This Row],[Min]])))&gt;INDIRECT(ADDRESS(11+MATCH(LEFT(Table7[[#This Row],[Min]],FIND("-",Table7[[#This Row],[Min]])-1),Table1[Content Sku],0),16,1,1,"Entities")),"review","ok"),"ok")</f>
        <v>ok</v>
      </c>
      <c r="U1149" t="s">
        <v>63</v>
      </c>
      <c r="V1149">
        <v>0</v>
      </c>
      <c r="W1149">
        <v>0</v>
      </c>
      <c r="X1149" t="s">
        <v>8</v>
      </c>
      <c r="Y1149" s="74" t="str">
        <f ca="1">IF(Table15[[#This Row],[Type]]="KILL",IF(_xlfn.NUMBERVALUE(RIGHT(Table15[[#This Row],[Min]],LEN(Table15[[#This Row],[Min]])-FIND("-",Table15[[#This Row],[Min]])))&gt;INDIRECT(ADDRESS(11+MATCH(LEFT(Table15[[#This Row],[Min]],FIND("-",Table15[[#This Row],[Min]])-1),Table1[Content Sku],0),16,1,1,"Entities")),"review","ok"),"ok")</f>
        <v>ok</v>
      </c>
      <c r="AK1149" t="s">
        <v>482</v>
      </c>
      <c r="AL1149">
        <v>0</v>
      </c>
      <c r="AM1149">
        <v>0</v>
      </c>
      <c r="AN1149" t="s">
        <v>8</v>
      </c>
      <c r="AO1149" s="74" t="str">
        <f ca="1">IF(Table20[[#This Row],[Type]]="KILL",IF(_xlfn.NUMBERVALUE(RIGHT(Table20[[#This Row],[Min]],LEN(Table20[[#This Row],[Min]])-FIND("-",Table20[[#This Row],[Min]])))&gt;INDIRECT(ADDRESS(11+MATCH(LEFT(Table20[[#This Row],[Min]],FIND("-",Table20[[#This Row],[Min]])-1),Table1[Content Sku],0),18,1,1,"Entities")),"review","ok"),"ok")</f>
        <v>ok</v>
      </c>
    </row>
    <row r="1150" spans="5:41" x14ac:dyDescent="0.25">
      <c r="E1150" t="s">
        <v>91</v>
      </c>
      <c r="F1150">
        <v>0</v>
      </c>
      <c r="G1150">
        <v>9000</v>
      </c>
      <c r="H1150" t="s">
        <v>205</v>
      </c>
      <c r="I1150" s="74" t="str">
        <f ca="1">IF(Table7[[#This Row],[Type]]="KILL",IF(_xlfn.NUMBERVALUE(RIGHT(Table7[[#This Row],[Min]],LEN(Table7[[#This Row],[Min]])-FIND("-",Table7[[#This Row],[Min]])))&gt;INDIRECT(ADDRESS(11+MATCH(LEFT(Table7[[#This Row],[Min]],FIND("-",Table7[[#This Row],[Min]])-1),Table1[Content Sku],0),16,1,1,"Entities")),"review","ok"),"ok")</f>
        <v>ok</v>
      </c>
      <c r="U1150" t="s">
        <v>254</v>
      </c>
      <c r="V1150">
        <v>0</v>
      </c>
      <c r="W1150">
        <v>0</v>
      </c>
      <c r="X1150" t="s">
        <v>8</v>
      </c>
      <c r="Y1150" s="74" t="str">
        <f ca="1">IF(Table15[[#This Row],[Type]]="KILL",IF(_xlfn.NUMBERVALUE(RIGHT(Table15[[#This Row],[Min]],LEN(Table15[[#This Row],[Min]])-FIND("-",Table15[[#This Row],[Min]])))&gt;INDIRECT(ADDRESS(11+MATCH(LEFT(Table15[[#This Row],[Min]],FIND("-",Table15[[#This Row],[Min]])-1),Table1[Content Sku],0),16,1,1,"Entities")),"review","ok"),"ok")</f>
        <v>ok</v>
      </c>
      <c r="AK1150" t="s">
        <v>315</v>
      </c>
      <c r="AL1150">
        <v>0</v>
      </c>
      <c r="AM1150">
        <v>0</v>
      </c>
      <c r="AN1150" t="s">
        <v>8</v>
      </c>
      <c r="AO1150" s="74" t="str">
        <f ca="1">IF(Table20[[#This Row],[Type]]="KILL",IF(_xlfn.NUMBERVALUE(RIGHT(Table20[[#This Row],[Min]],LEN(Table20[[#This Row],[Min]])-FIND("-",Table20[[#This Row],[Min]])))&gt;INDIRECT(ADDRESS(11+MATCH(LEFT(Table20[[#This Row],[Min]],FIND("-",Table20[[#This Row],[Min]])-1),Table1[Content Sku],0),18,1,1,"Entities")),"review","ok"),"ok")</f>
        <v>ok</v>
      </c>
    </row>
    <row r="1151" spans="5:41" x14ac:dyDescent="0.25">
      <c r="E1151" t="s">
        <v>254</v>
      </c>
      <c r="F1151">
        <v>0</v>
      </c>
      <c r="G1151">
        <v>5000</v>
      </c>
      <c r="H1151" t="s">
        <v>205</v>
      </c>
      <c r="I1151" s="74" t="str">
        <f ca="1">IF(Table7[[#This Row],[Type]]="KILL",IF(_xlfn.NUMBERVALUE(RIGHT(Table7[[#This Row],[Min]],LEN(Table7[[#This Row],[Min]])-FIND("-",Table7[[#This Row],[Min]])))&gt;INDIRECT(ADDRESS(11+MATCH(LEFT(Table7[[#This Row],[Min]],FIND("-",Table7[[#This Row],[Min]])-1),Table1[Content Sku],0),16,1,1,"Entities")),"review","ok"),"ok")</f>
        <v>ok</v>
      </c>
      <c r="U1151" t="s">
        <v>289</v>
      </c>
      <c r="V1151">
        <v>0</v>
      </c>
      <c r="W1151">
        <v>0</v>
      </c>
      <c r="X1151" t="s">
        <v>8</v>
      </c>
      <c r="Y1151" s="74" t="str">
        <f ca="1">IF(Table15[[#This Row],[Type]]="KILL",IF(_xlfn.NUMBERVALUE(RIGHT(Table15[[#This Row],[Min]],LEN(Table15[[#This Row],[Min]])-FIND("-",Table15[[#This Row],[Min]])))&gt;INDIRECT(ADDRESS(11+MATCH(LEFT(Table15[[#This Row],[Min]],FIND("-",Table15[[#This Row],[Min]])-1),Table1[Content Sku],0),16,1,1,"Entities")),"review","ok"),"ok")</f>
        <v>ok</v>
      </c>
      <c r="AK1151" t="s">
        <v>537</v>
      </c>
      <c r="AL1151">
        <v>40000</v>
      </c>
      <c r="AM1151">
        <v>0</v>
      </c>
      <c r="AN1151" t="s">
        <v>205</v>
      </c>
      <c r="AO1151" s="74" t="str">
        <f ca="1">IF(Table20[[#This Row],[Type]]="KILL",IF(_xlfn.NUMBERVALUE(RIGHT(Table20[[#This Row],[Min]],LEN(Table20[[#This Row],[Min]])-FIND("-",Table20[[#This Row],[Min]])))&gt;INDIRECT(ADDRESS(11+MATCH(LEFT(Table20[[#This Row],[Min]],FIND("-",Table20[[#This Row],[Min]])-1),Table1[Content Sku],0),18,1,1,"Entities")),"review","ok"),"ok")</f>
        <v>ok</v>
      </c>
    </row>
    <row r="1152" spans="5:41" x14ac:dyDescent="0.25">
      <c r="E1152" t="s">
        <v>315</v>
      </c>
      <c r="F1152">
        <v>0</v>
      </c>
      <c r="G1152">
        <v>0</v>
      </c>
      <c r="H1152" t="s">
        <v>8</v>
      </c>
      <c r="I1152" s="74" t="str">
        <f ca="1">IF(Table7[[#This Row],[Type]]="KILL",IF(_xlfn.NUMBERVALUE(RIGHT(Table7[[#This Row],[Min]],LEN(Table7[[#This Row],[Min]])-FIND("-",Table7[[#This Row],[Min]])))&gt;INDIRECT(ADDRESS(11+MATCH(LEFT(Table7[[#This Row],[Min]],FIND("-",Table7[[#This Row],[Min]])-1),Table1[Content Sku],0),16,1,1,"Entities")),"review","ok"),"ok")</f>
        <v>ok</v>
      </c>
      <c r="U1152" t="s">
        <v>254</v>
      </c>
      <c r="V1152">
        <v>0</v>
      </c>
      <c r="W1152">
        <v>0</v>
      </c>
      <c r="X1152" t="s">
        <v>8</v>
      </c>
      <c r="Y1152" s="74" t="str">
        <f ca="1">IF(Table15[[#This Row],[Type]]="KILL",IF(_xlfn.NUMBERVALUE(RIGHT(Table15[[#This Row],[Min]],LEN(Table15[[#This Row],[Min]])-FIND("-",Table15[[#This Row],[Min]])))&gt;INDIRECT(ADDRESS(11+MATCH(LEFT(Table15[[#This Row],[Min]],FIND("-",Table15[[#This Row],[Min]])-1),Table1[Content Sku],0),16,1,1,"Entities")),"review","ok"),"ok")</f>
        <v>ok</v>
      </c>
      <c r="AK1152" t="s">
        <v>37</v>
      </c>
      <c r="AL1152">
        <v>0</v>
      </c>
      <c r="AM1152">
        <v>0</v>
      </c>
      <c r="AN1152" t="s">
        <v>8</v>
      </c>
      <c r="AO1152" s="74" t="str">
        <f ca="1">IF(Table20[[#This Row],[Type]]="KILL",IF(_xlfn.NUMBERVALUE(RIGHT(Table20[[#This Row],[Min]],LEN(Table20[[#This Row],[Min]])-FIND("-",Table20[[#This Row],[Min]])))&gt;INDIRECT(ADDRESS(11+MATCH(LEFT(Table20[[#This Row],[Min]],FIND("-",Table20[[#This Row],[Min]])-1),Table1[Content Sku],0),18,1,1,"Entities")),"review","ok"),"ok")</f>
        <v>ok</v>
      </c>
    </row>
    <row r="1153" spans="5:41" x14ac:dyDescent="0.25">
      <c r="E1153" t="s">
        <v>318</v>
      </c>
      <c r="F1153">
        <v>0</v>
      </c>
      <c r="G1153">
        <v>0</v>
      </c>
      <c r="H1153" t="s">
        <v>8</v>
      </c>
      <c r="I1153" s="74" t="str">
        <f ca="1">IF(Table7[[#This Row],[Type]]="KILL",IF(_xlfn.NUMBERVALUE(RIGHT(Table7[[#This Row],[Min]],LEN(Table7[[#This Row],[Min]])-FIND("-",Table7[[#This Row],[Min]])))&gt;INDIRECT(ADDRESS(11+MATCH(LEFT(Table7[[#This Row],[Min]],FIND("-",Table7[[#This Row],[Min]])-1),Table1[Content Sku],0),16,1,1,"Entities")),"review","ok"),"ok")</f>
        <v>ok</v>
      </c>
      <c r="U1153" t="s">
        <v>313</v>
      </c>
      <c r="V1153">
        <v>0</v>
      </c>
      <c r="W1153">
        <v>0</v>
      </c>
      <c r="X1153" t="s">
        <v>8</v>
      </c>
      <c r="Y1153" s="74" t="str">
        <f ca="1">IF(Table15[[#This Row],[Type]]="KILL",IF(_xlfn.NUMBERVALUE(RIGHT(Table15[[#This Row],[Min]],LEN(Table15[[#This Row],[Min]])-FIND("-",Table15[[#This Row],[Min]])))&gt;INDIRECT(ADDRESS(11+MATCH(LEFT(Table15[[#This Row],[Min]],FIND("-",Table15[[#This Row],[Min]])-1),Table1[Content Sku],0),16,1,1,"Entities")),"review","ok"),"ok")</f>
        <v>ok</v>
      </c>
      <c r="AK1153" t="s">
        <v>256</v>
      </c>
      <c r="AL1153">
        <v>35000</v>
      </c>
      <c r="AM1153">
        <v>0</v>
      </c>
      <c r="AN1153" t="s">
        <v>205</v>
      </c>
      <c r="AO1153" s="74" t="str">
        <f ca="1">IF(Table20[[#This Row],[Type]]="KILL",IF(_xlfn.NUMBERVALUE(RIGHT(Table20[[#This Row],[Min]],LEN(Table20[[#This Row],[Min]])-FIND("-",Table20[[#This Row],[Min]])))&gt;INDIRECT(ADDRESS(11+MATCH(LEFT(Table20[[#This Row],[Min]],FIND("-",Table20[[#This Row],[Min]])-1),Table1[Content Sku],0),18,1,1,"Entities")),"review","ok"),"ok")</f>
        <v>ok</v>
      </c>
    </row>
    <row r="1154" spans="5:41" x14ac:dyDescent="0.25">
      <c r="E1154" t="s">
        <v>95</v>
      </c>
      <c r="F1154">
        <v>0</v>
      </c>
      <c r="G1154">
        <v>7000</v>
      </c>
      <c r="H1154" t="s">
        <v>205</v>
      </c>
      <c r="I1154" s="74" t="str">
        <f ca="1">IF(Table7[[#This Row],[Type]]="KILL",IF(_xlfn.NUMBERVALUE(RIGHT(Table7[[#This Row],[Min]],LEN(Table7[[#This Row],[Min]])-FIND("-",Table7[[#This Row],[Min]])))&gt;INDIRECT(ADDRESS(11+MATCH(LEFT(Table7[[#This Row],[Min]],FIND("-",Table7[[#This Row],[Min]])-1),Table1[Content Sku],0),16,1,1,"Entities")),"review","ok"),"ok")</f>
        <v>ok</v>
      </c>
      <c r="U1154" t="s">
        <v>286</v>
      </c>
      <c r="V1154">
        <v>0</v>
      </c>
      <c r="W1154">
        <v>0</v>
      </c>
      <c r="X1154" t="s">
        <v>8</v>
      </c>
      <c r="Y1154" s="74" t="str">
        <f ca="1">IF(Table15[[#This Row],[Type]]="KILL",IF(_xlfn.NUMBERVALUE(RIGHT(Table15[[#This Row],[Min]],LEN(Table15[[#This Row],[Min]])-FIND("-",Table15[[#This Row],[Min]])))&gt;INDIRECT(ADDRESS(11+MATCH(LEFT(Table15[[#This Row],[Min]],FIND("-",Table15[[#This Row],[Min]])-1),Table1[Content Sku],0),16,1,1,"Entities")),"review","ok"),"ok")</f>
        <v>ok</v>
      </c>
      <c r="AK1154" t="s">
        <v>37</v>
      </c>
      <c r="AL1154">
        <v>0</v>
      </c>
      <c r="AM1154">
        <v>0</v>
      </c>
      <c r="AN1154" t="s">
        <v>8</v>
      </c>
      <c r="AO1154" s="74" t="str">
        <f ca="1">IF(Table20[[#This Row],[Type]]="KILL",IF(_xlfn.NUMBERVALUE(RIGHT(Table20[[#This Row],[Min]],LEN(Table20[[#This Row],[Min]])-FIND("-",Table20[[#This Row],[Min]])))&gt;INDIRECT(ADDRESS(11+MATCH(LEFT(Table20[[#This Row],[Min]],FIND("-",Table20[[#This Row],[Min]])-1),Table1[Content Sku],0),18,1,1,"Entities")),"review","ok"),"ok")</f>
        <v>ok</v>
      </c>
    </row>
    <row r="1155" spans="5:41" x14ac:dyDescent="0.25">
      <c r="E1155" t="s">
        <v>15</v>
      </c>
      <c r="F1155">
        <v>3500</v>
      </c>
      <c r="G1155">
        <v>0</v>
      </c>
      <c r="H1155" t="s">
        <v>205</v>
      </c>
      <c r="I1155" s="74" t="str">
        <f ca="1">IF(Table7[[#This Row],[Type]]="KILL",IF(_xlfn.NUMBERVALUE(RIGHT(Table7[[#This Row],[Min]],LEN(Table7[[#This Row],[Min]])-FIND("-",Table7[[#This Row],[Min]])))&gt;INDIRECT(ADDRESS(11+MATCH(LEFT(Table7[[#This Row],[Min]],FIND("-",Table7[[#This Row],[Min]])-1),Table1[Content Sku],0),16,1,1,"Entities")),"review","ok"),"ok")</f>
        <v>ok</v>
      </c>
      <c r="U1155" t="s">
        <v>315</v>
      </c>
      <c r="V1155">
        <v>0</v>
      </c>
      <c r="W1155">
        <v>0</v>
      </c>
      <c r="X1155" t="s">
        <v>8</v>
      </c>
      <c r="Y1155" s="74" t="str">
        <f ca="1">IF(Table15[[#This Row],[Type]]="KILL",IF(_xlfn.NUMBERVALUE(RIGHT(Table15[[#This Row],[Min]],LEN(Table15[[#This Row],[Min]])-FIND("-",Table15[[#This Row],[Min]])))&gt;INDIRECT(ADDRESS(11+MATCH(LEFT(Table15[[#This Row],[Min]],FIND("-",Table15[[#This Row],[Min]])-1),Table1[Content Sku],0),16,1,1,"Entities")),"review","ok"),"ok")</f>
        <v>ok</v>
      </c>
      <c r="AK1155" t="s">
        <v>37</v>
      </c>
      <c r="AL1155">
        <v>0</v>
      </c>
      <c r="AM1155">
        <v>0</v>
      </c>
      <c r="AN1155" t="s">
        <v>8</v>
      </c>
      <c r="AO1155" s="74" t="str">
        <f ca="1">IF(Table20[[#This Row],[Type]]="KILL",IF(_xlfn.NUMBERVALUE(RIGHT(Table20[[#This Row],[Min]],LEN(Table20[[#This Row],[Min]])-FIND("-",Table20[[#This Row],[Min]])))&gt;INDIRECT(ADDRESS(11+MATCH(LEFT(Table20[[#This Row],[Min]],FIND("-",Table20[[#This Row],[Min]])-1),Table1[Content Sku],0),18,1,1,"Entities")),"review","ok"),"ok")</f>
        <v>ok</v>
      </c>
    </row>
    <row r="1156" spans="5:41" x14ac:dyDescent="0.25">
      <c r="E1156" t="s">
        <v>36</v>
      </c>
      <c r="F1156">
        <v>5650</v>
      </c>
      <c r="G1156">
        <v>0</v>
      </c>
      <c r="H1156" t="s">
        <v>205</v>
      </c>
      <c r="I1156" s="74" t="str">
        <f ca="1">IF(Table7[[#This Row],[Type]]="KILL",IF(_xlfn.NUMBERVALUE(RIGHT(Table7[[#This Row],[Min]],LEN(Table7[[#This Row],[Min]])-FIND("-",Table7[[#This Row],[Min]])))&gt;INDIRECT(ADDRESS(11+MATCH(LEFT(Table7[[#This Row],[Min]],FIND("-",Table7[[#This Row],[Min]])-1),Table1[Content Sku],0),16,1,1,"Entities")),"review","ok"),"ok")</f>
        <v>ok</v>
      </c>
      <c r="U1156" t="s">
        <v>548</v>
      </c>
      <c r="V1156">
        <v>0</v>
      </c>
      <c r="W1156">
        <v>0</v>
      </c>
      <c r="X1156" t="s">
        <v>8</v>
      </c>
      <c r="Y1156" s="74" t="str">
        <f ca="1">IF(Table15[[#This Row],[Type]]="KILL",IF(_xlfn.NUMBERVALUE(RIGHT(Table15[[#This Row],[Min]],LEN(Table15[[#This Row],[Min]])-FIND("-",Table15[[#This Row],[Min]])))&gt;INDIRECT(ADDRESS(11+MATCH(LEFT(Table15[[#This Row],[Min]],FIND("-",Table15[[#This Row],[Min]])-1),Table1[Content Sku],0),16,1,1,"Entities")),"review","ok"),"ok")</f>
        <v>ok</v>
      </c>
      <c r="AK1156" t="s">
        <v>2665</v>
      </c>
      <c r="AL1156">
        <v>0</v>
      </c>
      <c r="AM1156">
        <v>0</v>
      </c>
      <c r="AN1156" t="s">
        <v>8</v>
      </c>
      <c r="AO1156" s="74" t="str">
        <f ca="1">IF(Table20[[#This Row],[Type]]="KILL",IF(_xlfn.NUMBERVALUE(RIGHT(Table20[[#This Row],[Min]],LEN(Table20[[#This Row],[Min]])-FIND("-",Table20[[#This Row],[Min]])))&gt;INDIRECT(ADDRESS(11+MATCH(LEFT(Table20[[#This Row],[Min]],FIND("-",Table20[[#This Row],[Min]])-1),Table1[Content Sku],0),18,1,1,"Entities")),"review","ok"),"ok")</f>
        <v>ok</v>
      </c>
    </row>
    <row r="1157" spans="5:41" x14ac:dyDescent="0.25">
      <c r="E1157" t="s">
        <v>295</v>
      </c>
      <c r="F1157">
        <v>0</v>
      </c>
      <c r="G1157">
        <v>12000</v>
      </c>
      <c r="H1157" t="s">
        <v>205</v>
      </c>
      <c r="I1157" s="74" t="str">
        <f ca="1">IF(Table7[[#This Row],[Type]]="KILL",IF(_xlfn.NUMBERVALUE(RIGHT(Table7[[#This Row],[Min]],LEN(Table7[[#This Row],[Min]])-FIND("-",Table7[[#This Row],[Min]])))&gt;INDIRECT(ADDRESS(11+MATCH(LEFT(Table7[[#This Row],[Min]],FIND("-",Table7[[#This Row],[Min]])-1),Table1[Content Sku],0),16,1,1,"Entities")),"review","ok"),"ok")</f>
        <v>ok</v>
      </c>
      <c r="U1157" t="s">
        <v>313</v>
      </c>
      <c r="V1157">
        <v>0</v>
      </c>
      <c r="W1157">
        <v>0</v>
      </c>
      <c r="X1157" t="s">
        <v>8</v>
      </c>
      <c r="Y1157" s="74" t="str">
        <f ca="1">IF(Table15[[#This Row],[Type]]="KILL",IF(_xlfn.NUMBERVALUE(RIGHT(Table15[[#This Row],[Min]],LEN(Table15[[#This Row],[Min]])-FIND("-",Table15[[#This Row],[Min]])))&gt;INDIRECT(ADDRESS(11+MATCH(LEFT(Table15[[#This Row],[Min]],FIND("-",Table15[[#This Row],[Min]])-1),Table1[Content Sku],0),16,1,1,"Entities")),"review","ok"),"ok")</f>
        <v>ok</v>
      </c>
      <c r="AK1157" t="s">
        <v>2745</v>
      </c>
      <c r="AL1157">
        <v>0</v>
      </c>
      <c r="AM1157">
        <v>0</v>
      </c>
      <c r="AN1157" t="s">
        <v>8</v>
      </c>
      <c r="AO1157" s="74" t="str">
        <f ca="1">IF(Table20[[#This Row],[Type]]="KILL",IF(_xlfn.NUMBERVALUE(RIGHT(Table20[[#This Row],[Min]],LEN(Table20[[#This Row],[Min]])-FIND("-",Table20[[#This Row],[Min]])))&gt;INDIRECT(ADDRESS(11+MATCH(LEFT(Table20[[#This Row],[Min]],FIND("-",Table20[[#This Row],[Min]])-1),Table1[Content Sku],0),18,1,1,"Entities")),"review","ok"),"ok")</f>
        <v>ok</v>
      </c>
    </row>
    <row r="1158" spans="5:41" x14ac:dyDescent="0.25">
      <c r="E1158" t="s">
        <v>392</v>
      </c>
      <c r="F1158">
        <v>0</v>
      </c>
      <c r="G1158">
        <v>0</v>
      </c>
      <c r="H1158" t="s">
        <v>8</v>
      </c>
      <c r="I1158" s="74" t="str">
        <f ca="1">IF(Table7[[#This Row],[Type]]="KILL",IF(_xlfn.NUMBERVALUE(RIGHT(Table7[[#This Row],[Min]],LEN(Table7[[#This Row],[Min]])-FIND("-",Table7[[#This Row],[Min]])))&gt;INDIRECT(ADDRESS(11+MATCH(LEFT(Table7[[#This Row],[Min]],FIND("-",Table7[[#This Row],[Min]])-1),Table1[Content Sku],0),16,1,1,"Entities")),"review","ok"),"ok")</f>
        <v>ok</v>
      </c>
      <c r="U1158" t="s">
        <v>278</v>
      </c>
      <c r="V1158">
        <v>24000</v>
      </c>
      <c r="W1158">
        <v>0</v>
      </c>
      <c r="X1158" t="s">
        <v>205</v>
      </c>
      <c r="Y1158" s="74" t="str">
        <f ca="1">IF(Table15[[#This Row],[Type]]="KILL",IF(_xlfn.NUMBERVALUE(RIGHT(Table15[[#This Row],[Min]],LEN(Table15[[#This Row],[Min]])-FIND("-",Table15[[#This Row],[Min]])))&gt;INDIRECT(ADDRESS(11+MATCH(LEFT(Table15[[#This Row],[Min]],FIND("-",Table15[[#This Row],[Min]])-1),Table1[Content Sku],0),16,1,1,"Entities")),"review","ok"),"ok")</f>
        <v>ok</v>
      </c>
      <c r="AK1158" t="s">
        <v>313</v>
      </c>
      <c r="AL1158">
        <v>0</v>
      </c>
      <c r="AM1158">
        <v>0</v>
      </c>
      <c r="AN1158" t="s">
        <v>8</v>
      </c>
      <c r="AO1158" s="74" t="str">
        <f ca="1">IF(Table20[[#This Row],[Type]]="KILL",IF(_xlfn.NUMBERVALUE(RIGHT(Table20[[#This Row],[Min]],LEN(Table20[[#This Row],[Min]])-FIND("-",Table20[[#This Row],[Min]])))&gt;INDIRECT(ADDRESS(11+MATCH(LEFT(Table20[[#This Row],[Min]],FIND("-",Table20[[#This Row],[Min]])-1),Table1[Content Sku],0),18,1,1,"Entities")),"review","ok"),"ok")</f>
        <v>ok</v>
      </c>
    </row>
    <row r="1159" spans="5:41" x14ac:dyDescent="0.25">
      <c r="E1159" t="s">
        <v>311</v>
      </c>
      <c r="F1159">
        <v>0</v>
      </c>
      <c r="G1159">
        <v>0</v>
      </c>
      <c r="H1159" t="s">
        <v>8</v>
      </c>
      <c r="I1159" s="74" t="str">
        <f ca="1">IF(Table7[[#This Row],[Type]]="KILL",IF(_xlfn.NUMBERVALUE(RIGHT(Table7[[#This Row],[Min]],LEN(Table7[[#This Row],[Min]])-FIND("-",Table7[[#This Row],[Min]])))&gt;INDIRECT(ADDRESS(11+MATCH(LEFT(Table7[[#This Row],[Min]],FIND("-",Table7[[#This Row],[Min]])-1),Table1[Content Sku],0),16,1,1,"Entities")),"review","ok"),"ok")</f>
        <v>ok</v>
      </c>
      <c r="U1159" t="s">
        <v>315</v>
      </c>
      <c r="V1159">
        <v>0</v>
      </c>
      <c r="W1159">
        <v>0</v>
      </c>
      <c r="X1159" t="s">
        <v>8</v>
      </c>
      <c r="Y1159" s="74" t="str">
        <f ca="1">IF(Table15[[#This Row],[Type]]="KILL",IF(_xlfn.NUMBERVALUE(RIGHT(Table15[[#This Row],[Min]],LEN(Table15[[#This Row],[Min]])-FIND("-",Table15[[#This Row],[Min]])))&gt;INDIRECT(ADDRESS(11+MATCH(LEFT(Table15[[#This Row],[Min]],FIND("-",Table15[[#This Row],[Min]])-1),Table1[Content Sku],0),16,1,1,"Entities")),"review","ok"),"ok")</f>
        <v>ok</v>
      </c>
      <c r="AK1159" t="s">
        <v>2674</v>
      </c>
      <c r="AL1159">
        <v>0</v>
      </c>
      <c r="AM1159">
        <v>0</v>
      </c>
      <c r="AN1159" t="s">
        <v>8</v>
      </c>
      <c r="AO1159" s="74" t="str">
        <f ca="1">IF(Table20[[#This Row],[Type]]="KILL",IF(_xlfn.NUMBERVALUE(RIGHT(Table20[[#This Row],[Min]],LEN(Table20[[#This Row],[Min]])-FIND("-",Table20[[#This Row],[Min]])))&gt;INDIRECT(ADDRESS(11+MATCH(LEFT(Table20[[#This Row],[Min]],FIND("-",Table20[[#This Row],[Min]])-1),Table1[Content Sku],0),18,1,1,"Entities")),"review","ok"),"ok")</f>
        <v>ok</v>
      </c>
    </row>
    <row r="1160" spans="5:41" x14ac:dyDescent="0.25">
      <c r="E1160" t="s">
        <v>338</v>
      </c>
      <c r="F1160">
        <v>0</v>
      </c>
      <c r="G1160">
        <v>0</v>
      </c>
      <c r="H1160" t="s">
        <v>8</v>
      </c>
      <c r="I1160" s="74" t="str">
        <f ca="1">IF(Table7[[#This Row],[Type]]="KILL",IF(_xlfn.NUMBERVALUE(RIGHT(Table7[[#This Row],[Min]],LEN(Table7[[#This Row],[Min]])-FIND("-",Table7[[#This Row],[Min]])))&gt;INDIRECT(ADDRESS(11+MATCH(LEFT(Table7[[#This Row],[Min]],FIND("-",Table7[[#This Row],[Min]])-1),Table1[Content Sku],0),16,1,1,"Entities")),"review","ok"),"ok")</f>
        <v>ok</v>
      </c>
      <c r="U1160" t="s">
        <v>43</v>
      </c>
      <c r="V1160">
        <v>50000</v>
      </c>
      <c r="W1160">
        <v>0</v>
      </c>
      <c r="X1160" t="s">
        <v>205</v>
      </c>
      <c r="Y1160" s="74" t="str">
        <f ca="1">IF(Table15[[#This Row],[Type]]="KILL",IF(_xlfn.NUMBERVALUE(RIGHT(Table15[[#This Row],[Min]],LEN(Table15[[#This Row],[Min]])-FIND("-",Table15[[#This Row],[Min]])))&gt;INDIRECT(ADDRESS(11+MATCH(LEFT(Table15[[#This Row],[Min]],FIND("-",Table15[[#This Row],[Min]])-1),Table1[Content Sku],0),16,1,1,"Entities")),"review","ok"),"ok")</f>
        <v>ok</v>
      </c>
      <c r="AK1160" t="s">
        <v>95</v>
      </c>
      <c r="AL1160">
        <v>0</v>
      </c>
      <c r="AM1160">
        <v>0</v>
      </c>
      <c r="AN1160" t="s">
        <v>8</v>
      </c>
      <c r="AO1160" s="74" t="str">
        <f ca="1">IF(Table20[[#This Row],[Type]]="KILL",IF(_xlfn.NUMBERVALUE(RIGHT(Table20[[#This Row],[Min]],LEN(Table20[[#This Row],[Min]])-FIND("-",Table20[[#This Row],[Min]])))&gt;INDIRECT(ADDRESS(11+MATCH(LEFT(Table20[[#This Row],[Min]],FIND("-",Table20[[#This Row],[Min]])-1),Table1[Content Sku],0),18,1,1,"Entities")),"review","ok"),"ok")</f>
        <v>ok</v>
      </c>
    </row>
    <row r="1161" spans="5:41" x14ac:dyDescent="0.25">
      <c r="E1161" t="s">
        <v>21</v>
      </c>
      <c r="F1161">
        <v>0</v>
      </c>
      <c r="G1161">
        <v>0</v>
      </c>
      <c r="H1161" t="s">
        <v>8</v>
      </c>
      <c r="I1161" s="74" t="str">
        <f ca="1">IF(Table7[[#This Row],[Type]]="KILL",IF(_xlfn.NUMBERVALUE(RIGHT(Table7[[#This Row],[Min]],LEN(Table7[[#This Row],[Min]])-FIND("-",Table7[[#This Row],[Min]])))&gt;INDIRECT(ADDRESS(11+MATCH(LEFT(Table7[[#This Row],[Min]],FIND("-",Table7[[#This Row],[Min]])-1),Table1[Content Sku],0),16,1,1,"Entities")),"review","ok"),"ok")</f>
        <v>ok</v>
      </c>
      <c r="U1161" t="s">
        <v>2723</v>
      </c>
      <c r="V1161">
        <v>0</v>
      </c>
      <c r="W1161">
        <v>0</v>
      </c>
      <c r="X1161" t="s">
        <v>8</v>
      </c>
      <c r="Y1161" s="74" t="str">
        <f ca="1">IF(Table15[[#This Row],[Type]]="KILL",IF(_xlfn.NUMBERVALUE(RIGHT(Table15[[#This Row],[Min]],LEN(Table15[[#This Row],[Min]])-FIND("-",Table15[[#This Row],[Min]])))&gt;INDIRECT(ADDRESS(11+MATCH(LEFT(Table15[[#This Row],[Min]],FIND("-",Table15[[#This Row],[Min]])-1),Table1[Content Sku],0),16,1,1,"Entities")),"review","ok"),"ok")</f>
        <v>ok</v>
      </c>
      <c r="AK1161" t="s">
        <v>257</v>
      </c>
      <c r="AL1161">
        <v>0</v>
      </c>
      <c r="AM1161">
        <v>45000</v>
      </c>
      <c r="AN1161" t="s">
        <v>205</v>
      </c>
      <c r="AO1161" s="74" t="str">
        <f ca="1">IF(Table20[[#This Row],[Type]]="KILL",IF(_xlfn.NUMBERVALUE(RIGHT(Table20[[#This Row],[Min]],LEN(Table20[[#This Row],[Min]])-FIND("-",Table20[[#This Row],[Min]])))&gt;INDIRECT(ADDRESS(11+MATCH(LEFT(Table20[[#This Row],[Min]],FIND("-",Table20[[#This Row],[Min]])-1),Table1[Content Sku],0),18,1,1,"Entities")),"review","ok"),"ok")</f>
        <v>ok</v>
      </c>
    </row>
    <row r="1162" spans="5:41" x14ac:dyDescent="0.25">
      <c r="E1162" t="s">
        <v>2741</v>
      </c>
      <c r="F1162">
        <v>0</v>
      </c>
      <c r="G1162">
        <v>0</v>
      </c>
      <c r="H1162" t="s">
        <v>8</v>
      </c>
      <c r="I1162" s="74" t="str">
        <f ca="1">IF(Table7[[#This Row],[Type]]="KILL",IF(_xlfn.NUMBERVALUE(RIGHT(Table7[[#This Row],[Min]],LEN(Table7[[#This Row],[Min]])-FIND("-",Table7[[#This Row],[Min]])))&gt;INDIRECT(ADDRESS(11+MATCH(LEFT(Table7[[#This Row],[Min]],FIND("-",Table7[[#This Row],[Min]])-1),Table1[Content Sku],0),16,1,1,"Entities")),"review","ok"),"ok")</f>
        <v>ok</v>
      </c>
      <c r="U1162" t="s">
        <v>418</v>
      </c>
      <c r="V1162">
        <v>0</v>
      </c>
      <c r="W1162">
        <v>0</v>
      </c>
      <c r="X1162" t="s">
        <v>8</v>
      </c>
      <c r="Y1162" s="74" t="str">
        <f ca="1">IF(Table15[[#This Row],[Type]]="KILL",IF(_xlfn.NUMBERVALUE(RIGHT(Table15[[#This Row],[Min]],LEN(Table15[[#This Row],[Min]])-FIND("-",Table15[[#This Row],[Min]])))&gt;INDIRECT(ADDRESS(11+MATCH(LEFT(Table15[[#This Row],[Min]],FIND("-",Table15[[#This Row],[Min]])-1),Table1[Content Sku],0),16,1,1,"Entities")),"review","ok"),"ok")</f>
        <v>ok</v>
      </c>
      <c r="AK1162" t="s">
        <v>258</v>
      </c>
      <c r="AL1162">
        <v>41000</v>
      </c>
      <c r="AM1162">
        <v>0</v>
      </c>
      <c r="AN1162" t="s">
        <v>205</v>
      </c>
      <c r="AO1162" s="74" t="str">
        <f ca="1">IF(Table20[[#This Row],[Type]]="KILL",IF(_xlfn.NUMBERVALUE(RIGHT(Table20[[#This Row],[Min]],LEN(Table20[[#This Row],[Min]])-FIND("-",Table20[[#This Row],[Min]])))&gt;INDIRECT(ADDRESS(11+MATCH(LEFT(Table20[[#This Row],[Min]],FIND("-",Table20[[#This Row],[Min]])-1),Table1[Content Sku],0),18,1,1,"Entities")),"review","ok"),"ok")</f>
        <v>ok</v>
      </c>
    </row>
    <row r="1163" spans="5:41" x14ac:dyDescent="0.25">
      <c r="E1163" t="s">
        <v>256</v>
      </c>
      <c r="F1163">
        <v>0</v>
      </c>
      <c r="G1163">
        <v>0</v>
      </c>
      <c r="H1163" t="s">
        <v>8</v>
      </c>
      <c r="I1163" s="74" t="str">
        <f ca="1">IF(Table7[[#This Row],[Type]]="KILL",IF(_xlfn.NUMBERVALUE(RIGHT(Table7[[#This Row],[Min]],LEN(Table7[[#This Row],[Min]])-FIND("-",Table7[[#This Row],[Min]])))&gt;INDIRECT(ADDRESS(11+MATCH(LEFT(Table7[[#This Row],[Min]],FIND("-",Table7[[#This Row],[Min]])-1),Table1[Content Sku],0),16,1,1,"Entities")),"review","ok"),"ok")</f>
        <v>ok</v>
      </c>
      <c r="U1163" t="s">
        <v>392</v>
      </c>
      <c r="V1163">
        <v>0</v>
      </c>
      <c r="W1163">
        <v>0</v>
      </c>
      <c r="X1163" t="s">
        <v>8</v>
      </c>
      <c r="Y1163" s="74" t="str">
        <f ca="1">IF(Table15[[#This Row],[Type]]="KILL",IF(_xlfn.NUMBERVALUE(RIGHT(Table15[[#This Row],[Min]],LEN(Table15[[#This Row],[Min]])-FIND("-",Table15[[#This Row],[Min]])))&gt;INDIRECT(ADDRESS(11+MATCH(LEFT(Table15[[#This Row],[Min]],FIND("-",Table15[[#This Row],[Min]])-1),Table1[Content Sku],0),16,1,1,"Entities")),"review","ok"),"ok")</f>
        <v>ok</v>
      </c>
    </row>
    <row r="1164" spans="5:41" x14ac:dyDescent="0.25">
      <c r="E1164" t="s">
        <v>46</v>
      </c>
      <c r="F1164">
        <v>0</v>
      </c>
      <c r="G1164">
        <v>0</v>
      </c>
      <c r="H1164" t="s">
        <v>8</v>
      </c>
      <c r="I1164" s="74" t="str">
        <f ca="1">IF(Table7[[#This Row],[Type]]="KILL",IF(_xlfn.NUMBERVALUE(RIGHT(Table7[[#This Row],[Min]],LEN(Table7[[#This Row],[Min]])-FIND("-",Table7[[#This Row],[Min]])))&gt;INDIRECT(ADDRESS(11+MATCH(LEFT(Table7[[#This Row],[Min]],FIND("-",Table7[[#This Row],[Min]])-1),Table1[Content Sku],0),16,1,1,"Entities")),"review","ok"),"ok")</f>
        <v>ok</v>
      </c>
      <c r="U1164" t="s">
        <v>545</v>
      </c>
      <c r="V1164">
        <v>0</v>
      </c>
      <c r="W1164">
        <v>0</v>
      </c>
      <c r="X1164" t="s">
        <v>8</v>
      </c>
      <c r="Y1164" s="74" t="str">
        <f ca="1">IF(Table15[[#This Row],[Type]]="KILL",IF(_xlfn.NUMBERVALUE(RIGHT(Table15[[#This Row],[Min]],LEN(Table15[[#This Row],[Min]])-FIND("-",Table15[[#This Row],[Min]])))&gt;INDIRECT(ADDRESS(11+MATCH(LEFT(Table15[[#This Row],[Min]],FIND("-",Table15[[#This Row],[Min]])-1),Table1[Content Sku],0),16,1,1,"Entities")),"review","ok"),"ok")</f>
        <v>ok</v>
      </c>
    </row>
    <row r="1165" spans="5:41" x14ac:dyDescent="0.25">
      <c r="E1165" t="s">
        <v>258</v>
      </c>
      <c r="F1165">
        <v>25000</v>
      </c>
      <c r="G1165">
        <v>0</v>
      </c>
      <c r="H1165" t="s">
        <v>205</v>
      </c>
      <c r="I1165" s="74" t="str">
        <f ca="1">IF(Table7[[#This Row],[Type]]="KILL",IF(_xlfn.NUMBERVALUE(RIGHT(Table7[[#This Row],[Min]],LEN(Table7[[#This Row],[Min]])-FIND("-",Table7[[#This Row],[Min]])))&gt;INDIRECT(ADDRESS(11+MATCH(LEFT(Table7[[#This Row],[Min]],FIND("-",Table7[[#This Row],[Min]])-1),Table1[Content Sku],0),16,1,1,"Entities")),"review","ok"),"ok")</f>
        <v>ok</v>
      </c>
      <c r="U1165" t="s">
        <v>293</v>
      </c>
      <c r="V1165">
        <v>0</v>
      </c>
      <c r="W1165">
        <v>0</v>
      </c>
      <c r="X1165" t="s">
        <v>8</v>
      </c>
      <c r="Y1165" s="74" t="str">
        <f ca="1">IF(Table15[[#This Row],[Type]]="KILL",IF(_xlfn.NUMBERVALUE(RIGHT(Table15[[#This Row],[Min]],LEN(Table15[[#This Row],[Min]])-FIND("-",Table15[[#This Row],[Min]])))&gt;INDIRECT(ADDRESS(11+MATCH(LEFT(Table15[[#This Row],[Min]],FIND("-",Table15[[#This Row],[Min]])-1),Table1[Content Sku],0),16,1,1,"Entities")),"review","ok"),"ok")</f>
        <v>ok</v>
      </c>
    </row>
    <row r="1166" spans="5:41" x14ac:dyDescent="0.25">
      <c r="E1166" t="s">
        <v>254</v>
      </c>
      <c r="F1166">
        <v>0</v>
      </c>
      <c r="G1166">
        <v>0</v>
      </c>
      <c r="H1166" t="s">
        <v>8</v>
      </c>
      <c r="I1166" s="74" t="str">
        <f ca="1">IF(Table7[[#This Row],[Type]]="KILL",IF(_xlfn.NUMBERVALUE(RIGHT(Table7[[#This Row],[Min]],LEN(Table7[[#This Row],[Min]])-FIND("-",Table7[[#This Row],[Min]])))&gt;INDIRECT(ADDRESS(11+MATCH(LEFT(Table7[[#This Row],[Min]],FIND("-",Table7[[#This Row],[Min]])-1),Table1[Content Sku],0),16,1,1,"Entities")),"review","ok"),"ok")</f>
        <v>ok</v>
      </c>
      <c r="U1166" t="s">
        <v>42</v>
      </c>
      <c r="V1166">
        <v>46000</v>
      </c>
      <c r="W1166">
        <v>0</v>
      </c>
      <c r="X1166" t="s">
        <v>205</v>
      </c>
      <c r="Y1166" s="74" t="str">
        <f ca="1">IF(Table15[[#This Row],[Type]]="KILL",IF(_xlfn.NUMBERVALUE(RIGHT(Table15[[#This Row],[Min]],LEN(Table15[[#This Row],[Min]])-FIND("-",Table15[[#This Row],[Min]])))&gt;INDIRECT(ADDRESS(11+MATCH(LEFT(Table15[[#This Row],[Min]],FIND("-",Table15[[#This Row],[Min]])-1),Table1[Content Sku],0),16,1,1,"Entities")),"review","ok"),"ok")</f>
        <v>ok</v>
      </c>
    </row>
    <row r="1167" spans="5:41" x14ac:dyDescent="0.25">
      <c r="E1167" t="s">
        <v>336</v>
      </c>
      <c r="F1167">
        <v>9500</v>
      </c>
      <c r="G1167">
        <v>0</v>
      </c>
      <c r="H1167" t="s">
        <v>205</v>
      </c>
      <c r="I1167" s="74" t="str">
        <f ca="1">IF(Table7[[#This Row],[Type]]="KILL",IF(_xlfn.NUMBERVALUE(RIGHT(Table7[[#This Row],[Min]],LEN(Table7[[#This Row],[Min]])-FIND("-",Table7[[#This Row],[Min]])))&gt;INDIRECT(ADDRESS(11+MATCH(LEFT(Table7[[#This Row],[Min]],FIND("-",Table7[[#This Row],[Min]])-1),Table1[Content Sku],0),16,1,1,"Entities")),"review","ok"),"ok")</f>
        <v>ok</v>
      </c>
      <c r="U1167" t="s">
        <v>280</v>
      </c>
      <c r="V1167">
        <v>0</v>
      </c>
      <c r="W1167">
        <v>0</v>
      </c>
      <c r="X1167" t="s">
        <v>8</v>
      </c>
      <c r="Y1167" s="74" t="str">
        <f ca="1">IF(Table15[[#This Row],[Type]]="KILL",IF(_xlfn.NUMBERVALUE(RIGHT(Table15[[#This Row],[Min]],LEN(Table15[[#This Row],[Min]])-FIND("-",Table15[[#This Row],[Min]])))&gt;INDIRECT(ADDRESS(11+MATCH(LEFT(Table15[[#This Row],[Min]],FIND("-",Table15[[#This Row],[Min]])-1),Table1[Content Sku],0),16,1,1,"Entities")),"review","ok"),"ok")</f>
        <v>ok</v>
      </c>
    </row>
    <row r="1168" spans="5:41" x14ac:dyDescent="0.25">
      <c r="E1168" t="s">
        <v>2732</v>
      </c>
      <c r="F1168">
        <v>0</v>
      </c>
      <c r="G1168">
        <v>0</v>
      </c>
      <c r="H1168" t="s">
        <v>8</v>
      </c>
      <c r="I1168" s="74" t="str">
        <f ca="1">IF(Table7[[#This Row],[Type]]="KILL",IF(_xlfn.NUMBERVALUE(RIGHT(Table7[[#This Row],[Min]],LEN(Table7[[#This Row],[Min]])-FIND("-",Table7[[#This Row],[Min]])))&gt;INDIRECT(ADDRESS(11+MATCH(LEFT(Table7[[#This Row],[Min]],FIND("-",Table7[[#This Row],[Min]])-1),Table1[Content Sku],0),16,1,1,"Entities")),"review","ok"),"ok")</f>
        <v>ok</v>
      </c>
      <c r="U1168" t="s">
        <v>280</v>
      </c>
      <c r="V1168">
        <v>35000</v>
      </c>
      <c r="W1168">
        <v>0</v>
      </c>
      <c r="X1168" t="s">
        <v>205</v>
      </c>
      <c r="Y1168" s="74" t="str">
        <f ca="1">IF(Table15[[#This Row],[Type]]="KILL",IF(_xlfn.NUMBERVALUE(RIGHT(Table15[[#This Row],[Min]],LEN(Table15[[#This Row],[Min]])-FIND("-",Table15[[#This Row],[Min]])))&gt;INDIRECT(ADDRESS(11+MATCH(LEFT(Table15[[#This Row],[Min]],FIND("-",Table15[[#This Row],[Min]])-1),Table1[Content Sku],0),16,1,1,"Entities")),"review","ok"),"ok")</f>
        <v>ok</v>
      </c>
    </row>
    <row r="1169" spans="5:25" x14ac:dyDescent="0.25">
      <c r="E1169" t="s">
        <v>41</v>
      </c>
      <c r="F1169">
        <v>10000</v>
      </c>
      <c r="G1169">
        <v>0</v>
      </c>
      <c r="H1169" t="s">
        <v>205</v>
      </c>
      <c r="I1169" s="74" t="str">
        <f ca="1">IF(Table7[[#This Row],[Type]]="KILL",IF(_xlfn.NUMBERVALUE(RIGHT(Table7[[#This Row],[Min]],LEN(Table7[[#This Row],[Min]])-FIND("-",Table7[[#This Row],[Min]])))&gt;INDIRECT(ADDRESS(11+MATCH(LEFT(Table7[[#This Row],[Min]],FIND("-",Table7[[#This Row],[Min]])-1),Table1[Content Sku],0),16,1,1,"Entities")),"review","ok"),"ok")</f>
        <v>ok</v>
      </c>
      <c r="U1169" t="s">
        <v>280</v>
      </c>
      <c r="V1169">
        <v>0</v>
      </c>
      <c r="W1169">
        <v>0</v>
      </c>
      <c r="X1169" t="s">
        <v>8</v>
      </c>
      <c r="Y1169" s="74" t="str">
        <f ca="1">IF(Table15[[#This Row],[Type]]="KILL",IF(_xlfn.NUMBERVALUE(RIGHT(Table15[[#This Row],[Min]],LEN(Table15[[#This Row],[Min]])-FIND("-",Table15[[#This Row],[Min]])))&gt;INDIRECT(ADDRESS(11+MATCH(LEFT(Table15[[#This Row],[Min]],FIND("-",Table15[[#This Row],[Min]])-1),Table1[Content Sku],0),16,1,1,"Entities")),"review","ok"),"ok")</f>
        <v>ok</v>
      </c>
    </row>
    <row r="1170" spans="5:25" x14ac:dyDescent="0.25">
      <c r="E1170" t="s">
        <v>90</v>
      </c>
      <c r="F1170">
        <v>0</v>
      </c>
      <c r="G1170">
        <v>0</v>
      </c>
      <c r="H1170" t="s">
        <v>8</v>
      </c>
      <c r="I1170" s="74" t="str">
        <f ca="1">IF(Table7[[#This Row],[Type]]="KILL",IF(_xlfn.NUMBERVALUE(RIGHT(Table7[[#This Row],[Min]],LEN(Table7[[#This Row],[Min]])-FIND("-",Table7[[#This Row],[Min]])))&gt;INDIRECT(ADDRESS(11+MATCH(LEFT(Table7[[#This Row],[Min]],FIND("-",Table7[[#This Row],[Min]])-1),Table1[Content Sku],0),16,1,1,"Entities")),"review","ok"),"ok")</f>
        <v>ok</v>
      </c>
      <c r="U1170" t="s">
        <v>286</v>
      </c>
      <c r="V1170">
        <v>18000</v>
      </c>
      <c r="W1170">
        <v>40000</v>
      </c>
      <c r="X1170" t="s">
        <v>205</v>
      </c>
      <c r="Y1170" s="74" t="str">
        <f ca="1">IF(Table15[[#This Row],[Type]]="KILL",IF(_xlfn.NUMBERVALUE(RIGHT(Table15[[#This Row],[Min]],LEN(Table15[[#This Row],[Min]])-FIND("-",Table15[[#This Row],[Min]])))&gt;INDIRECT(ADDRESS(11+MATCH(LEFT(Table15[[#This Row],[Min]],FIND("-",Table15[[#This Row],[Min]])-1),Table1[Content Sku],0),16,1,1,"Entities")),"review","ok"),"ok")</f>
        <v>ok</v>
      </c>
    </row>
    <row r="1171" spans="5:25" x14ac:dyDescent="0.25">
      <c r="E1171" t="s">
        <v>8133</v>
      </c>
      <c r="F1171">
        <v>0</v>
      </c>
      <c r="G1171">
        <v>0</v>
      </c>
      <c r="H1171" t="s">
        <v>8</v>
      </c>
      <c r="I1171" s="74" t="str">
        <f ca="1">IF(Table7[[#This Row],[Type]]="KILL",IF(_xlfn.NUMBERVALUE(RIGHT(Table7[[#This Row],[Min]],LEN(Table7[[#This Row],[Min]])-FIND("-",Table7[[#This Row],[Min]])))&gt;INDIRECT(ADDRESS(11+MATCH(LEFT(Table7[[#This Row],[Min]],FIND("-",Table7[[#This Row],[Min]])-1),Table1[Content Sku],0),16,1,1,"Entities")),"review","ok"),"ok")</f>
        <v>ok</v>
      </c>
      <c r="U1171" t="s">
        <v>1</v>
      </c>
      <c r="V1171">
        <v>20000</v>
      </c>
      <c r="W1171">
        <v>0</v>
      </c>
      <c r="X1171" t="s">
        <v>205</v>
      </c>
      <c r="Y1171" s="74" t="str">
        <f ca="1">IF(Table15[[#This Row],[Type]]="KILL",IF(_xlfn.NUMBERVALUE(RIGHT(Table15[[#This Row],[Min]],LEN(Table15[[#This Row],[Min]])-FIND("-",Table15[[#This Row],[Min]])))&gt;INDIRECT(ADDRESS(11+MATCH(LEFT(Table15[[#This Row],[Min]],FIND("-",Table15[[#This Row],[Min]])-1),Table1[Content Sku],0),16,1,1,"Entities")),"review","ok"),"ok")</f>
        <v>ok</v>
      </c>
    </row>
    <row r="1172" spans="5:25" x14ac:dyDescent="0.25">
      <c r="E1172" t="s">
        <v>2732</v>
      </c>
      <c r="F1172">
        <v>0</v>
      </c>
      <c r="G1172">
        <v>0</v>
      </c>
      <c r="H1172" t="s">
        <v>8</v>
      </c>
      <c r="I1172" s="74" t="str">
        <f ca="1">IF(Table7[[#This Row],[Type]]="KILL",IF(_xlfn.NUMBERVALUE(RIGHT(Table7[[#This Row],[Min]],LEN(Table7[[#This Row],[Min]])-FIND("-",Table7[[#This Row],[Min]])))&gt;INDIRECT(ADDRESS(11+MATCH(LEFT(Table7[[#This Row],[Min]],FIND("-",Table7[[#This Row],[Min]])-1),Table1[Content Sku],0),16,1,1,"Entities")),"review","ok"),"ok")</f>
        <v>ok</v>
      </c>
      <c r="U1172" t="s">
        <v>276</v>
      </c>
      <c r="V1172">
        <v>0</v>
      </c>
      <c r="W1172">
        <v>40000</v>
      </c>
      <c r="X1172" t="s">
        <v>205</v>
      </c>
      <c r="Y1172" s="74" t="str">
        <f ca="1">IF(Table15[[#This Row],[Type]]="KILL",IF(_xlfn.NUMBERVALUE(RIGHT(Table15[[#This Row],[Min]],LEN(Table15[[#This Row],[Min]])-FIND("-",Table15[[#This Row],[Min]])))&gt;INDIRECT(ADDRESS(11+MATCH(LEFT(Table15[[#This Row],[Min]],FIND("-",Table15[[#This Row],[Min]])-1),Table1[Content Sku],0),16,1,1,"Entities")),"review","ok"),"ok")</f>
        <v>ok</v>
      </c>
    </row>
    <row r="1173" spans="5:25" x14ac:dyDescent="0.25">
      <c r="E1173" t="s">
        <v>17</v>
      </c>
      <c r="F1173">
        <v>0</v>
      </c>
      <c r="G1173">
        <v>0</v>
      </c>
      <c r="H1173" t="s">
        <v>8</v>
      </c>
      <c r="I1173" s="74" t="str">
        <f ca="1">IF(Table7[[#This Row],[Type]]="KILL",IF(_xlfn.NUMBERVALUE(RIGHT(Table7[[#This Row],[Min]],LEN(Table7[[#This Row],[Min]])-FIND("-",Table7[[#This Row],[Min]])))&gt;INDIRECT(ADDRESS(11+MATCH(LEFT(Table7[[#This Row],[Min]],FIND("-",Table7[[#This Row],[Min]])-1),Table1[Content Sku],0),16,1,1,"Entities")),"review","ok"),"ok")</f>
        <v>ok</v>
      </c>
      <c r="U1173" t="s">
        <v>2766</v>
      </c>
      <c r="V1173">
        <v>0</v>
      </c>
      <c r="W1173">
        <v>0</v>
      </c>
      <c r="X1173" t="s">
        <v>8</v>
      </c>
      <c r="Y1173" s="74" t="str">
        <f ca="1">IF(Table15[[#This Row],[Type]]="KILL",IF(_xlfn.NUMBERVALUE(RIGHT(Table15[[#This Row],[Min]],LEN(Table15[[#This Row],[Min]])-FIND("-",Table15[[#This Row],[Min]])))&gt;INDIRECT(ADDRESS(11+MATCH(LEFT(Table15[[#This Row],[Min]],FIND("-",Table15[[#This Row],[Min]])-1),Table1[Content Sku],0),16,1,1,"Entities")),"review","ok"),"ok")</f>
        <v>ok</v>
      </c>
    </row>
    <row r="1174" spans="5:25" x14ac:dyDescent="0.25">
      <c r="E1174" t="s">
        <v>318</v>
      </c>
      <c r="F1174">
        <v>0</v>
      </c>
      <c r="G1174">
        <v>0</v>
      </c>
      <c r="H1174" t="s">
        <v>8</v>
      </c>
      <c r="I1174" s="74" t="str">
        <f ca="1">IF(Table7[[#This Row],[Type]]="KILL",IF(_xlfn.NUMBERVALUE(RIGHT(Table7[[#This Row],[Min]],LEN(Table7[[#This Row],[Min]])-FIND("-",Table7[[#This Row],[Min]])))&gt;INDIRECT(ADDRESS(11+MATCH(LEFT(Table7[[#This Row],[Min]],FIND("-",Table7[[#This Row],[Min]])-1),Table1[Content Sku],0),16,1,1,"Entities")),"review","ok"),"ok")</f>
        <v>ok</v>
      </c>
      <c r="U1174" t="s">
        <v>2736</v>
      </c>
      <c r="V1174">
        <v>0</v>
      </c>
      <c r="W1174">
        <v>0</v>
      </c>
      <c r="X1174" t="s">
        <v>8</v>
      </c>
      <c r="Y1174" s="74" t="str">
        <f ca="1">IF(Table15[[#This Row],[Type]]="KILL",IF(_xlfn.NUMBERVALUE(RIGHT(Table15[[#This Row],[Min]],LEN(Table15[[#This Row],[Min]])-FIND("-",Table15[[#This Row],[Min]])))&gt;INDIRECT(ADDRESS(11+MATCH(LEFT(Table15[[#This Row],[Min]],FIND("-",Table15[[#This Row],[Min]])-1),Table1[Content Sku],0),16,1,1,"Entities")),"review","ok"),"ok")</f>
        <v>ok</v>
      </c>
    </row>
    <row r="1175" spans="5:25" x14ac:dyDescent="0.25">
      <c r="E1175" t="s">
        <v>254</v>
      </c>
      <c r="F1175">
        <v>0</v>
      </c>
      <c r="G1175">
        <v>0</v>
      </c>
      <c r="H1175" t="s">
        <v>8</v>
      </c>
      <c r="I1175" s="74" t="str">
        <f ca="1">IF(Table7[[#This Row],[Type]]="KILL",IF(_xlfn.NUMBERVALUE(RIGHT(Table7[[#This Row],[Min]],LEN(Table7[[#This Row],[Min]])-FIND("-",Table7[[#This Row],[Min]])))&gt;INDIRECT(ADDRESS(11+MATCH(LEFT(Table7[[#This Row],[Min]],FIND("-",Table7[[#This Row],[Min]])-1),Table1[Content Sku],0),16,1,1,"Entities")),"review","ok"),"ok")</f>
        <v>ok</v>
      </c>
      <c r="U1175" t="s">
        <v>7991</v>
      </c>
      <c r="V1175">
        <v>0</v>
      </c>
      <c r="W1175">
        <v>0</v>
      </c>
      <c r="X1175" t="s">
        <v>8</v>
      </c>
      <c r="Y1175" s="74" t="str">
        <f ca="1">IF(Table15[[#This Row],[Type]]="KILL",IF(_xlfn.NUMBERVALUE(RIGHT(Table15[[#This Row],[Min]],LEN(Table15[[#This Row],[Min]])-FIND("-",Table15[[#This Row],[Min]])))&gt;INDIRECT(ADDRESS(11+MATCH(LEFT(Table15[[#This Row],[Min]],FIND("-",Table15[[#This Row],[Min]])-1),Table1[Content Sku],0),16,1,1,"Entities")),"review","ok"),"ok")</f>
        <v>ok</v>
      </c>
    </row>
    <row r="1176" spans="5:25" x14ac:dyDescent="0.25">
      <c r="E1176" t="s">
        <v>393</v>
      </c>
      <c r="F1176">
        <v>0</v>
      </c>
      <c r="G1176">
        <v>0</v>
      </c>
      <c r="H1176" t="s">
        <v>8</v>
      </c>
      <c r="I1176" s="74" t="str">
        <f ca="1">IF(Table7[[#This Row],[Type]]="KILL",IF(_xlfn.NUMBERVALUE(RIGHT(Table7[[#This Row],[Min]],LEN(Table7[[#This Row],[Min]])-FIND("-",Table7[[#This Row],[Min]])))&gt;INDIRECT(ADDRESS(11+MATCH(LEFT(Table7[[#This Row],[Min]],FIND("-",Table7[[#This Row],[Min]])-1),Table1[Content Sku],0),16,1,1,"Entities")),"review","ok"),"ok")</f>
        <v>ok</v>
      </c>
      <c r="U1176" t="s">
        <v>254</v>
      </c>
      <c r="V1176">
        <v>0</v>
      </c>
      <c r="W1176">
        <v>0</v>
      </c>
      <c r="X1176" t="s">
        <v>8</v>
      </c>
      <c r="Y1176" s="74" t="str">
        <f ca="1">IF(Table15[[#This Row],[Type]]="KILL",IF(_xlfn.NUMBERVALUE(RIGHT(Table15[[#This Row],[Min]],LEN(Table15[[#This Row],[Min]])-FIND("-",Table15[[#This Row],[Min]])))&gt;INDIRECT(ADDRESS(11+MATCH(LEFT(Table15[[#This Row],[Min]],FIND("-",Table15[[#This Row],[Min]])-1),Table1[Content Sku],0),16,1,1,"Entities")),"review","ok"),"ok")</f>
        <v>ok</v>
      </c>
    </row>
    <row r="1177" spans="5:25" x14ac:dyDescent="0.25">
      <c r="E1177" t="s">
        <v>253</v>
      </c>
      <c r="F1177">
        <v>0</v>
      </c>
      <c r="G1177">
        <v>0</v>
      </c>
      <c r="H1177" t="s">
        <v>8</v>
      </c>
      <c r="I1177" s="74" t="str">
        <f ca="1">IF(Table7[[#This Row],[Type]]="KILL",IF(_xlfn.NUMBERVALUE(RIGHT(Table7[[#This Row],[Min]],LEN(Table7[[#This Row],[Min]])-FIND("-",Table7[[#This Row],[Min]])))&gt;INDIRECT(ADDRESS(11+MATCH(LEFT(Table7[[#This Row],[Min]],FIND("-",Table7[[#This Row],[Min]])-1),Table1[Content Sku],0),16,1,1,"Entities")),"review","ok"),"ok")</f>
        <v>ok</v>
      </c>
      <c r="U1177" t="s">
        <v>313</v>
      </c>
      <c r="V1177">
        <v>0</v>
      </c>
      <c r="W1177">
        <v>0</v>
      </c>
      <c r="X1177" t="s">
        <v>8</v>
      </c>
      <c r="Y1177" s="74" t="str">
        <f ca="1">IF(Table15[[#This Row],[Type]]="KILL",IF(_xlfn.NUMBERVALUE(RIGHT(Table15[[#This Row],[Min]],LEN(Table15[[#This Row],[Min]])-FIND("-",Table15[[#This Row],[Min]])))&gt;INDIRECT(ADDRESS(11+MATCH(LEFT(Table15[[#This Row],[Min]],FIND("-",Table15[[#This Row],[Min]])-1),Table1[Content Sku],0),16,1,1,"Entities")),"review","ok"),"ok")</f>
        <v>ok</v>
      </c>
    </row>
    <row r="1178" spans="5:25" x14ac:dyDescent="0.25">
      <c r="E1178" t="s">
        <v>295</v>
      </c>
      <c r="F1178">
        <v>16000</v>
      </c>
      <c r="G1178">
        <v>0</v>
      </c>
      <c r="H1178" t="s">
        <v>205</v>
      </c>
      <c r="I1178" s="74" t="str">
        <f ca="1">IF(Table7[[#This Row],[Type]]="KILL",IF(_xlfn.NUMBERVALUE(RIGHT(Table7[[#This Row],[Min]],LEN(Table7[[#This Row],[Min]])-FIND("-",Table7[[#This Row],[Min]])))&gt;INDIRECT(ADDRESS(11+MATCH(LEFT(Table7[[#This Row],[Min]],FIND("-",Table7[[#This Row],[Min]])-1),Table1[Content Sku],0),16,1,1,"Entities")),"review","ok"),"ok")</f>
        <v>ok</v>
      </c>
      <c r="U1178" t="s">
        <v>2766</v>
      </c>
      <c r="V1178">
        <v>0</v>
      </c>
      <c r="W1178">
        <v>0</v>
      </c>
      <c r="X1178" t="s">
        <v>8</v>
      </c>
      <c r="Y1178" s="74" t="str">
        <f ca="1">IF(Table15[[#This Row],[Type]]="KILL",IF(_xlfn.NUMBERVALUE(RIGHT(Table15[[#This Row],[Min]],LEN(Table15[[#This Row],[Min]])-FIND("-",Table15[[#This Row],[Min]])))&gt;INDIRECT(ADDRESS(11+MATCH(LEFT(Table15[[#This Row],[Min]],FIND("-",Table15[[#This Row],[Min]])-1),Table1[Content Sku],0),16,1,1,"Entities")),"review","ok"),"ok")</f>
        <v>ok</v>
      </c>
    </row>
    <row r="1179" spans="5:25" x14ac:dyDescent="0.25">
      <c r="E1179" t="s">
        <v>313</v>
      </c>
      <c r="F1179">
        <v>0</v>
      </c>
      <c r="G1179">
        <v>0</v>
      </c>
      <c r="H1179" t="s">
        <v>8</v>
      </c>
      <c r="I1179" s="74" t="str">
        <f ca="1">IF(Table7[[#This Row],[Type]]="KILL",IF(_xlfn.NUMBERVALUE(RIGHT(Table7[[#This Row],[Min]],LEN(Table7[[#This Row],[Min]])-FIND("-",Table7[[#This Row],[Min]])))&gt;INDIRECT(ADDRESS(11+MATCH(LEFT(Table7[[#This Row],[Min]],FIND("-",Table7[[#This Row],[Min]])-1),Table1[Content Sku],0),16,1,1,"Entities")),"review","ok"),"ok")</f>
        <v>ok</v>
      </c>
      <c r="U1179" t="s">
        <v>548</v>
      </c>
      <c r="V1179">
        <v>0</v>
      </c>
      <c r="W1179">
        <v>0</v>
      </c>
      <c r="X1179" t="s">
        <v>8</v>
      </c>
      <c r="Y1179" s="74" t="str">
        <f ca="1">IF(Table15[[#This Row],[Type]]="KILL",IF(_xlfn.NUMBERVALUE(RIGHT(Table15[[#This Row],[Min]],LEN(Table15[[#This Row],[Min]])-FIND("-",Table15[[#This Row],[Min]])))&gt;INDIRECT(ADDRESS(11+MATCH(LEFT(Table15[[#This Row],[Min]],FIND("-",Table15[[#This Row],[Min]])-1),Table1[Content Sku],0),16,1,1,"Entities")),"review","ok"),"ok")</f>
        <v>ok</v>
      </c>
    </row>
    <row r="1180" spans="5:25" x14ac:dyDescent="0.25">
      <c r="E1180" t="s">
        <v>91</v>
      </c>
      <c r="F1180">
        <v>0</v>
      </c>
      <c r="G1180">
        <v>0</v>
      </c>
      <c r="H1180" t="s">
        <v>8</v>
      </c>
      <c r="I1180" s="74" t="str">
        <f ca="1">IF(Table7[[#This Row],[Type]]="KILL",IF(_xlfn.NUMBERVALUE(RIGHT(Table7[[#This Row],[Min]],LEN(Table7[[#This Row],[Min]])-FIND("-",Table7[[#This Row],[Min]])))&gt;INDIRECT(ADDRESS(11+MATCH(LEFT(Table7[[#This Row],[Min]],FIND("-",Table7[[#This Row],[Min]])-1),Table1[Content Sku],0),16,1,1,"Entities")),"review","ok"),"ok")</f>
        <v>ok</v>
      </c>
      <c r="U1180" t="s">
        <v>95</v>
      </c>
      <c r="V1180">
        <v>0</v>
      </c>
      <c r="W1180">
        <v>0</v>
      </c>
      <c r="X1180" t="s">
        <v>8</v>
      </c>
      <c r="Y1180" s="74" t="str">
        <f ca="1">IF(Table15[[#This Row],[Type]]="KILL",IF(_xlfn.NUMBERVALUE(RIGHT(Table15[[#This Row],[Min]],LEN(Table15[[#This Row],[Min]])-FIND("-",Table15[[#This Row],[Min]])))&gt;INDIRECT(ADDRESS(11+MATCH(LEFT(Table15[[#This Row],[Min]],FIND("-",Table15[[#This Row],[Min]])-1),Table1[Content Sku],0),16,1,1,"Entities")),"review","ok"),"ok")</f>
        <v>ok</v>
      </c>
    </row>
    <row r="1181" spans="5:25" x14ac:dyDescent="0.25">
      <c r="E1181" t="s">
        <v>313</v>
      </c>
      <c r="F1181">
        <v>0</v>
      </c>
      <c r="G1181">
        <v>0</v>
      </c>
      <c r="H1181" t="s">
        <v>8</v>
      </c>
      <c r="I1181" s="74" t="str">
        <f ca="1">IF(Table7[[#This Row],[Type]]="KILL",IF(_xlfn.NUMBERVALUE(RIGHT(Table7[[#This Row],[Min]],LEN(Table7[[#This Row],[Min]])-FIND("-",Table7[[#This Row],[Min]])))&gt;INDIRECT(ADDRESS(11+MATCH(LEFT(Table7[[#This Row],[Min]],FIND("-",Table7[[#This Row],[Min]])-1),Table1[Content Sku],0),16,1,1,"Entities")),"review","ok"),"ok")</f>
        <v>ok</v>
      </c>
      <c r="U1181" t="s">
        <v>313</v>
      </c>
      <c r="V1181">
        <v>0</v>
      </c>
      <c r="W1181">
        <v>0</v>
      </c>
      <c r="X1181" t="s">
        <v>8</v>
      </c>
      <c r="Y1181" s="74" t="str">
        <f ca="1">IF(Table15[[#This Row],[Type]]="KILL",IF(_xlfn.NUMBERVALUE(RIGHT(Table15[[#This Row],[Min]],LEN(Table15[[#This Row],[Min]])-FIND("-",Table15[[#This Row],[Min]])))&gt;INDIRECT(ADDRESS(11+MATCH(LEFT(Table15[[#This Row],[Min]],FIND("-",Table15[[#This Row],[Min]])-1),Table1[Content Sku],0),16,1,1,"Entities")),"review","ok"),"ok")</f>
        <v>ok</v>
      </c>
    </row>
    <row r="1182" spans="5:25" x14ac:dyDescent="0.25">
      <c r="E1182" t="s">
        <v>318</v>
      </c>
      <c r="F1182">
        <v>0</v>
      </c>
      <c r="G1182">
        <v>0</v>
      </c>
      <c r="H1182" t="s">
        <v>8</v>
      </c>
      <c r="I1182" s="74" t="str">
        <f ca="1">IF(Table7[[#This Row],[Type]]="KILL",IF(_xlfn.NUMBERVALUE(RIGHT(Table7[[#This Row],[Min]],LEN(Table7[[#This Row],[Min]])-FIND("-",Table7[[#This Row],[Min]])))&gt;INDIRECT(ADDRESS(11+MATCH(LEFT(Table7[[#This Row],[Min]],FIND("-",Table7[[#This Row],[Min]])-1),Table1[Content Sku],0),16,1,1,"Entities")),"review","ok"),"ok")</f>
        <v>ok</v>
      </c>
      <c r="U1182" t="s">
        <v>280</v>
      </c>
      <c r="V1182">
        <v>0</v>
      </c>
      <c r="W1182">
        <v>0</v>
      </c>
      <c r="X1182" t="s">
        <v>8</v>
      </c>
      <c r="Y1182" s="74" t="str">
        <f ca="1">IF(Table15[[#This Row],[Type]]="KILL",IF(_xlfn.NUMBERVALUE(RIGHT(Table15[[#This Row],[Min]],LEN(Table15[[#This Row],[Min]])-FIND("-",Table15[[#This Row],[Min]])))&gt;INDIRECT(ADDRESS(11+MATCH(LEFT(Table15[[#This Row],[Min]],FIND("-",Table15[[#This Row],[Min]])-1),Table1[Content Sku],0),16,1,1,"Entities")),"review","ok"),"ok")</f>
        <v>ok</v>
      </c>
    </row>
    <row r="1183" spans="5:25" x14ac:dyDescent="0.25">
      <c r="E1183" t="s">
        <v>2726</v>
      </c>
      <c r="F1183">
        <v>0</v>
      </c>
      <c r="G1183">
        <v>0</v>
      </c>
      <c r="H1183" t="s">
        <v>8</v>
      </c>
      <c r="I1183" s="74" t="str">
        <f ca="1">IF(Table7[[#This Row],[Type]]="KILL",IF(_xlfn.NUMBERVALUE(RIGHT(Table7[[#This Row],[Min]],LEN(Table7[[#This Row],[Min]])-FIND("-",Table7[[#This Row],[Min]])))&gt;INDIRECT(ADDRESS(11+MATCH(LEFT(Table7[[#This Row],[Min]],FIND("-",Table7[[#This Row],[Min]])-1),Table1[Content Sku],0),16,1,1,"Entities")),"review","ok"),"ok")</f>
        <v>ok</v>
      </c>
      <c r="U1183" t="s">
        <v>36</v>
      </c>
      <c r="V1183">
        <v>26000</v>
      </c>
      <c r="W1183">
        <v>0</v>
      </c>
      <c r="X1183" t="s">
        <v>205</v>
      </c>
      <c r="Y1183" s="74" t="str">
        <f ca="1">IF(Table15[[#This Row],[Type]]="KILL",IF(_xlfn.NUMBERVALUE(RIGHT(Table15[[#This Row],[Min]],LEN(Table15[[#This Row],[Min]])-FIND("-",Table15[[#This Row],[Min]])))&gt;INDIRECT(ADDRESS(11+MATCH(LEFT(Table15[[#This Row],[Min]],FIND("-",Table15[[#This Row],[Min]])-1),Table1[Content Sku],0),16,1,1,"Entities")),"review","ok"),"ok")</f>
        <v>ok</v>
      </c>
    </row>
    <row r="1184" spans="5:25" x14ac:dyDescent="0.25">
      <c r="E1184" t="s">
        <v>2741</v>
      </c>
      <c r="F1184">
        <v>0</v>
      </c>
      <c r="G1184">
        <v>0</v>
      </c>
      <c r="H1184" t="s">
        <v>8</v>
      </c>
      <c r="I1184" s="74" t="str">
        <f ca="1">IF(Table7[[#This Row],[Type]]="KILL",IF(_xlfn.NUMBERVALUE(RIGHT(Table7[[#This Row],[Min]],LEN(Table7[[#This Row],[Min]])-FIND("-",Table7[[#This Row],[Min]])))&gt;INDIRECT(ADDRESS(11+MATCH(LEFT(Table7[[#This Row],[Min]],FIND("-",Table7[[#This Row],[Min]])-1),Table1[Content Sku],0),16,1,1,"Entities")),"review","ok"),"ok")</f>
        <v>ok</v>
      </c>
      <c r="U1184" t="s">
        <v>4430</v>
      </c>
      <c r="V1184">
        <v>0</v>
      </c>
      <c r="W1184">
        <v>0</v>
      </c>
      <c r="X1184" t="s">
        <v>8</v>
      </c>
      <c r="Y1184" s="74" t="str">
        <f ca="1">IF(Table15[[#This Row],[Type]]="KILL",IF(_xlfn.NUMBERVALUE(RIGHT(Table15[[#This Row],[Min]],LEN(Table15[[#This Row],[Min]])-FIND("-",Table15[[#This Row],[Min]])))&gt;INDIRECT(ADDRESS(11+MATCH(LEFT(Table15[[#This Row],[Min]],FIND("-",Table15[[#This Row],[Min]])-1),Table1[Content Sku],0),16,1,1,"Entities")),"review","ok"),"ok")</f>
        <v>ok</v>
      </c>
    </row>
    <row r="1185" spans="5:25" x14ac:dyDescent="0.25">
      <c r="E1185" t="s">
        <v>361</v>
      </c>
      <c r="F1185" t="s">
        <v>8117</v>
      </c>
      <c r="G1185" t="s">
        <v>4467</v>
      </c>
      <c r="H1185" t="s">
        <v>4468</v>
      </c>
      <c r="I1185" s="74" t="str">
        <f ca="1">IF(Table7[[#This Row],[Type]]="KILL",IF(_xlfn.NUMBERVALUE(RIGHT(Table7[[#This Row],[Min]],LEN(Table7[[#This Row],[Min]])-FIND("-",Table7[[#This Row],[Min]])))&gt;INDIRECT(ADDRESS(11+MATCH(LEFT(Table7[[#This Row],[Min]],FIND("-",Table7[[#This Row],[Min]])-1),Table1[Content Sku],0),16,1,1,"Entities")),"review","ok"),"ok")</f>
        <v>ok</v>
      </c>
      <c r="U1185" t="s">
        <v>460</v>
      </c>
      <c r="V1185">
        <v>0</v>
      </c>
      <c r="W1185">
        <v>0</v>
      </c>
      <c r="X1185" t="s">
        <v>8</v>
      </c>
      <c r="Y1185" s="74" t="str">
        <f ca="1">IF(Table15[[#This Row],[Type]]="KILL",IF(_xlfn.NUMBERVALUE(RIGHT(Table15[[#This Row],[Min]],LEN(Table15[[#This Row],[Min]])-FIND("-",Table15[[#This Row],[Min]])))&gt;INDIRECT(ADDRESS(11+MATCH(LEFT(Table15[[#This Row],[Min]],FIND("-",Table15[[#This Row],[Min]])-1),Table1[Content Sku],0),16,1,1,"Entities")),"review","ok"),"ok")</f>
        <v>ok</v>
      </c>
    </row>
    <row r="1186" spans="5:25" x14ac:dyDescent="0.25">
      <c r="E1186" t="s">
        <v>90</v>
      </c>
      <c r="F1186">
        <v>0</v>
      </c>
      <c r="G1186">
        <v>0</v>
      </c>
      <c r="H1186" t="s">
        <v>8</v>
      </c>
      <c r="I1186" s="74" t="str">
        <f ca="1">IF(Table7[[#This Row],[Type]]="KILL",IF(_xlfn.NUMBERVALUE(RIGHT(Table7[[#This Row],[Min]],LEN(Table7[[#This Row],[Min]])-FIND("-",Table7[[#This Row],[Min]])))&gt;INDIRECT(ADDRESS(11+MATCH(LEFT(Table7[[#This Row],[Min]],FIND("-",Table7[[#This Row],[Min]])-1),Table1[Content Sku],0),16,1,1,"Entities")),"review","ok"),"ok")</f>
        <v>ok</v>
      </c>
      <c r="U1186" t="s">
        <v>47</v>
      </c>
      <c r="V1186">
        <v>0</v>
      </c>
      <c r="W1186">
        <v>0</v>
      </c>
      <c r="X1186" t="s">
        <v>8</v>
      </c>
      <c r="Y1186" s="74" t="str">
        <f ca="1">IF(Table15[[#This Row],[Type]]="KILL",IF(_xlfn.NUMBERVALUE(RIGHT(Table15[[#This Row],[Min]],LEN(Table15[[#This Row],[Min]])-FIND("-",Table15[[#This Row],[Min]])))&gt;INDIRECT(ADDRESS(11+MATCH(LEFT(Table15[[#This Row],[Min]],FIND("-",Table15[[#This Row],[Min]])-1),Table1[Content Sku],0),16,1,1,"Entities")),"review","ok"),"ok")</f>
        <v>ok</v>
      </c>
    </row>
    <row r="1187" spans="5:25" x14ac:dyDescent="0.25">
      <c r="E1187" t="s">
        <v>254</v>
      </c>
      <c r="F1187">
        <v>0</v>
      </c>
      <c r="G1187">
        <v>0</v>
      </c>
      <c r="H1187" t="s">
        <v>8</v>
      </c>
      <c r="I1187" s="74" t="str">
        <f ca="1">IF(Table7[[#This Row],[Type]]="KILL",IF(_xlfn.NUMBERVALUE(RIGHT(Table7[[#This Row],[Min]],LEN(Table7[[#This Row],[Min]])-FIND("-",Table7[[#This Row],[Min]])))&gt;INDIRECT(ADDRESS(11+MATCH(LEFT(Table7[[#This Row],[Min]],FIND("-",Table7[[#This Row],[Min]])-1),Table1[Content Sku],0),16,1,1,"Entities")),"review","ok"),"ok")</f>
        <v>ok</v>
      </c>
      <c r="U1187" t="s">
        <v>39</v>
      </c>
      <c r="V1187">
        <v>0</v>
      </c>
      <c r="W1187">
        <v>0</v>
      </c>
      <c r="X1187" t="s">
        <v>8</v>
      </c>
      <c r="Y1187" s="74" t="str">
        <f ca="1">IF(Table15[[#This Row],[Type]]="KILL",IF(_xlfn.NUMBERVALUE(RIGHT(Table15[[#This Row],[Min]],LEN(Table15[[#This Row],[Min]])-FIND("-",Table15[[#This Row],[Min]])))&gt;INDIRECT(ADDRESS(11+MATCH(LEFT(Table15[[#This Row],[Min]],FIND("-",Table15[[#This Row],[Min]])-1),Table1[Content Sku],0),16,1,1,"Entities")),"review","ok"),"ok")</f>
        <v>ok</v>
      </c>
    </row>
    <row r="1188" spans="5:25" x14ac:dyDescent="0.25">
      <c r="E1188" t="s">
        <v>91</v>
      </c>
      <c r="F1188">
        <v>0</v>
      </c>
      <c r="G1188">
        <v>0</v>
      </c>
      <c r="H1188" t="s">
        <v>8</v>
      </c>
      <c r="I1188" s="74" t="str">
        <f ca="1">IF(Table7[[#This Row],[Type]]="KILL",IF(_xlfn.NUMBERVALUE(RIGHT(Table7[[#This Row],[Min]],LEN(Table7[[#This Row],[Min]])-FIND("-",Table7[[#This Row],[Min]])))&gt;INDIRECT(ADDRESS(11+MATCH(LEFT(Table7[[#This Row],[Min]],FIND("-",Table7[[#This Row],[Min]])-1),Table1[Content Sku],0),16,1,1,"Entities")),"review","ok"),"ok")</f>
        <v>ok</v>
      </c>
      <c r="U1188" t="s">
        <v>315</v>
      </c>
      <c r="V1188">
        <v>0</v>
      </c>
      <c r="W1188">
        <v>0</v>
      </c>
      <c r="X1188" t="s">
        <v>8</v>
      </c>
      <c r="Y1188" s="74" t="str">
        <f ca="1">IF(Table15[[#This Row],[Type]]="KILL",IF(_xlfn.NUMBERVALUE(RIGHT(Table15[[#This Row],[Min]],LEN(Table15[[#This Row],[Min]])-FIND("-",Table15[[#This Row],[Min]])))&gt;INDIRECT(ADDRESS(11+MATCH(LEFT(Table15[[#This Row],[Min]],FIND("-",Table15[[#This Row],[Min]])-1),Table1[Content Sku],0),16,1,1,"Entities")),"review","ok"),"ok")</f>
        <v>ok</v>
      </c>
    </row>
    <row r="1189" spans="5:25" x14ac:dyDescent="0.25">
      <c r="E1189" t="s">
        <v>258</v>
      </c>
      <c r="F1189">
        <v>27000</v>
      </c>
      <c r="G1189">
        <v>0</v>
      </c>
      <c r="H1189" t="s">
        <v>205</v>
      </c>
      <c r="I1189" s="74" t="str">
        <f ca="1">IF(Table7[[#This Row],[Type]]="KILL",IF(_xlfn.NUMBERVALUE(RIGHT(Table7[[#This Row],[Min]],LEN(Table7[[#This Row],[Min]])-FIND("-",Table7[[#This Row],[Min]])))&gt;INDIRECT(ADDRESS(11+MATCH(LEFT(Table7[[#This Row],[Min]],FIND("-",Table7[[#This Row],[Min]])-1),Table1[Content Sku],0),16,1,1,"Entities")),"review","ok"),"ok")</f>
        <v>ok</v>
      </c>
      <c r="U1189" t="s">
        <v>313</v>
      </c>
      <c r="V1189">
        <v>0</v>
      </c>
      <c r="W1189">
        <v>0</v>
      </c>
      <c r="X1189" t="s">
        <v>8</v>
      </c>
      <c r="Y1189" s="74" t="str">
        <f ca="1">IF(Table15[[#This Row],[Type]]="KILL",IF(_xlfn.NUMBERVALUE(RIGHT(Table15[[#This Row],[Min]],LEN(Table15[[#This Row],[Min]])-FIND("-",Table15[[#This Row],[Min]])))&gt;INDIRECT(ADDRESS(11+MATCH(LEFT(Table15[[#This Row],[Min]],FIND("-",Table15[[#This Row],[Min]])-1),Table1[Content Sku],0),16,1,1,"Entities")),"review","ok"),"ok")</f>
        <v>ok</v>
      </c>
    </row>
    <row r="1190" spans="5:25" x14ac:dyDescent="0.25">
      <c r="E1190" t="s">
        <v>280</v>
      </c>
      <c r="F1190">
        <v>0</v>
      </c>
      <c r="G1190">
        <v>0</v>
      </c>
      <c r="H1190" t="s">
        <v>8</v>
      </c>
      <c r="I1190" s="74" t="str">
        <f ca="1">IF(Table7[[#This Row],[Type]]="KILL",IF(_xlfn.NUMBERVALUE(RIGHT(Table7[[#This Row],[Min]],LEN(Table7[[#This Row],[Min]])-FIND("-",Table7[[#This Row],[Min]])))&gt;INDIRECT(ADDRESS(11+MATCH(LEFT(Table7[[#This Row],[Min]],FIND("-",Table7[[#This Row],[Min]])-1),Table1[Content Sku],0),16,1,1,"Entities")),"review","ok"),"ok")</f>
        <v>ok</v>
      </c>
      <c r="U1190" t="s">
        <v>400</v>
      </c>
      <c r="V1190">
        <v>18000</v>
      </c>
      <c r="W1190">
        <v>0</v>
      </c>
      <c r="X1190" t="s">
        <v>205</v>
      </c>
      <c r="Y1190" s="74" t="str">
        <f ca="1">IF(Table15[[#This Row],[Type]]="KILL",IF(_xlfn.NUMBERVALUE(RIGHT(Table15[[#This Row],[Min]],LEN(Table15[[#This Row],[Min]])-FIND("-",Table15[[#This Row],[Min]])))&gt;INDIRECT(ADDRESS(11+MATCH(LEFT(Table15[[#This Row],[Min]],FIND("-",Table15[[#This Row],[Min]])-1),Table1[Content Sku],0),16,1,1,"Entities")),"review","ok"),"ok")</f>
        <v>ok</v>
      </c>
    </row>
    <row r="1191" spans="5:25" x14ac:dyDescent="0.25">
      <c r="E1191" t="s">
        <v>295</v>
      </c>
      <c r="F1191">
        <v>0</v>
      </c>
      <c r="G1191">
        <v>35000</v>
      </c>
      <c r="H1191" t="s">
        <v>205</v>
      </c>
      <c r="I1191" s="74" t="str">
        <f ca="1">IF(Table7[[#This Row],[Type]]="KILL",IF(_xlfn.NUMBERVALUE(RIGHT(Table7[[#This Row],[Min]],LEN(Table7[[#This Row],[Min]])-FIND("-",Table7[[#This Row],[Min]])))&gt;INDIRECT(ADDRESS(11+MATCH(LEFT(Table7[[#This Row],[Min]],FIND("-",Table7[[#This Row],[Min]])-1),Table1[Content Sku],0),16,1,1,"Entities")),"review","ok"),"ok")</f>
        <v>ok</v>
      </c>
      <c r="U1191" t="s">
        <v>47</v>
      </c>
      <c r="V1191">
        <v>0</v>
      </c>
      <c r="W1191">
        <v>0</v>
      </c>
      <c r="X1191" t="s">
        <v>8</v>
      </c>
      <c r="Y1191" s="74" t="str">
        <f ca="1">IF(Table15[[#This Row],[Type]]="KILL",IF(_xlfn.NUMBERVALUE(RIGHT(Table15[[#This Row],[Min]],LEN(Table15[[#This Row],[Min]])-FIND("-",Table15[[#This Row],[Min]])))&gt;INDIRECT(ADDRESS(11+MATCH(LEFT(Table15[[#This Row],[Min]],FIND("-",Table15[[#This Row],[Min]])-1),Table1[Content Sku],0),16,1,1,"Entities")),"review","ok"),"ok")</f>
        <v>ok</v>
      </c>
    </row>
    <row r="1192" spans="5:25" x14ac:dyDescent="0.25">
      <c r="E1192" t="s">
        <v>8134</v>
      </c>
      <c r="F1192">
        <v>0</v>
      </c>
      <c r="G1192">
        <v>0</v>
      </c>
      <c r="H1192" t="s">
        <v>8</v>
      </c>
      <c r="I1192" s="74" t="str">
        <f ca="1">IF(Table7[[#This Row],[Type]]="KILL",IF(_xlfn.NUMBERVALUE(RIGHT(Table7[[#This Row],[Min]],LEN(Table7[[#This Row],[Min]])-FIND("-",Table7[[#This Row],[Min]])))&gt;INDIRECT(ADDRESS(11+MATCH(LEFT(Table7[[#This Row],[Min]],FIND("-",Table7[[#This Row],[Min]])-1),Table1[Content Sku],0),16,1,1,"Entities")),"review","ok"),"ok")</f>
        <v>ok</v>
      </c>
      <c r="U1192" t="s">
        <v>39</v>
      </c>
      <c r="V1192">
        <v>0</v>
      </c>
      <c r="W1192">
        <v>34000</v>
      </c>
      <c r="X1192" t="s">
        <v>205</v>
      </c>
      <c r="Y1192" s="74" t="str">
        <f ca="1">IF(Table15[[#This Row],[Type]]="KILL",IF(_xlfn.NUMBERVALUE(RIGHT(Table15[[#This Row],[Min]],LEN(Table15[[#This Row],[Min]])-FIND("-",Table15[[#This Row],[Min]])))&gt;INDIRECT(ADDRESS(11+MATCH(LEFT(Table15[[#This Row],[Min]],FIND("-",Table15[[#This Row],[Min]])-1),Table1[Content Sku],0),16,1,1,"Entities")),"review","ok"),"ok")</f>
        <v>ok</v>
      </c>
    </row>
    <row r="1193" spans="5:25" x14ac:dyDescent="0.25">
      <c r="E1193" t="s">
        <v>254</v>
      </c>
      <c r="F1193">
        <v>6000</v>
      </c>
      <c r="G1193">
        <v>0</v>
      </c>
      <c r="H1193" t="s">
        <v>205</v>
      </c>
      <c r="I1193" s="74" t="str">
        <f ca="1">IF(Table7[[#This Row],[Type]]="KILL",IF(_xlfn.NUMBERVALUE(RIGHT(Table7[[#This Row],[Min]],LEN(Table7[[#This Row],[Min]])-FIND("-",Table7[[#This Row],[Min]])))&gt;INDIRECT(ADDRESS(11+MATCH(LEFT(Table7[[#This Row],[Min]],FIND("-",Table7[[#This Row],[Min]])-1),Table1[Content Sku],0),16,1,1,"Entities")),"review","ok"),"ok")</f>
        <v>ok</v>
      </c>
      <c r="U1193" t="s">
        <v>1</v>
      </c>
      <c r="V1193">
        <v>0</v>
      </c>
      <c r="W1193">
        <v>0</v>
      </c>
      <c r="X1193" t="s">
        <v>8</v>
      </c>
      <c r="Y1193" s="74" t="str">
        <f ca="1">IF(Table15[[#This Row],[Type]]="KILL",IF(_xlfn.NUMBERVALUE(RIGHT(Table15[[#This Row],[Min]],LEN(Table15[[#This Row],[Min]])-FIND("-",Table15[[#This Row],[Min]])))&gt;INDIRECT(ADDRESS(11+MATCH(LEFT(Table15[[#This Row],[Min]],FIND("-",Table15[[#This Row],[Min]])-1),Table1[Content Sku],0),16,1,1,"Entities")),"review","ok"),"ok")</f>
        <v>ok</v>
      </c>
    </row>
    <row r="1194" spans="5:25" x14ac:dyDescent="0.25">
      <c r="E1194" t="s">
        <v>313</v>
      </c>
      <c r="F1194">
        <v>4200</v>
      </c>
      <c r="G1194">
        <v>0</v>
      </c>
      <c r="H1194" t="s">
        <v>205</v>
      </c>
      <c r="I1194" s="74" t="str">
        <f ca="1">IF(Table7[[#This Row],[Type]]="KILL",IF(_xlfn.NUMBERVALUE(RIGHT(Table7[[#This Row],[Min]],LEN(Table7[[#This Row],[Min]])-FIND("-",Table7[[#This Row],[Min]])))&gt;INDIRECT(ADDRESS(11+MATCH(LEFT(Table7[[#This Row],[Min]],FIND("-",Table7[[#This Row],[Min]])-1),Table1[Content Sku],0),16,1,1,"Entities")),"review","ok"),"ok")</f>
        <v>ok</v>
      </c>
      <c r="U1194" t="s">
        <v>22</v>
      </c>
      <c r="V1194">
        <v>47000</v>
      </c>
      <c r="W1194">
        <v>0</v>
      </c>
      <c r="X1194" t="s">
        <v>205</v>
      </c>
      <c r="Y1194" s="74" t="str">
        <f ca="1">IF(Table15[[#This Row],[Type]]="KILL",IF(_xlfn.NUMBERVALUE(RIGHT(Table15[[#This Row],[Min]],LEN(Table15[[#This Row],[Min]])-FIND("-",Table15[[#This Row],[Min]])))&gt;INDIRECT(ADDRESS(11+MATCH(LEFT(Table15[[#This Row],[Min]],FIND("-",Table15[[#This Row],[Min]])-1),Table1[Content Sku],0),16,1,1,"Entities")),"review","ok"),"ok")</f>
        <v>ok</v>
      </c>
    </row>
    <row r="1195" spans="5:25" x14ac:dyDescent="0.25">
      <c r="E1195" t="s">
        <v>286</v>
      </c>
      <c r="F1195">
        <v>120</v>
      </c>
      <c r="G1195">
        <v>0</v>
      </c>
      <c r="H1195" t="s">
        <v>4431</v>
      </c>
      <c r="I1195" s="74" t="str">
        <f ca="1">IF(Table7[[#This Row],[Type]]="KILL",IF(_xlfn.NUMBERVALUE(RIGHT(Table7[[#This Row],[Min]],LEN(Table7[[#This Row],[Min]])-FIND("-",Table7[[#This Row],[Min]])))&gt;INDIRECT(ADDRESS(11+MATCH(LEFT(Table7[[#This Row],[Min]],FIND("-",Table7[[#This Row],[Min]])-1),Table1[Content Sku],0),16,1,1,"Entities")),"review","ok"),"ok")</f>
        <v>ok</v>
      </c>
      <c r="U1195" t="s">
        <v>313</v>
      </c>
      <c r="V1195">
        <v>0</v>
      </c>
      <c r="W1195">
        <v>0</v>
      </c>
      <c r="X1195" t="s">
        <v>8</v>
      </c>
      <c r="Y1195" s="74" t="str">
        <f ca="1">IF(Table15[[#This Row],[Type]]="KILL",IF(_xlfn.NUMBERVALUE(RIGHT(Table15[[#This Row],[Min]],LEN(Table15[[#This Row],[Min]])-FIND("-",Table15[[#This Row],[Min]])))&gt;INDIRECT(ADDRESS(11+MATCH(LEFT(Table15[[#This Row],[Min]],FIND("-",Table15[[#This Row],[Min]])-1),Table1[Content Sku],0),16,1,1,"Entities")),"review","ok"),"ok")</f>
        <v>ok</v>
      </c>
    </row>
    <row r="1196" spans="5:25" x14ac:dyDescent="0.25">
      <c r="E1196" t="s">
        <v>41</v>
      </c>
      <c r="F1196">
        <v>8400</v>
      </c>
      <c r="G1196">
        <v>0</v>
      </c>
      <c r="H1196" t="s">
        <v>205</v>
      </c>
      <c r="I1196" s="74" t="str">
        <f ca="1">IF(Table7[[#This Row],[Type]]="KILL",IF(_xlfn.NUMBERVALUE(RIGHT(Table7[[#This Row],[Min]],LEN(Table7[[#This Row],[Min]])-FIND("-",Table7[[#This Row],[Min]])))&gt;INDIRECT(ADDRESS(11+MATCH(LEFT(Table7[[#This Row],[Min]],FIND("-",Table7[[#This Row],[Min]])-1),Table1[Content Sku],0),16,1,1,"Entities")),"review","ok"),"ok")</f>
        <v>ok</v>
      </c>
      <c r="U1196" t="s">
        <v>304</v>
      </c>
      <c r="V1196">
        <v>30000</v>
      </c>
      <c r="W1196">
        <v>0</v>
      </c>
      <c r="X1196" t="s">
        <v>205</v>
      </c>
      <c r="Y1196" s="74" t="str">
        <f ca="1">IF(Table15[[#This Row],[Type]]="KILL",IF(_xlfn.NUMBERVALUE(RIGHT(Table15[[#This Row],[Min]],LEN(Table15[[#This Row],[Min]])-FIND("-",Table15[[#This Row],[Min]])))&gt;INDIRECT(ADDRESS(11+MATCH(LEFT(Table15[[#This Row],[Min]],FIND("-",Table15[[#This Row],[Min]])-1),Table1[Content Sku],0),16,1,1,"Entities")),"review","ok"),"ok")</f>
        <v>ok</v>
      </c>
    </row>
    <row r="1197" spans="5:25" x14ac:dyDescent="0.25">
      <c r="E1197" t="s">
        <v>313</v>
      </c>
      <c r="F1197">
        <v>0</v>
      </c>
      <c r="G1197">
        <v>0</v>
      </c>
      <c r="H1197" t="s">
        <v>8</v>
      </c>
      <c r="I1197" s="74" t="str">
        <f ca="1">IF(Table7[[#This Row],[Type]]="KILL",IF(_xlfn.NUMBERVALUE(RIGHT(Table7[[#This Row],[Min]],LEN(Table7[[#This Row],[Min]])-FIND("-",Table7[[#This Row],[Min]])))&gt;INDIRECT(ADDRESS(11+MATCH(LEFT(Table7[[#This Row],[Min]],FIND("-",Table7[[#This Row],[Min]])-1),Table1[Content Sku],0),16,1,1,"Entities")),"review","ok"),"ok")</f>
        <v>ok</v>
      </c>
      <c r="U1197" t="s">
        <v>315</v>
      </c>
      <c r="V1197">
        <v>0</v>
      </c>
      <c r="W1197">
        <v>0</v>
      </c>
      <c r="X1197" t="s">
        <v>8</v>
      </c>
      <c r="Y1197" s="74" t="str">
        <f ca="1">IF(Table15[[#This Row],[Type]]="KILL",IF(_xlfn.NUMBERVALUE(RIGHT(Table15[[#This Row],[Min]],LEN(Table15[[#This Row],[Min]])-FIND("-",Table15[[#This Row],[Min]])))&gt;INDIRECT(ADDRESS(11+MATCH(LEFT(Table15[[#This Row],[Min]],FIND("-",Table15[[#This Row],[Min]])-1),Table1[Content Sku],0),16,1,1,"Entities")),"review","ok"),"ok")</f>
        <v>ok</v>
      </c>
    </row>
    <row r="1198" spans="5:25" x14ac:dyDescent="0.25">
      <c r="E1198" t="s">
        <v>338</v>
      </c>
      <c r="F1198">
        <v>0</v>
      </c>
      <c r="G1198">
        <v>5000</v>
      </c>
      <c r="H1198" t="s">
        <v>205</v>
      </c>
      <c r="I1198" s="74" t="str">
        <f ca="1">IF(Table7[[#This Row],[Type]]="KILL",IF(_xlfn.NUMBERVALUE(RIGHT(Table7[[#This Row],[Min]],LEN(Table7[[#This Row],[Min]])-FIND("-",Table7[[#This Row],[Min]])))&gt;INDIRECT(ADDRESS(11+MATCH(LEFT(Table7[[#This Row],[Min]],FIND("-",Table7[[#This Row],[Min]])-1),Table1[Content Sku],0),16,1,1,"Entities")),"review","ok"),"ok")</f>
        <v>ok</v>
      </c>
      <c r="U1198" t="s">
        <v>61</v>
      </c>
      <c r="V1198">
        <v>36000</v>
      </c>
      <c r="W1198">
        <v>0</v>
      </c>
      <c r="X1198" t="s">
        <v>205</v>
      </c>
      <c r="Y1198" s="74" t="str">
        <f ca="1">IF(Table15[[#This Row],[Type]]="KILL",IF(_xlfn.NUMBERVALUE(RIGHT(Table15[[#This Row],[Min]],LEN(Table15[[#This Row],[Min]])-FIND("-",Table15[[#This Row],[Min]])))&gt;INDIRECT(ADDRESS(11+MATCH(LEFT(Table15[[#This Row],[Min]],FIND("-",Table15[[#This Row],[Min]])-1),Table1[Content Sku],0),16,1,1,"Entities")),"review","ok"),"ok")</f>
        <v>ok</v>
      </c>
    </row>
    <row r="1199" spans="5:25" x14ac:dyDescent="0.25">
      <c r="E1199" t="s">
        <v>545</v>
      </c>
      <c r="F1199">
        <v>0</v>
      </c>
      <c r="G1199">
        <v>0</v>
      </c>
      <c r="H1199" t="s">
        <v>8</v>
      </c>
      <c r="I1199" s="74" t="str">
        <f ca="1">IF(Table7[[#This Row],[Type]]="KILL",IF(_xlfn.NUMBERVALUE(RIGHT(Table7[[#This Row],[Min]],LEN(Table7[[#This Row],[Min]])-FIND("-",Table7[[#This Row],[Min]])))&gt;INDIRECT(ADDRESS(11+MATCH(LEFT(Table7[[#This Row],[Min]],FIND("-",Table7[[#This Row],[Min]])-1),Table1[Content Sku],0),16,1,1,"Entities")),"review","ok"),"ok")</f>
        <v>ok</v>
      </c>
      <c r="U1199" t="s">
        <v>338</v>
      </c>
      <c r="V1199">
        <v>0</v>
      </c>
      <c r="W1199">
        <v>0</v>
      </c>
      <c r="X1199" t="s">
        <v>8</v>
      </c>
      <c r="Y1199" s="74" t="str">
        <f ca="1">IF(Table15[[#This Row],[Type]]="KILL",IF(_xlfn.NUMBERVALUE(RIGHT(Table15[[#This Row],[Min]],LEN(Table15[[#This Row],[Min]])-FIND("-",Table15[[#This Row],[Min]])))&gt;INDIRECT(ADDRESS(11+MATCH(LEFT(Table15[[#This Row],[Min]],FIND("-",Table15[[#This Row],[Min]])-1),Table1[Content Sku],0),16,1,1,"Entities")),"review","ok"),"ok")</f>
        <v>ok</v>
      </c>
    </row>
    <row r="1200" spans="5:25" x14ac:dyDescent="0.25">
      <c r="E1200" t="s">
        <v>340</v>
      </c>
      <c r="F1200">
        <v>0</v>
      </c>
      <c r="G1200">
        <v>8000</v>
      </c>
      <c r="H1200" t="s">
        <v>205</v>
      </c>
      <c r="I1200" s="74" t="str">
        <f ca="1">IF(Table7[[#This Row],[Type]]="KILL",IF(_xlfn.NUMBERVALUE(RIGHT(Table7[[#This Row],[Min]],LEN(Table7[[#This Row],[Min]])-FIND("-",Table7[[#This Row],[Min]])))&gt;INDIRECT(ADDRESS(11+MATCH(LEFT(Table7[[#This Row],[Min]],FIND("-",Table7[[#This Row],[Min]])-1),Table1[Content Sku],0),16,1,1,"Entities")),"review","ok"),"ok")</f>
        <v>ok</v>
      </c>
      <c r="U1200" t="s">
        <v>254</v>
      </c>
      <c r="V1200">
        <v>0</v>
      </c>
      <c r="W1200">
        <v>0</v>
      </c>
      <c r="X1200" t="s">
        <v>8</v>
      </c>
      <c r="Y1200" s="74" t="str">
        <f ca="1">IF(Table15[[#This Row],[Type]]="KILL",IF(_xlfn.NUMBERVALUE(RIGHT(Table15[[#This Row],[Min]],LEN(Table15[[#This Row],[Min]])-FIND("-",Table15[[#This Row],[Min]])))&gt;INDIRECT(ADDRESS(11+MATCH(LEFT(Table15[[#This Row],[Min]],FIND("-",Table15[[#This Row],[Min]])-1),Table1[Content Sku],0),16,1,1,"Entities")),"review","ok"),"ok")</f>
        <v>ok</v>
      </c>
    </row>
    <row r="1201" spans="5:25" x14ac:dyDescent="0.25">
      <c r="E1201" t="s">
        <v>254</v>
      </c>
      <c r="F1201">
        <v>0</v>
      </c>
      <c r="G1201">
        <v>0</v>
      </c>
      <c r="H1201" t="s">
        <v>8</v>
      </c>
      <c r="I1201" s="74" t="str">
        <f ca="1">IF(Table7[[#This Row],[Type]]="KILL",IF(_xlfn.NUMBERVALUE(RIGHT(Table7[[#This Row],[Min]],LEN(Table7[[#This Row],[Min]])-FIND("-",Table7[[#This Row],[Min]])))&gt;INDIRECT(ADDRESS(11+MATCH(LEFT(Table7[[#This Row],[Min]],FIND("-",Table7[[#This Row],[Min]])-1),Table1[Content Sku],0),16,1,1,"Entities")),"review","ok"),"ok")</f>
        <v>ok</v>
      </c>
      <c r="U1201" t="s">
        <v>50</v>
      </c>
      <c r="V1201">
        <v>0</v>
      </c>
      <c r="W1201">
        <v>0</v>
      </c>
      <c r="X1201" t="s">
        <v>8</v>
      </c>
      <c r="Y1201" s="74" t="str">
        <f ca="1">IF(Table15[[#This Row],[Type]]="KILL",IF(_xlfn.NUMBERVALUE(RIGHT(Table15[[#This Row],[Min]],LEN(Table15[[#This Row],[Min]])-FIND("-",Table15[[#This Row],[Min]])))&gt;INDIRECT(ADDRESS(11+MATCH(LEFT(Table15[[#This Row],[Min]],FIND("-",Table15[[#This Row],[Min]])-1),Table1[Content Sku],0),16,1,1,"Entities")),"review","ok"),"ok")</f>
        <v>ok</v>
      </c>
    </row>
    <row r="1202" spans="5:25" x14ac:dyDescent="0.25">
      <c r="E1202" t="s">
        <v>257</v>
      </c>
      <c r="F1202">
        <v>18000</v>
      </c>
      <c r="G1202">
        <v>0</v>
      </c>
      <c r="H1202" t="s">
        <v>205</v>
      </c>
      <c r="I1202" s="74" t="str">
        <f ca="1">IF(Table7[[#This Row],[Type]]="KILL",IF(_xlfn.NUMBERVALUE(RIGHT(Table7[[#This Row],[Min]],LEN(Table7[[#This Row],[Min]])-FIND("-",Table7[[#This Row],[Min]])))&gt;INDIRECT(ADDRESS(11+MATCH(LEFT(Table7[[#This Row],[Min]],FIND("-",Table7[[#This Row],[Min]])-1),Table1[Content Sku],0),16,1,1,"Entities")),"review","ok"),"ok")</f>
        <v>ok</v>
      </c>
      <c r="U1202" t="s">
        <v>309</v>
      </c>
      <c r="V1202">
        <v>0</v>
      </c>
      <c r="W1202">
        <v>0</v>
      </c>
      <c r="X1202" t="s">
        <v>8</v>
      </c>
      <c r="Y1202" s="74" t="str">
        <f ca="1">IF(Table15[[#This Row],[Type]]="KILL",IF(_xlfn.NUMBERVALUE(RIGHT(Table15[[#This Row],[Min]],LEN(Table15[[#This Row],[Min]])-FIND("-",Table15[[#This Row],[Min]])))&gt;INDIRECT(ADDRESS(11+MATCH(LEFT(Table15[[#This Row],[Min]],FIND("-",Table15[[#This Row],[Min]])-1),Table1[Content Sku],0),16,1,1,"Entities")),"review","ok"),"ok")</f>
        <v>ok</v>
      </c>
    </row>
    <row r="1203" spans="5:25" x14ac:dyDescent="0.25">
      <c r="E1203" t="s">
        <v>336</v>
      </c>
      <c r="F1203">
        <v>15000</v>
      </c>
      <c r="G1203">
        <v>0</v>
      </c>
      <c r="H1203" t="s">
        <v>205</v>
      </c>
      <c r="I1203" s="74" t="str">
        <f ca="1">IF(Table7[[#This Row],[Type]]="KILL",IF(_xlfn.NUMBERVALUE(RIGHT(Table7[[#This Row],[Min]],LEN(Table7[[#This Row],[Min]])-FIND("-",Table7[[#This Row],[Min]])))&gt;INDIRECT(ADDRESS(11+MATCH(LEFT(Table7[[#This Row],[Min]],FIND("-",Table7[[#This Row],[Min]])-1),Table1[Content Sku],0),16,1,1,"Entities")),"review","ok"),"ok")</f>
        <v>ok</v>
      </c>
      <c r="U1203" t="s">
        <v>8133</v>
      </c>
      <c r="V1203">
        <v>0</v>
      </c>
      <c r="W1203">
        <v>0</v>
      </c>
      <c r="X1203" t="s">
        <v>8</v>
      </c>
      <c r="Y1203" s="74" t="str">
        <f ca="1">IF(Table15[[#This Row],[Type]]="KILL",IF(_xlfn.NUMBERVALUE(RIGHT(Table15[[#This Row],[Min]],LEN(Table15[[#This Row],[Min]])-FIND("-",Table15[[#This Row],[Min]])))&gt;INDIRECT(ADDRESS(11+MATCH(LEFT(Table15[[#This Row],[Min]],FIND("-",Table15[[#This Row],[Min]])-1),Table1[Content Sku],0),16,1,1,"Entities")),"review","ok"),"ok")</f>
        <v>ok</v>
      </c>
    </row>
    <row r="1204" spans="5:25" x14ac:dyDescent="0.25">
      <c r="E1204" t="s">
        <v>254</v>
      </c>
      <c r="F1204">
        <v>0</v>
      </c>
      <c r="G1204">
        <v>27000</v>
      </c>
      <c r="H1204" t="s">
        <v>205</v>
      </c>
      <c r="I1204" s="74" t="str">
        <f ca="1">IF(Table7[[#This Row],[Type]]="KILL",IF(_xlfn.NUMBERVALUE(RIGHT(Table7[[#This Row],[Min]],LEN(Table7[[#This Row],[Min]])-FIND("-",Table7[[#This Row],[Min]])))&gt;INDIRECT(ADDRESS(11+MATCH(LEFT(Table7[[#This Row],[Min]],FIND("-",Table7[[#This Row],[Min]])-1),Table1[Content Sku],0),16,1,1,"Entities")),"review","ok"),"ok")</f>
        <v>ok</v>
      </c>
      <c r="U1204" t="s">
        <v>280</v>
      </c>
      <c r="V1204">
        <v>0</v>
      </c>
      <c r="W1204">
        <v>0</v>
      </c>
      <c r="X1204" t="s">
        <v>8</v>
      </c>
      <c r="Y1204" s="74" t="str">
        <f ca="1">IF(Table15[[#This Row],[Type]]="KILL",IF(_xlfn.NUMBERVALUE(RIGHT(Table15[[#This Row],[Min]],LEN(Table15[[#This Row],[Min]])-FIND("-",Table15[[#This Row],[Min]])))&gt;INDIRECT(ADDRESS(11+MATCH(LEFT(Table15[[#This Row],[Min]],FIND("-",Table15[[#This Row],[Min]])-1),Table1[Content Sku],0),16,1,1,"Entities")),"review","ok"),"ok")</f>
        <v>ok</v>
      </c>
    </row>
    <row r="1205" spans="5:25" x14ac:dyDescent="0.25">
      <c r="E1205" t="s">
        <v>393</v>
      </c>
      <c r="F1205">
        <v>0</v>
      </c>
      <c r="G1205">
        <v>0</v>
      </c>
      <c r="H1205" t="s">
        <v>8</v>
      </c>
      <c r="I1205" s="74" t="str">
        <f ca="1">IF(Table7[[#This Row],[Type]]="KILL",IF(_xlfn.NUMBERVALUE(RIGHT(Table7[[#This Row],[Min]],LEN(Table7[[#This Row],[Min]])-FIND("-",Table7[[#This Row],[Min]])))&gt;INDIRECT(ADDRESS(11+MATCH(LEFT(Table7[[#This Row],[Min]],FIND("-",Table7[[#This Row],[Min]])-1),Table1[Content Sku],0),16,1,1,"Entities")),"review","ok"),"ok")</f>
        <v>ok</v>
      </c>
      <c r="U1205" t="s">
        <v>253</v>
      </c>
      <c r="V1205">
        <v>0</v>
      </c>
      <c r="W1205">
        <v>0</v>
      </c>
      <c r="X1205" t="s">
        <v>8</v>
      </c>
      <c r="Y1205" s="74" t="str">
        <f ca="1">IF(Table15[[#This Row],[Type]]="KILL",IF(_xlfn.NUMBERVALUE(RIGHT(Table15[[#This Row],[Min]],LEN(Table15[[#This Row],[Min]])-FIND("-",Table15[[#This Row],[Min]])))&gt;INDIRECT(ADDRESS(11+MATCH(LEFT(Table15[[#This Row],[Min]],FIND("-",Table15[[#This Row],[Min]])-1),Table1[Content Sku],0),16,1,1,"Entities")),"review","ok"),"ok")</f>
        <v>ok</v>
      </c>
    </row>
    <row r="1206" spans="5:25" x14ac:dyDescent="0.25">
      <c r="E1206" t="s">
        <v>8133</v>
      </c>
      <c r="F1206">
        <v>0</v>
      </c>
      <c r="G1206">
        <v>0</v>
      </c>
      <c r="H1206" t="s">
        <v>8</v>
      </c>
      <c r="I1206" s="74" t="str">
        <f ca="1">IF(Table7[[#This Row],[Type]]="KILL",IF(_xlfn.NUMBERVALUE(RIGHT(Table7[[#This Row],[Min]],LEN(Table7[[#This Row],[Min]])-FIND("-",Table7[[#This Row],[Min]])))&gt;INDIRECT(ADDRESS(11+MATCH(LEFT(Table7[[#This Row],[Min]],FIND("-",Table7[[#This Row],[Min]])-1),Table1[Content Sku],0),16,1,1,"Entities")),"review","ok"),"ok")</f>
        <v>ok</v>
      </c>
      <c r="U1206" t="s">
        <v>311</v>
      </c>
      <c r="V1206">
        <v>16000</v>
      </c>
      <c r="W1206">
        <v>0</v>
      </c>
      <c r="X1206" t="s">
        <v>205</v>
      </c>
      <c r="Y1206" s="74" t="str">
        <f ca="1">IF(Table15[[#This Row],[Type]]="KILL",IF(_xlfn.NUMBERVALUE(RIGHT(Table15[[#This Row],[Min]],LEN(Table15[[#This Row],[Min]])-FIND("-",Table15[[#This Row],[Min]])))&gt;INDIRECT(ADDRESS(11+MATCH(LEFT(Table15[[#This Row],[Min]],FIND("-",Table15[[#This Row],[Min]])-1),Table1[Content Sku],0),16,1,1,"Entities")),"review","ok"),"ok")</f>
        <v>ok</v>
      </c>
    </row>
    <row r="1207" spans="5:25" x14ac:dyDescent="0.25">
      <c r="E1207" t="s">
        <v>2723</v>
      </c>
      <c r="F1207">
        <v>0</v>
      </c>
      <c r="G1207">
        <v>0</v>
      </c>
      <c r="H1207" t="s">
        <v>8</v>
      </c>
      <c r="I1207" s="74" t="str">
        <f ca="1">IF(Table7[[#This Row],[Type]]="KILL",IF(_xlfn.NUMBERVALUE(RIGHT(Table7[[#This Row],[Min]],LEN(Table7[[#This Row],[Min]])-FIND("-",Table7[[#This Row],[Min]])))&gt;INDIRECT(ADDRESS(11+MATCH(LEFT(Table7[[#This Row],[Min]],FIND("-",Table7[[#This Row],[Min]])-1),Table1[Content Sku],0),16,1,1,"Entities")),"review","ok"),"ok")</f>
        <v>ok</v>
      </c>
      <c r="U1207" t="s">
        <v>61</v>
      </c>
      <c r="V1207">
        <v>25000</v>
      </c>
      <c r="W1207">
        <v>0</v>
      </c>
      <c r="X1207" t="s">
        <v>205</v>
      </c>
      <c r="Y1207" s="74" t="str">
        <f ca="1">IF(Table15[[#This Row],[Type]]="KILL",IF(_xlfn.NUMBERVALUE(RIGHT(Table15[[#This Row],[Min]],LEN(Table15[[#This Row],[Min]])-FIND("-",Table15[[#This Row],[Min]])))&gt;INDIRECT(ADDRESS(11+MATCH(LEFT(Table15[[#This Row],[Min]],FIND("-",Table15[[#This Row],[Min]])-1),Table1[Content Sku],0),16,1,1,"Entities")),"review","ok"),"ok")</f>
        <v>ok</v>
      </c>
    </row>
    <row r="1208" spans="5:25" x14ac:dyDescent="0.25">
      <c r="E1208" t="s">
        <v>256</v>
      </c>
      <c r="F1208">
        <v>6000</v>
      </c>
      <c r="G1208">
        <v>0</v>
      </c>
      <c r="H1208" t="s">
        <v>205</v>
      </c>
      <c r="I1208" s="74" t="str">
        <f ca="1">IF(Table7[[#This Row],[Type]]="KILL",IF(_xlfn.NUMBERVALUE(RIGHT(Table7[[#This Row],[Min]],LEN(Table7[[#This Row],[Min]])-FIND("-",Table7[[#This Row],[Min]])))&gt;INDIRECT(ADDRESS(11+MATCH(LEFT(Table7[[#This Row],[Min]],FIND("-",Table7[[#This Row],[Min]])-1),Table1[Content Sku],0),16,1,1,"Entities")),"review","ok"),"ok")</f>
        <v>ok</v>
      </c>
      <c r="U1208" t="s">
        <v>7991</v>
      </c>
      <c r="V1208">
        <v>0</v>
      </c>
      <c r="W1208">
        <v>0</v>
      </c>
      <c r="X1208" t="s">
        <v>8</v>
      </c>
      <c r="Y1208" s="74" t="str">
        <f ca="1">IF(Table15[[#This Row],[Type]]="KILL",IF(_xlfn.NUMBERVALUE(RIGHT(Table15[[#This Row],[Min]],LEN(Table15[[#This Row],[Min]])-FIND("-",Table15[[#This Row],[Min]])))&gt;INDIRECT(ADDRESS(11+MATCH(LEFT(Table15[[#This Row],[Min]],FIND("-",Table15[[#This Row],[Min]])-1),Table1[Content Sku],0),16,1,1,"Entities")),"review","ok"),"ok")</f>
        <v>ok</v>
      </c>
    </row>
    <row r="1209" spans="5:25" x14ac:dyDescent="0.25">
      <c r="E1209" t="s">
        <v>253</v>
      </c>
      <c r="F1209">
        <v>0</v>
      </c>
      <c r="G1209">
        <v>0</v>
      </c>
      <c r="H1209" t="s">
        <v>8</v>
      </c>
      <c r="I1209" s="74" t="str">
        <f ca="1">IF(Table7[[#This Row],[Type]]="KILL",IF(_xlfn.NUMBERVALUE(RIGHT(Table7[[#This Row],[Min]],LEN(Table7[[#This Row],[Min]])-FIND("-",Table7[[#This Row],[Min]])))&gt;INDIRECT(ADDRESS(11+MATCH(LEFT(Table7[[#This Row],[Min]],FIND("-",Table7[[#This Row],[Min]])-1),Table1[Content Sku],0),16,1,1,"Entities")),"review","ok"),"ok")</f>
        <v>ok</v>
      </c>
      <c r="U1209" t="s">
        <v>289</v>
      </c>
      <c r="V1209">
        <v>0</v>
      </c>
      <c r="W1209">
        <v>0</v>
      </c>
      <c r="X1209" t="s">
        <v>8</v>
      </c>
      <c r="Y1209" s="74" t="str">
        <f ca="1">IF(Table15[[#This Row],[Type]]="KILL",IF(_xlfn.NUMBERVALUE(RIGHT(Table15[[#This Row],[Min]],LEN(Table15[[#This Row],[Min]])-FIND("-",Table15[[#This Row],[Min]])))&gt;INDIRECT(ADDRESS(11+MATCH(LEFT(Table15[[#This Row],[Min]],FIND("-",Table15[[#This Row],[Min]])-1),Table1[Content Sku],0),16,1,1,"Entities")),"review","ok"),"ok")</f>
        <v>ok</v>
      </c>
    </row>
    <row r="1210" spans="5:25" x14ac:dyDescent="0.25">
      <c r="E1210" t="s">
        <v>313</v>
      </c>
      <c r="F1210">
        <v>0</v>
      </c>
      <c r="G1210">
        <v>20000</v>
      </c>
      <c r="H1210" t="s">
        <v>205</v>
      </c>
      <c r="I1210" s="74" t="str">
        <f ca="1">IF(Table7[[#This Row],[Type]]="KILL",IF(_xlfn.NUMBERVALUE(RIGHT(Table7[[#This Row],[Min]],LEN(Table7[[#This Row],[Min]])-FIND("-",Table7[[#This Row],[Min]])))&gt;INDIRECT(ADDRESS(11+MATCH(LEFT(Table7[[#This Row],[Min]],FIND("-",Table7[[#This Row],[Min]])-1),Table1[Content Sku],0),16,1,1,"Entities")),"review","ok"),"ok")</f>
        <v>ok</v>
      </c>
      <c r="U1210" t="s">
        <v>37</v>
      </c>
      <c r="V1210">
        <v>18000</v>
      </c>
      <c r="W1210">
        <v>0</v>
      </c>
      <c r="X1210" t="s">
        <v>205</v>
      </c>
      <c r="Y1210" s="74" t="str">
        <f ca="1">IF(Table15[[#This Row],[Type]]="KILL",IF(_xlfn.NUMBERVALUE(RIGHT(Table15[[#This Row],[Min]],LEN(Table15[[#This Row],[Min]])-FIND("-",Table15[[#This Row],[Min]])))&gt;INDIRECT(ADDRESS(11+MATCH(LEFT(Table15[[#This Row],[Min]],FIND("-",Table15[[#This Row],[Min]])-1),Table1[Content Sku],0),16,1,1,"Entities")),"review","ok"),"ok")</f>
        <v>ok</v>
      </c>
    </row>
    <row r="1211" spans="5:25" x14ac:dyDescent="0.25">
      <c r="E1211" t="s">
        <v>313</v>
      </c>
      <c r="F1211">
        <v>0</v>
      </c>
      <c r="G1211">
        <v>0</v>
      </c>
      <c r="H1211" t="s">
        <v>8</v>
      </c>
      <c r="I1211" s="74" t="str">
        <f ca="1">IF(Table7[[#This Row],[Type]]="KILL",IF(_xlfn.NUMBERVALUE(RIGHT(Table7[[#This Row],[Min]],LEN(Table7[[#This Row],[Min]])-FIND("-",Table7[[#This Row],[Min]])))&gt;INDIRECT(ADDRESS(11+MATCH(LEFT(Table7[[#This Row],[Min]],FIND("-",Table7[[#This Row],[Min]])-1),Table1[Content Sku],0),16,1,1,"Entities")),"review","ok"),"ok")</f>
        <v>ok</v>
      </c>
      <c r="U1211" t="s">
        <v>391</v>
      </c>
      <c r="V1211">
        <v>0</v>
      </c>
      <c r="W1211">
        <v>0</v>
      </c>
      <c r="X1211" t="s">
        <v>8</v>
      </c>
      <c r="Y1211" s="74" t="str">
        <f ca="1">IF(Table15[[#This Row],[Type]]="KILL",IF(_xlfn.NUMBERVALUE(RIGHT(Table15[[#This Row],[Min]],LEN(Table15[[#This Row],[Min]])-FIND("-",Table15[[#This Row],[Min]])))&gt;INDIRECT(ADDRESS(11+MATCH(LEFT(Table15[[#This Row],[Min]],FIND("-",Table15[[#This Row],[Min]])-1),Table1[Content Sku],0),16,1,1,"Entities")),"review","ok"),"ok")</f>
        <v>ok</v>
      </c>
    </row>
    <row r="1212" spans="5:25" x14ac:dyDescent="0.25">
      <c r="E1212" t="s">
        <v>311</v>
      </c>
      <c r="F1212">
        <v>0</v>
      </c>
      <c r="G1212">
        <v>0</v>
      </c>
      <c r="H1212" t="s">
        <v>8</v>
      </c>
      <c r="I1212" s="74" t="str">
        <f ca="1">IF(Table7[[#This Row],[Type]]="KILL",IF(_xlfn.NUMBERVALUE(RIGHT(Table7[[#This Row],[Min]],LEN(Table7[[#This Row],[Min]])-FIND("-",Table7[[#This Row],[Min]])))&gt;INDIRECT(ADDRESS(11+MATCH(LEFT(Table7[[#This Row],[Min]],FIND("-",Table7[[#This Row],[Min]])-1),Table1[Content Sku],0),16,1,1,"Entities")),"review","ok"),"ok")</f>
        <v>ok</v>
      </c>
      <c r="U1212" t="s">
        <v>391</v>
      </c>
      <c r="V1212">
        <v>0</v>
      </c>
      <c r="W1212">
        <v>0</v>
      </c>
      <c r="X1212" t="s">
        <v>8</v>
      </c>
      <c r="Y1212" s="74" t="str">
        <f ca="1">IF(Table15[[#This Row],[Type]]="KILL",IF(_xlfn.NUMBERVALUE(RIGHT(Table15[[#This Row],[Min]],LEN(Table15[[#This Row],[Min]])-FIND("-",Table15[[#This Row],[Min]])))&gt;INDIRECT(ADDRESS(11+MATCH(LEFT(Table15[[#This Row],[Min]],FIND("-",Table15[[#This Row],[Min]])-1),Table1[Content Sku],0),16,1,1,"Entities")),"review","ok"),"ok")</f>
        <v>ok</v>
      </c>
    </row>
    <row r="1213" spans="5:25" x14ac:dyDescent="0.25">
      <c r="E1213" t="s">
        <v>254</v>
      </c>
      <c r="F1213">
        <v>1700</v>
      </c>
      <c r="G1213">
        <v>0</v>
      </c>
      <c r="H1213" t="s">
        <v>205</v>
      </c>
      <c r="I1213" s="74" t="str">
        <f ca="1">IF(Table7[[#This Row],[Type]]="KILL",IF(_xlfn.NUMBERVALUE(RIGHT(Table7[[#This Row],[Min]],LEN(Table7[[#This Row],[Min]])-FIND("-",Table7[[#This Row],[Min]])))&gt;INDIRECT(ADDRESS(11+MATCH(LEFT(Table7[[#This Row],[Min]],FIND("-",Table7[[#This Row],[Min]])-1),Table1[Content Sku],0),16,1,1,"Entities")),"review","ok"),"ok")</f>
        <v>ok</v>
      </c>
      <c r="U1213" t="s">
        <v>313</v>
      </c>
      <c r="V1213">
        <v>0</v>
      </c>
      <c r="W1213">
        <v>0</v>
      </c>
      <c r="X1213" t="s">
        <v>8</v>
      </c>
      <c r="Y1213" s="74" t="str">
        <f ca="1">IF(Table15[[#This Row],[Type]]="KILL",IF(_xlfn.NUMBERVALUE(RIGHT(Table15[[#This Row],[Min]],LEN(Table15[[#This Row],[Min]])-FIND("-",Table15[[#This Row],[Min]])))&gt;INDIRECT(ADDRESS(11+MATCH(LEFT(Table15[[#This Row],[Min]],FIND("-",Table15[[#This Row],[Min]])-1),Table1[Content Sku],0),16,1,1,"Entities")),"review","ok"),"ok")</f>
        <v>ok</v>
      </c>
    </row>
    <row r="1214" spans="5:25" x14ac:dyDescent="0.25">
      <c r="E1214" t="s">
        <v>280</v>
      </c>
      <c r="F1214">
        <v>0</v>
      </c>
      <c r="G1214">
        <v>0</v>
      </c>
      <c r="H1214" t="s">
        <v>8</v>
      </c>
      <c r="I1214" s="74" t="str">
        <f ca="1">IF(Table7[[#This Row],[Type]]="KILL",IF(_xlfn.NUMBERVALUE(RIGHT(Table7[[#This Row],[Min]],LEN(Table7[[#This Row],[Min]])-FIND("-",Table7[[#This Row],[Min]])))&gt;INDIRECT(ADDRESS(11+MATCH(LEFT(Table7[[#This Row],[Min]],FIND("-",Table7[[#This Row],[Min]])-1),Table1[Content Sku],0),16,1,1,"Entities")),"review","ok"),"ok")</f>
        <v>ok</v>
      </c>
      <c r="U1214" t="s">
        <v>8133</v>
      </c>
      <c r="V1214">
        <v>0</v>
      </c>
      <c r="W1214">
        <v>0</v>
      </c>
      <c r="X1214" t="s">
        <v>8</v>
      </c>
      <c r="Y1214" s="74" t="str">
        <f ca="1">IF(Table15[[#This Row],[Type]]="KILL",IF(_xlfn.NUMBERVALUE(RIGHT(Table15[[#This Row],[Min]],LEN(Table15[[#This Row],[Min]])-FIND("-",Table15[[#This Row],[Min]])))&gt;INDIRECT(ADDRESS(11+MATCH(LEFT(Table15[[#This Row],[Min]],FIND("-",Table15[[#This Row],[Min]])-1),Table1[Content Sku],0),16,1,1,"Entities")),"review","ok"),"ok")</f>
        <v>ok</v>
      </c>
    </row>
    <row r="1215" spans="5:25" x14ac:dyDescent="0.25">
      <c r="E1215" t="s">
        <v>2766</v>
      </c>
      <c r="F1215">
        <v>0</v>
      </c>
      <c r="G1215">
        <v>0</v>
      </c>
      <c r="H1215" t="s">
        <v>8</v>
      </c>
      <c r="I1215" s="74" t="str">
        <f ca="1">IF(Table7[[#This Row],[Type]]="KILL",IF(_xlfn.NUMBERVALUE(RIGHT(Table7[[#This Row],[Min]],LEN(Table7[[#This Row],[Min]])-FIND("-",Table7[[#This Row],[Min]])))&gt;INDIRECT(ADDRESS(11+MATCH(LEFT(Table7[[#This Row],[Min]],FIND("-",Table7[[#This Row],[Min]])-1),Table1[Content Sku],0),16,1,1,"Entities")),"review","ok"),"ok")</f>
        <v>ok</v>
      </c>
      <c r="U1215" t="s">
        <v>39</v>
      </c>
      <c r="V1215">
        <v>0</v>
      </c>
      <c r="W1215">
        <v>0</v>
      </c>
      <c r="X1215" t="s">
        <v>8</v>
      </c>
      <c r="Y1215" s="74" t="str">
        <f ca="1">IF(Table15[[#This Row],[Type]]="KILL",IF(_xlfn.NUMBERVALUE(RIGHT(Table15[[#This Row],[Min]],LEN(Table15[[#This Row],[Min]])-FIND("-",Table15[[#This Row],[Min]])))&gt;INDIRECT(ADDRESS(11+MATCH(LEFT(Table15[[#This Row],[Min]],FIND("-",Table15[[#This Row],[Min]])-1),Table1[Content Sku],0),16,1,1,"Entities")),"review","ok"),"ok")</f>
        <v>ok</v>
      </c>
    </row>
    <row r="1216" spans="5:25" x14ac:dyDescent="0.25">
      <c r="E1216" t="s">
        <v>396</v>
      </c>
      <c r="F1216">
        <v>17000</v>
      </c>
      <c r="G1216">
        <v>0</v>
      </c>
      <c r="H1216" t="s">
        <v>205</v>
      </c>
      <c r="I1216" s="74" t="str">
        <f ca="1">IF(Table7[[#This Row],[Type]]="KILL",IF(_xlfn.NUMBERVALUE(RIGHT(Table7[[#This Row],[Min]],LEN(Table7[[#This Row],[Min]])-FIND("-",Table7[[#This Row],[Min]])))&gt;INDIRECT(ADDRESS(11+MATCH(LEFT(Table7[[#This Row],[Min]],FIND("-",Table7[[#This Row],[Min]])-1),Table1[Content Sku],0),16,1,1,"Entities")),"review","ok"),"ok")</f>
        <v>ok</v>
      </c>
      <c r="U1216" t="s">
        <v>7991</v>
      </c>
      <c r="V1216">
        <v>0</v>
      </c>
      <c r="W1216">
        <v>0</v>
      </c>
      <c r="X1216" t="s">
        <v>8</v>
      </c>
      <c r="Y1216" s="74" t="str">
        <f ca="1">IF(Table15[[#This Row],[Type]]="KILL",IF(_xlfn.NUMBERVALUE(RIGHT(Table15[[#This Row],[Min]],LEN(Table15[[#This Row],[Min]])-FIND("-",Table15[[#This Row],[Min]])))&gt;INDIRECT(ADDRESS(11+MATCH(LEFT(Table15[[#This Row],[Min]],FIND("-",Table15[[#This Row],[Min]])-1),Table1[Content Sku],0),16,1,1,"Entities")),"review","ok"),"ok")</f>
        <v>ok</v>
      </c>
    </row>
    <row r="1217" spans="5:25" x14ac:dyDescent="0.25">
      <c r="E1217" t="s">
        <v>311</v>
      </c>
      <c r="F1217">
        <v>200</v>
      </c>
      <c r="G1217">
        <v>0</v>
      </c>
      <c r="H1217" t="s">
        <v>4431</v>
      </c>
      <c r="I1217" s="74" t="str">
        <f ca="1">IF(Table7[[#This Row],[Type]]="KILL",IF(_xlfn.NUMBERVALUE(RIGHT(Table7[[#This Row],[Min]],LEN(Table7[[#This Row],[Min]])-FIND("-",Table7[[#This Row],[Min]])))&gt;INDIRECT(ADDRESS(11+MATCH(LEFT(Table7[[#This Row],[Min]],FIND("-",Table7[[#This Row],[Min]])-1),Table1[Content Sku],0),16,1,1,"Entities")),"review","ok"),"ok")</f>
        <v>ok</v>
      </c>
      <c r="U1217" t="s">
        <v>403</v>
      </c>
      <c r="V1217">
        <v>0</v>
      </c>
      <c r="W1217">
        <v>0</v>
      </c>
      <c r="X1217" t="s">
        <v>8</v>
      </c>
      <c r="Y1217" s="74" t="str">
        <f ca="1">IF(Table15[[#This Row],[Type]]="KILL",IF(_xlfn.NUMBERVALUE(RIGHT(Table15[[#This Row],[Min]],LEN(Table15[[#This Row],[Min]])-FIND("-",Table15[[#This Row],[Min]])))&gt;INDIRECT(ADDRESS(11+MATCH(LEFT(Table15[[#This Row],[Min]],FIND("-",Table15[[#This Row],[Min]])-1),Table1[Content Sku],0),16,1,1,"Entities")),"review","ok"),"ok")</f>
        <v>ok</v>
      </c>
    </row>
    <row r="1218" spans="5:25" x14ac:dyDescent="0.25">
      <c r="E1218" t="s">
        <v>0</v>
      </c>
      <c r="F1218">
        <v>0</v>
      </c>
      <c r="G1218">
        <v>0</v>
      </c>
      <c r="H1218" t="s">
        <v>8</v>
      </c>
      <c r="I1218" s="74" t="str">
        <f ca="1">IF(Table7[[#This Row],[Type]]="KILL",IF(_xlfn.NUMBERVALUE(RIGHT(Table7[[#This Row],[Min]],LEN(Table7[[#This Row],[Min]])-FIND("-",Table7[[#This Row],[Min]])))&gt;INDIRECT(ADDRESS(11+MATCH(LEFT(Table7[[#This Row],[Min]],FIND("-",Table7[[#This Row],[Min]])-1),Table1[Content Sku],0),16,1,1,"Entities")),"review","ok"),"ok")</f>
        <v>ok</v>
      </c>
      <c r="U1218" t="s">
        <v>254</v>
      </c>
      <c r="V1218">
        <v>0</v>
      </c>
      <c r="W1218">
        <v>0</v>
      </c>
      <c r="X1218" t="s">
        <v>8</v>
      </c>
      <c r="Y1218" s="74" t="str">
        <f ca="1">IF(Table15[[#This Row],[Type]]="KILL",IF(_xlfn.NUMBERVALUE(RIGHT(Table15[[#This Row],[Min]],LEN(Table15[[#This Row],[Min]])-FIND("-",Table15[[#This Row],[Min]])))&gt;INDIRECT(ADDRESS(11+MATCH(LEFT(Table15[[#This Row],[Min]],FIND("-",Table15[[#This Row],[Min]])-1),Table1[Content Sku],0),16,1,1,"Entities")),"review","ok"),"ok")</f>
        <v>ok</v>
      </c>
    </row>
    <row r="1219" spans="5:25" x14ac:dyDescent="0.25">
      <c r="E1219" t="s">
        <v>253</v>
      </c>
      <c r="F1219">
        <v>0</v>
      </c>
      <c r="G1219">
        <v>10000</v>
      </c>
      <c r="H1219" t="s">
        <v>205</v>
      </c>
      <c r="I1219" s="74" t="str">
        <f ca="1">IF(Table7[[#This Row],[Type]]="KILL",IF(_xlfn.NUMBERVALUE(RIGHT(Table7[[#This Row],[Min]],LEN(Table7[[#This Row],[Min]])-FIND("-",Table7[[#This Row],[Min]])))&gt;INDIRECT(ADDRESS(11+MATCH(LEFT(Table7[[#This Row],[Min]],FIND("-",Table7[[#This Row],[Min]])-1),Table1[Content Sku],0),16,1,1,"Entities")),"review","ok"),"ok")</f>
        <v>ok</v>
      </c>
      <c r="U1219" t="s">
        <v>1</v>
      </c>
      <c r="V1219">
        <v>10000</v>
      </c>
      <c r="W1219">
        <v>0</v>
      </c>
      <c r="X1219" t="s">
        <v>205</v>
      </c>
      <c r="Y1219" s="74" t="str">
        <f ca="1">IF(Table15[[#This Row],[Type]]="KILL",IF(_xlfn.NUMBERVALUE(RIGHT(Table15[[#This Row],[Min]],LEN(Table15[[#This Row],[Min]])-FIND("-",Table15[[#This Row],[Min]])))&gt;INDIRECT(ADDRESS(11+MATCH(LEFT(Table15[[#This Row],[Min]],FIND("-",Table15[[#This Row],[Min]])-1),Table1[Content Sku],0),16,1,1,"Entities")),"review","ok"),"ok")</f>
        <v>ok</v>
      </c>
    </row>
    <row r="1220" spans="5:25" x14ac:dyDescent="0.25">
      <c r="E1220" t="s">
        <v>257</v>
      </c>
      <c r="F1220">
        <v>0</v>
      </c>
      <c r="G1220">
        <v>0</v>
      </c>
      <c r="H1220" t="s">
        <v>8</v>
      </c>
      <c r="I1220" s="74" t="str">
        <f ca="1">IF(Table7[[#This Row],[Type]]="KILL",IF(_xlfn.NUMBERVALUE(RIGHT(Table7[[#This Row],[Min]],LEN(Table7[[#This Row],[Min]])-FIND("-",Table7[[#This Row],[Min]])))&gt;INDIRECT(ADDRESS(11+MATCH(LEFT(Table7[[#This Row],[Min]],FIND("-",Table7[[#This Row],[Min]])-1),Table1[Content Sku],0),16,1,1,"Entities")),"review","ok"),"ok")</f>
        <v>ok</v>
      </c>
      <c r="U1220" t="s">
        <v>286</v>
      </c>
      <c r="V1220">
        <v>0</v>
      </c>
      <c r="W1220">
        <v>0</v>
      </c>
      <c r="X1220" t="s">
        <v>8</v>
      </c>
      <c r="Y1220" s="74" t="str">
        <f ca="1">IF(Table15[[#This Row],[Type]]="KILL",IF(_xlfn.NUMBERVALUE(RIGHT(Table15[[#This Row],[Min]],LEN(Table15[[#This Row],[Min]])-FIND("-",Table15[[#This Row],[Min]])))&gt;INDIRECT(ADDRESS(11+MATCH(LEFT(Table15[[#This Row],[Min]],FIND("-",Table15[[#This Row],[Min]])-1),Table1[Content Sku],0),16,1,1,"Entities")),"review","ok"),"ok")</f>
        <v>ok</v>
      </c>
    </row>
    <row r="1221" spans="5:25" x14ac:dyDescent="0.25">
      <c r="E1221" t="s">
        <v>2741</v>
      </c>
      <c r="F1221">
        <v>0</v>
      </c>
      <c r="G1221">
        <v>0</v>
      </c>
      <c r="H1221" t="s">
        <v>8</v>
      </c>
      <c r="I1221" s="74" t="str">
        <f ca="1">IF(Table7[[#This Row],[Type]]="KILL",IF(_xlfn.NUMBERVALUE(RIGHT(Table7[[#This Row],[Min]],LEN(Table7[[#This Row],[Min]])-FIND("-",Table7[[#This Row],[Min]])))&gt;INDIRECT(ADDRESS(11+MATCH(LEFT(Table7[[#This Row],[Min]],FIND("-",Table7[[#This Row],[Min]])-1),Table1[Content Sku],0),16,1,1,"Entities")),"review","ok"),"ok")</f>
        <v>ok</v>
      </c>
      <c r="U1221" t="s">
        <v>39</v>
      </c>
      <c r="V1221">
        <v>0</v>
      </c>
      <c r="W1221">
        <v>34000</v>
      </c>
      <c r="X1221" t="s">
        <v>205</v>
      </c>
      <c r="Y1221" s="74" t="str">
        <f ca="1">IF(Table15[[#This Row],[Type]]="KILL",IF(_xlfn.NUMBERVALUE(RIGHT(Table15[[#This Row],[Min]],LEN(Table15[[#This Row],[Min]])-FIND("-",Table15[[#This Row],[Min]])))&gt;INDIRECT(ADDRESS(11+MATCH(LEFT(Table15[[#This Row],[Min]],FIND("-",Table15[[#This Row],[Min]])-1),Table1[Content Sku],0),16,1,1,"Entities")),"review","ok"),"ok")</f>
        <v>ok</v>
      </c>
    </row>
    <row r="1222" spans="5:25" x14ac:dyDescent="0.25">
      <c r="E1222" t="s">
        <v>90</v>
      </c>
      <c r="F1222">
        <v>0</v>
      </c>
      <c r="G1222">
        <v>0</v>
      </c>
      <c r="H1222" t="s">
        <v>8</v>
      </c>
      <c r="I1222" s="74" t="str">
        <f ca="1">IF(Table7[[#This Row],[Type]]="KILL",IF(_xlfn.NUMBERVALUE(RIGHT(Table7[[#This Row],[Min]],LEN(Table7[[#This Row],[Min]])-FIND("-",Table7[[#This Row],[Min]])))&gt;INDIRECT(ADDRESS(11+MATCH(LEFT(Table7[[#This Row],[Min]],FIND("-",Table7[[#This Row],[Min]])-1),Table1[Content Sku],0),16,1,1,"Entities")),"review","ok"),"ok")</f>
        <v>ok</v>
      </c>
      <c r="U1222" t="s">
        <v>313</v>
      </c>
      <c r="V1222">
        <v>0</v>
      </c>
      <c r="W1222">
        <v>0</v>
      </c>
      <c r="X1222" t="s">
        <v>8</v>
      </c>
      <c r="Y1222" s="74" t="str">
        <f ca="1">IF(Table15[[#This Row],[Type]]="KILL",IF(_xlfn.NUMBERVALUE(RIGHT(Table15[[#This Row],[Min]],LEN(Table15[[#This Row],[Min]])-FIND("-",Table15[[#This Row],[Min]])))&gt;INDIRECT(ADDRESS(11+MATCH(LEFT(Table15[[#This Row],[Min]],FIND("-",Table15[[#This Row],[Min]])-1),Table1[Content Sku],0),16,1,1,"Entities")),"review","ok"),"ok")</f>
        <v>ok</v>
      </c>
    </row>
    <row r="1223" spans="5:25" x14ac:dyDescent="0.25">
      <c r="E1223" t="s">
        <v>313</v>
      </c>
      <c r="F1223">
        <v>0</v>
      </c>
      <c r="G1223">
        <v>0</v>
      </c>
      <c r="H1223" t="s">
        <v>8</v>
      </c>
      <c r="I1223" s="74" t="str">
        <f ca="1">IF(Table7[[#This Row],[Type]]="KILL",IF(_xlfn.NUMBERVALUE(RIGHT(Table7[[#This Row],[Min]],LEN(Table7[[#This Row],[Min]])-FIND("-",Table7[[#This Row],[Min]])))&gt;INDIRECT(ADDRESS(11+MATCH(LEFT(Table7[[#This Row],[Min]],FIND("-",Table7[[#This Row],[Min]])-1),Table1[Content Sku],0),16,1,1,"Entities")),"review","ok"),"ok")</f>
        <v>ok</v>
      </c>
      <c r="U1223" t="s">
        <v>122</v>
      </c>
      <c r="V1223">
        <v>0</v>
      </c>
      <c r="W1223">
        <v>0</v>
      </c>
      <c r="X1223" t="s">
        <v>8</v>
      </c>
      <c r="Y1223" s="74" t="str">
        <f ca="1">IF(Table15[[#This Row],[Type]]="KILL",IF(_xlfn.NUMBERVALUE(RIGHT(Table15[[#This Row],[Min]],LEN(Table15[[#This Row],[Min]])-FIND("-",Table15[[#This Row],[Min]])))&gt;INDIRECT(ADDRESS(11+MATCH(LEFT(Table15[[#This Row],[Min]],FIND("-",Table15[[#This Row],[Min]])-1),Table1[Content Sku],0),16,1,1,"Entities")),"review","ok"),"ok")</f>
        <v>ok</v>
      </c>
    </row>
    <row r="1224" spans="5:25" x14ac:dyDescent="0.25">
      <c r="E1224" t="s">
        <v>46</v>
      </c>
      <c r="F1224">
        <v>0</v>
      </c>
      <c r="G1224">
        <v>0</v>
      </c>
      <c r="H1224" t="s">
        <v>8</v>
      </c>
      <c r="I1224" s="74" t="str">
        <f ca="1">IF(Table7[[#This Row],[Type]]="KILL",IF(_xlfn.NUMBERVALUE(RIGHT(Table7[[#This Row],[Min]],LEN(Table7[[#This Row],[Min]])-FIND("-",Table7[[#This Row],[Min]])))&gt;INDIRECT(ADDRESS(11+MATCH(LEFT(Table7[[#This Row],[Min]],FIND("-",Table7[[#This Row],[Min]])-1),Table1[Content Sku],0),16,1,1,"Entities")),"review","ok"),"ok")</f>
        <v>ok</v>
      </c>
      <c r="U1224" t="s">
        <v>278</v>
      </c>
      <c r="V1224">
        <v>0</v>
      </c>
      <c r="W1224">
        <v>25000</v>
      </c>
      <c r="X1224" t="s">
        <v>205</v>
      </c>
      <c r="Y1224" s="74" t="str">
        <f ca="1">IF(Table15[[#This Row],[Type]]="KILL",IF(_xlfn.NUMBERVALUE(RIGHT(Table15[[#This Row],[Min]],LEN(Table15[[#This Row],[Min]])-FIND("-",Table15[[#This Row],[Min]])))&gt;INDIRECT(ADDRESS(11+MATCH(LEFT(Table15[[#This Row],[Min]],FIND("-",Table15[[#This Row],[Min]])-1),Table1[Content Sku],0),16,1,1,"Entities")),"review","ok"),"ok")</f>
        <v>ok</v>
      </c>
    </row>
    <row r="1225" spans="5:25" x14ac:dyDescent="0.25">
      <c r="E1225" t="s">
        <v>256</v>
      </c>
      <c r="F1225">
        <v>10500</v>
      </c>
      <c r="G1225">
        <v>0</v>
      </c>
      <c r="H1225" t="s">
        <v>205</v>
      </c>
      <c r="I1225" s="74" t="str">
        <f ca="1">IF(Table7[[#This Row],[Type]]="KILL",IF(_xlfn.NUMBERVALUE(RIGHT(Table7[[#This Row],[Min]],LEN(Table7[[#This Row],[Min]])-FIND("-",Table7[[#This Row],[Min]])))&gt;INDIRECT(ADDRESS(11+MATCH(LEFT(Table7[[#This Row],[Min]],FIND("-",Table7[[#This Row],[Min]])-1),Table1[Content Sku],0),16,1,1,"Entities")),"review","ok"),"ok")</f>
        <v>ok</v>
      </c>
      <c r="U1225" t="s">
        <v>283</v>
      </c>
      <c r="V1225">
        <v>0</v>
      </c>
      <c r="W1225">
        <v>0</v>
      </c>
      <c r="X1225" t="s">
        <v>8</v>
      </c>
      <c r="Y1225" s="74" t="str">
        <f ca="1">IF(Table15[[#This Row],[Type]]="KILL",IF(_xlfn.NUMBERVALUE(RIGHT(Table15[[#This Row],[Min]],LEN(Table15[[#This Row],[Min]])-FIND("-",Table15[[#This Row],[Min]])))&gt;INDIRECT(ADDRESS(11+MATCH(LEFT(Table15[[#This Row],[Min]],FIND("-",Table15[[#This Row],[Min]])-1),Table1[Content Sku],0),16,1,1,"Entities")),"review","ok"),"ok")</f>
        <v>ok</v>
      </c>
    </row>
    <row r="1226" spans="5:25" x14ac:dyDescent="0.25">
      <c r="E1226" t="s">
        <v>42</v>
      </c>
      <c r="F1226">
        <v>35000</v>
      </c>
      <c r="G1226">
        <v>0</v>
      </c>
      <c r="H1226" t="s">
        <v>205</v>
      </c>
      <c r="I1226" s="74" t="str">
        <f ca="1">IF(Table7[[#This Row],[Type]]="KILL",IF(_xlfn.NUMBERVALUE(RIGHT(Table7[[#This Row],[Min]],LEN(Table7[[#This Row],[Min]])-FIND("-",Table7[[#This Row],[Min]])))&gt;INDIRECT(ADDRESS(11+MATCH(LEFT(Table7[[#This Row],[Min]],FIND("-",Table7[[#This Row],[Min]])-1),Table1[Content Sku],0),16,1,1,"Entities")),"review","ok"),"ok")</f>
        <v>ok</v>
      </c>
      <c r="U1226" t="s">
        <v>418</v>
      </c>
      <c r="V1226">
        <v>70000</v>
      </c>
      <c r="W1226">
        <v>0</v>
      </c>
      <c r="X1226" t="s">
        <v>205</v>
      </c>
      <c r="Y1226" s="74" t="str">
        <f ca="1">IF(Table15[[#This Row],[Type]]="KILL",IF(_xlfn.NUMBERVALUE(RIGHT(Table15[[#This Row],[Min]],LEN(Table15[[#This Row],[Min]])-FIND("-",Table15[[#This Row],[Min]])))&gt;INDIRECT(ADDRESS(11+MATCH(LEFT(Table15[[#This Row],[Min]],FIND("-",Table15[[#This Row],[Min]])-1),Table1[Content Sku],0),16,1,1,"Entities")),"review","ok"),"ok")</f>
        <v>ok</v>
      </c>
    </row>
    <row r="1227" spans="5:25" x14ac:dyDescent="0.25">
      <c r="E1227" t="s">
        <v>276</v>
      </c>
      <c r="F1227">
        <v>95</v>
      </c>
      <c r="G1227">
        <v>0</v>
      </c>
      <c r="H1227" t="s">
        <v>4431</v>
      </c>
      <c r="I1227" s="74" t="str">
        <f ca="1">IF(Table7[[#This Row],[Type]]="KILL",IF(_xlfn.NUMBERVALUE(RIGHT(Table7[[#This Row],[Min]],LEN(Table7[[#This Row],[Min]])-FIND("-",Table7[[#This Row],[Min]])))&gt;INDIRECT(ADDRESS(11+MATCH(LEFT(Table7[[#This Row],[Min]],FIND("-",Table7[[#This Row],[Min]])-1),Table1[Content Sku],0),16,1,1,"Entities")),"review","ok"),"ok")</f>
        <v>ok</v>
      </c>
      <c r="U1227" t="s">
        <v>283</v>
      </c>
      <c r="V1227">
        <v>0</v>
      </c>
      <c r="W1227">
        <v>0</v>
      </c>
      <c r="X1227" t="s">
        <v>8</v>
      </c>
      <c r="Y1227" s="74" t="str">
        <f ca="1">IF(Table15[[#This Row],[Type]]="KILL",IF(_xlfn.NUMBERVALUE(RIGHT(Table15[[#This Row],[Min]],LEN(Table15[[#This Row],[Min]])-FIND("-",Table15[[#This Row],[Min]])))&gt;INDIRECT(ADDRESS(11+MATCH(LEFT(Table15[[#This Row],[Min]],FIND("-",Table15[[#This Row],[Min]])-1),Table1[Content Sku],0),16,1,1,"Entities")),"review","ok"),"ok")</f>
        <v>ok</v>
      </c>
    </row>
    <row r="1228" spans="5:25" x14ac:dyDescent="0.25">
      <c r="E1228" t="s">
        <v>295</v>
      </c>
      <c r="F1228">
        <v>0</v>
      </c>
      <c r="G1228">
        <v>0</v>
      </c>
      <c r="H1228" t="s">
        <v>8</v>
      </c>
      <c r="I1228" s="74" t="str">
        <f ca="1">IF(Table7[[#This Row],[Type]]="KILL",IF(_xlfn.NUMBERVALUE(RIGHT(Table7[[#This Row],[Min]],LEN(Table7[[#This Row],[Min]])-FIND("-",Table7[[#This Row],[Min]])))&gt;INDIRECT(ADDRESS(11+MATCH(LEFT(Table7[[#This Row],[Min]],FIND("-",Table7[[#This Row],[Min]])-1),Table1[Content Sku],0),16,1,1,"Entities")),"review","ok"),"ok")</f>
        <v>ok</v>
      </c>
      <c r="U1228" t="s">
        <v>418</v>
      </c>
      <c r="V1228">
        <v>0</v>
      </c>
      <c r="W1228">
        <v>0</v>
      </c>
      <c r="X1228" t="s">
        <v>8</v>
      </c>
      <c r="Y1228" s="74" t="str">
        <f ca="1">IF(Table15[[#This Row],[Type]]="KILL",IF(_xlfn.NUMBERVALUE(RIGHT(Table15[[#This Row],[Min]],LEN(Table15[[#This Row],[Min]])-FIND("-",Table15[[#This Row],[Min]])))&gt;INDIRECT(ADDRESS(11+MATCH(LEFT(Table15[[#This Row],[Min]],FIND("-",Table15[[#This Row],[Min]])-1),Table1[Content Sku],0),16,1,1,"Entities")),"review","ok"),"ok")</f>
        <v>ok</v>
      </c>
    </row>
    <row r="1229" spans="5:25" x14ac:dyDescent="0.25">
      <c r="E1229" t="s">
        <v>338</v>
      </c>
      <c r="F1229">
        <v>0</v>
      </c>
      <c r="G1229">
        <v>5000</v>
      </c>
      <c r="H1229" t="s">
        <v>205</v>
      </c>
      <c r="I1229" s="74" t="str">
        <f ca="1">IF(Table7[[#This Row],[Type]]="KILL",IF(_xlfn.NUMBERVALUE(RIGHT(Table7[[#This Row],[Min]],LEN(Table7[[#This Row],[Min]])-FIND("-",Table7[[#This Row],[Min]])))&gt;INDIRECT(ADDRESS(11+MATCH(LEFT(Table7[[#This Row],[Min]],FIND("-",Table7[[#This Row],[Min]])-1),Table1[Content Sku],0),16,1,1,"Entities")),"review","ok"),"ok")</f>
        <v>ok</v>
      </c>
      <c r="U1229" t="s">
        <v>315</v>
      </c>
      <c r="V1229">
        <v>0</v>
      </c>
      <c r="W1229">
        <v>0</v>
      </c>
      <c r="X1229" t="s">
        <v>8</v>
      </c>
      <c r="Y1229" s="74" t="str">
        <f ca="1">IF(Table15[[#This Row],[Type]]="KILL",IF(_xlfn.NUMBERVALUE(RIGHT(Table15[[#This Row],[Min]],LEN(Table15[[#This Row],[Min]])-FIND("-",Table15[[#This Row],[Min]])))&gt;INDIRECT(ADDRESS(11+MATCH(LEFT(Table15[[#This Row],[Min]],FIND("-",Table15[[#This Row],[Min]])-1),Table1[Content Sku],0),16,1,1,"Entities")),"review","ok"),"ok")</f>
        <v>ok</v>
      </c>
    </row>
    <row r="1230" spans="5:25" x14ac:dyDescent="0.25">
      <c r="E1230" t="s">
        <v>254</v>
      </c>
      <c r="F1230">
        <v>0</v>
      </c>
      <c r="G1230">
        <v>0</v>
      </c>
      <c r="H1230" t="s">
        <v>8</v>
      </c>
      <c r="I1230" s="74" t="str">
        <f ca="1">IF(Table7[[#This Row],[Type]]="KILL",IF(_xlfn.NUMBERVALUE(RIGHT(Table7[[#This Row],[Min]],LEN(Table7[[#This Row],[Min]])-FIND("-",Table7[[#This Row],[Min]])))&gt;INDIRECT(ADDRESS(11+MATCH(LEFT(Table7[[#This Row],[Min]],FIND("-",Table7[[#This Row],[Min]])-1),Table1[Content Sku],0),16,1,1,"Entities")),"review","ok"),"ok")</f>
        <v>ok</v>
      </c>
      <c r="U1230" t="s">
        <v>47</v>
      </c>
      <c r="V1230">
        <v>0</v>
      </c>
      <c r="W1230">
        <v>0</v>
      </c>
      <c r="X1230" t="s">
        <v>8</v>
      </c>
      <c r="Y1230" s="74" t="str">
        <f ca="1">IF(Table15[[#This Row],[Type]]="KILL",IF(_xlfn.NUMBERVALUE(RIGHT(Table15[[#This Row],[Min]],LEN(Table15[[#This Row],[Min]])-FIND("-",Table15[[#This Row],[Min]])))&gt;INDIRECT(ADDRESS(11+MATCH(LEFT(Table15[[#This Row],[Min]],FIND("-",Table15[[#This Row],[Min]])-1),Table1[Content Sku],0),16,1,1,"Entities")),"review","ok"),"ok")</f>
        <v>ok</v>
      </c>
    </row>
    <row r="1231" spans="5:25" x14ac:dyDescent="0.25">
      <c r="E1231" t="s">
        <v>91</v>
      </c>
      <c r="F1231">
        <v>0</v>
      </c>
      <c r="G1231">
        <v>25000</v>
      </c>
      <c r="H1231" t="s">
        <v>205</v>
      </c>
      <c r="I1231" s="74" t="str">
        <f ca="1">IF(Table7[[#This Row],[Type]]="KILL",IF(_xlfn.NUMBERVALUE(RIGHT(Table7[[#This Row],[Min]],LEN(Table7[[#This Row],[Min]])-FIND("-",Table7[[#This Row],[Min]])))&gt;INDIRECT(ADDRESS(11+MATCH(LEFT(Table7[[#This Row],[Min]],FIND("-",Table7[[#This Row],[Min]])-1),Table1[Content Sku],0),16,1,1,"Entities")),"review","ok"),"ok")</f>
        <v>ok</v>
      </c>
      <c r="U1231" t="s">
        <v>315</v>
      </c>
      <c r="V1231">
        <v>0</v>
      </c>
      <c r="W1231">
        <v>0</v>
      </c>
      <c r="X1231" t="s">
        <v>8</v>
      </c>
      <c r="Y1231" s="74" t="str">
        <f ca="1">IF(Table15[[#This Row],[Type]]="KILL",IF(_xlfn.NUMBERVALUE(RIGHT(Table15[[#This Row],[Min]],LEN(Table15[[#This Row],[Min]])-FIND("-",Table15[[#This Row],[Min]])))&gt;INDIRECT(ADDRESS(11+MATCH(LEFT(Table15[[#This Row],[Min]],FIND("-",Table15[[#This Row],[Min]])-1),Table1[Content Sku],0),16,1,1,"Entities")),"review","ok"),"ok")</f>
        <v>ok</v>
      </c>
    </row>
    <row r="1232" spans="5:25" x14ac:dyDescent="0.25">
      <c r="E1232" t="s">
        <v>39</v>
      </c>
      <c r="F1232">
        <v>0</v>
      </c>
      <c r="G1232">
        <v>5000</v>
      </c>
      <c r="H1232" t="s">
        <v>205</v>
      </c>
      <c r="I1232" s="74" t="str">
        <f ca="1">IF(Table7[[#This Row],[Type]]="KILL",IF(_xlfn.NUMBERVALUE(RIGHT(Table7[[#This Row],[Min]],LEN(Table7[[#This Row],[Min]])-FIND("-",Table7[[#This Row],[Min]])))&gt;INDIRECT(ADDRESS(11+MATCH(LEFT(Table7[[#This Row],[Min]],FIND("-",Table7[[#This Row],[Min]])-1),Table1[Content Sku],0),16,1,1,"Entities")),"review","ok"),"ok")</f>
        <v>ok</v>
      </c>
      <c r="U1232" t="s">
        <v>2741</v>
      </c>
      <c r="V1232">
        <v>0</v>
      </c>
      <c r="W1232">
        <v>0</v>
      </c>
      <c r="X1232" t="s">
        <v>8</v>
      </c>
      <c r="Y1232" s="74" t="str">
        <f ca="1">IF(Table15[[#This Row],[Type]]="KILL",IF(_xlfn.NUMBERVALUE(RIGHT(Table15[[#This Row],[Min]],LEN(Table15[[#This Row],[Min]])-FIND("-",Table15[[#This Row],[Min]])))&gt;INDIRECT(ADDRESS(11+MATCH(LEFT(Table15[[#This Row],[Min]],FIND("-",Table15[[#This Row],[Min]])-1),Table1[Content Sku],0),16,1,1,"Entities")),"review","ok"),"ok")</f>
        <v>ok</v>
      </c>
    </row>
    <row r="1233" spans="5:25" x14ac:dyDescent="0.25">
      <c r="E1233" t="s">
        <v>253</v>
      </c>
      <c r="F1233">
        <v>0</v>
      </c>
      <c r="G1233">
        <v>0</v>
      </c>
      <c r="H1233" t="s">
        <v>8</v>
      </c>
      <c r="I1233" s="74" t="str">
        <f ca="1">IF(Table7[[#This Row],[Type]]="KILL",IF(_xlfn.NUMBERVALUE(RIGHT(Table7[[#This Row],[Min]],LEN(Table7[[#This Row],[Min]])-FIND("-",Table7[[#This Row],[Min]])))&gt;INDIRECT(ADDRESS(11+MATCH(LEFT(Table7[[#This Row],[Min]],FIND("-",Table7[[#This Row],[Min]])-1),Table1[Content Sku],0),16,1,1,"Entities")),"review","ok"),"ok")</f>
        <v>ok</v>
      </c>
      <c r="U1233" t="s">
        <v>254</v>
      </c>
      <c r="V1233">
        <v>0</v>
      </c>
      <c r="W1233">
        <v>0</v>
      </c>
      <c r="X1233" t="s">
        <v>8</v>
      </c>
      <c r="Y1233" s="74" t="str">
        <f ca="1">IF(Table15[[#This Row],[Type]]="KILL",IF(_xlfn.NUMBERVALUE(RIGHT(Table15[[#This Row],[Min]],LEN(Table15[[#This Row],[Min]])-FIND("-",Table15[[#This Row],[Min]])))&gt;INDIRECT(ADDRESS(11+MATCH(LEFT(Table15[[#This Row],[Min]],FIND("-",Table15[[#This Row],[Min]])-1),Table1[Content Sku],0),16,1,1,"Entities")),"review","ok"),"ok")</f>
        <v>ok</v>
      </c>
    </row>
    <row r="1234" spans="5:25" x14ac:dyDescent="0.25">
      <c r="E1234" t="s">
        <v>254</v>
      </c>
      <c r="F1234">
        <v>0</v>
      </c>
      <c r="G1234">
        <v>0</v>
      </c>
      <c r="H1234" t="s">
        <v>8</v>
      </c>
      <c r="I1234" s="74" t="str">
        <f ca="1">IF(Table7[[#This Row],[Type]]="KILL",IF(_xlfn.NUMBERVALUE(RIGHT(Table7[[#This Row],[Min]],LEN(Table7[[#This Row],[Min]])-FIND("-",Table7[[#This Row],[Min]])))&gt;INDIRECT(ADDRESS(11+MATCH(LEFT(Table7[[#This Row],[Min]],FIND("-",Table7[[#This Row],[Min]])-1),Table1[Content Sku],0),16,1,1,"Entities")),"review","ok"),"ok")</f>
        <v>ok</v>
      </c>
      <c r="U1234" t="s">
        <v>1</v>
      </c>
      <c r="V1234">
        <v>30000</v>
      </c>
      <c r="W1234">
        <v>0</v>
      </c>
      <c r="X1234" t="s">
        <v>205</v>
      </c>
      <c r="Y1234" s="74" t="str">
        <f ca="1">IF(Table15[[#This Row],[Type]]="KILL",IF(_xlfn.NUMBERVALUE(RIGHT(Table15[[#This Row],[Min]],LEN(Table15[[#This Row],[Min]])-FIND("-",Table15[[#This Row],[Min]])))&gt;INDIRECT(ADDRESS(11+MATCH(LEFT(Table15[[#This Row],[Min]],FIND("-",Table15[[#This Row],[Min]])-1),Table1[Content Sku],0),16,1,1,"Entities")),"review","ok"),"ok")</f>
        <v>ok</v>
      </c>
    </row>
    <row r="1235" spans="5:25" x14ac:dyDescent="0.25">
      <c r="E1235" t="s">
        <v>10</v>
      </c>
      <c r="F1235" t="s">
        <v>8118</v>
      </c>
      <c r="G1235" t="s">
        <v>4467</v>
      </c>
      <c r="H1235" t="s">
        <v>4468</v>
      </c>
      <c r="I1235" s="74" t="str">
        <f ca="1">IF(Table7[[#This Row],[Type]]="KILL",IF(_xlfn.NUMBERVALUE(RIGHT(Table7[[#This Row],[Min]],LEN(Table7[[#This Row],[Min]])-FIND("-",Table7[[#This Row],[Min]])))&gt;INDIRECT(ADDRESS(11+MATCH(LEFT(Table7[[#This Row],[Min]],FIND("-",Table7[[#This Row],[Min]])-1),Table1[Content Sku],0),16,1,1,"Entities")),"review","ok"),"ok")</f>
        <v>ok</v>
      </c>
      <c r="U1235" t="s">
        <v>313</v>
      </c>
      <c r="V1235">
        <v>0</v>
      </c>
      <c r="W1235">
        <v>0</v>
      </c>
      <c r="X1235" t="s">
        <v>8</v>
      </c>
      <c r="Y1235" s="74" t="str">
        <f ca="1">IF(Table15[[#This Row],[Type]]="KILL",IF(_xlfn.NUMBERVALUE(RIGHT(Table15[[#This Row],[Min]],LEN(Table15[[#This Row],[Min]])-FIND("-",Table15[[#This Row],[Min]])))&gt;INDIRECT(ADDRESS(11+MATCH(LEFT(Table15[[#This Row],[Min]],FIND("-",Table15[[#This Row],[Min]])-1),Table1[Content Sku],0),16,1,1,"Entities")),"review","ok"),"ok")</f>
        <v>ok</v>
      </c>
    </row>
    <row r="1236" spans="5:25" x14ac:dyDescent="0.25">
      <c r="E1236" t="s">
        <v>253</v>
      </c>
      <c r="F1236">
        <v>0</v>
      </c>
      <c r="G1236">
        <v>0</v>
      </c>
      <c r="H1236" t="s">
        <v>8</v>
      </c>
      <c r="I1236" s="74" t="str">
        <f ca="1">IF(Table7[[#This Row],[Type]]="KILL",IF(_xlfn.NUMBERVALUE(RIGHT(Table7[[#This Row],[Min]],LEN(Table7[[#This Row],[Min]])-FIND("-",Table7[[#This Row],[Min]])))&gt;INDIRECT(ADDRESS(11+MATCH(LEFT(Table7[[#This Row],[Min]],FIND("-",Table7[[#This Row],[Min]])-1),Table1[Content Sku],0),16,1,1,"Entities")),"review","ok"),"ok")</f>
        <v>ok</v>
      </c>
      <c r="U1236" t="s">
        <v>313</v>
      </c>
      <c r="V1236">
        <v>0</v>
      </c>
      <c r="W1236">
        <v>0</v>
      </c>
      <c r="X1236" t="s">
        <v>8</v>
      </c>
      <c r="Y1236" s="74" t="str">
        <f ca="1">IF(Table15[[#This Row],[Type]]="KILL",IF(_xlfn.NUMBERVALUE(RIGHT(Table15[[#This Row],[Min]],LEN(Table15[[#This Row],[Min]])-FIND("-",Table15[[#This Row],[Min]])))&gt;INDIRECT(ADDRESS(11+MATCH(LEFT(Table15[[#This Row],[Min]],FIND("-",Table15[[#This Row],[Min]])-1),Table1[Content Sku],0),16,1,1,"Entities")),"review","ok"),"ok")</f>
        <v>ok</v>
      </c>
    </row>
    <row r="1237" spans="5:25" x14ac:dyDescent="0.25">
      <c r="E1237" t="s">
        <v>49</v>
      </c>
      <c r="F1237">
        <v>14000</v>
      </c>
      <c r="G1237">
        <v>20000</v>
      </c>
      <c r="H1237" t="s">
        <v>205</v>
      </c>
      <c r="I1237" s="74" t="str">
        <f ca="1">IF(Table7[[#This Row],[Type]]="KILL",IF(_xlfn.NUMBERVALUE(RIGHT(Table7[[#This Row],[Min]],LEN(Table7[[#This Row],[Min]])-FIND("-",Table7[[#This Row],[Min]])))&gt;INDIRECT(ADDRESS(11+MATCH(LEFT(Table7[[#This Row],[Min]],FIND("-",Table7[[#This Row],[Min]])-1),Table1[Content Sku],0),16,1,1,"Entities")),"review","ok"),"ok")</f>
        <v>ok</v>
      </c>
      <c r="U1237" t="s">
        <v>48</v>
      </c>
      <c r="V1237">
        <v>0</v>
      </c>
      <c r="W1237">
        <v>14000</v>
      </c>
      <c r="X1237" t="s">
        <v>205</v>
      </c>
      <c r="Y1237" s="74" t="str">
        <f ca="1">IF(Table15[[#This Row],[Type]]="KILL",IF(_xlfn.NUMBERVALUE(RIGHT(Table15[[#This Row],[Min]],LEN(Table15[[#This Row],[Min]])-FIND("-",Table15[[#This Row],[Min]])))&gt;INDIRECT(ADDRESS(11+MATCH(LEFT(Table15[[#This Row],[Min]],FIND("-",Table15[[#This Row],[Min]])-1),Table1[Content Sku],0),16,1,1,"Entities")),"review","ok"),"ok")</f>
        <v>ok</v>
      </c>
    </row>
    <row r="1238" spans="5:25" x14ac:dyDescent="0.25">
      <c r="E1238" t="s">
        <v>2741</v>
      </c>
      <c r="F1238">
        <v>0</v>
      </c>
      <c r="G1238">
        <v>0</v>
      </c>
      <c r="H1238" t="s">
        <v>8</v>
      </c>
      <c r="I1238" s="74" t="str">
        <f ca="1">IF(Table7[[#This Row],[Type]]="KILL",IF(_xlfn.NUMBERVALUE(RIGHT(Table7[[#This Row],[Min]],LEN(Table7[[#This Row],[Min]])-FIND("-",Table7[[#This Row],[Min]])))&gt;INDIRECT(ADDRESS(11+MATCH(LEFT(Table7[[#This Row],[Min]],FIND("-",Table7[[#This Row],[Min]])-1),Table1[Content Sku],0),16,1,1,"Entities")),"review","ok"),"ok")</f>
        <v>ok</v>
      </c>
      <c r="U1238" t="s">
        <v>37</v>
      </c>
      <c r="V1238">
        <v>20000</v>
      </c>
      <c r="W1238">
        <v>0</v>
      </c>
      <c r="X1238" t="s">
        <v>205</v>
      </c>
      <c r="Y1238" s="74" t="str">
        <f ca="1">IF(Table15[[#This Row],[Type]]="KILL",IF(_xlfn.NUMBERVALUE(RIGHT(Table15[[#This Row],[Min]],LEN(Table15[[#This Row],[Min]])-FIND("-",Table15[[#This Row],[Min]])))&gt;INDIRECT(ADDRESS(11+MATCH(LEFT(Table15[[#This Row],[Min]],FIND("-",Table15[[#This Row],[Min]])-1),Table1[Content Sku],0),16,1,1,"Entities")),"review","ok"),"ok")</f>
        <v>ok</v>
      </c>
    </row>
    <row r="1239" spans="5:25" x14ac:dyDescent="0.25">
      <c r="E1239" t="s">
        <v>17</v>
      </c>
      <c r="F1239">
        <v>0</v>
      </c>
      <c r="G1239">
        <v>0</v>
      </c>
      <c r="H1239" t="s">
        <v>8</v>
      </c>
      <c r="I1239" s="74" t="str">
        <f ca="1">IF(Table7[[#This Row],[Type]]="KILL",IF(_xlfn.NUMBERVALUE(RIGHT(Table7[[#This Row],[Min]],LEN(Table7[[#This Row],[Min]])-FIND("-",Table7[[#This Row],[Min]])))&gt;INDIRECT(ADDRESS(11+MATCH(LEFT(Table7[[#This Row],[Min]],FIND("-",Table7[[#This Row],[Min]])-1),Table1[Content Sku],0),16,1,1,"Entities")),"review","ok"),"ok")</f>
        <v>ok</v>
      </c>
      <c r="U1239" t="s">
        <v>293</v>
      </c>
      <c r="V1239">
        <v>0</v>
      </c>
      <c r="W1239">
        <v>0</v>
      </c>
      <c r="X1239" t="s">
        <v>8</v>
      </c>
      <c r="Y1239" s="74" t="str">
        <f ca="1">IF(Table15[[#This Row],[Type]]="KILL",IF(_xlfn.NUMBERVALUE(RIGHT(Table15[[#This Row],[Min]],LEN(Table15[[#This Row],[Min]])-FIND("-",Table15[[#This Row],[Min]])))&gt;INDIRECT(ADDRESS(11+MATCH(LEFT(Table15[[#This Row],[Min]],FIND("-",Table15[[#This Row],[Min]])-1),Table1[Content Sku],0),16,1,1,"Entities")),"review","ok"),"ok")</f>
        <v>ok</v>
      </c>
    </row>
    <row r="1240" spans="5:25" x14ac:dyDescent="0.25">
      <c r="E1240" t="s">
        <v>123</v>
      </c>
      <c r="F1240">
        <v>0</v>
      </c>
      <c r="G1240">
        <v>0</v>
      </c>
      <c r="H1240" t="s">
        <v>8</v>
      </c>
      <c r="I1240" s="74" t="str">
        <f ca="1">IF(Table7[[#This Row],[Type]]="KILL",IF(_xlfn.NUMBERVALUE(RIGHT(Table7[[#This Row],[Min]],LEN(Table7[[#This Row],[Min]])-FIND("-",Table7[[#This Row],[Min]])))&gt;INDIRECT(ADDRESS(11+MATCH(LEFT(Table7[[#This Row],[Min]],FIND("-",Table7[[#This Row],[Min]])-1),Table1[Content Sku],0),16,1,1,"Entities")),"review","ok"),"ok")</f>
        <v>ok</v>
      </c>
      <c r="U1240" t="s">
        <v>392</v>
      </c>
      <c r="V1240">
        <v>20000</v>
      </c>
      <c r="W1240">
        <v>0</v>
      </c>
      <c r="X1240" t="s">
        <v>205</v>
      </c>
      <c r="Y1240" s="74" t="str">
        <f ca="1">IF(Table15[[#This Row],[Type]]="KILL",IF(_xlfn.NUMBERVALUE(RIGHT(Table15[[#This Row],[Min]],LEN(Table15[[#This Row],[Min]])-FIND("-",Table15[[#This Row],[Min]])))&gt;INDIRECT(ADDRESS(11+MATCH(LEFT(Table15[[#This Row],[Min]],FIND("-",Table15[[#This Row],[Min]])-1),Table1[Content Sku],0),16,1,1,"Entities")),"review","ok"),"ok")</f>
        <v>ok</v>
      </c>
    </row>
    <row r="1241" spans="5:25" x14ac:dyDescent="0.25">
      <c r="E1241" t="s">
        <v>42</v>
      </c>
      <c r="F1241">
        <v>25000</v>
      </c>
      <c r="G1241">
        <v>0</v>
      </c>
      <c r="H1241" t="s">
        <v>205</v>
      </c>
      <c r="I1241" s="74" t="str">
        <f ca="1">IF(Table7[[#This Row],[Type]]="KILL",IF(_xlfn.NUMBERVALUE(RIGHT(Table7[[#This Row],[Min]],LEN(Table7[[#This Row],[Min]])-FIND("-",Table7[[#This Row],[Min]])))&gt;INDIRECT(ADDRESS(11+MATCH(LEFT(Table7[[#This Row],[Min]],FIND("-",Table7[[#This Row],[Min]])-1),Table1[Content Sku],0),16,1,1,"Entities")),"review","ok"),"ok")</f>
        <v>ok</v>
      </c>
      <c r="U1241" t="s">
        <v>311</v>
      </c>
      <c r="V1241">
        <v>25000</v>
      </c>
      <c r="W1241">
        <v>0</v>
      </c>
      <c r="X1241" t="s">
        <v>205</v>
      </c>
      <c r="Y1241" s="74" t="str">
        <f ca="1">IF(Table15[[#This Row],[Type]]="KILL",IF(_xlfn.NUMBERVALUE(RIGHT(Table15[[#This Row],[Min]],LEN(Table15[[#This Row],[Min]])-FIND("-",Table15[[#This Row],[Min]])))&gt;INDIRECT(ADDRESS(11+MATCH(LEFT(Table15[[#This Row],[Min]],FIND("-",Table15[[#This Row],[Min]])-1),Table1[Content Sku],0),16,1,1,"Entities")),"review","ok"),"ok")</f>
        <v>ok</v>
      </c>
    </row>
    <row r="1242" spans="5:25" x14ac:dyDescent="0.25">
      <c r="E1242" t="s">
        <v>254</v>
      </c>
      <c r="F1242">
        <v>0</v>
      </c>
      <c r="G1242">
        <v>0</v>
      </c>
      <c r="H1242" t="s">
        <v>8</v>
      </c>
      <c r="I1242" s="74" t="str">
        <f ca="1">IF(Table7[[#This Row],[Type]]="KILL",IF(_xlfn.NUMBERVALUE(RIGHT(Table7[[#This Row],[Min]],LEN(Table7[[#This Row],[Min]])-FIND("-",Table7[[#This Row],[Min]])))&gt;INDIRECT(ADDRESS(11+MATCH(LEFT(Table7[[#This Row],[Min]],FIND("-",Table7[[#This Row],[Min]])-1),Table1[Content Sku],0),16,1,1,"Entities")),"review","ok"),"ok")</f>
        <v>ok</v>
      </c>
      <c r="U1242" t="s">
        <v>122</v>
      </c>
      <c r="V1242">
        <v>27000</v>
      </c>
      <c r="W1242">
        <v>0</v>
      </c>
      <c r="X1242" t="s">
        <v>205</v>
      </c>
      <c r="Y1242" s="74" t="str">
        <f ca="1">IF(Table15[[#This Row],[Type]]="KILL",IF(_xlfn.NUMBERVALUE(RIGHT(Table15[[#This Row],[Min]],LEN(Table15[[#This Row],[Min]])-FIND("-",Table15[[#This Row],[Min]])))&gt;INDIRECT(ADDRESS(11+MATCH(LEFT(Table15[[#This Row],[Min]],FIND("-",Table15[[#This Row],[Min]])-1),Table1[Content Sku],0),16,1,1,"Entities")),"review","ok"),"ok")</f>
        <v>ok</v>
      </c>
    </row>
    <row r="1243" spans="5:25" x14ac:dyDescent="0.25">
      <c r="E1243" t="s">
        <v>48</v>
      </c>
      <c r="F1243">
        <v>0</v>
      </c>
      <c r="G1243">
        <v>0</v>
      </c>
      <c r="H1243" t="s">
        <v>8</v>
      </c>
      <c r="I1243" s="74" t="str">
        <f ca="1">IF(Table7[[#This Row],[Type]]="KILL",IF(_xlfn.NUMBERVALUE(RIGHT(Table7[[#This Row],[Min]],LEN(Table7[[#This Row],[Min]])-FIND("-",Table7[[#This Row],[Min]])))&gt;INDIRECT(ADDRESS(11+MATCH(LEFT(Table7[[#This Row],[Min]],FIND("-",Table7[[#This Row],[Min]])-1),Table1[Content Sku],0),16,1,1,"Entities")),"review","ok"),"ok")</f>
        <v>ok</v>
      </c>
      <c r="U1243" t="s">
        <v>313</v>
      </c>
      <c r="V1243">
        <v>0</v>
      </c>
      <c r="W1243">
        <v>0</v>
      </c>
      <c r="X1243" t="s">
        <v>8</v>
      </c>
      <c r="Y1243" s="74" t="str">
        <f ca="1">IF(Table15[[#This Row],[Type]]="KILL",IF(_xlfn.NUMBERVALUE(RIGHT(Table15[[#This Row],[Min]],LEN(Table15[[#This Row],[Min]])-FIND("-",Table15[[#This Row],[Min]])))&gt;INDIRECT(ADDRESS(11+MATCH(LEFT(Table15[[#This Row],[Min]],FIND("-",Table15[[#This Row],[Min]])-1),Table1[Content Sku],0),16,1,1,"Entities")),"review","ok"),"ok")</f>
        <v>ok</v>
      </c>
    </row>
    <row r="1244" spans="5:25" x14ac:dyDescent="0.25">
      <c r="E1244" t="s">
        <v>39</v>
      </c>
      <c r="F1244">
        <v>2200</v>
      </c>
      <c r="G1244">
        <v>0</v>
      </c>
      <c r="H1244" t="s">
        <v>205</v>
      </c>
      <c r="I1244" s="74" t="str">
        <f ca="1">IF(Table7[[#This Row],[Type]]="KILL",IF(_xlfn.NUMBERVALUE(RIGHT(Table7[[#This Row],[Min]],LEN(Table7[[#This Row],[Min]])-FIND("-",Table7[[#This Row],[Min]])))&gt;INDIRECT(ADDRESS(11+MATCH(LEFT(Table7[[#This Row],[Min]],FIND("-",Table7[[#This Row],[Min]])-1),Table1[Content Sku],0),16,1,1,"Entities")),"review","ok"),"ok")</f>
        <v>ok</v>
      </c>
      <c r="U1244" t="s">
        <v>313</v>
      </c>
      <c r="V1244">
        <v>0</v>
      </c>
      <c r="W1244">
        <v>0</v>
      </c>
      <c r="X1244" t="s">
        <v>8</v>
      </c>
      <c r="Y1244" s="74" t="str">
        <f ca="1">IF(Table15[[#This Row],[Type]]="KILL",IF(_xlfn.NUMBERVALUE(RIGHT(Table15[[#This Row],[Min]],LEN(Table15[[#This Row],[Min]])-FIND("-",Table15[[#This Row],[Min]])))&gt;INDIRECT(ADDRESS(11+MATCH(LEFT(Table15[[#This Row],[Min]],FIND("-",Table15[[#This Row],[Min]])-1),Table1[Content Sku],0),16,1,1,"Entities")),"review","ok"),"ok")</f>
        <v>ok</v>
      </c>
    </row>
    <row r="1245" spans="5:25" x14ac:dyDescent="0.25">
      <c r="E1245" t="s">
        <v>286</v>
      </c>
      <c r="F1245">
        <v>0</v>
      </c>
      <c r="G1245">
        <v>0</v>
      </c>
      <c r="H1245" t="s">
        <v>8</v>
      </c>
      <c r="I1245" s="74" t="str">
        <f ca="1">IF(Table7[[#This Row],[Type]]="KILL",IF(_xlfn.NUMBERVALUE(RIGHT(Table7[[#This Row],[Min]],LEN(Table7[[#This Row],[Min]])-FIND("-",Table7[[#This Row],[Min]])))&gt;INDIRECT(ADDRESS(11+MATCH(LEFT(Table7[[#This Row],[Min]],FIND("-",Table7[[#This Row],[Min]])-1),Table1[Content Sku],0),16,1,1,"Entities")),"review","ok"),"ok")</f>
        <v>ok</v>
      </c>
      <c r="U1245" t="s">
        <v>41</v>
      </c>
      <c r="V1245">
        <v>0</v>
      </c>
      <c r="W1245">
        <v>0</v>
      </c>
      <c r="X1245" t="s">
        <v>8</v>
      </c>
      <c r="Y1245" s="74" t="str">
        <f ca="1">IF(Table15[[#This Row],[Type]]="KILL",IF(_xlfn.NUMBERVALUE(RIGHT(Table15[[#This Row],[Min]],LEN(Table15[[#This Row],[Min]])-FIND("-",Table15[[#This Row],[Min]])))&gt;INDIRECT(ADDRESS(11+MATCH(LEFT(Table15[[#This Row],[Min]],FIND("-",Table15[[#This Row],[Min]])-1),Table1[Content Sku],0),16,1,1,"Entities")),"review","ok"),"ok")</f>
        <v>ok</v>
      </c>
    </row>
    <row r="1246" spans="5:25" x14ac:dyDescent="0.25">
      <c r="E1246" t="s">
        <v>278</v>
      </c>
      <c r="F1246">
        <v>0</v>
      </c>
      <c r="G1246">
        <v>0</v>
      </c>
      <c r="H1246" t="s">
        <v>8</v>
      </c>
      <c r="I1246" s="74" t="str">
        <f ca="1">IF(Table7[[#This Row],[Type]]="KILL",IF(_xlfn.NUMBERVALUE(RIGHT(Table7[[#This Row],[Min]],LEN(Table7[[#This Row],[Min]])-FIND("-",Table7[[#This Row],[Min]])))&gt;INDIRECT(ADDRESS(11+MATCH(LEFT(Table7[[#This Row],[Min]],FIND("-",Table7[[#This Row],[Min]])-1),Table1[Content Sku],0),16,1,1,"Entities")),"review","ok"),"ok")</f>
        <v>ok</v>
      </c>
      <c r="U1246" t="s">
        <v>273</v>
      </c>
      <c r="V1246">
        <v>60000</v>
      </c>
      <c r="W1246">
        <v>0</v>
      </c>
      <c r="X1246" t="s">
        <v>205</v>
      </c>
      <c r="Y1246" s="74" t="str">
        <f ca="1">IF(Table15[[#This Row],[Type]]="KILL",IF(_xlfn.NUMBERVALUE(RIGHT(Table15[[#This Row],[Min]],LEN(Table15[[#This Row],[Min]])-FIND("-",Table15[[#This Row],[Min]])))&gt;INDIRECT(ADDRESS(11+MATCH(LEFT(Table15[[#This Row],[Min]],FIND("-",Table15[[#This Row],[Min]])-1),Table1[Content Sku],0),16,1,1,"Entities")),"review","ok"),"ok")</f>
        <v>ok</v>
      </c>
    </row>
    <row r="1247" spans="5:25" x14ac:dyDescent="0.25">
      <c r="E1247" t="s">
        <v>338</v>
      </c>
      <c r="F1247">
        <v>4000</v>
      </c>
      <c r="G1247">
        <v>8000</v>
      </c>
      <c r="H1247" t="s">
        <v>205</v>
      </c>
      <c r="I1247" s="74" t="str">
        <f ca="1">IF(Table7[[#This Row],[Type]]="KILL",IF(_xlfn.NUMBERVALUE(RIGHT(Table7[[#This Row],[Min]],LEN(Table7[[#This Row],[Min]])-FIND("-",Table7[[#This Row],[Min]])))&gt;INDIRECT(ADDRESS(11+MATCH(LEFT(Table7[[#This Row],[Min]],FIND("-",Table7[[#This Row],[Min]])-1),Table1[Content Sku],0),16,1,1,"Entities")),"review","ok"),"ok")</f>
        <v>ok</v>
      </c>
      <c r="U1247" t="s">
        <v>253</v>
      </c>
      <c r="V1247">
        <v>0</v>
      </c>
      <c r="W1247">
        <v>0</v>
      </c>
      <c r="X1247" t="s">
        <v>8</v>
      </c>
      <c r="Y1247" s="74" t="str">
        <f ca="1">IF(Table15[[#This Row],[Type]]="KILL",IF(_xlfn.NUMBERVALUE(RIGHT(Table15[[#This Row],[Min]],LEN(Table15[[#This Row],[Min]])-FIND("-",Table15[[#This Row],[Min]])))&gt;INDIRECT(ADDRESS(11+MATCH(LEFT(Table15[[#This Row],[Min]],FIND("-",Table15[[#This Row],[Min]])-1),Table1[Content Sku],0),16,1,1,"Entities")),"review","ok"),"ok")</f>
        <v>ok</v>
      </c>
    </row>
    <row r="1248" spans="5:25" x14ac:dyDescent="0.25">
      <c r="E1248" t="s">
        <v>313</v>
      </c>
      <c r="F1248">
        <v>0</v>
      </c>
      <c r="G1248">
        <v>15000</v>
      </c>
      <c r="H1248" t="s">
        <v>205</v>
      </c>
      <c r="I1248" s="74" t="str">
        <f ca="1">IF(Table7[[#This Row],[Type]]="KILL",IF(_xlfn.NUMBERVALUE(RIGHT(Table7[[#This Row],[Min]],LEN(Table7[[#This Row],[Min]])-FIND("-",Table7[[#This Row],[Min]])))&gt;INDIRECT(ADDRESS(11+MATCH(LEFT(Table7[[#This Row],[Min]],FIND("-",Table7[[#This Row],[Min]])-1),Table1[Content Sku],0),16,1,1,"Entities")),"review","ok"),"ok")</f>
        <v>ok</v>
      </c>
      <c r="U1248" t="s">
        <v>2726</v>
      </c>
      <c r="V1248">
        <v>0</v>
      </c>
      <c r="W1248">
        <v>0</v>
      </c>
      <c r="X1248" t="s">
        <v>8</v>
      </c>
      <c r="Y1248" s="74" t="str">
        <f ca="1">IF(Table15[[#This Row],[Type]]="KILL",IF(_xlfn.NUMBERVALUE(RIGHT(Table15[[#This Row],[Min]],LEN(Table15[[#This Row],[Min]])-FIND("-",Table15[[#This Row],[Min]])))&gt;INDIRECT(ADDRESS(11+MATCH(LEFT(Table15[[#This Row],[Min]],FIND("-",Table15[[#This Row],[Min]])-1),Table1[Content Sku],0),16,1,1,"Entities")),"review","ok"),"ok")</f>
        <v>ok</v>
      </c>
    </row>
    <row r="1249" spans="5:25" x14ac:dyDescent="0.25">
      <c r="E1249" t="s">
        <v>123</v>
      </c>
      <c r="F1249">
        <v>120</v>
      </c>
      <c r="G1249">
        <v>0</v>
      </c>
      <c r="H1249" t="s">
        <v>4431</v>
      </c>
      <c r="I1249" s="74" t="str">
        <f ca="1">IF(Table7[[#This Row],[Type]]="KILL",IF(_xlfn.NUMBERVALUE(RIGHT(Table7[[#This Row],[Min]],LEN(Table7[[#This Row],[Min]])-FIND("-",Table7[[#This Row],[Min]])))&gt;INDIRECT(ADDRESS(11+MATCH(LEFT(Table7[[#This Row],[Min]],FIND("-",Table7[[#This Row],[Min]])-1),Table1[Content Sku],0),16,1,1,"Entities")),"review","ok"),"ok")</f>
        <v>ok</v>
      </c>
      <c r="U1249" t="s">
        <v>44</v>
      </c>
      <c r="V1249">
        <v>25000</v>
      </c>
      <c r="W1249">
        <v>0</v>
      </c>
      <c r="X1249" t="s">
        <v>205</v>
      </c>
      <c r="Y1249" s="74" t="str">
        <f ca="1">IF(Table15[[#This Row],[Type]]="KILL",IF(_xlfn.NUMBERVALUE(RIGHT(Table15[[#This Row],[Min]],LEN(Table15[[#This Row],[Min]])-FIND("-",Table15[[#This Row],[Min]])))&gt;INDIRECT(ADDRESS(11+MATCH(LEFT(Table15[[#This Row],[Min]],FIND("-",Table15[[#This Row],[Min]])-1),Table1[Content Sku],0),16,1,1,"Entities")),"review","ok"),"ok")</f>
        <v>ok</v>
      </c>
    </row>
    <row r="1250" spans="5:25" x14ac:dyDescent="0.25">
      <c r="E1250" t="s">
        <v>463</v>
      </c>
      <c r="F1250">
        <v>0</v>
      </c>
      <c r="G1250">
        <v>4000</v>
      </c>
      <c r="H1250" t="s">
        <v>205</v>
      </c>
      <c r="I1250" s="74" t="str">
        <f ca="1">IF(Table7[[#This Row],[Type]]="KILL",IF(_xlfn.NUMBERVALUE(RIGHT(Table7[[#This Row],[Min]],LEN(Table7[[#This Row],[Min]])-FIND("-",Table7[[#This Row],[Min]])))&gt;INDIRECT(ADDRESS(11+MATCH(LEFT(Table7[[#This Row],[Min]],FIND("-",Table7[[#This Row],[Min]])-1),Table1[Content Sku],0),16,1,1,"Entities")),"review","ok"),"ok")</f>
        <v>ok</v>
      </c>
      <c r="U1250" t="s">
        <v>122</v>
      </c>
      <c r="V1250">
        <v>35000</v>
      </c>
      <c r="W1250">
        <v>0</v>
      </c>
      <c r="X1250" t="s">
        <v>205</v>
      </c>
      <c r="Y1250" s="74" t="str">
        <f ca="1">IF(Table15[[#This Row],[Type]]="KILL",IF(_xlfn.NUMBERVALUE(RIGHT(Table15[[#This Row],[Min]],LEN(Table15[[#This Row],[Min]])-FIND("-",Table15[[#This Row],[Min]])))&gt;INDIRECT(ADDRESS(11+MATCH(LEFT(Table15[[#This Row],[Min]],FIND("-",Table15[[#This Row],[Min]])-1),Table1[Content Sku],0),16,1,1,"Entities")),"review","ok"),"ok")</f>
        <v>ok</v>
      </c>
    </row>
    <row r="1251" spans="5:25" x14ac:dyDescent="0.25">
      <c r="E1251" t="s">
        <v>295</v>
      </c>
      <c r="F1251">
        <v>0</v>
      </c>
      <c r="G1251">
        <v>4000</v>
      </c>
      <c r="H1251" t="s">
        <v>205</v>
      </c>
      <c r="I1251" s="74" t="str">
        <f ca="1">IF(Table7[[#This Row],[Type]]="KILL",IF(_xlfn.NUMBERVALUE(RIGHT(Table7[[#This Row],[Min]],LEN(Table7[[#This Row],[Min]])-FIND("-",Table7[[#This Row],[Min]])))&gt;INDIRECT(ADDRESS(11+MATCH(LEFT(Table7[[#This Row],[Min]],FIND("-",Table7[[#This Row],[Min]])-1),Table1[Content Sku],0),16,1,1,"Entities")),"review","ok"),"ok")</f>
        <v>ok</v>
      </c>
      <c r="U1251" t="s">
        <v>37</v>
      </c>
      <c r="V1251">
        <v>0</v>
      </c>
      <c r="W1251">
        <v>0</v>
      </c>
      <c r="X1251" t="s">
        <v>8</v>
      </c>
      <c r="Y1251" s="74" t="str">
        <f ca="1">IF(Table15[[#This Row],[Type]]="KILL",IF(_xlfn.NUMBERVALUE(RIGHT(Table15[[#This Row],[Min]],LEN(Table15[[#This Row],[Min]])-FIND("-",Table15[[#This Row],[Min]])))&gt;INDIRECT(ADDRESS(11+MATCH(LEFT(Table15[[#This Row],[Min]],FIND("-",Table15[[#This Row],[Min]])-1),Table1[Content Sku],0),16,1,1,"Entities")),"review","ok"),"ok")</f>
        <v>ok</v>
      </c>
    </row>
    <row r="1252" spans="5:25" x14ac:dyDescent="0.25">
      <c r="E1252" t="s">
        <v>8133</v>
      </c>
      <c r="F1252">
        <v>0</v>
      </c>
      <c r="G1252">
        <v>0</v>
      </c>
      <c r="H1252" t="s">
        <v>8</v>
      </c>
      <c r="I1252" s="74" t="str">
        <f ca="1">IF(Table7[[#This Row],[Type]]="KILL",IF(_xlfn.NUMBERVALUE(RIGHT(Table7[[#This Row],[Min]],LEN(Table7[[#This Row],[Min]])-FIND("-",Table7[[#This Row],[Min]])))&gt;INDIRECT(ADDRESS(11+MATCH(LEFT(Table7[[#This Row],[Min]],FIND("-",Table7[[#This Row],[Min]])-1),Table1[Content Sku],0),16,1,1,"Entities")),"review","ok"),"ok")</f>
        <v>ok</v>
      </c>
      <c r="U1252" t="s">
        <v>95</v>
      </c>
      <c r="V1252">
        <v>0</v>
      </c>
      <c r="W1252">
        <v>0</v>
      </c>
      <c r="X1252" t="s">
        <v>8</v>
      </c>
      <c r="Y1252" s="74" t="str">
        <f ca="1">IF(Table15[[#This Row],[Type]]="KILL",IF(_xlfn.NUMBERVALUE(RIGHT(Table15[[#This Row],[Min]],LEN(Table15[[#This Row],[Min]])-FIND("-",Table15[[#This Row],[Min]])))&gt;INDIRECT(ADDRESS(11+MATCH(LEFT(Table15[[#This Row],[Min]],FIND("-",Table15[[#This Row],[Min]])-1),Table1[Content Sku],0),16,1,1,"Entities")),"review","ok"),"ok")</f>
        <v>ok</v>
      </c>
    </row>
    <row r="1253" spans="5:25" x14ac:dyDescent="0.25">
      <c r="E1253" t="s">
        <v>48</v>
      </c>
      <c r="F1253">
        <v>10000</v>
      </c>
      <c r="G1253">
        <v>16000</v>
      </c>
      <c r="H1253" t="s">
        <v>205</v>
      </c>
      <c r="I1253" s="74" t="str">
        <f ca="1">IF(Table7[[#This Row],[Type]]="KILL",IF(_xlfn.NUMBERVALUE(RIGHT(Table7[[#This Row],[Min]],LEN(Table7[[#This Row],[Min]])-FIND("-",Table7[[#This Row],[Min]])))&gt;INDIRECT(ADDRESS(11+MATCH(LEFT(Table7[[#This Row],[Min]],FIND("-",Table7[[#This Row],[Min]])-1),Table1[Content Sku],0),16,1,1,"Entities")),"review","ok"),"ok")</f>
        <v>ok</v>
      </c>
      <c r="U1253" t="s">
        <v>253</v>
      </c>
      <c r="V1253">
        <v>0</v>
      </c>
      <c r="W1253">
        <v>0</v>
      </c>
      <c r="X1253" t="s">
        <v>8</v>
      </c>
      <c r="Y1253" s="74" t="str">
        <f ca="1">IF(Table15[[#This Row],[Type]]="KILL",IF(_xlfn.NUMBERVALUE(RIGHT(Table15[[#This Row],[Min]],LEN(Table15[[#This Row],[Min]])-FIND("-",Table15[[#This Row],[Min]])))&gt;INDIRECT(ADDRESS(11+MATCH(LEFT(Table15[[#This Row],[Min]],FIND("-",Table15[[#This Row],[Min]])-1),Table1[Content Sku],0),16,1,1,"Entities")),"review","ok"),"ok")</f>
        <v>ok</v>
      </c>
    </row>
    <row r="1254" spans="5:25" x14ac:dyDescent="0.25">
      <c r="E1254" t="s">
        <v>545</v>
      </c>
      <c r="F1254">
        <v>0</v>
      </c>
      <c r="G1254">
        <v>0</v>
      </c>
      <c r="H1254" t="s">
        <v>8</v>
      </c>
      <c r="I1254" s="74" t="str">
        <f ca="1">IF(Table7[[#This Row],[Type]]="KILL",IF(_xlfn.NUMBERVALUE(RIGHT(Table7[[#This Row],[Min]],LEN(Table7[[#This Row],[Min]])-FIND("-",Table7[[#This Row],[Min]])))&gt;INDIRECT(ADDRESS(11+MATCH(LEFT(Table7[[#This Row],[Min]],FIND("-",Table7[[#This Row],[Min]])-1),Table1[Content Sku],0),16,1,1,"Entities")),"review","ok"),"ok")</f>
        <v>ok</v>
      </c>
      <c r="U1254" t="s">
        <v>311</v>
      </c>
      <c r="V1254">
        <v>0</v>
      </c>
      <c r="W1254">
        <v>0</v>
      </c>
      <c r="X1254" t="s">
        <v>8</v>
      </c>
      <c r="Y1254" s="74" t="str">
        <f ca="1">IF(Table15[[#This Row],[Type]]="KILL",IF(_xlfn.NUMBERVALUE(RIGHT(Table15[[#This Row],[Min]],LEN(Table15[[#This Row],[Min]])-FIND("-",Table15[[#This Row],[Min]])))&gt;INDIRECT(ADDRESS(11+MATCH(LEFT(Table15[[#This Row],[Min]],FIND("-",Table15[[#This Row],[Min]])-1),Table1[Content Sku],0),16,1,1,"Entities")),"review","ok"),"ok")</f>
        <v>ok</v>
      </c>
    </row>
    <row r="1255" spans="5:25" x14ac:dyDescent="0.25">
      <c r="E1255" t="s">
        <v>253</v>
      </c>
      <c r="F1255">
        <v>0</v>
      </c>
      <c r="G1255">
        <v>0</v>
      </c>
      <c r="H1255" t="s">
        <v>8</v>
      </c>
      <c r="I1255" s="74" t="str">
        <f ca="1">IF(Table7[[#This Row],[Type]]="KILL",IF(_xlfn.NUMBERVALUE(RIGHT(Table7[[#This Row],[Min]],LEN(Table7[[#This Row],[Min]])-FIND("-",Table7[[#This Row],[Min]])))&gt;INDIRECT(ADDRESS(11+MATCH(LEFT(Table7[[#This Row],[Min]],FIND("-",Table7[[#This Row],[Min]])-1),Table1[Content Sku],0),16,1,1,"Entities")),"review","ok"),"ok")</f>
        <v>ok</v>
      </c>
      <c r="U1255" t="s">
        <v>393</v>
      </c>
      <c r="V1255">
        <v>0</v>
      </c>
      <c r="W1255">
        <v>0</v>
      </c>
      <c r="X1255" t="s">
        <v>8</v>
      </c>
      <c r="Y1255" s="74" t="str">
        <f ca="1">IF(Table15[[#This Row],[Type]]="KILL",IF(_xlfn.NUMBERVALUE(RIGHT(Table15[[#This Row],[Min]],LEN(Table15[[#This Row],[Min]])-FIND("-",Table15[[#This Row],[Min]])))&gt;INDIRECT(ADDRESS(11+MATCH(LEFT(Table15[[#This Row],[Min]],FIND("-",Table15[[#This Row],[Min]])-1),Table1[Content Sku],0),16,1,1,"Entities")),"review","ok"),"ok")</f>
        <v>ok</v>
      </c>
    </row>
    <row r="1256" spans="5:25" x14ac:dyDescent="0.25">
      <c r="E1256" t="s">
        <v>545</v>
      </c>
      <c r="F1256">
        <v>0</v>
      </c>
      <c r="G1256">
        <v>0</v>
      </c>
      <c r="H1256" t="s">
        <v>8</v>
      </c>
      <c r="I1256" s="74" t="str">
        <f ca="1">IF(Table7[[#This Row],[Type]]="KILL",IF(_xlfn.NUMBERVALUE(RIGHT(Table7[[#This Row],[Min]],LEN(Table7[[#This Row],[Min]])-FIND("-",Table7[[#This Row],[Min]])))&gt;INDIRECT(ADDRESS(11+MATCH(LEFT(Table7[[#This Row],[Min]],FIND("-",Table7[[#This Row],[Min]])-1),Table1[Content Sku],0),16,1,1,"Entities")),"review","ok"),"ok")</f>
        <v>ok</v>
      </c>
      <c r="U1256" t="s">
        <v>278</v>
      </c>
      <c r="V1256">
        <v>0</v>
      </c>
      <c r="W1256">
        <v>0</v>
      </c>
      <c r="X1256" t="s">
        <v>8</v>
      </c>
      <c r="Y1256" s="74" t="str">
        <f ca="1">IF(Table15[[#This Row],[Type]]="KILL",IF(_xlfn.NUMBERVALUE(RIGHT(Table15[[#This Row],[Min]],LEN(Table15[[#This Row],[Min]])-FIND("-",Table15[[#This Row],[Min]])))&gt;INDIRECT(ADDRESS(11+MATCH(LEFT(Table15[[#This Row],[Min]],FIND("-",Table15[[#This Row],[Min]])-1),Table1[Content Sku],0),16,1,1,"Entities")),"review","ok"),"ok")</f>
        <v>ok</v>
      </c>
    </row>
    <row r="1257" spans="5:25" x14ac:dyDescent="0.25">
      <c r="E1257" t="s">
        <v>47</v>
      </c>
      <c r="F1257">
        <v>3500</v>
      </c>
      <c r="G1257">
        <v>0</v>
      </c>
      <c r="H1257" t="s">
        <v>205</v>
      </c>
      <c r="I1257" s="74" t="str">
        <f ca="1">IF(Table7[[#This Row],[Type]]="KILL",IF(_xlfn.NUMBERVALUE(RIGHT(Table7[[#This Row],[Min]],LEN(Table7[[#This Row],[Min]])-FIND("-",Table7[[#This Row],[Min]])))&gt;INDIRECT(ADDRESS(11+MATCH(LEFT(Table7[[#This Row],[Min]],FIND("-",Table7[[#This Row],[Min]])-1),Table1[Content Sku],0),16,1,1,"Entities")),"review","ok"),"ok")</f>
        <v>ok</v>
      </c>
      <c r="U1257" t="s">
        <v>283</v>
      </c>
      <c r="V1257">
        <v>0</v>
      </c>
      <c r="W1257">
        <v>0</v>
      </c>
      <c r="X1257" t="s">
        <v>8</v>
      </c>
      <c r="Y1257" s="74" t="str">
        <f ca="1">IF(Table15[[#This Row],[Type]]="KILL",IF(_xlfn.NUMBERVALUE(RIGHT(Table15[[#This Row],[Min]],LEN(Table15[[#This Row],[Min]])-FIND("-",Table15[[#This Row],[Min]])))&gt;INDIRECT(ADDRESS(11+MATCH(LEFT(Table15[[#This Row],[Min]],FIND("-",Table15[[#This Row],[Min]])-1),Table1[Content Sku],0),16,1,1,"Entities")),"review","ok"),"ok")</f>
        <v>ok</v>
      </c>
    </row>
    <row r="1258" spans="5:25" x14ac:dyDescent="0.25">
      <c r="E1258" t="s">
        <v>306</v>
      </c>
      <c r="F1258">
        <v>7000</v>
      </c>
      <c r="G1258">
        <v>0</v>
      </c>
      <c r="H1258" t="s">
        <v>205</v>
      </c>
      <c r="I1258" s="74" t="str">
        <f ca="1">IF(Table7[[#This Row],[Type]]="KILL",IF(_xlfn.NUMBERVALUE(RIGHT(Table7[[#This Row],[Min]],LEN(Table7[[#This Row],[Min]])-FIND("-",Table7[[#This Row],[Min]])))&gt;INDIRECT(ADDRESS(11+MATCH(LEFT(Table7[[#This Row],[Min]],FIND("-",Table7[[#This Row],[Min]])-1),Table1[Content Sku],0),16,1,1,"Entities")),"review","ok"),"ok")</f>
        <v>ok</v>
      </c>
      <c r="U1258" t="s">
        <v>313</v>
      </c>
      <c r="V1258">
        <v>0</v>
      </c>
      <c r="W1258">
        <v>0</v>
      </c>
      <c r="X1258" t="s">
        <v>8</v>
      </c>
      <c r="Y1258" s="74" t="str">
        <f ca="1">IF(Table15[[#This Row],[Type]]="KILL",IF(_xlfn.NUMBERVALUE(RIGHT(Table15[[#This Row],[Min]],LEN(Table15[[#This Row],[Min]])-FIND("-",Table15[[#This Row],[Min]])))&gt;INDIRECT(ADDRESS(11+MATCH(LEFT(Table15[[#This Row],[Min]],FIND("-",Table15[[#This Row],[Min]])-1),Table1[Content Sku],0),16,1,1,"Entities")),"review","ok"),"ok")</f>
        <v>ok</v>
      </c>
    </row>
    <row r="1259" spans="5:25" x14ac:dyDescent="0.25">
      <c r="E1259" t="s">
        <v>40</v>
      </c>
      <c r="F1259">
        <v>17000</v>
      </c>
      <c r="G1259">
        <v>0</v>
      </c>
      <c r="H1259" t="s">
        <v>205</v>
      </c>
      <c r="I1259" s="74" t="str">
        <f ca="1">IF(Table7[[#This Row],[Type]]="KILL",IF(_xlfn.NUMBERVALUE(RIGHT(Table7[[#This Row],[Min]],LEN(Table7[[#This Row],[Min]])-FIND("-",Table7[[#This Row],[Min]])))&gt;INDIRECT(ADDRESS(11+MATCH(LEFT(Table7[[#This Row],[Min]],FIND("-",Table7[[#This Row],[Min]])-1),Table1[Content Sku],0),16,1,1,"Entities")),"review","ok"),"ok")</f>
        <v>ok</v>
      </c>
      <c r="U1259" t="s">
        <v>392</v>
      </c>
      <c r="V1259">
        <v>0</v>
      </c>
      <c r="W1259">
        <v>0</v>
      </c>
      <c r="X1259" t="s">
        <v>8</v>
      </c>
      <c r="Y1259" s="74" t="str">
        <f ca="1">IF(Table15[[#This Row],[Type]]="KILL",IF(_xlfn.NUMBERVALUE(RIGHT(Table15[[#This Row],[Min]],LEN(Table15[[#This Row],[Min]])-FIND("-",Table15[[#This Row],[Min]])))&gt;INDIRECT(ADDRESS(11+MATCH(LEFT(Table15[[#This Row],[Min]],FIND("-",Table15[[#This Row],[Min]])-1),Table1[Content Sku],0),16,1,1,"Entities")),"review","ok"),"ok")</f>
        <v>ok</v>
      </c>
    </row>
    <row r="1260" spans="5:25" x14ac:dyDescent="0.25">
      <c r="E1260" t="s">
        <v>90</v>
      </c>
      <c r="F1260">
        <v>0</v>
      </c>
      <c r="G1260">
        <v>16000</v>
      </c>
      <c r="H1260" t="s">
        <v>205</v>
      </c>
      <c r="I1260" s="74" t="str">
        <f ca="1">IF(Table7[[#This Row],[Type]]="KILL",IF(_xlfn.NUMBERVALUE(RIGHT(Table7[[#This Row],[Min]],LEN(Table7[[#This Row],[Min]])-FIND("-",Table7[[#This Row],[Min]])))&gt;INDIRECT(ADDRESS(11+MATCH(LEFT(Table7[[#This Row],[Min]],FIND("-",Table7[[#This Row],[Min]])-1),Table1[Content Sku],0),16,1,1,"Entities")),"review","ok"),"ok")</f>
        <v>ok</v>
      </c>
      <c r="U1260" t="s">
        <v>309</v>
      </c>
      <c r="V1260">
        <v>0</v>
      </c>
      <c r="W1260">
        <v>0</v>
      </c>
      <c r="X1260" t="s">
        <v>8</v>
      </c>
      <c r="Y1260" s="74" t="str">
        <f ca="1">IF(Table15[[#This Row],[Type]]="KILL",IF(_xlfn.NUMBERVALUE(RIGHT(Table15[[#This Row],[Min]],LEN(Table15[[#This Row],[Min]])-FIND("-",Table15[[#This Row],[Min]])))&gt;INDIRECT(ADDRESS(11+MATCH(LEFT(Table15[[#This Row],[Min]],FIND("-",Table15[[#This Row],[Min]])-1),Table1[Content Sku],0),16,1,1,"Entities")),"review","ok"),"ok")</f>
        <v>ok</v>
      </c>
    </row>
    <row r="1261" spans="5:25" x14ac:dyDescent="0.25">
      <c r="E1261" t="s">
        <v>40</v>
      </c>
      <c r="F1261">
        <v>0</v>
      </c>
      <c r="G1261">
        <v>0</v>
      </c>
      <c r="H1261" t="s">
        <v>8</v>
      </c>
      <c r="I1261" s="74" t="str">
        <f ca="1">IF(Table7[[#This Row],[Type]]="KILL",IF(_xlfn.NUMBERVALUE(RIGHT(Table7[[#This Row],[Min]],LEN(Table7[[#This Row],[Min]])-FIND("-",Table7[[#This Row],[Min]])))&gt;INDIRECT(ADDRESS(11+MATCH(LEFT(Table7[[#This Row],[Min]],FIND("-",Table7[[#This Row],[Min]])-1),Table1[Content Sku],0),16,1,1,"Entities")),"review","ok"),"ok")</f>
        <v>ok</v>
      </c>
      <c r="U1261" t="s">
        <v>37</v>
      </c>
      <c r="V1261">
        <v>18000</v>
      </c>
      <c r="W1261">
        <v>0</v>
      </c>
      <c r="X1261" t="s">
        <v>205</v>
      </c>
      <c r="Y1261" s="74" t="str">
        <f ca="1">IF(Table15[[#This Row],[Type]]="KILL",IF(_xlfn.NUMBERVALUE(RIGHT(Table15[[#This Row],[Min]],LEN(Table15[[#This Row],[Min]])-FIND("-",Table15[[#This Row],[Min]])))&gt;INDIRECT(ADDRESS(11+MATCH(LEFT(Table15[[#This Row],[Min]],FIND("-",Table15[[#This Row],[Min]])-1),Table1[Content Sku],0),16,1,1,"Entities")),"review","ok"),"ok")</f>
        <v>ok</v>
      </c>
    </row>
    <row r="1262" spans="5:25" x14ac:dyDescent="0.25">
      <c r="E1262" t="s">
        <v>393</v>
      </c>
      <c r="F1262">
        <v>0</v>
      </c>
      <c r="G1262">
        <v>0</v>
      </c>
      <c r="H1262" t="s">
        <v>8</v>
      </c>
      <c r="I1262" s="74" t="str">
        <f ca="1">IF(Table7[[#This Row],[Type]]="KILL",IF(_xlfn.NUMBERVALUE(RIGHT(Table7[[#This Row],[Min]],LEN(Table7[[#This Row],[Min]])-FIND("-",Table7[[#This Row],[Min]])))&gt;INDIRECT(ADDRESS(11+MATCH(LEFT(Table7[[#This Row],[Min]],FIND("-",Table7[[#This Row],[Min]])-1),Table1[Content Sku],0),16,1,1,"Entities")),"review","ok"),"ok")</f>
        <v>ok</v>
      </c>
      <c r="U1262" t="s">
        <v>2747</v>
      </c>
      <c r="V1262">
        <v>0</v>
      </c>
      <c r="W1262">
        <v>0</v>
      </c>
      <c r="X1262" t="s">
        <v>8</v>
      </c>
      <c r="Y1262" s="74" t="str">
        <f ca="1">IF(Table15[[#This Row],[Type]]="KILL",IF(_xlfn.NUMBERVALUE(RIGHT(Table15[[#This Row],[Min]],LEN(Table15[[#This Row],[Min]])-FIND("-",Table15[[#This Row],[Min]])))&gt;INDIRECT(ADDRESS(11+MATCH(LEFT(Table15[[#This Row],[Min]],FIND("-",Table15[[#This Row],[Min]])-1),Table1[Content Sku],0),16,1,1,"Entities")),"review","ok"),"ok")</f>
        <v>ok</v>
      </c>
    </row>
    <row r="1263" spans="5:25" x14ac:dyDescent="0.25">
      <c r="E1263" t="s">
        <v>47</v>
      </c>
      <c r="F1263">
        <v>0</v>
      </c>
      <c r="G1263">
        <v>0</v>
      </c>
      <c r="H1263" t="s">
        <v>8</v>
      </c>
      <c r="I1263" s="74" t="str">
        <f ca="1">IF(Table7[[#This Row],[Type]]="KILL",IF(_xlfn.NUMBERVALUE(RIGHT(Table7[[#This Row],[Min]],LEN(Table7[[#This Row],[Min]])-FIND("-",Table7[[#This Row],[Min]])))&gt;INDIRECT(ADDRESS(11+MATCH(LEFT(Table7[[#This Row],[Min]],FIND("-",Table7[[#This Row],[Min]])-1),Table1[Content Sku],0),16,1,1,"Entities")),"review","ok"),"ok")</f>
        <v>ok</v>
      </c>
      <c r="U1263" t="s">
        <v>545</v>
      </c>
      <c r="V1263">
        <v>15000</v>
      </c>
      <c r="W1263">
        <v>0</v>
      </c>
      <c r="X1263" t="s">
        <v>205</v>
      </c>
      <c r="Y1263" s="74" t="str">
        <f ca="1">IF(Table15[[#This Row],[Type]]="KILL",IF(_xlfn.NUMBERVALUE(RIGHT(Table15[[#This Row],[Min]],LEN(Table15[[#This Row],[Min]])-FIND("-",Table15[[#This Row],[Min]])))&gt;INDIRECT(ADDRESS(11+MATCH(LEFT(Table15[[#This Row],[Min]],FIND("-",Table15[[#This Row],[Min]])-1),Table1[Content Sku],0),16,1,1,"Entities")),"review","ok"),"ok")</f>
        <v>ok</v>
      </c>
    </row>
    <row r="1264" spans="5:25" x14ac:dyDescent="0.25">
      <c r="E1264" t="s">
        <v>4430</v>
      </c>
      <c r="F1264">
        <v>8000</v>
      </c>
      <c r="G1264">
        <v>0</v>
      </c>
      <c r="H1264" t="s">
        <v>205</v>
      </c>
      <c r="I1264" s="74" t="str">
        <f ca="1">IF(Table7[[#This Row],[Type]]="KILL",IF(_xlfn.NUMBERVALUE(RIGHT(Table7[[#This Row],[Min]],LEN(Table7[[#This Row],[Min]])-FIND("-",Table7[[#This Row],[Min]])))&gt;INDIRECT(ADDRESS(11+MATCH(LEFT(Table7[[#This Row],[Min]],FIND("-",Table7[[#This Row],[Min]])-1),Table1[Content Sku],0),16,1,1,"Entities")),"review","ok"),"ok")</f>
        <v>ok</v>
      </c>
      <c r="U1264" t="s">
        <v>313</v>
      </c>
      <c r="V1264">
        <v>0</v>
      </c>
      <c r="W1264">
        <v>0</v>
      </c>
      <c r="X1264" t="s">
        <v>8</v>
      </c>
      <c r="Y1264" s="74" t="str">
        <f ca="1">IF(Table15[[#This Row],[Type]]="KILL",IF(_xlfn.NUMBERVALUE(RIGHT(Table15[[#This Row],[Min]],LEN(Table15[[#This Row],[Min]])-FIND("-",Table15[[#This Row],[Min]])))&gt;INDIRECT(ADDRESS(11+MATCH(LEFT(Table15[[#This Row],[Min]],FIND("-",Table15[[#This Row],[Min]])-1),Table1[Content Sku],0),16,1,1,"Entities")),"review","ok"),"ok")</f>
        <v>ok</v>
      </c>
    </row>
    <row r="1265" spans="5:25" x14ac:dyDescent="0.25">
      <c r="E1265" t="s">
        <v>254</v>
      </c>
      <c r="F1265">
        <v>0</v>
      </c>
      <c r="G1265">
        <v>0</v>
      </c>
      <c r="H1265" t="s">
        <v>8</v>
      </c>
      <c r="I1265" s="74" t="str">
        <f ca="1">IF(Table7[[#This Row],[Type]]="KILL",IF(_xlfn.NUMBERVALUE(RIGHT(Table7[[#This Row],[Min]],LEN(Table7[[#This Row],[Min]])-FIND("-",Table7[[#This Row],[Min]])))&gt;INDIRECT(ADDRESS(11+MATCH(LEFT(Table7[[#This Row],[Min]],FIND("-",Table7[[#This Row],[Min]])-1),Table1[Content Sku],0),16,1,1,"Entities")),"review","ok"),"ok")</f>
        <v>ok</v>
      </c>
      <c r="U1265" t="s">
        <v>1</v>
      </c>
      <c r="V1265">
        <v>0</v>
      </c>
      <c r="W1265">
        <v>0</v>
      </c>
      <c r="X1265" t="s">
        <v>8</v>
      </c>
      <c r="Y1265" s="74" t="str">
        <f ca="1">IF(Table15[[#This Row],[Type]]="KILL",IF(_xlfn.NUMBERVALUE(RIGHT(Table15[[#This Row],[Min]],LEN(Table15[[#This Row],[Min]])-FIND("-",Table15[[#This Row],[Min]])))&gt;INDIRECT(ADDRESS(11+MATCH(LEFT(Table15[[#This Row],[Min]],FIND("-",Table15[[#This Row],[Min]])-1),Table1[Content Sku],0),16,1,1,"Entities")),"review","ok"),"ok")</f>
        <v>ok</v>
      </c>
    </row>
    <row r="1266" spans="5:25" x14ac:dyDescent="0.25">
      <c r="E1266" t="s">
        <v>8133</v>
      </c>
      <c r="F1266">
        <v>0</v>
      </c>
      <c r="G1266">
        <v>0</v>
      </c>
      <c r="H1266" t="s">
        <v>8</v>
      </c>
      <c r="I1266" s="74" t="str">
        <f ca="1">IF(Table7[[#This Row],[Type]]="KILL",IF(_xlfn.NUMBERVALUE(RIGHT(Table7[[#This Row],[Min]],LEN(Table7[[#This Row],[Min]])-FIND("-",Table7[[#This Row],[Min]])))&gt;INDIRECT(ADDRESS(11+MATCH(LEFT(Table7[[#This Row],[Min]],FIND("-",Table7[[#This Row],[Min]])-1),Table1[Content Sku],0),16,1,1,"Entities")),"review","ok"),"ok")</f>
        <v>ok</v>
      </c>
      <c r="U1266" t="s">
        <v>391</v>
      </c>
      <c r="V1266">
        <v>0</v>
      </c>
      <c r="W1266">
        <v>0</v>
      </c>
      <c r="X1266" t="s">
        <v>8</v>
      </c>
      <c r="Y1266" s="74" t="str">
        <f ca="1">IF(Table15[[#This Row],[Type]]="KILL",IF(_xlfn.NUMBERVALUE(RIGHT(Table15[[#This Row],[Min]],LEN(Table15[[#This Row],[Min]])-FIND("-",Table15[[#This Row],[Min]])))&gt;INDIRECT(ADDRESS(11+MATCH(LEFT(Table15[[#This Row],[Min]],FIND("-",Table15[[#This Row],[Min]])-1),Table1[Content Sku],0),16,1,1,"Entities")),"review","ok"),"ok")</f>
        <v>ok</v>
      </c>
    </row>
    <row r="1267" spans="5:25" x14ac:dyDescent="0.25">
      <c r="E1267" t="s">
        <v>254</v>
      </c>
      <c r="F1267">
        <v>0</v>
      </c>
      <c r="G1267">
        <v>13000</v>
      </c>
      <c r="H1267" t="s">
        <v>205</v>
      </c>
      <c r="I1267" s="74" t="str">
        <f ca="1">IF(Table7[[#This Row],[Type]]="KILL",IF(_xlfn.NUMBERVALUE(RIGHT(Table7[[#This Row],[Min]],LEN(Table7[[#This Row],[Min]])-FIND("-",Table7[[#This Row],[Min]])))&gt;INDIRECT(ADDRESS(11+MATCH(LEFT(Table7[[#This Row],[Min]],FIND("-",Table7[[#This Row],[Min]])-1),Table1[Content Sku],0),16,1,1,"Entities")),"review","ok"),"ok")</f>
        <v>ok</v>
      </c>
      <c r="U1267" t="s">
        <v>289</v>
      </c>
      <c r="V1267">
        <v>0</v>
      </c>
      <c r="W1267">
        <v>0</v>
      </c>
      <c r="X1267" t="s">
        <v>8</v>
      </c>
      <c r="Y1267" s="74" t="str">
        <f ca="1">IF(Table15[[#This Row],[Type]]="KILL",IF(_xlfn.NUMBERVALUE(RIGHT(Table15[[#This Row],[Min]],LEN(Table15[[#This Row],[Min]])-FIND("-",Table15[[#This Row],[Min]])))&gt;INDIRECT(ADDRESS(11+MATCH(LEFT(Table15[[#This Row],[Min]],FIND("-",Table15[[#This Row],[Min]])-1),Table1[Content Sku],0),16,1,1,"Entities")),"review","ok"),"ok")</f>
        <v>ok</v>
      </c>
    </row>
    <row r="1268" spans="5:25" x14ac:dyDescent="0.25">
      <c r="E1268" t="s">
        <v>2741</v>
      </c>
      <c r="F1268">
        <v>0</v>
      </c>
      <c r="G1268">
        <v>0</v>
      </c>
      <c r="H1268" t="s">
        <v>8</v>
      </c>
      <c r="I1268" s="74" t="str">
        <f ca="1">IF(Table7[[#This Row],[Type]]="KILL",IF(_xlfn.NUMBERVALUE(RIGHT(Table7[[#This Row],[Min]],LEN(Table7[[#This Row],[Min]])-FIND("-",Table7[[#This Row],[Min]])))&gt;INDIRECT(ADDRESS(11+MATCH(LEFT(Table7[[#This Row],[Min]],FIND("-",Table7[[#This Row],[Min]])-1),Table1[Content Sku],0),16,1,1,"Entities")),"review","ok"),"ok")</f>
        <v>ok</v>
      </c>
      <c r="U1268" t="s">
        <v>283</v>
      </c>
      <c r="V1268">
        <v>22000</v>
      </c>
      <c r="W1268">
        <v>0</v>
      </c>
      <c r="X1268" t="s">
        <v>205</v>
      </c>
      <c r="Y1268" s="74" t="str">
        <f ca="1">IF(Table15[[#This Row],[Type]]="KILL",IF(_xlfn.NUMBERVALUE(RIGHT(Table15[[#This Row],[Min]],LEN(Table15[[#This Row],[Min]])-FIND("-",Table15[[#This Row],[Min]])))&gt;INDIRECT(ADDRESS(11+MATCH(LEFT(Table15[[#This Row],[Min]],FIND("-",Table15[[#This Row],[Min]])-1),Table1[Content Sku],0),16,1,1,"Entities")),"review","ok"),"ok")</f>
        <v>ok</v>
      </c>
    </row>
    <row r="1269" spans="5:25" x14ac:dyDescent="0.25">
      <c r="E1269" t="s">
        <v>340</v>
      </c>
      <c r="F1269">
        <v>0</v>
      </c>
      <c r="G1269">
        <v>3000</v>
      </c>
      <c r="H1269" t="s">
        <v>205</v>
      </c>
      <c r="I1269" s="74" t="str">
        <f ca="1">IF(Table7[[#This Row],[Type]]="KILL",IF(_xlfn.NUMBERVALUE(RIGHT(Table7[[#This Row],[Min]],LEN(Table7[[#This Row],[Min]])-FIND("-",Table7[[#This Row],[Min]])))&gt;INDIRECT(ADDRESS(11+MATCH(LEFT(Table7[[#This Row],[Min]],FIND("-",Table7[[#This Row],[Min]])-1),Table1[Content Sku],0),16,1,1,"Entities")),"review","ok"),"ok")</f>
        <v>ok</v>
      </c>
      <c r="U1269" t="s">
        <v>313</v>
      </c>
      <c r="V1269">
        <v>35000</v>
      </c>
      <c r="W1269">
        <v>0</v>
      </c>
      <c r="X1269" t="s">
        <v>205</v>
      </c>
      <c r="Y1269" s="74" t="str">
        <f ca="1">IF(Table15[[#This Row],[Type]]="KILL",IF(_xlfn.NUMBERVALUE(RIGHT(Table15[[#This Row],[Min]],LEN(Table15[[#This Row],[Min]])-FIND("-",Table15[[#This Row],[Min]])))&gt;INDIRECT(ADDRESS(11+MATCH(LEFT(Table15[[#This Row],[Min]],FIND("-",Table15[[#This Row],[Min]])-1),Table1[Content Sku],0),16,1,1,"Entities")),"review","ok"),"ok")</f>
        <v>ok</v>
      </c>
    </row>
    <row r="1270" spans="5:25" x14ac:dyDescent="0.25">
      <c r="E1270" t="s">
        <v>338</v>
      </c>
      <c r="F1270">
        <v>0</v>
      </c>
      <c r="G1270">
        <v>0</v>
      </c>
      <c r="H1270" t="s">
        <v>8</v>
      </c>
      <c r="I1270" s="74" t="str">
        <f ca="1">IF(Table7[[#This Row],[Type]]="KILL",IF(_xlfn.NUMBERVALUE(RIGHT(Table7[[#This Row],[Min]],LEN(Table7[[#This Row],[Min]])-FIND("-",Table7[[#This Row],[Min]])))&gt;INDIRECT(ADDRESS(11+MATCH(LEFT(Table7[[#This Row],[Min]],FIND("-",Table7[[#This Row],[Min]])-1),Table1[Content Sku],0),16,1,1,"Entities")),"review","ok"),"ok")</f>
        <v>ok</v>
      </c>
      <c r="U1270" t="s">
        <v>47</v>
      </c>
      <c r="V1270">
        <v>0</v>
      </c>
      <c r="W1270">
        <v>0</v>
      </c>
      <c r="X1270" t="s">
        <v>8</v>
      </c>
      <c r="Y1270" s="74" t="str">
        <f ca="1">IF(Table15[[#This Row],[Type]]="KILL",IF(_xlfn.NUMBERVALUE(RIGHT(Table15[[#This Row],[Min]],LEN(Table15[[#This Row],[Min]])-FIND("-",Table15[[#This Row],[Min]])))&gt;INDIRECT(ADDRESS(11+MATCH(LEFT(Table15[[#This Row],[Min]],FIND("-",Table15[[#This Row],[Min]])-1),Table1[Content Sku],0),16,1,1,"Entities")),"review","ok"),"ok")</f>
        <v>ok</v>
      </c>
    </row>
    <row r="1271" spans="5:25" x14ac:dyDescent="0.25">
      <c r="E1271" t="s">
        <v>280</v>
      </c>
      <c r="F1271">
        <v>0</v>
      </c>
      <c r="G1271">
        <v>0</v>
      </c>
      <c r="H1271" t="s">
        <v>8</v>
      </c>
      <c r="I1271" s="74" t="str">
        <f ca="1">IF(Table7[[#This Row],[Type]]="KILL",IF(_xlfn.NUMBERVALUE(RIGHT(Table7[[#This Row],[Min]],LEN(Table7[[#This Row],[Min]])-FIND("-",Table7[[#This Row],[Min]])))&gt;INDIRECT(ADDRESS(11+MATCH(LEFT(Table7[[#This Row],[Min]],FIND("-",Table7[[#This Row],[Min]])-1),Table1[Content Sku],0),16,1,1,"Entities")),"review","ok"),"ok")</f>
        <v>ok</v>
      </c>
      <c r="U1271" t="s">
        <v>545</v>
      </c>
      <c r="V1271">
        <v>0</v>
      </c>
      <c r="W1271">
        <v>0</v>
      </c>
      <c r="X1271" t="s">
        <v>8</v>
      </c>
      <c r="Y1271" s="74" t="str">
        <f ca="1">IF(Table15[[#This Row],[Type]]="KILL",IF(_xlfn.NUMBERVALUE(RIGHT(Table15[[#This Row],[Min]],LEN(Table15[[#This Row],[Min]])-FIND("-",Table15[[#This Row],[Min]])))&gt;INDIRECT(ADDRESS(11+MATCH(LEFT(Table15[[#This Row],[Min]],FIND("-",Table15[[#This Row],[Min]])-1),Table1[Content Sku],0),16,1,1,"Entities")),"review","ok"),"ok")</f>
        <v>ok</v>
      </c>
    </row>
    <row r="1272" spans="5:25" x14ac:dyDescent="0.25">
      <c r="E1272" t="s">
        <v>313</v>
      </c>
      <c r="F1272">
        <v>0</v>
      </c>
      <c r="G1272">
        <v>0</v>
      </c>
      <c r="H1272" t="s">
        <v>8</v>
      </c>
      <c r="I1272" s="74" t="str">
        <f ca="1">IF(Table7[[#This Row],[Type]]="KILL",IF(_xlfn.NUMBERVALUE(RIGHT(Table7[[#This Row],[Min]],LEN(Table7[[#This Row],[Min]])-FIND("-",Table7[[#This Row],[Min]])))&gt;INDIRECT(ADDRESS(11+MATCH(LEFT(Table7[[#This Row],[Min]],FIND("-",Table7[[#This Row],[Min]])-1),Table1[Content Sku],0),16,1,1,"Entities")),"review","ok"),"ok")</f>
        <v>ok</v>
      </c>
      <c r="U1272" t="s">
        <v>393</v>
      </c>
      <c r="V1272">
        <v>24000</v>
      </c>
      <c r="W1272">
        <v>0</v>
      </c>
      <c r="X1272" t="s">
        <v>205</v>
      </c>
      <c r="Y1272" s="74" t="str">
        <f ca="1">IF(Table15[[#This Row],[Type]]="KILL",IF(_xlfn.NUMBERVALUE(RIGHT(Table15[[#This Row],[Min]],LEN(Table15[[#This Row],[Min]])-FIND("-",Table15[[#This Row],[Min]])))&gt;INDIRECT(ADDRESS(11+MATCH(LEFT(Table15[[#This Row],[Min]],FIND("-",Table15[[#This Row],[Min]])-1),Table1[Content Sku],0),16,1,1,"Entities")),"review","ok"),"ok")</f>
        <v>ok</v>
      </c>
    </row>
    <row r="1273" spans="5:25" x14ac:dyDescent="0.25">
      <c r="E1273" t="s">
        <v>254</v>
      </c>
      <c r="F1273">
        <v>0</v>
      </c>
      <c r="G1273">
        <v>3500</v>
      </c>
      <c r="H1273" t="s">
        <v>205</v>
      </c>
      <c r="I1273" s="74" t="str">
        <f ca="1">IF(Table7[[#This Row],[Type]]="KILL",IF(_xlfn.NUMBERVALUE(RIGHT(Table7[[#This Row],[Min]],LEN(Table7[[#This Row],[Min]])-FIND("-",Table7[[#This Row],[Min]])))&gt;INDIRECT(ADDRESS(11+MATCH(LEFT(Table7[[#This Row],[Min]],FIND("-",Table7[[#This Row],[Min]])-1),Table1[Content Sku],0),16,1,1,"Entities")),"review","ok"),"ok")</f>
        <v>ok</v>
      </c>
      <c r="U1273" t="s">
        <v>254</v>
      </c>
      <c r="V1273">
        <v>0</v>
      </c>
      <c r="W1273">
        <v>0</v>
      </c>
      <c r="X1273" t="s">
        <v>8</v>
      </c>
      <c r="Y1273" s="74" t="str">
        <f ca="1">IF(Table15[[#This Row],[Type]]="KILL",IF(_xlfn.NUMBERVALUE(RIGHT(Table15[[#This Row],[Min]],LEN(Table15[[#This Row],[Min]])-FIND("-",Table15[[#This Row],[Min]])))&gt;INDIRECT(ADDRESS(11+MATCH(LEFT(Table15[[#This Row],[Min]],FIND("-",Table15[[#This Row],[Min]])-1),Table1[Content Sku],0),16,1,1,"Entities")),"review","ok"),"ok")</f>
        <v>ok</v>
      </c>
    </row>
    <row r="1274" spans="5:25" x14ac:dyDescent="0.25">
      <c r="E1274" t="s">
        <v>123</v>
      </c>
      <c r="F1274">
        <v>0</v>
      </c>
      <c r="G1274">
        <v>10500</v>
      </c>
      <c r="H1274" t="s">
        <v>205</v>
      </c>
      <c r="I1274" s="74" t="str">
        <f ca="1">IF(Table7[[#This Row],[Type]]="KILL",IF(_xlfn.NUMBERVALUE(RIGHT(Table7[[#This Row],[Min]],LEN(Table7[[#This Row],[Min]])-FIND("-",Table7[[#This Row],[Min]])))&gt;INDIRECT(ADDRESS(11+MATCH(LEFT(Table7[[#This Row],[Min]],FIND("-",Table7[[#This Row],[Min]])-1),Table1[Content Sku],0),16,1,1,"Entities")),"review","ok"),"ok")</f>
        <v>ok</v>
      </c>
      <c r="U1274" t="s">
        <v>61</v>
      </c>
      <c r="V1274">
        <v>27000</v>
      </c>
      <c r="W1274">
        <v>0</v>
      </c>
      <c r="X1274" t="s">
        <v>205</v>
      </c>
      <c r="Y1274" s="74" t="str">
        <f ca="1">IF(Table15[[#This Row],[Type]]="KILL",IF(_xlfn.NUMBERVALUE(RIGHT(Table15[[#This Row],[Min]],LEN(Table15[[#This Row],[Min]])-FIND("-",Table15[[#This Row],[Min]])))&gt;INDIRECT(ADDRESS(11+MATCH(LEFT(Table15[[#This Row],[Min]],FIND("-",Table15[[#This Row],[Min]])-1),Table1[Content Sku],0),16,1,1,"Entities")),"review","ok"),"ok")</f>
        <v>ok</v>
      </c>
    </row>
    <row r="1275" spans="5:25" x14ac:dyDescent="0.25">
      <c r="E1275" t="s">
        <v>2741</v>
      </c>
      <c r="F1275">
        <v>0</v>
      </c>
      <c r="G1275">
        <v>0</v>
      </c>
      <c r="H1275" t="s">
        <v>8</v>
      </c>
      <c r="I1275" s="74" t="str">
        <f ca="1">IF(Table7[[#This Row],[Type]]="KILL",IF(_xlfn.NUMBERVALUE(RIGHT(Table7[[#This Row],[Min]],LEN(Table7[[#This Row],[Min]])-FIND("-",Table7[[#This Row],[Min]])))&gt;INDIRECT(ADDRESS(11+MATCH(LEFT(Table7[[#This Row],[Min]],FIND("-",Table7[[#This Row],[Min]])-1),Table1[Content Sku],0),16,1,1,"Entities")),"review","ok"),"ok")</f>
        <v>ok</v>
      </c>
      <c r="U1275" t="s">
        <v>254</v>
      </c>
      <c r="V1275">
        <v>0</v>
      </c>
      <c r="W1275">
        <v>0</v>
      </c>
      <c r="X1275" t="s">
        <v>8</v>
      </c>
      <c r="Y1275" s="74" t="str">
        <f ca="1">IF(Table15[[#This Row],[Type]]="KILL",IF(_xlfn.NUMBERVALUE(RIGHT(Table15[[#This Row],[Min]],LEN(Table15[[#This Row],[Min]])-FIND("-",Table15[[#This Row],[Min]])))&gt;INDIRECT(ADDRESS(11+MATCH(LEFT(Table15[[#This Row],[Min]],FIND("-",Table15[[#This Row],[Min]])-1),Table1[Content Sku],0),16,1,1,"Entities")),"review","ok"),"ok")</f>
        <v>ok</v>
      </c>
    </row>
    <row r="1276" spans="5:25" x14ac:dyDescent="0.25">
      <c r="E1276" t="s">
        <v>10</v>
      </c>
      <c r="F1276">
        <v>0</v>
      </c>
      <c r="G1276">
        <v>0</v>
      </c>
      <c r="H1276" t="s">
        <v>8</v>
      </c>
      <c r="I1276" s="74" t="str">
        <f ca="1">IF(Table7[[#This Row],[Type]]="KILL",IF(_xlfn.NUMBERVALUE(RIGHT(Table7[[#This Row],[Min]],LEN(Table7[[#This Row],[Min]])-FIND("-",Table7[[#This Row],[Min]])))&gt;INDIRECT(ADDRESS(11+MATCH(LEFT(Table7[[#This Row],[Min]],FIND("-",Table7[[#This Row],[Min]])-1),Table1[Content Sku],0),16,1,1,"Entities")),"review","ok"),"ok")</f>
        <v>ok</v>
      </c>
      <c r="U1276" t="s">
        <v>313</v>
      </c>
      <c r="V1276">
        <v>0</v>
      </c>
      <c r="W1276">
        <v>0</v>
      </c>
      <c r="X1276" t="s">
        <v>8</v>
      </c>
      <c r="Y1276" s="74" t="str">
        <f ca="1">IF(Table15[[#This Row],[Type]]="KILL",IF(_xlfn.NUMBERVALUE(RIGHT(Table15[[#This Row],[Min]],LEN(Table15[[#This Row],[Min]])-FIND("-",Table15[[#This Row],[Min]])))&gt;INDIRECT(ADDRESS(11+MATCH(LEFT(Table15[[#This Row],[Min]],FIND("-",Table15[[#This Row],[Min]])-1),Table1[Content Sku],0),16,1,1,"Entities")),"review","ok"),"ok")</f>
        <v>ok</v>
      </c>
    </row>
    <row r="1277" spans="5:25" x14ac:dyDescent="0.25">
      <c r="E1277" t="s">
        <v>2741</v>
      </c>
      <c r="F1277">
        <v>0</v>
      </c>
      <c r="G1277">
        <v>0</v>
      </c>
      <c r="H1277" t="s">
        <v>8</v>
      </c>
      <c r="I1277" s="74" t="str">
        <f ca="1">IF(Table7[[#This Row],[Type]]="KILL",IF(_xlfn.NUMBERVALUE(RIGHT(Table7[[#This Row],[Min]],LEN(Table7[[#This Row],[Min]])-FIND("-",Table7[[#This Row],[Min]])))&gt;INDIRECT(ADDRESS(11+MATCH(LEFT(Table7[[#This Row],[Min]],FIND("-",Table7[[#This Row],[Min]])-1),Table1[Content Sku],0),16,1,1,"Entities")),"review","ok"),"ok")</f>
        <v>ok</v>
      </c>
      <c r="U1277" t="s">
        <v>280</v>
      </c>
      <c r="V1277">
        <v>0</v>
      </c>
      <c r="W1277">
        <v>0</v>
      </c>
      <c r="X1277" t="s">
        <v>8</v>
      </c>
      <c r="Y1277" s="74" t="str">
        <f ca="1">IF(Table15[[#This Row],[Type]]="KILL",IF(_xlfn.NUMBERVALUE(RIGHT(Table15[[#This Row],[Min]],LEN(Table15[[#This Row],[Min]])-FIND("-",Table15[[#This Row],[Min]])))&gt;INDIRECT(ADDRESS(11+MATCH(LEFT(Table15[[#This Row],[Min]],FIND("-",Table15[[#This Row],[Min]])-1),Table1[Content Sku],0),16,1,1,"Entities")),"review","ok"),"ok")</f>
        <v>ok</v>
      </c>
    </row>
    <row r="1278" spans="5:25" x14ac:dyDescent="0.25">
      <c r="E1278" t="s">
        <v>90</v>
      </c>
      <c r="F1278">
        <v>2500</v>
      </c>
      <c r="G1278">
        <v>0</v>
      </c>
      <c r="H1278" t="s">
        <v>205</v>
      </c>
      <c r="I1278" s="74" t="str">
        <f ca="1">IF(Table7[[#This Row],[Type]]="KILL",IF(_xlfn.NUMBERVALUE(RIGHT(Table7[[#This Row],[Min]],LEN(Table7[[#This Row],[Min]])-FIND("-",Table7[[#This Row],[Min]])))&gt;INDIRECT(ADDRESS(11+MATCH(LEFT(Table7[[#This Row],[Min]],FIND("-",Table7[[#This Row],[Min]])-1),Table1[Content Sku],0),16,1,1,"Entities")),"review","ok"),"ok")</f>
        <v>ok</v>
      </c>
      <c r="U1278" t="s">
        <v>50</v>
      </c>
      <c r="V1278">
        <v>0</v>
      </c>
      <c r="W1278">
        <v>0</v>
      </c>
      <c r="X1278" t="s">
        <v>8</v>
      </c>
      <c r="Y1278" s="74" t="str">
        <f ca="1">IF(Table15[[#This Row],[Type]]="KILL",IF(_xlfn.NUMBERVALUE(RIGHT(Table15[[#This Row],[Min]],LEN(Table15[[#This Row],[Min]])-FIND("-",Table15[[#This Row],[Min]])))&gt;INDIRECT(ADDRESS(11+MATCH(LEFT(Table15[[#This Row],[Min]],FIND("-",Table15[[#This Row],[Min]])-1),Table1[Content Sku],0),16,1,1,"Entities")),"review","ok"),"ok")</f>
        <v>ok</v>
      </c>
    </row>
    <row r="1279" spans="5:25" x14ac:dyDescent="0.25">
      <c r="E1279" t="s">
        <v>254</v>
      </c>
      <c r="F1279">
        <v>0</v>
      </c>
      <c r="G1279">
        <v>9500</v>
      </c>
      <c r="H1279" t="s">
        <v>205</v>
      </c>
      <c r="I1279" s="74" t="str">
        <f ca="1">IF(Table7[[#This Row],[Type]]="KILL",IF(_xlfn.NUMBERVALUE(RIGHT(Table7[[#This Row],[Min]],LEN(Table7[[#This Row],[Min]])-FIND("-",Table7[[#This Row],[Min]])))&gt;INDIRECT(ADDRESS(11+MATCH(LEFT(Table7[[#This Row],[Min]],FIND("-",Table7[[#This Row],[Min]])-1),Table1[Content Sku],0),16,1,1,"Entities")),"review","ok"),"ok")</f>
        <v>ok</v>
      </c>
      <c r="U1279" t="s">
        <v>50</v>
      </c>
      <c r="V1279">
        <v>200</v>
      </c>
      <c r="W1279">
        <v>0</v>
      </c>
      <c r="X1279" t="s">
        <v>4431</v>
      </c>
      <c r="Y1279" s="74" t="str">
        <f ca="1">IF(Table15[[#This Row],[Type]]="KILL",IF(_xlfn.NUMBERVALUE(RIGHT(Table15[[#This Row],[Min]],LEN(Table15[[#This Row],[Min]])-FIND("-",Table15[[#This Row],[Min]])))&gt;INDIRECT(ADDRESS(11+MATCH(LEFT(Table15[[#This Row],[Min]],FIND("-",Table15[[#This Row],[Min]])-1),Table1[Content Sku],0),16,1,1,"Entities")),"review","ok"),"ok")</f>
        <v>ok</v>
      </c>
    </row>
    <row r="1280" spans="5:25" x14ac:dyDescent="0.25">
      <c r="E1280" t="s">
        <v>90</v>
      </c>
      <c r="F1280">
        <v>0</v>
      </c>
      <c r="G1280">
        <v>0</v>
      </c>
      <c r="H1280" t="s">
        <v>8</v>
      </c>
      <c r="I1280" s="74" t="str">
        <f ca="1">IF(Table7[[#This Row],[Type]]="KILL",IF(_xlfn.NUMBERVALUE(RIGHT(Table7[[#This Row],[Min]],LEN(Table7[[#This Row],[Min]])-FIND("-",Table7[[#This Row],[Min]])))&gt;INDIRECT(ADDRESS(11+MATCH(LEFT(Table7[[#This Row],[Min]],FIND("-",Table7[[#This Row],[Min]])-1),Table1[Content Sku],0),16,1,1,"Entities")),"review","ok"),"ok")</f>
        <v>ok</v>
      </c>
      <c r="U1280" t="s">
        <v>8133</v>
      </c>
      <c r="V1280">
        <v>0</v>
      </c>
      <c r="W1280">
        <v>0</v>
      </c>
      <c r="X1280" t="s">
        <v>8</v>
      </c>
      <c r="Y1280" s="74" t="str">
        <f ca="1">IF(Table15[[#This Row],[Type]]="KILL",IF(_xlfn.NUMBERVALUE(RIGHT(Table15[[#This Row],[Min]],LEN(Table15[[#This Row],[Min]])-FIND("-",Table15[[#This Row],[Min]])))&gt;INDIRECT(ADDRESS(11+MATCH(LEFT(Table15[[#This Row],[Min]],FIND("-",Table15[[#This Row],[Min]])-1),Table1[Content Sku],0),16,1,1,"Entities")),"review","ok"),"ok")</f>
        <v>ok</v>
      </c>
    </row>
    <row r="1281" spans="5:25" x14ac:dyDescent="0.25">
      <c r="E1281" t="s">
        <v>256</v>
      </c>
      <c r="F1281">
        <v>0</v>
      </c>
      <c r="G1281">
        <v>5800</v>
      </c>
      <c r="H1281" t="s">
        <v>205</v>
      </c>
      <c r="I1281" s="74" t="str">
        <f ca="1">IF(Table7[[#This Row],[Type]]="KILL",IF(_xlfn.NUMBERVALUE(RIGHT(Table7[[#This Row],[Min]],LEN(Table7[[#This Row],[Min]])-FIND("-",Table7[[#This Row],[Min]])))&gt;INDIRECT(ADDRESS(11+MATCH(LEFT(Table7[[#This Row],[Min]],FIND("-",Table7[[#This Row],[Min]])-1),Table1[Content Sku],0),16,1,1,"Entities")),"review","ok"),"ok")</f>
        <v>ok</v>
      </c>
      <c r="U1281" t="s">
        <v>254</v>
      </c>
      <c r="V1281">
        <v>0</v>
      </c>
      <c r="W1281">
        <v>0</v>
      </c>
      <c r="X1281" t="s">
        <v>8</v>
      </c>
      <c r="Y1281" s="74" t="str">
        <f ca="1">IF(Table15[[#This Row],[Type]]="KILL",IF(_xlfn.NUMBERVALUE(RIGHT(Table15[[#This Row],[Min]],LEN(Table15[[#This Row],[Min]])-FIND("-",Table15[[#This Row],[Min]])))&gt;INDIRECT(ADDRESS(11+MATCH(LEFT(Table15[[#This Row],[Min]],FIND("-",Table15[[#This Row],[Min]])-1),Table1[Content Sku],0),16,1,1,"Entities")),"review","ok"),"ok")</f>
        <v>ok</v>
      </c>
    </row>
    <row r="1282" spans="5:25" x14ac:dyDescent="0.25">
      <c r="E1282" t="s">
        <v>315</v>
      </c>
      <c r="F1282">
        <v>0</v>
      </c>
      <c r="G1282">
        <v>0</v>
      </c>
      <c r="H1282" t="s">
        <v>8</v>
      </c>
      <c r="I1282" s="74" t="str">
        <f ca="1">IF(Table7[[#This Row],[Type]]="KILL",IF(_xlfn.NUMBERVALUE(RIGHT(Table7[[#This Row],[Min]],LEN(Table7[[#This Row],[Min]])-FIND("-",Table7[[#This Row],[Min]])))&gt;INDIRECT(ADDRESS(11+MATCH(LEFT(Table7[[#This Row],[Min]],FIND("-",Table7[[#This Row],[Min]])-1),Table1[Content Sku],0),16,1,1,"Entities")),"review","ok"),"ok")</f>
        <v>ok</v>
      </c>
      <c r="U1282" t="s">
        <v>254</v>
      </c>
      <c r="V1282">
        <v>0</v>
      </c>
      <c r="W1282">
        <v>0</v>
      </c>
      <c r="X1282" t="s">
        <v>8</v>
      </c>
      <c r="Y1282" s="74" t="str">
        <f ca="1">IF(Table15[[#This Row],[Type]]="KILL",IF(_xlfn.NUMBERVALUE(RIGHT(Table15[[#This Row],[Min]],LEN(Table15[[#This Row],[Min]])-FIND("-",Table15[[#This Row],[Min]])))&gt;INDIRECT(ADDRESS(11+MATCH(LEFT(Table15[[#This Row],[Min]],FIND("-",Table15[[#This Row],[Min]])-1),Table1[Content Sku],0),16,1,1,"Entities")),"review","ok"),"ok")</f>
        <v>ok</v>
      </c>
    </row>
    <row r="1283" spans="5:25" x14ac:dyDescent="0.25">
      <c r="E1283" t="s">
        <v>318</v>
      </c>
      <c r="F1283">
        <v>0</v>
      </c>
      <c r="G1283">
        <v>0</v>
      </c>
      <c r="H1283" t="s">
        <v>8</v>
      </c>
      <c r="I1283" s="74" t="str">
        <f ca="1">IF(Table7[[#This Row],[Type]]="KILL",IF(_xlfn.NUMBERVALUE(RIGHT(Table7[[#This Row],[Min]],LEN(Table7[[#This Row],[Min]])-FIND("-",Table7[[#This Row],[Min]])))&gt;INDIRECT(ADDRESS(11+MATCH(LEFT(Table7[[#This Row],[Min]],FIND("-",Table7[[#This Row],[Min]])-1),Table1[Content Sku],0),16,1,1,"Entities")),"review","ok"),"ok")</f>
        <v>ok</v>
      </c>
      <c r="U1283" t="s">
        <v>403</v>
      </c>
      <c r="V1283">
        <v>0</v>
      </c>
      <c r="W1283">
        <v>0</v>
      </c>
      <c r="X1283" t="s">
        <v>8</v>
      </c>
      <c r="Y1283" s="74" t="str">
        <f ca="1">IF(Table15[[#This Row],[Type]]="KILL",IF(_xlfn.NUMBERVALUE(RIGHT(Table15[[#This Row],[Min]],LEN(Table15[[#This Row],[Min]])-FIND("-",Table15[[#This Row],[Min]])))&gt;INDIRECT(ADDRESS(11+MATCH(LEFT(Table15[[#This Row],[Min]],FIND("-",Table15[[#This Row],[Min]])-1),Table1[Content Sku],0),16,1,1,"Entities")),"review","ok"),"ok")</f>
        <v>ok</v>
      </c>
    </row>
    <row r="1284" spans="5:25" x14ac:dyDescent="0.25">
      <c r="E1284" t="s">
        <v>51</v>
      </c>
      <c r="F1284">
        <v>345</v>
      </c>
      <c r="G1284">
        <v>0</v>
      </c>
      <c r="H1284" t="s">
        <v>4431</v>
      </c>
      <c r="I1284" s="74" t="str">
        <f ca="1">IF(Table7[[#This Row],[Type]]="KILL",IF(_xlfn.NUMBERVALUE(RIGHT(Table7[[#This Row],[Min]],LEN(Table7[[#This Row],[Min]])-FIND("-",Table7[[#This Row],[Min]])))&gt;INDIRECT(ADDRESS(11+MATCH(LEFT(Table7[[#This Row],[Min]],FIND("-",Table7[[#This Row],[Min]])-1),Table1[Content Sku],0),16,1,1,"Entities")),"review","ok"),"ok")</f>
        <v>ok</v>
      </c>
      <c r="U1284" t="s">
        <v>392</v>
      </c>
      <c r="V1284">
        <v>0</v>
      </c>
      <c r="W1284">
        <v>0</v>
      </c>
      <c r="X1284" t="s">
        <v>8</v>
      </c>
      <c r="Y1284" s="74" t="str">
        <f ca="1">IF(Table15[[#This Row],[Type]]="KILL",IF(_xlfn.NUMBERVALUE(RIGHT(Table15[[#This Row],[Min]],LEN(Table15[[#This Row],[Min]])-FIND("-",Table15[[#This Row],[Min]])))&gt;INDIRECT(ADDRESS(11+MATCH(LEFT(Table15[[#This Row],[Min]],FIND("-",Table15[[#This Row],[Min]])-1),Table1[Content Sku],0),16,1,1,"Entities")),"review","ok"),"ok")</f>
        <v>ok</v>
      </c>
    </row>
    <row r="1285" spans="5:25" x14ac:dyDescent="0.25">
      <c r="E1285" t="s">
        <v>313</v>
      </c>
      <c r="F1285">
        <v>0</v>
      </c>
      <c r="G1285">
        <v>0</v>
      </c>
      <c r="H1285" t="s">
        <v>8</v>
      </c>
      <c r="I1285" s="74" t="str">
        <f ca="1">IF(Table7[[#This Row],[Type]]="KILL",IF(_xlfn.NUMBERVALUE(RIGHT(Table7[[#This Row],[Min]],LEN(Table7[[#This Row],[Min]])-FIND("-",Table7[[#This Row],[Min]])))&gt;INDIRECT(ADDRESS(11+MATCH(LEFT(Table7[[#This Row],[Min]],FIND("-",Table7[[#This Row],[Min]])-1),Table1[Content Sku],0),16,1,1,"Entities")),"review","ok"),"ok")</f>
        <v>ok</v>
      </c>
      <c r="U1285" t="s">
        <v>122</v>
      </c>
      <c r="V1285">
        <v>30000</v>
      </c>
      <c r="W1285">
        <v>0</v>
      </c>
      <c r="X1285" t="s">
        <v>205</v>
      </c>
      <c r="Y1285" s="74" t="str">
        <f ca="1">IF(Table15[[#This Row],[Type]]="KILL",IF(_xlfn.NUMBERVALUE(RIGHT(Table15[[#This Row],[Min]],LEN(Table15[[#This Row],[Min]])-FIND("-",Table15[[#This Row],[Min]])))&gt;INDIRECT(ADDRESS(11+MATCH(LEFT(Table15[[#This Row],[Min]],FIND("-",Table15[[#This Row],[Min]])-1),Table1[Content Sku],0),16,1,1,"Entities")),"review","ok"),"ok")</f>
        <v>ok</v>
      </c>
    </row>
    <row r="1286" spans="5:25" x14ac:dyDescent="0.25">
      <c r="E1286" t="s">
        <v>95</v>
      </c>
      <c r="F1286">
        <v>12000</v>
      </c>
      <c r="G1286">
        <v>0</v>
      </c>
      <c r="H1286" t="s">
        <v>205</v>
      </c>
      <c r="I1286" s="74" t="str">
        <f ca="1">IF(Table7[[#This Row],[Type]]="KILL",IF(_xlfn.NUMBERVALUE(RIGHT(Table7[[#This Row],[Min]],LEN(Table7[[#This Row],[Min]])-FIND("-",Table7[[#This Row],[Min]])))&gt;INDIRECT(ADDRESS(11+MATCH(LEFT(Table7[[#This Row],[Min]],FIND("-",Table7[[#This Row],[Min]])-1),Table1[Content Sku],0),16,1,1,"Entities")),"review","ok"),"ok")</f>
        <v>ok</v>
      </c>
      <c r="U1286" t="s">
        <v>122</v>
      </c>
      <c r="V1286">
        <v>0</v>
      </c>
      <c r="W1286">
        <v>0</v>
      </c>
      <c r="X1286" t="s">
        <v>8</v>
      </c>
      <c r="Y1286" s="74" t="str">
        <f ca="1">IF(Table15[[#This Row],[Type]]="KILL",IF(_xlfn.NUMBERVALUE(RIGHT(Table15[[#This Row],[Min]],LEN(Table15[[#This Row],[Min]])-FIND("-",Table15[[#This Row],[Min]])))&gt;INDIRECT(ADDRESS(11+MATCH(LEFT(Table15[[#This Row],[Min]],FIND("-",Table15[[#This Row],[Min]])-1),Table1[Content Sku],0),16,1,1,"Entities")),"review","ok"),"ok")</f>
        <v>ok</v>
      </c>
    </row>
    <row r="1287" spans="5:25" x14ac:dyDescent="0.25">
      <c r="E1287" t="s">
        <v>406</v>
      </c>
      <c r="F1287">
        <v>4000</v>
      </c>
      <c r="G1287">
        <v>0</v>
      </c>
      <c r="H1287" t="s">
        <v>205</v>
      </c>
      <c r="I1287" s="74" t="str">
        <f ca="1">IF(Table7[[#This Row],[Type]]="KILL",IF(_xlfn.NUMBERVALUE(RIGHT(Table7[[#This Row],[Min]],LEN(Table7[[#This Row],[Min]])-FIND("-",Table7[[#This Row],[Min]])))&gt;INDIRECT(ADDRESS(11+MATCH(LEFT(Table7[[#This Row],[Min]],FIND("-",Table7[[#This Row],[Min]])-1),Table1[Content Sku],0),16,1,1,"Entities")),"review","ok"),"ok")</f>
        <v>ok</v>
      </c>
      <c r="U1287" t="s">
        <v>391</v>
      </c>
      <c r="V1287">
        <v>0</v>
      </c>
      <c r="W1287">
        <v>0</v>
      </c>
      <c r="X1287" t="s">
        <v>8</v>
      </c>
      <c r="Y1287" s="74" t="str">
        <f ca="1">IF(Table15[[#This Row],[Type]]="KILL",IF(_xlfn.NUMBERVALUE(RIGHT(Table15[[#This Row],[Min]],LEN(Table15[[#This Row],[Min]])-FIND("-",Table15[[#This Row],[Min]])))&gt;INDIRECT(ADDRESS(11+MATCH(LEFT(Table15[[#This Row],[Min]],FIND("-",Table15[[#This Row],[Min]])-1),Table1[Content Sku],0),16,1,1,"Entities")),"review","ok"),"ok")</f>
        <v>ok</v>
      </c>
    </row>
    <row r="1288" spans="5:25" x14ac:dyDescent="0.25">
      <c r="E1288" t="s">
        <v>8133</v>
      </c>
      <c r="F1288">
        <v>0</v>
      </c>
      <c r="G1288">
        <v>0</v>
      </c>
      <c r="H1288" t="s">
        <v>8</v>
      </c>
      <c r="I1288" s="74" t="str">
        <f ca="1">IF(Table7[[#This Row],[Type]]="KILL",IF(_xlfn.NUMBERVALUE(RIGHT(Table7[[#This Row],[Min]],LEN(Table7[[#This Row],[Min]])-FIND("-",Table7[[#This Row],[Min]])))&gt;INDIRECT(ADDRESS(11+MATCH(LEFT(Table7[[#This Row],[Min]],FIND("-",Table7[[#This Row],[Min]])-1),Table1[Content Sku],0),16,1,1,"Entities")),"review","ok"),"ok")</f>
        <v>ok</v>
      </c>
      <c r="U1288" t="s">
        <v>400</v>
      </c>
      <c r="V1288">
        <v>0</v>
      </c>
      <c r="W1288">
        <v>0</v>
      </c>
      <c r="X1288" t="s">
        <v>8</v>
      </c>
      <c r="Y1288" s="74" t="str">
        <f ca="1">IF(Table15[[#This Row],[Type]]="KILL",IF(_xlfn.NUMBERVALUE(RIGHT(Table15[[#This Row],[Min]],LEN(Table15[[#This Row],[Min]])-FIND("-",Table15[[#This Row],[Min]])))&gt;INDIRECT(ADDRESS(11+MATCH(LEFT(Table15[[#This Row],[Min]],FIND("-",Table15[[#This Row],[Min]])-1),Table1[Content Sku],0),16,1,1,"Entities")),"review","ok"),"ok")</f>
        <v>ok</v>
      </c>
    </row>
    <row r="1289" spans="5:25" x14ac:dyDescent="0.25">
      <c r="E1289" t="s">
        <v>286</v>
      </c>
      <c r="F1289">
        <v>6000</v>
      </c>
      <c r="G1289">
        <v>0</v>
      </c>
      <c r="H1289" t="s">
        <v>205</v>
      </c>
      <c r="I1289" s="74" t="str">
        <f ca="1">IF(Table7[[#This Row],[Type]]="KILL",IF(_xlfn.NUMBERVALUE(RIGHT(Table7[[#This Row],[Min]],LEN(Table7[[#This Row],[Min]])-FIND("-",Table7[[#This Row],[Min]])))&gt;INDIRECT(ADDRESS(11+MATCH(LEFT(Table7[[#This Row],[Min]],FIND("-",Table7[[#This Row],[Min]])-1),Table1[Content Sku],0),16,1,1,"Entities")),"review","ok"),"ok")</f>
        <v>ok</v>
      </c>
      <c r="U1289" t="s">
        <v>8133</v>
      </c>
      <c r="V1289">
        <v>0</v>
      </c>
      <c r="W1289">
        <v>0</v>
      </c>
      <c r="X1289" t="s">
        <v>8</v>
      </c>
      <c r="Y1289" s="74" t="str">
        <f ca="1">IF(Table15[[#This Row],[Type]]="KILL",IF(_xlfn.NUMBERVALUE(RIGHT(Table15[[#This Row],[Min]],LEN(Table15[[#This Row],[Min]])-FIND("-",Table15[[#This Row],[Min]])))&gt;INDIRECT(ADDRESS(11+MATCH(LEFT(Table15[[#This Row],[Min]],FIND("-",Table15[[#This Row],[Min]])-1),Table1[Content Sku],0),16,1,1,"Entities")),"review","ok"),"ok")</f>
        <v>ok</v>
      </c>
    </row>
    <row r="1290" spans="5:25" x14ac:dyDescent="0.25">
      <c r="E1290" t="s">
        <v>8133</v>
      </c>
      <c r="F1290">
        <v>0</v>
      </c>
      <c r="G1290">
        <v>0</v>
      </c>
      <c r="H1290" t="s">
        <v>8</v>
      </c>
      <c r="I1290" s="74" t="str">
        <f ca="1">IF(Table7[[#This Row],[Type]]="KILL",IF(_xlfn.NUMBERVALUE(RIGHT(Table7[[#This Row],[Min]],LEN(Table7[[#This Row],[Min]])-FIND("-",Table7[[#This Row],[Min]])))&gt;INDIRECT(ADDRESS(11+MATCH(LEFT(Table7[[#This Row],[Min]],FIND("-",Table7[[#This Row],[Min]])-1),Table1[Content Sku],0),16,1,1,"Entities")),"review","ok"),"ok")</f>
        <v>ok</v>
      </c>
      <c r="U1290" t="s">
        <v>306</v>
      </c>
      <c r="V1290">
        <v>0</v>
      </c>
      <c r="W1290">
        <v>0</v>
      </c>
      <c r="X1290" t="s">
        <v>8</v>
      </c>
      <c r="Y1290" s="74" t="str">
        <f ca="1">IF(Table15[[#This Row],[Type]]="KILL",IF(_xlfn.NUMBERVALUE(RIGHT(Table15[[#This Row],[Min]],LEN(Table15[[#This Row],[Min]])-FIND("-",Table15[[#This Row],[Min]])))&gt;INDIRECT(ADDRESS(11+MATCH(LEFT(Table15[[#This Row],[Min]],FIND("-",Table15[[#This Row],[Min]])-1),Table1[Content Sku],0),16,1,1,"Entities")),"review","ok"),"ok")</f>
        <v>ok</v>
      </c>
    </row>
    <row r="1291" spans="5:25" x14ac:dyDescent="0.25">
      <c r="E1291" t="s">
        <v>400</v>
      </c>
      <c r="F1291">
        <v>0</v>
      </c>
      <c r="G1291">
        <v>0</v>
      </c>
      <c r="H1291" t="s">
        <v>8</v>
      </c>
      <c r="I1291" s="74" t="str">
        <f ca="1">IF(Table7[[#This Row],[Type]]="KILL",IF(_xlfn.NUMBERVALUE(RIGHT(Table7[[#This Row],[Min]],LEN(Table7[[#This Row],[Min]])-FIND("-",Table7[[#This Row],[Min]])))&gt;INDIRECT(ADDRESS(11+MATCH(LEFT(Table7[[#This Row],[Min]],FIND("-",Table7[[#This Row],[Min]])-1),Table1[Content Sku],0),16,1,1,"Entities")),"review","ok"),"ok")</f>
        <v>ok</v>
      </c>
      <c r="U1291" t="s">
        <v>548</v>
      </c>
      <c r="V1291">
        <v>0</v>
      </c>
      <c r="W1291">
        <v>0</v>
      </c>
      <c r="X1291" t="s">
        <v>8</v>
      </c>
      <c r="Y1291" s="74" t="str">
        <f ca="1">IF(Table15[[#This Row],[Type]]="KILL",IF(_xlfn.NUMBERVALUE(RIGHT(Table15[[#This Row],[Min]],LEN(Table15[[#This Row],[Min]])-FIND("-",Table15[[#This Row],[Min]])))&gt;INDIRECT(ADDRESS(11+MATCH(LEFT(Table15[[#This Row],[Min]],FIND("-",Table15[[#This Row],[Min]])-1),Table1[Content Sku],0),16,1,1,"Entities")),"review","ok"),"ok")</f>
        <v>ok</v>
      </c>
    </row>
    <row r="1292" spans="5:25" x14ac:dyDescent="0.25">
      <c r="E1292" t="s">
        <v>393</v>
      </c>
      <c r="F1292">
        <v>0</v>
      </c>
      <c r="G1292">
        <v>0</v>
      </c>
      <c r="H1292" t="s">
        <v>8</v>
      </c>
      <c r="I1292" s="74" t="str">
        <f ca="1">IF(Table7[[#This Row],[Type]]="KILL",IF(_xlfn.NUMBERVALUE(RIGHT(Table7[[#This Row],[Min]],LEN(Table7[[#This Row],[Min]])-FIND("-",Table7[[#This Row],[Min]])))&gt;INDIRECT(ADDRESS(11+MATCH(LEFT(Table7[[#This Row],[Min]],FIND("-",Table7[[#This Row],[Min]])-1),Table1[Content Sku],0),16,1,1,"Entities")),"review","ok"),"ok")</f>
        <v>ok</v>
      </c>
      <c r="U1292" t="s">
        <v>313</v>
      </c>
      <c r="V1292">
        <v>0</v>
      </c>
      <c r="W1292">
        <v>0</v>
      </c>
      <c r="X1292" t="s">
        <v>8</v>
      </c>
      <c r="Y1292" s="74" t="str">
        <f ca="1">IF(Table15[[#This Row],[Type]]="KILL",IF(_xlfn.NUMBERVALUE(RIGHT(Table15[[#This Row],[Min]],LEN(Table15[[#This Row],[Min]])-FIND("-",Table15[[#This Row],[Min]])))&gt;INDIRECT(ADDRESS(11+MATCH(LEFT(Table15[[#This Row],[Min]],FIND("-",Table15[[#This Row],[Min]])-1),Table1[Content Sku],0),16,1,1,"Entities")),"review","ok"),"ok")</f>
        <v>ok</v>
      </c>
    </row>
    <row r="1293" spans="5:25" x14ac:dyDescent="0.25">
      <c r="E1293" t="s">
        <v>8133</v>
      </c>
      <c r="F1293">
        <v>0</v>
      </c>
      <c r="G1293">
        <v>0</v>
      </c>
      <c r="H1293" t="s">
        <v>8</v>
      </c>
      <c r="I1293" s="74" t="str">
        <f ca="1">IF(Table7[[#This Row],[Type]]="KILL",IF(_xlfn.NUMBERVALUE(RIGHT(Table7[[#This Row],[Min]],LEN(Table7[[#This Row],[Min]])-FIND("-",Table7[[#This Row],[Min]])))&gt;INDIRECT(ADDRESS(11+MATCH(LEFT(Table7[[#This Row],[Min]],FIND("-",Table7[[#This Row],[Min]])-1),Table1[Content Sku],0),16,1,1,"Entities")),"review","ok"),"ok")</f>
        <v>ok</v>
      </c>
      <c r="U1293" t="s">
        <v>48</v>
      </c>
      <c r="V1293">
        <v>0</v>
      </c>
      <c r="W1293">
        <v>0</v>
      </c>
      <c r="X1293" t="s">
        <v>8</v>
      </c>
      <c r="Y1293" s="74" t="str">
        <f ca="1">IF(Table15[[#This Row],[Type]]="KILL",IF(_xlfn.NUMBERVALUE(RIGHT(Table15[[#This Row],[Min]],LEN(Table15[[#This Row],[Min]])-FIND("-",Table15[[#This Row],[Min]])))&gt;INDIRECT(ADDRESS(11+MATCH(LEFT(Table15[[#This Row],[Min]],FIND("-",Table15[[#This Row],[Min]])-1),Table1[Content Sku],0),16,1,1,"Entities")),"review","ok"),"ok")</f>
        <v>ok</v>
      </c>
    </row>
    <row r="1294" spans="5:25" x14ac:dyDescent="0.25">
      <c r="E1294" t="s">
        <v>273</v>
      </c>
      <c r="F1294">
        <v>13000</v>
      </c>
      <c r="G1294">
        <v>0</v>
      </c>
      <c r="H1294" t="s">
        <v>205</v>
      </c>
      <c r="I1294" s="74" t="str">
        <f ca="1">IF(Table7[[#This Row],[Type]]="KILL",IF(_xlfn.NUMBERVALUE(RIGHT(Table7[[#This Row],[Min]],LEN(Table7[[#This Row],[Min]])-FIND("-",Table7[[#This Row],[Min]])))&gt;INDIRECT(ADDRESS(11+MATCH(LEFT(Table7[[#This Row],[Min]],FIND("-",Table7[[#This Row],[Min]])-1),Table1[Content Sku],0),16,1,1,"Entities")),"review","ok"),"ok")</f>
        <v>ok</v>
      </c>
      <c r="U1294" t="s">
        <v>278</v>
      </c>
      <c r="V1294">
        <v>0</v>
      </c>
      <c r="W1294">
        <v>25000</v>
      </c>
      <c r="X1294" t="s">
        <v>205</v>
      </c>
      <c r="Y1294" s="74" t="str">
        <f ca="1">IF(Table15[[#This Row],[Type]]="KILL",IF(_xlfn.NUMBERVALUE(RIGHT(Table15[[#This Row],[Min]],LEN(Table15[[#This Row],[Min]])-FIND("-",Table15[[#This Row],[Min]])))&gt;INDIRECT(ADDRESS(11+MATCH(LEFT(Table15[[#This Row],[Min]],FIND("-",Table15[[#This Row],[Min]])-1),Table1[Content Sku],0),16,1,1,"Entities")),"review","ok"),"ok")</f>
        <v>ok</v>
      </c>
    </row>
    <row r="1295" spans="5:25" x14ac:dyDescent="0.25">
      <c r="E1295" t="s">
        <v>400</v>
      </c>
      <c r="F1295">
        <v>0</v>
      </c>
      <c r="G1295">
        <v>0</v>
      </c>
      <c r="H1295" t="s">
        <v>8</v>
      </c>
      <c r="I1295" s="74" t="str">
        <f ca="1">IF(Table7[[#This Row],[Type]]="KILL",IF(_xlfn.NUMBERVALUE(RIGHT(Table7[[#This Row],[Min]],LEN(Table7[[#This Row],[Min]])-FIND("-",Table7[[#This Row],[Min]])))&gt;INDIRECT(ADDRESS(11+MATCH(LEFT(Table7[[#This Row],[Min]],FIND("-",Table7[[#This Row],[Min]])-1),Table1[Content Sku],0),16,1,1,"Entities")),"review","ok"),"ok")</f>
        <v>ok</v>
      </c>
      <c r="U1295" t="s">
        <v>361</v>
      </c>
      <c r="V1295">
        <v>240</v>
      </c>
      <c r="W1295">
        <v>0</v>
      </c>
      <c r="X1295" t="s">
        <v>4431</v>
      </c>
      <c r="Y1295" s="74" t="str">
        <f ca="1">IF(Table15[[#This Row],[Type]]="KILL",IF(_xlfn.NUMBERVALUE(RIGHT(Table15[[#This Row],[Min]],LEN(Table15[[#This Row],[Min]])-FIND("-",Table15[[#This Row],[Min]])))&gt;INDIRECT(ADDRESS(11+MATCH(LEFT(Table15[[#This Row],[Min]],FIND("-",Table15[[#This Row],[Min]])-1),Table1[Content Sku],0),16,1,1,"Entities")),"review","ok"),"ok")</f>
        <v>ok</v>
      </c>
    </row>
    <row r="1296" spans="5:25" x14ac:dyDescent="0.25">
      <c r="E1296" t="s">
        <v>254</v>
      </c>
      <c r="F1296">
        <v>0</v>
      </c>
      <c r="G1296">
        <v>0</v>
      </c>
      <c r="H1296" t="s">
        <v>8</v>
      </c>
      <c r="I1296" s="74" t="str">
        <f ca="1">IF(Table7[[#This Row],[Type]]="KILL",IF(_xlfn.NUMBERVALUE(RIGHT(Table7[[#This Row],[Min]],LEN(Table7[[#This Row],[Min]])-FIND("-",Table7[[#This Row],[Min]])))&gt;INDIRECT(ADDRESS(11+MATCH(LEFT(Table7[[#This Row],[Min]],FIND("-",Table7[[#This Row],[Min]])-1),Table1[Content Sku],0),16,1,1,"Entities")),"review","ok"),"ok")</f>
        <v>ok</v>
      </c>
      <c r="U1296" t="s">
        <v>391</v>
      </c>
      <c r="V1296">
        <v>0</v>
      </c>
      <c r="W1296">
        <v>0</v>
      </c>
      <c r="X1296" t="s">
        <v>8</v>
      </c>
      <c r="Y1296" s="74" t="str">
        <f ca="1">IF(Table15[[#This Row],[Type]]="KILL",IF(_xlfn.NUMBERVALUE(RIGHT(Table15[[#This Row],[Min]],LEN(Table15[[#This Row],[Min]])-FIND("-",Table15[[#This Row],[Min]])))&gt;INDIRECT(ADDRESS(11+MATCH(LEFT(Table15[[#This Row],[Min]],FIND("-",Table15[[#This Row],[Min]])-1),Table1[Content Sku],0),16,1,1,"Entities")),"review","ok"),"ok")</f>
        <v>ok</v>
      </c>
    </row>
    <row r="1297" spans="5:25" x14ac:dyDescent="0.25">
      <c r="E1297" t="s">
        <v>313</v>
      </c>
      <c r="F1297">
        <v>0</v>
      </c>
      <c r="G1297">
        <v>0</v>
      </c>
      <c r="H1297" t="s">
        <v>8</v>
      </c>
      <c r="I1297" s="74" t="str">
        <f ca="1">IF(Table7[[#This Row],[Type]]="KILL",IF(_xlfn.NUMBERVALUE(RIGHT(Table7[[#This Row],[Min]],LEN(Table7[[#This Row],[Min]])-FIND("-",Table7[[#This Row],[Min]])))&gt;INDIRECT(ADDRESS(11+MATCH(LEFT(Table7[[#This Row],[Min]],FIND("-",Table7[[#This Row],[Min]])-1),Table1[Content Sku],0),16,1,1,"Entities")),"review","ok"),"ok")</f>
        <v>ok</v>
      </c>
      <c r="U1297" t="s">
        <v>289</v>
      </c>
      <c r="V1297">
        <v>0</v>
      </c>
      <c r="W1297">
        <v>0</v>
      </c>
      <c r="X1297" t="s">
        <v>8</v>
      </c>
      <c r="Y1297" s="74" t="str">
        <f ca="1">IF(Table15[[#This Row],[Type]]="KILL",IF(_xlfn.NUMBERVALUE(RIGHT(Table15[[#This Row],[Min]],LEN(Table15[[#This Row],[Min]])-FIND("-",Table15[[#This Row],[Min]])))&gt;INDIRECT(ADDRESS(11+MATCH(LEFT(Table15[[#This Row],[Min]],FIND("-",Table15[[#This Row],[Min]])-1),Table1[Content Sku],0),16,1,1,"Entities")),"review","ok"),"ok")</f>
        <v>ok</v>
      </c>
    </row>
    <row r="1298" spans="5:25" x14ac:dyDescent="0.25">
      <c r="E1298" t="s">
        <v>463</v>
      </c>
      <c r="F1298">
        <v>0</v>
      </c>
      <c r="G1298">
        <v>3500</v>
      </c>
      <c r="H1298" t="s">
        <v>205</v>
      </c>
      <c r="I1298" s="74" t="str">
        <f ca="1">IF(Table7[[#This Row],[Type]]="KILL",IF(_xlfn.NUMBERVALUE(RIGHT(Table7[[#This Row],[Min]],LEN(Table7[[#This Row],[Min]])-FIND("-",Table7[[#This Row],[Min]])))&gt;INDIRECT(ADDRESS(11+MATCH(LEFT(Table7[[#This Row],[Min]],FIND("-",Table7[[#This Row],[Min]])-1),Table1[Content Sku],0),16,1,1,"Entities")),"review","ok"),"ok")</f>
        <v>ok</v>
      </c>
      <c r="U1298" t="s">
        <v>311</v>
      </c>
      <c r="V1298">
        <v>0</v>
      </c>
      <c r="W1298">
        <v>0</v>
      </c>
      <c r="X1298" t="s">
        <v>8</v>
      </c>
      <c r="Y1298" s="74" t="str">
        <f ca="1">IF(Table15[[#This Row],[Type]]="KILL",IF(_xlfn.NUMBERVALUE(RIGHT(Table15[[#This Row],[Min]],LEN(Table15[[#This Row],[Min]])-FIND("-",Table15[[#This Row],[Min]])))&gt;INDIRECT(ADDRESS(11+MATCH(LEFT(Table15[[#This Row],[Min]],FIND("-",Table15[[#This Row],[Min]])-1),Table1[Content Sku],0),16,1,1,"Entities")),"review","ok"),"ok")</f>
        <v>ok</v>
      </c>
    </row>
    <row r="1299" spans="5:25" x14ac:dyDescent="0.25">
      <c r="E1299" t="s">
        <v>254</v>
      </c>
      <c r="F1299">
        <v>0</v>
      </c>
      <c r="G1299">
        <v>0</v>
      </c>
      <c r="H1299" t="s">
        <v>8</v>
      </c>
      <c r="I1299" s="74" t="str">
        <f ca="1">IF(Table7[[#This Row],[Type]]="KILL",IF(_xlfn.NUMBERVALUE(RIGHT(Table7[[#This Row],[Min]],LEN(Table7[[#This Row],[Min]])-FIND("-",Table7[[#This Row],[Min]])))&gt;INDIRECT(ADDRESS(11+MATCH(LEFT(Table7[[#This Row],[Min]],FIND("-",Table7[[#This Row],[Min]])-1),Table1[Content Sku],0),16,1,1,"Entities")),"review","ok"),"ok")</f>
        <v>ok</v>
      </c>
      <c r="U1299" t="s">
        <v>7991</v>
      </c>
      <c r="V1299">
        <v>0</v>
      </c>
      <c r="W1299">
        <v>0</v>
      </c>
      <c r="X1299" t="s">
        <v>8</v>
      </c>
      <c r="Y1299" s="74" t="str">
        <f ca="1">IF(Table15[[#This Row],[Type]]="KILL",IF(_xlfn.NUMBERVALUE(RIGHT(Table15[[#This Row],[Min]],LEN(Table15[[#This Row],[Min]])-FIND("-",Table15[[#This Row],[Min]])))&gt;INDIRECT(ADDRESS(11+MATCH(LEFT(Table15[[#This Row],[Min]],FIND("-",Table15[[#This Row],[Min]])-1),Table1[Content Sku],0),16,1,1,"Entities")),"review","ok"),"ok")</f>
        <v>ok</v>
      </c>
    </row>
    <row r="1300" spans="5:25" x14ac:dyDescent="0.25">
      <c r="E1300" t="s">
        <v>278</v>
      </c>
      <c r="F1300">
        <v>5500</v>
      </c>
      <c r="G1300">
        <v>0</v>
      </c>
      <c r="H1300" t="s">
        <v>205</v>
      </c>
      <c r="I1300" s="74" t="str">
        <f ca="1">IF(Table7[[#This Row],[Type]]="KILL",IF(_xlfn.NUMBERVALUE(RIGHT(Table7[[#This Row],[Min]],LEN(Table7[[#This Row],[Min]])-FIND("-",Table7[[#This Row],[Min]])))&gt;INDIRECT(ADDRESS(11+MATCH(LEFT(Table7[[#This Row],[Min]],FIND("-",Table7[[#This Row],[Min]])-1),Table1[Content Sku],0),16,1,1,"Entities")),"review","ok"),"ok")</f>
        <v>ok</v>
      </c>
      <c r="U1300" t="s">
        <v>309</v>
      </c>
      <c r="V1300">
        <v>44000</v>
      </c>
      <c r="W1300">
        <v>0</v>
      </c>
      <c r="X1300" t="s">
        <v>205</v>
      </c>
      <c r="Y1300" s="74" t="str">
        <f ca="1">IF(Table15[[#This Row],[Type]]="KILL",IF(_xlfn.NUMBERVALUE(RIGHT(Table15[[#This Row],[Min]],LEN(Table15[[#This Row],[Min]])-FIND("-",Table15[[#This Row],[Min]])))&gt;INDIRECT(ADDRESS(11+MATCH(LEFT(Table15[[#This Row],[Min]],FIND("-",Table15[[#This Row],[Min]])-1),Table1[Content Sku],0),16,1,1,"Entities")),"review","ok"),"ok")</f>
        <v>ok</v>
      </c>
    </row>
    <row r="1301" spans="5:25" x14ac:dyDescent="0.25">
      <c r="E1301" t="s">
        <v>463</v>
      </c>
      <c r="F1301">
        <v>0</v>
      </c>
      <c r="G1301">
        <v>180</v>
      </c>
      <c r="H1301" t="s">
        <v>4431</v>
      </c>
      <c r="I1301" s="74" t="str">
        <f ca="1">IF(Table7[[#This Row],[Type]]="KILL",IF(_xlfn.NUMBERVALUE(RIGHT(Table7[[#This Row],[Min]],LEN(Table7[[#This Row],[Min]])-FIND("-",Table7[[#This Row],[Min]])))&gt;INDIRECT(ADDRESS(11+MATCH(LEFT(Table7[[#This Row],[Min]],FIND("-",Table7[[#This Row],[Min]])-1),Table1[Content Sku],0),16,1,1,"Entities")),"review","ok"),"ok")</f>
        <v>ok</v>
      </c>
      <c r="U1301" t="s">
        <v>391</v>
      </c>
      <c r="V1301">
        <v>0</v>
      </c>
      <c r="W1301">
        <v>0</v>
      </c>
      <c r="X1301" t="s">
        <v>8</v>
      </c>
      <c r="Y1301" s="74" t="str">
        <f ca="1">IF(Table15[[#This Row],[Type]]="KILL",IF(_xlfn.NUMBERVALUE(RIGHT(Table15[[#This Row],[Min]],LEN(Table15[[#This Row],[Min]])-FIND("-",Table15[[#This Row],[Min]])))&gt;INDIRECT(ADDRESS(11+MATCH(LEFT(Table15[[#This Row],[Min]],FIND("-",Table15[[#This Row],[Min]])-1),Table1[Content Sku],0),16,1,1,"Entities")),"review","ok"),"ok")</f>
        <v>ok</v>
      </c>
    </row>
    <row r="1302" spans="5:25" x14ac:dyDescent="0.25">
      <c r="E1302" t="s">
        <v>95</v>
      </c>
      <c r="F1302">
        <v>0</v>
      </c>
      <c r="G1302">
        <v>0</v>
      </c>
      <c r="H1302" t="s">
        <v>8</v>
      </c>
      <c r="I1302" s="74" t="str">
        <f ca="1">IF(Table7[[#This Row],[Type]]="KILL",IF(_xlfn.NUMBERVALUE(RIGHT(Table7[[#This Row],[Min]],LEN(Table7[[#This Row],[Min]])-FIND("-",Table7[[#This Row],[Min]])))&gt;INDIRECT(ADDRESS(11+MATCH(LEFT(Table7[[#This Row],[Min]],FIND("-",Table7[[#This Row],[Min]])-1),Table1[Content Sku],0),16,1,1,"Entities")),"review","ok"),"ok")</f>
        <v>ok</v>
      </c>
      <c r="U1302" t="s">
        <v>313</v>
      </c>
      <c r="V1302">
        <v>0</v>
      </c>
      <c r="W1302">
        <v>0</v>
      </c>
      <c r="X1302" t="s">
        <v>8</v>
      </c>
      <c r="Y1302" s="74" t="str">
        <f ca="1">IF(Table15[[#This Row],[Type]]="KILL",IF(_xlfn.NUMBERVALUE(RIGHT(Table15[[#This Row],[Min]],LEN(Table15[[#This Row],[Min]])-FIND("-",Table15[[#This Row],[Min]])))&gt;INDIRECT(ADDRESS(11+MATCH(LEFT(Table15[[#This Row],[Min]],FIND("-",Table15[[#This Row],[Min]])-1),Table1[Content Sku],0),16,1,1,"Entities")),"review","ok"),"ok")</f>
        <v>ok</v>
      </c>
    </row>
    <row r="1303" spans="5:25" x14ac:dyDescent="0.25">
      <c r="E1303" t="s">
        <v>14</v>
      </c>
      <c r="F1303">
        <v>2200</v>
      </c>
      <c r="G1303">
        <v>0</v>
      </c>
      <c r="H1303" t="s">
        <v>205</v>
      </c>
      <c r="I1303" s="74" t="str">
        <f ca="1">IF(Table7[[#This Row],[Type]]="KILL",IF(_xlfn.NUMBERVALUE(RIGHT(Table7[[#This Row],[Min]],LEN(Table7[[#This Row],[Min]])-FIND("-",Table7[[#This Row],[Min]])))&gt;INDIRECT(ADDRESS(11+MATCH(LEFT(Table7[[#This Row],[Min]],FIND("-",Table7[[#This Row],[Min]])-1),Table1[Content Sku],0),16,1,1,"Entities")),"review","ok"),"ok")</f>
        <v>ok</v>
      </c>
      <c r="U1303" t="s">
        <v>391</v>
      </c>
      <c r="V1303">
        <v>20000</v>
      </c>
      <c r="W1303">
        <v>0</v>
      </c>
      <c r="X1303" t="s">
        <v>205</v>
      </c>
      <c r="Y1303" s="74" t="str">
        <f ca="1">IF(Table15[[#This Row],[Type]]="KILL",IF(_xlfn.NUMBERVALUE(RIGHT(Table15[[#This Row],[Min]],LEN(Table15[[#This Row],[Min]])-FIND("-",Table15[[#This Row],[Min]])))&gt;INDIRECT(ADDRESS(11+MATCH(LEFT(Table15[[#This Row],[Min]],FIND("-",Table15[[#This Row],[Min]])-1),Table1[Content Sku],0),16,1,1,"Entities")),"review","ok"),"ok")</f>
        <v>ok</v>
      </c>
    </row>
    <row r="1304" spans="5:25" x14ac:dyDescent="0.25">
      <c r="E1304" t="s">
        <v>8133</v>
      </c>
      <c r="F1304">
        <v>0</v>
      </c>
      <c r="G1304">
        <v>0</v>
      </c>
      <c r="H1304" t="s">
        <v>8</v>
      </c>
      <c r="I1304" s="74" t="str">
        <f ca="1">IF(Table7[[#This Row],[Type]]="KILL",IF(_xlfn.NUMBERVALUE(RIGHT(Table7[[#This Row],[Min]],LEN(Table7[[#This Row],[Min]])-FIND("-",Table7[[#This Row],[Min]])))&gt;INDIRECT(ADDRESS(11+MATCH(LEFT(Table7[[#This Row],[Min]],FIND("-",Table7[[#This Row],[Min]])-1),Table1[Content Sku],0),16,1,1,"Entities")),"review","ok"),"ok")</f>
        <v>ok</v>
      </c>
      <c r="U1304" t="s">
        <v>273</v>
      </c>
      <c r="V1304">
        <v>35000</v>
      </c>
      <c r="W1304">
        <v>80000</v>
      </c>
      <c r="X1304" t="s">
        <v>205</v>
      </c>
      <c r="Y1304" s="74" t="str">
        <f ca="1">IF(Table15[[#This Row],[Type]]="KILL",IF(_xlfn.NUMBERVALUE(RIGHT(Table15[[#This Row],[Min]],LEN(Table15[[#This Row],[Min]])-FIND("-",Table15[[#This Row],[Min]])))&gt;INDIRECT(ADDRESS(11+MATCH(LEFT(Table15[[#This Row],[Min]],FIND("-",Table15[[#This Row],[Min]])-1),Table1[Content Sku],0),16,1,1,"Entities")),"review","ok"),"ok")</f>
        <v>ok</v>
      </c>
    </row>
    <row r="1305" spans="5:25" x14ac:dyDescent="0.25">
      <c r="E1305" t="s">
        <v>253</v>
      </c>
      <c r="F1305">
        <v>0</v>
      </c>
      <c r="G1305">
        <v>0</v>
      </c>
      <c r="H1305" t="s">
        <v>8</v>
      </c>
      <c r="I1305" s="74" t="str">
        <f ca="1">IF(Table7[[#This Row],[Type]]="KILL",IF(_xlfn.NUMBERVALUE(RIGHT(Table7[[#This Row],[Min]],LEN(Table7[[#This Row],[Min]])-FIND("-",Table7[[#This Row],[Min]])))&gt;INDIRECT(ADDRESS(11+MATCH(LEFT(Table7[[#This Row],[Min]],FIND("-",Table7[[#This Row],[Min]])-1),Table1[Content Sku],0),16,1,1,"Entities")),"review","ok"),"ok")</f>
        <v>ok</v>
      </c>
      <c r="U1305" t="s">
        <v>286</v>
      </c>
      <c r="V1305">
        <v>0</v>
      </c>
      <c r="W1305">
        <v>0</v>
      </c>
      <c r="X1305" t="s">
        <v>8</v>
      </c>
      <c r="Y1305" s="74" t="str">
        <f ca="1">IF(Table15[[#This Row],[Type]]="KILL",IF(_xlfn.NUMBERVALUE(RIGHT(Table15[[#This Row],[Min]],LEN(Table15[[#This Row],[Min]])-FIND("-",Table15[[#This Row],[Min]])))&gt;INDIRECT(ADDRESS(11+MATCH(LEFT(Table15[[#This Row],[Min]],FIND("-",Table15[[#This Row],[Min]])-1),Table1[Content Sku],0),16,1,1,"Entities")),"review","ok"),"ok")</f>
        <v>ok</v>
      </c>
    </row>
    <row r="1306" spans="5:25" x14ac:dyDescent="0.25">
      <c r="E1306" t="s">
        <v>46</v>
      </c>
      <c r="F1306">
        <v>0</v>
      </c>
      <c r="G1306">
        <v>0</v>
      </c>
      <c r="H1306" t="s">
        <v>8</v>
      </c>
      <c r="I1306" s="74" t="str">
        <f ca="1">IF(Table7[[#This Row],[Type]]="KILL",IF(_xlfn.NUMBERVALUE(RIGHT(Table7[[#This Row],[Min]],LEN(Table7[[#This Row],[Min]])-FIND("-",Table7[[#This Row],[Min]])))&gt;INDIRECT(ADDRESS(11+MATCH(LEFT(Table7[[#This Row],[Min]],FIND("-",Table7[[#This Row],[Min]])-1),Table1[Content Sku],0),16,1,1,"Entities")),"review","ok"),"ok")</f>
        <v>ok</v>
      </c>
      <c r="U1306" t="s">
        <v>460</v>
      </c>
      <c r="V1306">
        <v>0</v>
      </c>
      <c r="W1306">
        <v>0</v>
      </c>
      <c r="X1306" t="s">
        <v>8</v>
      </c>
      <c r="Y1306" s="74" t="str">
        <f ca="1">IF(Table15[[#This Row],[Type]]="KILL",IF(_xlfn.NUMBERVALUE(RIGHT(Table15[[#This Row],[Min]],LEN(Table15[[#This Row],[Min]])-FIND("-",Table15[[#This Row],[Min]])))&gt;INDIRECT(ADDRESS(11+MATCH(LEFT(Table15[[#This Row],[Min]],FIND("-",Table15[[#This Row],[Min]])-1),Table1[Content Sku],0),16,1,1,"Entities")),"review","ok"),"ok")</f>
        <v>ok</v>
      </c>
    </row>
    <row r="1307" spans="5:25" x14ac:dyDescent="0.25">
      <c r="E1307" t="s">
        <v>295</v>
      </c>
      <c r="F1307">
        <v>0</v>
      </c>
      <c r="G1307">
        <v>12000</v>
      </c>
      <c r="H1307" t="s">
        <v>205</v>
      </c>
      <c r="I1307" s="74" t="str">
        <f ca="1">IF(Table7[[#This Row],[Type]]="KILL",IF(_xlfn.NUMBERVALUE(RIGHT(Table7[[#This Row],[Min]],LEN(Table7[[#This Row],[Min]])-FIND("-",Table7[[#This Row],[Min]])))&gt;INDIRECT(ADDRESS(11+MATCH(LEFT(Table7[[#This Row],[Min]],FIND("-",Table7[[#This Row],[Min]])-1),Table1[Content Sku],0),16,1,1,"Entities")),"review","ok"),"ok")</f>
        <v>ok</v>
      </c>
      <c r="U1307" t="s">
        <v>313</v>
      </c>
      <c r="V1307">
        <v>30000</v>
      </c>
      <c r="W1307">
        <v>0</v>
      </c>
      <c r="X1307" t="s">
        <v>205</v>
      </c>
      <c r="Y1307" s="74" t="str">
        <f ca="1">IF(Table15[[#This Row],[Type]]="KILL",IF(_xlfn.NUMBERVALUE(RIGHT(Table15[[#This Row],[Min]],LEN(Table15[[#This Row],[Min]])-FIND("-",Table15[[#This Row],[Min]])))&gt;INDIRECT(ADDRESS(11+MATCH(LEFT(Table15[[#This Row],[Min]],FIND("-",Table15[[#This Row],[Min]])-1),Table1[Content Sku],0),16,1,1,"Entities")),"review","ok"),"ok")</f>
        <v>ok</v>
      </c>
    </row>
    <row r="1308" spans="5:25" x14ac:dyDescent="0.25">
      <c r="E1308" t="s">
        <v>2741</v>
      </c>
      <c r="F1308">
        <v>0</v>
      </c>
      <c r="G1308">
        <v>0</v>
      </c>
      <c r="H1308" t="s">
        <v>8</v>
      </c>
      <c r="I1308" s="74" t="str">
        <f ca="1">IF(Table7[[#This Row],[Type]]="KILL",IF(_xlfn.NUMBERVALUE(RIGHT(Table7[[#This Row],[Min]],LEN(Table7[[#This Row],[Min]])-FIND("-",Table7[[#This Row],[Min]])))&gt;INDIRECT(ADDRESS(11+MATCH(LEFT(Table7[[#This Row],[Min]],FIND("-",Table7[[#This Row],[Min]])-1),Table1[Content Sku],0),16,1,1,"Entities")),"review","ok"),"ok")</f>
        <v>ok</v>
      </c>
      <c r="U1308" t="s">
        <v>391</v>
      </c>
      <c r="V1308">
        <v>0</v>
      </c>
      <c r="W1308">
        <v>0</v>
      </c>
      <c r="X1308" t="s">
        <v>8</v>
      </c>
      <c r="Y1308" s="74" t="str">
        <f ca="1">IF(Table15[[#This Row],[Type]]="KILL",IF(_xlfn.NUMBERVALUE(RIGHT(Table15[[#This Row],[Min]],LEN(Table15[[#This Row],[Min]])-FIND("-",Table15[[#This Row],[Min]])))&gt;INDIRECT(ADDRESS(11+MATCH(LEFT(Table15[[#This Row],[Min]],FIND("-",Table15[[#This Row],[Min]])-1),Table1[Content Sku],0),16,1,1,"Entities")),"review","ok"),"ok")</f>
        <v>ok</v>
      </c>
    </row>
    <row r="1309" spans="5:25" x14ac:dyDescent="0.25">
      <c r="E1309" t="s">
        <v>313</v>
      </c>
      <c r="F1309">
        <v>0</v>
      </c>
      <c r="G1309">
        <v>0</v>
      </c>
      <c r="H1309" t="s">
        <v>8</v>
      </c>
      <c r="I1309" s="74" t="str">
        <f ca="1">IF(Table7[[#This Row],[Type]]="KILL",IF(_xlfn.NUMBERVALUE(RIGHT(Table7[[#This Row],[Min]],LEN(Table7[[#This Row],[Min]])-FIND("-",Table7[[#This Row],[Min]])))&gt;INDIRECT(ADDRESS(11+MATCH(LEFT(Table7[[#This Row],[Min]],FIND("-",Table7[[#This Row],[Min]])-1),Table1[Content Sku],0),16,1,1,"Entities")),"review","ok"),"ok")</f>
        <v>ok</v>
      </c>
      <c r="U1309" t="s">
        <v>95</v>
      </c>
      <c r="V1309">
        <v>0</v>
      </c>
      <c r="W1309">
        <v>0</v>
      </c>
      <c r="X1309" t="s">
        <v>8</v>
      </c>
      <c r="Y1309" s="74" t="str">
        <f ca="1">IF(Table15[[#This Row],[Type]]="KILL",IF(_xlfn.NUMBERVALUE(RIGHT(Table15[[#This Row],[Min]],LEN(Table15[[#This Row],[Min]])-FIND("-",Table15[[#This Row],[Min]])))&gt;INDIRECT(ADDRESS(11+MATCH(LEFT(Table15[[#This Row],[Min]],FIND("-",Table15[[#This Row],[Min]])-1),Table1[Content Sku],0),16,1,1,"Entities")),"review","ok"),"ok")</f>
        <v>ok</v>
      </c>
    </row>
    <row r="1310" spans="5:25" x14ac:dyDescent="0.25">
      <c r="E1310" t="s">
        <v>545</v>
      </c>
      <c r="F1310">
        <v>0</v>
      </c>
      <c r="G1310">
        <v>0</v>
      </c>
      <c r="H1310" t="s">
        <v>8</v>
      </c>
      <c r="I1310" s="74" t="str">
        <f ca="1">IF(Table7[[#This Row],[Type]]="KILL",IF(_xlfn.NUMBERVALUE(RIGHT(Table7[[#This Row],[Min]],LEN(Table7[[#This Row],[Min]])-FIND("-",Table7[[#This Row],[Min]])))&gt;INDIRECT(ADDRESS(11+MATCH(LEFT(Table7[[#This Row],[Min]],FIND("-",Table7[[#This Row],[Min]])-1),Table1[Content Sku],0),16,1,1,"Entities")),"review","ok"),"ok")</f>
        <v>ok</v>
      </c>
      <c r="U1310" t="s">
        <v>46</v>
      </c>
      <c r="V1310">
        <v>0</v>
      </c>
      <c r="W1310">
        <v>0</v>
      </c>
      <c r="X1310" t="s">
        <v>8</v>
      </c>
      <c r="Y1310" s="74" t="str">
        <f ca="1">IF(Table15[[#This Row],[Type]]="KILL",IF(_xlfn.NUMBERVALUE(RIGHT(Table15[[#This Row],[Min]],LEN(Table15[[#This Row],[Min]])-FIND("-",Table15[[#This Row],[Min]])))&gt;INDIRECT(ADDRESS(11+MATCH(LEFT(Table15[[#This Row],[Min]],FIND("-",Table15[[#This Row],[Min]])-1),Table1[Content Sku],0),16,1,1,"Entities")),"review","ok"),"ok")</f>
        <v>ok</v>
      </c>
    </row>
    <row r="1311" spans="5:25" x14ac:dyDescent="0.25">
      <c r="E1311" t="s">
        <v>342</v>
      </c>
      <c r="F1311">
        <v>0</v>
      </c>
      <c r="G1311">
        <v>7000</v>
      </c>
      <c r="H1311" t="s">
        <v>205</v>
      </c>
      <c r="I1311" s="74" t="str">
        <f ca="1">IF(Table7[[#This Row],[Type]]="KILL",IF(_xlfn.NUMBERVALUE(RIGHT(Table7[[#This Row],[Min]],LEN(Table7[[#This Row],[Min]])-FIND("-",Table7[[#This Row],[Min]])))&gt;INDIRECT(ADDRESS(11+MATCH(LEFT(Table7[[#This Row],[Min]],FIND("-",Table7[[#This Row],[Min]])-1),Table1[Content Sku],0),16,1,1,"Entities")),"review","ok"),"ok")</f>
        <v>ok</v>
      </c>
      <c r="U1311" t="s">
        <v>37</v>
      </c>
      <c r="V1311">
        <v>0</v>
      </c>
      <c r="W1311">
        <v>0</v>
      </c>
      <c r="X1311" t="s">
        <v>8</v>
      </c>
      <c r="Y1311" s="74" t="str">
        <f ca="1">IF(Table15[[#This Row],[Type]]="KILL",IF(_xlfn.NUMBERVALUE(RIGHT(Table15[[#This Row],[Min]],LEN(Table15[[#This Row],[Min]])-FIND("-",Table15[[#This Row],[Min]])))&gt;INDIRECT(ADDRESS(11+MATCH(LEFT(Table15[[#This Row],[Min]],FIND("-",Table15[[#This Row],[Min]])-1),Table1[Content Sku],0),16,1,1,"Entities")),"review","ok"),"ok")</f>
        <v>ok</v>
      </c>
    </row>
    <row r="1312" spans="5:25" x14ac:dyDescent="0.25">
      <c r="E1312" t="s">
        <v>548</v>
      </c>
      <c r="F1312">
        <v>0</v>
      </c>
      <c r="G1312">
        <v>0</v>
      </c>
      <c r="H1312" t="s">
        <v>8</v>
      </c>
      <c r="I1312" s="74" t="str">
        <f ca="1">IF(Table7[[#This Row],[Type]]="KILL",IF(_xlfn.NUMBERVALUE(RIGHT(Table7[[#This Row],[Min]],LEN(Table7[[#This Row],[Min]])-FIND("-",Table7[[#This Row],[Min]])))&gt;INDIRECT(ADDRESS(11+MATCH(LEFT(Table7[[#This Row],[Min]],FIND("-",Table7[[#This Row],[Min]])-1),Table1[Content Sku],0),16,1,1,"Entities")),"review","ok"),"ok")</f>
        <v>ok</v>
      </c>
      <c r="U1312" t="s">
        <v>36</v>
      </c>
      <c r="V1312">
        <v>0</v>
      </c>
      <c r="W1312">
        <v>0</v>
      </c>
      <c r="X1312" t="s">
        <v>8</v>
      </c>
      <c r="Y1312" s="74" t="str">
        <f ca="1">IF(Table15[[#This Row],[Type]]="KILL",IF(_xlfn.NUMBERVALUE(RIGHT(Table15[[#This Row],[Min]],LEN(Table15[[#This Row],[Min]])-FIND("-",Table15[[#This Row],[Min]])))&gt;INDIRECT(ADDRESS(11+MATCH(LEFT(Table15[[#This Row],[Min]],FIND("-",Table15[[#This Row],[Min]])-1),Table1[Content Sku],0),16,1,1,"Entities")),"review","ok"),"ok")</f>
        <v>ok</v>
      </c>
    </row>
    <row r="1313" spans="5:25" x14ac:dyDescent="0.25">
      <c r="E1313" t="s">
        <v>295</v>
      </c>
      <c r="F1313">
        <v>0</v>
      </c>
      <c r="G1313">
        <v>0</v>
      </c>
      <c r="H1313" t="s">
        <v>8</v>
      </c>
      <c r="I1313" s="74" t="str">
        <f ca="1">IF(Table7[[#This Row],[Type]]="KILL",IF(_xlfn.NUMBERVALUE(RIGHT(Table7[[#This Row],[Min]],LEN(Table7[[#This Row],[Min]])-FIND("-",Table7[[#This Row],[Min]])))&gt;INDIRECT(ADDRESS(11+MATCH(LEFT(Table7[[#This Row],[Min]],FIND("-",Table7[[#This Row],[Min]])-1),Table1[Content Sku],0),16,1,1,"Entities")),"review","ok"),"ok")</f>
        <v>ok</v>
      </c>
      <c r="U1313" t="s">
        <v>313</v>
      </c>
      <c r="V1313">
        <v>0</v>
      </c>
      <c r="W1313">
        <v>0</v>
      </c>
      <c r="X1313" t="s">
        <v>8</v>
      </c>
      <c r="Y1313" s="74" t="str">
        <f ca="1">IF(Table15[[#This Row],[Type]]="KILL",IF(_xlfn.NUMBERVALUE(RIGHT(Table15[[#This Row],[Min]],LEN(Table15[[#This Row],[Min]])-FIND("-",Table15[[#This Row],[Min]])))&gt;INDIRECT(ADDRESS(11+MATCH(LEFT(Table15[[#This Row],[Min]],FIND("-",Table15[[#This Row],[Min]])-1),Table1[Content Sku],0),16,1,1,"Entities")),"review","ok"),"ok")</f>
        <v>ok</v>
      </c>
    </row>
    <row r="1314" spans="5:25" x14ac:dyDescent="0.25">
      <c r="E1314" t="s">
        <v>47</v>
      </c>
      <c r="F1314">
        <v>0</v>
      </c>
      <c r="G1314">
        <v>49000</v>
      </c>
      <c r="H1314" t="s">
        <v>205</v>
      </c>
      <c r="I1314" s="74" t="str">
        <f ca="1">IF(Table7[[#This Row],[Type]]="KILL",IF(_xlfn.NUMBERVALUE(RIGHT(Table7[[#This Row],[Min]],LEN(Table7[[#This Row],[Min]])-FIND("-",Table7[[#This Row],[Min]])))&gt;INDIRECT(ADDRESS(11+MATCH(LEFT(Table7[[#This Row],[Min]],FIND("-",Table7[[#This Row],[Min]])-1),Table1[Content Sku],0),16,1,1,"Entities")),"review","ok"),"ok")</f>
        <v>ok</v>
      </c>
      <c r="U1314" t="s">
        <v>391</v>
      </c>
      <c r="V1314">
        <v>12000</v>
      </c>
      <c r="W1314">
        <v>0</v>
      </c>
      <c r="X1314" t="s">
        <v>205</v>
      </c>
      <c r="Y1314" s="74" t="str">
        <f ca="1">IF(Table15[[#This Row],[Type]]="KILL",IF(_xlfn.NUMBERVALUE(RIGHT(Table15[[#This Row],[Min]],LEN(Table15[[#This Row],[Min]])-FIND("-",Table15[[#This Row],[Min]])))&gt;INDIRECT(ADDRESS(11+MATCH(LEFT(Table15[[#This Row],[Min]],FIND("-",Table15[[#This Row],[Min]])-1),Table1[Content Sku],0),16,1,1,"Entities")),"review","ok"),"ok")</f>
        <v>ok</v>
      </c>
    </row>
    <row r="1315" spans="5:25" x14ac:dyDescent="0.25">
      <c r="E1315" t="s">
        <v>295</v>
      </c>
      <c r="F1315">
        <v>0</v>
      </c>
      <c r="G1315">
        <v>16000</v>
      </c>
      <c r="H1315" t="s">
        <v>205</v>
      </c>
      <c r="I1315" s="74" t="str">
        <f ca="1">IF(Table7[[#This Row],[Type]]="KILL",IF(_xlfn.NUMBERVALUE(RIGHT(Table7[[#This Row],[Min]],LEN(Table7[[#This Row],[Min]])-FIND("-",Table7[[#This Row],[Min]])))&gt;INDIRECT(ADDRESS(11+MATCH(LEFT(Table7[[#This Row],[Min]],FIND("-",Table7[[#This Row],[Min]])-1),Table1[Content Sku],0),16,1,1,"Entities")),"review","ok"),"ok")</f>
        <v>ok</v>
      </c>
      <c r="U1315" t="s">
        <v>283</v>
      </c>
      <c r="V1315">
        <v>26000</v>
      </c>
      <c r="W1315">
        <v>0</v>
      </c>
      <c r="X1315" t="s">
        <v>205</v>
      </c>
      <c r="Y1315" s="74" t="str">
        <f ca="1">IF(Table15[[#This Row],[Type]]="KILL",IF(_xlfn.NUMBERVALUE(RIGHT(Table15[[#This Row],[Min]],LEN(Table15[[#This Row],[Min]])-FIND("-",Table15[[#This Row],[Min]])))&gt;INDIRECT(ADDRESS(11+MATCH(LEFT(Table15[[#This Row],[Min]],FIND("-",Table15[[#This Row],[Min]])-1),Table1[Content Sku],0),16,1,1,"Entities")),"review","ok"),"ok")</f>
        <v>ok</v>
      </c>
    </row>
    <row r="1316" spans="5:25" x14ac:dyDescent="0.25">
      <c r="E1316" t="s">
        <v>393</v>
      </c>
      <c r="F1316">
        <v>0</v>
      </c>
      <c r="G1316">
        <v>0</v>
      </c>
      <c r="H1316" t="s">
        <v>8</v>
      </c>
      <c r="I1316" s="74" t="str">
        <f ca="1">IF(Table7[[#This Row],[Type]]="KILL",IF(_xlfn.NUMBERVALUE(RIGHT(Table7[[#This Row],[Min]],LEN(Table7[[#This Row],[Min]])-FIND("-",Table7[[#This Row],[Min]])))&gt;INDIRECT(ADDRESS(11+MATCH(LEFT(Table7[[#This Row],[Min]],FIND("-",Table7[[#This Row],[Min]])-1),Table1[Content Sku],0),16,1,1,"Entities")),"review","ok"),"ok")</f>
        <v>ok</v>
      </c>
      <c r="U1316" t="s">
        <v>122</v>
      </c>
      <c r="V1316">
        <v>0</v>
      </c>
      <c r="W1316">
        <v>0</v>
      </c>
      <c r="X1316" t="s">
        <v>8</v>
      </c>
      <c r="Y1316" s="74" t="str">
        <f ca="1">IF(Table15[[#This Row],[Type]]="KILL",IF(_xlfn.NUMBERVALUE(RIGHT(Table15[[#This Row],[Min]],LEN(Table15[[#This Row],[Min]])-FIND("-",Table15[[#This Row],[Min]])))&gt;INDIRECT(ADDRESS(11+MATCH(LEFT(Table15[[#This Row],[Min]],FIND("-",Table15[[#This Row],[Min]])-1),Table1[Content Sku],0),16,1,1,"Entities")),"review","ok"),"ok")</f>
        <v>ok</v>
      </c>
    </row>
    <row r="1317" spans="5:25" x14ac:dyDescent="0.25">
      <c r="E1317" t="s">
        <v>50</v>
      </c>
      <c r="F1317">
        <v>26000</v>
      </c>
      <c r="G1317">
        <v>0</v>
      </c>
      <c r="H1317" t="s">
        <v>205</v>
      </c>
      <c r="I1317" s="74" t="str">
        <f ca="1">IF(Table7[[#This Row],[Type]]="KILL",IF(_xlfn.NUMBERVALUE(RIGHT(Table7[[#This Row],[Min]],LEN(Table7[[#This Row],[Min]])-FIND("-",Table7[[#This Row],[Min]])))&gt;INDIRECT(ADDRESS(11+MATCH(LEFT(Table7[[#This Row],[Min]],FIND("-",Table7[[#This Row],[Min]])-1),Table1[Content Sku],0),16,1,1,"Entities")),"review","ok"),"ok")</f>
        <v>ok</v>
      </c>
      <c r="U1317" t="s">
        <v>391</v>
      </c>
      <c r="V1317">
        <v>0</v>
      </c>
      <c r="W1317">
        <v>0</v>
      </c>
      <c r="X1317" t="s">
        <v>8</v>
      </c>
      <c r="Y1317" s="74" t="str">
        <f ca="1">IF(Table15[[#This Row],[Type]]="KILL",IF(_xlfn.NUMBERVALUE(RIGHT(Table15[[#This Row],[Min]],LEN(Table15[[#This Row],[Min]])-FIND("-",Table15[[#This Row],[Min]])))&gt;INDIRECT(ADDRESS(11+MATCH(LEFT(Table15[[#This Row],[Min]],FIND("-",Table15[[#This Row],[Min]])-1),Table1[Content Sku],0),16,1,1,"Entities")),"review","ok"),"ok")</f>
        <v>ok</v>
      </c>
    </row>
    <row r="1318" spans="5:25" x14ac:dyDescent="0.25">
      <c r="E1318" t="s">
        <v>50</v>
      </c>
      <c r="F1318">
        <v>20000</v>
      </c>
      <c r="G1318">
        <v>0</v>
      </c>
      <c r="H1318" t="s">
        <v>205</v>
      </c>
      <c r="I1318" s="74" t="str">
        <f ca="1">IF(Table7[[#This Row],[Type]]="KILL",IF(_xlfn.NUMBERVALUE(RIGHT(Table7[[#This Row],[Min]],LEN(Table7[[#This Row],[Min]])-FIND("-",Table7[[#This Row],[Min]])))&gt;INDIRECT(ADDRESS(11+MATCH(LEFT(Table7[[#This Row],[Min]],FIND("-",Table7[[#This Row],[Min]])-1),Table1[Content Sku],0),16,1,1,"Entities")),"review","ok"),"ok")</f>
        <v>ok</v>
      </c>
      <c r="U1318" t="s">
        <v>254</v>
      </c>
      <c r="V1318">
        <v>0</v>
      </c>
      <c r="W1318">
        <v>0</v>
      </c>
      <c r="X1318" t="s">
        <v>8</v>
      </c>
      <c r="Y1318" s="74" t="str">
        <f ca="1">IF(Table15[[#This Row],[Type]]="KILL",IF(_xlfn.NUMBERVALUE(RIGHT(Table15[[#This Row],[Min]],LEN(Table15[[#This Row],[Min]])-FIND("-",Table15[[#This Row],[Min]])))&gt;INDIRECT(ADDRESS(11+MATCH(LEFT(Table15[[#This Row],[Min]],FIND("-",Table15[[#This Row],[Min]])-1),Table1[Content Sku],0),16,1,1,"Entities")),"review","ok"),"ok")</f>
        <v>ok</v>
      </c>
    </row>
    <row r="1319" spans="5:25" x14ac:dyDescent="0.25">
      <c r="E1319" t="s">
        <v>10</v>
      </c>
      <c r="F1319">
        <v>0</v>
      </c>
      <c r="G1319">
        <v>0</v>
      </c>
      <c r="H1319" t="s">
        <v>8</v>
      </c>
      <c r="I1319" s="74" t="str">
        <f ca="1">IF(Table7[[#This Row],[Type]]="KILL",IF(_xlfn.NUMBERVALUE(RIGHT(Table7[[#This Row],[Min]],LEN(Table7[[#This Row],[Min]])-FIND("-",Table7[[#This Row],[Min]])))&gt;INDIRECT(ADDRESS(11+MATCH(LEFT(Table7[[#This Row],[Min]],FIND("-",Table7[[#This Row],[Min]])-1),Table1[Content Sku],0),16,1,1,"Entities")),"review","ok"),"ok")</f>
        <v>ok</v>
      </c>
      <c r="U1319" t="s">
        <v>37</v>
      </c>
      <c r="V1319">
        <v>0</v>
      </c>
      <c r="W1319">
        <v>0</v>
      </c>
      <c r="X1319" t="s">
        <v>8</v>
      </c>
      <c r="Y1319" s="74" t="str">
        <f ca="1">IF(Table15[[#This Row],[Type]]="KILL",IF(_xlfn.NUMBERVALUE(RIGHT(Table15[[#This Row],[Min]],LEN(Table15[[#This Row],[Min]])-FIND("-",Table15[[#This Row],[Min]])))&gt;INDIRECT(ADDRESS(11+MATCH(LEFT(Table15[[#This Row],[Min]],FIND("-",Table15[[#This Row],[Min]])-1),Table1[Content Sku],0),16,1,1,"Entities")),"review","ok"),"ok")</f>
        <v>ok</v>
      </c>
    </row>
    <row r="1320" spans="5:25" x14ac:dyDescent="0.25">
      <c r="E1320" t="s">
        <v>276</v>
      </c>
      <c r="F1320">
        <v>0</v>
      </c>
      <c r="G1320">
        <v>0</v>
      </c>
      <c r="H1320" t="s">
        <v>8</v>
      </c>
      <c r="I1320" s="74" t="str">
        <f ca="1">IF(Table7[[#This Row],[Type]]="KILL",IF(_xlfn.NUMBERVALUE(RIGHT(Table7[[#This Row],[Min]],LEN(Table7[[#This Row],[Min]])-FIND("-",Table7[[#This Row],[Min]])))&gt;INDIRECT(ADDRESS(11+MATCH(LEFT(Table7[[#This Row],[Min]],FIND("-",Table7[[#This Row],[Min]])-1),Table1[Content Sku],0),16,1,1,"Entities")),"review","ok"),"ok")</f>
        <v>ok</v>
      </c>
      <c r="U1320" t="s">
        <v>392</v>
      </c>
      <c r="V1320">
        <v>0</v>
      </c>
      <c r="W1320">
        <v>31000</v>
      </c>
      <c r="X1320" t="s">
        <v>205</v>
      </c>
      <c r="Y1320" s="74" t="str">
        <f ca="1">IF(Table15[[#This Row],[Type]]="KILL",IF(_xlfn.NUMBERVALUE(RIGHT(Table15[[#This Row],[Min]],LEN(Table15[[#This Row],[Min]])-FIND("-",Table15[[#This Row],[Min]])))&gt;INDIRECT(ADDRESS(11+MATCH(LEFT(Table15[[#This Row],[Min]],FIND("-",Table15[[#This Row],[Min]])-1),Table1[Content Sku],0),16,1,1,"Entities")),"review","ok"),"ok")</f>
        <v>ok</v>
      </c>
    </row>
    <row r="1321" spans="5:25" x14ac:dyDescent="0.25">
      <c r="E1321" t="s">
        <v>10</v>
      </c>
      <c r="F1321">
        <v>0</v>
      </c>
      <c r="G1321">
        <v>0</v>
      </c>
      <c r="H1321" t="s">
        <v>8</v>
      </c>
      <c r="I1321" s="74" t="str">
        <f ca="1">IF(Table7[[#This Row],[Type]]="KILL",IF(_xlfn.NUMBERVALUE(RIGHT(Table7[[#This Row],[Min]],LEN(Table7[[#This Row],[Min]])-FIND("-",Table7[[#This Row],[Min]])))&gt;INDIRECT(ADDRESS(11+MATCH(LEFT(Table7[[#This Row],[Min]],FIND("-",Table7[[#This Row],[Min]])-1),Table1[Content Sku],0),16,1,1,"Entities")),"review","ok"),"ok")</f>
        <v>ok</v>
      </c>
      <c r="U1321" t="s">
        <v>311</v>
      </c>
      <c r="V1321">
        <v>0</v>
      </c>
      <c r="W1321">
        <v>0</v>
      </c>
      <c r="X1321" t="s">
        <v>8</v>
      </c>
      <c r="Y1321" s="74" t="str">
        <f ca="1">IF(Table15[[#This Row],[Type]]="KILL",IF(_xlfn.NUMBERVALUE(RIGHT(Table15[[#This Row],[Min]],LEN(Table15[[#This Row],[Min]])-FIND("-",Table15[[#This Row],[Min]])))&gt;INDIRECT(ADDRESS(11+MATCH(LEFT(Table15[[#This Row],[Min]],FIND("-",Table15[[#This Row],[Min]])-1),Table1[Content Sku],0),16,1,1,"Entities")),"review","ok"),"ok")</f>
        <v>ok</v>
      </c>
    </row>
    <row r="1322" spans="5:25" x14ac:dyDescent="0.25">
      <c r="E1322" t="s">
        <v>313</v>
      </c>
      <c r="F1322">
        <v>2800</v>
      </c>
      <c r="G1322">
        <v>0</v>
      </c>
      <c r="H1322" t="s">
        <v>205</v>
      </c>
      <c r="I1322" s="74" t="str">
        <f ca="1">IF(Table7[[#This Row],[Type]]="KILL",IF(_xlfn.NUMBERVALUE(RIGHT(Table7[[#This Row],[Min]],LEN(Table7[[#This Row],[Min]])-FIND("-",Table7[[#This Row],[Min]])))&gt;INDIRECT(ADDRESS(11+MATCH(LEFT(Table7[[#This Row],[Min]],FIND("-",Table7[[#This Row],[Min]])-1),Table1[Content Sku],0),16,1,1,"Entities")),"review","ok"),"ok")</f>
        <v>ok</v>
      </c>
      <c r="U1322" t="s">
        <v>254</v>
      </c>
      <c r="V1322">
        <v>0</v>
      </c>
      <c r="W1322">
        <v>0</v>
      </c>
      <c r="X1322" t="s">
        <v>8</v>
      </c>
      <c r="Y1322" s="74" t="str">
        <f ca="1">IF(Table15[[#This Row],[Type]]="KILL",IF(_xlfn.NUMBERVALUE(RIGHT(Table15[[#This Row],[Min]],LEN(Table15[[#This Row],[Min]])-FIND("-",Table15[[#This Row],[Min]])))&gt;INDIRECT(ADDRESS(11+MATCH(LEFT(Table15[[#This Row],[Min]],FIND("-",Table15[[#This Row],[Min]])-1),Table1[Content Sku],0),16,1,1,"Entities")),"review","ok"),"ok")</f>
        <v>ok</v>
      </c>
    </row>
    <row r="1323" spans="5:25" x14ac:dyDescent="0.25">
      <c r="E1323" t="s">
        <v>2766</v>
      </c>
      <c r="F1323">
        <v>0</v>
      </c>
      <c r="G1323">
        <v>0</v>
      </c>
      <c r="H1323" t="s">
        <v>8</v>
      </c>
      <c r="I1323" s="74" t="str">
        <f ca="1">IF(Table7[[#This Row],[Type]]="KILL",IF(_xlfn.NUMBERVALUE(RIGHT(Table7[[#This Row],[Min]],LEN(Table7[[#This Row],[Min]])-FIND("-",Table7[[#This Row],[Min]])))&gt;INDIRECT(ADDRESS(11+MATCH(LEFT(Table7[[#This Row],[Min]],FIND("-",Table7[[#This Row],[Min]])-1),Table1[Content Sku],0),16,1,1,"Entities")),"review","ok"),"ok")</f>
        <v>ok</v>
      </c>
      <c r="U1323" t="s">
        <v>391</v>
      </c>
      <c r="V1323">
        <v>0</v>
      </c>
      <c r="W1323">
        <v>0</v>
      </c>
      <c r="X1323" t="s">
        <v>8</v>
      </c>
      <c r="Y1323" s="74" t="str">
        <f ca="1">IF(Table15[[#This Row],[Type]]="KILL",IF(_xlfn.NUMBERVALUE(RIGHT(Table15[[#This Row],[Min]],LEN(Table15[[#This Row],[Min]])-FIND("-",Table15[[#This Row],[Min]])))&gt;INDIRECT(ADDRESS(11+MATCH(LEFT(Table15[[#This Row],[Min]],FIND("-",Table15[[#This Row],[Min]])-1),Table1[Content Sku],0),16,1,1,"Entities")),"review","ok"),"ok")</f>
        <v>ok</v>
      </c>
    </row>
    <row r="1324" spans="5:25" x14ac:dyDescent="0.25">
      <c r="E1324" t="s">
        <v>254</v>
      </c>
      <c r="F1324">
        <v>4000</v>
      </c>
      <c r="G1324">
        <v>10000</v>
      </c>
      <c r="H1324" t="s">
        <v>205</v>
      </c>
      <c r="I1324" s="74" t="str">
        <f ca="1">IF(Table7[[#This Row],[Type]]="KILL",IF(_xlfn.NUMBERVALUE(RIGHT(Table7[[#This Row],[Min]],LEN(Table7[[#This Row],[Min]])-FIND("-",Table7[[#This Row],[Min]])))&gt;INDIRECT(ADDRESS(11+MATCH(LEFT(Table7[[#This Row],[Min]],FIND("-",Table7[[#This Row],[Min]])-1),Table1[Content Sku],0),16,1,1,"Entities")),"review","ok"),"ok")</f>
        <v>ok</v>
      </c>
      <c r="U1324" t="s">
        <v>313</v>
      </c>
      <c r="V1324">
        <v>0</v>
      </c>
      <c r="W1324">
        <v>0</v>
      </c>
      <c r="X1324" t="s">
        <v>8</v>
      </c>
      <c r="Y1324" s="74" t="str">
        <f ca="1">IF(Table15[[#This Row],[Type]]="KILL",IF(_xlfn.NUMBERVALUE(RIGHT(Table15[[#This Row],[Min]],LEN(Table15[[#This Row],[Min]])-FIND("-",Table15[[#This Row],[Min]])))&gt;INDIRECT(ADDRESS(11+MATCH(LEFT(Table15[[#This Row],[Min]],FIND("-",Table15[[#This Row],[Min]])-1),Table1[Content Sku],0),16,1,1,"Entities")),"review","ok"),"ok")</f>
        <v>ok</v>
      </c>
    </row>
    <row r="1325" spans="5:25" x14ac:dyDescent="0.25">
      <c r="E1325" t="s">
        <v>254</v>
      </c>
      <c r="F1325">
        <v>0</v>
      </c>
      <c r="G1325">
        <v>0</v>
      </c>
      <c r="H1325" t="s">
        <v>8</v>
      </c>
      <c r="I1325" s="74" t="str">
        <f ca="1">IF(Table7[[#This Row],[Type]]="KILL",IF(_xlfn.NUMBERVALUE(RIGHT(Table7[[#This Row],[Min]],LEN(Table7[[#This Row],[Min]])-FIND("-",Table7[[#This Row],[Min]])))&gt;INDIRECT(ADDRESS(11+MATCH(LEFT(Table7[[#This Row],[Min]],FIND("-",Table7[[#This Row],[Min]])-1),Table1[Content Sku],0),16,1,1,"Entities")),"review","ok"),"ok")</f>
        <v>ok</v>
      </c>
      <c r="U1325" t="s">
        <v>313</v>
      </c>
      <c r="V1325">
        <v>0</v>
      </c>
      <c r="W1325">
        <v>0</v>
      </c>
      <c r="X1325" t="s">
        <v>8</v>
      </c>
      <c r="Y1325" s="74" t="str">
        <f ca="1">IF(Table15[[#This Row],[Type]]="KILL",IF(_xlfn.NUMBERVALUE(RIGHT(Table15[[#This Row],[Min]],LEN(Table15[[#This Row],[Min]])-FIND("-",Table15[[#This Row],[Min]])))&gt;INDIRECT(ADDRESS(11+MATCH(LEFT(Table15[[#This Row],[Min]],FIND("-",Table15[[#This Row],[Min]])-1),Table1[Content Sku],0),16,1,1,"Entities")),"review","ok"),"ok")</f>
        <v>ok</v>
      </c>
    </row>
    <row r="1326" spans="5:25" x14ac:dyDescent="0.25">
      <c r="E1326" t="s">
        <v>396</v>
      </c>
      <c r="F1326">
        <v>15000</v>
      </c>
      <c r="G1326">
        <v>0</v>
      </c>
      <c r="H1326" t="s">
        <v>205</v>
      </c>
      <c r="I1326" s="74" t="str">
        <f ca="1">IF(Table7[[#This Row],[Type]]="KILL",IF(_xlfn.NUMBERVALUE(RIGHT(Table7[[#This Row],[Min]],LEN(Table7[[#This Row],[Min]])-FIND("-",Table7[[#This Row],[Min]])))&gt;INDIRECT(ADDRESS(11+MATCH(LEFT(Table7[[#This Row],[Min]],FIND("-",Table7[[#This Row],[Min]])-1),Table1[Content Sku],0),16,1,1,"Entities")),"review","ok"),"ok")</f>
        <v>ok</v>
      </c>
      <c r="U1326" t="s">
        <v>1</v>
      </c>
      <c r="V1326">
        <v>0</v>
      </c>
      <c r="W1326">
        <v>0</v>
      </c>
      <c r="X1326" t="s">
        <v>8</v>
      </c>
      <c r="Y1326" s="74" t="str">
        <f ca="1">IF(Table15[[#This Row],[Type]]="KILL",IF(_xlfn.NUMBERVALUE(RIGHT(Table15[[#This Row],[Min]],LEN(Table15[[#This Row],[Min]])-FIND("-",Table15[[#This Row],[Min]])))&gt;INDIRECT(ADDRESS(11+MATCH(LEFT(Table15[[#This Row],[Min]],FIND("-",Table15[[#This Row],[Min]])-1),Table1[Content Sku],0),16,1,1,"Entities")),"review","ok"),"ok")</f>
        <v>ok</v>
      </c>
    </row>
    <row r="1327" spans="5:25" x14ac:dyDescent="0.25">
      <c r="E1327" t="s">
        <v>278</v>
      </c>
      <c r="F1327">
        <v>80</v>
      </c>
      <c r="G1327">
        <v>0</v>
      </c>
      <c r="H1327" t="s">
        <v>4431</v>
      </c>
      <c r="I1327" s="74" t="str">
        <f ca="1">IF(Table7[[#This Row],[Type]]="KILL",IF(_xlfn.NUMBERVALUE(RIGHT(Table7[[#This Row],[Min]],LEN(Table7[[#This Row],[Min]])-FIND("-",Table7[[#This Row],[Min]])))&gt;INDIRECT(ADDRESS(11+MATCH(LEFT(Table7[[#This Row],[Min]],FIND("-",Table7[[#This Row],[Min]])-1),Table1[Content Sku],0),16,1,1,"Entities")),"review","ok"),"ok")</f>
        <v>ok</v>
      </c>
      <c r="U1327" t="s">
        <v>2720</v>
      </c>
      <c r="V1327">
        <v>0</v>
      </c>
      <c r="W1327">
        <v>0</v>
      </c>
      <c r="X1327" t="s">
        <v>8</v>
      </c>
      <c r="Y1327" s="74" t="str">
        <f ca="1">IF(Table15[[#This Row],[Type]]="KILL",IF(_xlfn.NUMBERVALUE(RIGHT(Table15[[#This Row],[Min]],LEN(Table15[[#This Row],[Min]])-FIND("-",Table15[[#This Row],[Min]])))&gt;INDIRECT(ADDRESS(11+MATCH(LEFT(Table15[[#This Row],[Min]],FIND("-",Table15[[#This Row],[Min]])-1),Table1[Content Sku],0),16,1,1,"Entities")),"review","ok"),"ok")</f>
        <v>ok</v>
      </c>
    </row>
    <row r="1328" spans="5:25" x14ac:dyDescent="0.25">
      <c r="E1328" t="s">
        <v>2723</v>
      </c>
      <c r="F1328">
        <v>0</v>
      </c>
      <c r="G1328">
        <v>0</v>
      </c>
      <c r="H1328" t="s">
        <v>8</v>
      </c>
      <c r="I1328" s="74" t="str">
        <f ca="1">IF(Table7[[#This Row],[Type]]="KILL",IF(_xlfn.NUMBERVALUE(RIGHT(Table7[[#This Row],[Min]],LEN(Table7[[#This Row],[Min]])-FIND("-",Table7[[#This Row],[Min]])))&gt;INDIRECT(ADDRESS(11+MATCH(LEFT(Table7[[#This Row],[Min]],FIND("-",Table7[[#This Row],[Min]])-1),Table1[Content Sku],0),16,1,1,"Entities")),"review","ok"),"ok")</f>
        <v>ok</v>
      </c>
      <c r="U1328" t="s">
        <v>396</v>
      </c>
      <c r="V1328">
        <v>40000</v>
      </c>
      <c r="W1328">
        <v>0</v>
      </c>
      <c r="X1328" t="s">
        <v>205</v>
      </c>
      <c r="Y1328" s="74" t="str">
        <f ca="1">IF(Table15[[#This Row],[Type]]="KILL",IF(_xlfn.NUMBERVALUE(RIGHT(Table15[[#This Row],[Min]],LEN(Table15[[#This Row],[Min]])-FIND("-",Table15[[#This Row],[Min]])))&gt;INDIRECT(ADDRESS(11+MATCH(LEFT(Table15[[#This Row],[Min]],FIND("-",Table15[[#This Row],[Min]])-1),Table1[Content Sku],0),16,1,1,"Entities")),"review","ok"),"ok")</f>
        <v>ok</v>
      </c>
    </row>
    <row r="1329" spans="5:25" x14ac:dyDescent="0.25">
      <c r="E1329" t="s">
        <v>295</v>
      </c>
      <c r="F1329">
        <v>2400</v>
      </c>
      <c r="G1329">
        <v>0</v>
      </c>
      <c r="H1329" t="s">
        <v>205</v>
      </c>
      <c r="I1329" s="74" t="str">
        <f ca="1">IF(Table7[[#This Row],[Type]]="KILL",IF(_xlfn.NUMBERVALUE(RIGHT(Table7[[#This Row],[Min]],LEN(Table7[[#This Row],[Min]])-FIND("-",Table7[[#This Row],[Min]])))&gt;INDIRECT(ADDRESS(11+MATCH(LEFT(Table7[[#This Row],[Min]],FIND("-",Table7[[#This Row],[Min]])-1),Table1[Content Sku],0),16,1,1,"Entities")),"review","ok"),"ok")</f>
        <v>ok</v>
      </c>
      <c r="U1329" t="s">
        <v>123</v>
      </c>
      <c r="V1329">
        <v>0</v>
      </c>
      <c r="W1329">
        <v>0</v>
      </c>
      <c r="X1329" t="s">
        <v>8</v>
      </c>
      <c r="Y1329" s="74" t="str">
        <f ca="1">IF(Table15[[#This Row],[Type]]="KILL",IF(_xlfn.NUMBERVALUE(RIGHT(Table15[[#This Row],[Min]],LEN(Table15[[#This Row],[Min]])-FIND("-",Table15[[#This Row],[Min]])))&gt;INDIRECT(ADDRESS(11+MATCH(LEFT(Table15[[#This Row],[Min]],FIND("-",Table15[[#This Row],[Min]])-1),Table1[Content Sku],0),16,1,1,"Entities")),"review","ok"),"ok")</f>
        <v>ok</v>
      </c>
    </row>
    <row r="1330" spans="5:25" x14ac:dyDescent="0.25">
      <c r="E1330" t="s">
        <v>122</v>
      </c>
      <c r="F1330">
        <v>0</v>
      </c>
      <c r="G1330">
        <v>0</v>
      </c>
      <c r="H1330" t="s">
        <v>8</v>
      </c>
      <c r="I1330" s="74" t="str">
        <f ca="1">IF(Table7[[#This Row],[Type]]="KILL",IF(_xlfn.NUMBERVALUE(RIGHT(Table7[[#This Row],[Min]],LEN(Table7[[#This Row],[Min]])-FIND("-",Table7[[#This Row],[Min]])))&gt;INDIRECT(ADDRESS(11+MATCH(LEFT(Table7[[#This Row],[Min]],FIND("-",Table7[[#This Row],[Min]])-1),Table1[Content Sku],0),16,1,1,"Entities")),"review","ok"),"ok")</f>
        <v>ok</v>
      </c>
      <c r="U1330" t="s">
        <v>123</v>
      </c>
      <c r="V1330">
        <v>0</v>
      </c>
      <c r="W1330">
        <v>0</v>
      </c>
      <c r="X1330" t="s">
        <v>8</v>
      </c>
      <c r="Y1330" s="74" t="str">
        <f ca="1">IF(Table15[[#This Row],[Type]]="KILL",IF(_xlfn.NUMBERVALUE(RIGHT(Table15[[#This Row],[Min]],LEN(Table15[[#This Row],[Min]])-FIND("-",Table15[[#This Row],[Min]])))&gt;INDIRECT(ADDRESS(11+MATCH(LEFT(Table15[[#This Row],[Min]],FIND("-",Table15[[#This Row],[Min]])-1),Table1[Content Sku],0),16,1,1,"Entities")),"review","ok"),"ok")</f>
        <v>ok</v>
      </c>
    </row>
    <row r="1331" spans="5:25" x14ac:dyDescent="0.25">
      <c r="E1331" t="s">
        <v>280</v>
      </c>
      <c r="F1331">
        <v>0</v>
      </c>
      <c r="G1331">
        <v>0</v>
      </c>
      <c r="H1331" t="s">
        <v>8</v>
      </c>
      <c r="I1331" s="74" t="str">
        <f ca="1">IF(Table7[[#This Row],[Type]]="KILL",IF(_xlfn.NUMBERVALUE(RIGHT(Table7[[#This Row],[Min]],LEN(Table7[[#This Row],[Min]])-FIND("-",Table7[[#This Row],[Min]])))&gt;INDIRECT(ADDRESS(11+MATCH(LEFT(Table7[[#This Row],[Min]],FIND("-",Table7[[#This Row],[Min]])-1),Table1[Content Sku],0),16,1,1,"Entities")),"review","ok"),"ok")</f>
        <v>ok</v>
      </c>
      <c r="U1331" t="s">
        <v>37</v>
      </c>
      <c r="V1331">
        <v>0</v>
      </c>
      <c r="W1331">
        <v>0</v>
      </c>
      <c r="X1331" t="s">
        <v>8</v>
      </c>
      <c r="Y1331" s="74" t="str">
        <f ca="1">IF(Table15[[#This Row],[Type]]="KILL",IF(_xlfn.NUMBERVALUE(RIGHT(Table15[[#This Row],[Min]],LEN(Table15[[#This Row],[Min]])-FIND("-",Table15[[#This Row],[Min]])))&gt;INDIRECT(ADDRESS(11+MATCH(LEFT(Table15[[#This Row],[Min]],FIND("-",Table15[[#This Row],[Min]])-1),Table1[Content Sku],0),16,1,1,"Entities")),"review","ok"),"ok")</f>
        <v>ok</v>
      </c>
    </row>
    <row r="1332" spans="5:25" x14ac:dyDescent="0.25">
      <c r="E1332" t="s">
        <v>37</v>
      </c>
      <c r="F1332">
        <v>0</v>
      </c>
      <c r="G1332">
        <v>0</v>
      </c>
      <c r="H1332" t="s">
        <v>8</v>
      </c>
      <c r="I1332" s="74" t="str">
        <f ca="1">IF(Table7[[#This Row],[Type]]="KILL",IF(_xlfn.NUMBERVALUE(RIGHT(Table7[[#This Row],[Min]],LEN(Table7[[#This Row],[Min]])-FIND("-",Table7[[#This Row],[Min]])))&gt;INDIRECT(ADDRESS(11+MATCH(LEFT(Table7[[#This Row],[Min]],FIND("-",Table7[[#This Row],[Min]])-1),Table1[Content Sku],0),16,1,1,"Entities")),"review","ok"),"ok")</f>
        <v>ok</v>
      </c>
      <c r="U1332" t="s">
        <v>459</v>
      </c>
      <c r="V1332">
        <v>0</v>
      </c>
      <c r="W1332">
        <v>0</v>
      </c>
      <c r="X1332" t="s">
        <v>8</v>
      </c>
      <c r="Y1332" s="74" t="str">
        <f ca="1">IF(Table15[[#This Row],[Type]]="KILL",IF(_xlfn.NUMBERVALUE(RIGHT(Table15[[#This Row],[Min]],LEN(Table15[[#This Row],[Min]])-FIND("-",Table15[[#This Row],[Min]])))&gt;INDIRECT(ADDRESS(11+MATCH(LEFT(Table15[[#This Row],[Min]],FIND("-",Table15[[#This Row],[Min]])-1),Table1[Content Sku],0),16,1,1,"Entities")),"review","ok"),"ok")</f>
        <v>ok</v>
      </c>
    </row>
    <row r="1333" spans="5:25" x14ac:dyDescent="0.25">
      <c r="E1333" t="s">
        <v>258</v>
      </c>
      <c r="F1333">
        <v>50000</v>
      </c>
      <c r="G1333">
        <v>0</v>
      </c>
      <c r="H1333" t="s">
        <v>205</v>
      </c>
      <c r="I1333" s="74" t="str">
        <f ca="1">IF(Table7[[#This Row],[Type]]="KILL",IF(_xlfn.NUMBERVALUE(RIGHT(Table7[[#This Row],[Min]],LEN(Table7[[#This Row],[Min]])-FIND("-",Table7[[#This Row],[Min]])))&gt;INDIRECT(ADDRESS(11+MATCH(LEFT(Table7[[#This Row],[Min]],FIND("-",Table7[[#This Row],[Min]])-1),Table1[Content Sku],0),16,1,1,"Entities")),"review","ok"),"ok")</f>
        <v>ok</v>
      </c>
      <c r="U1333" t="s">
        <v>315</v>
      </c>
      <c r="V1333">
        <v>0</v>
      </c>
      <c r="W1333">
        <v>37000</v>
      </c>
      <c r="X1333" t="s">
        <v>205</v>
      </c>
      <c r="Y1333" s="74" t="str">
        <f ca="1">IF(Table15[[#This Row],[Type]]="KILL",IF(_xlfn.NUMBERVALUE(RIGHT(Table15[[#This Row],[Min]],LEN(Table15[[#This Row],[Min]])-FIND("-",Table15[[#This Row],[Min]])))&gt;INDIRECT(ADDRESS(11+MATCH(LEFT(Table15[[#This Row],[Min]],FIND("-",Table15[[#This Row],[Min]])-1),Table1[Content Sku],0),16,1,1,"Entities")),"review","ok"),"ok")</f>
        <v>ok</v>
      </c>
    </row>
    <row r="1334" spans="5:25" x14ac:dyDescent="0.25">
      <c r="E1334" t="s">
        <v>313</v>
      </c>
      <c r="F1334">
        <v>4200</v>
      </c>
      <c r="G1334">
        <v>0</v>
      </c>
      <c r="H1334" t="s">
        <v>205</v>
      </c>
      <c r="I1334" s="74" t="str">
        <f ca="1">IF(Table7[[#This Row],[Type]]="KILL",IF(_xlfn.NUMBERVALUE(RIGHT(Table7[[#This Row],[Min]],LEN(Table7[[#This Row],[Min]])-FIND("-",Table7[[#This Row],[Min]])))&gt;INDIRECT(ADDRESS(11+MATCH(LEFT(Table7[[#This Row],[Min]],FIND("-",Table7[[#This Row],[Min]])-1),Table1[Content Sku],0),16,1,1,"Entities")),"review","ok"),"ok")</f>
        <v>ok</v>
      </c>
      <c r="U1334" t="s">
        <v>309</v>
      </c>
      <c r="V1334">
        <v>29000</v>
      </c>
      <c r="W1334">
        <v>0</v>
      </c>
      <c r="X1334" t="s">
        <v>205</v>
      </c>
      <c r="Y1334" s="74" t="str">
        <f ca="1">IF(Table15[[#This Row],[Type]]="KILL",IF(_xlfn.NUMBERVALUE(RIGHT(Table15[[#This Row],[Min]],LEN(Table15[[#This Row],[Min]])-FIND("-",Table15[[#This Row],[Min]])))&gt;INDIRECT(ADDRESS(11+MATCH(LEFT(Table15[[#This Row],[Min]],FIND("-",Table15[[#This Row],[Min]])-1),Table1[Content Sku],0),16,1,1,"Entities")),"review","ok"),"ok")</f>
        <v>ok</v>
      </c>
    </row>
    <row r="1335" spans="5:25" x14ac:dyDescent="0.25">
      <c r="E1335" t="s">
        <v>278</v>
      </c>
      <c r="F1335">
        <v>0</v>
      </c>
      <c r="G1335">
        <v>0</v>
      </c>
      <c r="H1335" t="s">
        <v>8</v>
      </c>
      <c r="I1335" s="74" t="str">
        <f ca="1">IF(Table7[[#This Row],[Type]]="KILL",IF(_xlfn.NUMBERVALUE(RIGHT(Table7[[#This Row],[Min]],LEN(Table7[[#This Row],[Min]])-FIND("-",Table7[[#This Row],[Min]])))&gt;INDIRECT(ADDRESS(11+MATCH(LEFT(Table7[[#This Row],[Min]],FIND("-",Table7[[#This Row],[Min]])-1),Table1[Content Sku],0),16,1,1,"Entities")),"review","ok"),"ok")</f>
        <v>ok</v>
      </c>
      <c r="U1335" t="s">
        <v>37</v>
      </c>
      <c r="V1335">
        <v>0</v>
      </c>
      <c r="W1335">
        <v>0</v>
      </c>
      <c r="X1335" t="s">
        <v>8</v>
      </c>
      <c r="Y1335" s="74" t="str">
        <f ca="1">IF(Table15[[#This Row],[Type]]="KILL",IF(_xlfn.NUMBERVALUE(RIGHT(Table15[[#This Row],[Min]],LEN(Table15[[#This Row],[Min]])-FIND("-",Table15[[#This Row],[Min]])))&gt;INDIRECT(ADDRESS(11+MATCH(LEFT(Table15[[#This Row],[Min]],FIND("-",Table15[[#This Row],[Min]])-1),Table1[Content Sku],0),16,1,1,"Entities")),"review","ok"),"ok")</f>
        <v>ok</v>
      </c>
    </row>
    <row r="1336" spans="5:25" x14ac:dyDescent="0.25">
      <c r="E1336" t="s">
        <v>2741</v>
      </c>
      <c r="F1336">
        <v>0</v>
      </c>
      <c r="G1336">
        <v>0</v>
      </c>
      <c r="H1336" t="s">
        <v>8</v>
      </c>
      <c r="I1336" s="74" t="str">
        <f ca="1">IF(Table7[[#This Row],[Type]]="KILL",IF(_xlfn.NUMBERVALUE(RIGHT(Table7[[#This Row],[Min]],LEN(Table7[[#This Row],[Min]])-FIND("-",Table7[[#This Row],[Min]])))&gt;INDIRECT(ADDRESS(11+MATCH(LEFT(Table7[[#This Row],[Min]],FIND("-",Table7[[#This Row],[Min]])-1),Table1[Content Sku],0),16,1,1,"Entities")),"review","ok"),"ok")</f>
        <v>ok</v>
      </c>
      <c r="U1336" t="s">
        <v>123</v>
      </c>
      <c r="V1336">
        <v>0</v>
      </c>
      <c r="W1336">
        <v>0</v>
      </c>
      <c r="X1336" t="s">
        <v>8</v>
      </c>
      <c r="Y1336" s="74" t="str">
        <f ca="1">IF(Table15[[#This Row],[Type]]="KILL",IF(_xlfn.NUMBERVALUE(RIGHT(Table15[[#This Row],[Min]],LEN(Table15[[#This Row],[Min]])-FIND("-",Table15[[#This Row],[Min]])))&gt;INDIRECT(ADDRESS(11+MATCH(LEFT(Table15[[#This Row],[Min]],FIND("-",Table15[[#This Row],[Min]])-1),Table1[Content Sku],0),16,1,1,"Entities")),"review","ok"),"ok")</f>
        <v>ok</v>
      </c>
    </row>
    <row r="1337" spans="5:25" x14ac:dyDescent="0.25">
      <c r="E1337" t="s">
        <v>46</v>
      </c>
      <c r="F1337">
        <v>0</v>
      </c>
      <c r="G1337">
        <v>0</v>
      </c>
      <c r="H1337" t="s">
        <v>8</v>
      </c>
      <c r="I1337" s="74" t="str">
        <f ca="1">IF(Table7[[#This Row],[Type]]="KILL",IF(_xlfn.NUMBERVALUE(RIGHT(Table7[[#This Row],[Min]],LEN(Table7[[#This Row],[Min]])-FIND("-",Table7[[#This Row],[Min]])))&gt;INDIRECT(ADDRESS(11+MATCH(LEFT(Table7[[#This Row],[Min]],FIND("-",Table7[[#This Row],[Min]])-1),Table1[Content Sku],0),16,1,1,"Entities")),"review","ok"),"ok")</f>
        <v>ok</v>
      </c>
      <c r="U1337" t="s">
        <v>313</v>
      </c>
      <c r="V1337">
        <v>0</v>
      </c>
      <c r="W1337">
        <v>0</v>
      </c>
      <c r="X1337" t="s">
        <v>8</v>
      </c>
      <c r="Y1337" s="74" t="str">
        <f ca="1">IF(Table15[[#This Row],[Type]]="KILL",IF(_xlfn.NUMBERVALUE(RIGHT(Table15[[#This Row],[Min]],LEN(Table15[[#This Row],[Min]])-FIND("-",Table15[[#This Row],[Min]])))&gt;INDIRECT(ADDRESS(11+MATCH(LEFT(Table15[[#This Row],[Min]],FIND("-",Table15[[#This Row],[Min]])-1),Table1[Content Sku],0),16,1,1,"Entities")),"review","ok"),"ok")</f>
        <v>ok</v>
      </c>
    </row>
    <row r="1338" spans="5:25" x14ac:dyDescent="0.25">
      <c r="E1338" t="s">
        <v>2741</v>
      </c>
      <c r="F1338">
        <v>0</v>
      </c>
      <c r="G1338">
        <v>0</v>
      </c>
      <c r="H1338" t="s">
        <v>8</v>
      </c>
      <c r="I1338" s="74" t="str">
        <f ca="1">IF(Table7[[#This Row],[Type]]="KILL",IF(_xlfn.NUMBERVALUE(RIGHT(Table7[[#This Row],[Min]],LEN(Table7[[#This Row],[Min]])-FIND("-",Table7[[#This Row],[Min]])))&gt;INDIRECT(ADDRESS(11+MATCH(LEFT(Table7[[#This Row],[Min]],FIND("-",Table7[[#This Row],[Min]])-1),Table1[Content Sku],0),16,1,1,"Entities")),"review","ok"),"ok")</f>
        <v>ok</v>
      </c>
      <c r="U1338" t="s">
        <v>457</v>
      </c>
      <c r="V1338">
        <v>0</v>
      </c>
      <c r="W1338">
        <v>28000</v>
      </c>
      <c r="X1338" t="s">
        <v>205</v>
      </c>
      <c r="Y1338" s="74" t="str">
        <f ca="1">IF(Table15[[#This Row],[Type]]="KILL",IF(_xlfn.NUMBERVALUE(RIGHT(Table15[[#This Row],[Min]],LEN(Table15[[#This Row],[Min]])-FIND("-",Table15[[#This Row],[Min]])))&gt;INDIRECT(ADDRESS(11+MATCH(LEFT(Table15[[#This Row],[Min]],FIND("-",Table15[[#This Row],[Min]])-1),Table1[Content Sku],0),16,1,1,"Entities")),"review","ok"),"ok")</f>
        <v>ok</v>
      </c>
    </row>
    <row r="1339" spans="5:25" x14ac:dyDescent="0.25">
      <c r="E1339" t="s">
        <v>91</v>
      </c>
      <c r="F1339">
        <v>0</v>
      </c>
      <c r="G1339">
        <v>0</v>
      </c>
      <c r="H1339" t="s">
        <v>8</v>
      </c>
      <c r="I1339" s="74" t="str">
        <f ca="1">IF(Table7[[#This Row],[Type]]="KILL",IF(_xlfn.NUMBERVALUE(RIGHT(Table7[[#This Row],[Min]],LEN(Table7[[#This Row],[Min]])-FIND("-",Table7[[#This Row],[Min]])))&gt;INDIRECT(ADDRESS(11+MATCH(LEFT(Table7[[#This Row],[Min]],FIND("-",Table7[[#This Row],[Min]])-1),Table1[Content Sku],0),16,1,1,"Entities")),"review","ok"),"ok")</f>
        <v>ok</v>
      </c>
      <c r="U1339" t="s">
        <v>457</v>
      </c>
      <c r="V1339">
        <v>0</v>
      </c>
      <c r="W1339">
        <v>0</v>
      </c>
      <c r="X1339" t="s">
        <v>8</v>
      </c>
      <c r="Y1339" s="74" t="str">
        <f ca="1">IF(Table15[[#This Row],[Type]]="KILL",IF(_xlfn.NUMBERVALUE(RIGHT(Table15[[#This Row],[Min]],LEN(Table15[[#This Row],[Min]])-FIND("-",Table15[[#This Row],[Min]])))&gt;INDIRECT(ADDRESS(11+MATCH(LEFT(Table15[[#This Row],[Min]],FIND("-",Table15[[#This Row],[Min]])-1),Table1[Content Sku],0),16,1,1,"Entities")),"review","ok"),"ok")</f>
        <v>ok</v>
      </c>
    </row>
    <row r="1340" spans="5:25" x14ac:dyDescent="0.25">
      <c r="E1340" t="s">
        <v>14</v>
      </c>
      <c r="F1340">
        <v>0</v>
      </c>
      <c r="G1340">
        <v>0</v>
      </c>
      <c r="H1340" t="s">
        <v>8</v>
      </c>
      <c r="I1340" s="74" t="str">
        <f ca="1">IF(Table7[[#This Row],[Type]]="KILL",IF(_xlfn.NUMBERVALUE(RIGHT(Table7[[#This Row],[Min]],LEN(Table7[[#This Row],[Min]])-FIND("-",Table7[[#This Row],[Min]])))&gt;INDIRECT(ADDRESS(11+MATCH(LEFT(Table7[[#This Row],[Min]],FIND("-",Table7[[#This Row],[Min]])-1),Table1[Content Sku],0),16,1,1,"Entities")),"review","ok"),"ok")</f>
        <v>ok</v>
      </c>
      <c r="U1340" t="s">
        <v>123</v>
      </c>
      <c r="V1340">
        <v>0</v>
      </c>
      <c r="W1340">
        <v>0</v>
      </c>
      <c r="X1340" t="s">
        <v>8</v>
      </c>
      <c r="Y1340" s="74" t="str">
        <f ca="1">IF(Table15[[#This Row],[Type]]="KILL",IF(_xlfn.NUMBERVALUE(RIGHT(Table15[[#This Row],[Min]],LEN(Table15[[#This Row],[Min]])-FIND("-",Table15[[#This Row],[Min]])))&gt;INDIRECT(ADDRESS(11+MATCH(LEFT(Table15[[#This Row],[Min]],FIND("-",Table15[[#This Row],[Min]])-1),Table1[Content Sku],0),16,1,1,"Entities")),"review","ok"),"ok")</f>
        <v>ok</v>
      </c>
    </row>
    <row r="1341" spans="5:25" x14ac:dyDescent="0.25">
      <c r="E1341" t="s">
        <v>122</v>
      </c>
      <c r="F1341">
        <v>0</v>
      </c>
      <c r="G1341">
        <v>0</v>
      </c>
      <c r="H1341" t="s">
        <v>8</v>
      </c>
      <c r="I1341" s="74" t="str">
        <f ca="1">IF(Table7[[#This Row],[Type]]="KILL",IF(_xlfn.NUMBERVALUE(RIGHT(Table7[[#This Row],[Min]],LEN(Table7[[#This Row],[Min]])-FIND("-",Table7[[#This Row],[Min]])))&gt;INDIRECT(ADDRESS(11+MATCH(LEFT(Table7[[#This Row],[Min]],FIND("-",Table7[[#This Row],[Min]])-1),Table1[Content Sku],0),16,1,1,"Entities")),"review","ok"),"ok")</f>
        <v>ok</v>
      </c>
      <c r="U1341" t="s">
        <v>4430</v>
      </c>
      <c r="V1341">
        <v>40000</v>
      </c>
      <c r="W1341">
        <v>0</v>
      </c>
      <c r="X1341" t="s">
        <v>205</v>
      </c>
      <c r="Y1341" s="74" t="str">
        <f ca="1">IF(Table15[[#This Row],[Type]]="KILL",IF(_xlfn.NUMBERVALUE(RIGHT(Table15[[#This Row],[Min]],LEN(Table15[[#This Row],[Min]])-FIND("-",Table15[[#This Row],[Min]])))&gt;INDIRECT(ADDRESS(11+MATCH(LEFT(Table15[[#This Row],[Min]],FIND("-",Table15[[#This Row],[Min]])-1),Table1[Content Sku],0),16,1,1,"Entities")),"review","ok"),"ok")</f>
        <v>ok</v>
      </c>
    </row>
    <row r="1342" spans="5:25" x14ac:dyDescent="0.25">
      <c r="E1342" t="s">
        <v>95</v>
      </c>
      <c r="F1342">
        <v>0</v>
      </c>
      <c r="G1342">
        <v>0</v>
      </c>
      <c r="H1342" t="s">
        <v>8</v>
      </c>
      <c r="I1342" s="74" t="str">
        <f ca="1">IF(Table7[[#This Row],[Type]]="KILL",IF(_xlfn.NUMBERVALUE(RIGHT(Table7[[#This Row],[Min]],LEN(Table7[[#This Row],[Min]])-FIND("-",Table7[[#This Row],[Min]])))&gt;INDIRECT(ADDRESS(11+MATCH(LEFT(Table7[[#This Row],[Min]],FIND("-",Table7[[#This Row],[Min]])-1),Table1[Content Sku],0),16,1,1,"Entities")),"review","ok"),"ok")</f>
        <v>ok</v>
      </c>
      <c r="U1342" t="s">
        <v>122</v>
      </c>
      <c r="V1342">
        <v>0</v>
      </c>
      <c r="W1342">
        <v>0</v>
      </c>
      <c r="X1342" t="s">
        <v>8</v>
      </c>
      <c r="Y1342" s="74" t="str">
        <f ca="1">IF(Table15[[#This Row],[Type]]="KILL",IF(_xlfn.NUMBERVALUE(RIGHT(Table15[[#This Row],[Min]],LEN(Table15[[#This Row],[Min]])-FIND("-",Table15[[#This Row],[Min]])))&gt;INDIRECT(ADDRESS(11+MATCH(LEFT(Table15[[#This Row],[Min]],FIND("-",Table15[[#This Row],[Min]])-1),Table1[Content Sku],0),16,1,1,"Entities")),"review","ok"),"ok")</f>
        <v>ok</v>
      </c>
    </row>
    <row r="1343" spans="5:25" x14ac:dyDescent="0.25">
      <c r="E1343" t="s">
        <v>10</v>
      </c>
      <c r="F1343">
        <v>16000</v>
      </c>
      <c r="G1343">
        <v>0</v>
      </c>
      <c r="H1343" t="s">
        <v>205</v>
      </c>
      <c r="I1343" s="74" t="str">
        <f ca="1">IF(Table7[[#This Row],[Type]]="KILL",IF(_xlfn.NUMBERVALUE(RIGHT(Table7[[#This Row],[Min]],LEN(Table7[[#This Row],[Min]])-FIND("-",Table7[[#This Row],[Min]])))&gt;INDIRECT(ADDRESS(11+MATCH(LEFT(Table7[[#This Row],[Min]],FIND("-",Table7[[#This Row],[Min]])-1),Table1[Content Sku],0),16,1,1,"Entities")),"review","ok"),"ok")</f>
        <v>ok</v>
      </c>
      <c r="U1343" t="s">
        <v>37</v>
      </c>
      <c r="V1343">
        <v>0</v>
      </c>
      <c r="W1343">
        <v>0</v>
      </c>
      <c r="X1343" t="s">
        <v>8</v>
      </c>
      <c r="Y1343" s="74" t="str">
        <f ca="1">IF(Table15[[#This Row],[Type]]="KILL",IF(_xlfn.NUMBERVALUE(RIGHT(Table15[[#This Row],[Min]],LEN(Table15[[#This Row],[Min]])-FIND("-",Table15[[#This Row],[Min]])))&gt;INDIRECT(ADDRESS(11+MATCH(LEFT(Table15[[#This Row],[Min]],FIND("-",Table15[[#This Row],[Min]])-1),Table1[Content Sku],0),16,1,1,"Entities")),"review","ok"),"ok")</f>
        <v>ok</v>
      </c>
    </row>
    <row r="1344" spans="5:25" x14ac:dyDescent="0.25">
      <c r="E1344" t="s">
        <v>313</v>
      </c>
      <c r="F1344">
        <v>0</v>
      </c>
      <c r="G1344">
        <v>0</v>
      </c>
      <c r="H1344" t="s">
        <v>8</v>
      </c>
      <c r="I1344" s="74" t="str">
        <f ca="1">IF(Table7[[#This Row],[Type]]="KILL",IF(_xlfn.NUMBERVALUE(RIGHT(Table7[[#This Row],[Min]],LEN(Table7[[#This Row],[Min]])-FIND("-",Table7[[#This Row],[Min]])))&gt;INDIRECT(ADDRESS(11+MATCH(LEFT(Table7[[#This Row],[Min]],FIND("-",Table7[[#This Row],[Min]])-1),Table1[Content Sku],0),16,1,1,"Entities")),"review","ok"),"ok")</f>
        <v>ok</v>
      </c>
      <c r="U1344" t="s">
        <v>457</v>
      </c>
      <c r="V1344">
        <v>0</v>
      </c>
      <c r="W1344">
        <v>35000</v>
      </c>
      <c r="X1344" t="s">
        <v>205</v>
      </c>
      <c r="Y1344" s="74" t="str">
        <f ca="1">IF(Table15[[#This Row],[Type]]="KILL",IF(_xlfn.NUMBERVALUE(RIGHT(Table15[[#This Row],[Min]],LEN(Table15[[#This Row],[Min]])-FIND("-",Table15[[#This Row],[Min]])))&gt;INDIRECT(ADDRESS(11+MATCH(LEFT(Table15[[#This Row],[Min]],FIND("-",Table15[[#This Row],[Min]])-1),Table1[Content Sku],0),16,1,1,"Entities")),"review","ok"),"ok")</f>
        <v>ok</v>
      </c>
    </row>
    <row r="1345" spans="5:25" x14ac:dyDescent="0.25">
      <c r="E1345" t="s">
        <v>47</v>
      </c>
      <c r="F1345">
        <v>8000</v>
      </c>
      <c r="G1345">
        <v>14000</v>
      </c>
      <c r="H1345" t="s">
        <v>205</v>
      </c>
      <c r="I1345" s="74" t="str">
        <f ca="1">IF(Table7[[#This Row],[Type]]="KILL",IF(_xlfn.NUMBERVALUE(RIGHT(Table7[[#This Row],[Min]],LEN(Table7[[#This Row],[Min]])-FIND("-",Table7[[#This Row],[Min]])))&gt;INDIRECT(ADDRESS(11+MATCH(LEFT(Table7[[#This Row],[Min]],FIND("-",Table7[[#This Row],[Min]])-1),Table1[Content Sku],0),16,1,1,"Entities")),"review","ok"),"ok")</f>
        <v>ok</v>
      </c>
      <c r="U1345" t="s">
        <v>457</v>
      </c>
      <c r="V1345">
        <v>0</v>
      </c>
      <c r="W1345">
        <v>0</v>
      </c>
      <c r="X1345" t="s">
        <v>8</v>
      </c>
      <c r="Y1345" s="74" t="str">
        <f ca="1">IF(Table15[[#This Row],[Type]]="KILL",IF(_xlfn.NUMBERVALUE(RIGHT(Table15[[#This Row],[Min]],LEN(Table15[[#This Row],[Min]])-FIND("-",Table15[[#This Row],[Min]])))&gt;INDIRECT(ADDRESS(11+MATCH(LEFT(Table15[[#This Row],[Min]],FIND("-",Table15[[#This Row],[Min]])-1),Table1[Content Sku],0),16,1,1,"Entities")),"review","ok"),"ok")</f>
        <v>ok</v>
      </c>
    </row>
    <row r="1346" spans="5:25" x14ac:dyDescent="0.25">
      <c r="E1346" t="s">
        <v>122</v>
      </c>
      <c r="F1346">
        <v>0</v>
      </c>
      <c r="G1346">
        <v>0</v>
      </c>
      <c r="H1346" t="s">
        <v>8</v>
      </c>
      <c r="I1346" s="74" t="str">
        <f ca="1">IF(Table7[[#This Row],[Type]]="KILL",IF(_xlfn.NUMBERVALUE(RIGHT(Table7[[#This Row],[Min]],LEN(Table7[[#This Row],[Min]])-FIND("-",Table7[[#This Row],[Min]])))&gt;INDIRECT(ADDRESS(11+MATCH(LEFT(Table7[[#This Row],[Min]],FIND("-",Table7[[#This Row],[Min]])-1),Table1[Content Sku],0),16,1,1,"Entities")),"review","ok"),"ok")</f>
        <v>ok</v>
      </c>
      <c r="U1346" t="s">
        <v>457</v>
      </c>
      <c r="V1346">
        <v>0</v>
      </c>
      <c r="W1346">
        <v>0</v>
      </c>
      <c r="X1346" t="s">
        <v>8</v>
      </c>
      <c r="Y1346" s="74" t="str">
        <f ca="1">IF(Table15[[#This Row],[Type]]="KILL",IF(_xlfn.NUMBERVALUE(RIGHT(Table15[[#This Row],[Min]],LEN(Table15[[#This Row],[Min]])-FIND("-",Table15[[#This Row],[Min]])))&gt;INDIRECT(ADDRESS(11+MATCH(LEFT(Table15[[#This Row],[Min]],FIND("-",Table15[[#This Row],[Min]])-1),Table1[Content Sku],0),16,1,1,"Entities")),"review","ok"),"ok")</f>
        <v>ok</v>
      </c>
    </row>
    <row r="1347" spans="5:25" x14ac:dyDescent="0.25">
      <c r="E1347" t="s">
        <v>17</v>
      </c>
      <c r="F1347">
        <v>0</v>
      </c>
      <c r="G1347">
        <v>16000</v>
      </c>
      <c r="H1347" t="s">
        <v>205</v>
      </c>
      <c r="I1347" s="74" t="str">
        <f ca="1">IF(Table7[[#This Row],[Type]]="KILL",IF(_xlfn.NUMBERVALUE(RIGHT(Table7[[#This Row],[Min]],LEN(Table7[[#This Row],[Min]])-FIND("-",Table7[[#This Row],[Min]])))&gt;INDIRECT(ADDRESS(11+MATCH(LEFT(Table7[[#This Row],[Min]],FIND("-",Table7[[#This Row],[Min]])-1),Table1[Content Sku],0),16,1,1,"Entities")),"review","ok"),"ok")</f>
        <v>ok</v>
      </c>
      <c r="U1347" t="s">
        <v>460</v>
      </c>
      <c r="V1347">
        <v>0</v>
      </c>
      <c r="W1347">
        <v>0</v>
      </c>
      <c r="X1347" t="s">
        <v>8</v>
      </c>
      <c r="Y1347" s="74" t="str">
        <f ca="1">IF(Table15[[#This Row],[Type]]="KILL",IF(_xlfn.NUMBERVALUE(RIGHT(Table15[[#This Row],[Min]],LEN(Table15[[#This Row],[Min]])-FIND("-",Table15[[#This Row],[Min]])))&gt;INDIRECT(ADDRESS(11+MATCH(LEFT(Table15[[#This Row],[Min]],FIND("-",Table15[[#This Row],[Min]])-1),Table1[Content Sku],0),16,1,1,"Entities")),"review","ok"),"ok")</f>
        <v>ok</v>
      </c>
    </row>
    <row r="1348" spans="5:25" x14ac:dyDescent="0.25">
      <c r="E1348" t="s">
        <v>45</v>
      </c>
      <c r="F1348">
        <v>6500</v>
      </c>
      <c r="G1348">
        <v>0</v>
      </c>
      <c r="H1348" t="s">
        <v>205</v>
      </c>
      <c r="I1348" s="74" t="str">
        <f ca="1">IF(Table7[[#This Row],[Type]]="KILL",IF(_xlfn.NUMBERVALUE(RIGHT(Table7[[#This Row],[Min]],LEN(Table7[[#This Row],[Min]])-FIND("-",Table7[[#This Row],[Min]])))&gt;INDIRECT(ADDRESS(11+MATCH(LEFT(Table7[[#This Row],[Min]],FIND("-",Table7[[#This Row],[Min]])-1),Table1[Content Sku],0),16,1,1,"Entities")),"review","ok"),"ok")</f>
        <v>ok</v>
      </c>
      <c r="U1348" t="s">
        <v>457</v>
      </c>
      <c r="V1348">
        <v>0</v>
      </c>
      <c r="W1348">
        <v>0</v>
      </c>
      <c r="X1348" t="s">
        <v>8</v>
      </c>
      <c r="Y1348" s="74" t="str">
        <f ca="1">IF(Table15[[#This Row],[Type]]="KILL",IF(_xlfn.NUMBERVALUE(RIGHT(Table15[[#This Row],[Min]],LEN(Table15[[#This Row],[Min]])-FIND("-",Table15[[#This Row],[Min]])))&gt;INDIRECT(ADDRESS(11+MATCH(LEFT(Table15[[#This Row],[Min]],FIND("-",Table15[[#This Row],[Min]])-1),Table1[Content Sku],0),16,1,1,"Entities")),"review","ok"),"ok")</f>
        <v>ok</v>
      </c>
    </row>
    <row r="1349" spans="5:25" x14ac:dyDescent="0.25">
      <c r="E1349" t="s">
        <v>254</v>
      </c>
      <c r="F1349">
        <v>0</v>
      </c>
      <c r="G1349">
        <v>30000</v>
      </c>
      <c r="H1349" t="s">
        <v>205</v>
      </c>
      <c r="I1349" s="74" t="str">
        <f ca="1">IF(Table7[[#This Row],[Type]]="KILL",IF(_xlfn.NUMBERVALUE(RIGHT(Table7[[#This Row],[Min]],LEN(Table7[[#This Row],[Min]])-FIND("-",Table7[[#This Row],[Min]])))&gt;INDIRECT(ADDRESS(11+MATCH(LEFT(Table7[[#This Row],[Min]],FIND("-",Table7[[#This Row],[Min]])-1),Table1[Content Sku],0),16,1,1,"Entities")),"review","ok"),"ok")</f>
        <v>ok</v>
      </c>
      <c r="U1349" t="s">
        <v>2717</v>
      </c>
      <c r="V1349">
        <v>0</v>
      </c>
      <c r="W1349">
        <v>0</v>
      </c>
      <c r="X1349" t="s">
        <v>8</v>
      </c>
      <c r="Y1349" s="74" t="str">
        <f ca="1">IF(Table15[[#This Row],[Type]]="KILL",IF(_xlfn.NUMBERVALUE(RIGHT(Table15[[#This Row],[Min]],LEN(Table15[[#This Row],[Min]])-FIND("-",Table15[[#This Row],[Min]])))&gt;INDIRECT(ADDRESS(11+MATCH(LEFT(Table15[[#This Row],[Min]],FIND("-",Table15[[#This Row],[Min]])-1),Table1[Content Sku],0),16,1,1,"Entities")),"review","ok"),"ok")</f>
        <v>ok</v>
      </c>
    </row>
    <row r="1350" spans="5:25" x14ac:dyDescent="0.25">
      <c r="E1350" t="s">
        <v>254</v>
      </c>
      <c r="F1350">
        <v>2000</v>
      </c>
      <c r="G1350">
        <v>0</v>
      </c>
      <c r="H1350" t="s">
        <v>205</v>
      </c>
      <c r="I1350" s="74" t="str">
        <f ca="1">IF(Table7[[#This Row],[Type]]="KILL",IF(_xlfn.NUMBERVALUE(RIGHT(Table7[[#This Row],[Min]],LEN(Table7[[#This Row],[Min]])-FIND("-",Table7[[#This Row],[Min]])))&gt;INDIRECT(ADDRESS(11+MATCH(LEFT(Table7[[#This Row],[Min]],FIND("-",Table7[[#This Row],[Min]])-1),Table1[Content Sku],0),16,1,1,"Entities")),"review","ok"),"ok")</f>
        <v>ok</v>
      </c>
      <c r="U1350" t="s">
        <v>2720</v>
      </c>
      <c r="V1350">
        <v>0</v>
      </c>
      <c r="W1350">
        <v>0</v>
      </c>
      <c r="X1350" t="s">
        <v>8</v>
      </c>
      <c r="Y1350" s="74" t="str">
        <f ca="1">IF(Table15[[#This Row],[Type]]="KILL",IF(_xlfn.NUMBERVALUE(RIGHT(Table15[[#This Row],[Min]],LEN(Table15[[#This Row],[Min]])-FIND("-",Table15[[#This Row],[Min]])))&gt;INDIRECT(ADDRESS(11+MATCH(LEFT(Table15[[#This Row],[Min]],FIND("-",Table15[[#This Row],[Min]])-1),Table1[Content Sku],0),16,1,1,"Entities")),"review","ok"),"ok")</f>
        <v>ok</v>
      </c>
    </row>
    <row r="1351" spans="5:25" x14ac:dyDescent="0.25">
      <c r="E1351" t="s">
        <v>422</v>
      </c>
      <c r="F1351">
        <v>0</v>
      </c>
      <c r="G1351">
        <v>0</v>
      </c>
      <c r="H1351" t="s">
        <v>8</v>
      </c>
      <c r="I1351" s="74" t="str">
        <f ca="1">IF(Table7[[#This Row],[Type]]="KILL",IF(_xlfn.NUMBERVALUE(RIGHT(Table7[[#This Row],[Min]],LEN(Table7[[#This Row],[Min]])-FIND("-",Table7[[#This Row],[Min]])))&gt;INDIRECT(ADDRESS(11+MATCH(LEFT(Table7[[#This Row],[Min]],FIND("-",Table7[[#This Row],[Min]])-1),Table1[Content Sku],0),16,1,1,"Entities")),"review","ok"),"ok")</f>
        <v>ok</v>
      </c>
      <c r="U1351" t="s">
        <v>289</v>
      </c>
      <c r="V1351">
        <v>0</v>
      </c>
      <c r="W1351">
        <v>0</v>
      </c>
      <c r="X1351" t="s">
        <v>8</v>
      </c>
      <c r="Y1351" s="74" t="str">
        <f ca="1">IF(Table15[[#This Row],[Type]]="KILL",IF(_xlfn.NUMBERVALUE(RIGHT(Table15[[#This Row],[Min]],LEN(Table15[[#This Row],[Min]])-FIND("-",Table15[[#This Row],[Min]])))&gt;INDIRECT(ADDRESS(11+MATCH(LEFT(Table15[[#This Row],[Min]],FIND("-",Table15[[#This Row],[Min]])-1),Table1[Content Sku],0),16,1,1,"Entities")),"review","ok"),"ok")</f>
        <v>ok</v>
      </c>
    </row>
    <row r="1352" spans="5:25" x14ac:dyDescent="0.25">
      <c r="E1352" t="s">
        <v>256</v>
      </c>
      <c r="F1352">
        <v>0</v>
      </c>
      <c r="G1352">
        <v>0</v>
      </c>
      <c r="H1352" t="s">
        <v>8</v>
      </c>
      <c r="I1352" s="74" t="str">
        <f ca="1">IF(Table7[[#This Row],[Type]]="KILL",IF(_xlfn.NUMBERVALUE(RIGHT(Table7[[#This Row],[Min]],LEN(Table7[[#This Row],[Min]])-FIND("-",Table7[[#This Row],[Min]])))&gt;INDIRECT(ADDRESS(11+MATCH(LEFT(Table7[[#This Row],[Min]],FIND("-",Table7[[#This Row],[Min]])-1),Table1[Content Sku],0),16,1,1,"Entities")),"review","ok"),"ok")</f>
        <v>ok</v>
      </c>
      <c r="U1352" t="s">
        <v>2720</v>
      </c>
      <c r="V1352">
        <v>0</v>
      </c>
      <c r="W1352">
        <v>15000</v>
      </c>
      <c r="X1352" t="s">
        <v>205</v>
      </c>
      <c r="Y1352" s="74" t="str">
        <f ca="1">IF(Table15[[#This Row],[Type]]="KILL",IF(_xlfn.NUMBERVALUE(RIGHT(Table15[[#This Row],[Min]],LEN(Table15[[#This Row],[Min]])-FIND("-",Table15[[#This Row],[Min]])))&gt;INDIRECT(ADDRESS(11+MATCH(LEFT(Table15[[#This Row],[Min]],FIND("-",Table15[[#This Row],[Min]])-1),Table1[Content Sku],0),16,1,1,"Entities")),"review","ok"),"ok")</f>
        <v>ok</v>
      </c>
    </row>
    <row r="1353" spans="5:25" x14ac:dyDescent="0.25">
      <c r="E1353" t="s">
        <v>313</v>
      </c>
      <c r="F1353">
        <v>0</v>
      </c>
      <c r="G1353">
        <v>0</v>
      </c>
      <c r="H1353" t="s">
        <v>8</v>
      </c>
      <c r="I1353" s="74" t="str">
        <f ca="1">IF(Table7[[#This Row],[Type]]="KILL",IF(_xlfn.NUMBERVALUE(RIGHT(Table7[[#This Row],[Min]],LEN(Table7[[#This Row],[Min]])-FIND("-",Table7[[#This Row],[Min]])))&gt;INDIRECT(ADDRESS(11+MATCH(LEFT(Table7[[#This Row],[Min]],FIND("-",Table7[[#This Row],[Min]])-1),Table1[Content Sku],0),16,1,1,"Entities")),"review","ok"),"ok")</f>
        <v>ok</v>
      </c>
      <c r="U1353" t="s">
        <v>459</v>
      </c>
      <c r="V1353">
        <v>0</v>
      </c>
      <c r="W1353">
        <v>0</v>
      </c>
      <c r="X1353" t="s">
        <v>8</v>
      </c>
      <c r="Y1353" s="74" t="str">
        <f ca="1">IF(Table15[[#This Row],[Type]]="KILL",IF(_xlfn.NUMBERVALUE(RIGHT(Table15[[#This Row],[Min]],LEN(Table15[[#This Row],[Min]])-FIND("-",Table15[[#This Row],[Min]])))&gt;INDIRECT(ADDRESS(11+MATCH(LEFT(Table15[[#This Row],[Min]],FIND("-",Table15[[#This Row],[Min]])-1),Table1[Content Sku],0),16,1,1,"Entities")),"review","ok"),"ok")</f>
        <v>ok</v>
      </c>
    </row>
    <row r="1354" spans="5:25" x14ac:dyDescent="0.25">
      <c r="E1354" t="s">
        <v>10</v>
      </c>
      <c r="F1354">
        <v>18000</v>
      </c>
      <c r="G1354">
        <v>0</v>
      </c>
      <c r="H1354" t="s">
        <v>205</v>
      </c>
      <c r="I1354" s="74" t="str">
        <f ca="1">IF(Table7[[#This Row],[Type]]="KILL",IF(_xlfn.NUMBERVALUE(RIGHT(Table7[[#This Row],[Min]],LEN(Table7[[#This Row],[Min]])-FIND("-",Table7[[#This Row],[Min]])))&gt;INDIRECT(ADDRESS(11+MATCH(LEFT(Table7[[#This Row],[Min]],FIND("-",Table7[[#This Row],[Min]])-1),Table1[Content Sku],0),16,1,1,"Entities")),"review","ok"),"ok")</f>
        <v>ok</v>
      </c>
      <c r="U1354" t="s">
        <v>306</v>
      </c>
      <c r="V1354">
        <v>0</v>
      </c>
      <c r="W1354">
        <v>0</v>
      </c>
      <c r="X1354" t="s">
        <v>8</v>
      </c>
      <c r="Y1354" s="74" t="str">
        <f ca="1">IF(Table15[[#This Row],[Type]]="KILL",IF(_xlfn.NUMBERVALUE(RIGHT(Table15[[#This Row],[Min]],LEN(Table15[[#This Row],[Min]])-FIND("-",Table15[[#This Row],[Min]])))&gt;INDIRECT(ADDRESS(11+MATCH(LEFT(Table15[[#This Row],[Min]],FIND("-",Table15[[#This Row],[Min]])-1),Table1[Content Sku],0),16,1,1,"Entities")),"review","ok"),"ok")</f>
        <v>ok</v>
      </c>
    </row>
    <row r="1355" spans="5:25" x14ac:dyDescent="0.25">
      <c r="E1355" t="s">
        <v>40</v>
      </c>
      <c r="F1355">
        <v>0</v>
      </c>
      <c r="G1355">
        <v>10000</v>
      </c>
      <c r="H1355" t="s">
        <v>205</v>
      </c>
      <c r="I1355" s="74" t="str">
        <f ca="1">IF(Table7[[#This Row],[Type]]="KILL",IF(_xlfn.NUMBERVALUE(RIGHT(Table7[[#This Row],[Min]],LEN(Table7[[#This Row],[Min]])-FIND("-",Table7[[#This Row],[Min]])))&gt;INDIRECT(ADDRESS(11+MATCH(LEFT(Table7[[#This Row],[Min]],FIND("-",Table7[[#This Row],[Min]])-1),Table1[Content Sku],0),16,1,1,"Entities")),"review","ok"),"ok")</f>
        <v>ok</v>
      </c>
      <c r="U1355" t="s">
        <v>37</v>
      </c>
      <c r="V1355">
        <v>0</v>
      </c>
      <c r="W1355">
        <v>0</v>
      </c>
      <c r="X1355" t="s">
        <v>8</v>
      </c>
      <c r="Y1355" s="74" t="str">
        <f ca="1">IF(Table15[[#This Row],[Type]]="KILL",IF(_xlfn.NUMBERVALUE(RIGHT(Table15[[#This Row],[Min]],LEN(Table15[[#This Row],[Min]])-FIND("-",Table15[[#This Row],[Min]])))&gt;INDIRECT(ADDRESS(11+MATCH(LEFT(Table15[[#This Row],[Min]],FIND("-",Table15[[#This Row],[Min]])-1),Table1[Content Sku],0),16,1,1,"Entities")),"review","ok"),"ok")</f>
        <v>ok</v>
      </c>
    </row>
    <row r="1356" spans="5:25" x14ac:dyDescent="0.25">
      <c r="E1356" t="s">
        <v>44</v>
      </c>
      <c r="F1356">
        <v>7500</v>
      </c>
      <c r="G1356">
        <v>0</v>
      </c>
      <c r="H1356" t="s">
        <v>205</v>
      </c>
      <c r="I1356" s="74" t="str">
        <f ca="1">IF(Table7[[#This Row],[Type]]="KILL",IF(_xlfn.NUMBERVALUE(RIGHT(Table7[[#This Row],[Min]],LEN(Table7[[#This Row],[Min]])-FIND("-",Table7[[#This Row],[Min]])))&gt;INDIRECT(ADDRESS(11+MATCH(LEFT(Table7[[#This Row],[Min]],FIND("-",Table7[[#This Row],[Min]])-1),Table1[Content Sku],0),16,1,1,"Entities")),"review","ok"),"ok")</f>
        <v>ok</v>
      </c>
      <c r="U1356" t="s">
        <v>122</v>
      </c>
      <c r="V1356">
        <v>34000</v>
      </c>
      <c r="W1356">
        <v>0</v>
      </c>
      <c r="X1356" t="s">
        <v>205</v>
      </c>
      <c r="Y1356" s="74" t="str">
        <f ca="1">IF(Table15[[#This Row],[Type]]="KILL",IF(_xlfn.NUMBERVALUE(RIGHT(Table15[[#This Row],[Min]],LEN(Table15[[#This Row],[Min]])-FIND("-",Table15[[#This Row],[Min]])))&gt;INDIRECT(ADDRESS(11+MATCH(LEFT(Table15[[#This Row],[Min]],FIND("-",Table15[[#This Row],[Min]])-1),Table1[Content Sku],0),16,1,1,"Entities")),"review","ok"),"ok")</f>
        <v>ok</v>
      </c>
    </row>
    <row r="1357" spans="5:25" x14ac:dyDescent="0.25">
      <c r="E1357" t="s">
        <v>2726</v>
      </c>
      <c r="F1357">
        <v>0</v>
      </c>
      <c r="G1357">
        <v>0</v>
      </c>
      <c r="H1357" t="s">
        <v>8</v>
      </c>
      <c r="I1357" s="74" t="str">
        <f ca="1">IF(Table7[[#This Row],[Type]]="KILL",IF(_xlfn.NUMBERVALUE(RIGHT(Table7[[#This Row],[Min]],LEN(Table7[[#This Row],[Min]])-FIND("-",Table7[[#This Row],[Min]])))&gt;INDIRECT(ADDRESS(11+MATCH(LEFT(Table7[[#This Row],[Min]],FIND("-",Table7[[#This Row],[Min]])-1),Table1[Content Sku],0),16,1,1,"Entities")),"review","ok"),"ok")</f>
        <v>ok</v>
      </c>
      <c r="U1357" t="s">
        <v>457</v>
      </c>
      <c r="V1357">
        <v>0</v>
      </c>
      <c r="W1357">
        <v>33000</v>
      </c>
      <c r="X1357" t="s">
        <v>205</v>
      </c>
      <c r="Y1357" s="74" t="str">
        <f ca="1">IF(Table15[[#This Row],[Type]]="KILL",IF(_xlfn.NUMBERVALUE(RIGHT(Table15[[#This Row],[Min]],LEN(Table15[[#This Row],[Min]])-FIND("-",Table15[[#This Row],[Min]])))&gt;INDIRECT(ADDRESS(11+MATCH(LEFT(Table15[[#This Row],[Min]],FIND("-",Table15[[#This Row],[Min]])-1),Table1[Content Sku],0),16,1,1,"Entities")),"review","ok"),"ok")</f>
        <v>ok</v>
      </c>
    </row>
    <row r="1358" spans="5:25" x14ac:dyDescent="0.25">
      <c r="E1358" t="s">
        <v>338</v>
      </c>
      <c r="F1358">
        <v>0</v>
      </c>
      <c r="G1358">
        <v>0</v>
      </c>
      <c r="H1358" t="s">
        <v>8</v>
      </c>
      <c r="I1358" s="74" t="str">
        <f ca="1">IF(Table7[[#This Row],[Type]]="KILL",IF(_xlfn.NUMBERVALUE(RIGHT(Table7[[#This Row],[Min]],LEN(Table7[[#This Row],[Min]])-FIND("-",Table7[[#This Row],[Min]])))&gt;INDIRECT(ADDRESS(11+MATCH(LEFT(Table7[[#This Row],[Min]],FIND("-",Table7[[#This Row],[Min]])-1),Table1[Content Sku],0),16,1,1,"Entities")),"review","ok"),"ok")</f>
        <v>ok</v>
      </c>
      <c r="U1358" t="s">
        <v>22</v>
      </c>
      <c r="V1358">
        <v>360</v>
      </c>
      <c r="W1358">
        <v>0</v>
      </c>
      <c r="X1358" t="s">
        <v>4431</v>
      </c>
      <c r="Y1358" s="74" t="str">
        <f ca="1">IF(Table15[[#This Row],[Type]]="KILL",IF(_xlfn.NUMBERVALUE(RIGHT(Table15[[#This Row],[Min]],LEN(Table15[[#This Row],[Min]])-FIND("-",Table15[[#This Row],[Min]])))&gt;INDIRECT(ADDRESS(11+MATCH(LEFT(Table15[[#This Row],[Min]],FIND("-",Table15[[#This Row],[Min]])-1),Table1[Content Sku],0),16,1,1,"Entities")),"review","ok"),"ok")</f>
        <v>ok</v>
      </c>
    </row>
    <row r="1359" spans="5:25" x14ac:dyDescent="0.25">
      <c r="E1359" t="s">
        <v>2741</v>
      </c>
      <c r="F1359">
        <v>0</v>
      </c>
      <c r="G1359">
        <v>0</v>
      </c>
      <c r="H1359" t="s">
        <v>8</v>
      </c>
      <c r="I1359" s="74" t="str">
        <f ca="1">IF(Table7[[#This Row],[Type]]="KILL",IF(_xlfn.NUMBERVALUE(RIGHT(Table7[[#This Row],[Min]],LEN(Table7[[#This Row],[Min]])-FIND("-",Table7[[#This Row],[Min]])))&gt;INDIRECT(ADDRESS(11+MATCH(LEFT(Table7[[#This Row],[Min]],FIND("-",Table7[[#This Row],[Min]])-1),Table1[Content Sku],0),16,1,1,"Entities")),"review","ok"),"ok")</f>
        <v>ok</v>
      </c>
      <c r="U1359" t="s">
        <v>313</v>
      </c>
      <c r="V1359">
        <v>0</v>
      </c>
      <c r="W1359">
        <v>0</v>
      </c>
      <c r="X1359" t="s">
        <v>8</v>
      </c>
      <c r="Y1359" s="74" t="str">
        <f ca="1">IF(Table15[[#This Row],[Type]]="KILL",IF(_xlfn.NUMBERVALUE(RIGHT(Table15[[#This Row],[Min]],LEN(Table15[[#This Row],[Min]])-FIND("-",Table15[[#This Row],[Min]])))&gt;INDIRECT(ADDRESS(11+MATCH(LEFT(Table15[[#This Row],[Min]],FIND("-",Table15[[#This Row],[Min]])-1),Table1[Content Sku],0),16,1,1,"Entities")),"review","ok"),"ok")</f>
        <v>ok</v>
      </c>
    </row>
    <row r="1360" spans="5:25" x14ac:dyDescent="0.25">
      <c r="E1360" t="s">
        <v>49</v>
      </c>
      <c r="F1360">
        <v>14000</v>
      </c>
      <c r="G1360">
        <v>0</v>
      </c>
      <c r="H1360" t="s">
        <v>205</v>
      </c>
      <c r="I1360" s="74" t="str">
        <f ca="1">IF(Table7[[#This Row],[Type]]="KILL",IF(_xlfn.NUMBERVALUE(RIGHT(Table7[[#This Row],[Min]],LEN(Table7[[#This Row],[Min]])-FIND("-",Table7[[#This Row],[Min]])))&gt;INDIRECT(ADDRESS(11+MATCH(LEFT(Table7[[#This Row],[Min]],FIND("-",Table7[[#This Row],[Min]])-1),Table1[Content Sku],0),16,1,1,"Entities")),"review","ok"),"ok")</f>
        <v>ok</v>
      </c>
      <c r="U1360" t="s">
        <v>457</v>
      </c>
      <c r="V1360">
        <v>0</v>
      </c>
      <c r="W1360">
        <v>0</v>
      </c>
      <c r="X1360" t="s">
        <v>8</v>
      </c>
      <c r="Y1360" s="74" t="str">
        <f ca="1">IF(Table15[[#This Row],[Type]]="KILL",IF(_xlfn.NUMBERVALUE(RIGHT(Table15[[#This Row],[Min]],LEN(Table15[[#This Row],[Min]])-FIND("-",Table15[[#This Row],[Min]])))&gt;INDIRECT(ADDRESS(11+MATCH(LEFT(Table15[[#This Row],[Min]],FIND("-",Table15[[#This Row],[Min]])-1),Table1[Content Sku],0),16,1,1,"Entities")),"review","ok"),"ok")</f>
        <v>ok</v>
      </c>
    </row>
    <row r="1361" spans="5:25" x14ac:dyDescent="0.25">
      <c r="E1361" t="s">
        <v>95</v>
      </c>
      <c r="F1361">
        <v>0</v>
      </c>
      <c r="G1361">
        <v>0</v>
      </c>
      <c r="H1361" t="s">
        <v>8</v>
      </c>
      <c r="I1361" s="74" t="str">
        <f ca="1">IF(Table7[[#This Row],[Type]]="KILL",IF(_xlfn.NUMBERVALUE(RIGHT(Table7[[#This Row],[Min]],LEN(Table7[[#This Row],[Min]])-FIND("-",Table7[[#This Row],[Min]])))&gt;INDIRECT(ADDRESS(11+MATCH(LEFT(Table7[[#This Row],[Min]],FIND("-",Table7[[#This Row],[Min]])-1),Table1[Content Sku],0),16,1,1,"Entities")),"review","ok"),"ok")</f>
        <v>ok</v>
      </c>
      <c r="U1361" t="s">
        <v>42</v>
      </c>
      <c r="V1361">
        <v>46000</v>
      </c>
      <c r="W1361">
        <v>0</v>
      </c>
      <c r="X1361" t="s">
        <v>205</v>
      </c>
      <c r="Y1361" s="74" t="str">
        <f ca="1">IF(Table15[[#This Row],[Type]]="KILL",IF(_xlfn.NUMBERVALUE(RIGHT(Table15[[#This Row],[Min]],LEN(Table15[[#This Row],[Min]])-FIND("-",Table15[[#This Row],[Min]])))&gt;INDIRECT(ADDRESS(11+MATCH(LEFT(Table15[[#This Row],[Min]],FIND("-",Table15[[#This Row],[Min]])-1),Table1[Content Sku],0),16,1,1,"Entities")),"review","ok"),"ok")</f>
        <v>ok</v>
      </c>
    </row>
    <row r="1362" spans="5:25" x14ac:dyDescent="0.25">
      <c r="E1362" t="s">
        <v>313</v>
      </c>
      <c r="F1362">
        <v>0</v>
      </c>
      <c r="G1362">
        <v>0</v>
      </c>
      <c r="H1362" t="s">
        <v>8</v>
      </c>
      <c r="I1362" s="74" t="str">
        <f ca="1">IF(Table7[[#This Row],[Type]]="KILL",IF(_xlfn.NUMBERVALUE(RIGHT(Table7[[#This Row],[Min]],LEN(Table7[[#This Row],[Min]])-FIND("-",Table7[[#This Row],[Min]])))&gt;INDIRECT(ADDRESS(11+MATCH(LEFT(Table7[[#This Row],[Min]],FIND("-",Table7[[#This Row],[Min]])-1),Table1[Content Sku],0),16,1,1,"Entities")),"review","ok"),"ok")</f>
        <v>ok</v>
      </c>
      <c r="U1362" t="s">
        <v>22</v>
      </c>
      <c r="V1362">
        <v>0</v>
      </c>
      <c r="W1362">
        <v>0</v>
      </c>
      <c r="X1362" t="s">
        <v>8</v>
      </c>
      <c r="Y1362" s="74" t="str">
        <f ca="1">IF(Table15[[#This Row],[Type]]="KILL",IF(_xlfn.NUMBERVALUE(RIGHT(Table15[[#This Row],[Min]],LEN(Table15[[#This Row],[Min]])-FIND("-",Table15[[#This Row],[Min]])))&gt;INDIRECT(ADDRESS(11+MATCH(LEFT(Table15[[#This Row],[Min]],FIND("-",Table15[[#This Row],[Min]])-1),Table1[Content Sku],0),16,1,1,"Entities")),"review","ok"),"ok")</f>
        <v>ok</v>
      </c>
    </row>
    <row r="1363" spans="5:25" x14ac:dyDescent="0.25">
      <c r="E1363" t="s">
        <v>313</v>
      </c>
      <c r="F1363">
        <v>0</v>
      </c>
      <c r="G1363">
        <v>0</v>
      </c>
      <c r="H1363" t="s">
        <v>8</v>
      </c>
      <c r="I1363" s="74" t="str">
        <f ca="1">IF(Table7[[#This Row],[Type]]="KILL",IF(_xlfn.NUMBERVALUE(RIGHT(Table7[[#This Row],[Min]],LEN(Table7[[#This Row],[Min]])-FIND("-",Table7[[#This Row],[Min]])))&gt;INDIRECT(ADDRESS(11+MATCH(LEFT(Table7[[#This Row],[Min]],FIND("-",Table7[[#This Row],[Min]])-1),Table1[Content Sku],0),16,1,1,"Entities")),"review","ok"),"ok")</f>
        <v>ok</v>
      </c>
      <c r="U1363" t="s">
        <v>2720</v>
      </c>
      <c r="V1363">
        <v>0</v>
      </c>
      <c r="W1363">
        <v>0</v>
      </c>
      <c r="X1363" t="s">
        <v>8</v>
      </c>
      <c r="Y1363" s="74" t="str">
        <f ca="1">IF(Table15[[#This Row],[Type]]="KILL",IF(_xlfn.NUMBERVALUE(RIGHT(Table15[[#This Row],[Min]],LEN(Table15[[#This Row],[Min]])-FIND("-",Table15[[#This Row],[Min]])))&gt;INDIRECT(ADDRESS(11+MATCH(LEFT(Table15[[#This Row],[Min]],FIND("-",Table15[[#This Row],[Min]])-1),Table1[Content Sku],0),16,1,1,"Entities")),"review","ok"),"ok")</f>
        <v>ok</v>
      </c>
    </row>
    <row r="1364" spans="5:25" x14ac:dyDescent="0.25">
      <c r="E1364" t="s">
        <v>313</v>
      </c>
      <c r="F1364">
        <v>0</v>
      </c>
      <c r="G1364">
        <v>0</v>
      </c>
      <c r="H1364" t="s">
        <v>8</v>
      </c>
      <c r="I1364" s="74" t="str">
        <f ca="1">IF(Table7[[#This Row],[Type]]="KILL",IF(_xlfn.NUMBERVALUE(RIGHT(Table7[[#This Row],[Min]],LEN(Table7[[#This Row],[Min]])-FIND("-",Table7[[#This Row],[Min]])))&gt;INDIRECT(ADDRESS(11+MATCH(LEFT(Table7[[#This Row],[Min]],FIND("-",Table7[[#This Row],[Min]])-1),Table1[Content Sku],0),16,1,1,"Entities")),"review","ok"),"ok")</f>
        <v>ok</v>
      </c>
      <c r="U1364" t="s">
        <v>2720</v>
      </c>
      <c r="V1364">
        <v>0</v>
      </c>
      <c r="W1364">
        <v>0</v>
      </c>
      <c r="X1364" t="s">
        <v>8</v>
      </c>
      <c r="Y1364" s="74" t="str">
        <f ca="1">IF(Table15[[#This Row],[Type]]="KILL",IF(_xlfn.NUMBERVALUE(RIGHT(Table15[[#This Row],[Min]],LEN(Table15[[#This Row],[Min]])-FIND("-",Table15[[#This Row],[Min]])))&gt;INDIRECT(ADDRESS(11+MATCH(LEFT(Table15[[#This Row],[Min]],FIND("-",Table15[[#This Row],[Min]])-1),Table1[Content Sku],0),16,1,1,"Entities")),"review","ok"),"ok")</f>
        <v>ok</v>
      </c>
    </row>
    <row r="1365" spans="5:25" x14ac:dyDescent="0.25">
      <c r="E1365" t="s">
        <v>545</v>
      </c>
      <c r="F1365">
        <v>0</v>
      </c>
      <c r="G1365">
        <v>0</v>
      </c>
      <c r="H1365" t="s">
        <v>8</v>
      </c>
      <c r="I1365" s="74" t="str">
        <f ca="1">IF(Table7[[#This Row],[Type]]="KILL",IF(_xlfn.NUMBERVALUE(RIGHT(Table7[[#This Row],[Min]],LEN(Table7[[#This Row],[Min]])-FIND("-",Table7[[#This Row],[Min]])))&gt;INDIRECT(ADDRESS(11+MATCH(LEFT(Table7[[#This Row],[Min]],FIND("-",Table7[[#This Row],[Min]])-1),Table1[Content Sku],0),16,1,1,"Entities")),"review","ok"),"ok")</f>
        <v>ok</v>
      </c>
      <c r="U1365" t="s">
        <v>21</v>
      </c>
      <c r="V1365">
        <v>0</v>
      </c>
      <c r="W1365">
        <v>0</v>
      </c>
      <c r="X1365" t="s">
        <v>8</v>
      </c>
      <c r="Y1365" s="74" t="str">
        <f ca="1">IF(Table15[[#This Row],[Type]]="KILL",IF(_xlfn.NUMBERVALUE(RIGHT(Table15[[#This Row],[Min]],LEN(Table15[[#This Row],[Min]])-FIND("-",Table15[[#This Row],[Min]])))&gt;INDIRECT(ADDRESS(11+MATCH(LEFT(Table15[[#This Row],[Min]],FIND("-",Table15[[#This Row],[Min]])-1),Table1[Content Sku],0),16,1,1,"Entities")),"review","ok"),"ok")</f>
        <v>ok</v>
      </c>
    </row>
    <row r="1366" spans="5:25" x14ac:dyDescent="0.25">
      <c r="E1366" t="s">
        <v>95</v>
      </c>
      <c r="F1366">
        <v>0</v>
      </c>
      <c r="G1366">
        <v>0</v>
      </c>
      <c r="H1366" t="s">
        <v>8</v>
      </c>
      <c r="I1366" s="74" t="str">
        <f ca="1">IF(Table7[[#This Row],[Type]]="KILL",IF(_xlfn.NUMBERVALUE(RIGHT(Table7[[#This Row],[Min]],LEN(Table7[[#This Row],[Min]])-FIND("-",Table7[[#This Row],[Min]])))&gt;INDIRECT(ADDRESS(11+MATCH(LEFT(Table7[[#This Row],[Min]],FIND("-",Table7[[#This Row],[Min]])-1),Table1[Content Sku],0),16,1,1,"Entities")),"review","ok"),"ok")</f>
        <v>ok</v>
      </c>
      <c r="U1366" t="s">
        <v>37</v>
      </c>
      <c r="V1366">
        <v>0</v>
      </c>
      <c r="W1366">
        <v>0</v>
      </c>
      <c r="X1366" t="s">
        <v>8</v>
      </c>
      <c r="Y1366" s="74" t="str">
        <f ca="1">IF(Table15[[#This Row],[Type]]="KILL",IF(_xlfn.NUMBERVALUE(RIGHT(Table15[[#This Row],[Min]],LEN(Table15[[#This Row],[Min]])-FIND("-",Table15[[#This Row],[Min]])))&gt;INDIRECT(ADDRESS(11+MATCH(LEFT(Table15[[#This Row],[Min]],FIND("-",Table15[[#This Row],[Min]])-1),Table1[Content Sku],0),16,1,1,"Entities")),"review","ok"),"ok")</f>
        <v>ok</v>
      </c>
    </row>
    <row r="1367" spans="5:25" x14ac:dyDescent="0.25">
      <c r="E1367" t="s">
        <v>49</v>
      </c>
      <c r="F1367">
        <v>11500</v>
      </c>
      <c r="G1367">
        <v>0</v>
      </c>
      <c r="H1367" t="s">
        <v>205</v>
      </c>
      <c r="I1367" s="74" t="str">
        <f ca="1">IF(Table7[[#This Row],[Type]]="KILL",IF(_xlfn.NUMBERVALUE(RIGHT(Table7[[#This Row],[Min]],LEN(Table7[[#This Row],[Min]])-FIND("-",Table7[[#This Row],[Min]])))&gt;INDIRECT(ADDRESS(11+MATCH(LEFT(Table7[[#This Row],[Min]],FIND("-",Table7[[#This Row],[Min]])-1),Table1[Content Sku],0),16,1,1,"Entities")),"review","ok"),"ok")</f>
        <v>ok</v>
      </c>
      <c r="U1367" t="s">
        <v>21</v>
      </c>
      <c r="V1367">
        <v>0</v>
      </c>
      <c r="W1367">
        <v>0</v>
      </c>
      <c r="X1367" t="s">
        <v>8</v>
      </c>
      <c r="Y1367" s="74" t="str">
        <f ca="1">IF(Table15[[#This Row],[Type]]="KILL",IF(_xlfn.NUMBERVALUE(RIGHT(Table15[[#This Row],[Min]],LEN(Table15[[#This Row],[Min]])-FIND("-",Table15[[#This Row],[Min]])))&gt;INDIRECT(ADDRESS(11+MATCH(LEFT(Table15[[#This Row],[Min]],FIND("-",Table15[[#This Row],[Min]])-1),Table1[Content Sku],0),16,1,1,"Entities")),"review","ok"),"ok")</f>
        <v>ok</v>
      </c>
    </row>
    <row r="1368" spans="5:25" x14ac:dyDescent="0.25">
      <c r="E1368" t="s">
        <v>313</v>
      </c>
      <c r="F1368">
        <v>0</v>
      </c>
      <c r="G1368">
        <v>10000</v>
      </c>
      <c r="H1368" t="s">
        <v>205</v>
      </c>
      <c r="I1368" s="74" t="str">
        <f ca="1">IF(Table7[[#This Row],[Type]]="KILL",IF(_xlfn.NUMBERVALUE(RIGHT(Table7[[#This Row],[Min]],LEN(Table7[[#This Row],[Min]])-FIND("-",Table7[[#This Row],[Min]])))&gt;INDIRECT(ADDRESS(11+MATCH(LEFT(Table7[[#This Row],[Min]],FIND("-",Table7[[#This Row],[Min]])-1),Table1[Content Sku],0),16,1,1,"Entities")),"review","ok"),"ok")</f>
        <v>ok</v>
      </c>
      <c r="U1368" t="s">
        <v>457</v>
      </c>
      <c r="V1368">
        <v>0</v>
      </c>
      <c r="W1368">
        <v>0</v>
      </c>
      <c r="X1368" t="s">
        <v>8</v>
      </c>
      <c r="Y1368" s="74" t="str">
        <f ca="1">IF(Table15[[#This Row],[Type]]="KILL",IF(_xlfn.NUMBERVALUE(RIGHT(Table15[[#This Row],[Min]],LEN(Table15[[#This Row],[Min]])-FIND("-",Table15[[#This Row],[Min]])))&gt;INDIRECT(ADDRESS(11+MATCH(LEFT(Table15[[#This Row],[Min]],FIND("-",Table15[[#This Row],[Min]])-1),Table1[Content Sku],0),16,1,1,"Entities")),"review","ok"),"ok")</f>
        <v>ok</v>
      </c>
    </row>
    <row r="1369" spans="5:25" x14ac:dyDescent="0.25">
      <c r="E1369" t="s">
        <v>336</v>
      </c>
      <c r="F1369">
        <v>18000</v>
      </c>
      <c r="G1369">
        <v>0</v>
      </c>
      <c r="H1369" t="s">
        <v>205</v>
      </c>
      <c r="I1369" s="74" t="str">
        <f ca="1">IF(Table7[[#This Row],[Type]]="KILL",IF(_xlfn.NUMBERVALUE(RIGHT(Table7[[#This Row],[Min]],LEN(Table7[[#This Row],[Min]])-FIND("-",Table7[[#This Row],[Min]])))&gt;INDIRECT(ADDRESS(11+MATCH(LEFT(Table7[[#This Row],[Min]],FIND("-",Table7[[#This Row],[Min]])-1),Table1[Content Sku],0),16,1,1,"Entities")),"review","ok"),"ok")</f>
        <v>ok</v>
      </c>
      <c r="U1369" t="s">
        <v>457</v>
      </c>
      <c r="V1369">
        <v>0</v>
      </c>
      <c r="W1369">
        <v>24000</v>
      </c>
      <c r="X1369" t="s">
        <v>205</v>
      </c>
      <c r="Y1369" s="74" t="str">
        <f ca="1">IF(Table15[[#This Row],[Type]]="KILL",IF(_xlfn.NUMBERVALUE(RIGHT(Table15[[#This Row],[Min]],LEN(Table15[[#This Row],[Min]])-FIND("-",Table15[[#This Row],[Min]])))&gt;INDIRECT(ADDRESS(11+MATCH(LEFT(Table15[[#This Row],[Min]],FIND("-",Table15[[#This Row],[Min]])-1),Table1[Content Sku],0),16,1,1,"Entities")),"review","ok"),"ok")</f>
        <v>ok</v>
      </c>
    </row>
    <row r="1370" spans="5:25" x14ac:dyDescent="0.25">
      <c r="E1370" t="s">
        <v>286</v>
      </c>
      <c r="F1370">
        <v>0</v>
      </c>
      <c r="G1370">
        <v>0</v>
      </c>
      <c r="H1370" t="s">
        <v>8</v>
      </c>
      <c r="I1370" s="74" t="str">
        <f ca="1">IF(Table7[[#This Row],[Type]]="KILL",IF(_xlfn.NUMBERVALUE(RIGHT(Table7[[#This Row],[Min]],LEN(Table7[[#This Row],[Min]])-FIND("-",Table7[[#This Row],[Min]])))&gt;INDIRECT(ADDRESS(11+MATCH(LEFT(Table7[[#This Row],[Min]],FIND("-",Table7[[#This Row],[Min]])-1),Table1[Content Sku],0),16,1,1,"Entities")),"review","ok"),"ok")</f>
        <v>ok</v>
      </c>
      <c r="U1370" t="s">
        <v>315</v>
      </c>
      <c r="V1370">
        <v>0</v>
      </c>
      <c r="W1370">
        <v>0</v>
      </c>
      <c r="X1370" t="s">
        <v>8</v>
      </c>
      <c r="Y1370" s="74" t="str">
        <f ca="1">IF(Table15[[#This Row],[Type]]="KILL",IF(_xlfn.NUMBERVALUE(RIGHT(Table15[[#This Row],[Min]],LEN(Table15[[#This Row],[Min]])-FIND("-",Table15[[#This Row],[Min]])))&gt;INDIRECT(ADDRESS(11+MATCH(LEFT(Table15[[#This Row],[Min]],FIND("-",Table15[[#This Row],[Min]])-1),Table1[Content Sku],0),16,1,1,"Entities")),"review","ok"),"ok")</f>
        <v>ok</v>
      </c>
    </row>
    <row r="1371" spans="5:25" x14ac:dyDescent="0.25">
      <c r="E1371" t="s">
        <v>254</v>
      </c>
      <c r="F1371">
        <v>0</v>
      </c>
      <c r="G1371">
        <v>0</v>
      </c>
      <c r="H1371" t="s">
        <v>8</v>
      </c>
      <c r="I1371" s="74" t="str">
        <f ca="1">IF(Table7[[#This Row],[Type]]="KILL",IF(_xlfn.NUMBERVALUE(RIGHT(Table7[[#This Row],[Min]],LEN(Table7[[#This Row],[Min]])-FIND("-",Table7[[#This Row],[Min]])))&gt;INDIRECT(ADDRESS(11+MATCH(LEFT(Table7[[#This Row],[Min]],FIND("-",Table7[[#This Row],[Min]])-1),Table1[Content Sku],0),16,1,1,"Entities")),"review","ok"),"ok")</f>
        <v>ok</v>
      </c>
      <c r="U1371" t="s">
        <v>37</v>
      </c>
      <c r="V1371">
        <v>0</v>
      </c>
      <c r="W1371">
        <v>0</v>
      </c>
      <c r="X1371" t="s">
        <v>8</v>
      </c>
      <c r="Y1371" s="74" t="str">
        <f ca="1">IF(Table15[[#This Row],[Type]]="KILL",IF(_xlfn.NUMBERVALUE(RIGHT(Table15[[#This Row],[Min]],LEN(Table15[[#This Row],[Min]])-FIND("-",Table15[[#This Row],[Min]])))&gt;INDIRECT(ADDRESS(11+MATCH(LEFT(Table15[[#This Row],[Min]],FIND("-",Table15[[#This Row],[Min]])-1),Table1[Content Sku],0),16,1,1,"Entities")),"review","ok"),"ok")</f>
        <v>ok</v>
      </c>
    </row>
    <row r="1372" spans="5:25" x14ac:dyDescent="0.25">
      <c r="E1372" t="s">
        <v>338</v>
      </c>
      <c r="F1372">
        <v>0</v>
      </c>
      <c r="G1372">
        <v>30000</v>
      </c>
      <c r="H1372" t="s">
        <v>205</v>
      </c>
      <c r="I1372" s="74" t="str">
        <f ca="1">IF(Table7[[#This Row],[Type]]="KILL",IF(_xlfn.NUMBERVALUE(RIGHT(Table7[[#This Row],[Min]],LEN(Table7[[#This Row],[Min]])-FIND("-",Table7[[#This Row],[Min]])))&gt;INDIRECT(ADDRESS(11+MATCH(LEFT(Table7[[#This Row],[Min]],FIND("-",Table7[[#This Row],[Min]])-1),Table1[Content Sku],0),16,1,1,"Entities")),"review","ok"),"ok")</f>
        <v>ok</v>
      </c>
      <c r="U1372" t="s">
        <v>313</v>
      </c>
      <c r="V1372">
        <v>0</v>
      </c>
      <c r="W1372">
        <v>0</v>
      </c>
      <c r="X1372" t="s">
        <v>8</v>
      </c>
      <c r="Y1372" s="74" t="str">
        <f ca="1">IF(Table15[[#This Row],[Type]]="KILL",IF(_xlfn.NUMBERVALUE(RIGHT(Table15[[#This Row],[Min]],LEN(Table15[[#This Row],[Min]])-FIND("-",Table15[[#This Row],[Min]])))&gt;INDIRECT(ADDRESS(11+MATCH(LEFT(Table15[[#This Row],[Min]],FIND("-",Table15[[#This Row],[Min]])-1),Table1[Content Sku],0),16,1,1,"Entities")),"review","ok"),"ok")</f>
        <v>ok</v>
      </c>
    </row>
    <row r="1373" spans="5:25" x14ac:dyDescent="0.25">
      <c r="E1373" t="s">
        <v>2741</v>
      </c>
      <c r="F1373">
        <v>0</v>
      </c>
      <c r="G1373">
        <v>0</v>
      </c>
      <c r="H1373" t="s">
        <v>8</v>
      </c>
      <c r="I1373" s="74" t="str">
        <f ca="1">IF(Table7[[#This Row],[Type]]="KILL",IF(_xlfn.NUMBERVALUE(RIGHT(Table7[[#This Row],[Min]],LEN(Table7[[#This Row],[Min]])-FIND("-",Table7[[#This Row],[Min]])))&gt;INDIRECT(ADDRESS(11+MATCH(LEFT(Table7[[#This Row],[Min]],FIND("-",Table7[[#This Row],[Min]])-1),Table1[Content Sku],0),16,1,1,"Entities")),"review","ok"),"ok")</f>
        <v>ok</v>
      </c>
      <c r="U1373" t="s">
        <v>36</v>
      </c>
      <c r="V1373">
        <v>46000</v>
      </c>
      <c r="W1373">
        <v>0</v>
      </c>
      <c r="X1373" t="s">
        <v>205</v>
      </c>
      <c r="Y1373" s="74" t="str">
        <f ca="1">IF(Table15[[#This Row],[Type]]="KILL",IF(_xlfn.NUMBERVALUE(RIGHT(Table15[[#This Row],[Min]],LEN(Table15[[#This Row],[Min]])-FIND("-",Table15[[#This Row],[Min]])))&gt;INDIRECT(ADDRESS(11+MATCH(LEFT(Table15[[#This Row],[Min]],FIND("-",Table15[[#This Row],[Min]])-1),Table1[Content Sku],0),16,1,1,"Entities")),"review","ok"),"ok")</f>
        <v>ok</v>
      </c>
    </row>
    <row r="1374" spans="5:25" x14ac:dyDescent="0.25">
      <c r="E1374" t="s">
        <v>311</v>
      </c>
      <c r="F1374">
        <v>0</v>
      </c>
      <c r="G1374">
        <v>0</v>
      </c>
      <c r="H1374" t="s">
        <v>8</v>
      </c>
      <c r="I1374" s="74" t="str">
        <f ca="1">IF(Table7[[#This Row],[Type]]="KILL",IF(_xlfn.NUMBERVALUE(RIGHT(Table7[[#This Row],[Min]],LEN(Table7[[#This Row],[Min]])-FIND("-",Table7[[#This Row],[Min]])))&gt;INDIRECT(ADDRESS(11+MATCH(LEFT(Table7[[#This Row],[Min]],FIND("-",Table7[[#This Row],[Min]])-1),Table1[Content Sku],0),16,1,1,"Entities")),"review","ok"),"ok")</f>
        <v>ok</v>
      </c>
      <c r="U1374" t="s">
        <v>2717</v>
      </c>
      <c r="V1374">
        <v>0</v>
      </c>
      <c r="W1374">
        <v>0</v>
      </c>
      <c r="X1374" t="s">
        <v>8</v>
      </c>
      <c r="Y1374" s="74" t="str">
        <f ca="1">IF(Table15[[#This Row],[Type]]="KILL",IF(_xlfn.NUMBERVALUE(RIGHT(Table15[[#This Row],[Min]],LEN(Table15[[#This Row],[Min]])-FIND("-",Table15[[#This Row],[Min]])))&gt;INDIRECT(ADDRESS(11+MATCH(LEFT(Table15[[#This Row],[Min]],FIND("-",Table15[[#This Row],[Min]])-1),Table1[Content Sku],0),16,1,1,"Entities")),"review","ok"),"ok")</f>
        <v>ok</v>
      </c>
    </row>
    <row r="1375" spans="5:25" x14ac:dyDescent="0.25">
      <c r="E1375" t="s">
        <v>313</v>
      </c>
      <c r="F1375">
        <v>0</v>
      </c>
      <c r="G1375">
        <v>0</v>
      </c>
      <c r="H1375" t="s">
        <v>8</v>
      </c>
      <c r="I1375" s="74" t="str">
        <f ca="1">IF(Table7[[#This Row],[Type]]="KILL",IF(_xlfn.NUMBERVALUE(RIGHT(Table7[[#This Row],[Min]],LEN(Table7[[#This Row],[Min]])-FIND("-",Table7[[#This Row],[Min]])))&gt;INDIRECT(ADDRESS(11+MATCH(LEFT(Table7[[#This Row],[Min]],FIND("-",Table7[[#This Row],[Min]])-1),Table1[Content Sku],0),16,1,1,"Entities")),"review","ok"),"ok")</f>
        <v>ok</v>
      </c>
      <c r="U1375" t="s">
        <v>137</v>
      </c>
      <c r="V1375">
        <v>0</v>
      </c>
      <c r="W1375">
        <v>0</v>
      </c>
      <c r="X1375" t="s">
        <v>8</v>
      </c>
      <c r="Y1375" s="74" t="str">
        <f ca="1">IF(Table15[[#This Row],[Type]]="KILL",IF(_xlfn.NUMBERVALUE(RIGHT(Table15[[#This Row],[Min]],LEN(Table15[[#This Row],[Min]])-FIND("-",Table15[[#This Row],[Min]])))&gt;INDIRECT(ADDRESS(11+MATCH(LEFT(Table15[[#This Row],[Min]],FIND("-",Table15[[#This Row],[Min]])-1),Table1[Content Sku],0),16,1,1,"Entities")),"review","ok"),"ok")</f>
        <v>ok</v>
      </c>
    </row>
    <row r="1376" spans="5:25" x14ac:dyDescent="0.25">
      <c r="E1376" t="s">
        <v>309</v>
      </c>
      <c r="F1376">
        <v>0</v>
      </c>
      <c r="G1376">
        <v>0</v>
      </c>
      <c r="H1376" t="s">
        <v>8</v>
      </c>
      <c r="I1376" s="74" t="str">
        <f ca="1">IF(Table7[[#This Row],[Type]]="KILL",IF(_xlfn.NUMBERVALUE(RIGHT(Table7[[#This Row],[Min]],LEN(Table7[[#This Row],[Min]])-FIND("-",Table7[[#This Row],[Min]])))&gt;INDIRECT(ADDRESS(11+MATCH(LEFT(Table7[[#This Row],[Min]],FIND("-",Table7[[#This Row],[Min]])-1),Table1[Content Sku],0),16,1,1,"Entities")),"review","ok"),"ok")</f>
        <v>ok</v>
      </c>
      <c r="U1376" t="s">
        <v>37</v>
      </c>
      <c r="V1376">
        <v>0</v>
      </c>
      <c r="W1376">
        <v>0</v>
      </c>
      <c r="X1376" t="s">
        <v>8</v>
      </c>
      <c r="Y1376" s="74" t="str">
        <f ca="1">IF(Table15[[#This Row],[Type]]="KILL",IF(_xlfn.NUMBERVALUE(RIGHT(Table15[[#This Row],[Min]],LEN(Table15[[#This Row],[Min]])-FIND("-",Table15[[#This Row],[Min]])))&gt;INDIRECT(ADDRESS(11+MATCH(LEFT(Table15[[#This Row],[Min]],FIND("-",Table15[[#This Row],[Min]])-1),Table1[Content Sku],0),16,1,1,"Entities")),"review","ok"),"ok")</f>
        <v>ok</v>
      </c>
    </row>
    <row r="1377" spans="5:25" x14ac:dyDescent="0.25">
      <c r="E1377" t="s">
        <v>254</v>
      </c>
      <c r="F1377">
        <v>0</v>
      </c>
      <c r="G1377">
        <v>0</v>
      </c>
      <c r="H1377" t="s">
        <v>8</v>
      </c>
      <c r="I1377" s="74" t="str">
        <f ca="1">IF(Table7[[#This Row],[Type]]="KILL",IF(_xlfn.NUMBERVALUE(RIGHT(Table7[[#This Row],[Min]],LEN(Table7[[#This Row],[Min]])-FIND("-",Table7[[#This Row],[Min]])))&gt;INDIRECT(ADDRESS(11+MATCH(LEFT(Table7[[#This Row],[Min]],FIND("-",Table7[[#This Row],[Min]])-1),Table1[Content Sku],0),16,1,1,"Entities")),"review","ok"),"ok")</f>
        <v>ok</v>
      </c>
      <c r="U1377" t="s">
        <v>37</v>
      </c>
      <c r="V1377">
        <v>0</v>
      </c>
      <c r="W1377">
        <v>0</v>
      </c>
      <c r="X1377" t="s">
        <v>8</v>
      </c>
      <c r="Y1377" s="74" t="str">
        <f ca="1">IF(Table15[[#This Row],[Type]]="KILL",IF(_xlfn.NUMBERVALUE(RIGHT(Table15[[#This Row],[Min]],LEN(Table15[[#This Row],[Min]])-FIND("-",Table15[[#This Row],[Min]])))&gt;INDIRECT(ADDRESS(11+MATCH(LEFT(Table15[[#This Row],[Min]],FIND("-",Table15[[#This Row],[Min]])-1),Table1[Content Sku],0),16,1,1,"Entities")),"review","ok"),"ok")</f>
        <v>ok</v>
      </c>
    </row>
    <row r="1378" spans="5:25" x14ac:dyDescent="0.25">
      <c r="E1378" t="s">
        <v>278</v>
      </c>
      <c r="F1378">
        <v>4500</v>
      </c>
      <c r="G1378">
        <v>0</v>
      </c>
      <c r="H1378" t="s">
        <v>205</v>
      </c>
      <c r="I1378" s="74" t="str">
        <f ca="1">IF(Table7[[#This Row],[Type]]="KILL",IF(_xlfn.NUMBERVALUE(RIGHT(Table7[[#This Row],[Min]],LEN(Table7[[#This Row],[Min]])-FIND("-",Table7[[#This Row],[Min]])))&gt;INDIRECT(ADDRESS(11+MATCH(LEFT(Table7[[#This Row],[Min]],FIND("-",Table7[[#This Row],[Min]])-1),Table1[Content Sku],0),16,1,1,"Entities")),"review","ok"),"ok")</f>
        <v>ok</v>
      </c>
      <c r="U1378" t="s">
        <v>548</v>
      </c>
      <c r="V1378">
        <v>0</v>
      </c>
      <c r="W1378">
        <v>0</v>
      </c>
      <c r="X1378" t="s">
        <v>8</v>
      </c>
      <c r="Y1378" s="74" t="str">
        <f ca="1">IF(Table15[[#This Row],[Type]]="KILL",IF(_xlfn.NUMBERVALUE(RIGHT(Table15[[#This Row],[Min]],LEN(Table15[[#This Row],[Min]])-FIND("-",Table15[[#This Row],[Min]])))&gt;INDIRECT(ADDRESS(11+MATCH(LEFT(Table15[[#This Row],[Min]],FIND("-",Table15[[#This Row],[Min]])-1),Table1[Content Sku],0),16,1,1,"Entities")),"review","ok"),"ok")</f>
        <v>ok</v>
      </c>
    </row>
    <row r="1379" spans="5:25" x14ac:dyDescent="0.25">
      <c r="E1379" t="s">
        <v>313</v>
      </c>
      <c r="F1379">
        <v>12000</v>
      </c>
      <c r="G1379">
        <v>0</v>
      </c>
      <c r="H1379" t="s">
        <v>205</v>
      </c>
      <c r="I1379" s="74" t="str">
        <f ca="1">IF(Table7[[#This Row],[Type]]="KILL",IF(_xlfn.NUMBERVALUE(RIGHT(Table7[[#This Row],[Min]],LEN(Table7[[#This Row],[Min]])-FIND("-",Table7[[#This Row],[Min]])))&gt;INDIRECT(ADDRESS(11+MATCH(LEFT(Table7[[#This Row],[Min]],FIND("-",Table7[[#This Row],[Min]])-1),Table1[Content Sku],0),16,1,1,"Entities")),"review","ok"),"ok")</f>
        <v>ok</v>
      </c>
      <c r="U1379" t="s">
        <v>37</v>
      </c>
      <c r="V1379">
        <v>0</v>
      </c>
      <c r="W1379">
        <v>0</v>
      </c>
      <c r="X1379" t="s">
        <v>8</v>
      </c>
      <c r="Y1379" s="74" t="str">
        <f ca="1">IF(Table15[[#This Row],[Type]]="KILL",IF(_xlfn.NUMBERVALUE(RIGHT(Table15[[#This Row],[Min]],LEN(Table15[[#This Row],[Min]])-FIND("-",Table15[[#This Row],[Min]])))&gt;INDIRECT(ADDRESS(11+MATCH(LEFT(Table15[[#This Row],[Min]],FIND("-",Table15[[#This Row],[Min]])-1),Table1[Content Sku],0),16,1,1,"Entities")),"review","ok"),"ok")</f>
        <v>ok</v>
      </c>
    </row>
    <row r="1380" spans="5:25" x14ac:dyDescent="0.25">
      <c r="E1380" t="s">
        <v>45</v>
      </c>
      <c r="F1380">
        <v>0</v>
      </c>
      <c r="G1380">
        <v>0</v>
      </c>
      <c r="H1380" t="s">
        <v>8</v>
      </c>
      <c r="I1380" s="74" t="str">
        <f ca="1">IF(Table7[[#This Row],[Type]]="KILL",IF(_xlfn.NUMBERVALUE(RIGHT(Table7[[#This Row],[Min]],LEN(Table7[[#This Row],[Min]])-FIND("-",Table7[[#This Row],[Min]])))&gt;INDIRECT(ADDRESS(11+MATCH(LEFT(Table7[[#This Row],[Min]],FIND("-",Table7[[#This Row],[Min]])-1),Table1[Content Sku],0),16,1,1,"Entities")),"review","ok"),"ok")</f>
        <v>ok</v>
      </c>
      <c r="U1380" t="s">
        <v>289</v>
      </c>
      <c r="V1380">
        <v>0</v>
      </c>
      <c r="W1380">
        <v>0</v>
      </c>
      <c r="X1380" t="s">
        <v>8</v>
      </c>
      <c r="Y1380" s="74" t="str">
        <f ca="1">IF(Table15[[#This Row],[Type]]="KILL",IF(_xlfn.NUMBERVALUE(RIGHT(Table15[[#This Row],[Min]],LEN(Table15[[#This Row],[Min]])-FIND("-",Table15[[#This Row],[Min]])))&gt;INDIRECT(ADDRESS(11+MATCH(LEFT(Table15[[#This Row],[Min]],FIND("-",Table15[[#This Row],[Min]])-1),Table1[Content Sku],0),16,1,1,"Entities")),"review","ok"),"ok")</f>
        <v>ok</v>
      </c>
    </row>
    <row r="1381" spans="5:25" x14ac:dyDescent="0.25">
      <c r="E1381" t="s">
        <v>8133</v>
      </c>
      <c r="F1381">
        <v>0</v>
      </c>
      <c r="G1381">
        <v>0</v>
      </c>
      <c r="H1381" t="s">
        <v>8</v>
      </c>
      <c r="I1381" s="74" t="str">
        <f ca="1">IF(Table7[[#This Row],[Type]]="KILL",IF(_xlfn.NUMBERVALUE(RIGHT(Table7[[#This Row],[Min]],LEN(Table7[[#This Row],[Min]])-FIND("-",Table7[[#This Row],[Min]])))&gt;INDIRECT(ADDRESS(11+MATCH(LEFT(Table7[[#This Row],[Min]],FIND("-",Table7[[#This Row],[Min]])-1),Table1[Content Sku],0),16,1,1,"Entities")),"review","ok"),"ok")</f>
        <v>ok</v>
      </c>
      <c r="U1381" t="s">
        <v>289</v>
      </c>
      <c r="V1381">
        <v>0</v>
      </c>
      <c r="W1381">
        <v>0</v>
      </c>
      <c r="X1381" t="s">
        <v>8</v>
      </c>
      <c r="Y1381" s="74" t="str">
        <f ca="1">IF(Table15[[#This Row],[Type]]="KILL",IF(_xlfn.NUMBERVALUE(RIGHT(Table15[[#This Row],[Min]],LEN(Table15[[#This Row],[Min]])-FIND("-",Table15[[#This Row],[Min]])))&gt;INDIRECT(ADDRESS(11+MATCH(LEFT(Table15[[#This Row],[Min]],FIND("-",Table15[[#This Row],[Min]])-1),Table1[Content Sku],0),16,1,1,"Entities")),"review","ok"),"ok")</f>
        <v>ok</v>
      </c>
    </row>
    <row r="1382" spans="5:25" x14ac:dyDescent="0.25">
      <c r="E1382" t="s">
        <v>313</v>
      </c>
      <c r="F1382">
        <v>0</v>
      </c>
      <c r="G1382">
        <v>18000</v>
      </c>
      <c r="H1382" t="s">
        <v>205</v>
      </c>
      <c r="I1382" s="74" t="str">
        <f ca="1">IF(Table7[[#This Row],[Type]]="KILL",IF(_xlfn.NUMBERVALUE(RIGHT(Table7[[#This Row],[Min]],LEN(Table7[[#This Row],[Min]])-FIND("-",Table7[[#This Row],[Min]])))&gt;INDIRECT(ADDRESS(11+MATCH(LEFT(Table7[[#This Row],[Min]],FIND("-",Table7[[#This Row],[Min]])-1),Table1[Content Sku],0),16,1,1,"Entities")),"review","ok"),"ok")</f>
        <v>ok</v>
      </c>
      <c r="U1382" t="s">
        <v>289</v>
      </c>
      <c r="V1382">
        <v>0</v>
      </c>
      <c r="W1382">
        <v>0</v>
      </c>
      <c r="X1382" t="s">
        <v>8</v>
      </c>
      <c r="Y1382" s="74" t="str">
        <f ca="1">IF(Table15[[#This Row],[Type]]="KILL",IF(_xlfn.NUMBERVALUE(RIGHT(Table15[[#This Row],[Min]],LEN(Table15[[#This Row],[Min]])-FIND("-",Table15[[#This Row],[Min]])))&gt;INDIRECT(ADDRESS(11+MATCH(LEFT(Table15[[#This Row],[Min]],FIND("-",Table15[[#This Row],[Min]])-1),Table1[Content Sku],0),16,1,1,"Entities")),"review","ok"),"ok")</f>
        <v>ok</v>
      </c>
    </row>
    <row r="1383" spans="5:25" x14ac:dyDescent="0.25">
      <c r="E1383" t="s">
        <v>396</v>
      </c>
      <c r="F1383">
        <v>20000</v>
      </c>
      <c r="G1383">
        <v>0</v>
      </c>
      <c r="H1383" t="s">
        <v>205</v>
      </c>
      <c r="I1383" s="74" t="str">
        <f ca="1">IF(Table7[[#This Row],[Type]]="KILL",IF(_xlfn.NUMBERVALUE(RIGHT(Table7[[#This Row],[Min]],LEN(Table7[[#This Row],[Min]])-FIND("-",Table7[[#This Row],[Min]])))&gt;INDIRECT(ADDRESS(11+MATCH(LEFT(Table7[[#This Row],[Min]],FIND("-",Table7[[#This Row],[Min]])-1),Table1[Content Sku],0),16,1,1,"Entities")),"review","ok"),"ok")</f>
        <v>ok</v>
      </c>
      <c r="U1383" t="s">
        <v>460</v>
      </c>
      <c r="V1383">
        <v>0</v>
      </c>
      <c r="W1383">
        <v>0</v>
      </c>
      <c r="X1383" t="s">
        <v>8</v>
      </c>
      <c r="Y1383" s="74" t="str">
        <f ca="1">IF(Table15[[#This Row],[Type]]="KILL",IF(_xlfn.NUMBERVALUE(RIGHT(Table15[[#This Row],[Min]],LEN(Table15[[#This Row],[Min]])-FIND("-",Table15[[#This Row],[Min]])))&gt;INDIRECT(ADDRESS(11+MATCH(LEFT(Table15[[#This Row],[Min]],FIND("-",Table15[[#This Row],[Min]])-1),Table1[Content Sku],0),16,1,1,"Entities")),"review","ok"),"ok")</f>
        <v>ok</v>
      </c>
    </row>
    <row r="1384" spans="5:25" x14ac:dyDescent="0.25">
      <c r="E1384" t="s">
        <v>254</v>
      </c>
      <c r="F1384">
        <v>0</v>
      </c>
      <c r="G1384">
        <v>20000</v>
      </c>
      <c r="H1384" t="s">
        <v>205</v>
      </c>
      <c r="I1384" s="74" t="str">
        <f ca="1">IF(Table7[[#This Row],[Type]]="KILL",IF(_xlfn.NUMBERVALUE(RIGHT(Table7[[#This Row],[Min]],LEN(Table7[[#This Row],[Min]])-FIND("-",Table7[[#This Row],[Min]])))&gt;INDIRECT(ADDRESS(11+MATCH(LEFT(Table7[[#This Row],[Min]],FIND("-",Table7[[#This Row],[Min]])-1),Table1[Content Sku],0),16,1,1,"Entities")),"review","ok"),"ok")</f>
        <v>ok</v>
      </c>
      <c r="U1384" t="s">
        <v>2717</v>
      </c>
      <c r="V1384">
        <v>48000</v>
      </c>
      <c r="W1384">
        <v>0</v>
      </c>
      <c r="X1384" t="s">
        <v>205</v>
      </c>
      <c r="Y1384" s="74" t="str">
        <f ca="1">IF(Table15[[#This Row],[Type]]="KILL",IF(_xlfn.NUMBERVALUE(RIGHT(Table15[[#This Row],[Min]],LEN(Table15[[#This Row],[Min]])-FIND("-",Table15[[#This Row],[Min]])))&gt;INDIRECT(ADDRESS(11+MATCH(LEFT(Table15[[#This Row],[Min]],FIND("-",Table15[[#This Row],[Min]])-1),Table1[Content Sku],0),16,1,1,"Entities")),"review","ok"),"ok")</f>
        <v>ok</v>
      </c>
    </row>
    <row r="1385" spans="5:25" x14ac:dyDescent="0.25">
      <c r="E1385" t="s">
        <v>2741</v>
      </c>
      <c r="F1385">
        <v>0</v>
      </c>
      <c r="G1385">
        <v>0</v>
      </c>
      <c r="H1385" t="s">
        <v>8</v>
      </c>
      <c r="I1385" s="74" t="str">
        <f ca="1">IF(Table7[[#This Row],[Type]]="KILL",IF(_xlfn.NUMBERVALUE(RIGHT(Table7[[#This Row],[Min]],LEN(Table7[[#This Row],[Min]])-FIND("-",Table7[[#This Row],[Min]])))&gt;INDIRECT(ADDRESS(11+MATCH(LEFT(Table7[[#This Row],[Min]],FIND("-",Table7[[#This Row],[Min]])-1),Table1[Content Sku],0),16,1,1,"Entities")),"review","ok"),"ok")</f>
        <v>ok</v>
      </c>
      <c r="U1385" t="s">
        <v>459</v>
      </c>
      <c r="V1385">
        <v>0</v>
      </c>
      <c r="W1385">
        <v>0</v>
      </c>
      <c r="X1385" t="s">
        <v>8</v>
      </c>
      <c r="Y1385" s="74" t="str">
        <f ca="1">IF(Table15[[#This Row],[Type]]="KILL",IF(_xlfn.NUMBERVALUE(RIGHT(Table15[[#This Row],[Min]],LEN(Table15[[#This Row],[Min]])-FIND("-",Table15[[#This Row],[Min]])))&gt;INDIRECT(ADDRESS(11+MATCH(LEFT(Table15[[#This Row],[Min]],FIND("-",Table15[[#This Row],[Min]])-1),Table1[Content Sku],0),16,1,1,"Entities")),"review","ok"),"ok")</f>
        <v>ok</v>
      </c>
    </row>
    <row r="1386" spans="5:25" x14ac:dyDescent="0.25">
      <c r="E1386" t="s">
        <v>8133</v>
      </c>
      <c r="F1386">
        <v>0</v>
      </c>
      <c r="G1386">
        <v>0</v>
      </c>
      <c r="H1386" t="s">
        <v>8</v>
      </c>
      <c r="I1386" s="74" t="str">
        <f ca="1">IF(Table7[[#This Row],[Type]]="KILL",IF(_xlfn.NUMBERVALUE(RIGHT(Table7[[#This Row],[Min]],LEN(Table7[[#This Row],[Min]])-FIND("-",Table7[[#This Row],[Min]])))&gt;INDIRECT(ADDRESS(11+MATCH(LEFT(Table7[[#This Row],[Min]],FIND("-",Table7[[#This Row],[Min]])-1),Table1[Content Sku],0),16,1,1,"Entities")),"review","ok"),"ok")</f>
        <v>ok</v>
      </c>
      <c r="U1386" t="s">
        <v>51</v>
      </c>
      <c r="V1386">
        <v>420</v>
      </c>
      <c r="W1386">
        <v>0</v>
      </c>
      <c r="X1386" t="s">
        <v>4431</v>
      </c>
      <c r="Y1386" s="74" t="str">
        <f ca="1">IF(Table15[[#This Row],[Type]]="KILL",IF(_xlfn.NUMBERVALUE(RIGHT(Table15[[#This Row],[Min]],LEN(Table15[[#This Row],[Min]])-FIND("-",Table15[[#This Row],[Min]])))&gt;INDIRECT(ADDRESS(11+MATCH(LEFT(Table15[[#This Row],[Min]],FIND("-",Table15[[#This Row],[Min]])-1),Table1[Content Sku],0),16,1,1,"Entities")),"review","ok"),"ok")</f>
        <v>ok</v>
      </c>
    </row>
    <row r="1387" spans="5:25" x14ac:dyDescent="0.25">
      <c r="E1387" t="s">
        <v>254</v>
      </c>
      <c r="F1387">
        <v>0</v>
      </c>
      <c r="G1387">
        <v>0</v>
      </c>
      <c r="H1387" t="s">
        <v>8</v>
      </c>
      <c r="I1387" s="74" t="str">
        <f ca="1">IF(Table7[[#This Row],[Type]]="KILL",IF(_xlfn.NUMBERVALUE(RIGHT(Table7[[#This Row],[Min]],LEN(Table7[[#This Row],[Min]])-FIND("-",Table7[[#This Row],[Min]])))&gt;INDIRECT(ADDRESS(11+MATCH(LEFT(Table7[[#This Row],[Min]],FIND("-",Table7[[#This Row],[Min]])-1),Table1[Content Sku],0),16,1,1,"Entities")),"review","ok"),"ok")</f>
        <v>ok</v>
      </c>
      <c r="U1387" t="s">
        <v>2720</v>
      </c>
      <c r="V1387">
        <v>0</v>
      </c>
      <c r="W1387">
        <v>0</v>
      </c>
      <c r="X1387" t="s">
        <v>8</v>
      </c>
      <c r="Y1387" s="74" t="str">
        <f ca="1">IF(Table15[[#This Row],[Type]]="KILL",IF(_xlfn.NUMBERVALUE(RIGHT(Table15[[#This Row],[Min]],LEN(Table15[[#This Row],[Min]])-FIND("-",Table15[[#This Row],[Min]])))&gt;INDIRECT(ADDRESS(11+MATCH(LEFT(Table15[[#This Row],[Min]],FIND("-",Table15[[#This Row],[Min]])-1),Table1[Content Sku],0),16,1,1,"Entities")),"review","ok"),"ok")</f>
        <v>ok</v>
      </c>
    </row>
    <row r="1388" spans="5:25" x14ac:dyDescent="0.25">
      <c r="E1388" t="s">
        <v>2741</v>
      </c>
      <c r="F1388">
        <v>0</v>
      </c>
      <c r="G1388">
        <v>0</v>
      </c>
      <c r="H1388" t="s">
        <v>8</v>
      </c>
      <c r="I1388" s="74" t="str">
        <f ca="1">IF(Table7[[#This Row],[Type]]="KILL",IF(_xlfn.NUMBERVALUE(RIGHT(Table7[[#This Row],[Min]],LEN(Table7[[#This Row],[Min]])-FIND("-",Table7[[#This Row],[Min]])))&gt;INDIRECT(ADDRESS(11+MATCH(LEFT(Table7[[#This Row],[Min]],FIND("-",Table7[[#This Row],[Min]])-1),Table1[Content Sku],0),16,1,1,"Entities")),"review","ok"),"ok")</f>
        <v>ok</v>
      </c>
      <c r="U1388" t="s">
        <v>457</v>
      </c>
      <c r="V1388">
        <v>0</v>
      </c>
      <c r="W1388">
        <v>0</v>
      </c>
      <c r="X1388" t="s">
        <v>8</v>
      </c>
      <c r="Y1388" s="74" t="str">
        <f ca="1">IF(Table15[[#This Row],[Type]]="KILL",IF(_xlfn.NUMBERVALUE(RIGHT(Table15[[#This Row],[Min]],LEN(Table15[[#This Row],[Min]])-FIND("-",Table15[[#This Row],[Min]])))&gt;INDIRECT(ADDRESS(11+MATCH(LEFT(Table15[[#This Row],[Min]],FIND("-",Table15[[#This Row],[Min]])-1),Table1[Content Sku],0),16,1,1,"Entities")),"review","ok"),"ok")</f>
        <v>ok</v>
      </c>
    </row>
    <row r="1389" spans="5:25" x14ac:dyDescent="0.25">
      <c r="E1389" t="s">
        <v>545</v>
      </c>
      <c r="F1389">
        <v>0</v>
      </c>
      <c r="G1389">
        <v>0</v>
      </c>
      <c r="H1389" t="s">
        <v>8</v>
      </c>
      <c r="I1389" s="74" t="str">
        <f ca="1">IF(Table7[[#This Row],[Type]]="KILL",IF(_xlfn.NUMBERVALUE(RIGHT(Table7[[#This Row],[Min]],LEN(Table7[[#This Row],[Min]])-FIND("-",Table7[[#This Row],[Min]])))&gt;INDIRECT(ADDRESS(11+MATCH(LEFT(Table7[[#This Row],[Min]],FIND("-",Table7[[#This Row],[Min]])-1),Table1[Content Sku],0),16,1,1,"Entities")),"review","ok"),"ok")</f>
        <v>ok</v>
      </c>
      <c r="U1389" t="s">
        <v>313</v>
      </c>
      <c r="V1389">
        <v>0</v>
      </c>
      <c r="W1389">
        <v>0</v>
      </c>
      <c r="X1389" t="s">
        <v>8</v>
      </c>
      <c r="Y1389" s="74" t="str">
        <f ca="1">IF(Table15[[#This Row],[Type]]="KILL",IF(_xlfn.NUMBERVALUE(RIGHT(Table15[[#This Row],[Min]],LEN(Table15[[#This Row],[Min]])-FIND("-",Table15[[#This Row],[Min]])))&gt;INDIRECT(ADDRESS(11+MATCH(LEFT(Table15[[#This Row],[Min]],FIND("-",Table15[[#This Row],[Min]])-1),Table1[Content Sku],0),16,1,1,"Entities")),"review","ok"),"ok")</f>
        <v>ok</v>
      </c>
    </row>
    <row r="1390" spans="5:25" x14ac:dyDescent="0.25">
      <c r="E1390" t="s">
        <v>396</v>
      </c>
      <c r="F1390">
        <v>0</v>
      </c>
      <c r="G1390">
        <v>0</v>
      </c>
      <c r="H1390" t="s">
        <v>8</v>
      </c>
      <c r="I1390" s="74" t="str">
        <f ca="1">IF(Table7[[#This Row],[Type]]="KILL",IF(_xlfn.NUMBERVALUE(RIGHT(Table7[[#This Row],[Min]],LEN(Table7[[#This Row],[Min]])-FIND("-",Table7[[#This Row],[Min]])))&gt;INDIRECT(ADDRESS(11+MATCH(LEFT(Table7[[#This Row],[Min]],FIND("-",Table7[[#This Row],[Min]])-1),Table1[Content Sku],0),16,1,1,"Entities")),"review","ok"),"ok")</f>
        <v>ok</v>
      </c>
      <c r="U1390" t="s">
        <v>37</v>
      </c>
      <c r="V1390">
        <v>0</v>
      </c>
      <c r="W1390">
        <v>0</v>
      </c>
      <c r="X1390" t="s">
        <v>8</v>
      </c>
      <c r="Y1390" s="74" t="str">
        <f ca="1">IF(Table15[[#This Row],[Type]]="KILL",IF(_xlfn.NUMBERVALUE(RIGHT(Table15[[#This Row],[Min]],LEN(Table15[[#This Row],[Min]])-FIND("-",Table15[[#This Row],[Min]])))&gt;INDIRECT(ADDRESS(11+MATCH(LEFT(Table15[[#This Row],[Min]],FIND("-",Table15[[#This Row],[Min]])-1),Table1[Content Sku],0),16,1,1,"Entities")),"review","ok"),"ok")</f>
        <v>ok</v>
      </c>
    </row>
    <row r="1391" spans="5:25" x14ac:dyDescent="0.25">
      <c r="E1391" t="s">
        <v>403</v>
      </c>
      <c r="F1391">
        <v>0</v>
      </c>
      <c r="G1391">
        <v>0</v>
      </c>
      <c r="H1391" t="s">
        <v>8</v>
      </c>
      <c r="I1391" s="74" t="str">
        <f ca="1">IF(Table7[[#This Row],[Type]]="KILL",IF(_xlfn.NUMBERVALUE(RIGHT(Table7[[#This Row],[Min]],LEN(Table7[[#This Row],[Min]])-FIND("-",Table7[[#This Row],[Min]])))&gt;INDIRECT(ADDRESS(11+MATCH(LEFT(Table7[[#This Row],[Min]],FIND("-",Table7[[#This Row],[Min]])-1),Table1[Content Sku],0),16,1,1,"Entities")),"review","ok"),"ok")</f>
        <v>ok</v>
      </c>
      <c r="U1391" t="s">
        <v>123</v>
      </c>
      <c r="V1391">
        <v>0</v>
      </c>
      <c r="W1391">
        <v>0</v>
      </c>
      <c r="X1391" t="s">
        <v>8</v>
      </c>
      <c r="Y1391" s="74" t="str">
        <f ca="1">IF(Table15[[#This Row],[Type]]="KILL",IF(_xlfn.NUMBERVALUE(RIGHT(Table15[[#This Row],[Min]],LEN(Table15[[#This Row],[Min]])-FIND("-",Table15[[#This Row],[Min]])))&gt;INDIRECT(ADDRESS(11+MATCH(LEFT(Table15[[#This Row],[Min]],FIND("-",Table15[[#This Row],[Min]])-1),Table1[Content Sku],0),16,1,1,"Entities")),"review","ok"),"ok")</f>
        <v>ok</v>
      </c>
    </row>
    <row r="1392" spans="5:25" x14ac:dyDescent="0.25">
      <c r="E1392" t="s">
        <v>278</v>
      </c>
      <c r="F1392">
        <v>0</v>
      </c>
      <c r="G1392">
        <v>0</v>
      </c>
      <c r="H1392" t="s">
        <v>8</v>
      </c>
      <c r="I1392" s="74" t="str">
        <f ca="1">IF(Table7[[#This Row],[Type]]="KILL",IF(_xlfn.NUMBERVALUE(RIGHT(Table7[[#This Row],[Min]],LEN(Table7[[#This Row],[Min]])-FIND("-",Table7[[#This Row],[Min]])))&gt;INDIRECT(ADDRESS(11+MATCH(LEFT(Table7[[#This Row],[Min]],FIND("-",Table7[[#This Row],[Min]])-1),Table1[Content Sku],0),16,1,1,"Entities")),"review","ok"),"ok")</f>
        <v>ok</v>
      </c>
      <c r="U1392" t="s">
        <v>2717</v>
      </c>
      <c r="V1392">
        <v>35000</v>
      </c>
      <c r="W1392">
        <v>0</v>
      </c>
      <c r="X1392" t="s">
        <v>205</v>
      </c>
      <c r="Y1392" s="74" t="str">
        <f ca="1">IF(Table15[[#This Row],[Type]]="KILL",IF(_xlfn.NUMBERVALUE(RIGHT(Table15[[#This Row],[Min]],LEN(Table15[[#This Row],[Min]])-FIND("-",Table15[[#This Row],[Min]])))&gt;INDIRECT(ADDRESS(11+MATCH(LEFT(Table15[[#This Row],[Min]],FIND("-",Table15[[#This Row],[Min]])-1),Table1[Content Sku],0),16,1,1,"Entities")),"review","ok"),"ok")</f>
        <v>ok</v>
      </c>
    </row>
    <row r="1393" spans="5:25" x14ac:dyDescent="0.25">
      <c r="E1393" t="s">
        <v>315</v>
      </c>
      <c r="F1393">
        <v>0</v>
      </c>
      <c r="G1393">
        <v>0</v>
      </c>
      <c r="H1393" t="s">
        <v>8</v>
      </c>
      <c r="I1393" s="74" t="str">
        <f ca="1">IF(Table7[[#This Row],[Type]]="KILL",IF(_xlfn.NUMBERVALUE(RIGHT(Table7[[#This Row],[Min]],LEN(Table7[[#This Row],[Min]])-FIND("-",Table7[[#This Row],[Min]])))&gt;INDIRECT(ADDRESS(11+MATCH(LEFT(Table7[[#This Row],[Min]],FIND("-",Table7[[#This Row],[Min]])-1),Table1[Content Sku],0),16,1,1,"Entities")),"review","ok"),"ok")</f>
        <v>ok</v>
      </c>
      <c r="U1393" t="s">
        <v>37</v>
      </c>
      <c r="V1393">
        <v>0</v>
      </c>
      <c r="W1393">
        <v>0</v>
      </c>
      <c r="X1393" t="s">
        <v>8</v>
      </c>
      <c r="Y1393" s="74" t="str">
        <f ca="1">IF(Table15[[#This Row],[Type]]="KILL",IF(_xlfn.NUMBERVALUE(RIGHT(Table15[[#This Row],[Min]],LEN(Table15[[#This Row],[Min]])-FIND("-",Table15[[#This Row],[Min]])))&gt;INDIRECT(ADDRESS(11+MATCH(LEFT(Table15[[#This Row],[Min]],FIND("-",Table15[[#This Row],[Min]])-1),Table1[Content Sku],0),16,1,1,"Entities")),"review","ok"),"ok")</f>
        <v>ok</v>
      </c>
    </row>
    <row r="1394" spans="5:25" x14ac:dyDescent="0.25">
      <c r="E1394" t="s">
        <v>10</v>
      </c>
      <c r="F1394">
        <v>0</v>
      </c>
      <c r="G1394">
        <v>0</v>
      </c>
      <c r="H1394" t="s">
        <v>8</v>
      </c>
      <c r="I1394" s="74" t="str">
        <f ca="1">IF(Table7[[#This Row],[Type]]="KILL",IF(_xlfn.NUMBERVALUE(RIGHT(Table7[[#This Row],[Min]],LEN(Table7[[#This Row],[Min]])-FIND("-",Table7[[#This Row],[Min]])))&gt;INDIRECT(ADDRESS(11+MATCH(LEFT(Table7[[#This Row],[Min]],FIND("-",Table7[[#This Row],[Min]])-1),Table1[Content Sku],0),16,1,1,"Entities")),"review","ok"),"ok")</f>
        <v>ok</v>
      </c>
      <c r="U1394" t="s">
        <v>2720</v>
      </c>
      <c r="V1394">
        <v>0</v>
      </c>
      <c r="W1394">
        <v>0</v>
      </c>
      <c r="X1394" t="s">
        <v>8</v>
      </c>
      <c r="Y1394" s="74" t="str">
        <f ca="1">IF(Table15[[#This Row],[Type]]="KILL",IF(_xlfn.NUMBERVALUE(RIGHT(Table15[[#This Row],[Min]],LEN(Table15[[#This Row],[Min]])-FIND("-",Table15[[#This Row],[Min]])))&gt;INDIRECT(ADDRESS(11+MATCH(LEFT(Table15[[#This Row],[Min]],FIND("-",Table15[[#This Row],[Min]])-1),Table1[Content Sku],0),16,1,1,"Entities")),"review","ok"),"ok")</f>
        <v>ok</v>
      </c>
    </row>
    <row r="1395" spans="5:25" x14ac:dyDescent="0.25">
      <c r="E1395" t="s">
        <v>313</v>
      </c>
      <c r="F1395">
        <v>0</v>
      </c>
      <c r="G1395">
        <v>0</v>
      </c>
      <c r="H1395" t="s">
        <v>8</v>
      </c>
      <c r="I1395" s="74" t="str">
        <f ca="1">IF(Table7[[#This Row],[Type]]="KILL",IF(_xlfn.NUMBERVALUE(RIGHT(Table7[[#This Row],[Min]],LEN(Table7[[#This Row],[Min]])-FIND("-",Table7[[#This Row],[Min]])))&gt;INDIRECT(ADDRESS(11+MATCH(LEFT(Table7[[#This Row],[Min]],FIND("-",Table7[[#This Row],[Min]])-1),Table1[Content Sku],0),16,1,1,"Entities")),"review","ok"),"ok")</f>
        <v>ok</v>
      </c>
      <c r="U1395" t="s">
        <v>37</v>
      </c>
      <c r="V1395">
        <v>0</v>
      </c>
      <c r="W1395">
        <v>0</v>
      </c>
      <c r="X1395" t="s">
        <v>8</v>
      </c>
      <c r="Y1395" s="74" t="str">
        <f ca="1">IF(Table15[[#This Row],[Type]]="KILL",IF(_xlfn.NUMBERVALUE(RIGHT(Table15[[#This Row],[Min]],LEN(Table15[[#This Row],[Min]])-FIND("-",Table15[[#This Row],[Min]])))&gt;INDIRECT(ADDRESS(11+MATCH(LEFT(Table15[[#This Row],[Min]],FIND("-",Table15[[#This Row],[Min]])-1),Table1[Content Sku],0),16,1,1,"Entities")),"review","ok"),"ok")</f>
        <v>ok</v>
      </c>
    </row>
    <row r="1396" spans="5:25" x14ac:dyDescent="0.25">
      <c r="E1396" t="s">
        <v>253</v>
      </c>
      <c r="F1396">
        <v>0</v>
      </c>
      <c r="G1396">
        <v>0</v>
      </c>
      <c r="H1396" t="s">
        <v>8</v>
      </c>
      <c r="I1396" s="74" t="str">
        <f ca="1">IF(Table7[[#This Row],[Type]]="KILL",IF(_xlfn.NUMBERVALUE(RIGHT(Table7[[#This Row],[Min]],LEN(Table7[[#This Row],[Min]])-FIND("-",Table7[[#This Row],[Min]])))&gt;INDIRECT(ADDRESS(11+MATCH(LEFT(Table7[[#This Row],[Min]],FIND("-",Table7[[#This Row],[Min]])-1),Table1[Content Sku],0),16,1,1,"Entities")),"review","ok"),"ok")</f>
        <v>ok</v>
      </c>
      <c r="U1396" t="s">
        <v>37</v>
      </c>
      <c r="V1396">
        <v>0</v>
      </c>
      <c r="W1396">
        <v>0</v>
      </c>
      <c r="X1396" t="s">
        <v>8</v>
      </c>
      <c r="Y1396" s="74" t="str">
        <f ca="1">IF(Table15[[#This Row],[Type]]="KILL",IF(_xlfn.NUMBERVALUE(RIGHT(Table15[[#This Row],[Min]],LEN(Table15[[#This Row],[Min]])-FIND("-",Table15[[#This Row],[Min]])))&gt;INDIRECT(ADDRESS(11+MATCH(LEFT(Table15[[#This Row],[Min]],FIND("-",Table15[[#This Row],[Min]])-1),Table1[Content Sku],0),16,1,1,"Entities")),"review","ok"),"ok")</f>
        <v>ok</v>
      </c>
    </row>
    <row r="1397" spans="5:25" x14ac:dyDescent="0.25">
      <c r="E1397" t="s">
        <v>2741</v>
      </c>
      <c r="F1397">
        <v>0</v>
      </c>
      <c r="G1397">
        <v>0</v>
      </c>
      <c r="H1397" t="s">
        <v>8</v>
      </c>
      <c r="I1397" s="74" t="str">
        <f ca="1">IF(Table7[[#This Row],[Type]]="KILL",IF(_xlfn.NUMBERVALUE(RIGHT(Table7[[#This Row],[Min]],LEN(Table7[[#This Row],[Min]])-FIND("-",Table7[[#This Row],[Min]])))&gt;INDIRECT(ADDRESS(11+MATCH(LEFT(Table7[[#This Row],[Min]],FIND("-",Table7[[#This Row],[Min]])-1),Table1[Content Sku],0),16,1,1,"Entities")),"review","ok"),"ok")</f>
        <v>ok</v>
      </c>
      <c r="U1397" t="s">
        <v>36</v>
      </c>
      <c r="V1397">
        <v>44000</v>
      </c>
      <c r="W1397">
        <v>0</v>
      </c>
      <c r="X1397" t="s">
        <v>205</v>
      </c>
      <c r="Y1397" s="74" t="str">
        <f ca="1">IF(Table15[[#This Row],[Type]]="KILL",IF(_xlfn.NUMBERVALUE(RIGHT(Table15[[#This Row],[Min]],LEN(Table15[[#This Row],[Min]])-FIND("-",Table15[[#This Row],[Min]])))&gt;INDIRECT(ADDRESS(11+MATCH(LEFT(Table15[[#This Row],[Min]],FIND("-",Table15[[#This Row],[Min]])-1),Table1[Content Sku],0),16,1,1,"Entities")),"review","ok"),"ok")</f>
        <v>ok</v>
      </c>
    </row>
    <row r="1398" spans="5:25" x14ac:dyDescent="0.25">
      <c r="E1398" t="s">
        <v>273</v>
      </c>
      <c r="F1398">
        <v>10000</v>
      </c>
      <c r="G1398">
        <v>0</v>
      </c>
      <c r="H1398" t="s">
        <v>205</v>
      </c>
      <c r="I1398" s="74" t="str">
        <f ca="1">IF(Table7[[#This Row],[Type]]="KILL",IF(_xlfn.NUMBERVALUE(RIGHT(Table7[[#This Row],[Min]],LEN(Table7[[#This Row],[Min]])-FIND("-",Table7[[#This Row],[Min]])))&gt;INDIRECT(ADDRESS(11+MATCH(LEFT(Table7[[#This Row],[Min]],FIND("-",Table7[[#This Row],[Min]])-1),Table1[Content Sku],0),16,1,1,"Entities")),"review","ok"),"ok")</f>
        <v>ok</v>
      </c>
      <c r="U1398" t="s">
        <v>37</v>
      </c>
      <c r="V1398">
        <v>0</v>
      </c>
      <c r="W1398">
        <v>0</v>
      </c>
      <c r="X1398" t="s">
        <v>8</v>
      </c>
      <c r="Y1398" s="74" t="str">
        <f ca="1">IF(Table15[[#This Row],[Type]]="KILL",IF(_xlfn.NUMBERVALUE(RIGHT(Table15[[#This Row],[Min]],LEN(Table15[[#This Row],[Min]])-FIND("-",Table15[[#This Row],[Min]])))&gt;INDIRECT(ADDRESS(11+MATCH(LEFT(Table15[[#This Row],[Min]],FIND("-",Table15[[#This Row],[Min]])-1),Table1[Content Sku],0),16,1,1,"Entities")),"review","ok"),"ok")</f>
        <v>ok</v>
      </c>
    </row>
    <row r="1399" spans="5:25" x14ac:dyDescent="0.25">
      <c r="E1399" t="s">
        <v>280</v>
      </c>
      <c r="F1399">
        <v>0</v>
      </c>
      <c r="G1399">
        <v>0</v>
      </c>
      <c r="H1399" t="s">
        <v>8</v>
      </c>
      <c r="I1399" s="74" t="str">
        <f ca="1">IF(Table7[[#This Row],[Type]]="KILL",IF(_xlfn.NUMBERVALUE(RIGHT(Table7[[#This Row],[Min]],LEN(Table7[[#This Row],[Min]])-FIND("-",Table7[[#This Row],[Min]])))&gt;INDIRECT(ADDRESS(11+MATCH(LEFT(Table7[[#This Row],[Min]],FIND("-",Table7[[#This Row],[Min]])-1),Table1[Content Sku],0),16,1,1,"Entities")),"review","ok"),"ok")</f>
        <v>ok</v>
      </c>
      <c r="U1399" t="s">
        <v>457</v>
      </c>
      <c r="V1399">
        <v>0</v>
      </c>
      <c r="W1399">
        <v>0</v>
      </c>
      <c r="X1399" t="s">
        <v>8</v>
      </c>
      <c r="Y1399" s="74" t="str">
        <f ca="1">IF(Table15[[#This Row],[Type]]="KILL",IF(_xlfn.NUMBERVALUE(RIGHT(Table15[[#This Row],[Min]],LEN(Table15[[#This Row],[Min]])-FIND("-",Table15[[#This Row],[Min]])))&gt;INDIRECT(ADDRESS(11+MATCH(LEFT(Table15[[#This Row],[Min]],FIND("-",Table15[[#This Row],[Min]])-1),Table1[Content Sku],0),16,1,1,"Entities")),"review","ok"),"ok")</f>
        <v>ok</v>
      </c>
    </row>
    <row r="1400" spans="5:25" x14ac:dyDescent="0.25">
      <c r="E1400" t="s">
        <v>313</v>
      </c>
      <c r="F1400">
        <v>0</v>
      </c>
      <c r="G1400">
        <v>22000</v>
      </c>
      <c r="H1400" t="s">
        <v>205</v>
      </c>
      <c r="I1400" s="74" t="str">
        <f ca="1">IF(Table7[[#This Row],[Type]]="KILL",IF(_xlfn.NUMBERVALUE(RIGHT(Table7[[#This Row],[Min]],LEN(Table7[[#This Row],[Min]])-FIND("-",Table7[[#This Row],[Min]])))&gt;INDIRECT(ADDRESS(11+MATCH(LEFT(Table7[[#This Row],[Min]],FIND("-",Table7[[#This Row],[Min]])-1),Table1[Content Sku],0),16,1,1,"Entities")),"review","ok"),"ok")</f>
        <v>ok</v>
      </c>
      <c r="U1400" t="s">
        <v>123</v>
      </c>
      <c r="V1400">
        <v>0</v>
      </c>
      <c r="W1400">
        <v>0</v>
      </c>
      <c r="X1400" t="s">
        <v>8</v>
      </c>
      <c r="Y1400" s="74" t="str">
        <f ca="1">IF(Table15[[#This Row],[Type]]="KILL",IF(_xlfn.NUMBERVALUE(RIGHT(Table15[[#This Row],[Min]],LEN(Table15[[#This Row],[Min]])-FIND("-",Table15[[#This Row],[Min]])))&gt;INDIRECT(ADDRESS(11+MATCH(LEFT(Table15[[#This Row],[Min]],FIND("-",Table15[[#This Row],[Min]])-1),Table1[Content Sku],0),16,1,1,"Entities")),"review","ok"),"ok")</f>
        <v>ok</v>
      </c>
    </row>
    <row r="1401" spans="5:25" x14ac:dyDescent="0.25">
      <c r="E1401" t="s">
        <v>398</v>
      </c>
      <c r="F1401">
        <v>0</v>
      </c>
      <c r="G1401">
        <v>0</v>
      </c>
      <c r="H1401" t="s">
        <v>8</v>
      </c>
      <c r="I1401" s="74" t="str">
        <f ca="1">IF(Table7[[#This Row],[Type]]="KILL",IF(_xlfn.NUMBERVALUE(RIGHT(Table7[[#This Row],[Min]],LEN(Table7[[#This Row],[Min]])-FIND("-",Table7[[#This Row],[Min]])))&gt;INDIRECT(ADDRESS(11+MATCH(LEFT(Table7[[#This Row],[Min]],FIND("-",Table7[[#This Row],[Min]])-1),Table1[Content Sku],0),16,1,1,"Entities")),"review","ok"),"ok")</f>
        <v>ok</v>
      </c>
      <c r="U1401" t="s">
        <v>2720</v>
      </c>
      <c r="V1401">
        <v>0</v>
      </c>
      <c r="W1401">
        <v>0</v>
      </c>
      <c r="X1401" t="s">
        <v>8</v>
      </c>
      <c r="Y1401" s="74" t="str">
        <f ca="1">IF(Table15[[#This Row],[Type]]="KILL",IF(_xlfn.NUMBERVALUE(RIGHT(Table15[[#This Row],[Min]],LEN(Table15[[#This Row],[Min]])-FIND("-",Table15[[#This Row],[Min]])))&gt;INDIRECT(ADDRESS(11+MATCH(LEFT(Table15[[#This Row],[Min]],FIND("-",Table15[[#This Row],[Min]])-1),Table1[Content Sku],0),16,1,1,"Entities")),"review","ok"),"ok")</f>
        <v>ok</v>
      </c>
    </row>
    <row r="1402" spans="5:25" x14ac:dyDescent="0.25">
      <c r="E1402" t="s">
        <v>2741</v>
      </c>
      <c r="F1402">
        <v>0</v>
      </c>
      <c r="G1402">
        <v>0</v>
      </c>
      <c r="H1402" t="s">
        <v>8</v>
      </c>
      <c r="I1402" s="74" t="str">
        <f ca="1">IF(Table7[[#This Row],[Type]]="KILL",IF(_xlfn.NUMBERVALUE(RIGHT(Table7[[#This Row],[Min]],LEN(Table7[[#This Row],[Min]])-FIND("-",Table7[[#This Row],[Min]])))&gt;INDIRECT(ADDRESS(11+MATCH(LEFT(Table7[[#This Row],[Min]],FIND("-",Table7[[#This Row],[Min]])-1),Table1[Content Sku],0),16,1,1,"Entities")),"review","ok"),"ok")</f>
        <v>ok</v>
      </c>
      <c r="U1402" t="s">
        <v>37</v>
      </c>
      <c r="V1402">
        <v>0</v>
      </c>
      <c r="W1402">
        <v>0</v>
      </c>
      <c r="X1402" t="s">
        <v>8</v>
      </c>
      <c r="Y1402" s="74" t="str">
        <f ca="1">IF(Table15[[#This Row],[Type]]="KILL",IF(_xlfn.NUMBERVALUE(RIGHT(Table15[[#This Row],[Min]],LEN(Table15[[#This Row],[Min]])-FIND("-",Table15[[#This Row],[Min]])))&gt;INDIRECT(ADDRESS(11+MATCH(LEFT(Table15[[#This Row],[Min]],FIND("-",Table15[[#This Row],[Min]])-1),Table1[Content Sku],0),16,1,1,"Entities")),"review","ok"),"ok")</f>
        <v>ok</v>
      </c>
    </row>
    <row r="1403" spans="5:25" x14ac:dyDescent="0.25">
      <c r="E1403" t="s">
        <v>2741</v>
      </c>
      <c r="F1403">
        <v>0</v>
      </c>
      <c r="G1403">
        <v>0</v>
      </c>
      <c r="H1403" t="s">
        <v>8</v>
      </c>
      <c r="I1403" s="74" t="str">
        <f ca="1">IF(Table7[[#This Row],[Type]]="KILL",IF(_xlfn.NUMBERVALUE(RIGHT(Table7[[#This Row],[Min]],LEN(Table7[[#This Row],[Min]])-FIND("-",Table7[[#This Row],[Min]])))&gt;INDIRECT(ADDRESS(11+MATCH(LEFT(Table7[[#This Row],[Min]],FIND("-",Table7[[#This Row],[Min]])-1),Table1[Content Sku],0),16,1,1,"Entities")),"review","ok"),"ok")</f>
        <v>ok</v>
      </c>
      <c r="U1403" t="s">
        <v>459</v>
      </c>
      <c r="V1403">
        <v>0</v>
      </c>
      <c r="W1403">
        <v>0</v>
      </c>
      <c r="X1403" t="s">
        <v>8</v>
      </c>
      <c r="Y1403" s="74" t="str">
        <f ca="1">IF(Table15[[#This Row],[Type]]="KILL",IF(_xlfn.NUMBERVALUE(RIGHT(Table15[[#This Row],[Min]],LEN(Table15[[#This Row],[Min]])-FIND("-",Table15[[#This Row],[Min]])))&gt;INDIRECT(ADDRESS(11+MATCH(LEFT(Table15[[#This Row],[Min]],FIND("-",Table15[[#This Row],[Min]])-1),Table1[Content Sku],0),16,1,1,"Entities")),"review","ok"),"ok")</f>
        <v>ok</v>
      </c>
    </row>
    <row r="1404" spans="5:25" x14ac:dyDescent="0.25">
      <c r="E1404" t="s">
        <v>2741</v>
      </c>
      <c r="F1404">
        <v>0</v>
      </c>
      <c r="G1404">
        <v>0</v>
      </c>
      <c r="H1404" t="s">
        <v>8</v>
      </c>
      <c r="I1404" s="74" t="str">
        <f ca="1">IF(Table7[[#This Row],[Type]]="KILL",IF(_xlfn.NUMBERVALUE(RIGHT(Table7[[#This Row],[Min]],LEN(Table7[[#This Row],[Min]])-FIND("-",Table7[[#This Row],[Min]])))&gt;INDIRECT(ADDRESS(11+MATCH(LEFT(Table7[[#This Row],[Min]],FIND("-",Table7[[#This Row],[Min]])-1),Table1[Content Sku],0),16,1,1,"Entities")),"review","ok"),"ok")</f>
        <v>ok</v>
      </c>
      <c r="U1404" t="s">
        <v>457</v>
      </c>
      <c r="V1404">
        <v>0</v>
      </c>
      <c r="W1404">
        <v>0</v>
      </c>
      <c r="X1404" t="s">
        <v>8</v>
      </c>
      <c r="Y1404" s="74" t="str">
        <f ca="1">IF(Table15[[#This Row],[Type]]="KILL",IF(_xlfn.NUMBERVALUE(RIGHT(Table15[[#This Row],[Min]],LEN(Table15[[#This Row],[Min]])-FIND("-",Table15[[#This Row],[Min]])))&gt;INDIRECT(ADDRESS(11+MATCH(LEFT(Table15[[#This Row],[Min]],FIND("-",Table15[[#This Row],[Min]])-1),Table1[Content Sku],0),16,1,1,"Entities")),"review","ok"),"ok")</f>
        <v>ok</v>
      </c>
    </row>
    <row r="1405" spans="5:25" x14ac:dyDescent="0.25">
      <c r="E1405" t="s">
        <v>37</v>
      </c>
      <c r="F1405">
        <v>0</v>
      </c>
      <c r="G1405">
        <v>18000</v>
      </c>
      <c r="H1405" t="s">
        <v>205</v>
      </c>
      <c r="I1405" s="74" t="str">
        <f ca="1">IF(Table7[[#This Row],[Type]]="KILL",IF(_xlfn.NUMBERVALUE(RIGHT(Table7[[#This Row],[Min]],LEN(Table7[[#This Row],[Min]])-FIND("-",Table7[[#This Row],[Min]])))&gt;INDIRECT(ADDRESS(11+MATCH(LEFT(Table7[[#This Row],[Min]],FIND("-",Table7[[#This Row],[Min]])-1),Table1[Content Sku],0),16,1,1,"Entities")),"review","ok"),"ok")</f>
        <v>ok</v>
      </c>
      <c r="U1405" t="s">
        <v>315</v>
      </c>
      <c r="V1405">
        <v>0</v>
      </c>
      <c r="W1405">
        <v>43000</v>
      </c>
      <c r="X1405" t="s">
        <v>205</v>
      </c>
      <c r="Y1405" s="74" t="str">
        <f ca="1">IF(Table15[[#This Row],[Type]]="KILL",IF(_xlfn.NUMBERVALUE(RIGHT(Table15[[#This Row],[Min]],LEN(Table15[[#This Row],[Min]])-FIND("-",Table15[[#This Row],[Min]])))&gt;INDIRECT(ADDRESS(11+MATCH(LEFT(Table15[[#This Row],[Min]],FIND("-",Table15[[#This Row],[Min]])-1),Table1[Content Sku],0),16,1,1,"Entities")),"review","ok"),"ok")</f>
        <v>ok</v>
      </c>
    </row>
    <row r="1406" spans="5:25" x14ac:dyDescent="0.25">
      <c r="E1406" t="s">
        <v>2741</v>
      </c>
      <c r="F1406">
        <v>0</v>
      </c>
      <c r="G1406">
        <v>0</v>
      </c>
      <c r="H1406" t="s">
        <v>8</v>
      </c>
      <c r="I1406" s="74" t="str">
        <f ca="1">IF(Table7[[#This Row],[Type]]="KILL",IF(_xlfn.NUMBERVALUE(RIGHT(Table7[[#This Row],[Min]],LEN(Table7[[#This Row],[Min]])-FIND("-",Table7[[#This Row],[Min]])))&gt;INDIRECT(ADDRESS(11+MATCH(LEFT(Table7[[#This Row],[Min]],FIND("-",Table7[[#This Row],[Min]])-1),Table1[Content Sku],0),16,1,1,"Entities")),"review","ok"),"ok")</f>
        <v>ok</v>
      </c>
      <c r="U1406" t="s">
        <v>315</v>
      </c>
      <c r="V1406">
        <v>0</v>
      </c>
      <c r="W1406">
        <v>0</v>
      </c>
      <c r="X1406" t="s">
        <v>8</v>
      </c>
      <c r="Y1406" s="74" t="str">
        <f ca="1">IF(Table15[[#This Row],[Type]]="KILL",IF(_xlfn.NUMBERVALUE(RIGHT(Table15[[#This Row],[Min]],LEN(Table15[[#This Row],[Min]])-FIND("-",Table15[[#This Row],[Min]])))&gt;INDIRECT(ADDRESS(11+MATCH(LEFT(Table15[[#This Row],[Min]],FIND("-",Table15[[#This Row],[Min]])-1),Table1[Content Sku],0),16,1,1,"Entities")),"review","ok"),"ok")</f>
        <v>ok</v>
      </c>
    </row>
    <row r="1407" spans="5:25" x14ac:dyDescent="0.25">
      <c r="E1407" t="s">
        <v>8133</v>
      </c>
      <c r="F1407">
        <v>0</v>
      </c>
      <c r="G1407">
        <v>0</v>
      </c>
      <c r="H1407" t="s">
        <v>8</v>
      </c>
      <c r="I1407" s="74" t="str">
        <f ca="1">IF(Table7[[#This Row],[Type]]="KILL",IF(_xlfn.NUMBERVALUE(RIGHT(Table7[[#This Row],[Min]],LEN(Table7[[#This Row],[Min]])-FIND("-",Table7[[#This Row],[Min]])))&gt;INDIRECT(ADDRESS(11+MATCH(LEFT(Table7[[#This Row],[Min]],FIND("-",Table7[[#This Row],[Min]])-1),Table1[Content Sku],0),16,1,1,"Entities")),"review","ok"),"ok")</f>
        <v>ok</v>
      </c>
      <c r="U1407" t="s">
        <v>396</v>
      </c>
      <c r="V1407">
        <v>0</v>
      </c>
      <c r="W1407">
        <v>0</v>
      </c>
      <c r="X1407" t="s">
        <v>8</v>
      </c>
      <c r="Y1407" s="74" t="str">
        <f ca="1">IF(Table15[[#This Row],[Type]]="KILL",IF(_xlfn.NUMBERVALUE(RIGHT(Table15[[#This Row],[Min]],LEN(Table15[[#This Row],[Min]])-FIND("-",Table15[[#This Row],[Min]])))&gt;INDIRECT(ADDRESS(11+MATCH(LEFT(Table15[[#This Row],[Min]],FIND("-",Table15[[#This Row],[Min]])-1),Table1[Content Sku],0),16,1,1,"Entities")),"review","ok"),"ok")</f>
        <v>ok</v>
      </c>
    </row>
    <row r="1408" spans="5:25" x14ac:dyDescent="0.25">
      <c r="E1408" t="s">
        <v>90</v>
      </c>
      <c r="F1408">
        <v>0</v>
      </c>
      <c r="G1408">
        <v>0</v>
      </c>
      <c r="H1408" t="s">
        <v>8</v>
      </c>
      <c r="I1408" s="74" t="str">
        <f ca="1">IF(Table7[[#This Row],[Type]]="KILL",IF(_xlfn.NUMBERVALUE(RIGHT(Table7[[#This Row],[Min]],LEN(Table7[[#This Row],[Min]])-FIND("-",Table7[[#This Row],[Min]])))&gt;INDIRECT(ADDRESS(11+MATCH(LEFT(Table7[[#This Row],[Min]],FIND("-",Table7[[#This Row],[Min]])-1),Table1[Content Sku],0),16,1,1,"Entities")),"review","ok"),"ok")</f>
        <v>ok</v>
      </c>
      <c r="U1408" t="s">
        <v>460</v>
      </c>
      <c r="V1408">
        <v>0</v>
      </c>
      <c r="W1408">
        <v>0</v>
      </c>
      <c r="X1408" t="s">
        <v>8</v>
      </c>
      <c r="Y1408" s="74" t="str">
        <f ca="1">IF(Table15[[#This Row],[Type]]="KILL",IF(_xlfn.NUMBERVALUE(RIGHT(Table15[[#This Row],[Min]],LEN(Table15[[#This Row],[Min]])-FIND("-",Table15[[#This Row],[Min]])))&gt;INDIRECT(ADDRESS(11+MATCH(LEFT(Table15[[#This Row],[Min]],FIND("-",Table15[[#This Row],[Min]])-1),Table1[Content Sku],0),16,1,1,"Entities")),"review","ok"),"ok")</f>
        <v>ok</v>
      </c>
    </row>
    <row r="1409" spans="5:25" x14ac:dyDescent="0.25">
      <c r="E1409" t="s">
        <v>548</v>
      </c>
      <c r="F1409">
        <v>0</v>
      </c>
      <c r="G1409">
        <v>0</v>
      </c>
      <c r="H1409" t="s">
        <v>8</v>
      </c>
      <c r="I1409" s="74" t="str">
        <f ca="1">IF(Table7[[#This Row],[Type]]="KILL",IF(_xlfn.NUMBERVALUE(RIGHT(Table7[[#This Row],[Min]],LEN(Table7[[#This Row],[Min]])-FIND("-",Table7[[#This Row],[Min]])))&gt;INDIRECT(ADDRESS(11+MATCH(LEFT(Table7[[#This Row],[Min]],FIND("-",Table7[[#This Row],[Min]])-1),Table1[Content Sku],0),16,1,1,"Entities")),"review","ok"),"ok")</f>
        <v>ok</v>
      </c>
      <c r="U1409" t="s">
        <v>36</v>
      </c>
      <c r="V1409">
        <v>0</v>
      </c>
      <c r="W1409">
        <v>0</v>
      </c>
      <c r="X1409" t="s">
        <v>8</v>
      </c>
      <c r="Y1409" s="74" t="str">
        <f ca="1">IF(Table15[[#This Row],[Type]]="KILL",IF(_xlfn.NUMBERVALUE(RIGHT(Table15[[#This Row],[Min]],LEN(Table15[[#This Row],[Min]])-FIND("-",Table15[[#This Row],[Min]])))&gt;INDIRECT(ADDRESS(11+MATCH(LEFT(Table15[[#This Row],[Min]],FIND("-",Table15[[#This Row],[Min]])-1),Table1[Content Sku],0),16,1,1,"Entities")),"review","ok"),"ok")</f>
        <v>ok</v>
      </c>
    </row>
    <row r="1410" spans="5:25" x14ac:dyDescent="0.25">
      <c r="E1410" t="s">
        <v>400</v>
      </c>
      <c r="F1410">
        <v>0</v>
      </c>
      <c r="G1410">
        <v>0</v>
      </c>
      <c r="H1410" t="s">
        <v>8</v>
      </c>
      <c r="I1410" s="74" t="str">
        <f ca="1">IF(Table7[[#This Row],[Type]]="KILL",IF(_xlfn.NUMBERVALUE(RIGHT(Table7[[#This Row],[Min]],LEN(Table7[[#This Row],[Min]])-FIND("-",Table7[[#This Row],[Min]])))&gt;INDIRECT(ADDRESS(11+MATCH(LEFT(Table7[[#This Row],[Min]],FIND("-",Table7[[#This Row],[Min]])-1),Table1[Content Sku],0),16,1,1,"Entities")),"review","ok"),"ok")</f>
        <v>ok</v>
      </c>
      <c r="U1410" t="s">
        <v>457</v>
      </c>
      <c r="V1410">
        <v>0</v>
      </c>
      <c r="W1410">
        <v>0</v>
      </c>
      <c r="X1410" t="s">
        <v>8</v>
      </c>
      <c r="Y1410" s="74" t="str">
        <f ca="1">IF(Table15[[#This Row],[Type]]="KILL",IF(_xlfn.NUMBERVALUE(RIGHT(Table15[[#This Row],[Min]],LEN(Table15[[#This Row],[Min]])-FIND("-",Table15[[#This Row],[Min]])))&gt;INDIRECT(ADDRESS(11+MATCH(LEFT(Table15[[#This Row],[Min]],FIND("-",Table15[[#This Row],[Min]])-1),Table1[Content Sku],0),16,1,1,"Entities")),"review","ok"),"ok")</f>
        <v>ok</v>
      </c>
    </row>
    <row r="1411" spans="5:25" x14ac:dyDescent="0.25">
      <c r="E1411" t="s">
        <v>254</v>
      </c>
      <c r="F1411">
        <v>0</v>
      </c>
      <c r="G1411">
        <v>27000</v>
      </c>
      <c r="H1411" t="s">
        <v>205</v>
      </c>
      <c r="I1411" s="74" t="str">
        <f ca="1">IF(Table7[[#This Row],[Type]]="KILL",IF(_xlfn.NUMBERVALUE(RIGHT(Table7[[#This Row],[Min]],LEN(Table7[[#This Row],[Min]])-FIND("-",Table7[[#This Row],[Min]])))&gt;INDIRECT(ADDRESS(11+MATCH(LEFT(Table7[[#This Row],[Min]],FIND("-",Table7[[#This Row],[Min]])-1),Table1[Content Sku],0),16,1,1,"Entities")),"review","ok"),"ok")</f>
        <v>ok</v>
      </c>
      <c r="U1411" t="s">
        <v>457</v>
      </c>
      <c r="V1411">
        <v>0</v>
      </c>
      <c r="W1411">
        <v>0</v>
      </c>
      <c r="X1411" t="s">
        <v>8</v>
      </c>
      <c r="Y1411" s="74" t="str">
        <f ca="1">IF(Table15[[#This Row],[Type]]="KILL",IF(_xlfn.NUMBERVALUE(RIGHT(Table15[[#This Row],[Min]],LEN(Table15[[#This Row],[Min]])-FIND("-",Table15[[#This Row],[Min]])))&gt;INDIRECT(ADDRESS(11+MATCH(LEFT(Table15[[#This Row],[Min]],FIND("-",Table15[[#This Row],[Min]])-1),Table1[Content Sku],0),16,1,1,"Entities")),"review","ok"),"ok")</f>
        <v>ok</v>
      </c>
    </row>
    <row r="1412" spans="5:25" x14ac:dyDescent="0.25">
      <c r="E1412" t="s">
        <v>254</v>
      </c>
      <c r="F1412">
        <v>0</v>
      </c>
      <c r="G1412">
        <v>0</v>
      </c>
      <c r="H1412" t="s">
        <v>8</v>
      </c>
      <c r="I1412" s="74" t="str">
        <f ca="1">IF(Table7[[#This Row],[Type]]="KILL",IF(_xlfn.NUMBERVALUE(RIGHT(Table7[[#This Row],[Min]],LEN(Table7[[#This Row],[Min]])-FIND("-",Table7[[#This Row],[Min]])))&gt;INDIRECT(ADDRESS(11+MATCH(LEFT(Table7[[#This Row],[Min]],FIND("-",Table7[[#This Row],[Min]])-1),Table1[Content Sku],0),16,1,1,"Entities")),"review","ok"),"ok")</f>
        <v>ok</v>
      </c>
      <c r="U1412" t="s">
        <v>22</v>
      </c>
      <c r="V1412">
        <v>50000</v>
      </c>
      <c r="W1412">
        <v>0</v>
      </c>
      <c r="X1412" t="s">
        <v>205</v>
      </c>
      <c r="Y1412" s="74" t="str">
        <f ca="1">IF(Table15[[#This Row],[Type]]="KILL",IF(_xlfn.NUMBERVALUE(RIGHT(Table15[[#This Row],[Min]],LEN(Table15[[#This Row],[Min]])-FIND("-",Table15[[#This Row],[Min]])))&gt;INDIRECT(ADDRESS(11+MATCH(LEFT(Table15[[#This Row],[Min]],FIND("-",Table15[[#This Row],[Min]])-1),Table1[Content Sku],0),16,1,1,"Entities")),"review","ok"),"ok")</f>
        <v>ok</v>
      </c>
    </row>
    <row r="1413" spans="5:25" x14ac:dyDescent="0.25">
      <c r="E1413" t="s">
        <v>398</v>
      </c>
      <c r="F1413">
        <v>0</v>
      </c>
      <c r="G1413">
        <v>0</v>
      </c>
      <c r="H1413" t="s">
        <v>8</v>
      </c>
      <c r="I1413" s="74" t="str">
        <f ca="1">IF(Table7[[#This Row],[Type]]="KILL",IF(_xlfn.NUMBERVALUE(RIGHT(Table7[[#This Row],[Min]],LEN(Table7[[#This Row],[Min]])-FIND("-",Table7[[#This Row],[Min]])))&gt;INDIRECT(ADDRESS(11+MATCH(LEFT(Table7[[#This Row],[Min]],FIND("-",Table7[[#This Row],[Min]])-1),Table1[Content Sku],0),16,1,1,"Entities")),"review","ok"),"ok")</f>
        <v>ok</v>
      </c>
      <c r="U1413" t="s">
        <v>457</v>
      </c>
      <c r="V1413">
        <v>0</v>
      </c>
      <c r="W1413">
        <v>0</v>
      </c>
      <c r="X1413" t="s">
        <v>8</v>
      </c>
      <c r="Y1413" s="74" t="str">
        <f ca="1">IF(Table15[[#This Row],[Type]]="KILL",IF(_xlfn.NUMBERVALUE(RIGHT(Table15[[#This Row],[Min]],LEN(Table15[[#This Row],[Min]])-FIND("-",Table15[[#This Row],[Min]])))&gt;INDIRECT(ADDRESS(11+MATCH(LEFT(Table15[[#This Row],[Min]],FIND("-",Table15[[#This Row],[Min]])-1),Table1[Content Sku],0),16,1,1,"Entities")),"review","ok"),"ok")</f>
        <v>ok</v>
      </c>
    </row>
    <row r="1414" spans="5:25" x14ac:dyDescent="0.25">
      <c r="E1414" t="s">
        <v>91</v>
      </c>
      <c r="F1414">
        <v>0</v>
      </c>
      <c r="G1414">
        <v>25000</v>
      </c>
      <c r="H1414" t="s">
        <v>205</v>
      </c>
      <c r="I1414" s="74" t="str">
        <f ca="1">IF(Table7[[#This Row],[Type]]="KILL",IF(_xlfn.NUMBERVALUE(RIGHT(Table7[[#This Row],[Min]],LEN(Table7[[#This Row],[Min]])-FIND("-",Table7[[#This Row],[Min]])))&gt;INDIRECT(ADDRESS(11+MATCH(LEFT(Table7[[#This Row],[Min]],FIND("-",Table7[[#This Row],[Min]])-1),Table1[Content Sku],0),16,1,1,"Entities")),"review","ok"),"ok")</f>
        <v>ok</v>
      </c>
      <c r="U1414" t="s">
        <v>37</v>
      </c>
      <c r="V1414">
        <v>0</v>
      </c>
      <c r="W1414">
        <v>0</v>
      </c>
      <c r="X1414" t="s">
        <v>8</v>
      </c>
      <c r="Y1414" s="74" t="str">
        <f ca="1">IF(Table15[[#This Row],[Type]]="KILL",IF(_xlfn.NUMBERVALUE(RIGHT(Table15[[#This Row],[Min]],LEN(Table15[[#This Row],[Min]])-FIND("-",Table15[[#This Row],[Min]])))&gt;INDIRECT(ADDRESS(11+MATCH(LEFT(Table15[[#This Row],[Min]],FIND("-",Table15[[#This Row],[Min]])-1),Table1[Content Sku],0),16,1,1,"Entities")),"review","ok"),"ok")</f>
        <v>ok</v>
      </c>
    </row>
    <row r="1415" spans="5:25" x14ac:dyDescent="0.25">
      <c r="E1415" t="s">
        <v>254</v>
      </c>
      <c r="F1415">
        <v>0</v>
      </c>
      <c r="G1415">
        <v>0</v>
      </c>
      <c r="H1415" t="s">
        <v>8</v>
      </c>
      <c r="I1415" s="74" t="str">
        <f ca="1">IF(Table7[[#This Row],[Type]]="KILL",IF(_xlfn.NUMBERVALUE(RIGHT(Table7[[#This Row],[Min]],LEN(Table7[[#This Row],[Min]])-FIND("-",Table7[[#This Row],[Min]])))&gt;INDIRECT(ADDRESS(11+MATCH(LEFT(Table7[[#This Row],[Min]],FIND("-",Table7[[#This Row],[Min]])-1),Table1[Content Sku],0),16,1,1,"Entities")),"review","ok"),"ok")</f>
        <v>ok</v>
      </c>
      <c r="U1415" t="s">
        <v>38</v>
      </c>
      <c r="V1415">
        <v>0</v>
      </c>
      <c r="W1415">
        <v>0</v>
      </c>
      <c r="X1415" t="s">
        <v>8</v>
      </c>
      <c r="Y1415" s="74" t="str">
        <f ca="1">IF(Table15[[#This Row],[Type]]="KILL",IF(_xlfn.NUMBERVALUE(RIGHT(Table15[[#This Row],[Min]],LEN(Table15[[#This Row],[Min]])-FIND("-",Table15[[#This Row],[Min]])))&gt;INDIRECT(ADDRESS(11+MATCH(LEFT(Table15[[#This Row],[Min]],FIND("-",Table15[[#This Row],[Min]])-1),Table1[Content Sku],0),16,1,1,"Entities")),"review","ok"),"ok")</f>
        <v>ok</v>
      </c>
    </row>
    <row r="1416" spans="5:25" x14ac:dyDescent="0.25">
      <c r="E1416" t="s">
        <v>92</v>
      </c>
      <c r="F1416">
        <v>0</v>
      </c>
      <c r="G1416">
        <v>0</v>
      </c>
      <c r="H1416" t="s">
        <v>8</v>
      </c>
      <c r="I1416" s="74" t="str">
        <f ca="1">IF(Table7[[#This Row],[Type]]="KILL",IF(_xlfn.NUMBERVALUE(RIGHT(Table7[[#This Row],[Min]],LEN(Table7[[#This Row],[Min]])-FIND("-",Table7[[#This Row],[Min]])))&gt;INDIRECT(ADDRESS(11+MATCH(LEFT(Table7[[#This Row],[Min]],FIND("-",Table7[[#This Row],[Min]])-1),Table1[Content Sku],0),16,1,1,"Entities")),"review","ok"),"ok")</f>
        <v>ok</v>
      </c>
      <c r="U1416" t="s">
        <v>122</v>
      </c>
      <c r="V1416">
        <v>0</v>
      </c>
      <c r="W1416">
        <v>0</v>
      </c>
      <c r="X1416" t="s">
        <v>8</v>
      </c>
      <c r="Y1416" s="74" t="str">
        <f ca="1">IF(Table15[[#This Row],[Type]]="KILL",IF(_xlfn.NUMBERVALUE(RIGHT(Table15[[#This Row],[Min]],LEN(Table15[[#This Row],[Min]])-FIND("-",Table15[[#This Row],[Min]])))&gt;INDIRECT(ADDRESS(11+MATCH(LEFT(Table15[[#This Row],[Min]],FIND("-",Table15[[#This Row],[Min]])-1),Table1[Content Sku],0),16,1,1,"Entities")),"review","ok"),"ok")</f>
        <v>ok</v>
      </c>
    </row>
    <row r="1417" spans="5:25" x14ac:dyDescent="0.25">
      <c r="E1417" t="s">
        <v>2741</v>
      </c>
      <c r="F1417">
        <v>0</v>
      </c>
      <c r="G1417">
        <v>0</v>
      </c>
      <c r="H1417" t="s">
        <v>8</v>
      </c>
      <c r="I1417" s="74" t="str">
        <f ca="1">IF(Table7[[#This Row],[Type]]="KILL",IF(_xlfn.NUMBERVALUE(RIGHT(Table7[[#This Row],[Min]],LEN(Table7[[#This Row],[Min]])-FIND("-",Table7[[#This Row],[Min]])))&gt;INDIRECT(ADDRESS(11+MATCH(LEFT(Table7[[#This Row],[Min]],FIND("-",Table7[[#This Row],[Min]])-1),Table1[Content Sku],0),16,1,1,"Entities")),"review","ok"),"ok")</f>
        <v>ok</v>
      </c>
      <c r="U1417" t="s">
        <v>2720</v>
      </c>
      <c r="V1417">
        <v>0</v>
      </c>
      <c r="W1417">
        <v>0</v>
      </c>
      <c r="X1417" t="s">
        <v>8</v>
      </c>
      <c r="Y1417" s="74" t="str">
        <f ca="1">IF(Table15[[#This Row],[Type]]="KILL",IF(_xlfn.NUMBERVALUE(RIGHT(Table15[[#This Row],[Min]],LEN(Table15[[#This Row],[Min]])-FIND("-",Table15[[#This Row],[Min]])))&gt;INDIRECT(ADDRESS(11+MATCH(LEFT(Table15[[#This Row],[Min]],FIND("-",Table15[[#This Row],[Min]])-1),Table1[Content Sku],0),16,1,1,"Entities")),"review","ok"),"ok")</f>
        <v>ok</v>
      </c>
    </row>
    <row r="1418" spans="5:25" x14ac:dyDescent="0.25">
      <c r="E1418" t="s">
        <v>253</v>
      </c>
      <c r="F1418">
        <v>0</v>
      </c>
      <c r="G1418">
        <v>0</v>
      </c>
      <c r="H1418" t="s">
        <v>8</v>
      </c>
      <c r="I1418" s="74" t="str">
        <f ca="1">IF(Table7[[#This Row],[Type]]="KILL",IF(_xlfn.NUMBERVALUE(RIGHT(Table7[[#This Row],[Min]],LEN(Table7[[#This Row],[Min]])-FIND("-",Table7[[#This Row],[Min]])))&gt;INDIRECT(ADDRESS(11+MATCH(LEFT(Table7[[#This Row],[Min]],FIND("-",Table7[[#This Row],[Min]])-1),Table1[Content Sku],0),16,1,1,"Entities")),"review","ok"),"ok")</f>
        <v>ok</v>
      </c>
      <c r="U1418" t="s">
        <v>396</v>
      </c>
      <c r="V1418">
        <v>300</v>
      </c>
      <c r="W1418">
        <v>0</v>
      </c>
      <c r="X1418" t="s">
        <v>4431</v>
      </c>
      <c r="Y1418" s="74" t="str">
        <f ca="1">IF(Table15[[#This Row],[Type]]="KILL",IF(_xlfn.NUMBERVALUE(RIGHT(Table15[[#This Row],[Min]],LEN(Table15[[#This Row],[Min]])-FIND("-",Table15[[#This Row],[Min]])))&gt;INDIRECT(ADDRESS(11+MATCH(LEFT(Table15[[#This Row],[Min]],FIND("-",Table15[[#This Row],[Min]])-1),Table1[Content Sku],0),16,1,1,"Entities")),"review","ok"),"ok")</f>
        <v>ok</v>
      </c>
    </row>
    <row r="1419" spans="5:25" x14ac:dyDescent="0.25">
      <c r="E1419" t="s">
        <v>318</v>
      </c>
      <c r="F1419">
        <v>0</v>
      </c>
      <c r="G1419">
        <v>0</v>
      </c>
      <c r="H1419" t="s">
        <v>8</v>
      </c>
      <c r="I1419" s="74" t="str">
        <f ca="1">IF(Table7[[#This Row],[Type]]="KILL",IF(_xlfn.NUMBERVALUE(RIGHT(Table7[[#This Row],[Min]],LEN(Table7[[#This Row],[Min]])-FIND("-",Table7[[#This Row],[Min]])))&gt;INDIRECT(ADDRESS(11+MATCH(LEFT(Table7[[#This Row],[Min]],FIND("-",Table7[[#This Row],[Min]])-1),Table1[Content Sku],0),16,1,1,"Entities")),"review","ok"),"ok")</f>
        <v>ok</v>
      </c>
      <c r="U1419" t="s">
        <v>123</v>
      </c>
      <c r="V1419">
        <v>0</v>
      </c>
      <c r="W1419">
        <v>0</v>
      </c>
      <c r="X1419" t="s">
        <v>8</v>
      </c>
      <c r="Y1419" s="74" t="str">
        <f ca="1">IF(Table15[[#This Row],[Type]]="KILL",IF(_xlfn.NUMBERVALUE(RIGHT(Table15[[#This Row],[Min]],LEN(Table15[[#This Row],[Min]])-FIND("-",Table15[[#This Row],[Min]])))&gt;INDIRECT(ADDRESS(11+MATCH(LEFT(Table15[[#This Row],[Min]],FIND("-",Table15[[#This Row],[Min]])-1),Table1[Content Sku],0),16,1,1,"Entities")),"review","ok"),"ok")</f>
        <v>ok</v>
      </c>
    </row>
    <row r="1420" spans="5:25" x14ac:dyDescent="0.25">
      <c r="E1420" t="s">
        <v>254</v>
      </c>
      <c r="F1420">
        <v>0</v>
      </c>
      <c r="G1420">
        <v>0</v>
      </c>
      <c r="H1420" t="s">
        <v>8</v>
      </c>
      <c r="I1420" s="74" t="str">
        <f ca="1">IF(Table7[[#This Row],[Type]]="KILL",IF(_xlfn.NUMBERVALUE(RIGHT(Table7[[#This Row],[Min]],LEN(Table7[[#This Row],[Min]])-FIND("-",Table7[[#This Row],[Min]])))&gt;INDIRECT(ADDRESS(11+MATCH(LEFT(Table7[[#This Row],[Min]],FIND("-",Table7[[#This Row],[Min]])-1),Table1[Content Sku],0),16,1,1,"Entities")),"review","ok"),"ok")</f>
        <v>ok</v>
      </c>
      <c r="U1420" t="s">
        <v>457</v>
      </c>
      <c r="V1420">
        <v>0</v>
      </c>
      <c r="W1420">
        <v>0</v>
      </c>
      <c r="X1420" t="s">
        <v>8</v>
      </c>
      <c r="Y1420" s="74" t="str">
        <f ca="1">IF(Table15[[#This Row],[Type]]="KILL",IF(_xlfn.NUMBERVALUE(RIGHT(Table15[[#This Row],[Min]],LEN(Table15[[#This Row],[Min]])-FIND("-",Table15[[#This Row],[Min]])))&gt;INDIRECT(ADDRESS(11+MATCH(LEFT(Table15[[#This Row],[Min]],FIND("-",Table15[[#This Row],[Min]])-1),Table1[Content Sku],0),16,1,1,"Entities")),"review","ok"),"ok")</f>
        <v>ok</v>
      </c>
    </row>
    <row r="1421" spans="5:25" x14ac:dyDescent="0.25">
      <c r="E1421" t="s">
        <v>2741</v>
      </c>
      <c r="F1421">
        <v>0</v>
      </c>
      <c r="G1421">
        <v>0</v>
      </c>
      <c r="H1421" t="s">
        <v>8</v>
      </c>
      <c r="I1421" s="74" t="str">
        <f ca="1">IF(Table7[[#This Row],[Type]]="KILL",IF(_xlfn.NUMBERVALUE(RIGHT(Table7[[#This Row],[Min]],LEN(Table7[[#This Row],[Min]])-FIND("-",Table7[[#This Row],[Min]])))&gt;INDIRECT(ADDRESS(11+MATCH(LEFT(Table7[[#This Row],[Min]],FIND("-",Table7[[#This Row],[Min]])-1),Table1[Content Sku],0),16,1,1,"Entities")),"review","ok"),"ok")</f>
        <v>ok</v>
      </c>
      <c r="U1421" t="s">
        <v>443</v>
      </c>
      <c r="V1421">
        <v>38000</v>
      </c>
      <c r="W1421">
        <v>0</v>
      </c>
      <c r="X1421" t="s">
        <v>205</v>
      </c>
      <c r="Y1421" s="74" t="str">
        <f ca="1">IF(Table15[[#This Row],[Type]]="KILL",IF(_xlfn.NUMBERVALUE(RIGHT(Table15[[#This Row],[Min]],LEN(Table15[[#This Row],[Min]])-FIND("-",Table15[[#This Row],[Min]])))&gt;INDIRECT(ADDRESS(11+MATCH(LEFT(Table15[[#This Row],[Min]],FIND("-",Table15[[#This Row],[Min]])-1),Table1[Content Sku],0),16,1,1,"Entities")),"review","ok"),"ok")</f>
        <v>ok</v>
      </c>
    </row>
    <row r="1422" spans="5:25" x14ac:dyDescent="0.25">
      <c r="E1422" t="s">
        <v>2723</v>
      </c>
      <c r="F1422">
        <v>0</v>
      </c>
      <c r="G1422">
        <v>0</v>
      </c>
      <c r="H1422" t="s">
        <v>8</v>
      </c>
      <c r="I1422" s="74" t="str">
        <f ca="1">IF(Table7[[#This Row],[Type]]="KILL",IF(_xlfn.NUMBERVALUE(RIGHT(Table7[[#This Row],[Min]],LEN(Table7[[#This Row],[Min]])-FIND("-",Table7[[#This Row],[Min]])))&gt;INDIRECT(ADDRESS(11+MATCH(LEFT(Table7[[#This Row],[Min]],FIND("-",Table7[[#This Row],[Min]])-1),Table1[Content Sku],0),16,1,1,"Entities")),"review","ok"),"ok")</f>
        <v>ok</v>
      </c>
      <c r="U1422" t="s">
        <v>289</v>
      </c>
      <c r="V1422">
        <v>0</v>
      </c>
      <c r="W1422">
        <v>0</v>
      </c>
      <c r="X1422" t="s">
        <v>8</v>
      </c>
      <c r="Y1422" s="74" t="str">
        <f ca="1">IF(Table15[[#This Row],[Type]]="KILL",IF(_xlfn.NUMBERVALUE(RIGHT(Table15[[#This Row],[Min]],LEN(Table15[[#This Row],[Min]])-FIND("-",Table15[[#This Row],[Min]])))&gt;INDIRECT(ADDRESS(11+MATCH(LEFT(Table15[[#This Row],[Min]],FIND("-",Table15[[#This Row],[Min]])-1),Table1[Content Sku],0),16,1,1,"Entities")),"review","ok"),"ok")</f>
        <v>ok</v>
      </c>
    </row>
    <row r="1423" spans="5:25" x14ac:dyDescent="0.25">
      <c r="E1423" t="s">
        <v>315</v>
      </c>
      <c r="F1423">
        <v>0</v>
      </c>
      <c r="G1423">
        <v>0</v>
      </c>
      <c r="H1423" t="s">
        <v>8</v>
      </c>
      <c r="I1423" s="74" t="str">
        <f ca="1">IF(Table7[[#This Row],[Type]]="KILL",IF(_xlfn.NUMBERVALUE(RIGHT(Table7[[#This Row],[Min]],LEN(Table7[[#This Row],[Min]])-FIND("-",Table7[[#This Row],[Min]])))&gt;INDIRECT(ADDRESS(11+MATCH(LEFT(Table7[[#This Row],[Min]],FIND("-",Table7[[#This Row],[Min]])-1),Table1[Content Sku],0),16,1,1,"Entities")),"review","ok"),"ok")</f>
        <v>ok</v>
      </c>
      <c r="U1423" t="s">
        <v>457</v>
      </c>
      <c r="V1423">
        <v>0</v>
      </c>
      <c r="W1423">
        <v>0</v>
      </c>
      <c r="X1423" t="s">
        <v>8</v>
      </c>
      <c r="Y1423" s="74" t="str">
        <f ca="1">IF(Table15[[#This Row],[Type]]="KILL",IF(_xlfn.NUMBERVALUE(RIGHT(Table15[[#This Row],[Min]],LEN(Table15[[#This Row],[Min]])-FIND("-",Table15[[#This Row],[Min]])))&gt;INDIRECT(ADDRESS(11+MATCH(LEFT(Table15[[#This Row],[Min]],FIND("-",Table15[[#This Row],[Min]])-1),Table1[Content Sku],0),16,1,1,"Entities")),"review","ok"),"ok")</f>
        <v>ok</v>
      </c>
    </row>
    <row r="1424" spans="5:25" x14ac:dyDescent="0.25">
      <c r="E1424" t="s">
        <v>8133</v>
      </c>
      <c r="F1424">
        <v>0</v>
      </c>
      <c r="G1424">
        <v>0</v>
      </c>
      <c r="H1424" t="s">
        <v>8</v>
      </c>
      <c r="I1424" s="74" t="str">
        <f ca="1">IF(Table7[[#This Row],[Type]]="KILL",IF(_xlfn.NUMBERVALUE(RIGHT(Table7[[#This Row],[Min]],LEN(Table7[[#This Row],[Min]])-FIND("-",Table7[[#This Row],[Min]])))&gt;INDIRECT(ADDRESS(11+MATCH(LEFT(Table7[[#This Row],[Min]],FIND("-",Table7[[#This Row],[Min]])-1),Table1[Content Sku],0),16,1,1,"Entities")),"review","ok"),"ok")</f>
        <v>ok</v>
      </c>
      <c r="U1424" t="s">
        <v>2717</v>
      </c>
      <c r="V1424">
        <v>0</v>
      </c>
      <c r="W1424">
        <v>0</v>
      </c>
      <c r="X1424" t="s">
        <v>8</v>
      </c>
      <c r="Y1424" s="74" t="str">
        <f ca="1">IF(Table15[[#This Row],[Type]]="KILL",IF(_xlfn.NUMBERVALUE(RIGHT(Table15[[#This Row],[Min]],LEN(Table15[[#This Row],[Min]])-FIND("-",Table15[[#This Row],[Min]])))&gt;INDIRECT(ADDRESS(11+MATCH(LEFT(Table15[[#This Row],[Min]],FIND("-",Table15[[#This Row],[Min]])-1),Table1[Content Sku],0),16,1,1,"Entities")),"review","ok"),"ok")</f>
        <v>ok</v>
      </c>
    </row>
    <row r="1425" spans="5:25" x14ac:dyDescent="0.25">
      <c r="E1425" t="s">
        <v>2732</v>
      </c>
      <c r="F1425">
        <v>0</v>
      </c>
      <c r="G1425">
        <v>0</v>
      </c>
      <c r="H1425" t="s">
        <v>8</v>
      </c>
      <c r="I1425" s="74" t="str">
        <f ca="1">IF(Table7[[#This Row],[Type]]="KILL",IF(_xlfn.NUMBERVALUE(RIGHT(Table7[[#This Row],[Min]],LEN(Table7[[#This Row],[Min]])-FIND("-",Table7[[#This Row],[Min]])))&gt;INDIRECT(ADDRESS(11+MATCH(LEFT(Table7[[#This Row],[Min]],FIND("-",Table7[[#This Row],[Min]])-1),Table1[Content Sku],0),16,1,1,"Entities")),"review","ok"),"ok")</f>
        <v>ok</v>
      </c>
      <c r="U1425" t="s">
        <v>36</v>
      </c>
      <c r="V1425">
        <v>0</v>
      </c>
      <c r="W1425">
        <v>0</v>
      </c>
      <c r="X1425" t="s">
        <v>8</v>
      </c>
      <c r="Y1425" s="74" t="str">
        <f ca="1">IF(Table15[[#This Row],[Type]]="KILL",IF(_xlfn.NUMBERVALUE(RIGHT(Table15[[#This Row],[Min]],LEN(Table15[[#This Row],[Min]])-FIND("-",Table15[[#This Row],[Min]])))&gt;INDIRECT(ADDRESS(11+MATCH(LEFT(Table15[[#This Row],[Min]],FIND("-",Table15[[#This Row],[Min]])-1),Table1[Content Sku],0),16,1,1,"Entities")),"review","ok"),"ok")</f>
        <v>ok</v>
      </c>
    </row>
    <row r="1426" spans="5:25" x14ac:dyDescent="0.25">
      <c r="E1426" t="s">
        <v>295</v>
      </c>
      <c r="F1426">
        <v>0</v>
      </c>
      <c r="G1426">
        <v>12000</v>
      </c>
      <c r="H1426" t="s">
        <v>205</v>
      </c>
      <c r="I1426" s="74" t="str">
        <f ca="1">IF(Table7[[#This Row],[Type]]="KILL",IF(_xlfn.NUMBERVALUE(RIGHT(Table7[[#This Row],[Min]],LEN(Table7[[#This Row],[Min]])-FIND("-",Table7[[#This Row],[Min]])))&gt;INDIRECT(ADDRESS(11+MATCH(LEFT(Table7[[#This Row],[Min]],FIND("-",Table7[[#This Row],[Min]])-1),Table1[Content Sku],0),16,1,1,"Entities")),"review","ok"),"ok")</f>
        <v>ok</v>
      </c>
      <c r="U1426" t="s">
        <v>457</v>
      </c>
      <c r="V1426">
        <v>0</v>
      </c>
      <c r="W1426">
        <v>0</v>
      </c>
      <c r="X1426" t="s">
        <v>8</v>
      </c>
      <c r="Y1426" s="74" t="str">
        <f ca="1">IF(Table15[[#This Row],[Type]]="KILL",IF(_xlfn.NUMBERVALUE(RIGHT(Table15[[#This Row],[Min]],LEN(Table15[[#This Row],[Min]])-FIND("-",Table15[[#This Row],[Min]])))&gt;INDIRECT(ADDRESS(11+MATCH(LEFT(Table15[[#This Row],[Min]],FIND("-",Table15[[#This Row],[Min]])-1),Table1[Content Sku],0),16,1,1,"Entities")),"review","ok"),"ok")</f>
        <v>ok</v>
      </c>
    </row>
    <row r="1427" spans="5:25" x14ac:dyDescent="0.25">
      <c r="E1427" t="s">
        <v>90</v>
      </c>
      <c r="F1427">
        <v>0</v>
      </c>
      <c r="G1427">
        <v>0</v>
      </c>
      <c r="H1427" t="s">
        <v>8</v>
      </c>
      <c r="I1427" s="74" t="str">
        <f ca="1">IF(Table7[[#This Row],[Type]]="KILL",IF(_xlfn.NUMBERVALUE(RIGHT(Table7[[#This Row],[Min]],LEN(Table7[[#This Row],[Min]])-FIND("-",Table7[[#This Row],[Min]])))&gt;INDIRECT(ADDRESS(11+MATCH(LEFT(Table7[[#This Row],[Min]],FIND("-",Table7[[#This Row],[Min]])-1),Table1[Content Sku],0),16,1,1,"Entities")),"review","ok"),"ok")</f>
        <v>ok</v>
      </c>
      <c r="U1427" t="s">
        <v>123</v>
      </c>
      <c r="V1427">
        <v>0</v>
      </c>
      <c r="W1427">
        <v>0</v>
      </c>
      <c r="X1427" t="s">
        <v>8</v>
      </c>
      <c r="Y1427" s="74" t="str">
        <f ca="1">IF(Table15[[#This Row],[Type]]="KILL",IF(_xlfn.NUMBERVALUE(RIGHT(Table15[[#This Row],[Min]],LEN(Table15[[#This Row],[Min]])-FIND("-",Table15[[#This Row],[Min]])))&gt;INDIRECT(ADDRESS(11+MATCH(LEFT(Table15[[#This Row],[Min]],FIND("-",Table15[[#This Row],[Min]])-1),Table1[Content Sku],0),16,1,1,"Entities")),"review","ok"),"ok")</f>
        <v>ok</v>
      </c>
    </row>
    <row r="1428" spans="5:25" x14ac:dyDescent="0.25">
      <c r="E1428" t="s">
        <v>463</v>
      </c>
      <c r="F1428">
        <v>0</v>
      </c>
      <c r="G1428">
        <v>2600</v>
      </c>
      <c r="H1428" t="s">
        <v>205</v>
      </c>
      <c r="I1428" s="74" t="str">
        <f ca="1">IF(Table7[[#This Row],[Type]]="KILL",IF(_xlfn.NUMBERVALUE(RIGHT(Table7[[#This Row],[Min]],LEN(Table7[[#This Row],[Min]])-FIND("-",Table7[[#This Row],[Min]])))&gt;INDIRECT(ADDRESS(11+MATCH(LEFT(Table7[[#This Row],[Min]],FIND("-",Table7[[#This Row],[Min]])-1),Table1[Content Sku],0),16,1,1,"Entities")),"review","ok"),"ok")</f>
        <v>ok</v>
      </c>
      <c r="U1428" t="s">
        <v>2720</v>
      </c>
      <c r="V1428">
        <v>0</v>
      </c>
      <c r="W1428">
        <v>0</v>
      </c>
      <c r="X1428" t="s">
        <v>8</v>
      </c>
      <c r="Y1428" s="74" t="str">
        <f ca="1">IF(Table15[[#This Row],[Type]]="KILL",IF(_xlfn.NUMBERVALUE(RIGHT(Table15[[#This Row],[Min]],LEN(Table15[[#This Row],[Min]])-FIND("-",Table15[[#This Row],[Min]])))&gt;INDIRECT(ADDRESS(11+MATCH(LEFT(Table15[[#This Row],[Min]],FIND("-",Table15[[#This Row],[Min]])-1),Table1[Content Sku],0),16,1,1,"Entities")),"review","ok"),"ok")</f>
        <v>ok</v>
      </c>
    </row>
    <row r="1429" spans="5:25" x14ac:dyDescent="0.25">
      <c r="E1429" t="s">
        <v>91</v>
      </c>
      <c r="F1429">
        <v>0</v>
      </c>
      <c r="G1429">
        <v>20000</v>
      </c>
      <c r="H1429" t="s">
        <v>205</v>
      </c>
      <c r="I1429" s="74" t="str">
        <f ca="1">IF(Table7[[#This Row],[Type]]="KILL",IF(_xlfn.NUMBERVALUE(RIGHT(Table7[[#This Row],[Min]],LEN(Table7[[#This Row],[Min]])-FIND("-",Table7[[#This Row],[Min]])))&gt;INDIRECT(ADDRESS(11+MATCH(LEFT(Table7[[#This Row],[Min]],FIND("-",Table7[[#This Row],[Min]])-1),Table1[Content Sku],0),16,1,1,"Entities")),"review","ok"),"ok")</f>
        <v>ok</v>
      </c>
      <c r="U1429" t="s">
        <v>37</v>
      </c>
      <c r="V1429">
        <v>0</v>
      </c>
      <c r="W1429">
        <v>0</v>
      </c>
      <c r="X1429" t="s">
        <v>8</v>
      </c>
      <c r="Y1429" s="74" t="str">
        <f ca="1">IF(Table15[[#This Row],[Type]]="KILL",IF(_xlfn.NUMBERVALUE(RIGHT(Table15[[#This Row],[Min]],LEN(Table15[[#This Row],[Min]])-FIND("-",Table15[[#This Row],[Min]])))&gt;INDIRECT(ADDRESS(11+MATCH(LEFT(Table15[[#This Row],[Min]],FIND("-",Table15[[#This Row],[Min]])-1),Table1[Content Sku],0),16,1,1,"Entities")),"review","ok"),"ok")</f>
        <v>ok</v>
      </c>
    </row>
    <row r="1430" spans="5:25" x14ac:dyDescent="0.25">
      <c r="E1430" t="s">
        <v>2736</v>
      </c>
      <c r="F1430">
        <v>0</v>
      </c>
      <c r="G1430">
        <v>0</v>
      </c>
      <c r="H1430" t="s">
        <v>8</v>
      </c>
      <c r="I1430" s="74" t="str">
        <f ca="1">IF(Table7[[#This Row],[Type]]="KILL",IF(_xlfn.NUMBERVALUE(RIGHT(Table7[[#This Row],[Min]],LEN(Table7[[#This Row],[Min]])-FIND("-",Table7[[#This Row],[Min]])))&gt;INDIRECT(ADDRESS(11+MATCH(LEFT(Table7[[#This Row],[Min]],FIND("-",Table7[[#This Row],[Min]])-1),Table1[Content Sku],0),16,1,1,"Entities")),"review","ok"),"ok")</f>
        <v>ok</v>
      </c>
      <c r="U1430" t="s">
        <v>2717</v>
      </c>
      <c r="V1430">
        <v>40000</v>
      </c>
      <c r="W1430">
        <v>0</v>
      </c>
      <c r="X1430" t="s">
        <v>205</v>
      </c>
      <c r="Y1430" s="74" t="str">
        <f ca="1">IF(Table15[[#This Row],[Type]]="KILL",IF(_xlfn.NUMBERVALUE(RIGHT(Table15[[#This Row],[Min]],LEN(Table15[[#This Row],[Min]])-FIND("-",Table15[[#This Row],[Min]])))&gt;INDIRECT(ADDRESS(11+MATCH(LEFT(Table15[[#This Row],[Min]],FIND("-",Table15[[#This Row],[Min]])-1),Table1[Content Sku],0),16,1,1,"Entities")),"review","ok"),"ok")</f>
        <v>ok</v>
      </c>
    </row>
    <row r="1431" spans="5:25" x14ac:dyDescent="0.25">
      <c r="E1431" t="s">
        <v>254</v>
      </c>
      <c r="F1431">
        <v>0</v>
      </c>
      <c r="G1431">
        <v>6000</v>
      </c>
      <c r="H1431" t="s">
        <v>205</v>
      </c>
      <c r="I1431" s="74" t="str">
        <f ca="1">IF(Table7[[#This Row],[Type]]="KILL",IF(_xlfn.NUMBERVALUE(RIGHT(Table7[[#This Row],[Min]],LEN(Table7[[#This Row],[Min]])-FIND("-",Table7[[#This Row],[Min]])))&gt;INDIRECT(ADDRESS(11+MATCH(LEFT(Table7[[#This Row],[Min]],FIND("-",Table7[[#This Row],[Min]])-1),Table1[Content Sku],0),16,1,1,"Entities")),"review","ok"),"ok")</f>
        <v>ok</v>
      </c>
      <c r="U1431" t="s">
        <v>22</v>
      </c>
      <c r="V1431">
        <v>38000</v>
      </c>
      <c r="W1431">
        <v>0</v>
      </c>
      <c r="X1431" t="s">
        <v>205</v>
      </c>
      <c r="Y1431" s="74" t="str">
        <f ca="1">IF(Table15[[#This Row],[Type]]="KILL",IF(_xlfn.NUMBERVALUE(RIGHT(Table15[[#This Row],[Min]],LEN(Table15[[#This Row],[Min]])-FIND("-",Table15[[#This Row],[Min]])))&gt;INDIRECT(ADDRESS(11+MATCH(LEFT(Table15[[#This Row],[Min]],FIND("-",Table15[[#This Row],[Min]])-1),Table1[Content Sku],0),16,1,1,"Entities")),"review","ok"),"ok")</f>
        <v>ok</v>
      </c>
    </row>
    <row r="1432" spans="5:25" x14ac:dyDescent="0.25">
      <c r="E1432" t="s">
        <v>90</v>
      </c>
      <c r="F1432">
        <v>0</v>
      </c>
      <c r="G1432">
        <v>22250</v>
      </c>
      <c r="H1432" t="s">
        <v>205</v>
      </c>
      <c r="I1432" s="74" t="str">
        <f ca="1">IF(Table7[[#This Row],[Type]]="KILL",IF(_xlfn.NUMBERVALUE(RIGHT(Table7[[#This Row],[Min]],LEN(Table7[[#This Row],[Min]])-FIND("-",Table7[[#This Row],[Min]])))&gt;INDIRECT(ADDRESS(11+MATCH(LEFT(Table7[[#This Row],[Min]],FIND("-",Table7[[#This Row],[Min]])-1),Table1[Content Sku],0),16,1,1,"Entities")),"review","ok"),"ok")</f>
        <v>ok</v>
      </c>
      <c r="U1432" t="s">
        <v>51</v>
      </c>
      <c r="V1432">
        <v>80000</v>
      </c>
      <c r="W1432">
        <v>0</v>
      </c>
      <c r="X1432" t="s">
        <v>205</v>
      </c>
      <c r="Y1432" s="74" t="str">
        <f ca="1">IF(Table15[[#This Row],[Type]]="KILL",IF(_xlfn.NUMBERVALUE(RIGHT(Table15[[#This Row],[Min]],LEN(Table15[[#This Row],[Min]])-FIND("-",Table15[[#This Row],[Min]])))&gt;INDIRECT(ADDRESS(11+MATCH(LEFT(Table15[[#This Row],[Min]],FIND("-",Table15[[#This Row],[Min]])-1),Table1[Content Sku],0),16,1,1,"Entities")),"review","ok"),"ok")</f>
        <v>ok</v>
      </c>
    </row>
    <row r="1433" spans="5:25" x14ac:dyDescent="0.25">
      <c r="E1433" t="s">
        <v>2726</v>
      </c>
      <c r="F1433">
        <v>0</v>
      </c>
      <c r="G1433">
        <v>0</v>
      </c>
      <c r="H1433" t="s">
        <v>8</v>
      </c>
      <c r="I1433" s="74" t="str">
        <f ca="1">IF(Table7[[#This Row],[Type]]="KILL",IF(_xlfn.NUMBERVALUE(RIGHT(Table7[[#This Row],[Min]],LEN(Table7[[#This Row],[Min]])-FIND("-",Table7[[#This Row],[Min]])))&gt;INDIRECT(ADDRESS(11+MATCH(LEFT(Table7[[#This Row],[Min]],FIND("-",Table7[[#This Row],[Min]])-1),Table1[Content Sku],0),16,1,1,"Entities")),"review","ok"),"ok")</f>
        <v>ok</v>
      </c>
      <c r="U1433" t="s">
        <v>400</v>
      </c>
      <c r="V1433">
        <v>0</v>
      </c>
      <c r="W1433">
        <v>0</v>
      </c>
      <c r="X1433" t="s">
        <v>8</v>
      </c>
      <c r="Y1433" s="74" t="str">
        <f ca="1">IF(Table15[[#This Row],[Type]]="KILL",IF(_xlfn.NUMBERVALUE(RIGHT(Table15[[#This Row],[Min]],LEN(Table15[[#This Row],[Min]])-FIND("-",Table15[[#This Row],[Min]])))&gt;INDIRECT(ADDRESS(11+MATCH(LEFT(Table15[[#This Row],[Min]],FIND("-",Table15[[#This Row],[Min]])-1),Table1[Content Sku],0),16,1,1,"Entities")),"review","ok"),"ok")</f>
        <v>ok</v>
      </c>
    </row>
    <row r="1434" spans="5:25" x14ac:dyDescent="0.25">
      <c r="E1434" t="s">
        <v>258</v>
      </c>
      <c r="F1434">
        <v>25000</v>
      </c>
      <c r="G1434">
        <v>0</v>
      </c>
      <c r="H1434" t="s">
        <v>205</v>
      </c>
      <c r="I1434" s="74" t="str">
        <f ca="1">IF(Table7[[#This Row],[Type]]="KILL",IF(_xlfn.NUMBERVALUE(RIGHT(Table7[[#This Row],[Min]],LEN(Table7[[#This Row],[Min]])-FIND("-",Table7[[#This Row],[Min]])))&gt;INDIRECT(ADDRESS(11+MATCH(LEFT(Table7[[#This Row],[Min]],FIND("-",Table7[[#This Row],[Min]])-1),Table1[Content Sku],0),16,1,1,"Entities")),"review","ok"),"ok")</f>
        <v>ok</v>
      </c>
      <c r="U1434" t="s">
        <v>457</v>
      </c>
      <c r="V1434">
        <v>0</v>
      </c>
      <c r="W1434">
        <v>0</v>
      </c>
      <c r="X1434" t="s">
        <v>8</v>
      </c>
      <c r="Y1434" s="74" t="str">
        <f ca="1">IF(Table15[[#This Row],[Type]]="KILL",IF(_xlfn.NUMBERVALUE(RIGHT(Table15[[#This Row],[Min]],LEN(Table15[[#This Row],[Min]])-FIND("-",Table15[[#This Row],[Min]])))&gt;INDIRECT(ADDRESS(11+MATCH(LEFT(Table15[[#This Row],[Min]],FIND("-",Table15[[#This Row],[Min]])-1),Table1[Content Sku],0),16,1,1,"Entities")),"review","ok"),"ok")</f>
        <v>ok</v>
      </c>
    </row>
    <row r="1435" spans="5:25" x14ac:dyDescent="0.25">
      <c r="E1435" t="s">
        <v>14</v>
      </c>
      <c r="F1435">
        <v>3800</v>
      </c>
      <c r="G1435">
        <v>0</v>
      </c>
      <c r="H1435" t="s">
        <v>205</v>
      </c>
      <c r="I1435" s="74" t="str">
        <f ca="1">IF(Table7[[#This Row],[Type]]="KILL",IF(_xlfn.NUMBERVALUE(RIGHT(Table7[[#This Row],[Min]],LEN(Table7[[#This Row],[Min]])-FIND("-",Table7[[#This Row],[Min]])))&gt;INDIRECT(ADDRESS(11+MATCH(LEFT(Table7[[#This Row],[Min]],FIND("-",Table7[[#This Row],[Min]])-1),Table1[Content Sku],0),16,1,1,"Entities")),"review","ok"),"ok")</f>
        <v>ok</v>
      </c>
      <c r="U1435" t="s">
        <v>2720</v>
      </c>
      <c r="V1435">
        <v>0</v>
      </c>
      <c r="W1435">
        <v>0</v>
      </c>
      <c r="X1435" t="s">
        <v>8</v>
      </c>
      <c r="Y1435" s="74" t="str">
        <f ca="1">IF(Table15[[#This Row],[Type]]="KILL",IF(_xlfn.NUMBERVALUE(RIGHT(Table15[[#This Row],[Min]],LEN(Table15[[#This Row],[Min]])-FIND("-",Table15[[#This Row],[Min]])))&gt;INDIRECT(ADDRESS(11+MATCH(LEFT(Table15[[#This Row],[Min]],FIND("-",Table15[[#This Row],[Min]])-1),Table1[Content Sku],0),16,1,1,"Entities")),"review","ok"),"ok")</f>
        <v>ok</v>
      </c>
    </row>
    <row r="1436" spans="5:25" x14ac:dyDescent="0.25">
      <c r="E1436" t="s">
        <v>295</v>
      </c>
      <c r="F1436" t="s">
        <v>8119</v>
      </c>
      <c r="G1436" t="s">
        <v>4467</v>
      </c>
      <c r="H1436" t="s">
        <v>4468</v>
      </c>
      <c r="I1436" s="74" t="str">
        <f ca="1">IF(Table7[[#This Row],[Type]]="KILL",IF(_xlfn.NUMBERVALUE(RIGHT(Table7[[#This Row],[Min]],LEN(Table7[[#This Row],[Min]])-FIND("-",Table7[[#This Row],[Min]])))&gt;INDIRECT(ADDRESS(11+MATCH(LEFT(Table7[[#This Row],[Min]],FIND("-",Table7[[#This Row],[Min]])-1),Table1[Content Sku],0),16,1,1,"Entities")),"review","ok"),"ok")</f>
        <v>ok</v>
      </c>
      <c r="U1436" t="s">
        <v>457</v>
      </c>
      <c r="V1436">
        <v>0</v>
      </c>
      <c r="W1436">
        <v>0</v>
      </c>
      <c r="X1436" t="s">
        <v>8</v>
      </c>
      <c r="Y1436" s="74" t="str">
        <f ca="1">IF(Table15[[#This Row],[Type]]="KILL",IF(_xlfn.NUMBERVALUE(RIGHT(Table15[[#This Row],[Min]],LEN(Table15[[#This Row],[Min]])-FIND("-",Table15[[#This Row],[Min]])))&gt;INDIRECT(ADDRESS(11+MATCH(LEFT(Table15[[#This Row],[Min]],FIND("-",Table15[[#This Row],[Min]])-1),Table1[Content Sku],0),16,1,1,"Entities")),"review","ok"),"ok")</f>
        <v>ok</v>
      </c>
    </row>
    <row r="1437" spans="5:25" x14ac:dyDescent="0.25">
      <c r="E1437" t="s">
        <v>311</v>
      </c>
      <c r="F1437">
        <v>10000</v>
      </c>
      <c r="G1437">
        <v>0</v>
      </c>
      <c r="H1437" t="s">
        <v>205</v>
      </c>
      <c r="I1437" s="74" t="str">
        <f ca="1">IF(Table7[[#This Row],[Type]]="KILL",IF(_xlfn.NUMBERVALUE(RIGHT(Table7[[#This Row],[Min]],LEN(Table7[[#This Row],[Min]])-FIND("-",Table7[[#This Row],[Min]])))&gt;INDIRECT(ADDRESS(11+MATCH(LEFT(Table7[[#This Row],[Min]],FIND("-",Table7[[#This Row],[Min]])-1),Table1[Content Sku],0),16,1,1,"Entities")),"review","ok"),"ok")</f>
        <v>ok</v>
      </c>
      <c r="U1437" t="s">
        <v>2720</v>
      </c>
      <c r="V1437">
        <v>0</v>
      </c>
      <c r="W1437">
        <v>54000</v>
      </c>
      <c r="X1437" t="s">
        <v>205</v>
      </c>
      <c r="Y1437" s="74" t="str">
        <f ca="1">IF(Table15[[#This Row],[Type]]="KILL",IF(_xlfn.NUMBERVALUE(RIGHT(Table15[[#This Row],[Min]],LEN(Table15[[#This Row],[Min]])-FIND("-",Table15[[#This Row],[Min]])))&gt;INDIRECT(ADDRESS(11+MATCH(LEFT(Table15[[#This Row],[Min]],FIND("-",Table15[[#This Row],[Min]])-1),Table1[Content Sku],0),16,1,1,"Entities")),"review","ok"),"ok")</f>
        <v>ok</v>
      </c>
    </row>
    <row r="1438" spans="5:25" x14ac:dyDescent="0.25">
      <c r="E1438" t="s">
        <v>286</v>
      </c>
      <c r="F1438">
        <v>0</v>
      </c>
      <c r="G1438">
        <v>0</v>
      </c>
      <c r="H1438" t="s">
        <v>8</v>
      </c>
      <c r="I1438" s="74" t="str">
        <f ca="1">IF(Table7[[#This Row],[Type]]="KILL",IF(_xlfn.NUMBERVALUE(RIGHT(Table7[[#This Row],[Min]],LEN(Table7[[#This Row],[Min]])-FIND("-",Table7[[#This Row],[Min]])))&gt;INDIRECT(ADDRESS(11+MATCH(LEFT(Table7[[#This Row],[Min]],FIND("-",Table7[[#This Row],[Min]])-1),Table1[Content Sku],0),16,1,1,"Entities")),"review","ok"),"ok")</f>
        <v>ok</v>
      </c>
      <c r="U1438" t="s">
        <v>2720</v>
      </c>
      <c r="V1438">
        <v>0</v>
      </c>
      <c r="W1438">
        <v>0</v>
      </c>
      <c r="X1438" t="s">
        <v>8</v>
      </c>
      <c r="Y1438" s="74" t="str">
        <f ca="1">IF(Table15[[#This Row],[Type]]="KILL",IF(_xlfn.NUMBERVALUE(RIGHT(Table15[[#This Row],[Min]],LEN(Table15[[#This Row],[Min]])-FIND("-",Table15[[#This Row],[Min]])))&gt;INDIRECT(ADDRESS(11+MATCH(LEFT(Table15[[#This Row],[Min]],FIND("-",Table15[[#This Row],[Min]])-1),Table1[Content Sku],0),16,1,1,"Entities")),"review","ok"),"ok")</f>
        <v>ok</v>
      </c>
    </row>
    <row r="1439" spans="5:25" x14ac:dyDescent="0.25">
      <c r="E1439" t="s">
        <v>273</v>
      </c>
      <c r="F1439">
        <v>9000</v>
      </c>
      <c r="G1439">
        <v>0</v>
      </c>
      <c r="H1439" t="s">
        <v>205</v>
      </c>
      <c r="I1439" s="74" t="str">
        <f ca="1">IF(Table7[[#This Row],[Type]]="KILL",IF(_xlfn.NUMBERVALUE(RIGHT(Table7[[#This Row],[Min]],LEN(Table7[[#This Row],[Min]])-FIND("-",Table7[[#This Row],[Min]])))&gt;INDIRECT(ADDRESS(11+MATCH(LEFT(Table7[[#This Row],[Min]],FIND("-",Table7[[#This Row],[Min]])-1),Table1[Content Sku],0),16,1,1,"Entities")),"review","ok"),"ok")</f>
        <v>ok</v>
      </c>
      <c r="U1439" t="s">
        <v>2717</v>
      </c>
      <c r="V1439">
        <v>68000</v>
      </c>
      <c r="W1439">
        <v>0</v>
      </c>
      <c r="X1439" t="s">
        <v>205</v>
      </c>
      <c r="Y1439" s="74" t="str">
        <f ca="1">IF(Table15[[#This Row],[Type]]="KILL",IF(_xlfn.NUMBERVALUE(RIGHT(Table15[[#This Row],[Min]],LEN(Table15[[#This Row],[Min]])-FIND("-",Table15[[#This Row],[Min]])))&gt;INDIRECT(ADDRESS(11+MATCH(LEFT(Table15[[#This Row],[Min]],FIND("-",Table15[[#This Row],[Min]])-1),Table1[Content Sku],0),16,1,1,"Entities")),"review","ok"),"ok")</f>
        <v>ok</v>
      </c>
    </row>
    <row r="1440" spans="5:25" x14ac:dyDescent="0.25">
      <c r="E1440" t="s">
        <v>2741</v>
      </c>
      <c r="F1440">
        <v>0</v>
      </c>
      <c r="G1440">
        <v>0</v>
      </c>
      <c r="H1440" t="s">
        <v>8</v>
      </c>
      <c r="I1440" s="74" t="str">
        <f ca="1">IF(Table7[[#This Row],[Type]]="KILL",IF(_xlfn.NUMBERVALUE(RIGHT(Table7[[#This Row],[Min]],LEN(Table7[[#This Row],[Min]])-FIND("-",Table7[[#This Row],[Min]])))&gt;INDIRECT(ADDRESS(11+MATCH(LEFT(Table7[[#This Row],[Min]],FIND("-",Table7[[#This Row],[Min]])-1),Table1[Content Sku],0),16,1,1,"Entities")),"review","ok"),"ok")</f>
        <v>ok</v>
      </c>
      <c r="U1440" t="s">
        <v>123</v>
      </c>
      <c r="V1440">
        <v>0</v>
      </c>
      <c r="W1440">
        <v>0</v>
      </c>
      <c r="X1440" t="s">
        <v>8</v>
      </c>
      <c r="Y1440" s="74" t="str">
        <f ca="1">IF(Table15[[#This Row],[Type]]="KILL",IF(_xlfn.NUMBERVALUE(RIGHT(Table15[[#This Row],[Min]],LEN(Table15[[#This Row],[Min]])-FIND("-",Table15[[#This Row],[Min]])))&gt;INDIRECT(ADDRESS(11+MATCH(LEFT(Table15[[#This Row],[Min]],FIND("-",Table15[[#This Row],[Min]])-1),Table1[Content Sku],0),16,1,1,"Entities")),"review","ok"),"ok")</f>
        <v>ok</v>
      </c>
    </row>
    <row r="1441" spans="5:25" x14ac:dyDescent="0.25">
      <c r="E1441" t="s">
        <v>95</v>
      </c>
      <c r="F1441">
        <v>0</v>
      </c>
      <c r="G1441">
        <v>0</v>
      </c>
      <c r="H1441" t="s">
        <v>8</v>
      </c>
      <c r="I1441" s="74" t="str">
        <f ca="1">IF(Table7[[#This Row],[Type]]="KILL",IF(_xlfn.NUMBERVALUE(RIGHT(Table7[[#This Row],[Min]],LEN(Table7[[#This Row],[Min]])-FIND("-",Table7[[#This Row],[Min]])))&gt;INDIRECT(ADDRESS(11+MATCH(LEFT(Table7[[#This Row],[Min]],FIND("-",Table7[[#This Row],[Min]])-1),Table1[Content Sku],0),16,1,1,"Entities")),"review","ok"),"ok")</f>
        <v>ok</v>
      </c>
      <c r="U1441" t="s">
        <v>457</v>
      </c>
      <c r="V1441">
        <v>0</v>
      </c>
      <c r="W1441">
        <v>24000</v>
      </c>
      <c r="X1441" t="s">
        <v>205</v>
      </c>
      <c r="Y1441" s="74" t="str">
        <f ca="1">IF(Table15[[#This Row],[Type]]="KILL",IF(_xlfn.NUMBERVALUE(RIGHT(Table15[[#This Row],[Min]],LEN(Table15[[#This Row],[Min]])-FIND("-",Table15[[#This Row],[Min]])))&gt;INDIRECT(ADDRESS(11+MATCH(LEFT(Table15[[#This Row],[Min]],FIND("-",Table15[[#This Row],[Min]])-1),Table1[Content Sku],0),16,1,1,"Entities")),"review","ok"),"ok")</f>
        <v>ok</v>
      </c>
    </row>
    <row r="1442" spans="5:25" x14ac:dyDescent="0.25">
      <c r="E1442" t="s">
        <v>50</v>
      </c>
      <c r="F1442">
        <v>16000</v>
      </c>
      <c r="G1442">
        <v>0</v>
      </c>
      <c r="H1442" t="s">
        <v>205</v>
      </c>
      <c r="I1442" s="74" t="str">
        <f ca="1">IF(Table7[[#This Row],[Type]]="KILL",IF(_xlfn.NUMBERVALUE(RIGHT(Table7[[#This Row],[Min]],LEN(Table7[[#This Row],[Min]])-FIND("-",Table7[[#This Row],[Min]])))&gt;INDIRECT(ADDRESS(11+MATCH(LEFT(Table7[[#This Row],[Min]],FIND("-",Table7[[#This Row],[Min]])-1),Table1[Content Sku],0),16,1,1,"Entities")),"review","ok"),"ok")</f>
        <v>ok</v>
      </c>
      <c r="U1442" t="s">
        <v>2720</v>
      </c>
      <c r="V1442">
        <v>0</v>
      </c>
      <c r="W1442">
        <v>0</v>
      </c>
      <c r="X1442" t="s">
        <v>8</v>
      </c>
      <c r="Y1442" s="74" t="str">
        <f ca="1">IF(Table15[[#This Row],[Type]]="KILL",IF(_xlfn.NUMBERVALUE(RIGHT(Table15[[#This Row],[Min]],LEN(Table15[[#This Row],[Min]])-FIND("-",Table15[[#This Row],[Min]])))&gt;INDIRECT(ADDRESS(11+MATCH(LEFT(Table15[[#This Row],[Min]],FIND("-",Table15[[#This Row],[Min]])-1),Table1[Content Sku],0),16,1,1,"Entities")),"review","ok"),"ok")</f>
        <v>ok</v>
      </c>
    </row>
    <row r="1443" spans="5:25" x14ac:dyDescent="0.25">
      <c r="E1443" t="s">
        <v>278</v>
      </c>
      <c r="F1443">
        <v>0</v>
      </c>
      <c r="G1443">
        <v>0</v>
      </c>
      <c r="H1443" t="s">
        <v>8</v>
      </c>
      <c r="I1443" s="74" t="str">
        <f ca="1">IF(Table7[[#This Row],[Type]]="KILL",IF(_xlfn.NUMBERVALUE(RIGHT(Table7[[#This Row],[Min]],LEN(Table7[[#This Row],[Min]])-FIND("-",Table7[[#This Row],[Min]])))&gt;INDIRECT(ADDRESS(11+MATCH(LEFT(Table7[[#This Row],[Min]],FIND("-",Table7[[#This Row],[Min]])-1),Table1[Content Sku],0),16,1,1,"Entities")),"review","ok"),"ok")</f>
        <v>ok</v>
      </c>
      <c r="U1443" t="s">
        <v>4430</v>
      </c>
      <c r="V1443">
        <v>20000</v>
      </c>
      <c r="W1443">
        <v>0</v>
      </c>
      <c r="X1443" t="s">
        <v>205</v>
      </c>
      <c r="Y1443" s="74" t="str">
        <f ca="1">IF(Table15[[#This Row],[Type]]="KILL",IF(_xlfn.NUMBERVALUE(RIGHT(Table15[[#This Row],[Min]],LEN(Table15[[#This Row],[Min]])-FIND("-",Table15[[#This Row],[Min]])))&gt;INDIRECT(ADDRESS(11+MATCH(LEFT(Table15[[#This Row],[Min]],FIND("-",Table15[[#This Row],[Min]])-1),Table1[Content Sku],0),16,1,1,"Entities")),"review","ok"),"ok")</f>
        <v>ok</v>
      </c>
    </row>
    <row r="1444" spans="5:25" x14ac:dyDescent="0.25">
      <c r="E1444" t="s">
        <v>313</v>
      </c>
      <c r="F1444">
        <v>0</v>
      </c>
      <c r="G1444">
        <v>0</v>
      </c>
      <c r="H1444" t="s">
        <v>8</v>
      </c>
      <c r="I1444" s="74" t="str">
        <f ca="1">IF(Table7[[#This Row],[Type]]="KILL",IF(_xlfn.NUMBERVALUE(RIGHT(Table7[[#This Row],[Min]],LEN(Table7[[#This Row],[Min]])-FIND("-",Table7[[#This Row],[Min]])))&gt;INDIRECT(ADDRESS(11+MATCH(LEFT(Table7[[#This Row],[Min]],FIND("-",Table7[[#This Row],[Min]])-1),Table1[Content Sku],0),16,1,1,"Entities")),"review","ok"),"ok")</f>
        <v>ok</v>
      </c>
      <c r="U1444" t="s">
        <v>457</v>
      </c>
      <c r="V1444">
        <v>0</v>
      </c>
      <c r="W1444">
        <v>0</v>
      </c>
      <c r="X1444" t="s">
        <v>8</v>
      </c>
      <c r="Y1444" s="74" t="str">
        <f ca="1">IF(Table15[[#This Row],[Type]]="KILL",IF(_xlfn.NUMBERVALUE(RIGHT(Table15[[#This Row],[Min]],LEN(Table15[[#This Row],[Min]])-FIND("-",Table15[[#This Row],[Min]])))&gt;INDIRECT(ADDRESS(11+MATCH(LEFT(Table15[[#This Row],[Min]],FIND("-",Table15[[#This Row],[Min]])-1),Table1[Content Sku],0),16,1,1,"Entities")),"review","ok"),"ok")</f>
        <v>ok</v>
      </c>
    </row>
    <row r="1445" spans="5:25" x14ac:dyDescent="0.25">
      <c r="E1445" t="s">
        <v>254</v>
      </c>
      <c r="F1445">
        <v>0</v>
      </c>
      <c r="G1445">
        <v>0</v>
      </c>
      <c r="H1445" t="s">
        <v>8</v>
      </c>
      <c r="I1445" s="74" t="str">
        <f ca="1">IF(Table7[[#This Row],[Type]]="KILL",IF(_xlfn.NUMBERVALUE(RIGHT(Table7[[#This Row],[Min]],LEN(Table7[[#This Row],[Min]])-FIND("-",Table7[[#This Row],[Min]])))&gt;INDIRECT(ADDRESS(11+MATCH(LEFT(Table7[[#This Row],[Min]],FIND("-",Table7[[#This Row],[Min]])-1),Table1[Content Sku],0),16,1,1,"Entities")),"review","ok"),"ok")</f>
        <v>ok</v>
      </c>
      <c r="U1445" t="s">
        <v>21</v>
      </c>
      <c r="V1445">
        <v>0</v>
      </c>
      <c r="W1445">
        <v>0</v>
      </c>
      <c r="X1445" t="s">
        <v>8</v>
      </c>
      <c r="Y1445" s="74" t="str">
        <f ca="1">IF(Table15[[#This Row],[Type]]="KILL",IF(_xlfn.NUMBERVALUE(RIGHT(Table15[[#This Row],[Min]],LEN(Table15[[#This Row],[Min]])-FIND("-",Table15[[#This Row],[Min]])))&gt;INDIRECT(ADDRESS(11+MATCH(LEFT(Table15[[#This Row],[Min]],FIND("-",Table15[[#This Row],[Min]])-1),Table1[Content Sku],0),16,1,1,"Entities")),"review","ok"),"ok")</f>
        <v>ok</v>
      </c>
    </row>
    <row r="1446" spans="5:25" x14ac:dyDescent="0.25">
      <c r="E1446" t="s">
        <v>396</v>
      </c>
      <c r="F1446">
        <v>20000</v>
      </c>
      <c r="G1446">
        <v>0</v>
      </c>
      <c r="H1446" t="s">
        <v>205</v>
      </c>
      <c r="I1446" s="74" t="str">
        <f ca="1">IF(Table7[[#This Row],[Type]]="KILL",IF(_xlfn.NUMBERVALUE(RIGHT(Table7[[#This Row],[Min]],LEN(Table7[[#This Row],[Min]])-FIND("-",Table7[[#This Row],[Min]])))&gt;INDIRECT(ADDRESS(11+MATCH(LEFT(Table7[[#This Row],[Min]],FIND("-",Table7[[#This Row],[Min]])-1),Table1[Content Sku],0),16,1,1,"Entities")),"review","ok"),"ok")</f>
        <v>ok</v>
      </c>
      <c r="U1446" t="s">
        <v>306</v>
      </c>
      <c r="V1446">
        <v>30000</v>
      </c>
      <c r="W1446">
        <v>0</v>
      </c>
      <c r="X1446" t="s">
        <v>205</v>
      </c>
      <c r="Y1446" s="74" t="str">
        <f ca="1">IF(Table15[[#This Row],[Type]]="KILL",IF(_xlfn.NUMBERVALUE(RIGHT(Table15[[#This Row],[Min]],LEN(Table15[[#This Row],[Min]])-FIND("-",Table15[[#This Row],[Min]])))&gt;INDIRECT(ADDRESS(11+MATCH(LEFT(Table15[[#This Row],[Min]],FIND("-",Table15[[#This Row],[Min]])-1),Table1[Content Sku],0),16,1,1,"Entities")),"review","ok"),"ok")</f>
        <v>ok</v>
      </c>
    </row>
    <row r="1447" spans="5:25" x14ac:dyDescent="0.25">
      <c r="E1447" t="s">
        <v>545</v>
      </c>
      <c r="F1447">
        <v>0</v>
      </c>
      <c r="G1447">
        <v>0</v>
      </c>
      <c r="H1447" t="s">
        <v>8</v>
      </c>
      <c r="I1447" s="74" t="str">
        <f ca="1">IF(Table7[[#This Row],[Type]]="KILL",IF(_xlfn.NUMBERVALUE(RIGHT(Table7[[#This Row],[Min]],LEN(Table7[[#This Row],[Min]])-FIND("-",Table7[[#This Row],[Min]])))&gt;INDIRECT(ADDRESS(11+MATCH(LEFT(Table7[[#This Row],[Min]],FIND("-",Table7[[#This Row],[Min]])-1),Table1[Content Sku],0),16,1,1,"Entities")),"review","ok"),"ok")</f>
        <v>ok</v>
      </c>
      <c r="U1447" t="s">
        <v>460</v>
      </c>
      <c r="V1447">
        <v>0</v>
      </c>
      <c r="W1447">
        <v>0</v>
      </c>
      <c r="X1447" t="s">
        <v>8</v>
      </c>
      <c r="Y1447" s="74" t="str">
        <f ca="1">IF(Table15[[#This Row],[Type]]="KILL",IF(_xlfn.NUMBERVALUE(RIGHT(Table15[[#This Row],[Min]],LEN(Table15[[#This Row],[Min]])-FIND("-",Table15[[#This Row],[Min]])))&gt;INDIRECT(ADDRESS(11+MATCH(LEFT(Table15[[#This Row],[Min]],FIND("-",Table15[[#This Row],[Min]])-1),Table1[Content Sku],0),16,1,1,"Entities")),"review","ok"),"ok")</f>
        <v>ok</v>
      </c>
    </row>
    <row r="1448" spans="5:25" x14ac:dyDescent="0.25">
      <c r="E1448" t="s">
        <v>2732</v>
      </c>
      <c r="F1448">
        <v>0</v>
      </c>
      <c r="G1448">
        <v>0</v>
      </c>
      <c r="H1448" t="s">
        <v>8</v>
      </c>
      <c r="I1448" s="74" t="str">
        <f ca="1">IF(Table7[[#This Row],[Type]]="KILL",IF(_xlfn.NUMBERVALUE(RIGHT(Table7[[#This Row],[Min]],LEN(Table7[[#This Row],[Min]])-FIND("-",Table7[[#This Row],[Min]])))&gt;INDIRECT(ADDRESS(11+MATCH(LEFT(Table7[[#This Row],[Min]],FIND("-",Table7[[#This Row],[Min]])-1),Table1[Content Sku],0),16,1,1,"Entities")),"review","ok"),"ok")</f>
        <v>ok</v>
      </c>
      <c r="U1448" t="s">
        <v>313</v>
      </c>
      <c r="V1448">
        <v>0</v>
      </c>
      <c r="W1448">
        <v>0</v>
      </c>
      <c r="X1448" t="s">
        <v>8</v>
      </c>
      <c r="Y1448" s="74" t="str">
        <f ca="1">IF(Table15[[#This Row],[Type]]="KILL",IF(_xlfn.NUMBERVALUE(RIGHT(Table15[[#This Row],[Min]],LEN(Table15[[#This Row],[Min]])-FIND("-",Table15[[#This Row],[Min]])))&gt;INDIRECT(ADDRESS(11+MATCH(LEFT(Table15[[#This Row],[Min]],FIND("-",Table15[[#This Row],[Min]])-1),Table1[Content Sku],0),16,1,1,"Entities")),"review","ok"),"ok")</f>
        <v>ok</v>
      </c>
    </row>
    <row r="1449" spans="5:25" x14ac:dyDescent="0.25">
      <c r="E1449" t="s">
        <v>4430</v>
      </c>
      <c r="F1449">
        <v>0</v>
      </c>
      <c r="G1449">
        <v>0</v>
      </c>
      <c r="H1449" t="s">
        <v>8</v>
      </c>
      <c r="I1449" s="74" t="str">
        <f ca="1">IF(Table7[[#This Row],[Type]]="KILL",IF(_xlfn.NUMBERVALUE(RIGHT(Table7[[#This Row],[Min]],LEN(Table7[[#This Row],[Min]])-FIND("-",Table7[[#This Row],[Min]])))&gt;INDIRECT(ADDRESS(11+MATCH(LEFT(Table7[[#This Row],[Min]],FIND("-",Table7[[#This Row],[Min]])-1),Table1[Content Sku],0),16,1,1,"Entities")),"review","ok"),"ok")</f>
        <v>ok</v>
      </c>
      <c r="U1449" t="s">
        <v>2720</v>
      </c>
      <c r="V1449">
        <v>0</v>
      </c>
      <c r="W1449">
        <v>67000</v>
      </c>
      <c r="X1449" t="s">
        <v>205</v>
      </c>
      <c r="Y1449" s="74" t="str">
        <f ca="1">IF(Table15[[#This Row],[Type]]="KILL",IF(_xlfn.NUMBERVALUE(RIGHT(Table15[[#This Row],[Min]],LEN(Table15[[#This Row],[Min]])-FIND("-",Table15[[#This Row],[Min]])))&gt;INDIRECT(ADDRESS(11+MATCH(LEFT(Table15[[#This Row],[Min]],FIND("-",Table15[[#This Row],[Min]])-1),Table1[Content Sku],0),16,1,1,"Entities")),"review","ok"),"ok")</f>
        <v>ok</v>
      </c>
    </row>
    <row r="1450" spans="5:25" x14ac:dyDescent="0.25">
      <c r="E1450" t="s">
        <v>8133</v>
      </c>
      <c r="F1450">
        <v>0</v>
      </c>
      <c r="G1450">
        <v>0</v>
      </c>
      <c r="H1450" t="s">
        <v>8</v>
      </c>
      <c r="I1450" s="74" t="str">
        <f ca="1">IF(Table7[[#This Row],[Type]]="KILL",IF(_xlfn.NUMBERVALUE(RIGHT(Table7[[#This Row],[Min]],LEN(Table7[[#This Row],[Min]])-FIND("-",Table7[[#This Row],[Min]])))&gt;INDIRECT(ADDRESS(11+MATCH(LEFT(Table7[[#This Row],[Min]],FIND("-",Table7[[#This Row],[Min]])-1),Table1[Content Sku],0),16,1,1,"Entities")),"review","ok"),"ok")</f>
        <v>ok</v>
      </c>
      <c r="U1450" t="s">
        <v>313</v>
      </c>
      <c r="V1450">
        <v>0</v>
      </c>
      <c r="W1450">
        <v>0</v>
      </c>
      <c r="X1450" t="s">
        <v>8</v>
      </c>
      <c r="Y1450" s="74" t="str">
        <f ca="1">IF(Table15[[#This Row],[Type]]="KILL",IF(_xlfn.NUMBERVALUE(RIGHT(Table15[[#This Row],[Min]],LEN(Table15[[#This Row],[Min]])-FIND("-",Table15[[#This Row],[Min]])))&gt;INDIRECT(ADDRESS(11+MATCH(LEFT(Table15[[#This Row],[Min]],FIND("-",Table15[[#This Row],[Min]])-1),Table1[Content Sku],0),16,1,1,"Entities")),"review","ok"),"ok")</f>
        <v>ok</v>
      </c>
    </row>
    <row r="1451" spans="5:25" x14ac:dyDescent="0.25">
      <c r="E1451" t="s">
        <v>8134</v>
      </c>
      <c r="F1451">
        <v>0</v>
      </c>
      <c r="G1451">
        <v>0</v>
      </c>
      <c r="H1451" t="s">
        <v>8</v>
      </c>
      <c r="I1451" s="74" t="str">
        <f ca="1">IF(Table7[[#This Row],[Type]]="KILL",IF(_xlfn.NUMBERVALUE(RIGHT(Table7[[#This Row],[Min]],LEN(Table7[[#This Row],[Min]])-FIND("-",Table7[[#This Row],[Min]])))&gt;INDIRECT(ADDRESS(11+MATCH(LEFT(Table7[[#This Row],[Min]],FIND("-",Table7[[#This Row],[Min]])-1),Table1[Content Sku],0),16,1,1,"Entities")),"review","ok"),"ok")</f>
        <v>ok</v>
      </c>
      <c r="U1451" t="s">
        <v>137</v>
      </c>
      <c r="V1451">
        <v>0</v>
      </c>
      <c r="W1451">
        <v>0</v>
      </c>
      <c r="X1451" t="s">
        <v>8</v>
      </c>
      <c r="Y1451" s="74" t="str">
        <f ca="1">IF(Table15[[#This Row],[Type]]="KILL",IF(_xlfn.NUMBERVALUE(RIGHT(Table15[[#This Row],[Min]],LEN(Table15[[#This Row],[Min]])-FIND("-",Table15[[#This Row],[Min]])))&gt;INDIRECT(ADDRESS(11+MATCH(LEFT(Table15[[#This Row],[Min]],FIND("-",Table15[[#This Row],[Min]])-1),Table1[Content Sku],0),16,1,1,"Entities")),"review","ok"),"ok")</f>
        <v>ok</v>
      </c>
    </row>
    <row r="1452" spans="5:25" x14ac:dyDescent="0.25">
      <c r="E1452" t="s">
        <v>253</v>
      </c>
      <c r="F1452">
        <v>0</v>
      </c>
      <c r="G1452">
        <v>0</v>
      </c>
      <c r="H1452" t="s">
        <v>8</v>
      </c>
      <c r="I1452" s="74" t="str">
        <f ca="1">IF(Table7[[#This Row],[Type]]="KILL",IF(_xlfn.NUMBERVALUE(RIGHT(Table7[[#This Row],[Min]],LEN(Table7[[#This Row],[Min]])-FIND("-",Table7[[#This Row],[Min]])))&gt;INDIRECT(ADDRESS(11+MATCH(LEFT(Table7[[#This Row],[Min]],FIND("-",Table7[[#This Row],[Min]])-1),Table1[Content Sku],0),16,1,1,"Entities")),"review","ok"),"ok")</f>
        <v>ok</v>
      </c>
      <c r="U1452" t="s">
        <v>2720</v>
      </c>
      <c r="V1452">
        <v>0</v>
      </c>
      <c r="W1452">
        <v>40000</v>
      </c>
      <c r="X1452" t="s">
        <v>205</v>
      </c>
      <c r="Y1452" s="74" t="str">
        <f ca="1">IF(Table15[[#This Row],[Type]]="KILL",IF(_xlfn.NUMBERVALUE(RIGHT(Table15[[#This Row],[Min]],LEN(Table15[[#This Row],[Min]])-FIND("-",Table15[[#This Row],[Min]])))&gt;INDIRECT(ADDRESS(11+MATCH(LEFT(Table15[[#This Row],[Min]],FIND("-",Table15[[#This Row],[Min]])-1),Table1[Content Sku],0),16,1,1,"Entities")),"review","ok"),"ok")</f>
        <v>ok</v>
      </c>
    </row>
    <row r="1453" spans="5:25" x14ac:dyDescent="0.25">
      <c r="E1453" t="s">
        <v>254</v>
      </c>
      <c r="F1453">
        <v>0</v>
      </c>
      <c r="G1453">
        <v>27000</v>
      </c>
      <c r="H1453" t="s">
        <v>205</v>
      </c>
      <c r="I1453" s="74" t="str">
        <f ca="1">IF(Table7[[#This Row],[Type]]="KILL",IF(_xlfn.NUMBERVALUE(RIGHT(Table7[[#This Row],[Min]],LEN(Table7[[#This Row],[Min]])-FIND("-",Table7[[#This Row],[Min]])))&gt;INDIRECT(ADDRESS(11+MATCH(LEFT(Table7[[#This Row],[Min]],FIND("-",Table7[[#This Row],[Min]])-1),Table1[Content Sku],0),16,1,1,"Entities")),"review","ok"),"ok")</f>
        <v>ok</v>
      </c>
      <c r="U1453" t="s">
        <v>457</v>
      </c>
      <c r="V1453">
        <v>0</v>
      </c>
      <c r="W1453">
        <v>20000</v>
      </c>
      <c r="X1453" t="s">
        <v>205</v>
      </c>
      <c r="Y1453" s="74" t="str">
        <f ca="1">IF(Table15[[#This Row],[Type]]="KILL",IF(_xlfn.NUMBERVALUE(RIGHT(Table15[[#This Row],[Min]],LEN(Table15[[#This Row],[Min]])-FIND("-",Table15[[#This Row],[Min]])))&gt;INDIRECT(ADDRESS(11+MATCH(LEFT(Table15[[#This Row],[Min]],FIND("-",Table15[[#This Row],[Min]])-1),Table1[Content Sku],0),16,1,1,"Entities")),"review","ok"),"ok")</f>
        <v>ok</v>
      </c>
    </row>
    <row r="1454" spans="5:25" x14ac:dyDescent="0.25">
      <c r="E1454" t="s">
        <v>2741</v>
      </c>
      <c r="F1454">
        <v>0</v>
      </c>
      <c r="G1454">
        <v>0</v>
      </c>
      <c r="H1454" t="s">
        <v>8</v>
      </c>
      <c r="I1454" s="74" t="str">
        <f ca="1">IF(Table7[[#This Row],[Type]]="KILL",IF(_xlfn.NUMBERVALUE(RIGHT(Table7[[#This Row],[Min]],LEN(Table7[[#This Row],[Min]])-FIND("-",Table7[[#This Row],[Min]])))&gt;INDIRECT(ADDRESS(11+MATCH(LEFT(Table7[[#This Row],[Min]],FIND("-",Table7[[#This Row],[Min]])-1),Table1[Content Sku],0),16,1,1,"Entities")),"review","ok"),"ok")</f>
        <v>ok</v>
      </c>
      <c r="U1454" t="s">
        <v>457</v>
      </c>
      <c r="V1454">
        <v>0</v>
      </c>
      <c r="W1454">
        <v>0</v>
      </c>
      <c r="X1454" t="s">
        <v>8</v>
      </c>
      <c r="Y1454" s="74" t="str">
        <f ca="1">IF(Table15[[#This Row],[Type]]="KILL",IF(_xlfn.NUMBERVALUE(RIGHT(Table15[[#This Row],[Min]],LEN(Table15[[#This Row],[Min]])-FIND("-",Table15[[#This Row],[Min]])))&gt;INDIRECT(ADDRESS(11+MATCH(LEFT(Table15[[#This Row],[Min]],FIND("-",Table15[[#This Row],[Min]])-1),Table1[Content Sku],0),16,1,1,"Entities")),"review","ok"),"ok")</f>
        <v>ok</v>
      </c>
    </row>
    <row r="1455" spans="5:25" x14ac:dyDescent="0.25">
      <c r="E1455" t="s">
        <v>17</v>
      </c>
      <c r="F1455">
        <v>0</v>
      </c>
      <c r="G1455">
        <v>0</v>
      </c>
      <c r="H1455" t="s">
        <v>8</v>
      </c>
      <c r="I1455" s="74" t="str">
        <f ca="1">IF(Table7[[#This Row],[Type]]="KILL",IF(_xlfn.NUMBERVALUE(RIGHT(Table7[[#This Row],[Min]],LEN(Table7[[#This Row],[Min]])-FIND("-",Table7[[#This Row],[Min]])))&gt;INDIRECT(ADDRESS(11+MATCH(LEFT(Table7[[#This Row],[Min]],FIND("-",Table7[[#This Row],[Min]])-1),Table1[Content Sku],0),16,1,1,"Entities")),"review","ok"),"ok")</f>
        <v>ok</v>
      </c>
      <c r="U1455" t="s">
        <v>37</v>
      </c>
      <c r="V1455">
        <v>0</v>
      </c>
      <c r="W1455">
        <v>0</v>
      </c>
      <c r="X1455" t="s">
        <v>8</v>
      </c>
      <c r="Y1455" s="74" t="str">
        <f ca="1">IF(Table15[[#This Row],[Type]]="KILL",IF(_xlfn.NUMBERVALUE(RIGHT(Table15[[#This Row],[Min]],LEN(Table15[[#This Row],[Min]])-FIND("-",Table15[[#This Row],[Min]])))&gt;INDIRECT(ADDRESS(11+MATCH(LEFT(Table15[[#This Row],[Min]],FIND("-",Table15[[#This Row],[Min]])-1),Table1[Content Sku],0),16,1,1,"Entities")),"review","ok"),"ok")</f>
        <v>ok</v>
      </c>
    </row>
    <row r="1456" spans="5:25" x14ac:dyDescent="0.25">
      <c r="E1456" t="s">
        <v>398</v>
      </c>
      <c r="F1456">
        <v>8000</v>
      </c>
      <c r="G1456">
        <v>0</v>
      </c>
      <c r="H1456" t="s">
        <v>205</v>
      </c>
      <c r="I1456" s="74" t="str">
        <f ca="1">IF(Table7[[#This Row],[Type]]="KILL",IF(_xlfn.NUMBERVALUE(RIGHT(Table7[[#This Row],[Min]],LEN(Table7[[#This Row],[Min]])-FIND("-",Table7[[#This Row],[Min]])))&gt;INDIRECT(ADDRESS(11+MATCH(LEFT(Table7[[#This Row],[Min]],FIND("-",Table7[[#This Row],[Min]])-1),Table1[Content Sku],0),16,1,1,"Entities")),"review","ok"),"ok")</f>
        <v>ok</v>
      </c>
      <c r="U1456" t="s">
        <v>400</v>
      </c>
      <c r="V1456">
        <v>0</v>
      </c>
      <c r="W1456">
        <v>0</v>
      </c>
      <c r="X1456" t="s">
        <v>8</v>
      </c>
      <c r="Y1456" s="74" t="str">
        <f ca="1">IF(Table15[[#This Row],[Type]]="KILL",IF(_xlfn.NUMBERVALUE(RIGHT(Table15[[#This Row],[Min]],LEN(Table15[[#This Row],[Min]])-FIND("-",Table15[[#This Row],[Min]])))&gt;INDIRECT(ADDRESS(11+MATCH(LEFT(Table15[[#This Row],[Min]],FIND("-",Table15[[#This Row],[Min]])-1),Table1[Content Sku],0),16,1,1,"Entities")),"review","ok"),"ok")</f>
        <v>ok</v>
      </c>
    </row>
    <row r="1457" spans="5:25" x14ac:dyDescent="0.25">
      <c r="E1457" t="s">
        <v>278</v>
      </c>
      <c r="F1457">
        <v>210</v>
      </c>
      <c r="G1457">
        <v>0</v>
      </c>
      <c r="H1457" t="s">
        <v>4431</v>
      </c>
      <c r="I1457" s="74" t="str">
        <f ca="1">IF(Table7[[#This Row],[Type]]="KILL",IF(_xlfn.NUMBERVALUE(RIGHT(Table7[[#This Row],[Min]],LEN(Table7[[#This Row],[Min]])-FIND("-",Table7[[#This Row],[Min]])))&gt;INDIRECT(ADDRESS(11+MATCH(LEFT(Table7[[#This Row],[Min]],FIND("-",Table7[[#This Row],[Min]])-1),Table1[Content Sku],0),16,1,1,"Entities")),"review","ok"),"ok")</f>
        <v>ok</v>
      </c>
      <c r="U1457" t="s">
        <v>2720</v>
      </c>
      <c r="V1457">
        <v>0</v>
      </c>
      <c r="W1457">
        <v>80000</v>
      </c>
      <c r="X1457" t="s">
        <v>205</v>
      </c>
      <c r="Y1457" s="74" t="str">
        <f ca="1">IF(Table15[[#This Row],[Type]]="KILL",IF(_xlfn.NUMBERVALUE(RIGHT(Table15[[#This Row],[Min]],LEN(Table15[[#This Row],[Min]])-FIND("-",Table15[[#This Row],[Min]])))&gt;INDIRECT(ADDRESS(11+MATCH(LEFT(Table15[[#This Row],[Min]],FIND("-",Table15[[#This Row],[Min]])-1),Table1[Content Sku],0),16,1,1,"Entities")),"review","ok"),"ok")</f>
        <v>ok</v>
      </c>
    </row>
    <row r="1458" spans="5:25" x14ac:dyDescent="0.25">
      <c r="E1458" t="s">
        <v>278</v>
      </c>
      <c r="F1458">
        <v>2000</v>
      </c>
      <c r="G1458">
        <v>6000</v>
      </c>
      <c r="H1458" t="s">
        <v>205</v>
      </c>
      <c r="I1458" s="74" t="str">
        <f ca="1">IF(Table7[[#This Row],[Type]]="KILL",IF(_xlfn.NUMBERVALUE(RIGHT(Table7[[#This Row],[Min]],LEN(Table7[[#This Row],[Min]])-FIND("-",Table7[[#This Row],[Min]])))&gt;INDIRECT(ADDRESS(11+MATCH(LEFT(Table7[[#This Row],[Min]],FIND("-",Table7[[#This Row],[Min]])-1),Table1[Content Sku],0),16,1,1,"Entities")),"review","ok"),"ok")</f>
        <v>ok</v>
      </c>
      <c r="U1458" t="s">
        <v>36</v>
      </c>
      <c r="V1458">
        <v>0</v>
      </c>
      <c r="W1458">
        <v>0</v>
      </c>
      <c r="X1458" t="s">
        <v>8</v>
      </c>
      <c r="Y1458" s="74" t="str">
        <f ca="1">IF(Table15[[#This Row],[Type]]="KILL",IF(_xlfn.NUMBERVALUE(RIGHT(Table15[[#This Row],[Min]],LEN(Table15[[#This Row],[Min]])-FIND("-",Table15[[#This Row],[Min]])))&gt;INDIRECT(ADDRESS(11+MATCH(LEFT(Table15[[#This Row],[Min]],FIND("-",Table15[[#This Row],[Min]])-1),Table1[Content Sku],0),16,1,1,"Entities")),"review","ok"),"ok")</f>
        <v>ok</v>
      </c>
    </row>
    <row r="1459" spans="5:25" x14ac:dyDescent="0.25">
      <c r="E1459" t="s">
        <v>338</v>
      </c>
      <c r="F1459">
        <v>0</v>
      </c>
      <c r="G1459">
        <v>6000</v>
      </c>
      <c r="H1459" t="s">
        <v>205</v>
      </c>
      <c r="I1459" s="74" t="str">
        <f ca="1">IF(Table7[[#This Row],[Type]]="KILL",IF(_xlfn.NUMBERVALUE(RIGHT(Table7[[#This Row],[Min]],LEN(Table7[[#This Row],[Min]])-FIND("-",Table7[[#This Row],[Min]])))&gt;INDIRECT(ADDRESS(11+MATCH(LEFT(Table7[[#This Row],[Min]],FIND("-",Table7[[#This Row],[Min]])-1),Table1[Content Sku],0),16,1,1,"Entities")),"review","ok"),"ok")</f>
        <v>ok</v>
      </c>
      <c r="U1459" t="s">
        <v>398</v>
      </c>
      <c r="V1459">
        <v>0</v>
      </c>
      <c r="W1459">
        <v>0</v>
      </c>
      <c r="X1459" t="s">
        <v>8</v>
      </c>
      <c r="Y1459" s="74" t="str">
        <f ca="1">IF(Table15[[#This Row],[Type]]="KILL",IF(_xlfn.NUMBERVALUE(RIGHT(Table15[[#This Row],[Min]],LEN(Table15[[#This Row],[Min]])-FIND("-",Table15[[#This Row],[Min]])))&gt;INDIRECT(ADDRESS(11+MATCH(LEFT(Table15[[#This Row],[Min]],FIND("-",Table15[[#This Row],[Min]])-1),Table1[Content Sku],0),16,1,1,"Entities")),"review","ok"),"ok")</f>
        <v>ok</v>
      </c>
    </row>
    <row r="1460" spans="5:25" x14ac:dyDescent="0.25">
      <c r="E1460" t="s">
        <v>318</v>
      </c>
      <c r="F1460">
        <v>0</v>
      </c>
      <c r="G1460">
        <v>0</v>
      </c>
      <c r="H1460" t="s">
        <v>8</v>
      </c>
      <c r="I1460" s="74" t="str">
        <f ca="1">IF(Table7[[#This Row],[Type]]="KILL",IF(_xlfn.NUMBERVALUE(RIGHT(Table7[[#This Row],[Min]],LEN(Table7[[#This Row],[Min]])-FIND("-",Table7[[#This Row],[Min]])))&gt;INDIRECT(ADDRESS(11+MATCH(LEFT(Table7[[#This Row],[Min]],FIND("-",Table7[[#This Row],[Min]])-1),Table1[Content Sku],0),16,1,1,"Entities")),"review","ok"),"ok")</f>
        <v>ok</v>
      </c>
      <c r="U1460" t="s">
        <v>2717</v>
      </c>
      <c r="V1460">
        <v>340</v>
      </c>
      <c r="W1460">
        <v>0</v>
      </c>
      <c r="X1460" t="s">
        <v>4431</v>
      </c>
      <c r="Y1460" s="74" t="str">
        <f ca="1">IF(Table15[[#This Row],[Type]]="KILL",IF(_xlfn.NUMBERVALUE(RIGHT(Table15[[#This Row],[Min]],LEN(Table15[[#This Row],[Min]])-FIND("-",Table15[[#This Row],[Min]])))&gt;INDIRECT(ADDRESS(11+MATCH(LEFT(Table15[[#This Row],[Min]],FIND("-",Table15[[#This Row],[Min]])-1),Table1[Content Sku],0),16,1,1,"Entities")),"review","ok"),"ok")</f>
        <v>ok</v>
      </c>
    </row>
    <row r="1461" spans="5:25" x14ac:dyDescent="0.25">
      <c r="E1461" t="s">
        <v>313</v>
      </c>
      <c r="F1461">
        <v>0</v>
      </c>
      <c r="G1461">
        <v>0</v>
      </c>
      <c r="H1461" t="s">
        <v>8</v>
      </c>
      <c r="I1461" s="74" t="str">
        <f ca="1">IF(Table7[[#This Row],[Type]]="KILL",IF(_xlfn.NUMBERVALUE(RIGHT(Table7[[#This Row],[Min]],LEN(Table7[[#This Row],[Min]])-FIND("-",Table7[[#This Row],[Min]])))&gt;INDIRECT(ADDRESS(11+MATCH(LEFT(Table7[[#This Row],[Min]],FIND("-",Table7[[#This Row],[Min]])-1),Table1[Content Sku],0),16,1,1,"Entities")),"review","ok"),"ok")</f>
        <v>ok</v>
      </c>
      <c r="U1461" t="s">
        <v>4430</v>
      </c>
      <c r="V1461">
        <v>180</v>
      </c>
      <c r="W1461">
        <v>0</v>
      </c>
      <c r="X1461" t="s">
        <v>4431</v>
      </c>
      <c r="Y1461" s="74" t="str">
        <f ca="1">IF(Table15[[#This Row],[Type]]="KILL",IF(_xlfn.NUMBERVALUE(RIGHT(Table15[[#This Row],[Min]],LEN(Table15[[#This Row],[Min]])-FIND("-",Table15[[#This Row],[Min]])))&gt;INDIRECT(ADDRESS(11+MATCH(LEFT(Table15[[#This Row],[Min]],FIND("-",Table15[[#This Row],[Min]])-1),Table1[Content Sku],0),16,1,1,"Entities")),"review","ok"),"ok")</f>
        <v>ok</v>
      </c>
    </row>
    <row r="1462" spans="5:25" x14ac:dyDescent="0.25">
      <c r="E1462" t="s">
        <v>46</v>
      </c>
      <c r="F1462">
        <v>0</v>
      </c>
      <c r="G1462">
        <v>0</v>
      </c>
      <c r="H1462" t="s">
        <v>8</v>
      </c>
      <c r="I1462" s="74" t="str">
        <f ca="1">IF(Table7[[#This Row],[Type]]="KILL",IF(_xlfn.NUMBERVALUE(RIGHT(Table7[[#This Row],[Min]],LEN(Table7[[#This Row],[Min]])-FIND("-",Table7[[#This Row],[Min]])))&gt;INDIRECT(ADDRESS(11+MATCH(LEFT(Table7[[#This Row],[Min]],FIND("-",Table7[[#This Row],[Min]])-1),Table1[Content Sku],0),16,1,1,"Entities")),"review","ok"),"ok")</f>
        <v>ok</v>
      </c>
      <c r="U1462" t="s">
        <v>2720</v>
      </c>
      <c r="V1462">
        <v>0</v>
      </c>
      <c r="W1462">
        <v>345</v>
      </c>
      <c r="X1462" t="s">
        <v>4431</v>
      </c>
      <c r="Y1462" s="74" t="str">
        <f ca="1">IF(Table15[[#This Row],[Type]]="KILL",IF(_xlfn.NUMBERVALUE(RIGHT(Table15[[#This Row],[Min]],LEN(Table15[[#This Row],[Min]])-FIND("-",Table15[[#This Row],[Min]])))&gt;INDIRECT(ADDRESS(11+MATCH(LEFT(Table15[[#This Row],[Min]],FIND("-",Table15[[#This Row],[Min]])-1),Table1[Content Sku],0),16,1,1,"Entities")),"review","ok"),"ok")</f>
        <v>ok</v>
      </c>
    </row>
    <row r="1463" spans="5:25" x14ac:dyDescent="0.25">
      <c r="E1463" t="s">
        <v>2741</v>
      </c>
      <c r="F1463">
        <v>0</v>
      </c>
      <c r="G1463">
        <v>0</v>
      </c>
      <c r="H1463" t="s">
        <v>8</v>
      </c>
      <c r="I1463" s="74" t="str">
        <f ca="1">IF(Table7[[#This Row],[Type]]="KILL",IF(_xlfn.NUMBERVALUE(RIGHT(Table7[[#This Row],[Min]],LEN(Table7[[#This Row],[Min]])-FIND("-",Table7[[#This Row],[Min]])))&gt;INDIRECT(ADDRESS(11+MATCH(LEFT(Table7[[#This Row],[Min]],FIND("-",Table7[[#This Row],[Min]])-1),Table1[Content Sku],0),16,1,1,"Entities")),"review","ok"),"ok")</f>
        <v>ok</v>
      </c>
      <c r="U1463" t="s">
        <v>46</v>
      </c>
      <c r="V1463">
        <v>0</v>
      </c>
      <c r="W1463">
        <v>0</v>
      </c>
      <c r="X1463" t="s">
        <v>8</v>
      </c>
      <c r="Y1463" s="74" t="str">
        <f ca="1">IF(Table15[[#This Row],[Type]]="KILL",IF(_xlfn.NUMBERVALUE(RIGHT(Table15[[#This Row],[Min]],LEN(Table15[[#This Row],[Min]])-FIND("-",Table15[[#This Row],[Min]])))&gt;INDIRECT(ADDRESS(11+MATCH(LEFT(Table15[[#This Row],[Min]],FIND("-",Table15[[#This Row],[Min]])-1),Table1[Content Sku],0),16,1,1,"Entities")),"review","ok"),"ok")</f>
        <v>ok</v>
      </c>
    </row>
    <row r="1464" spans="5:25" x14ac:dyDescent="0.25">
      <c r="E1464" t="s">
        <v>39</v>
      </c>
      <c r="F1464">
        <v>12500</v>
      </c>
      <c r="G1464">
        <v>0</v>
      </c>
      <c r="H1464" t="s">
        <v>205</v>
      </c>
      <c r="I1464" s="74" t="str">
        <f ca="1">IF(Table7[[#This Row],[Type]]="KILL",IF(_xlfn.NUMBERVALUE(RIGHT(Table7[[#This Row],[Min]],LEN(Table7[[#This Row],[Min]])-FIND("-",Table7[[#This Row],[Min]])))&gt;INDIRECT(ADDRESS(11+MATCH(LEFT(Table7[[#This Row],[Min]],FIND("-",Table7[[#This Row],[Min]])-1),Table1[Content Sku],0),16,1,1,"Entities")),"review","ok"),"ok")</f>
        <v>ok</v>
      </c>
      <c r="U1464" t="s">
        <v>123</v>
      </c>
      <c r="V1464">
        <v>0</v>
      </c>
      <c r="W1464">
        <v>35000</v>
      </c>
      <c r="X1464" t="s">
        <v>205</v>
      </c>
      <c r="Y1464" s="74" t="str">
        <f ca="1">IF(Table15[[#This Row],[Type]]="KILL",IF(_xlfn.NUMBERVALUE(RIGHT(Table15[[#This Row],[Min]],LEN(Table15[[#This Row],[Min]])-FIND("-",Table15[[#This Row],[Min]])))&gt;INDIRECT(ADDRESS(11+MATCH(LEFT(Table15[[#This Row],[Min]],FIND("-",Table15[[#This Row],[Min]])-1),Table1[Content Sku],0),16,1,1,"Entities")),"review","ok"),"ok")</f>
        <v>ok</v>
      </c>
    </row>
    <row r="1465" spans="5:25" x14ac:dyDescent="0.25">
      <c r="E1465" t="s">
        <v>8133</v>
      </c>
      <c r="F1465">
        <v>0</v>
      </c>
      <c r="G1465">
        <v>0</v>
      </c>
      <c r="H1465" t="s">
        <v>8</v>
      </c>
      <c r="I1465" s="74" t="str">
        <f ca="1">IF(Table7[[#This Row],[Type]]="KILL",IF(_xlfn.NUMBERVALUE(RIGHT(Table7[[#This Row],[Min]],LEN(Table7[[#This Row],[Min]])-FIND("-",Table7[[#This Row],[Min]])))&gt;INDIRECT(ADDRESS(11+MATCH(LEFT(Table7[[#This Row],[Min]],FIND("-",Table7[[#This Row],[Min]])-1),Table1[Content Sku],0),16,1,1,"Entities")),"review","ok"),"ok")</f>
        <v>ok</v>
      </c>
      <c r="U1465" t="s">
        <v>36</v>
      </c>
      <c r="V1465">
        <v>30000</v>
      </c>
      <c r="W1465">
        <v>0</v>
      </c>
      <c r="X1465" t="s">
        <v>205</v>
      </c>
      <c r="Y1465" s="74" t="str">
        <f ca="1">IF(Table15[[#This Row],[Type]]="KILL",IF(_xlfn.NUMBERVALUE(RIGHT(Table15[[#This Row],[Min]],LEN(Table15[[#This Row],[Min]])-FIND("-",Table15[[#This Row],[Min]])))&gt;INDIRECT(ADDRESS(11+MATCH(LEFT(Table15[[#This Row],[Min]],FIND("-",Table15[[#This Row],[Min]])-1),Table1[Content Sku],0),16,1,1,"Entities")),"review","ok"),"ok")</f>
        <v>ok</v>
      </c>
    </row>
    <row r="1466" spans="5:25" x14ac:dyDescent="0.25">
      <c r="E1466" t="s">
        <v>2723</v>
      </c>
      <c r="F1466">
        <v>0</v>
      </c>
      <c r="G1466">
        <v>0</v>
      </c>
      <c r="H1466" t="s">
        <v>8</v>
      </c>
      <c r="I1466" s="74" t="str">
        <f ca="1">IF(Table7[[#This Row],[Type]]="KILL",IF(_xlfn.NUMBERVALUE(RIGHT(Table7[[#This Row],[Min]],LEN(Table7[[#This Row],[Min]])-FIND("-",Table7[[#This Row],[Min]])))&gt;INDIRECT(ADDRESS(11+MATCH(LEFT(Table7[[#This Row],[Min]],FIND("-",Table7[[#This Row],[Min]])-1),Table1[Content Sku],0),16,1,1,"Entities")),"review","ok"),"ok")</f>
        <v>ok</v>
      </c>
      <c r="U1466" t="s">
        <v>122</v>
      </c>
      <c r="V1466">
        <v>38000</v>
      </c>
      <c r="W1466">
        <v>0</v>
      </c>
      <c r="X1466" t="s">
        <v>205</v>
      </c>
      <c r="Y1466" s="74" t="str">
        <f ca="1">IF(Table15[[#This Row],[Type]]="KILL",IF(_xlfn.NUMBERVALUE(RIGHT(Table15[[#This Row],[Min]],LEN(Table15[[#This Row],[Min]])-FIND("-",Table15[[#This Row],[Min]])))&gt;INDIRECT(ADDRESS(11+MATCH(LEFT(Table15[[#This Row],[Min]],FIND("-",Table15[[#This Row],[Min]])-1),Table1[Content Sku],0),16,1,1,"Entities")),"review","ok"),"ok")</f>
        <v>ok</v>
      </c>
    </row>
    <row r="1467" spans="5:25" x14ac:dyDescent="0.25">
      <c r="E1467" t="s">
        <v>257</v>
      </c>
      <c r="F1467">
        <v>19000</v>
      </c>
      <c r="G1467">
        <v>0</v>
      </c>
      <c r="H1467" t="s">
        <v>205</v>
      </c>
      <c r="I1467" s="74" t="str">
        <f ca="1">IF(Table7[[#This Row],[Type]]="KILL",IF(_xlfn.NUMBERVALUE(RIGHT(Table7[[#This Row],[Min]],LEN(Table7[[#This Row],[Min]])-FIND("-",Table7[[#This Row],[Min]])))&gt;INDIRECT(ADDRESS(11+MATCH(LEFT(Table7[[#This Row],[Min]],FIND("-",Table7[[#This Row],[Min]])-1),Table1[Content Sku],0),16,1,1,"Entities")),"review","ok"),"ok")</f>
        <v>ok</v>
      </c>
      <c r="U1467" t="s">
        <v>21</v>
      </c>
      <c r="V1467">
        <v>0</v>
      </c>
      <c r="W1467">
        <v>0</v>
      </c>
      <c r="X1467" t="s">
        <v>8</v>
      </c>
      <c r="Y1467" s="74" t="str">
        <f ca="1">IF(Table15[[#This Row],[Type]]="KILL",IF(_xlfn.NUMBERVALUE(RIGHT(Table15[[#This Row],[Min]],LEN(Table15[[#This Row],[Min]])-FIND("-",Table15[[#This Row],[Min]])))&gt;INDIRECT(ADDRESS(11+MATCH(LEFT(Table15[[#This Row],[Min]],FIND("-",Table15[[#This Row],[Min]])-1),Table1[Content Sku],0),16,1,1,"Entities")),"review","ok"),"ok")</f>
        <v>ok</v>
      </c>
    </row>
    <row r="1468" spans="5:25" x14ac:dyDescent="0.25">
      <c r="E1468" t="s">
        <v>2741</v>
      </c>
      <c r="F1468">
        <v>0</v>
      </c>
      <c r="G1468">
        <v>0</v>
      </c>
      <c r="H1468" t="s">
        <v>8</v>
      </c>
      <c r="I1468" s="74" t="str">
        <f ca="1">IF(Table7[[#This Row],[Type]]="KILL",IF(_xlfn.NUMBERVALUE(RIGHT(Table7[[#This Row],[Min]],LEN(Table7[[#This Row],[Min]])-FIND("-",Table7[[#This Row],[Min]])))&gt;INDIRECT(ADDRESS(11+MATCH(LEFT(Table7[[#This Row],[Min]],FIND("-",Table7[[#This Row],[Min]])-1),Table1[Content Sku],0),16,1,1,"Entities")),"review","ok"),"ok")</f>
        <v>ok</v>
      </c>
      <c r="U1468" t="s">
        <v>457</v>
      </c>
      <c r="V1468">
        <v>0</v>
      </c>
      <c r="W1468">
        <v>0</v>
      </c>
      <c r="X1468" t="s">
        <v>8</v>
      </c>
      <c r="Y1468" s="74" t="str">
        <f ca="1">IF(Table15[[#This Row],[Type]]="KILL",IF(_xlfn.NUMBERVALUE(RIGHT(Table15[[#This Row],[Min]],LEN(Table15[[#This Row],[Min]])-FIND("-",Table15[[#This Row],[Min]])))&gt;INDIRECT(ADDRESS(11+MATCH(LEFT(Table15[[#This Row],[Min]],FIND("-",Table15[[#This Row],[Min]])-1),Table1[Content Sku],0),16,1,1,"Entities")),"review","ok"),"ok")</f>
        <v>ok</v>
      </c>
    </row>
    <row r="1469" spans="5:25" x14ac:dyDescent="0.25">
      <c r="E1469" t="s">
        <v>286</v>
      </c>
      <c r="F1469">
        <v>8000</v>
      </c>
      <c r="G1469">
        <v>0</v>
      </c>
      <c r="H1469" t="s">
        <v>205</v>
      </c>
      <c r="I1469" s="74" t="str">
        <f ca="1">IF(Table7[[#This Row],[Type]]="KILL",IF(_xlfn.NUMBERVALUE(RIGHT(Table7[[#This Row],[Min]],LEN(Table7[[#This Row],[Min]])-FIND("-",Table7[[#This Row],[Min]])))&gt;INDIRECT(ADDRESS(11+MATCH(LEFT(Table7[[#This Row],[Min]],FIND("-",Table7[[#This Row],[Min]])-1),Table1[Content Sku],0),16,1,1,"Entities")),"review","ok"),"ok")</f>
        <v>ok</v>
      </c>
      <c r="U1469" t="s">
        <v>2720</v>
      </c>
      <c r="V1469">
        <v>0</v>
      </c>
      <c r="W1469">
        <v>0</v>
      </c>
      <c r="X1469" t="s">
        <v>8</v>
      </c>
      <c r="Y1469" s="74" t="str">
        <f ca="1">IF(Table15[[#This Row],[Type]]="KILL",IF(_xlfn.NUMBERVALUE(RIGHT(Table15[[#This Row],[Min]],LEN(Table15[[#This Row],[Min]])-FIND("-",Table15[[#This Row],[Min]])))&gt;INDIRECT(ADDRESS(11+MATCH(LEFT(Table15[[#This Row],[Min]],FIND("-",Table15[[#This Row],[Min]])-1),Table1[Content Sku],0),16,1,1,"Entities")),"review","ok"),"ok")</f>
        <v>ok</v>
      </c>
    </row>
    <row r="1470" spans="5:25" x14ac:dyDescent="0.25">
      <c r="E1470" t="s">
        <v>278</v>
      </c>
      <c r="F1470">
        <v>90</v>
      </c>
      <c r="G1470">
        <v>0</v>
      </c>
      <c r="H1470" t="s">
        <v>4431</v>
      </c>
      <c r="I1470" s="74" t="str">
        <f ca="1">IF(Table7[[#This Row],[Type]]="KILL",IF(_xlfn.NUMBERVALUE(RIGHT(Table7[[#This Row],[Min]],LEN(Table7[[#This Row],[Min]])-FIND("-",Table7[[#This Row],[Min]])))&gt;INDIRECT(ADDRESS(11+MATCH(LEFT(Table7[[#This Row],[Min]],FIND("-",Table7[[#This Row],[Min]])-1),Table1[Content Sku],0),16,1,1,"Entities")),"review","ok"),"ok")</f>
        <v>ok</v>
      </c>
      <c r="U1470" t="s">
        <v>36</v>
      </c>
      <c r="V1470">
        <v>0</v>
      </c>
      <c r="W1470">
        <v>0</v>
      </c>
      <c r="X1470" t="s">
        <v>8</v>
      </c>
      <c r="Y1470" s="74" t="str">
        <f ca="1">IF(Table15[[#This Row],[Type]]="KILL",IF(_xlfn.NUMBERVALUE(RIGHT(Table15[[#This Row],[Min]],LEN(Table15[[#This Row],[Min]])-FIND("-",Table15[[#This Row],[Min]])))&gt;INDIRECT(ADDRESS(11+MATCH(LEFT(Table15[[#This Row],[Min]],FIND("-",Table15[[#This Row],[Min]])-1),Table1[Content Sku],0),16,1,1,"Entities")),"review","ok"),"ok")</f>
        <v>ok</v>
      </c>
    </row>
    <row r="1471" spans="5:25" x14ac:dyDescent="0.25">
      <c r="E1471" t="s">
        <v>39</v>
      </c>
      <c r="F1471">
        <v>0</v>
      </c>
      <c r="G1471">
        <v>3600</v>
      </c>
      <c r="H1471" t="s">
        <v>205</v>
      </c>
      <c r="I1471" s="74" t="str">
        <f ca="1">IF(Table7[[#This Row],[Type]]="KILL",IF(_xlfn.NUMBERVALUE(RIGHT(Table7[[#This Row],[Min]],LEN(Table7[[#This Row],[Min]])-FIND("-",Table7[[#This Row],[Min]])))&gt;INDIRECT(ADDRESS(11+MATCH(LEFT(Table7[[#This Row],[Min]],FIND("-",Table7[[#This Row],[Min]])-1),Table1[Content Sku],0),16,1,1,"Entities")),"review","ok"),"ok")</f>
        <v>ok</v>
      </c>
      <c r="U1471" t="s">
        <v>21</v>
      </c>
      <c r="V1471">
        <v>65000</v>
      </c>
      <c r="W1471">
        <v>0</v>
      </c>
      <c r="X1471" t="s">
        <v>205</v>
      </c>
      <c r="Y1471" s="74" t="str">
        <f ca="1">IF(Table15[[#This Row],[Type]]="KILL",IF(_xlfn.NUMBERVALUE(RIGHT(Table15[[#This Row],[Min]],LEN(Table15[[#This Row],[Min]])-FIND("-",Table15[[#This Row],[Min]])))&gt;INDIRECT(ADDRESS(11+MATCH(LEFT(Table15[[#This Row],[Min]],FIND("-",Table15[[#This Row],[Min]])-1),Table1[Content Sku],0),16,1,1,"Entities")),"review","ok"),"ok")</f>
        <v>ok</v>
      </c>
    </row>
    <row r="1472" spans="5:25" x14ac:dyDescent="0.25">
      <c r="E1472" t="s">
        <v>313</v>
      </c>
      <c r="F1472">
        <v>0</v>
      </c>
      <c r="G1472">
        <v>0</v>
      </c>
      <c r="H1472" t="s">
        <v>8</v>
      </c>
      <c r="I1472" s="74" t="str">
        <f ca="1">IF(Table7[[#This Row],[Type]]="KILL",IF(_xlfn.NUMBERVALUE(RIGHT(Table7[[#This Row],[Min]],LEN(Table7[[#This Row],[Min]])-FIND("-",Table7[[#This Row],[Min]])))&gt;INDIRECT(ADDRESS(11+MATCH(LEFT(Table7[[#This Row],[Min]],FIND("-",Table7[[#This Row],[Min]])-1),Table1[Content Sku],0),16,1,1,"Entities")),"review","ok"),"ok")</f>
        <v>ok</v>
      </c>
      <c r="U1472" t="s">
        <v>315</v>
      </c>
      <c r="V1472">
        <v>0</v>
      </c>
      <c r="W1472">
        <v>0</v>
      </c>
      <c r="X1472" t="s">
        <v>8</v>
      </c>
      <c r="Y1472" s="74" t="str">
        <f ca="1">IF(Table15[[#This Row],[Type]]="KILL",IF(_xlfn.NUMBERVALUE(RIGHT(Table15[[#This Row],[Min]],LEN(Table15[[#This Row],[Min]])-FIND("-",Table15[[#This Row],[Min]])))&gt;INDIRECT(ADDRESS(11+MATCH(LEFT(Table15[[#This Row],[Min]],FIND("-",Table15[[#This Row],[Min]])-1),Table1[Content Sku],0),16,1,1,"Entities")),"review","ok"),"ok")</f>
        <v>ok</v>
      </c>
    </row>
    <row r="1473" spans="5:25" x14ac:dyDescent="0.25">
      <c r="E1473" t="s">
        <v>90</v>
      </c>
      <c r="F1473">
        <v>0</v>
      </c>
      <c r="G1473">
        <v>20000</v>
      </c>
      <c r="H1473" t="s">
        <v>205</v>
      </c>
      <c r="I1473" s="74" t="str">
        <f ca="1">IF(Table7[[#This Row],[Type]]="KILL",IF(_xlfn.NUMBERVALUE(RIGHT(Table7[[#This Row],[Min]],LEN(Table7[[#This Row],[Min]])-FIND("-",Table7[[#This Row],[Min]])))&gt;INDIRECT(ADDRESS(11+MATCH(LEFT(Table7[[#This Row],[Min]],FIND("-",Table7[[#This Row],[Min]])-1),Table1[Content Sku],0),16,1,1,"Entities")),"review","ok"),"ok")</f>
        <v>ok</v>
      </c>
      <c r="U1473" t="s">
        <v>459</v>
      </c>
      <c r="V1473">
        <v>0</v>
      </c>
      <c r="W1473">
        <v>0</v>
      </c>
      <c r="X1473" t="s">
        <v>8</v>
      </c>
      <c r="Y1473" s="74" t="str">
        <f ca="1">IF(Table15[[#This Row],[Type]]="KILL",IF(_xlfn.NUMBERVALUE(RIGHT(Table15[[#This Row],[Min]],LEN(Table15[[#This Row],[Min]])-FIND("-",Table15[[#This Row],[Min]])))&gt;INDIRECT(ADDRESS(11+MATCH(LEFT(Table15[[#This Row],[Min]],FIND("-",Table15[[#This Row],[Min]])-1),Table1[Content Sku],0),16,1,1,"Entities")),"review","ok"),"ok")</f>
        <v>ok</v>
      </c>
    </row>
    <row r="1474" spans="5:25" x14ac:dyDescent="0.25">
      <c r="E1474" t="s">
        <v>2741</v>
      </c>
      <c r="F1474">
        <v>0</v>
      </c>
      <c r="G1474">
        <v>0</v>
      </c>
      <c r="H1474" t="s">
        <v>8</v>
      </c>
      <c r="I1474" s="74" t="str">
        <f ca="1">IF(Table7[[#This Row],[Type]]="KILL",IF(_xlfn.NUMBERVALUE(RIGHT(Table7[[#This Row],[Min]],LEN(Table7[[#This Row],[Min]])-FIND("-",Table7[[#This Row],[Min]])))&gt;INDIRECT(ADDRESS(11+MATCH(LEFT(Table7[[#This Row],[Min]],FIND("-",Table7[[#This Row],[Min]])-1),Table1[Content Sku],0),16,1,1,"Entities")),"review","ok"),"ok")</f>
        <v>ok</v>
      </c>
      <c r="U1474" t="s">
        <v>38</v>
      </c>
      <c r="V1474">
        <v>0</v>
      </c>
      <c r="W1474">
        <v>0</v>
      </c>
      <c r="X1474" t="s">
        <v>8</v>
      </c>
      <c r="Y1474" s="74" t="str">
        <f ca="1">IF(Table15[[#This Row],[Type]]="KILL",IF(_xlfn.NUMBERVALUE(RIGHT(Table15[[#This Row],[Min]],LEN(Table15[[#This Row],[Min]])-FIND("-",Table15[[#This Row],[Min]])))&gt;INDIRECT(ADDRESS(11+MATCH(LEFT(Table15[[#This Row],[Min]],FIND("-",Table15[[#This Row],[Min]])-1),Table1[Content Sku],0),16,1,1,"Entities")),"review","ok"),"ok")</f>
        <v>ok</v>
      </c>
    </row>
    <row r="1475" spans="5:25" x14ac:dyDescent="0.25">
      <c r="E1475" t="s">
        <v>311</v>
      </c>
      <c r="F1475">
        <v>4200</v>
      </c>
      <c r="G1475">
        <v>0</v>
      </c>
      <c r="H1475" t="s">
        <v>205</v>
      </c>
      <c r="I1475" s="74" t="str">
        <f ca="1">IF(Table7[[#This Row],[Type]]="KILL",IF(_xlfn.NUMBERVALUE(RIGHT(Table7[[#This Row],[Min]],LEN(Table7[[#This Row],[Min]])-FIND("-",Table7[[#This Row],[Min]])))&gt;INDIRECT(ADDRESS(11+MATCH(LEFT(Table7[[#This Row],[Min]],FIND("-",Table7[[#This Row],[Min]])-1),Table1[Content Sku],0),16,1,1,"Entities")),"review","ok"),"ok")</f>
        <v>ok</v>
      </c>
      <c r="U1475" t="s">
        <v>2720</v>
      </c>
      <c r="V1475">
        <v>0</v>
      </c>
      <c r="W1475">
        <v>0</v>
      </c>
      <c r="X1475" t="s">
        <v>8</v>
      </c>
      <c r="Y1475" s="74" t="str">
        <f ca="1">IF(Table15[[#This Row],[Type]]="KILL",IF(_xlfn.NUMBERVALUE(RIGHT(Table15[[#This Row],[Min]],LEN(Table15[[#This Row],[Min]])-FIND("-",Table15[[#This Row],[Min]])))&gt;INDIRECT(ADDRESS(11+MATCH(LEFT(Table15[[#This Row],[Min]],FIND("-",Table15[[#This Row],[Min]])-1),Table1[Content Sku],0),16,1,1,"Entities")),"review","ok"),"ok")</f>
        <v>ok</v>
      </c>
    </row>
    <row r="1476" spans="5:25" x14ac:dyDescent="0.25">
      <c r="E1476" t="s">
        <v>254</v>
      </c>
      <c r="F1476">
        <v>0</v>
      </c>
      <c r="G1476">
        <v>0</v>
      </c>
      <c r="H1476" t="s">
        <v>8</v>
      </c>
      <c r="I1476" s="74" t="str">
        <f ca="1">IF(Table7[[#This Row],[Type]]="KILL",IF(_xlfn.NUMBERVALUE(RIGHT(Table7[[#This Row],[Min]],LEN(Table7[[#This Row],[Min]])-FIND("-",Table7[[#This Row],[Min]])))&gt;INDIRECT(ADDRESS(11+MATCH(LEFT(Table7[[#This Row],[Min]],FIND("-",Table7[[#This Row],[Min]])-1),Table1[Content Sku],0),16,1,1,"Entities")),"review","ok"),"ok")</f>
        <v>ok</v>
      </c>
      <c r="U1476" t="s">
        <v>37</v>
      </c>
      <c r="V1476">
        <v>0</v>
      </c>
      <c r="W1476">
        <v>0</v>
      </c>
      <c r="X1476" t="s">
        <v>8</v>
      </c>
      <c r="Y1476" s="74" t="str">
        <f ca="1">IF(Table15[[#This Row],[Type]]="KILL",IF(_xlfn.NUMBERVALUE(RIGHT(Table15[[#This Row],[Min]],LEN(Table15[[#This Row],[Min]])-FIND("-",Table15[[#This Row],[Min]])))&gt;INDIRECT(ADDRESS(11+MATCH(LEFT(Table15[[#This Row],[Min]],FIND("-",Table15[[#This Row],[Min]])-1),Table1[Content Sku],0),16,1,1,"Entities")),"review","ok"),"ok")</f>
        <v>ok</v>
      </c>
    </row>
    <row r="1477" spans="5:25" x14ac:dyDescent="0.25">
      <c r="E1477" t="s">
        <v>2741</v>
      </c>
      <c r="F1477">
        <v>0</v>
      </c>
      <c r="G1477">
        <v>0</v>
      </c>
      <c r="H1477" t="s">
        <v>8</v>
      </c>
      <c r="I1477" s="74" t="str">
        <f ca="1">IF(Table7[[#This Row],[Type]]="KILL",IF(_xlfn.NUMBERVALUE(RIGHT(Table7[[#This Row],[Min]],LEN(Table7[[#This Row],[Min]])-FIND("-",Table7[[#This Row],[Min]])))&gt;INDIRECT(ADDRESS(11+MATCH(LEFT(Table7[[#This Row],[Min]],FIND("-",Table7[[#This Row],[Min]])-1),Table1[Content Sku],0),16,1,1,"Entities")),"review","ok"),"ok")</f>
        <v>ok</v>
      </c>
      <c r="U1477" t="s">
        <v>315</v>
      </c>
      <c r="V1477">
        <v>0</v>
      </c>
      <c r="W1477">
        <v>0</v>
      </c>
      <c r="X1477" t="s">
        <v>8</v>
      </c>
      <c r="Y1477" s="74" t="str">
        <f ca="1">IF(Table15[[#This Row],[Type]]="KILL",IF(_xlfn.NUMBERVALUE(RIGHT(Table15[[#This Row],[Min]],LEN(Table15[[#This Row],[Min]])-FIND("-",Table15[[#This Row],[Min]])))&gt;INDIRECT(ADDRESS(11+MATCH(LEFT(Table15[[#This Row],[Min]],FIND("-",Table15[[#This Row],[Min]])-1),Table1[Content Sku],0),16,1,1,"Entities")),"review","ok"),"ok")</f>
        <v>ok</v>
      </c>
    </row>
    <row r="1478" spans="5:25" x14ac:dyDescent="0.25">
      <c r="E1478" t="s">
        <v>39</v>
      </c>
      <c r="F1478">
        <v>0</v>
      </c>
      <c r="G1478">
        <v>5000</v>
      </c>
      <c r="H1478" t="s">
        <v>205</v>
      </c>
      <c r="I1478" s="74" t="str">
        <f ca="1">IF(Table7[[#This Row],[Type]]="KILL",IF(_xlfn.NUMBERVALUE(RIGHT(Table7[[#This Row],[Min]],LEN(Table7[[#This Row],[Min]])-FIND("-",Table7[[#This Row],[Min]])))&gt;INDIRECT(ADDRESS(11+MATCH(LEFT(Table7[[#This Row],[Min]],FIND("-",Table7[[#This Row],[Min]])-1),Table1[Content Sku],0),16,1,1,"Entities")),"review","ok"),"ok")</f>
        <v>ok</v>
      </c>
      <c r="U1478" t="s">
        <v>548</v>
      </c>
      <c r="V1478">
        <v>0</v>
      </c>
      <c r="W1478">
        <v>0</v>
      </c>
      <c r="X1478" t="s">
        <v>8</v>
      </c>
      <c r="Y1478" s="74" t="str">
        <f ca="1">IF(Table15[[#This Row],[Type]]="KILL",IF(_xlfn.NUMBERVALUE(RIGHT(Table15[[#This Row],[Min]],LEN(Table15[[#This Row],[Min]])-FIND("-",Table15[[#This Row],[Min]])))&gt;INDIRECT(ADDRESS(11+MATCH(LEFT(Table15[[#This Row],[Min]],FIND("-",Table15[[#This Row],[Min]])-1),Table1[Content Sku],0),16,1,1,"Entities")),"review","ok"),"ok")</f>
        <v>ok</v>
      </c>
    </row>
    <row r="1479" spans="5:25" x14ac:dyDescent="0.25">
      <c r="E1479" t="s">
        <v>258</v>
      </c>
      <c r="F1479">
        <v>40000</v>
      </c>
      <c r="G1479">
        <v>0</v>
      </c>
      <c r="H1479" t="s">
        <v>205</v>
      </c>
      <c r="I1479" s="74" t="str">
        <f ca="1">IF(Table7[[#This Row],[Type]]="KILL",IF(_xlfn.NUMBERVALUE(RIGHT(Table7[[#This Row],[Min]],LEN(Table7[[#This Row],[Min]])-FIND("-",Table7[[#This Row],[Min]])))&gt;INDIRECT(ADDRESS(11+MATCH(LEFT(Table7[[#This Row],[Min]],FIND("-",Table7[[#This Row],[Min]])-1),Table1[Content Sku],0),16,1,1,"Entities")),"review","ok"),"ok")</f>
        <v>ok</v>
      </c>
      <c r="U1479" t="s">
        <v>457</v>
      </c>
      <c r="V1479">
        <v>0</v>
      </c>
      <c r="W1479">
        <v>0</v>
      </c>
      <c r="X1479" t="s">
        <v>8</v>
      </c>
      <c r="Y1479" s="74" t="str">
        <f ca="1">IF(Table15[[#This Row],[Type]]="KILL",IF(_xlfn.NUMBERVALUE(RIGHT(Table15[[#This Row],[Min]],LEN(Table15[[#This Row],[Min]])-FIND("-",Table15[[#This Row],[Min]])))&gt;INDIRECT(ADDRESS(11+MATCH(LEFT(Table15[[#This Row],[Min]],FIND("-",Table15[[#This Row],[Min]])-1),Table1[Content Sku],0),16,1,1,"Entities")),"review","ok"),"ok")</f>
        <v>ok</v>
      </c>
    </row>
    <row r="1480" spans="5:25" x14ac:dyDescent="0.25">
      <c r="E1480" t="s">
        <v>254</v>
      </c>
      <c r="F1480">
        <v>0</v>
      </c>
      <c r="G1480">
        <v>0</v>
      </c>
      <c r="H1480" t="s">
        <v>8</v>
      </c>
      <c r="I1480" s="74" t="str">
        <f ca="1">IF(Table7[[#This Row],[Type]]="KILL",IF(_xlfn.NUMBERVALUE(RIGHT(Table7[[#This Row],[Min]],LEN(Table7[[#This Row],[Min]])-FIND("-",Table7[[#This Row],[Min]])))&gt;INDIRECT(ADDRESS(11+MATCH(LEFT(Table7[[#This Row],[Min]],FIND("-",Table7[[#This Row],[Min]])-1),Table1[Content Sku],0),16,1,1,"Entities")),"review","ok"),"ok")</f>
        <v>ok</v>
      </c>
      <c r="U1480" t="s">
        <v>37</v>
      </c>
      <c r="V1480">
        <v>0</v>
      </c>
      <c r="W1480">
        <v>0</v>
      </c>
      <c r="X1480" t="s">
        <v>8</v>
      </c>
      <c r="Y1480" s="74" t="str">
        <f ca="1">IF(Table15[[#This Row],[Type]]="KILL",IF(_xlfn.NUMBERVALUE(RIGHT(Table15[[#This Row],[Min]],LEN(Table15[[#This Row],[Min]])-FIND("-",Table15[[#This Row],[Min]])))&gt;INDIRECT(ADDRESS(11+MATCH(LEFT(Table15[[#This Row],[Min]],FIND("-",Table15[[#This Row],[Min]])-1),Table1[Content Sku],0),16,1,1,"Entities")),"review","ok"),"ok")</f>
        <v>ok</v>
      </c>
    </row>
    <row r="1481" spans="5:25" x14ac:dyDescent="0.25">
      <c r="E1481" t="s">
        <v>256</v>
      </c>
      <c r="F1481">
        <v>0</v>
      </c>
      <c r="G1481">
        <v>0</v>
      </c>
      <c r="H1481" t="s">
        <v>8</v>
      </c>
      <c r="I1481" s="74" t="str">
        <f ca="1">IF(Table7[[#This Row],[Type]]="KILL",IF(_xlfn.NUMBERVALUE(RIGHT(Table7[[#This Row],[Min]],LEN(Table7[[#This Row],[Min]])-FIND("-",Table7[[#This Row],[Min]])))&gt;INDIRECT(ADDRESS(11+MATCH(LEFT(Table7[[#This Row],[Min]],FIND("-",Table7[[#This Row],[Min]])-1),Table1[Content Sku],0),16,1,1,"Entities")),"review","ok"),"ok")</f>
        <v>ok</v>
      </c>
      <c r="U1481" t="s">
        <v>306</v>
      </c>
      <c r="V1481">
        <v>0</v>
      </c>
      <c r="W1481">
        <v>0</v>
      </c>
      <c r="X1481" t="s">
        <v>8</v>
      </c>
      <c r="Y1481" s="74" t="str">
        <f ca="1">IF(Table15[[#This Row],[Type]]="KILL",IF(_xlfn.NUMBERVALUE(RIGHT(Table15[[#This Row],[Min]],LEN(Table15[[#This Row],[Min]])-FIND("-",Table15[[#This Row],[Min]])))&gt;INDIRECT(ADDRESS(11+MATCH(LEFT(Table15[[#This Row],[Min]],FIND("-",Table15[[#This Row],[Min]])-1),Table1[Content Sku],0),16,1,1,"Entities")),"review","ok"),"ok")</f>
        <v>ok</v>
      </c>
    </row>
    <row r="1482" spans="5:25" x14ac:dyDescent="0.25">
      <c r="E1482" t="s">
        <v>39</v>
      </c>
      <c r="F1482">
        <v>21000</v>
      </c>
      <c r="G1482">
        <v>0</v>
      </c>
      <c r="H1482" t="s">
        <v>205</v>
      </c>
      <c r="I1482" s="74" t="str">
        <f ca="1">IF(Table7[[#This Row],[Type]]="KILL",IF(_xlfn.NUMBERVALUE(RIGHT(Table7[[#This Row],[Min]],LEN(Table7[[#This Row],[Min]])-FIND("-",Table7[[#This Row],[Min]])))&gt;INDIRECT(ADDRESS(11+MATCH(LEFT(Table7[[#This Row],[Min]],FIND("-",Table7[[#This Row],[Min]])-1),Table1[Content Sku],0),16,1,1,"Entities")),"review","ok"),"ok")</f>
        <v>ok</v>
      </c>
      <c r="U1482" t="s">
        <v>37</v>
      </c>
      <c r="V1482">
        <v>0</v>
      </c>
      <c r="W1482">
        <v>0</v>
      </c>
      <c r="X1482" t="s">
        <v>8</v>
      </c>
      <c r="Y1482" s="74" t="str">
        <f ca="1">IF(Table15[[#This Row],[Type]]="KILL",IF(_xlfn.NUMBERVALUE(RIGHT(Table15[[#This Row],[Min]],LEN(Table15[[#This Row],[Min]])-FIND("-",Table15[[#This Row],[Min]])))&gt;INDIRECT(ADDRESS(11+MATCH(LEFT(Table15[[#This Row],[Min]],FIND("-",Table15[[#This Row],[Min]])-1),Table1[Content Sku],0),16,1,1,"Entities")),"review","ok"),"ok")</f>
        <v>ok</v>
      </c>
    </row>
    <row r="1483" spans="5:25" x14ac:dyDescent="0.25">
      <c r="E1483" t="s">
        <v>254</v>
      </c>
      <c r="F1483">
        <v>0</v>
      </c>
      <c r="G1483">
        <v>0</v>
      </c>
      <c r="H1483" t="s">
        <v>8</v>
      </c>
      <c r="I1483" s="74" t="str">
        <f ca="1">IF(Table7[[#This Row],[Type]]="KILL",IF(_xlfn.NUMBERVALUE(RIGHT(Table7[[#This Row],[Min]],LEN(Table7[[#This Row],[Min]])-FIND("-",Table7[[#This Row],[Min]])))&gt;INDIRECT(ADDRESS(11+MATCH(LEFT(Table7[[#This Row],[Min]],FIND("-",Table7[[#This Row],[Min]])-1),Table1[Content Sku],0),16,1,1,"Entities")),"review","ok"),"ok")</f>
        <v>ok</v>
      </c>
      <c r="U1483" t="s">
        <v>457</v>
      </c>
      <c r="V1483">
        <v>0</v>
      </c>
      <c r="W1483">
        <v>0</v>
      </c>
      <c r="X1483" t="s">
        <v>8</v>
      </c>
      <c r="Y1483" s="74" t="str">
        <f ca="1">IF(Table15[[#This Row],[Type]]="KILL",IF(_xlfn.NUMBERVALUE(RIGHT(Table15[[#This Row],[Min]],LEN(Table15[[#This Row],[Min]])-FIND("-",Table15[[#This Row],[Min]])))&gt;INDIRECT(ADDRESS(11+MATCH(LEFT(Table15[[#This Row],[Min]],FIND("-",Table15[[#This Row],[Min]])-1),Table1[Content Sku],0),16,1,1,"Entities")),"review","ok"),"ok")</f>
        <v>ok</v>
      </c>
    </row>
    <row r="1484" spans="5:25" x14ac:dyDescent="0.25">
      <c r="E1484" t="s">
        <v>280</v>
      </c>
      <c r="F1484">
        <v>0</v>
      </c>
      <c r="G1484">
        <v>0</v>
      </c>
      <c r="H1484" t="s">
        <v>8</v>
      </c>
      <c r="I1484" s="74" t="str">
        <f ca="1">IF(Table7[[#This Row],[Type]]="KILL",IF(_xlfn.NUMBERVALUE(RIGHT(Table7[[#This Row],[Min]],LEN(Table7[[#This Row],[Min]])-FIND("-",Table7[[#This Row],[Min]])))&gt;INDIRECT(ADDRESS(11+MATCH(LEFT(Table7[[#This Row],[Min]],FIND("-",Table7[[#This Row],[Min]])-1),Table1[Content Sku],0),16,1,1,"Entities")),"review","ok"),"ok")</f>
        <v>ok</v>
      </c>
      <c r="U1484" t="s">
        <v>457</v>
      </c>
      <c r="V1484">
        <v>0</v>
      </c>
      <c r="W1484">
        <v>0</v>
      </c>
      <c r="X1484" t="s">
        <v>8</v>
      </c>
      <c r="Y1484" s="74" t="str">
        <f ca="1">IF(Table15[[#This Row],[Type]]="KILL",IF(_xlfn.NUMBERVALUE(RIGHT(Table15[[#This Row],[Min]],LEN(Table15[[#This Row],[Min]])-FIND("-",Table15[[#This Row],[Min]])))&gt;INDIRECT(ADDRESS(11+MATCH(LEFT(Table15[[#This Row],[Min]],FIND("-",Table15[[#This Row],[Min]])-1),Table1[Content Sku],0),16,1,1,"Entities")),"review","ok"),"ok")</f>
        <v>ok</v>
      </c>
    </row>
    <row r="1485" spans="5:25" x14ac:dyDescent="0.25">
      <c r="E1485" t="s">
        <v>406</v>
      </c>
      <c r="F1485">
        <v>0</v>
      </c>
      <c r="G1485">
        <v>0</v>
      </c>
      <c r="H1485" t="s">
        <v>8</v>
      </c>
      <c r="I1485" s="74" t="str">
        <f ca="1">IF(Table7[[#This Row],[Type]]="KILL",IF(_xlfn.NUMBERVALUE(RIGHT(Table7[[#This Row],[Min]],LEN(Table7[[#This Row],[Min]])-FIND("-",Table7[[#This Row],[Min]])))&gt;INDIRECT(ADDRESS(11+MATCH(LEFT(Table7[[#This Row],[Min]],FIND("-",Table7[[#This Row],[Min]])-1),Table1[Content Sku],0),16,1,1,"Entities")),"review","ok"),"ok")</f>
        <v>ok</v>
      </c>
      <c r="U1485" t="s">
        <v>548</v>
      </c>
      <c r="V1485">
        <v>0</v>
      </c>
      <c r="W1485">
        <v>0</v>
      </c>
      <c r="X1485" t="s">
        <v>8</v>
      </c>
      <c r="Y1485" s="74" t="str">
        <f ca="1">IF(Table15[[#This Row],[Type]]="KILL",IF(_xlfn.NUMBERVALUE(RIGHT(Table15[[#This Row],[Min]],LEN(Table15[[#This Row],[Min]])-FIND("-",Table15[[#This Row],[Min]])))&gt;INDIRECT(ADDRESS(11+MATCH(LEFT(Table15[[#This Row],[Min]],FIND("-",Table15[[#This Row],[Min]])-1),Table1[Content Sku],0),16,1,1,"Entities")),"review","ok"),"ok")</f>
        <v>ok</v>
      </c>
    </row>
    <row r="1486" spans="5:25" x14ac:dyDescent="0.25">
      <c r="E1486" t="s">
        <v>4430</v>
      </c>
      <c r="F1486">
        <v>0</v>
      </c>
      <c r="G1486">
        <v>0</v>
      </c>
      <c r="H1486" t="s">
        <v>8</v>
      </c>
      <c r="I1486" s="74" t="str">
        <f ca="1">IF(Table7[[#This Row],[Type]]="KILL",IF(_xlfn.NUMBERVALUE(RIGHT(Table7[[#This Row],[Min]],LEN(Table7[[#This Row],[Min]])-FIND("-",Table7[[#This Row],[Min]])))&gt;INDIRECT(ADDRESS(11+MATCH(LEFT(Table7[[#This Row],[Min]],FIND("-",Table7[[#This Row],[Min]])-1),Table1[Content Sku],0),16,1,1,"Entities")),"review","ok"),"ok")</f>
        <v>ok</v>
      </c>
      <c r="U1486" t="s">
        <v>398</v>
      </c>
      <c r="V1486">
        <v>0</v>
      </c>
      <c r="W1486">
        <v>0</v>
      </c>
      <c r="X1486" t="s">
        <v>8</v>
      </c>
      <c r="Y1486" s="74" t="str">
        <f ca="1">IF(Table15[[#This Row],[Type]]="KILL",IF(_xlfn.NUMBERVALUE(RIGHT(Table15[[#This Row],[Min]],LEN(Table15[[#This Row],[Min]])-FIND("-",Table15[[#This Row],[Min]])))&gt;INDIRECT(ADDRESS(11+MATCH(LEFT(Table15[[#This Row],[Min]],FIND("-",Table15[[#This Row],[Min]])-1),Table1[Content Sku],0),16,1,1,"Entities")),"review","ok"),"ok")</f>
        <v>ok</v>
      </c>
    </row>
    <row r="1487" spans="5:25" x14ac:dyDescent="0.25">
      <c r="E1487" t="s">
        <v>2741</v>
      </c>
      <c r="F1487">
        <v>0</v>
      </c>
      <c r="G1487">
        <v>0</v>
      </c>
      <c r="H1487" t="s">
        <v>8</v>
      </c>
      <c r="I1487" s="74" t="str">
        <f ca="1">IF(Table7[[#This Row],[Type]]="KILL",IF(_xlfn.NUMBERVALUE(RIGHT(Table7[[#This Row],[Min]],LEN(Table7[[#This Row],[Min]])-FIND("-",Table7[[#This Row],[Min]])))&gt;INDIRECT(ADDRESS(11+MATCH(LEFT(Table7[[#This Row],[Min]],FIND("-",Table7[[#This Row],[Min]])-1),Table1[Content Sku],0),16,1,1,"Entities")),"review","ok"),"ok")</f>
        <v>ok</v>
      </c>
      <c r="U1487" t="s">
        <v>457</v>
      </c>
      <c r="V1487">
        <v>0</v>
      </c>
      <c r="W1487">
        <v>0</v>
      </c>
      <c r="X1487" t="s">
        <v>8</v>
      </c>
      <c r="Y1487" s="74" t="str">
        <f ca="1">IF(Table15[[#This Row],[Type]]="KILL",IF(_xlfn.NUMBERVALUE(RIGHT(Table15[[#This Row],[Min]],LEN(Table15[[#This Row],[Min]])-FIND("-",Table15[[#This Row],[Min]])))&gt;INDIRECT(ADDRESS(11+MATCH(LEFT(Table15[[#This Row],[Min]],FIND("-",Table15[[#This Row],[Min]])-1),Table1[Content Sku],0),16,1,1,"Entities")),"review","ok"),"ok")</f>
        <v>ok</v>
      </c>
    </row>
    <row r="1488" spans="5:25" x14ac:dyDescent="0.25">
      <c r="E1488" t="s">
        <v>278</v>
      </c>
      <c r="F1488">
        <v>0</v>
      </c>
      <c r="G1488">
        <v>0</v>
      </c>
      <c r="H1488" t="s">
        <v>8</v>
      </c>
      <c r="I1488" s="74" t="str">
        <f ca="1">IF(Table7[[#This Row],[Type]]="KILL",IF(_xlfn.NUMBERVALUE(RIGHT(Table7[[#This Row],[Min]],LEN(Table7[[#This Row],[Min]])-FIND("-",Table7[[#This Row],[Min]])))&gt;INDIRECT(ADDRESS(11+MATCH(LEFT(Table7[[#This Row],[Min]],FIND("-",Table7[[#This Row],[Min]])-1),Table1[Content Sku],0),16,1,1,"Entities")),"review","ok"),"ok")</f>
        <v>ok</v>
      </c>
      <c r="U1488" t="s">
        <v>8103</v>
      </c>
      <c r="V1488">
        <v>50000</v>
      </c>
      <c r="W1488">
        <v>0</v>
      </c>
      <c r="X1488" t="s">
        <v>205</v>
      </c>
      <c r="Y1488" s="74" t="str">
        <f ca="1">IF(Table15[[#This Row],[Type]]="KILL",IF(_xlfn.NUMBERVALUE(RIGHT(Table15[[#This Row],[Min]],LEN(Table15[[#This Row],[Min]])-FIND("-",Table15[[#This Row],[Min]])))&gt;INDIRECT(ADDRESS(11+MATCH(LEFT(Table15[[#This Row],[Min]],FIND("-",Table15[[#This Row],[Min]])-1),Table1[Content Sku],0),16,1,1,"Entities")),"review","ok"),"ok")</f>
        <v>ok</v>
      </c>
    </row>
    <row r="1489" spans="5:25" x14ac:dyDescent="0.25">
      <c r="E1489" t="s">
        <v>545</v>
      </c>
      <c r="F1489">
        <v>0</v>
      </c>
      <c r="G1489">
        <v>0</v>
      </c>
      <c r="H1489" t="s">
        <v>8</v>
      </c>
      <c r="I1489" s="74" t="str">
        <f ca="1">IF(Table7[[#This Row],[Type]]="KILL",IF(_xlfn.NUMBERVALUE(RIGHT(Table7[[#This Row],[Min]],LEN(Table7[[#This Row],[Min]])-FIND("-",Table7[[#This Row],[Min]])))&gt;INDIRECT(ADDRESS(11+MATCH(LEFT(Table7[[#This Row],[Min]],FIND("-",Table7[[#This Row],[Min]])-1),Table1[Content Sku],0),16,1,1,"Entities")),"review","ok"),"ok")</f>
        <v>ok</v>
      </c>
      <c r="U1489" t="s">
        <v>37</v>
      </c>
      <c r="V1489">
        <v>0</v>
      </c>
      <c r="W1489">
        <v>0</v>
      </c>
      <c r="X1489" t="s">
        <v>8</v>
      </c>
      <c r="Y1489" s="74" t="str">
        <f ca="1">IF(Table15[[#This Row],[Type]]="KILL",IF(_xlfn.NUMBERVALUE(RIGHT(Table15[[#This Row],[Min]],LEN(Table15[[#This Row],[Min]])-FIND("-",Table15[[#This Row],[Min]])))&gt;INDIRECT(ADDRESS(11+MATCH(LEFT(Table15[[#This Row],[Min]],FIND("-",Table15[[#This Row],[Min]])-1),Table1[Content Sku],0),16,1,1,"Entities")),"review","ok"),"ok")</f>
        <v>ok</v>
      </c>
    </row>
    <row r="1490" spans="5:25" x14ac:dyDescent="0.25">
      <c r="E1490" t="s">
        <v>2741</v>
      </c>
      <c r="F1490">
        <v>0</v>
      </c>
      <c r="G1490">
        <v>0</v>
      </c>
      <c r="H1490" t="s">
        <v>8</v>
      </c>
      <c r="I1490" s="74" t="str">
        <f ca="1">IF(Table7[[#This Row],[Type]]="KILL",IF(_xlfn.NUMBERVALUE(RIGHT(Table7[[#This Row],[Min]],LEN(Table7[[#This Row],[Min]])-FIND("-",Table7[[#This Row],[Min]])))&gt;INDIRECT(ADDRESS(11+MATCH(LEFT(Table7[[#This Row],[Min]],FIND("-",Table7[[#This Row],[Min]])-1),Table1[Content Sku],0),16,1,1,"Entities")),"review","ok"),"ok")</f>
        <v>ok</v>
      </c>
      <c r="U1490" t="s">
        <v>315</v>
      </c>
      <c r="V1490">
        <v>0</v>
      </c>
      <c r="W1490">
        <v>39000</v>
      </c>
      <c r="X1490" t="s">
        <v>205</v>
      </c>
      <c r="Y1490" s="74" t="str">
        <f ca="1">IF(Table15[[#This Row],[Type]]="KILL",IF(_xlfn.NUMBERVALUE(RIGHT(Table15[[#This Row],[Min]],LEN(Table15[[#This Row],[Min]])-FIND("-",Table15[[#This Row],[Min]])))&gt;INDIRECT(ADDRESS(11+MATCH(LEFT(Table15[[#This Row],[Min]],FIND("-",Table15[[#This Row],[Min]])-1),Table1[Content Sku],0),16,1,1,"Entities")),"review","ok"),"ok")</f>
        <v>ok</v>
      </c>
    </row>
    <row r="1491" spans="5:25" x14ac:dyDescent="0.25">
      <c r="E1491" t="s">
        <v>313</v>
      </c>
      <c r="F1491">
        <v>5000</v>
      </c>
      <c r="G1491">
        <v>0</v>
      </c>
      <c r="H1491" t="s">
        <v>205</v>
      </c>
      <c r="I1491" s="74" t="str">
        <f ca="1">IF(Table7[[#This Row],[Type]]="KILL",IF(_xlfn.NUMBERVALUE(RIGHT(Table7[[#This Row],[Min]],LEN(Table7[[#This Row],[Min]])-FIND("-",Table7[[#This Row],[Min]])))&gt;INDIRECT(ADDRESS(11+MATCH(LEFT(Table7[[#This Row],[Min]],FIND("-",Table7[[#This Row],[Min]])-1),Table1[Content Sku],0),16,1,1,"Entities")),"review","ok"),"ok")</f>
        <v>ok</v>
      </c>
      <c r="U1491" t="s">
        <v>2720</v>
      </c>
      <c r="V1491">
        <v>0</v>
      </c>
      <c r="W1491">
        <v>56000</v>
      </c>
      <c r="X1491" t="s">
        <v>205</v>
      </c>
      <c r="Y1491" s="74" t="str">
        <f ca="1">IF(Table15[[#This Row],[Type]]="KILL",IF(_xlfn.NUMBERVALUE(RIGHT(Table15[[#This Row],[Min]],LEN(Table15[[#This Row],[Min]])-FIND("-",Table15[[#This Row],[Min]])))&gt;INDIRECT(ADDRESS(11+MATCH(LEFT(Table15[[#This Row],[Min]],FIND("-",Table15[[#This Row],[Min]])-1),Table1[Content Sku],0),16,1,1,"Entities")),"review","ok"),"ok")</f>
        <v>ok</v>
      </c>
    </row>
    <row r="1492" spans="5:25" x14ac:dyDescent="0.25">
      <c r="E1492" t="s">
        <v>463</v>
      </c>
      <c r="F1492">
        <v>0</v>
      </c>
      <c r="G1492">
        <v>0</v>
      </c>
      <c r="H1492" t="s">
        <v>8</v>
      </c>
      <c r="I1492" s="74" t="str">
        <f ca="1">IF(Table7[[#This Row],[Type]]="KILL",IF(_xlfn.NUMBERVALUE(RIGHT(Table7[[#This Row],[Min]],LEN(Table7[[#This Row],[Min]])-FIND("-",Table7[[#This Row],[Min]])))&gt;INDIRECT(ADDRESS(11+MATCH(LEFT(Table7[[#This Row],[Min]],FIND("-",Table7[[#This Row],[Min]])-1),Table1[Content Sku],0),16,1,1,"Entities")),"review","ok"),"ok")</f>
        <v>ok</v>
      </c>
      <c r="U1492" t="s">
        <v>2720</v>
      </c>
      <c r="V1492">
        <v>39000</v>
      </c>
      <c r="W1492">
        <v>0</v>
      </c>
      <c r="X1492" t="s">
        <v>205</v>
      </c>
      <c r="Y1492" s="74" t="str">
        <f ca="1">IF(Table15[[#This Row],[Type]]="KILL",IF(_xlfn.NUMBERVALUE(RIGHT(Table15[[#This Row],[Min]],LEN(Table15[[#This Row],[Min]])-FIND("-",Table15[[#This Row],[Min]])))&gt;INDIRECT(ADDRESS(11+MATCH(LEFT(Table15[[#This Row],[Min]],FIND("-",Table15[[#This Row],[Min]])-1),Table1[Content Sku],0),16,1,1,"Entities")),"review","ok"),"ok")</f>
        <v>ok</v>
      </c>
    </row>
    <row r="1493" spans="5:25" x14ac:dyDescent="0.25">
      <c r="E1493" t="s">
        <v>51</v>
      </c>
      <c r="F1493">
        <v>35000</v>
      </c>
      <c r="G1493">
        <v>0</v>
      </c>
      <c r="H1493" t="s">
        <v>205</v>
      </c>
      <c r="I1493" s="74" t="str">
        <f ca="1">IF(Table7[[#This Row],[Type]]="KILL",IF(_xlfn.NUMBERVALUE(RIGHT(Table7[[#This Row],[Min]],LEN(Table7[[#This Row],[Min]])-FIND("-",Table7[[#This Row],[Min]])))&gt;INDIRECT(ADDRESS(11+MATCH(LEFT(Table7[[#This Row],[Min]],FIND("-",Table7[[#This Row],[Min]])-1),Table1[Content Sku],0),16,1,1,"Entities")),"review","ok"),"ok")</f>
        <v>ok</v>
      </c>
      <c r="U1493" t="s">
        <v>289</v>
      </c>
      <c r="V1493">
        <v>0</v>
      </c>
      <c r="W1493">
        <v>0</v>
      </c>
      <c r="X1493" t="s">
        <v>8</v>
      </c>
      <c r="Y1493" s="74" t="str">
        <f ca="1">IF(Table15[[#This Row],[Type]]="KILL",IF(_xlfn.NUMBERVALUE(RIGHT(Table15[[#This Row],[Min]],LEN(Table15[[#This Row],[Min]])-FIND("-",Table15[[#This Row],[Min]])))&gt;INDIRECT(ADDRESS(11+MATCH(LEFT(Table15[[#This Row],[Min]],FIND("-",Table15[[#This Row],[Min]])-1),Table1[Content Sku],0),16,1,1,"Entities")),"review","ok"),"ok")</f>
        <v>ok</v>
      </c>
    </row>
    <row r="1494" spans="5:25" x14ac:dyDescent="0.25">
      <c r="E1494" t="s">
        <v>545</v>
      </c>
      <c r="F1494">
        <v>0</v>
      </c>
      <c r="G1494">
        <v>0</v>
      </c>
      <c r="H1494" t="s">
        <v>8</v>
      </c>
      <c r="I1494" s="74" t="str">
        <f ca="1">IF(Table7[[#This Row],[Type]]="KILL",IF(_xlfn.NUMBERVALUE(RIGHT(Table7[[#This Row],[Min]],LEN(Table7[[#This Row],[Min]])-FIND("-",Table7[[#This Row],[Min]])))&gt;INDIRECT(ADDRESS(11+MATCH(LEFT(Table7[[#This Row],[Min]],FIND("-",Table7[[#This Row],[Min]])-1),Table1[Content Sku],0),16,1,1,"Entities")),"review","ok"),"ok")</f>
        <v>ok</v>
      </c>
      <c r="U1494" t="s">
        <v>313</v>
      </c>
      <c r="V1494">
        <v>0</v>
      </c>
      <c r="W1494">
        <v>0</v>
      </c>
      <c r="X1494" t="s">
        <v>8</v>
      </c>
      <c r="Y1494" s="74" t="str">
        <f ca="1">IF(Table15[[#This Row],[Type]]="KILL",IF(_xlfn.NUMBERVALUE(RIGHT(Table15[[#This Row],[Min]],LEN(Table15[[#This Row],[Min]])-FIND("-",Table15[[#This Row],[Min]])))&gt;INDIRECT(ADDRESS(11+MATCH(LEFT(Table15[[#This Row],[Min]],FIND("-",Table15[[#This Row],[Min]])-1),Table1[Content Sku],0),16,1,1,"Entities")),"review","ok"),"ok")</f>
        <v>ok</v>
      </c>
    </row>
    <row r="1495" spans="5:25" x14ac:dyDescent="0.25">
      <c r="E1495" t="s">
        <v>8133</v>
      </c>
      <c r="F1495">
        <v>0</v>
      </c>
      <c r="G1495">
        <v>0</v>
      </c>
      <c r="H1495" t="s">
        <v>8</v>
      </c>
      <c r="I1495" s="74" t="str">
        <f ca="1">IF(Table7[[#This Row],[Type]]="KILL",IF(_xlfn.NUMBERVALUE(RIGHT(Table7[[#This Row],[Min]],LEN(Table7[[#This Row],[Min]])-FIND("-",Table7[[#This Row],[Min]])))&gt;INDIRECT(ADDRESS(11+MATCH(LEFT(Table7[[#This Row],[Min]],FIND("-",Table7[[#This Row],[Min]])-1),Table1[Content Sku],0),16,1,1,"Entities")),"review","ok"),"ok")</f>
        <v>ok</v>
      </c>
      <c r="U1495" t="s">
        <v>123</v>
      </c>
      <c r="V1495">
        <v>0</v>
      </c>
      <c r="W1495">
        <v>0</v>
      </c>
      <c r="X1495" t="s">
        <v>8</v>
      </c>
      <c r="Y1495" s="74" t="str">
        <f ca="1">IF(Table15[[#This Row],[Type]]="KILL",IF(_xlfn.NUMBERVALUE(RIGHT(Table15[[#This Row],[Min]],LEN(Table15[[#This Row],[Min]])-FIND("-",Table15[[#This Row],[Min]])))&gt;INDIRECT(ADDRESS(11+MATCH(LEFT(Table15[[#This Row],[Min]],FIND("-",Table15[[#This Row],[Min]])-1),Table1[Content Sku],0),16,1,1,"Entities")),"review","ok"),"ok")</f>
        <v>ok</v>
      </c>
    </row>
    <row r="1496" spans="5:25" x14ac:dyDescent="0.25">
      <c r="E1496" t="s">
        <v>90</v>
      </c>
      <c r="F1496">
        <v>0</v>
      </c>
      <c r="G1496">
        <v>11000</v>
      </c>
      <c r="H1496" t="s">
        <v>205</v>
      </c>
      <c r="I1496" s="74" t="str">
        <f ca="1">IF(Table7[[#This Row],[Type]]="KILL",IF(_xlfn.NUMBERVALUE(RIGHT(Table7[[#This Row],[Min]],LEN(Table7[[#This Row],[Min]])-FIND("-",Table7[[#This Row],[Min]])))&gt;INDIRECT(ADDRESS(11+MATCH(LEFT(Table7[[#This Row],[Min]],FIND("-",Table7[[#This Row],[Min]])-1),Table1[Content Sku],0),16,1,1,"Entities")),"review","ok"),"ok")</f>
        <v>ok</v>
      </c>
      <c r="U1496" t="s">
        <v>289</v>
      </c>
      <c r="V1496">
        <v>0</v>
      </c>
      <c r="W1496">
        <v>0</v>
      </c>
      <c r="X1496" t="s">
        <v>8</v>
      </c>
      <c r="Y1496" s="74" t="str">
        <f ca="1">IF(Table15[[#This Row],[Type]]="KILL",IF(_xlfn.NUMBERVALUE(RIGHT(Table15[[#This Row],[Min]],LEN(Table15[[#This Row],[Min]])-FIND("-",Table15[[#This Row],[Min]])))&gt;INDIRECT(ADDRESS(11+MATCH(LEFT(Table15[[#This Row],[Min]],FIND("-",Table15[[#This Row],[Min]])-1),Table1[Content Sku],0),16,1,1,"Entities")),"review","ok"),"ok")</f>
        <v>ok</v>
      </c>
    </row>
    <row r="1497" spans="5:25" x14ac:dyDescent="0.25">
      <c r="E1497" t="s">
        <v>51</v>
      </c>
      <c r="F1497">
        <v>300</v>
      </c>
      <c r="G1497">
        <v>0</v>
      </c>
      <c r="H1497" t="s">
        <v>4431</v>
      </c>
      <c r="I1497" s="74" t="str">
        <f ca="1">IF(Table7[[#This Row],[Type]]="KILL",IF(_xlfn.NUMBERVALUE(RIGHT(Table7[[#This Row],[Min]],LEN(Table7[[#This Row],[Min]])-FIND("-",Table7[[#This Row],[Min]])))&gt;INDIRECT(ADDRESS(11+MATCH(LEFT(Table7[[#This Row],[Min]],FIND("-",Table7[[#This Row],[Min]])-1),Table1[Content Sku],0),16,1,1,"Entities")),"review","ok"),"ok")</f>
        <v>ok</v>
      </c>
      <c r="U1497" t="s">
        <v>457</v>
      </c>
      <c r="V1497">
        <v>0</v>
      </c>
      <c r="W1497">
        <v>0</v>
      </c>
      <c r="X1497" t="s">
        <v>8</v>
      </c>
      <c r="Y1497" s="74" t="str">
        <f ca="1">IF(Table15[[#This Row],[Type]]="KILL",IF(_xlfn.NUMBERVALUE(RIGHT(Table15[[#This Row],[Min]],LEN(Table15[[#This Row],[Min]])-FIND("-",Table15[[#This Row],[Min]])))&gt;INDIRECT(ADDRESS(11+MATCH(LEFT(Table15[[#This Row],[Min]],FIND("-",Table15[[#This Row],[Min]])-1),Table1[Content Sku],0),16,1,1,"Entities")),"review","ok"),"ok")</f>
        <v>ok</v>
      </c>
    </row>
    <row r="1498" spans="5:25" x14ac:dyDescent="0.25">
      <c r="E1498" t="s">
        <v>278</v>
      </c>
      <c r="F1498">
        <v>100</v>
      </c>
      <c r="G1498">
        <v>0</v>
      </c>
      <c r="H1498" t="s">
        <v>4431</v>
      </c>
      <c r="I1498" s="74" t="str">
        <f ca="1">IF(Table7[[#This Row],[Type]]="KILL",IF(_xlfn.NUMBERVALUE(RIGHT(Table7[[#This Row],[Min]],LEN(Table7[[#This Row],[Min]])-FIND("-",Table7[[#This Row],[Min]])))&gt;INDIRECT(ADDRESS(11+MATCH(LEFT(Table7[[#This Row],[Min]],FIND("-",Table7[[#This Row],[Min]])-1),Table1[Content Sku],0),16,1,1,"Entities")),"review","ok"),"ok")</f>
        <v>ok</v>
      </c>
      <c r="U1498" t="s">
        <v>37</v>
      </c>
      <c r="V1498">
        <v>0</v>
      </c>
      <c r="W1498">
        <v>0</v>
      </c>
      <c r="X1498" t="s">
        <v>8</v>
      </c>
      <c r="Y1498" s="74" t="str">
        <f ca="1">IF(Table15[[#This Row],[Type]]="KILL",IF(_xlfn.NUMBERVALUE(RIGHT(Table15[[#This Row],[Min]],LEN(Table15[[#This Row],[Min]])-FIND("-",Table15[[#This Row],[Min]])))&gt;INDIRECT(ADDRESS(11+MATCH(LEFT(Table15[[#This Row],[Min]],FIND("-",Table15[[#This Row],[Min]])-1),Table1[Content Sku],0),16,1,1,"Entities")),"review","ok"),"ok")</f>
        <v>ok</v>
      </c>
    </row>
    <row r="1499" spans="5:25" x14ac:dyDescent="0.25">
      <c r="E1499" t="s">
        <v>313</v>
      </c>
      <c r="F1499">
        <v>0</v>
      </c>
      <c r="G1499">
        <v>6000</v>
      </c>
      <c r="H1499" t="s">
        <v>205</v>
      </c>
      <c r="I1499" s="74" t="str">
        <f ca="1">IF(Table7[[#This Row],[Type]]="KILL",IF(_xlfn.NUMBERVALUE(RIGHT(Table7[[#This Row],[Min]],LEN(Table7[[#This Row],[Min]])-FIND("-",Table7[[#This Row],[Min]])))&gt;INDIRECT(ADDRESS(11+MATCH(LEFT(Table7[[#This Row],[Min]],FIND("-",Table7[[#This Row],[Min]])-1),Table1[Content Sku],0),16,1,1,"Entities")),"review","ok"),"ok")</f>
        <v>ok</v>
      </c>
      <c r="U1499" t="s">
        <v>315</v>
      </c>
      <c r="V1499">
        <v>0</v>
      </c>
      <c r="W1499">
        <v>0</v>
      </c>
      <c r="X1499" t="s">
        <v>8</v>
      </c>
      <c r="Y1499" s="74" t="str">
        <f ca="1">IF(Table15[[#This Row],[Type]]="KILL",IF(_xlfn.NUMBERVALUE(RIGHT(Table15[[#This Row],[Min]],LEN(Table15[[#This Row],[Min]])-FIND("-",Table15[[#This Row],[Min]])))&gt;INDIRECT(ADDRESS(11+MATCH(LEFT(Table15[[#This Row],[Min]],FIND("-",Table15[[#This Row],[Min]])-1),Table1[Content Sku],0),16,1,1,"Entities")),"review","ok"),"ok")</f>
        <v>ok</v>
      </c>
    </row>
    <row r="1500" spans="5:25" x14ac:dyDescent="0.25">
      <c r="E1500" t="s">
        <v>92</v>
      </c>
      <c r="F1500">
        <v>0</v>
      </c>
      <c r="G1500">
        <v>0</v>
      </c>
      <c r="H1500" t="s">
        <v>8</v>
      </c>
      <c r="I1500" s="74" t="str">
        <f ca="1">IF(Table7[[#This Row],[Type]]="KILL",IF(_xlfn.NUMBERVALUE(RIGHT(Table7[[#This Row],[Min]],LEN(Table7[[#This Row],[Min]])-FIND("-",Table7[[#This Row],[Min]])))&gt;INDIRECT(ADDRESS(11+MATCH(LEFT(Table7[[#This Row],[Min]],FIND("-",Table7[[#This Row],[Min]])-1),Table1[Content Sku],0),16,1,1,"Entities")),"review","ok"),"ok")</f>
        <v>ok</v>
      </c>
      <c r="U1500" t="s">
        <v>37</v>
      </c>
      <c r="V1500">
        <v>0</v>
      </c>
      <c r="W1500">
        <v>0</v>
      </c>
      <c r="X1500" t="s">
        <v>8</v>
      </c>
      <c r="Y1500" s="74" t="str">
        <f ca="1">IF(Table15[[#This Row],[Type]]="KILL",IF(_xlfn.NUMBERVALUE(RIGHT(Table15[[#This Row],[Min]],LEN(Table15[[#This Row],[Min]])-FIND("-",Table15[[#This Row],[Min]])))&gt;INDIRECT(ADDRESS(11+MATCH(LEFT(Table15[[#This Row],[Min]],FIND("-",Table15[[#This Row],[Min]])-1),Table1[Content Sku],0),16,1,1,"Entities")),"review","ok"),"ok")</f>
        <v>ok</v>
      </c>
    </row>
    <row r="1501" spans="5:25" x14ac:dyDescent="0.25">
      <c r="E1501" t="s">
        <v>8133</v>
      </c>
      <c r="F1501">
        <v>0</v>
      </c>
      <c r="G1501">
        <v>0</v>
      </c>
      <c r="H1501" t="s">
        <v>8</v>
      </c>
      <c r="I1501" s="74" t="str">
        <f ca="1">IF(Table7[[#This Row],[Type]]="KILL",IF(_xlfn.NUMBERVALUE(RIGHT(Table7[[#This Row],[Min]],LEN(Table7[[#This Row],[Min]])-FIND("-",Table7[[#This Row],[Min]])))&gt;INDIRECT(ADDRESS(11+MATCH(LEFT(Table7[[#This Row],[Min]],FIND("-",Table7[[#This Row],[Min]])-1),Table1[Content Sku],0),16,1,1,"Entities")),"review","ok"),"ok")</f>
        <v>ok</v>
      </c>
      <c r="U1501" t="s">
        <v>306</v>
      </c>
      <c r="V1501">
        <v>0</v>
      </c>
      <c r="W1501">
        <v>0</v>
      </c>
      <c r="X1501" t="s">
        <v>8</v>
      </c>
      <c r="Y1501" s="74" t="str">
        <f ca="1">IF(Table15[[#This Row],[Type]]="KILL",IF(_xlfn.NUMBERVALUE(RIGHT(Table15[[#This Row],[Min]],LEN(Table15[[#This Row],[Min]])-FIND("-",Table15[[#This Row],[Min]])))&gt;INDIRECT(ADDRESS(11+MATCH(LEFT(Table15[[#This Row],[Min]],FIND("-",Table15[[#This Row],[Min]])-1),Table1[Content Sku],0),16,1,1,"Entities")),"review","ok"),"ok")</f>
        <v>ok</v>
      </c>
    </row>
    <row r="1502" spans="5:25" x14ac:dyDescent="0.25">
      <c r="E1502" t="s">
        <v>286</v>
      </c>
      <c r="F1502">
        <v>0</v>
      </c>
      <c r="G1502">
        <v>0</v>
      </c>
      <c r="H1502" t="s">
        <v>8</v>
      </c>
      <c r="I1502" s="74" t="str">
        <f ca="1">IF(Table7[[#This Row],[Type]]="KILL",IF(_xlfn.NUMBERVALUE(RIGHT(Table7[[#This Row],[Min]],LEN(Table7[[#This Row],[Min]])-FIND("-",Table7[[#This Row],[Min]])))&gt;INDIRECT(ADDRESS(11+MATCH(LEFT(Table7[[#This Row],[Min]],FIND("-",Table7[[#This Row],[Min]])-1),Table1[Content Sku],0),16,1,1,"Entities")),"review","ok"),"ok")</f>
        <v>ok</v>
      </c>
      <c r="U1502" t="s">
        <v>37</v>
      </c>
      <c r="V1502">
        <v>0</v>
      </c>
      <c r="W1502">
        <v>0</v>
      </c>
      <c r="X1502" t="s">
        <v>8</v>
      </c>
      <c r="Y1502" s="74" t="str">
        <f ca="1">IF(Table15[[#This Row],[Type]]="KILL",IF(_xlfn.NUMBERVALUE(RIGHT(Table15[[#This Row],[Min]],LEN(Table15[[#This Row],[Min]])-FIND("-",Table15[[#This Row],[Min]])))&gt;INDIRECT(ADDRESS(11+MATCH(LEFT(Table15[[#This Row],[Min]],FIND("-",Table15[[#This Row],[Min]])-1),Table1[Content Sku],0),16,1,1,"Entities")),"review","ok"),"ok")</f>
        <v>ok</v>
      </c>
    </row>
    <row r="1503" spans="5:25" x14ac:dyDescent="0.25">
      <c r="E1503" t="s">
        <v>311</v>
      </c>
      <c r="F1503">
        <v>4700</v>
      </c>
      <c r="G1503">
        <v>0</v>
      </c>
      <c r="H1503" t="s">
        <v>205</v>
      </c>
      <c r="I1503" s="74" t="str">
        <f ca="1">IF(Table7[[#This Row],[Type]]="KILL",IF(_xlfn.NUMBERVALUE(RIGHT(Table7[[#This Row],[Min]],LEN(Table7[[#This Row],[Min]])-FIND("-",Table7[[#This Row],[Min]])))&gt;INDIRECT(ADDRESS(11+MATCH(LEFT(Table7[[#This Row],[Min]],FIND("-",Table7[[#This Row],[Min]])-1),Table1[Content Sku],0),16,1,1,"Entities")),"review","ok"),"ok")</f>
        <v>ok</v>
      </c>
      <c r="U1503" t="s">
        <v>2720</v>
      </c>
      <c r="V1503">
        <v>0</v>
      </c>
      <c r="W1503">
        <v>0</v>
      </c>
      <c r="X1503" t="s">
        <v>8</v>
      </c>
      <c r="Y1503" s="74" t="str">
        <f ca="1">IF(Table15[[#This Row],[Type]]="KILL",IF(_xlfn.NUMBERVALUE(RIGHT(Table15[[#This Row],[Min]],LEN(Table15[[#This Row],[Min]])-FIND("-",Table15[[#This Row],[Min]])))&gt;INDIRECT(ADDRESS(11+MATCH(LEFT(Table15[[#This Row],[Min]],FIND("-",Table15[[#This Row],[Min]])-1),Table1[Content Sku],0),16,1,1,"Entities")),"review","ok"),"ok")</f>
        <v>ok</v>
      </c>
    </row>
    <row r="1504" spans="5:25" x14ac:dyDescent="0.25">
      <c r="E1504" t="s">
        <v>123</v>
      </c>
      <c r="F1504">
        <v>4000</v>
      </c>
      <c r="G1504">
        <v>0</v>
      </c>
      <c r="H1504" t="s">
        <v>205</v>
      </c>
      <c r="I1504" s="74" t="str">
        <f ca="1">IF(Table7[[#This Row],[Type]]="KILL",IF(_xlfn.NUMBERVALUE(RIGHT(Table7[[#This Row],[Min]],LEN(Table7[[#This Row],[Min]])-FIND("-",Table7[[#This Row],[Min]])))&gt;INDIRECT(ADDRESS(11+MATCH(LEFT(Table7[[#This Row],[Min]],FIND("-",Table7[[#This Row],[Min]])-1),Table1[Content Sku],0),16,1,1,"Entities")),"review","ok"),"ok")</f>
        <v>ok</v>
      </c>
      <c r="U1504" t="s">
        <v>313</v>
      </c>
      <c r="V1504">
        <v>0</v>
      </c>
      <c r="W1504">
        <v>0</v>
      </c>
      <c r="X1504" t="s">
        <v>8</v>
      </c>
      <c r="Y1504" s="74" t="str">
        <f ca="1">IF(Table15[[#This Row],[Type]]="KILL",IF(_xlfn.NUMBERVALUE(RIGHT(Table15[[#This Row],[Min]],LEN(Table15[[#This Row],[Min]])-FIND("-",Table15[[#This Row],[Min]])))&gt;INDIRECT(ADDRESS(11+MATCH(LEFT(Table15[[#This Row],[Min]],FIND("-",Table15[[#This Row],[Min]])-1),Table1[Content Sku],0),16,1,1,"Entities")),"review","ok"),"ok")</f>
        <v>ok</v>
      </c>
    </row>
    <row r="1505" spans="5:25" x14ac:dyDescent="0.25">
      <c r="E1505" t="s">
        <v>340</v>
      </c>
      <c r="F1505">
        <v>0</v>
      </c>
      <c r="G1505">
        <v>0</v>
      </c>
      <c r="H1505" t="s">
        <v>8</v>
      </c>
      <c r="I1505" s="74" t="str">
        <f ca="1">IF(Table7[[#This Row],[Type]]="KILL",IF(_xlfn.NUMBERVALUE(RIGHT(Table7[[#This Row],[Min]],LEN(Table7[[#This Row],[Min]])-FIND("-",Table7[[#This Row],[Min]])))&gt;INDIRECT(ADDRESS(11+MATCH(LEFT(Table7[[#This Row],[Min]],FIND("-",Table7[[#This Row],[Min]])-1),Table1[Content Sku],0),16,1,1,"Entities")),"review","ok"),"ok")</f>
        <v>ok</v>
      </c>
      <c r="U1505" t="s">
        <v>400</v>
      </c>
      <c r="V1505">
        <v>0</v>
      </c>
      <c r="W1505">
        <v>0</v>
      </c>
      <c r="X1505" t="s">
        <v>8</v>
      </c>
      <c r="Y1505" s="74" t="str">
        <f ca="1">IF(Table15[[#This Row],[Type]]="KILL",IF(_xlfn.NUMBERVALUE(RIGHT(Table15[[#This Row],[Min]],LEN(Table15[[#This Row],[Min]])-FIND("-",Table15[[#This Row],[Min]])))&gt;INDIRECT(ADDRESS(11+MATCH(LEFT(Table15[[#This Row],[Min]],FIND("-",Table15[[#This Row],[Min]])-1),Table1[Content Sku],0),16,1,1,"Entities")),"review","ok"),"ok")</f>
        <v>ok</v>
      </c>
    </row>
    <row r="1506" spans="5:25" x14ac:dyDescent="0.25">
      <c r="E1506" t="s">
        <v>41</v>
      </c>
      <c r="F1506">
        <v>9000</v>
      </c>
      <c r="G1506">
        <v>0</v>
      </c>
      <c r="H1506" t="s">
        <v>205</v>
      </c>
      <c r="I1506" s="74" t="str">
        <f ca="1">IF(Table7[[#This Row],[Type]]="KILL",IF(_xlfn.NUMBERVALUE(RIGHT(Table7[[#This Row],[Min]],LEN(Table7[[#This Row],[Min]])-FIND("-",Table7[[#This Row],[Min]])))&gt;INDIRECT(ADDRESS(11+MATCH(LEFT(Table7[[#This Row],[Min]],FIND("-",Table7[[#This Row],[Min]])-1),Table1[Content Sku],0),16,1,1,"Entities")),"review","ok"),"ok")</f>
        <v>ok</v>
      </c>
      <c r="U1506" t="s">
        <v>457</v>
      </c>
      <c r="V1506">
        <v>0</v>
      </c>
      <c r="W1506">
        <v>0</v>
      </c>
      <c r="X1506" t="s">
        <v>8</v>
      </c>
      <c r="Y1506" s="74" t="str">
        <f ca="1">IF(Table15[[#This Row],[Type]]="KILL",IF(_xlfn.NUMBERVALUE(RIGHT(Table15[[#This Row],[Min]],LEN(Table15[[#This Row],[Min]])-FIND("-",Table15[[#This Row],[Min]])))&gt;INDIRECT(ADDRESS(11+MATCH(LEFT(Table15[[#This Row],[Min]],FIND("-",Table15[[#This Row],[Min]])-1),Table1[Content Sku],0),16,1,1,"Entities")),"review","ok"),"ok")</f>
        <v>ok</v>
      </c>
    </row>
    <row r="1507" spans="5:25" x14ac:dyDescent="0.25">
      <c r="E1507" t="s">
        <v>2749</v>
      </c>
      <c r="F1507">
        <v>0</v>
      </c>
      <c r="G1507">
        <v>0</v>
      </c>
      <c r="H1507" t="s">
        <v>8</v>
      </c>
      <c r="I1507" s="74" t="str">
        <f ca="1">IF(Table7[[#This Row],[Type]]="KILL",IF(_xlfn.NUMBERVALUE(RIGHT(Table7[[#This Row],[Min]],LEN(Table7[[#This Row],[Min]])-FIND("-",Table7[[#This Row],[Min]])))&gt;INDIRECT(ADDRESS(11+MATCH(LEFT(Table7[[#This Row],[Min]],FIND("-",Table7[[#This Row],[Min]])-1),Table1[Content Sku],0),16,1,1,"Entities")),"review","ok"),"ok")</f>
        <v>ok</v>
      </c>
      <c r="U1507" t="s">
        <v>548</v>
      </c>
      <c r="V1507">
        <v>0</v>
      </c>
      <c r="W1507">
        <v>0</v>
      </c>
      <c r="X1507" t="s">
        <v>8</v>
      </c>
      <c r="Y1507" s="74" t="str">
        <f ca="1">IF(Table15[[#This Row],[Type]]="KILL",IF(_xlfn.NUMBERVALUE(RIGHT(Table15[[#This Row],[Min]],LEN(Table15[[#This Row],[Min]])-FIND("-",Table15[[#This Row],[Min]])))&gt;INDIRECT(ADDRESS(11+MATCH(LEFT(Table15[[#This Row],[Min]],FIND("-",Table15[[#This Row],[Min]])-1),Table1[Content Sku],0),16,1,1,"Entities")),"review","ok"),"ok")</f>
        <v>ok</v>
      </c>
    </row>
    <row r="1508" spans="5:25" x14ac:dyDescent="0.25">
      <c r="E1508" t="s">
        <v>39</v>
      </c>
      <c r="F1508">
        <v>20000</v>
      </c>
      <c r="G1508">
        <v>0</v>
      </c>
      <c r="H1508" t="s">
        <v>205</v>
      </c>
      <c r="I1508" s="74" t="str">
        <f ca="1">IF(Table7[[#This Row],[Type]]="KILL",IF(_xlfn.NUMBERVALUE(RIGHT(Table7[[#This Row],[Min]],LEN(Table7[[#This Row],[Min]])-FIND("-",Table7[[#This Row],[Min]])))&gt;INDIRECT(ADDRESS(11+MATCH(LEFT(Table7[[#This Row],[Min]],FIND("-",Table7[[#This Row],[Min]])-1),Table1[Content Sku],0),16,1,1,"Entities")),"review","ok"),"ok")</f>
        <v>ok</v>
      </c>
      <c r="U1508" t="s">
        <v>398</v>
      </c>
      <c r="V1508">
        <v>0</v>
      </c>
      <c r="W1508">
        <v>0</v>
      </c>
      <c r="X1508" t="s">
        <v>8</v>
      </c>
      <c r="Y1508" s="74" t="str">
        <f ca="1">IF(Table15[[#This Row],[Type]]="KILL",IF(_xlfn.NUMBERVALUE(RIGHT(Table15[[#This Row],[Min]],LEN(Table15[[#This Row],[Min]])-FIND("-",Table15[[#This Row],[Min]])))&gt;INDIRECT(ADDRESS(11+MATCH(LEFT(Table15[[#This Row],[Min]],FIND("-",Table15[[#This Row],[Min]])-1),Table1[Content Sku],0),16,1,1,"Entities")),"review","ok"),"ok")</f>
        <v>ok</v>
      </c>
    </row>
    <row r="1509" spans="5:25" x14ac:dyDescent="0.25">
      <c r="E1509" t="s">
        <v>422</v>
      </c>
      <c r="F1509">
        <v>0</v>
      </c>
      <c r="G1509">
        <v>0</v>
      </c>
      <c r="H1509" t="s">
        <v>8</v>
      </c>
      <c r="I1509" s="74" t="str">
        <f ca="1">IF(Table7[[#This Row],[Type]]="KILL",IF(_xlfn.NUMBERVALUE(RIGHT(Table7[[#This Row],[Min]],LEN(Table7[[#This Row],[Min]])-FIND("-",Table7[[#This Row],[Min]])))&gt;INDIRECT(ADDRESS(11+MATCH(LEFT(Table7[[#This Row],[Min]],FIND("-",Table7[[#This Row],[Min]])-1),Table1[Content Sku],0),16,1,1,"Entities")),"review","ok"),"ok")</f>
        <v>ok</v>
      </c>
      <c r="U1509" t="s">
        <v>37</v>
      </c>
      <c r="V1509">
        <v>0</v>
      </c>
      <c r="W1509">
        <v>0</v>
      </c>
      <c r="X1509" t="s">
        <v>8</v>
      </c>
      <c r="Y1509" s="74" t="str">
        <f ca="1">IF(Table15[[#This Row],[Type]]="KILL",IF(_xlfn.NUMBERVALUE(RIGHT(Table15[[#This Row],[Min]],LEN(Table15[[#This Row],[Min]])-FIND("-",Table15[[#This Row],[Min]])))&gt;INDIRECT(ADDRESS(11+MATCH(LEFT(Table15[[#This Row],[Min]],FIND("-",Table15[[#This Row],[Min]])-1),Table1[Content Sku],0),16,1,1,"Entities")),"review","ok"),"ok")</f>
        <v>ok</v>
      </c>
    </row>
    <row r="1510" spans="5:25" x14ac:dyDescent="0.25">
      <c r="E1510" t="s">
        <v>2741</v>
      </c>
      <c r="F1510">
        <v>0</v>
      </c>
      <c r="G1510">
        <v>0</v>
      </c>
      <c r="H1510" t="s">
        <v>8</v>
      </c>
      <c r="I1510" s="74" t="str">
        <f ca="1">IF(Table7[[#This Row],[Type]]="KILL",IF(_xlfn.NUMBERVALUE(RIGHT(Table7[[#This Row],[Min]],LEN(Table7[[#This Row],[Min]])-FIND("-",Table7[[#This Row],[Min]])))&gt;INDIRECT(ADDRESS(11+MATCH(LEFT(Table7[[#This Row],[Min]],FIND("-",Table7[[#This Row],[Min]])-1),Table1[Content Sku],0),16,1,1,"Entities")),"review","ok"),"ok")</f>
        <v>ok</v>
      </c>
      <c r="U1510" t="s">
        <v>37</v>
      </c>
      <c r="V1510">
        <v>0</v>
      </c>
      <c r="W1510">
        <v>0</v>
      </c>
      <c r="X1510" t="s">
        <v>8</v>
      </c>
      <c r="Y1510" s="74" t="str">
        <f ca="1">IF(Table15[[#This Row],[Type]]="KILL",IF(_xlfn.NUMBERVALUE(RIGHT(Table15[[#This Row],[Min]],LEN(Table15[[#This Row],[Min]])-FIND("-",Table15[[#This Row],[Min]])))&gt;INDIRECT(ADDRESS(11+MATCH(LEFT(Table15[[#This Row],[Min]],FIND("-",Table15[[#This Row],[Min]])-1),Table1[Content Sku],0),16,1,1,"Entities")),"review","ok"),"ok")</f>
        <v>ok</v>
      </c>
    </row>
    <row r="1511" spans="5:25" x14ac:dyDescent="0.25">
      <c r="E1511" t="s">
        <v>39</v>
      </c>
      <c r="F1511">
        <v>11000</v>
      </c>
      <c r="G1511">
        <v>0</v>
      </c>
      <c r="H1511" t="s">
        <v>205</v>
      </c>
      <c r="I1511" s="74" t="str">
        <f ca="1">IF(Table7[[#This Row],[Type]]="KILL",IF(_xlfn.NUMBERVALUE(RIGHT(Table7[[#This Row],[Min]],LEN(Table7[[#This Row],[Min]])-FIND("-",Table7[[#This Row],[Min]])))&gt;INDIRECT(ADDRESS(11+MATCH(LEFT(Table7[[#This Row],[Min]],FIND("-",Table7[[#This Row],[Min]])-1),Table1[Content Sku],0),16,1,1,"Entities")),"review","ok"),"ok")</f>
        <v>ok</v>
      </c>
      <c r="U1511" t="s">
        <v>4430</v>
      </c>
      <c r="V1511">
        <v>0</v>
      </c>
      <c r="W1511">
        <v>0</v>
      </c>
      <c r="X1511" t="s">
        <v>8</v>
      </c>
      <c r="Y1511" s="74" t="str">
        <f ca="1">IF(Table15[[#This Row],[Type]]="KILL",IF(_xlfn.NUMBERVALUE(RIGHT(Table15[[#This Row],[Min]],LEN(Table15[[#This Row],[Min]])-FIND("-",Table15[[#This Row],[Min]])))&gt;INDIRECT(ADDRESS(11+MATCH(LEFT(Table15[[#This Row],[Min]],FIND("-",Table15[[#This Row],[Min]])-1),Table1[Content Sku],0),16,1,1,"Entities")),"review","ok"),"ok")</f>
        <v>ok</v>
      </c>
    </row>
    <row r="1512" spans="5:25" x14ac:dyDescent="0.25">
      <c r="E1512" t="s">
        <v>123</v>
      </c>
      <c r="F1512">
        <v>0</v>
      </c>
      <c r="G1512">
        <v>7000</v>
      </c>
      <c r="H1512" t="s">
        <v>205</v>
      </c>
      <c r="I1512" s="74" t="str">
        <f ca="1">IF(Table7[[#This Row],[Type]]="KILL",IF(_xlfn.NUMBERVALUE(RIGHT(Table7[[#This Row],[Min]],LEN(Table7[[#This Row],[Min]])-FIND("-",Table7[[#This Row],[Min]])))&gt;INDIRECT(ADDRESS(11+MATCH(LEFT(Table7[[#This Row],[Min]],FIND("-",Table7[[#This Row],[Min]])-1),Table1[Content Sku],0),16,1,1,"Entities")),"review","ok"),"ok")</f>
        <v>ok</v>
      </c>
      <c r="U1512" t="s">
        <v>457</v>
      </c>
      <c r="V1512">
        <v>0</v>
      </c>
      <c r="W1512">
        <v>30000</v>
      </c>
      <c r="X1512" t="s">
        <v>205</v>
      </c>
      <c r="Y1512" s="74" t="str">
        <f ca="1">IF(Table15[[#This Row],[Type]]="KILL",IF(_xlfn.NUMBERVALUE(RIGHT(Table15[[#This Row],[Min]],LEN(Table15[[#This Row],[Min]])-FIND("-",Table15[[#This Row],[Min]])))&gt;INDIRECT(ADDRESS(11+MATCH(LEFT(Table15[[#This Row],[Min]],FIND("-",Table15[[#This Row],[Min]])-1),Table1[Content Sku],0),16,1,1,"Entities")),"review","ok"),"ok")</f>
        <v>ok</v>
      </c>
    </row>
    <row r="1513" spans="5:25" x14ac:dyDescent="0.25">
      <c r="E1513" t="s">
        <v>2741</v>
      </c>
      <c r="F1513">
        <v>0</v>
      </c>
      <c r="G1513">
        <v>0</v>
      </c>
      <c r="H1513" t="s">
        <v>8</v>
      </c>
      <c r="I1513" s="74" t="str">
        <f ca="1">IF(Table7[[#This Row],[Type]]="KILL",IF(_xlfn.NUMBERVALUE(RIGHT(Table7[[#This Row],[Min]],LEN(Table7[[#This Row],[Min]])-FIND("-",Table7[[#This Row],[Min]])))&gt;INDIRECT(ADDRESS(11+MATCH(LEFT(Table7[[#This Row],[Min]],FIND("-",Table7[[#This Row],[Min]])-1),Table1[Content Sku],0),16,1,1,"Entities")),"review","ok"),"ok")</f>
        <v>ok</v>
      </c>
      <c r="U1513" t="s">
        <v>457</v>
      </c>
      <c r="V1513">
        <v>0</v>
      </c>
      <c r="W1513">
        <v>0</v>
      </c>
      <c r="X1513" t="s">
        <v>8</v>
      </c>
      <c r="Y1513" s="74" t="str">
        <f ca="1">IF(Table15[[#This Row],[Type]]="KILL",IF(_xlfn.NUMBERVALUE(RIGHT(Table15[[#This Row],[Min]],LEN(Table15[[#This Row],[Min]])-FIND("-",Table15[[#This Row],[Min]])))&gt;INDIRECT(ADDRESS(11+MATCH(LEFT(Table15[[#This Row],[Min]],FIND("-",Table15[[#This Row],[Min]])-1),Table1[Content Sku],0),16,1,1,"Entities")),"review","ok"),"ok")</f>
        <v>ok</v>
      </c>
    </row>
    <row r="1514" spans="5:25" x14ac:dyDescent="0.25">
      <c r="E1514" t="s">
        <v>37</v>
      </c>
      <c r="F1514">
        <v>0</v>
      </c>
      <c r="G1514">
        <v>0</v>
      </c>
      <c r="H1514" t="s">
        <v>8</v>
      </c>
      <c r="I1514" s="74" t="str">
        <f ca="1">IF(Table7[[#This Row],[Type]]="KILL",IF(_xlfn.NUMBERVALUE(RIGHT(Table7[[#This Row],[Min]],LEN(Table7[[#This Row],[Min]])-FIND("-",Table7[[#This Row],[Min]])))&gt;INDIRECT(ADDRESS(11+MATCH(LEFT(Table7[[#This Row],[Min]],FIND("-",Table7[[#This Row],[Min]])-1),Table1[Content Sku],0),16,1,1,"Entities")),"review","ok"),"ok")</f>
        <v>ok</v>
      </c>
      <c r="U1514" t="s">
        <v>2720</v>
      </c>
      <c r="V1514">
        <v>0</v>
      </c>
      <c r="W1514">
        <v>0</v>
      </c>
      <c r="X1514" t="s">
        <v>8</v>
      </c>
      <c r="Y1514" s="74" t="str">
        <f ca="1">IF(Table15[[#This Row],[Type]]="KILL",IF(_xlfn.NUMBERVALUE(RIGHT(Table15[[#This Row],[Min]],LEN(Table15[[#This Row],[Min]])-FIND("-",Table15[[#This Row],[Min]])))&gt;INDIRECT(ADDRESS(11+MATCH(LEFT(Table15[[#This Row],[Min]],FIND("-",Table15[[#This Row],[Min]])-1),Table1[Content Sku],0),16,1,1,"Entities")),"review","ok"),"ok")</f>
        <v>ok</v>
      </c>
    </row>
    <row r="1515" spans="5:25" x14ac:dyDescent="0.25">
      <c r="E1515" t="s">
        <v>289</v>
      </c>
      <c r="F1515">
        <v>0</v>
      </c>
      <c r="G1515">
        <v>0</v>
      </c>
      <c r="H1515" t="s">
        <v>8</v>
      </c>
      <c r="I1515" s="74" t="str">
        <f ca="1">IF(Table7[[#This Row],[Type]]="KILL",IF(_xlfn.NUMBERVALUE(RIGHT(Table7[[#This Row],[Min]],LEN(Table7[[#This Row],[Min]])-FIND("-",Table7[[#This Row],[Min]])))&gt;INDIRECT(ADDRESS(11+MATCH(LEFT(Table7[[#This Row],[Min]],FIND("-",Table7[[#This Row],[Min]])-1),Table1[Content Sku],0),16,1,1,"Entities")),"review","ok"),"ok")</f>
        <v>ok</v>
      </c>
      <c r="U1515" t="s">
        <v>2720</v>
      </c>
      <c r="V1515">
        <v>0</v>
      </c>
      <c r="W1515">
        <v>290</v>
      </c>
      <c r="X1515" t="s">
        <v>4431</v>
      </c>
      <c r="Y1515" s="74" t="str">
        <f ca="1">IF(Table15[[#This Row],[Type]]="KILL",IF(_xlfn.NUMBERVALUE(RIGHT(Table15[[#This Row],[Min]],LEN(Table15[[#This Row],[Min]])-FIND("-",Table15[[#This Row],[Min]])))&gt;INDIRECT(ADDRESS(11+MATCH(LEFT(Table15[[#This Row],[Min]],FIND("-",Table15[[#This Row],[Min]])-1),Table1[Content Sku],0),16,1,1,"Entities")),"review","ok"),"ok")</f>
        <v>ok</v>
      </c>
    </row>
    <row r="1516" spans="5:25" x14ac:dyDescent="0.25">
      <c r="E1516" t="s">
        <v>10</v>
      </c>
      <c r="F1516">
        <v>2000</v>
      </c>
      <c r="G1516">
        <v>0</v>
      </c>
      <c r="H1516" t="s">
        <v>205</v>
      </c>
      <c r="I1516" s="74" t="str">
        <f ca="1">IF(Table7[[#This Row],[Type]]="KILL",IF(_xlfn.NUMBERVALUE(RIGHT(Table7[[#This Row],[Min]],LEN(Table7[[#This Row],[Min]])-FIND("-",Table7[[#This Row],[Min]])))&gt;INDIRECT(ADDRESS(11+MATCH(LEFT(Table7[[#This Row],[Min]],FIND("-",Table7[[#This Row],[Min]])-1),Table1[Content Sku],0),16,1,1,"Entities")),"review","ok"),"ok")</f>
        <v>ok</v>
      </c>
      <c r="U1516" t="s">
        <v>459</v>
      </c>
      <c r="V1516">
        <v>0</v>
      </c>
      <c r="W1516">
        <v>0</v>
      </c>
      <c r="X1516" t="s">
        <v>8</v>
      </c>
      <c r="Y1516" s="74" t="str">
        <f ca="1">IF(Table15[[#This Row],[Type]]="KILL",IF(_xlfn.NUMBERVALUE(RIGHT(Table15[[#This Row],[Min]],LEN(Table15[[#This Row],[Min]])-FIND("-",Table15[[#This Row],[Min]])))&gt;INDIRECT(ADDRESS(11+MATCH(LEFT(Table15[[#This Row],[Min]],FIND("-",Table15[[#This Row],[Min]])-1),Table1[Content Sku],0),16,1,1,"Entities")),"review","ok"),"ok")</f>
        <v>ok</v>
      </c>
    </row>
    <row r="1517" spans="5:25" x14ac:dyDescent="0.25">
      <c r="E1517" t="s">
        <v>41</v>
      </c>
      <c r="F1517">
        <v>15000</v>
      </c>
      <c r="G1517">
        <v>0</v>
      </c>
      <c r="H1517" t="s">
        <v>205</v>
      </c>
      <c r="I1517" s="74" t="str">
        <f ca="1">IF(Table7[[#This Row],[Type]]="KILL",IF(_xlfn.NUMBERVALUE(RIGHT(Table7[[#This Row],[Min]],LEN(Table7[[#This Row],[Min]])-FIND("-",Table7[[#This Row],[Min]])))&gt;INDIRECT(ADDRESS(11+MATCH(LEFT(Table7[[#This Row],[Min]],FIND("-",Table7[[#This Row],[Min]])-1),Table1[Content Sku],0),16,1,1,"Entities")),"review","ok"),"ok")</f>
        <v>ok</v>
      </c>
      <c r="U1517" t="s">
        <v>457</v>
      </c>
      <c r="V1517">
        <v>0</v>
      </c>
      <c r="W1517">
        <v>0</v>
      </c>
      <c r="X1517" t="s">
        <v>8</v>
      </c>
      <c r="Y1517" s="74" t="str">
        <f ca="1">IF(Table15[[#This Row],[Type]]="KILL",IF(_xlfn.NUMBERVALUE(RIGHT(Table15[[#This Row],[Min]],LEN(Table15[[#This Row],[Min]])-FIND("-",Table15[[#This Row],[Min]])))&gt;INDIRECT(ADDRESS(11+MATCH(LEFT(Table15[[#This Row],[Min]],FIND("-",Table15[[#This Row],[Min]])-1),Table1[Content Sku],0),16,1,1,"Entities")),"review","ok"),"ok")</f>
        <v>ok</v>
      </c>
    </row>
    <row r="1518" spans="5:25" x14ac:dyDescent="0.25">
      <c r="E1518" t="s">
        <v>2741</v>
      </c>
      <c r="F1518">
        <v>0</v>
      </c>
      <c r="G1518">
        <v>0</v>
      </c>
      <c r="H1518" t="s">
        <v>8</v>
      </c>
      <c r="I1518" s="74" t="str">
        <f ca="1">IF(Table7[[#This Row],[Type]]="KILL",IF(_xlfn.NUMBERVALUE(RIGHT(Table7[[#This Row],[Min]],LEN(Table7[[#This Row],[Min]])-FIND("-",Table7[[#This Row],[Min]])))&gt;INDIRECT(ADDRESS(11+MATCH(LEFT(Table7[[#This Row],[Min]],FIND("-",Table7[[#This Row],[Min]])-1),Table1[Content Sku],0),16,1,1,"Entities")),"review","ok"),"ok")</f>
        <v>ok</v>
      </c>
      <c r="U1518" t="s">
        <v>457</v>
      </c>
      <c r="V1518">
        <v>0</v>
      </c>
      <c r="W1518">
        <v>0</v>
      </c>
      <c r="X1518" t="s">
        <v>8</v>
      </c>
      <c r="Y1518" s="74" t="str">
        <f ca="1">IF(Table15[[#This Row],[Type]]="KILL",IF(_xlfn.NUMBERVALUE(RIGHT(Table15[[#This Row],[Min]],LEN(Table15[[#This Row],[Min]])-FIND("-",Table15[[#This Row],[Min]])))&gt;INDIRECT(ADDRESS(11+MATCH(LEFT(Table15[[#This Row],[Min]],FIND("-",Table15[[#This Row],[Min]])-1),Table1[Content Sku],0),16,1,1,"Entities")),"review","ok"),"ok")</f>
        <v>ok</v>
      </c>
    </row>
    <row r="1519" spans="5:25" x14ac:dyDescent="0.25">
      <c r="E1519" t="s">
        <v>8133</v>
      </c>
      <c r="F1519">
        <v>0</v>
      </c>
      <c r="G1519">
        <v>0</v>
      </c>
      <c r="H1519" t="s">
        <v>8</v>
      </c>
      <c r="I1519" s="74" t="str">
        <f ca="1">IF(Table7[[#This Row],[Type]]="KILL",IF(_xlfn.NUMBERVALUE(RIGHT(Table7[[#This Row],[Min]],LEN(Table7[[#This Row],[Min]])-FIND("-",Table7[[#This Row],[Min]])))&gt;INDIRECT(ADDRESS(11+MATCH(LEFT(Table7[[#This Row],[Min]],FIND("-",Table7[[#This Row],[Min]])-1),Table1[Content Sku],0),16,1,1,"Entities")),"review","ok"),"ok")</f>
        <v>ok</v>
      </c>
      <c r="U1519" t="s">
        <v>457</v>
      </c>
      <c r="V1519">
        <v>0</v>
      </c>
      <c r="W1519">
        <v>0</v>
      </c>
      <c r="X1519" t="s">
        <v>8</v>
      </c>
      <c r="Y1519" s="74" t="str">
        <f ca="1">IF(Table15[[#This Row],[Type]]="KILL",IF(_xlfn.NUMBERVALUE(RIGHT(Table15[[#This Row],[Min]],LEN(Table15[[#This Row],[Min]])-FIND("-",Table15[[#This Row],[Min]])))&gt;INDIRECT(ADDRESS(11+MATCH(LEFT(Table15[[#This Row],[Min]],FIND("-",Table15[[#This Row],[Min]])-1),Table1[Content Sku],0),16,1,1,"Entities")),"review","ok"),"ok")</f>
        <v>ok</v>
      </c>
    </row>
    <row r="1520" spans="5:25" x14ac:dyDescent="0.25">
      <c r="E1520" t="s">
        <v>403</v>
      </c>
      <c r="F1520">
        <v>0</v>
      </c>
      <c r="G1520">
        <v>0</v>
      </c>
      <c r="H1520" t="s">
        <v>8</v>
      </c>
      <c r="I1520" s="74" t="str">
        <f ca="1">IF(Table7[[#This Row],[Type]]="KILL",IF(_xlfn.NUMBERVALUE(RIGHT(Table7[[#This Row],[Min]],LEN(Table7[[#This Row],[Min]])-FIND("-",Table7[[#This Row],[Min]])))&gt;INDIRECT(ADDRESS(11+MATCH(LEFT(Table7[[#This Row],[Min]],FIND("-",Table7[[#This Row],[Min]])-1),Table1[Content Sku],0),16,1,1,"Entities")),"review","ok"),"ok")</f>
        <v>ok</v>
      </c>
      <c r="U1520" t="s">
        <v>2720</v>
      </c>
      <c r="V1520">
        <v>0</v>
      </c>
      <c r="W1520">
        <v>0</v>
      </c>
      <c r="X1520" t="s">
        <v>8</v>
      </c>
      <c r="Y1520" s="74" t="str">
        <f ca="1">IF(Table15[[#This Row],[Type]]="KILL",IF(_xlfn.NUMBERVALUE(RIGHT(Table15[[#This Row],[Min]],LEN(Table15[[#This Row],[Min]])-FIND("-",Table15[[#This Row],[Min]])))&gt;INDIRECT(ADDRESS(11+MATCH(LEFT(Table15[[#This Row],[Min]],FIND("-",Table15[[#This Row],[Min]])-1),Table1[Content Sku],0),16,1,1,"Entities")),"review","ok"),"ok")</f>
        <v>ok</v>
      </c>
    </row>
    <row r="1521" spans="5:25" x14ac:dyDescent="0.25">
      <c r="E1521" t="s">
        <v>90</v>
      </c>
      <c r="F1521">
        <v>0</v>
      </c>
      <c r="G1521">
        <v>0</v>
      </c>
      <c r="H1521" t="s">
        <v>8</v>
      </c>
      <c r="I1521" s="74" t="str">
        <f ca="1">IF(Table7[[#This Row],[Type]]="KILL",IF(_xlfn.NUMBERVALUE(RIGHT(Table7[[#This Row],[Min]],LEN(Table7[[#This Row],[Min]])-FIND("-",Table7[[#This Row],[Min]])))&gt;INDIRECT(ADDRESS(11+MATCH(LEFT(Table7[[#This Row],[Min]],FIND("-",Table7[[#This Row],[Min]])-1),Table1[Content Sku],0),16,1,1,"Entities")),"review","ok"),"ok")</f>
        <v>ok</v>
      </c>
      <c r="U1521" t="s">
        <v>306</v>
      </c>
      <c r="V1521">
        <v>28000</v>
      </c>
      <c r="W1521">
        <v>0</v>
      </c>
      <c r="X1521" t="s">
        <v>205</v>
      </c>
      <c r="Y1521" s="74" t="str">
        <f ca="1">IF(Table15[[#This Row],[Type]]="KILL",IF(_xlfn.NUMBERVALUE(RIGHT(Table15[[#This Row],[Min]],LEN(Table15[[#This Row],[Min]])-FIND("-",Table15[[#This Row],[Min]])))&gt;INDIRECT(ADDRESS(11+MATCH(LEFT(Table15[[#This Row],[Min]],FIND("-",Table15[[#This Row],[Min]])-1),Table1[Content Sku],0),16,1,1,"Entities")),"review","ok"),"ok")</f>
        <v>ok</v>
      </c>
    </row>
    <row r="1522" spans="5:25" x14ac:dyDescent="0.25">
      <c r="E1522" t="s">
        <v>4430</v>
      </c>
      <c r="F1522">
        <v>180</v>
      </c>
      <c r="G1522">
        <v>0</v>
      </c>
      <c r="H1522" t="s">
        <v>4431</v>
      </c>
      <c r="I1522" s="74" t="str">
        <f ca="1">IF(Table7[[#This Row],[Type]]="KILL",IF(_xlfn.NUMBERVALUE(RIGHT(Table7[[#This Row],[Min]],LEN(Table7[[#This Row],[Min]])-FIND("-",Table7[[#This Row],[Min]])))&gt;INDIRECT(ADDRESS(11+MATCH(LEFT(Table7[[#This Row],[Min]],FIND("-",Table7[[#This Row],[Min]])-1),Table1[Content Sku],0),16,1,1,"Entities")),"review","ok"),"ok")</f>
        <v>ok</v>
      </c>
      <c r="U1522" t="s">
        <v>457</v>
      </c>
      <c r="V1522">
        <v>0</v>
      </c>
      <c r="W1522">
        <v>0</v>
      </c>
      <c r="X1522" t="s">
        <v>8</v>
      </c>
      <c r="Y1522" s="74" t="str">
        <f ca="1">IF(Table15[[#This Row],[Type]]="KILL",IF(_xlfn.NUMBERVALUE(RIGHT(Table15[[#This Row],[Min]],LEN(Table15[[#This Row],[Min]])-FIND("-",Table15[[#This Row],[Min]])))&gt;INDIRECT(ADDRESS(11+MATCH(LEFT(Table15[[#This Row],[Min]],FIND("-",Table15[[#This Row],[Min]])-1),Table1[Content Sku],0),16,1,1,"Entities")),"review","ok"),"ok")</f>
        <v>ok</v>
      </c>
    </row>
    <row r="1523" spans="5:25" x14ac:dyDescent="0.25">
      <c r="E1523" t="s">
        <v>295</v>
      </c>
      <c r="F1523">
        <v>0</v>
      </c>
      <c r="G1523">
        <v>0</v>
      </c>
      <c r="H1523" t="s">
        <v>8</v>
      </c>
      <c r="I1523" s="74" t="str">
        <f ca="1">IF(Table7[[#This Row],[Type]]="KILL",IF(_xlfn.NUMBERVALUE(RIGHT(Table7[[#This Row],[Min]],LEN(Table7[[#This Row],[Min]])-FIND("-",Table7[[#This Row],[Min]])))&gt;INDIRECT(ADDRESS(11+MATCH(LEFT(Table7[[#This Row],[Min]],FIND("-",Table7[[#This Row],[Min]])-1),Table1[Content Sku],0),16,1,1,"Entities")),"review","ok"),"ok")</f>
        <v>ok</v>
      </c>
      <c r="U1523" t="s">
        <v>2720</v>
      </c>
      <c r="V1523">
        <v>0</v>
      </c>
      <c r="W1523">
        <v>0</v>
      </c>
      <c r="X1523" t="s">
        <v>8</v>
      </c>
      <c r="Y1523" s="74" t="str">
        <f ca="1">IF(Table15[[#This Row],[Type]]="KILL",IF(_xlfn.NUMBERVALUE(RIGHT(Table15[[#This Row],[Min]],LEN(Table15[[#This Row],[Min]])-FIND("-",Table15[[#This Row],[Min]])))&gt;INDIRECT(ADDRESS(11+MATCH(LEFT(Table15[[#This Row],[Min]],FIND("-",Table15[[#This Row],[Min]])-1),Table1[Content Sku],0),16,1,1,"Entities")),"review","ok"),"ok")</f>
        <v>ok</v>
      </c>
    </row>
    <row r="1524" spans="5:25" x14ac:dyDescent="0.25">
      <c r="E1524" t="s">
        <v>2741</v>
      </c>
      <c r="F1524">
        <v>0</v>
      </c>
      <c r="G1524">
        <v>0</v>
      </c>
      <c r="H1524" t="s">
        <v>8</v>
      </c>
      <c r="I1524" s="74" t="str">
        <f ca="1">IF(Table7[[#This Row],[Type]]="KILL",IF(_xlfn.NUMBERVALUE(RIGHT(Table7[[#This Row],[Min]],LEN(Table7[[#This Row],[Min]])-FIND("-",Table7[[#This Row],[Min]])))&gt;INDIRECT(ADDRESS(11+MATCH(LEFT(Table7[[#This Row],[Min]],FIND("-",Table7[[#This Row],[Min]])-1),Table1[Content Sku],0),16,1,1,"Entities")),"review","ok"),"ok")</f>
        <v>ok</v>
      </c>
      <c r="U1524" t="s">
        <v>313</v>
      </c>
      <c r="V1524">
        <v>0</v>
      </c>
      <c r="W1524">
        <v>0</v>
      </c>
      <c r="X1524" t="s">
        <v>8</v>
      </c>
      <c r="Y1524" s="74" t="str">
        <f ca="1">IF(Table15[[#This Row],[Type]]="KILL",IF(_xlfn.NUMBERVALUE(RIGHT(Table15[[#This Row],[Min]],LEN(Table15[[#This Row],[Min]])-FIND("-",Table15[[#This Row],[Min]])))&gt;INDIRECT(ADDRESS(11+MATCH(LEFT(Table15[[#This Row],[Min]],FIND("-",Table15[[#This Row],[Min]])-1),Table1[Content Sku],0),16,1,1,"Entities")),"review","ok"),"ok")</f>
        <v>ok</v>
      </c>
    </row>
    <row r="1525" spans="5:25" x14ac:dyDescent="0.25">
      <c r="E1525" t="s">
        <v>91</v>
      </c>
      <c r="F1525">
        <v>7000</v>
      </c>
      <c r="G1525">
        <v>0</v>
      </c>
      <c r="H1525" t="s">
        <v>205</v>
      </c>
      <c r="I1525" s="74" t="str">
        <f ca="1">IF(Table7[[#This Row],[Type]]="KILL",IF(_xlfn.NUMBERVALUE(RIGHT(Table7[[#This Row],[Min]],LEN(Table7[[#This Row],[Min]])-FIND("-",Table7[[#This Row],[Min]])))&gt;INDIRECT(ADDRESS(11+MATCH(LEFT(Table7[[#This Row],[Min]],FIND("-",Table7[[#This Row],[Min]])-1),Table1[Content Sku],0),16,1,1,"Entities")),"review","ok"),"ok")</f>
        <v>ok</v>
      </c>
      <c r="U1525" t="s">
        <v>457</v>
      </c>
      <c r="V1525">
        <v>0</v>
      </c>
      <c r="W1525">
        <v>0</v>
      </c>
      <c r="X1525" t="s">
        <v>8</v>
      </c>
      <c r="Y1525" s="74" t="str">
        <f ca="1">IF(Table15[[#This Row],[Type]]="KILL",IF(_xlfn.NUMBERVALUE(RIGHT(Table15[[#This Row],[Min]],LEN(Table15[[#This Row],[Min]])-FIND("-",Table15[[#This Row],[Min]])))&gt;INDIRECT(ADDRESS(11+MATCH(LEFT(Table15[[#This Row],[Min]],FIND("-",Table15[[#This Row],[Min]])-1),Table1[Content Sku],0),16,1,1,"Entities")),"review","ok"),"ok")</f>
        <v>ok</v>
      </c>
    </row>
    <row r="1526" spans="5:25" x14ac:dyDescent="0.25">
      <c r="E1526" t="s">
        <v>8105</v>
      </c>
      <c r="F1526">
        <v>0</v>
      </c>
      <c r="G1526">
        <v>0</v>
      </c>
      <c r="H1526" t="s">
        <v>8</v>
      </c>
      <c r="I1526" s="74" t="str">
        <f ca="1">IF(Table7[[#This Row],[Type]]="KILL",IF(_xlfn.NUMBERVALUE(RIGHT(Table7[[#This Row],[Min]],LEN(Table7[[#This Row],[Min]])-FIND("-",Table7[[#This Row],[Min]])))&gt;INDIRECT(ADDRESS(11+MATCH(LEFT(Table7[[#This Row],[Min]],FIND("-",Table7[[#This Row],[Min]])-1),Table1[Content Sku],0),16,1,1,"Entities")),"review","ok"),"ok")</f>
        <v>ok</v>
      </c>
      <c r="U1526" t="s">
        <v>313</v>
      </c>
      <c r="V1526">
        <v>0</v>
      </c>
      <c r="W1526">
        <v>0</v>
      </c>
      <c r="X1526" t="s">
        <v>8</v>
      </c>
      <c r="Y1526" s="74" t="str">
        <f ca="1">IF(Table15[[#This Row],[Type]]="KILL",IF(_xlfn.NUMBERVALUE(RIGHT(Table15[[#This Row],[Min]],LEN(Table15[[#This Row],[Min]])-FIND("-",Table15[[#This Row],[Min]])))&gt;INDIRECT(ADDRESS(11+MATCH(LEFT(Table15[[#This Row],[Min]],FIND("-",Table15[[#This Row],[Min]])-1),Table1[Content Sku],0),16,1,1,"Entities")),"review","ok"),"ok")</f>
        <v>ok</v>
      </c>
    </row>
    <row r="1527" spans="5:25" x14ac:dyDescent="0.25">
      <c r="E1527" t="s">
        <v>315</v>
      </c>
      <c r="F1527">
        <v>0</v>
      </c>
      <c r="G1527">
        <v>0</v>
      </c>
      <c r="H1527" t="s">
        <v>8</v>
      </c>
      <c r="I1527" s="74" t="str">
        <f ca="1">IF(Table7[[#This Row],[Type]]="KILL",IF(_xlfn.NUMBERVALUE(RIGHT(Table7[[#This Row],[Min]],LEN(Table7[[#This Row],[Min]])-FIND("-",Table7[[#This Row],[Min]])))&gt;INDIRECT(ADDRESS(11+MATCH(LEFT(Table7[[#This Row],[Min]],FIND("-",Table7[[#This Row],[Min]])-1),Table1[Content Sku],0),16,1,1,"Entities")),"review","ok"),"ok")</f>
        <v>ok</v>
      </c>
      <c r="U1527" t="s">
        <v>137</v>
      </c>
      <c r="V1527">
        <v>0</v>
      </c>
      <c r="W1527">
        <v>0</v>
      </c>
      <c r="X1527" t="s">
        <v>8</v>
      </c>
      <c r="Y1527" s="74" t="str">
        <f ca="1">IF(Table15[[#This Row],[Type]]="KILL",IF(_xlfn.NUMBERVALUE(RIGHT(Table15[[#This Row],[Min]],LEN(Table15[[#This Row],[Min]])-FIND("-",Table15[[#This Row],[Min]])))&gt;INDIRECT(ADDRESS(11+MATCH(LEFT(Table15[[#This Row],[Min]],FIND("-",Table15[[#This Row],[Min]])-1),Table1[Content Sku],0),16,1,1,"Entities")),"review","ok"),"ok")</f>
        <v>ok</v>
      </c>
    </row>
    <row r="1528" spans="5:25" x14ac:dyDescent="0.25">
      <c r="E1528" t="s">
        <v>4</v>
      </c>
      <c r="F1528">
        <v>0</v>
      </c>
      <c r="G1528">
        <v>0</v>
      </c>
      <c r="H1528" t="s">
        <v>8</v>
      </c>
      <c r="I1528" s="74" t="str">
        <f ca="1">IF(Table7[[#This Row],[Type]]="KILL",IF(_xlfn.NUMBERVALUE(RIGHT(Table7[[#This Row],[Min]],LEN(Table7[[#This Row],[Min]])-FIND("-",Table7[[#This Row],[Min]])))&gt;INDIRECT(ADDRESS(11+MATCH(LEFT(Table7[[#This Row],[Min]],FIND("-",Table7[[#This Row],[Min]])-1),Table1[Content Sku],0),16,1,1,"Entities")),"review","ok"),"ok")</f>
        <v>ok</v>
      </c>
      <c r="U1528" t="s">
        <v>2720</v>
      </c>
      <c r="V1528">
        <v>0</v>
      </c>
      <c r="W1528">
        <v>43000</v>
      </c>
      <c r="X1528" t="s">
        <v>205</v>
      </c>
      <c r="Y1528" s="74" t="str">
        <f ca="1">IF(Table15[[#This Row],[Type]]="KILL",IF(_xlfn.NUMBERVALUE(RIGHT(Table15[[#This Row],[Min]],LEN(Table15[[#This Row],[Min]])-FIND("-",Table15[[#This Row],[Min]])))&gt;INDIRECT(ADDRESS(11+MATCH(LEFT(Table15[[#This Row],[Min]],FIND("-",Table15[[#This Row],[Min]])-1),Table1[Content Sku],0),16,1,1,"Entities")),"review","ok"),"ok")</f>
        <v>ok</v>
      </c>
    </row>
    <row r="1529" spans="5:25" x14ac:dyDescent="0.25">
      <c r="E1529" t="s">
        <v>8134</v>
      </c>
      <c r="F1529">
        <v>0</v>
      </c>
      <c r="G1529">
        <v>0</v>
      </c>
      <c r="H1529" t="s">
        <v>8</v>
      </c>
      <c r="I1529" s="74" t="str">
        <f ca="1">IF(Table7[[#This Row],[Type]]="KILL",IF(_xlfn.NUMBERVALUE(RIGHT(Table7[[#This Row],[Min]],LEN(Table7[[#This Row],[Min]])-FIND("-",Table7[[#This Row],[Min]])))&gt;INDIRECT(ADDRESS(11+MATCH(LEFT(Table7[[#This Row],[Min]],FIND("-",Table7[[#This Row],[Min]])-1),Table1[Content Sku],0),16,1,1,"Entities")),"review","ok"),"ok")</f>
        <v>ok</v>
      </c>
      <c r="U1529" t="s">
        <v>46</v>
      </c>
      <c r="V1529">
        <v>0</v>
      </c>
      <c r="W1529">
        <v>0</v>
      </c>
      <c r="X1529" t="s">
        <v>8</v>
      </c>
      <c r="Y1529" s="74" t="str">
        <f ca="1">IF(Table15[[#This Row],[Type]]="KILL",IF(_xlfn.NUMBERVALUE(RIGHT(Table15[[#This Row],[Min]],LEN(Table15[[#This Row],[Min]])-FIND("-",Table15[[#This Row],[Min]])))&gt;INDIRECT(ADDRESS(11+MATCH(LEFT(Table15[[#This Row],[Min]],FIND("-",Table15[[#This Row],[Min]])-1),Table1[Content Sku],0),16,1,1,"Entities")),"review","ok"),"ok")</f>
        <v>ok</v>
      </c>
    </row>
    <row r="1530" spans="5:25" x14ac:dyDescent="0.25">
      <c r="E1530" t="s">
        <v>45</v>
      </c>
      <c r="F1530">
        <v>0</v>
      </c>
      <c r="G1530">
        <v>0</v>
      </c>
      <c r="H1530" t="s">
        <v>8</v>
      </c>
      <c r="I1530" s="74" t="str">
        <f ca="1">IF(Table7[[#This Row],[Type]]="KILL",IF(_xlfn.NUMBERVALUE(RIGHT(Table7[[#This Row],[Min]],LEN(Table7[[#This Row],[Min]])-FIND("-",Table7[[#This Row],[Min]])))&gt;INDIRECT(ADDRESS(11+MATCH(LEFT(Table7[[#This Row],[Min]],FIND("-",Table7[[#This Row],[Min]])-1),Table1[Content Sku],0),16,1,1,"Entities")),"review","ok"),"ok")</f>
        <v>ok</v>
      </c>
      <c r="U1530" t="s">
        <v>548</v>
      </c>
      <c r="V1530">
        <v>0</v>
      </c>
      <c r="W1530">
        <v>0</v>
      </c>
      <c r="X1530" t="s">
        <v>8</v>
      </c>
      <c r="Y1530" s="74" t="str">
        <f ca="1">IF(Table15[[#This Row],[Type]]="KILL",IF(_xlfn.NUMBERVALUE(RIGHT(Table15[[#This Row],[Min]],LEN(Table15[[#This Row],[Min]])-FIND("-",Table15[[#This Row],[Min]])))&gt;INDIRECT(ADDRESS(11+MATCH(LEFT(Table15[[#This Row],[Min]],FIND("-",Table15[[#This Row],[Min]])-1),Table1[Content Sku],0),16,1,1,"Entities")),"review","ok"),"ok")</f>
        <v>ok</v>
      </c>
    </row>
    <row r="1531" spans="5:25" x14ac:dyDescent="0.25">
      <c r="E1531" t="s">
        <v>45</v>
      </c>
      <c r="F1531">
        <v>10000</v>
      </c>
      <c r="G1531">
        <v>0</v>
      </c>
      <c r="H1531" t="s">
        <v>205</v>
      </c>
      <c r="I1531" s="74" t="str">
        <f ca="1">IF(Table7[[#This Row],[Type]]="KILL",IF(_xlfn.NUMBERVALUE(RIGHT(Table7[[#This Row],[Min]],LEN(Table7[[#This Row],[Min]])-FIND("-",Table7[[#This Row],[Min]])))&gt;INDIRECT(ADDRESS(11+MATCH(LEFT(Table7[[#This Row],[Min]],FIND("-",Table7[[#This Row],[Min]])-1),Table1[Content Sku],0),16,1,1,"Entities")),"review","ok"),"ok")</f>
        <v>ok</v>
      </c>
      <c r="U1531" t="s">
        <v>398</v>
      </c>
      <c r="V1531">
        <v>0</v>
      </c>
      <c r="W1531">
        <v>0</v>
      </c>
      <c r="X1531" t="s">
        <v>8</v>
      </c>
      <c r="Y1531" s="74" t="str">
        <f ca="1">IF(Table15[[#This Row],[Type]]="KILL",IF(_xlfn.NUMBERVALUE(RIGHT(Table15[[#This Row],[Min]],LEN(Table15[[#This Row],[Min]])-FIND("-",Table15[[#This Row],[Min]])))&gt;INDIRECT(ADDRESS(11+MATCH(LEFT(Table15[[#This Row],[Min]],FIND("-",Table15[[#This Row],[Min]])-1),Table1[Content Sku],0),16,1,1,"Entities")),"review","ok"),"ok")</f>
        <v>ok</v>
      </c>
    </row>
    <row r="1532" spans="5:25" x14ac:dyDescent="0.25">
      <c r="E1532" t="s">
        <v>2741</v>
      </c>
      <c r="F1532">
        <v>0</v>
      </c>
      <c r="G1532">
        <v>0</v>
      </c>
      <c r="H1532" t="s">
        <v>8</v>
      </c>
      <c r="I1532" s="74" t="str">
        <f ca="1">IF(Table7[[#This Row],[Type]]="KILL",IF(_xlfn.NUMBERVALUE(RIGHT(Table7[[#This Row],[Min]],LEN(Table7[[#This Row],[Min]])-FIND("-",Table7[[#This Row],[Min]])))&gt;INDIRECT(ADDRESS(11+MATCH(LEFT(Table7[[#This Row],[Min]],FIND("-",Table7[[#This Row],[Min]])-1),Table1[Content Sku],0),16,1,1,"Entities")),"review","ok"),"ok")</f>
        <v>ok</v>
      </c>
      <c r="U1532" t="s">
        <v>457</v>
      </c>
      <c r="V1532">
        <v>0</v>
      </c>
      <c r="W1532">
        <v>0</v>
      </c>
      <c r="X1532" t="s">
        <v>8</v>
      </c>
      <c r="Y1532" s="74" t="str">
        <f ca="1">IF(Table15[[#This Row],[Type]]="KILL",IF(_xlfn.NUMBERVALUE(RIGHT(Table15[[#This Row],[Min]],LEN(Table15[[#This Row],[Min]])-FIND("-",Table15[[#This Row],[Min]])))&gt;INDIRECT(ADDRESS(11+MATCH(LEFT(Table15[[#This Row],[Min]],FIND("-",Table15[[#This Row],[Min]])-1),Table1[Content Sku],0),16,1,1,"Entities")),"review","ok"),"ok")</f>
        <v>ok</v>
      </c>
    </row>
    <row r="1533" spans="5:25" x14ac:dyDescent="0.25">
      <c r="E1533" t="s">
        <v>295</v>
      </c>
      <c r="F1533">
        <v>4500</v>
      </c>
      <c r="G1533">
        <v>0</v>
      </c>
      <c r="H1533" t="s">
        <v>205</v>
      </c>
      <c r="I1533" s="74" t="str">
        <f ca="1">IF(Table7[[#This Row],[Type]]="KILL",IF(_xlfn.NUMBERVALUE(RIGHT(Table7[[#This Row],[Min]],LEN(Table7[[#This Row],[Min]])-FIND("-",Table7[[#This Row],[Min]])))&gt;INDIRECT(ADDRESS(11+MATCH(LEFT(Table7[[#This Row],[Min]],FIND("-",Table7[[#This Row],[Min]])-1),Table1[Content Sku],0),16,1,1,"Entities")),"review","ok"),"ok")</f>
        <v>ok</v>
      </c>
      <c r="U1533" t="s">
        <v>443</v>
      </c>
      <c r="V1533">
        <v>0</v>
      </c>
      <c r="W1533">
        <v>0</v>
      </c>
      <c r="X1533" t="s">
        <v>8</v>
      </c>
      <c r="Y1533" s="74" t="str">
        <f ca="1">IF(Table15[[#This Row],[Type]]="KILL",IF(_xlfn.NUMBERVALUE(RIGHT(Table15[[#This Row],[Min]],LEN(Table15[[#This Row],[Min]])-FIND("-",Table15[[#This Row],[Min]])))&gt;INDIRECT(ADDRESS(11+MATCH(LEFT(Table15[[#This Row],[Min]],FIND("-",Table15[[#This Row],[Min]])-1),Table1[Content Sku],0),16,1,1,"Entities")),"review","ok"),"ok")</f>
        <v>ok</v>
      </c>
    </row>
    <row r="1534" spans="5:25" x14ac:dyDescent="0.25">
      <c r="E1534" t="s">
        <v>254</v>
      </c>
      <c r="F1534">
        <v>1800</v>
      </c>
      <c r="G1534">
        <v>0</v>
      </c>
      <c r="H1534" t="s">
        <v>205</v>
      </c>
      <c r="I1534" s="74" t="str">
        <f ca="1">IF(Table7[[#This Row],[Type]]="KILL",IF(_xlfn.NUMBERVALUE(RIGHT(Table7[[#This Row],[Min]],LEN(Table7[[#This Row],[Min]])-FIND("-",Table7[[#This Row],[Min]])))&gt;INDIRECT(ADDRESS(11+MATCH(LEFT(Table7[[#This Row],[Min]],FIND("-",Table7[[#This Row],[Min]])-1),Table1[Content Sku],0),16,1,1,"Entities")),"review","ok"),"ok")</f>
        <v>ok</v>
      </c>
      <c r="U1534" t="s">
        <v>313</v>
      </c>
      <c r="V1534">
        <v>0</v>
      </c>
      <c r="W1534">
        <v>0</v>
      </c>
      <c r="X1534" t="s">
        <v>8</v>
      </c>
      <c r="Y1534" s="74" t="str">
        <f ca="1">IF(Table15[[#This Row],[Type]]="KILL",IF(_xlfn.NUMBERVALUE(RIGHT(Table15[[#This Row],[Min]],LEN(Table15[[#This Row],[Min]])-FIND("-",Table15[[#This Row],[Min]])))&gt;INDIRECT(ADDRESS(11+MATCH(LEFT(Table15[[#This Row],[Min]],FIND("-",Table15[[#This Row],[Min]])-1),Table1[Content Sku],0),16,1,1,"Entities")),"review","ok"),"ok")</f>
        <v>ok</v>
      </c>
    </row>
    <row r="1535" spans="5:25" x14ac:dyDescent="0.25">
      <c r="E1535" t="s">
        <v>338</v>
      </c>
      <c r="F1535">
        <v>0</v>
      </c>
      <c r="G1535">
        <v>30000</v>
      </c>
      <c r="H1535" t="s">
        <v>205</v>
      </c>
      <c r="I1535" s="74" t="str">
        <f ca="1">IF(Table7[[#This Row],[Type]]="KILL",IF(_xlfn.NUMBERVALUE(RIGHT(Table7[[#This Row],[Min]],LEN(Table7[[#This Row],[Min]])-FIND("-",Table7[[#This Row],[Min]])))&gt;INDIRECT(ADDRESS(11+MATCH(LEFT(Table7[[#This Row],[Min]],FIND("-",Table7[[#This Row],[Min]])-1),Table1[Content Sku],0),16,1,1,"Entities")),"review","ok"),"ok")</f>
        <v>ok</v>
      </c>
      <c r="U1535" t="s">
        <v>457</v>
      </c>
      <c r="V1535">
        <v>0</v>
      </c>
      <c r="W1535">
        <v>0</v>
      </c>
      <c r="X1535" t="s">
        <v>8</v>
      </c>
      <c r="Y1535" s="74" t="str">
        <f ca="1">IF(Table15[[#This Row],[Type]]="KILL",IF(_xlfn.NUMBERVALUE(RIGHT(Table15[[#This Row],[Min]],LEN(Table15[[#This Row],[Min]])-FIND("-",Table15[[#This Row],[Min]])))&gt;INDIRECT(ADDRESS(11+MATCH(LEFT(Table15[[#This Row],[Min]],FIND("-",Table15[[#This Row],[Min]])-1),Table1[Content Sku],0),16,1,1,"Entities")),"review","ok"),"ok")</f>
        <v>ok</v>
      </c>
    </row>
    <row r="1536" spans="5:25" x14ac:dyDescent="0.25">
      <c r="E1536" t="s">
        <v>90</v>
      </c>
      <c r="F1536">
        <v>0</v>
      </c>
      <c r="G1536">
        <v>0</v>
      </c>
      <c r="H1536" t="s">
        <v>8</v>
      </c>
      <c r="I1536" s="74" t="str">
        <f ca="1">IF(Table7[[#This Row],[Type]]="KILL",IF(_xlfn.NUMBERVALUE(RIGHT(Table7[[#This Row],[Min]],LEN(Table7[[#This Row],[Min]])-FIND("-",Table7[[#This Row],[Min]])))&gt;INDIRECT(ADDRESS(11+MATCH(LEFT(Table7[[#This Row],[Min]],FIND("-",Table7[[#This Row],[Min]])-1),Table1[Content Sku],0),16,1,1,"Entities")),"review","ok"),"ok")</f>
        <v>ok</v>
      </c>
      <c r="U1536" t="s">
        <v>443</v>
      </c>
      <c r="V1536">
        <v>32000</v>
      </c>
      <c r="W1536">
        <v>0</v>
      </c>
      <c r="X1536" t="s">
        <v>205</v>
      </c>
      <c r="Y1536" s="74" t="str">
        <f ca="1">IF(Table15[[#This Row],[Type]]="KILL",IF(_xlfn.NUMBERVALUE(RIGHT(Table15[[#This Row],[Min]],LEN(Table15[[#This Row],[Min]])-FIND("-",Table15[[#This Row],[Min]])))&gt;INDIRECT(ADDRESS(11+MATCH(LEFT(Table15[[#This Row],[Min]],FIND("-",Table15[[#This Row],[Min]])-1),Table1[Content Sku],0),16,1,1,"Entities")),"review","ok"),"ok")</f>
        <v>ok</v>
      </c>
    </row>
    <row r="1537" spans="5:25" x14ac:dyDescent="0.25">
      <c r="E1537" t="s">
        <v>258</v>
      </c>
      <c r="F1537">
        <v>45000</v>
      </c>
      <c r="G1537">
        <v>0</v>
      </c>
      <c r="H1537" t="s">
        <v>205</v>
      </c>
      <c r="I1537" s="74" t="str">
        <f ca="1">IF(Table7[[#This Row],[Type]]="KILL",IF(_xlfn.NUMBERVALUE(RIGHT(Table7[[#This Row],[Min]],LEN(Table7[[#This Row],[Min]])-FIND("-",Table7[[#This Row],[Min]])))&gt;INDIRECT(ADDRESS(11+MATCH(LEFT(Table7[[#This Row],[Min]],FIND("-",Table7[[#This Row],[Min]])-1),Table1[Content Sku],0),16,1,1,"Entities")),"review","ok"),"ok")</f>
        <v>ok</v>
      </c>
      <c r="U1537" t="s">
        <v>457</v>
      </c>
      <c r="V1537">
        <v>0</v>
      </c>
      <c r="W1537">
        <v>0</v>
      </c>
      <c r="X1537" t="s">
        <v>8</v>
      </c>
      <c r="Y1537" s="74" t="str">
        <f ca="1">IF(Table15[[#This Row],[Type]]="KILL",IF(_xlfn.NUMBERVALUE(RIGHT(Table15[[#This Row],[Min]],LEN(Table15[[#This Row],[Min]])-FIND("-",Table15[[#This Row],[Min]])))&gt;INDIRECT(ADDRESS(11+MATCH(LEFT(Table15[[#This Row],[Min]],FIND("-",Table15[[#This Row],[Min]])-1),Table1[Content Sku],0),16,1,1,"Entities")),"review","ok"),"ok")</f>
        <v>ok</v>
      </c>
    </row>
    <row r="1538" spans="5:25" x14ac:dyDescent="0.25">
      <c r="E1538" t="s">
        <v>254</v>
      </c>
      <c r="F1538">
        <v>0</v>
      </c>
      <c r="G1538">
        <v>0</v>
      </c>
      <c r="H1538" t="s">
        <v>8</v>
      </c>
      <c r="I1538" s="74" t="str">
        <f ca="1">IF(Table7[[#This Row],[Type]]="KILL",IF(_xlfn.NUMBERVALUE(RIGHT(Table7[[#This Row],[Min]],LEN(Table7[[#This Row],[Min]])-FIND("-",Table7[[#This Row],[Min]])))&gt;INDIRECT(ADDRESS(11+MATCH(LEFT(Table7[[#This Row],[Min]],FIND("-",Table7[[#This Row],[Min]])-1),Table1[Content Sku],0),16,1,1,"Entities")),"review","ok"),"ok")</f>
        <v>ok</v>
      </c>
      <c r="U1538" t="s">
        <v>315</v>
      </c>
      <c r="V1538">
        <v>0</v>
      </c>
      <c r="W1538">
        <v>0</v>
      </c>
      <c r="X1538" t="s">
        <v>8</v>
      </c>
      <c r="Y1538" s="74" t="str">
        <f ca="1">IF(Table15[[#This Row],[Type]]="KILL",IF(_xlfn.NUMBERVALUE(RIGHT(Table15[[#This Row],[Min]],LEN(Table15[[#This Row],[Min]])-FIND("-",Table15[[#This Row],[Min]])))&gt;INDIRECT(ADDRESS(11+MATCH(LEFT(Table15[[#This Row],[Min]],FIND("-",Table15[[#This Row],[Min]])-1),Table1[Content Sku],0),16,1,1,"Entities")),"review","ok"),"ok")</f>
        <v>ok</v>
      </c>
    </row>
    <row r="1539" spans="5:25" x14ac:dyDescent="0.25">
      <c r="E1539" t="s">
        <v>313</v>
      </c>
      <c r="F1539">
        <v>0</v>
      </c>
      <c r="G1539">
        <v>8000</v>
      </c>
      <c r="H1539" t="s">
        <v>205</v>
      </c>
      <c r="I1539" s="74" t="str">
        <f ca="1">IF(Table7[[#This Row],[Type]]="KILL",IF(_xlfn.NUMBERVALUE(RIGHT(Table7[[#This Row],[Min]],LEN(Table7[[#This Row],[Min]])-FIND("-",Table7[[#This Row],[Min]])))&gt;INDIRECT(ADDRESS(11+MATCH(LEFT(Table7[[#This Row],[Min]],FIND("-",Table7[[#This Row],[Min]])-1),Table1[Content Sku],0),16,1,1,"Entities")),"review","ok"),"ok")</f>
        <v>ok</v>
      </c>
      <c r="U1539" t="s">
        <v>315</v>
      </c>
      <c r="V1539">
        <v>0</v>
      </c>
      <c r="W1539">
        <v>45000</v>
      </c>
      <c r="X1539" t="s">
        <v>205</v>
      </c>
      <c r="Y1539" s="74" t="str">
        <f ca="1">IF(Table15[[#This Row],[Type]]="KILL",IF(_xlfn.NUMBERVALUE(RIGHT(Table15[[#This Row],[Min]],LEN(Table15[[#This Row],[Min]])-FIND("-",Table15[[#This Row],[Min]])))&gt;INDIRECT(ADDRESS(11+MATCH(LEFT(Table15[[#This Row],[Min]],FIND("-",Table15[[#This Row],[Min]])-1),Table1[Content Sku],0),16,1,1,"Entities")),"review","ok"),"ok")</f>
        <v>ok</v>
      </c>
    </row>
    <row r="1540" spans="5:25" x14ac:dyDescent="0.25">
      <c r="E1540" t="s">
        <v>10</v>
      </c>
      <c r="F1540">
        <v>7000</v>
      </c>
      <c r="G1540">
        <v>0</v>
      </c>
      <c r="H1540" t="s">
        <v>205</v>
      </c>
      <c r="I1540" s="74" t="str">
        <f ca="1">IF(Table7[[#This Row],[Type]]="KILL",IF(_xlfn.NUMBERVALUE(RIGHT(Table7[[#This Row],[Min]],LEN(Table7[[#This Row],[Min]])-FIND("-",Table7[[#This Row],[Min]])))&gt;INDIRECT(ADDRESS(11+MATCH(LEFT(Table7[[#This Row],[Min]],FIND("-",Table7[[#This Row],[Min]])-1),Table1[Content Sku],0),16,1,1,"Entities")),"review","ok"),"ok")</f>
        <v>ok</v>
      </c>
      <c r="U1540" t="s">
        <v>315</v>
      </c>
      <c r="V1540">
        <v>0</v>
      </c>
      <c r="W1540">
        <v>0</v>
      </c>
      <c r="X1540" t="s">
        <v>8</v>
      </c>
      <c r="Y1540" s="74" t="str">
        <f ca="1">IF(Table15[[#This Row],[Type]]="KILL",IF(_xlfn.NUMBERVALUE(RIGHT(Table15[[#This Row],[Min]],LEN(Table15[[#This Row],[Min]])-FIND("-",Table15[[#This Row],[Min]])))&gt;INDIRECT(ADDRESS(11+MATCH(LEFT(Table15[[#This Row],[Min]],FIND("-",Table15[[#This Row],[Min]])-1),Table1[Content Sku],0),16,1,1,"Entities")),"review","ok"),"ok")</f>
        <v>ok</v>
      </c>
    </row>
    <row r="1541" spans="5:25" x14ac:dyDescent="0.25">
      <c r="E1541" t="s">
        <v>257</v>
      </c>
      <c r="F1541">
        <v>24000</v>
      </c>
      <c r="G1541">
        <v>0</v>
      </c>
      <c r="H1541" t="s">
        <v>205</v>
      </c>
      <c r="I1541" s="74" t="str">
        <f ca="1">IF(Table7[[#This Row],[Type]]="KILL",IF(_xlfn.NUMBERVALUE(RIGHT(Table7[[#This Row],[Min]],LEN(Table7[[#This Row],[Min]])-FIND("-",Table7[[#This Row],[Min]])))&gt;INDIRECT(ADDRESS(11+MATCH(LEFT(Table7[[#This Row],[Min]],FIND("-",Table7[[#This Row],[Min]])-1),Table1[Content Sku],0),16,1,1,"Entities")),"review","ok"),"ok")</f>
        <v>ok</v>
      </c>
      <c r="U1541" t="s">
        <v>122</v>
      </c>
      <c r="V1541">
        <v>0</v>
      </c>
      <c r="W1541">
        <v>0</v>
      </c>
      <c r="X1541" t="s">
        <v>8</v>
      </c>
      <c r="Y1541" s="74" t="str">
        <f ca="1">IF(Table15[[#This Row],[Type]]="KILL",IF(_xlfn.NUMBERVALUE(RIGHT(Table15[[#This Row],[Min]],LEN(Table15[[#This Row],[Min]])-FIND("-",Table15[[#This Row],[Min]])))&gt;INDIRECT(ADDRESS(11+MATCH(LEFT(Table15[[#This Row],[Min]],FIND("-",Table15[[#This Row],[Min]])-1),Table1[Content Sku],0),16,1,1,"Entities")),"review","ok"),"ok")</f>
        <v>ok</v>
      </c>
    </row>
    <row r="1542" spans="5:25" x14ac:dyDescent="0.25">
      <c r="E1542" t="s">
        <v>311</v>
      </c>
      <c r="F1542">
        <v>0</v>
      </c>
      <c r="G1542">
        <v>0</v>
      </c>
      <c r="H1542" t="s">
        <v>8</v>
      </c>
      <c r="I1542" s="74" t="str">
        <f ca="1">IF(Table7[[#This Row],[Type]]="KILL",IF(_xlfn.NUMBERVALUE(RIGHT(Table7[[#This Row],[Min]],LEN(Table7[[#This Row],[Min]])-FIND("-",Table7[[#This Row],[Min]])))&gt;INDIRECT(ADDRESS(11+MATCH(LEFT(Table7[[#This Row],[Min]],FIND("-",Table7[[#This Row],[Min]])-1),Table1[Content Sku],0),16,1,1,"Entities")),"review","ok"),"ok")</f>
        <v>ok</v>
      </c>
      <c r="U1542" t="s">
        <v>315</v>
      </c>
      <c r="V1542">
        <v>0</v>
      </c>
      <c r="W1542">
        <v>35000</v>
      </c>
      <c r="X1542" t="s">
        <v>205</v>
      </c>
      <c r="Y1542" s="74" t="str">
        <f ca="1">IF(Table15[[#This Row],[Type]]="KILL",IF(_xlfn.NUMBERVALUE(RIGHT(Table15[[#This Row],[Min]],LEN(Table15[[#This Row],[Min]])-FIND("-",Table15[[#This Row],[Min]])))&gt;INDIRECT(ADDRESS(11+MATCH(LEFT(Table15[[#This Row],[Min]],FIND("-",Table15[[#This Row],[Min]])-1),Table1[Content Sku],0),16,1,1,"Entities")),"review","ok"),"ok")</f>
        <v>ok</v>
      </c>
    </row>
    <row r="1543" spans="5:25" x14ac:dyDescent="0.25">
      <c r="E1543" t="s">
        <v>256</v>
      </c>
      <c r="F1543">
        <v>0</v>
      </c>
      <c r="G1543">
        <v>0</v>
      </c>
      <c r="H1543" t="s">
        <v>8</v>
      </c>
      <c r="I1543" s="74" t="str">
        <f ca="1">IF(Table7[[#This Row],[Type]]="KILL",IF(_xlfn.NUMBERVALUE(RIGHT(Table7[[#This Row],[Min]],LEN(Table7[[#This Row],[Min]])-FIND("-",Table7[[#This Row],[Min]])))&gt;INDIRECT(ADDRESS(11+MATCH(LEFT(Table7[[#This Row],[Min]],FIND("-",Table7[[#This Row],[Min]])-1),Table1[Content Sku],0),16,1,1,"Entities")),"review","ok"),"ok")</f>
        <v>ok</v>
      </c>
      <c r="U1543" t="s">
        <v>457</v>
      </c>
      <c r="V1543">
        <v>0</v>
      </c>
      <c r="W1543">
        <v>0</v>
      </c>
      <c r="X1543" t="s">
        <v>8</v>
      </c>
      <c r="Y1543" s="74" t="str">
        <f ca="1">IF(Table15[[#This Row],[Type]]="KILL",IF(_xlfn.NUMBERVALUE(RIGHT(Table15[[#This Row],[Min]],LEN(Table15[[#This Row],[Min]])-FIND("-",Table15[[#This Row],[Min]])))&gt;INDIRECT(ADDRESS(11+MATCH(LEFT(Table15[[#This Row],[Min]],FIND("-",Table15[[#This Row],[Min]])-1),Table1[Content Sku],0),16,1,1,"Entities")),"review","ok"),"ok")</f>
        <v>ok</v>
      </c>
    </row>
    <row r="1544" spans="5:25" x14ac:dyDescent="0.25">
      <c r="E1544" t="s">
        <v>92</v>
      </c>
      <c r="F1544">
        <v>0</v>
      </c>
      <c r="G1544">
        <v>4000</v>
      </c>
      <c r="H1544" t="s">
        <v>205</v>
      </c>
      <c r="I1544" s="74" t="str">
        <f ca="1">IF(Table7[[#This Row],[Type]]="KILL",IF(_xlfn.NUMBERVALUE(RIGHT(Table7[[#This Row],[Min]],LEN(Table7[[#This Row],[Min]])-FIND("-",Table7[[#This Row],[Min]])))&gt;INDIRECT(ADDRESS(11+MATCH(LEFT(Table7[[#This Row],[Min]],FIND("-",Table7[[#This Row],[Min]])-1),Table1[Content Sku],0),16,1,1,"Entities")),"review","ok"),"ok")</f>
        <v>ok</v>
      </c>
      <c r="U1544" t="s">
        <v>123</v>
      </c>
      <c r="V1544">
        <v>0</v>
      </c>
      <c r="W1544">
        <v>0</v>
      </c>
      <c r="X1544" t="s">
        <v>8</v>
      </c>
      <c r="Y1544" s="74" t="str">
        <f ca="1">IF(Table15[[#This Row],[Type]]="KILL",IF(_xlfn.NUMBERVALUE(RIGHT(Table15[[#This Row],[Min]],LEN(Table15[[#This Row],[Min]])-FIND("-",Table15[[#This Row],[Min]])))&gt;INDIRECT(ADDRESS(11+MATCH(LEFT(Table15[[#This Row],[Min]],FIND("-",Table15[[#This Row],[Min]])-1),Table1[Content Sku],0),16,1,1,"Entities")),"review","ok"),"ok")</f>
        <v>ok</v>
      </c>
    </row>
    <row r="1545" spans="5:25" x14ac:dyDescent="0.25">
      <c r="E1545" t="s">
        <v>318</v>
      </c>
      <c r="F1545">
        <v>0</v>
      </c>
      <c r="G1545">
        <v>0</v>
      </c>
      <c r="H1545" t="s">
        <v>8</v>
      </c>
      <c r="I1545" s="74" t="str">
        <f ca="1">IF(Table7[[#This Row],[Type]]="KILL",IF(_xlfn.NUMBERVALUE(RIGHT(Table7[[#This Row],[Min]],LEN(Table7[[#This Row],[Min]])-FIND("-",Table7[[#This Row],[Min]])))&gt;INDIRECT(ADDRESS(11+MATCH(LEFT(Table7[[#This Row],[Min]],FIND("-",Table7[[#This Row],[Min]])-1),Table1[Content Sku],0),16,1,1,"Entities")),"review","ok"),"ok")</f>
        <v>ok</v>
      </c>
      <c r="U1545" t="s">
        <v>457</v>
      </c>
      <c r="V1545">
        <v>0</v>
      </c>
      <c r="W1545">
        <v>0</v>
      </c>
      <c r="X1545" t="s">
        <v>8</v>
      </c>
      <c r="Y1545" s="74" t="str">
        <f ca="1">IF(Table15[[#This Row],[Type]]="KILL",IF(_xlfn.NUMBERVALUE(RIGHT(Table15[[#This Row],[Min]],LEN(Table15[[#This Row],[Min]])-FIND("-",Table15[[#This Row],[Min]])))&gt;INDIRECT(ADDRESS(11+MATCH(LEFT(Table15[[#This Row],[Min]],FIND("-",Table15[[#This Row],[Min]])-1),Table1[Content Sku],0),16,1,1,"Entities")),"review","ok"),"ok")</f>
        <v>ok</v>
      </c>
    </row>
    <row r="1546" spans="5:25" x14ac:dyDescent="0.25">
      <c r="E1546" t="s">
        <v>44</v>
      </c>
      <c r="F1546">
        <v>7500</v>
      </c>
      <c r="G1546">
        <v>0</v>
      </c>
      <c r="H1546" t="s">
        <v>205</v>
      </c>
      <c r="I1546" s="74" t="str">
        <f ca="1">IF(Table7[[#This Row],[Type]]="KILL",IF(_xlfn.NUMBERVALUE(RIGHT(Table7[[#This Row],[Min]],LEN(Table7[[#This Row],[Min]])-FIND("-",Table7[[#This Row],[Min]])))&gt;INDIRECT(ADDRESS(11+MATCH(LEFT(Table7[[#This Row],[Min]],FIND("-",Table7[[#This Row],[Min]])-1),Table1[Content Sku],0),16,1,1,"Entities")),"review","ok"),"ok")</f>
        <v>ok</v>
      </c>
      <c r="U1546" t="s">
        <v>37</v>
      </c>
      <c r="V1546">
        <v>0</v>
      </c>
      <c r="W1546">
        <v>0</v>
      </c>
      <c r="X1546" t="s">
        <v>8</v>
      </c>
      <c r="Y1546" s="74" t="str">
        <f ca="1">IF(Table15[[#This Row],[Type]]="KILL",IF(_xlfn.NUMBERVALUE(RIGHT(Table15[[#This Row],[Min]],LEN(Table15[[#This Row],[Min]])-FIND("-",Table15[[#This Row],[Min]])))&gt;INDIRECT(ADDRESS(11+MATCH(LEFT(Table15[[#This Row],[Min]],FIND("-",Table15[[#This Row],[Min]])-1),Table1[Content Sku],0),16,1,1,"Entities")),"review","ok"),"ok")</f>
        <v>ok</v>
      </c>
    </row>
    <row r="1547" spans="5:25" x14ac:dyDescent="0.25">
      <c r="E1547" t="s">
        <v>40</v>
      </c>
      <c r="F1547">
        <v>5400</v>
      </c>
      <c r="G1547">
        <v>0</v>
      </c>
      <c r="H1547" t="s">
        <v>205</v>
      </c>
      <c r="I1547" s="74" t="str">
        <f ca="1">IF(Table7[[#This Row],[Type]]="KILL",IF(_xlfn.NUMBERVALUE(RIGHT(Table7[[#This Row],[Min]],LEN(Table7[[#This Row],[Min]])-FIND("-",Table7[[#This Row],[Min]])))&gt;INDIRECT(ADDRESS(11+MATCH(LEFT(Table7[[#This Row],[Min]],FIND("-",Table7[[#This Row],[Min]])-1),Table1[Content Sku],0),16,1,1,"Entities")),"review","ok"),"ok")</f>
        <v>ok</v>
      </c>
      <c r="U1547" t="s">
        <v>123</v>
      </c>
      <c r="V1547">
        <v>0</v>
      </c>
      <c r="W1547">
        <v>0</v>
      </c>
      <c r="X1547" t="s">
        <v>8</v>
      </c>
      <c r="Y1547" s="74" t="str">
        <f ca="1">IF(Table15[[#This Row],[Type]]="KILL",IF(_xlfn.NUMBERVALUE(RIGHT(Table15[[#This Row],[Min]],LEN(Table15[[#This Row],[Min]])-FIND("-",Table15[[#This Row],[Min]])))&gt;INDIRECT(ADDRESS(11+MATCH(LEFT(Table15[[#This Row],[Min]],FIND("-",Table15[[#This Row],[Min]])-1),Table1[Content Sku],0),16,1,1,"Entities")),"review","ok"),"ok")</f>
        <v>ok</v>
      </c>
    </row>
    <row r="1548" spans="5:25" x14ac:dyDescent="0.25">
      <c r="E1548" t="s">
        <v>403</v>
      </c>
      <c r="F1548">
        <v>0</v>
      </c>
      <c r="G1548">
        <v>0</v>
      </c>
      <c r="H1548" t="s">
        <v>8</v>
      </c>
      <c r="I1548" s="74" t="str">
        <f ca="1">IF(Table7[[#This Row],[Type]]="KILL",IF(_xlfn.NUMBERVALUE(RIGHT(Table7[[#This Row],[Min]],LEN(Table7[[#This Row],[Min]])-FIND("-",Table7[[#This Row],[Min]])))&gt;INDIRECT(ADDRESS(11+MATCH(LEFT(Table7[[#This Row],[Min]],FIND("-",Table7[[#This Row],[Min]])-1),Table1[Content Sku],0),16,1,1,"Entities")),"review","ok"),"ok")</f>
        <v>ok</v>
      </c>
      <c r="U1548" t="s">
        <v>306</v>
      </c>
      <c r="V1548">
        <v>0</v>
      </c>
      <c r="W1548">
        <v>0</v>
      </c>
      <c r="X1548" t="s">
        <v>8</v>
      </c>
      <c r="Y1548" s="74" t="str">
        <f ca="1">IF(Table15[[#This Row],[Type]]="KILL",IF(_xlfn.NUMBERVALUE(RIGHT(Table15[[#This Row],[Min]],LEN(Table15[[#This Row],[Min]])-FIND("-",Table15[[#This Row],[Min]])))&gt;INDIRECT(ADDRESS(11+MATCH(LEFT(Table15[[#This Row],[Min]],FIND("-",Table15[[#This Row],[Min]])-1),Table1[Content Sku],0),16,1,1,"Entities")),"review","ok"),"ok")</f>
        <v>ok</v>
      </c>
    </row>
    <row r="1549" spans="5:25" x14ac:dyDescent="0.25">
      <c r="E1549" t="s">
        <v>4430</v>
      </c>
      <c r="F1549">
        <v>0</v>
      </c>
      <c r="G1549">
        <v>0</v>
      </c>
      <c r="H1549" t="s">
        <v>8</v>
      </c>
      <c r="I1549" s="74" t="str">
        <f ca="1">IF(Table7[[#This Row],[Type]]="KILL",IF(_xlfn.NUMBERVALUE(RIGHT(Table7[[#This Row],[Min]],LEN(Table7[[#This Row],[Min]])-FIND("-",Table7[[#This Row],[Min]])))&gt;INDIRECT(ADDRESS(11+MATCH(LEFT(Table7[[#This Row],[Min]],FIND("-",Table7[[#This Row],[Min]])-1),Table1[Content Sku],0),16,1,1,"Entities")),"review","ok"),"ok")</f>
        <v>ok</v>
      </c>
      <c r="U1549" t="s">
        <v>306</v>
      </c>
      <c r="V1549">
        <v>24000</v>
      </c>
      <c r="W1549">
        <v>0</v>
      </c>
      <c r="X1549" t="s">
        <v>205</v>
      </c>
      <c r="Y1549" s="74" t="str">
        <f ca="1">IF(Table15[[#This Row],[Type]]="KILL",IF(_xlfn.NUMBERVALUE(RIGHT(Table15[[#This Row],[Min]],LEN(Table15[[#This Row],[Min]])-FIND("-",Table15[[#This Row],[Min]])))&gt;INDIRECT(ADDRESS(11+MATCH(LEFT(Table15[[#This Row],[Min]],FIND("-",Table15[[#This Row],[Min]])-1),Table1[Content Sku],0),16,1,1,"Entities")),"review","ok"),"ok")</f>
        <v>ok</v>
      </c>
    </row>
    <row r="1550" spans="5:25" x14ac:dyDescent="0.25">
      <c r="E1550" t="s">
        <v>313</v>
      </c>
      <c r="F1550">
        <v>6000</v>
      </c>
      <c r="G1550">
        <v>0</v>
      </c>
      <c r="H1550" t="s">
        <v>205</v>
      </c>
      <c r="I1550" s="74" t="str">
        <f ca="1">IF(Table7[[#This Row],[Type]]="KILL",IF(_xlfn.NUMBERVALUE(RIGHT(Table7[[#This Row],[Min]],LEN(Table7[[#This Row],[Min]])-FIND("-",Table7[[#This Row],[Min]])))&gt;INDIRECT(ADDRESS(11+MATCH(LEFT(Table7[[#This Row],[Min]],FIND("-",Table7[[#This Row],[Min]])-1),Table1[Content Sku],0),16,1,1,"Entities")),"review","ok"),"ok")</f>
        <v>ok</v>
      </c>
      <c r="U1550" t="s">
        <v>396</v>
      </c>
      <c r="V1550">
        <v>60000</v>
      </c>
      <c r="W1550">
        <v>0</v>
      </c>
      <c r="X1550" t="s">
        <v>205</v>
      </c>
      <c r="Y1550" s="74" t="str">
        <f ca="1">IF(Table15[[#This Row],[Type]]="KILL",IF(_xlfn.NUMBERVALUE(RIGHT(Table15[[#This Row],[Min]],LEN(Table15[[#This Row],[Min]])-FIND("-",Table15[[#This Row],[Min]])))&gt;INDIRECT(ADDRESS(11+MATCH(LEFT(Table15[[#This Row],[Min]],FIND("-",Table15[[#This Row],[Min]])-1),Table1[Content Sku],0),16,1,1,"Entities")),"review","ok"),"ok")</f>
        <v>ok</v>
      </c>
    </row>
    <row r="1551" spans="5:25" x14ac:dyDescent="0.25">
      <c r="E1551" t="s">
        <v>49</v>
      </c>
      <c r="F1551">
        <v>12500</v>
      </c>
      <c r="G1551">
        <v>0</v>
      </c>
      <c r="H1551" t="s">
        <v>205</v>
      </c>
      <c r="I1551" s="74" t="str">
        <f ca="1">IF(Table7[[#This Row],[Type]]="KILL",IF(_xlfn.NUMBERVALUE(RIGHT(Table7[[#This Row],[Min]],LEN(Table7[[#This Row],[Min]])-FIND("-",Table7[[#This Row],[Min]])))&gt;INDIRECT(ADDRESS(11+MATCH(LEFT(Table7[[#This Row],[Min]],FIND("-",Table7[[#This Row],[Min]])-1),Table1[Content Sku],0),16,1,1,"Entities")),"review","ok"),"ok")</f>
        <v>ok</v>
      </c>
      <c r="U1551" t="s">
        <v>2720</v>
      </c>
      <c r="V1551">
        <v>0</v>
      </c>
      <c r="W1551">
        <v>32000</v>
      </c>
      <c r="X1551" t="s">
        <v>205</v>
      </c>
      <c r="Y1551" s="74" t="str">
        <f ca="1">IF(Table15[[#This Row],[Type]]="KILL",IF(_xlfn.NUMBERVALUE(RIGHT(Table15[[#This Row],[Min]],LEN(Table15[[#This Row],[Min]])-FIND("-",Table15[[#This Row],[Min]])))&gt;INDIRECT(ADDRESS(11+MATCH(LEFT(Table15[[#This Row],[Min]],FIND("-",Table15[[#This Row],[Min]])-1),Table1[Content Sku],0),16,1,1,"Entities")),"review","ok"),"ok")</f>
        <v>ok</v>
      </c>
    </row>
    <row r="1552" spans="5:25" x14ac:dyDescent="0.25">
      <c r="E1552" t="s">
        <v>50</v>
      </c>
      <c r="F1552">
        <v>35000</v>
      </c>
      <c r="G1552">
        <v>0</v>
      </c>
      <c r="H1552" t="s">
        <v>205</v>
      </c>
      <c r="I1552" s="74" t="str">
        <f ca="1">IF(Table7[[#This Row],[Type]]="KILL",IF(_xlfn.NUMBERVALUE(RIGHT(Table7[[#This Row],[Min]],LEN(Table7[[#This Row],[Min]])-FIND("-",Table7[[#This Row],[Min]])))&gt;INDIRECT(ADDRESS(11+MATCH(LEFT(Table7[[#This Row],[Min]],FIND("-",Table7[[#This Row],[Min]])-1),Table1[Content Sku],0),16,1,1,"Entities")),"review","ok"),"ok")</f>
        <v>ok</v>
      </c>
      <c r="U1552" t="s">
        <v>4430</v>
      </c>
      <c r="V1552">
        <v>0</v>
      </c>
      <c r="W1552">
        <v>0</v>
      </c>
      <c r="X1552" t="s">
        <v>8</v>
      </c>
      <c r="Y1552" s="74" t="str">
        <f ca="1">IF(Table15[[#This Row],[Type]]="KILL",IF(_xlfn.NUMBERVALUE(RIGHT(Table15[[#This Row],[Min]],LEN(Table15[[#This Row],[Min]])-FIND("-",Table15[[#This Row],[Min]])))&gt;INDIRECT(ADDRESS(11+MATCH(LEFT(Table15[[#This Row],[Min]],FIND("-",Table15[[#This Row],[Min]])-1),Table1[Content Sku],0),16,1,1,"Entities")),"review","ok"),"ok")</f>
        <v>ok</v>
      </c>
    </row>
    <row r="1553" spans="5:25" x14ac:dyDescent="0.25">
      <c r="E1553" t="s">
        <v>2732</v>
      </c>
      <c r="F1553">
        <v>0</v>
      </c>
      <c r="G1553">
        <v>0</v>
      </c>
      <c r="H1553" t="s">
        <v>8</v>
      </c>
      <c r="I1553" s="74" t="str">
        <f ca="1">IF(Table7[[#This Row],[Type]]="KILL",IF(_xlfn.NUMBERVALUE(RIGHT(Table7[[#This Row],[Min]],LEN(Table7[[#This Row],[Min]])-FIND("-",Table7[[#This Row],[Min]])))&gt;INDIRECT(ADDRESS(11+MATCH(LEFT(Table7[[#This Row],[Min]],FIND("-",Table7[[#This Row],[Min]])-1),Table1[Content Sku],0),16,1,1,"Entities")),"review","ok"),"ok")</f>
        <v>ok</v>
      </c>
      <c r="U1553" t="s">
        <v>457</v>
      </c>
      <c r="V1553">
        <v>0</v>
      </c>
      <c r="W1553">
        <v>0</v>
      </c>
      <c r="X1553" t="s">
        <v>8</v>
      </c>
      <c r="Y1553" s="74" t="str">
        <f ca="1">IF(Table15[[#This Row],[Type]]="KILL",IF(_xlfn.NUMBERVALUE(RIGHT(Table15[[#This Row],[Min]],LEN(Table15[[#This Row],[Min]])-FIND("-",Table15[[#This Row],[Min]])))&gt;INDIRECT(ADDRESS(11+MATCH(LEFT(Table15[[#This Row],[Min]],FIND("-",Table15[[#This Row],[Min]])-1),Table1[Content Sku],0),16,1,1,"Entities")),"review","ok"),"ok")</f>
        <v>ok</v>
      </c>
    </row>
    <row r="1554" spans="5:25" x14ac:dyDescent="0.25">
      <c r="E1554" t="s">
        <v>313</v>
      </c>
      <c r="F1554">
        <v>0</v>
      </c>
      <c r="G1554">
        <v>0</v>
      </c>
      <c r="H1554" t="s">
        <v>8</v>
      </c>
      <c r="I1554" s="74" t="str">
        <f ca="1">IF(Table7[[#This Row],[Type]]="KILL",IF(_xlfn.NUMBERVALUE(RIGHT(Table7[[#This Row],[Min]],LEN(Table7[[#This Row],[Min]])-FIND("-",Table7[[#This Row],[Min]])))&gt;INDIRECT(ADDRESS(11+MATCH(LEFT(Table7[[#This Row],[Min]],FIND("-",Table7[[#This Row],[Min]])-1),Table1[Content Sku],0),16,1,1,"Entities")),"review","ok"),"ok")</f>
        <v>ok</v>
      </c>
      <c r="U1554" t="s">
        <v>8103</v>
      </c>
      <c r="V1554">
        <v>50000</v>
      </c>
      <c r="W1554">
        <v>0</v>
      </c>
      <c r="X1554" t="s">
        <v>205</v>
      </c>
      <c r="Y1554" s="74" t="str">
        <f ca="1">IF(Table15[[#This Row],[Type]]="KILL",IF(_xlfn.NUMBERVALUE(RIGHT(Table15[[#This Row],[Min]],LEN(Table15[[#This Row],[Min]])-FIND("-",Table15[[#This Row],[Min]])))&gt;INDIRECT(ADDRESS(11+MATCH(LEFT(Table15[[#This Row],[Min]],FIND("-",Table15[[#This Row],[Min]])-1),Table1[Content Sku],0),16,1,1,"Entities")),"review","ok"),"ok")</f>
        <v>ok</v>
      </c>
    </row>
    <row r="1555" spans="5:25" x14ac:dyDescent="0.25">
      <c r="E1555" t="s">
        <v>313</v>
      </c>
      <c r="F1555">
        <v>0</v>
      </c>
      <c r="G1555">
        <v>0</v>
      </c>
      <c r="H1555" t="s">
        <v>8</v>
      </c>
      <c r="I1555" s="74" t="str">
        <f ca="1">IF(Table7[[#This Row],[Type]]="KILL",IF(_xlfn.NUMBERVALUE(RIGHT(Table7[[#This Row],[Min]],LEN(Table7[[#This Row],[Min]])-FIND("-",Table7[[#This Row],[Min]])))&gt;INDIRECT(ADDRESS(11+MATCH(LEFT(Table7[[#This Row],[Min]],FIND("-",Table7[[#This Row],[Min]])-1),Table1[Content Sku],0),16,1,1,"Entities")),"review","ok"),"ok")</f>
        <v>ok</v>
      </c>
      <c r="U1555" t="s">
        <v>2720</v>
      </c>
      <c r="V1555">
        <v>0</v>
      </c>
      <c r="W1555">
        <v>0</v>
      </c>
      <c r="X1555" t="s">
        <v>8</v>
      </c>
      <c r="Y1555" s="74" t="str">
        <f ca="1">IF(Table15[[#This Row],[Type]]="KILL",IF(_xlfn.NUMBERVALUE(RIGHT(Table15[[#This Row],[Min]],LEN(Table15[[#This Row],[Min]])-FIND("-",Table15[[#This Row],[Min]])))&gt;INDIRECT(ADDRESS(11+MATCH(LEFT(Table15[[#This Row],[Min]],FIND("-",Table15[[#This Row],[Min]])-1),Table1[Content Sku],0),16,1,1,"Entities")),"review","ok"),"ok")</f>
        <v>ok</v>
      </c>
    </row>
    <row r="1556" spans="5:25" x14ac:dyDescent="0.25">
      <c r="E1556" t="s">
        <v>318</v>
      </c>
      <c r="F1556">
        <v>0</v>
      </c>
      <c r="G1556">
        <v>0</v>
      </c>
      <c r="H1556" t="s">
        <v>8</v>
      </c>
      <c r="I1556" s="74" t="str">
        <f ca="1">IF(Table7[[#This Row],[Type]]="KILL",IF(_xlfn.NUMBERVALUE(RIGHT(Table7[[#This Row],[Min]],LEN(Table7[[#This Row],[Min]])-FIND("-",Table7[[#This Row],[Min]])))&gt;INDIRECT(ADDRESS(11+MATCH(LEFT(Table7[[#This Row],[Min]],FIND("-",Table7[[#This Row],[Min]])-1),Table1[Content Sku],0),16,1,1,"Entities")),"review","ok"),"ok")</f>
        <v>ok</v>
      </c>
      <c r="U1556" t="s">
        <v>398</v>
      </c>
      <c r="V1556">
        <v>0</v>
      </c>
      <c r="W1556">
        <v>0</v>
      </c>
      <c r="X1556" t="s">
        <v>8</v>
      </c>
      <c r="Y1556" s="74" t="str">
        <f ca="1">IF(Table15[[#This Row],[Type]]="KILL",IF(_xlfn.NUMBERVALUE(RIGHT(Table15[[#This Row],[Min]],LEN(Table15[[#This Row],[Min]])-FIND("-",Table15[[#This Row],[Min]])))&gt;INDIRECT(ADDRESS(11+MATCH(LEFT(Table15[[#This Row],[Min]],FIND("-",Table15[[#This Row],[Min]])-1),Table1[Content Sku],0),16,1,1,"Entities")),"review","ok"),"ok")</f>
        <v>ok</v>
      </c>
    </row>
    <row r="1557" spans="5:25" x14ac:dyDescent="0.25">
      <c r="E1557" t="s">
        <v>8133</v>
      </c>
      <c r="F1557">
        <v>0</v>
      </c>
      <c r="G1557">
        <v>0</v>
      </c>
      <c r="H1557" t="s">
        <v>8</v>
      </c>
      <c r="I1557" s="74" t="str">
        <f ca="1">IF(Table7[[#This Row],[Type]]="KILL",IF(_xlfn.NUMBERVALUE(RIGHT(Table7[[#This Row],[Min]],LEN(Table7[[#This Row],[Min]])-FIND("-",Table7[[#This Row],[Min]])))&gt;INDIRECT(ADDRESS(11+MATCH(LEFT(Table7[[#This Row],[Min]],FIND("-",Table7[[#This Row],[Min]])-1),Table1[Content Sku],0),16,1,1,"Entities")),"review","ok"),"ok")</f>
        <v>ok</v>
      </c>
      <c r="U1557" t="s">
        <v>313</v>
      </c>
      <c r="V1557">
        <v>0</v>
      </c>
      <c r="W1557">
        <v>0</v>
      </c>
      <c r="X1557" t="s">
        <v>8</v>
      </c>
      <c r="Y1557" s="74" t="str">
        <f ca="1">IF(Table15[[#This Row],[Type]]="KILL",IF(_xlfn.NUMBERVALUE(RIGHT(Table15[[#This Row],[Min]],LEN(Table15[[#This Row],[Min]])-FIND("-",Table15[[#This Row],[Min]])))&gt;INDIRECT(ADDRESS(11+MATCH(LEFT(Table15[[#This Row],[Min]],FIND("-",Table15[[#This Row],[Min]])-1),Table1[Content Sku],0),16,1,1,"Entities")),"review","ok"),"ok")</f>
        <v>ok</v>
      </c>
    </row>
    <row r="1558" spans="5:25" x14ac:dyDescent="0.25">
      <c r="E1558" t="s">
        <v>8133</v>
      </c>
      <c r="F1558">
        <v>0</v>
      </c>
      <c r="G1558">
        <v>0</v>
      </c>
      <c r="H1558" t="s">
        <v>8</v>
      </c>
      <c r="I1558" s="74" t="str">
        <f ca="1">IF(Table7[[#This Row],[Type]]="KILL",IF(_xlfn.NUMBERVALUE(RIGHT(Table7[[#This Row],[Min]],LEN(Table7[[#This Row],[Min]])-FIND("-",Table7[[#This Row],[Min]])))&gt;INDIRECT(ADDRESS(11+MATCH(LEFT(Table7[[#This Row],[Min]],FIND("-",Table7[[#This Row],[Min]])-1),Table1[Content Sku],0),16,1,1,"Entities")),"review","ok"),"ok")</f>
        <v>ok</v>
      </c>
      <c r="U1558" t="s">
        <v>37</v>
      </c>
      <c r="V1558">
        <v>0</v>
      </c>
      <c r="W1558">
        <v>0</v>
      </c>
      <c r="X1558" t="s">
        <v>8</v>
      </c>
      <c r="Y1558" s="74" t="str">
        <f ca="1">IF(Table15[[#This Row],[Type]]="KILL",IF(_xlfn.NUMBERVALUE(RIGHT(Table15[[#This Row],[Min]],LEN(Table15[[#This Row],[Min]])-FIND("-",Table15[[#This Row],[Min]])))&gt;INDIRECT(ADDRESS(11+MATCH(LEFT(Table15[[#This Row],[Min]],FIND("-",Table15[[#This Row],[Min]])-1),Table1[Content Sku],0),16,1,1,"Entities")),"review","ok"),"ok")</f>
        <v>ok</v>
      </c>
    </row>
    <row r="1559" spans="5:25" x14ac:dyDescent="0.25">
      <c r="E1559" t="s">
        <v>318</v>
      </c>
      <c r="F1559">
        <v>0</v>
      </c>
      <c r="G1559">
        <v>0</v>
      </c>
      <c r="H1559" t="s">
        <v>8</v>
      </c>
      <c r="I1559" s="74" t="str">
        <f ca="1">IF(Table7[[#This Row],[Type]]="KILL",IF(_xlfn.NUMBERVALUE(RIGHT(Table7[[#This Row],[Min]],LEN(Table7[[#This Row],[Min]])-FIND("-",Table7[[#This Row],[Min]])))&gt;INDIRECT(ADDRESS(11+MATCH(LEFT(Table7[[#This Row],[Min]],FIND("-",Table7[[#This Row],[Min]])-1),Table1[Content Sku],0),16,1,1,"Entities")),"review","ok"),"ok")</f>
        <v>ok</v>
      </c>
      <c r="U1559" t="s">
        <v>400</v>
      </c>
      <c r="V1559">
        <v>0</v>
      </c>
      <c r="W1559">
        <v>0</v>
      </c>
      <c r="X1559" t="s">
        <v>8</v>
      </c>
      <c r="Y1559" s="74" t="str">
        <f ca="1">IF(Table15[[#This Row],[Type]]="KILL",IF(_xlfn.NUMBERVALUE(RIGHT(Table15[[#This Row],[Min]],LEN(Table15[[#This Row],[Min]])-FIND("-",Table15[[#This Row],[Min]])))&gt;INDIRECT(ADDRESS(11+MATCH(LEFT(Table15[[#This Row],[Min]],FIND("-",Table15[[#This Row],[Min]])-1),Table1[Content Sku],0),16,1,1,"Entities")),"review","ok"),"ok")</f>
        <v>ok</v>
      </c>
    </row>
    <row r="1560" spans="5:25" x14ac:dyDescent="0.25">
      <c r="E1560" t="s">
        <v>2738</v>
      </c>
      <c r="F1560">
        <v>0</v>
      </c>
      <c r="G1560">
        <v>0</v>
      </c>
      <c r="H1560" t="s">
        <v>8</v>
      </c>
      <c r="I1560" s="74" t="str">
        <f ca="1">IF(Table7[[#This Row],[Type]]="KILL",IF(_xlfn.NUMBERVALUE(RIGHT(Table7[[#This Row],[Min]],LEN(Table7[[#This Row],[Min]])-FIND("-",Table7[[#This Row],[Min]])))&gt;INDIRECT(ADDRESS(11+MATCH(LEFT(Table7[[#This Row],[Min]],FIND("-",Table7[[#This Row],[Min]])-1),Table1[Content Sku],0),16,1,1,"Entities")),"review","ok"),"ok")</f>
        <v>ok</v>
      </c>
      <c r="U1560" t="s">
        <v>2717</v>
      </c>
      <c r="V1560">
        <v>50000</v>
      </c>
      <c r="W1560">
        <v>0</v>
      </c>
      <c r="X1560" t="s">
        <v>205</v>
      </c>
      <c r="Y1560" s="74" t="str">
        <f ca="1">IF(Table15[[#This Row],[Type]]="KILL",IF(_xlfn.NUMBERVALUE(RIGHT(Table15[[#This Row],[Min]],LEN(Table15[[#This Row],[Min]])-FIND("-",Table15[[#This Row],[Min]])))&gt;INDIRECT(ADDRESS(11+MATCH(LEFT(Table15[[#This Row],[Min]],FIND("-",Table15[[#This Row],[Min]])-1),Table1[Content Sku],0),16,1,1,"Entities")),"review","ok"),"ok")</f>
        <v>ok</v>
      </c>
    </row>
    <row r="1561" spans="5:25" x14ac:dyDescent="0.25">
      <c r="E1561" t="s">
        <v>90</v>
      </c>
      <c r="F1561">
        <v>0</v>
      </c>
      <c r="G1561">
        <v>15000</v>
      </c>
      <c r="H1561" t="s">
        <v>205</v>
      </c>
      <c r="I1561" s="74" t="str">
        <f ca="1">IF(Table7[[#This Row],[Type]]="KILL",IF(_xlfn.NUMBERVALUE(RIGHT(Table7[[#This Row],[Min]],LEN(Table7[[#This Row],[Min]])-FIND("-",Table7[[#This Row],[Min]])))&gt;INDIRECT(ADDRESS(11+MATCH(LEFT(Table7[[#This Row],[Min]],FIND("-",Table7[[#This Row],[Min]])-1),Table1[Content Sku],0),16,1,1,"Entities")),"review","ok"),"ok")</f>
        <v>ok</v>
      </c>
      <c r="U1561" t="s">
        <v>459</v>
      </c>
      <c r="V1561">
        <v>0</v>
      </c>
      <c r="W1561">
        <v>0</v>
      </c>
      <c r="X1561" t="s">
        <v>8</v>
      </c>
      <c r="Y1561" s="74" t="str">
        <f ca="1">IF(Table15[[#This Row],[Type]]="KILL",IF(_xlfn.NUMBERVALUE(RIGHT(Table15[[#This Row],[Min]],LEN(Table15[[#This Row],[Min]])-FIND("-",Table15[[#This Row],[Min]])))&gt;INDIRECT(ADDRESS(11+MATCH(LEFT(Table15[[#This Row],[Min]],FIND("-",Table15[[#This Row],[Min]])-1),Table1[Content Sku],0),16,1,1,"Entities")),"review","ok"),"ok")</f>
        <v>ok</v>
      </c>
    </row>
    <row r="1562" spans="5:25" x14ac:dyDescent="0.25">
      <c r="E1562" t="s">
        <v>313</v>
      </c>
      <c r="F1562">
        <v>0</v>
      </c>
      <c r="G1562">
        <v>0</v>
      </c>
      <c r="H1562" t="s">
        <v>8</v>
      </c>
      <c r="I1562" s="74" t="str">
        <f ca="1">IF(Table7[[#This Row],[Type]]="KILL",IF(_xlfn.NUMBERVALUE(RIGHT(Table7[[#This Row],[Min]],LEN(Table7[[#This Row],[Min]])-FIND("-",Table7[[#This Row],[Min]])))&gt;INDIRECT(ADDRESS(11+MATCH(LEFT(Table7[[#This Row],[Min]],FIND("-",Table7[[#This Row],[Min]])-1),Table1[Content Sku],0),16,1,1,"Entities")),"review","ok"),"ok")</f>
        <v>ok</v>
      </c>
      <c r="U1562" t="s">
        <v>37</v>
      </c>
      <c r="V1562">
        <v>0</v>
      </c>
      <c r="W1562">
        <v>0</v>
      </c>
      <c r="X1562" t="s">
        <v>8</v>
      </c>
      <c r="Y1562" s="74" t="str">
        <f ca="1">IF(Table15[[#This Row],[Type]]="KILL",IF(_xlfn.NUMBERVALUE(RIGHT(Table15[[#This Row],[Min]],LEN(Table15[[#This Row],[Min]])-FIND("-",Table15[[#This Row],[Min]])))&gt;INDIRECT(ADDRESS(11+MATCH(LEFT(Table15[[#This Row],[Min]],FIND("-",Table15[[#This Row],[Min]])-1),Table1[Content Sku],0),16,1,1,"Entities")),"review","ok"),"ok")</f>
        <v>ok</v>
      </c>
    </row>
    <row r="1563" spans="5:25" x14ac:dyDescent="0.25">
      <c r="E1563" t="s">
        <v>36</v>
      </c>
      <c r="F1563">
        <v>4650</v>
      </c>
      <c r="G1563">
        <v>0</v>
      </c>
      <c r="H1563" t="s">
        <v>205</v>
      </c>
      <c r="I1563" s="74" t="str">
        <f ca="1">IF(Table7[[#This Row],[Type]]="KILL",IF(_xlfn.NUMBERVALUE(RIGHT(Table7[[#This Row],[Min]],LEN(Table7[[#This Row],[Min]])-FIND("-",Table7[[#This Row],[Min]])))&gt;INDIRECT(ADDRESS(11+MATCH(LEFT(Table7[[#This Row],[Min]],FIND("-",Table7[[#This Row],[Min]])-1),Table1[Content Sku],0),16,1,1,"Entities")),"review","ok"),"ok")</f>
        <v>ok</v>
      </c>
      <c r="U1563" t="s">
        <v>22</v>
      </c>
      <c r="V1563">
        <v>360</v>
      </c>
      <c r="W1563">
        <v>0</v>
      </c>
      <c r="X1563" t="s">
        <v>4431</v>
      </c>
      <c r="Y1563" s="74" t="str">
        <f ca="1">IF(Table15[[#This Row],[Type]]="KILL",IF(_xlfn.NUMBERVALUE(RIGHT(Table15[[#This Row],[Min]],LEN(Table15[[#This Row],[Min]])-FIND("-",Table15[[#This Row],[Min]])))&gt;INDIRECT(ADDRESS(11+MATCH(LEFT(Table15[[#This Row],[Min]],FIND("-",Table15[[#This Row],[Min]])-1),Table1[Content Sku],0),16,1,1,"Entities")),"review","ok"),"ok")</f>
        <v>ok</v>
      </c>
    </row>
    <row r="1564" spans="5:25" x14ac:dyDescent="0.25">
      <c r="E1564" t="s">
        <v>406</v>
      </c>
      <c r="F1564">
        <v>8000</v>
      </c>
      <c r="G1564">
        <v>0</v>
      </c>
      <c r="H1564" t="s">
        <v>205</v>
      </c>
      <c r="I1564" s="74" t="str">
        <f ca="1">IF(Table7[[#This Row],[Type]]="KILL",IF(_xlfn.NUMBERVALUE(RIGHT(Table7[[#This Row],[Min]],LEN(Table7[[#This Row],[Min]])-FIND("-",Table7[[#This Row],[Min]])))&gt;INDIRECT(ADDRESS(11+MATCH(LEFT(Table7[[#This Row],[Min]],FIND("-",Table7[[#This Row],[Min]])-1),Table1[Content Sku],0),16,1,1,"Entities")),"review","ok"),"ok")</f>
        <v>ok</v>
      </c>
      <c r="U1564" t="s">
        <v>457</v>
      </c>
      <c r="V1564">
        <v>0</v>
      </c>
      <c r="W1564">
        <v>0</v>
      </c>
      <c r="X1564" t="s">
        <v>8</v>
      </c>
      <c r="Y1564" s="74" t="str">
        <f ca="1">IF(Table15[[#This Row],[Type]]="KILL",IF(_xlfn.NUMBERVALUE(RIGHT(Table15[[#This Row],[Min]],LEN(Table15[[#This Row],[Min]])-FIND("-",Table15[[#This Row],[Min]])))&gt;INDIRECT(ADDRESS(11+MATCH(LEFT(Table15[[#This Row],[Min]],FIND("-",Table15[[#This Row],[Min]])-1),Table1[Content Sku],0),16,1,1,"Entities")),"review","ok"),"ok")</f>
        <v>ok</v>
      </c>
    </row>
    <row r="1565" spans="5:25" x14ac:dyDescent="0.25">
      <c r="E1565" t="s">
        <v>8133</v>
      </c>
      <c r="F1565">
        <v>0</v>
      </c>
      <c r="G1565">
        <v>0</v>
      </c>
      <c r="H1565" t="s">
        <v>8</v>
      </c>
      <c r="I1565" s="74" t="str">
        <f ca="1">IF(Table7[[#This Row],[Type]]="KILL",IF(_xlfn.NUMBERVALUE(RIGHT(Table7[[#This Row],[Min]],LEN(Table7[[#This Row],[Min]])-FIND("-",Table7[[#This Row],[Min]])))&gt;INDIRECT(ADDRESS(11+MATCH(LEFT(Table7[[#This Row],[Min]],FIND("-",Table7[[#This Row],[Min]])-1),Table1[Content Sku],0),16,1,1,"Entities")),"review","ok"),"ok")</f>
        <v>ok</v>
      </c>
      <c r="U1565" t="s">
        <v>37</v>
      </c>
      <c r="V1565">
        <v>0</v>
      </c>
      <c r="W1565">
        <v>0</v>
      </c>
      <c r="X1565" t="s">
        <v>8</v>
      </c>
      <c r="Y1565" s="74" t="str">
        <f ca="1">IF(Table15[[#This Row],[Type]]="KILL",IF(_xlfn.NUMBERVALUE(RIGHT(Table15[[#This Row],[Min]],LEN(Table15[[#This Row],[Min]])-FIND("-",Table15[[#This Row],[Min]])))&gt;INDIRECT(ADDRESS(11+MATCH(LEFT(Table15[[#This Row],[Min]],FIND("-",Table15[[#This Row],[Min]])-1),Table1[Content Sku],0),16,1,1,"Entities")),"review","ok"),"ok")</f>
        <v>ok</v>
      </c>
    </row>
    <row r="1566" spans="5:25" x14ac:dyDescent="0.25">
      <c r="E1566" t="s">
        <v>8134</v>
      </c>
      <c r="F1566">
        <v>0</v>
      </c>
      <c r="G1566">
        <v>0</v>
      </c>
      <c r="H1566" t="s">
        <v>8</v>
      </c>
      <c r="I1566" s="74" t="str">
        <f ca="1">IF(Table7[[#This Row],[Type]]="KILL",IF(_xlfn.NUMBERVALUE(RIGHT(Table7[[#This Row],[Min]],LEN(Table7[[#This Row],[Min]])-FIND("-",Table7[[#This Row],[Min]])))&gt;INDIRECT(ADDRESS(11+MATCH(LEFT(Table7[[#This Row],[Min]],FIND("-",Table7[[#This Row],[Min]])-1),Table1[Content Sku],0),16,1,1,"Entities")),"review","ok"),"ok")</f>
        <v>ok</v>
      </c>
      <c r="U1566" t="s">
        <v>457</v>
      </c>
      <c r="V1566">
        <v>0</v>
      </c>
      <c r="W1566">
        <v>0</v>
      </c>
      <c r="X1566" t="s">
        <v>8</v>
      </c>
      <c r="Y1566" s="74" t="str">
        <f ca="1">IF(Table15[[#This Row],[Type]]="KILL",IF(_xlfn.NUMBERVALUE(RIGHT(Table15[[#This Row],[Min]],LEN(Table15[[#This Row],[Min]])-FIND("-",Table15[[#This Row],[Min]])))&gt;INDIRECT(ADDRESS(11+MATCH(LEFT(Table15[[#This Row],[Min]],FIND("-",Table15[[#This Row],[Min]])-1),Table1[Content Sku],0),16,1,1,"Entities")),"review","ok"),"ok")</f>
        <v>ok</v>
      </c>
    </row>
    <row r="1567" spans="5:25" x14ac:dyDescent="0.25">
      <c r="E1567" t="s">
        <v>14</v>
      </c>
      <c r="F1567">
        <v>25000</v>
      </c>
      <c r="G1567">
        <v>0</v>
      </c>
      <c r="H1567" t="s">
        <v>205</v>
      </c>
      <c r="I1567" s="74" t="str">
        <f ca="1">IF(Table7[[#This Row],[Type]]="KILL",IF(_xlfn.NUMBERVALUE(RIGHT(Table7[[#This Row],[Min]],LEN(Table7[[#This Row],[Min]])-FIND("-",Table7[[#This Row],[Min]])))&gt;INDIRECT(ADDRESS(11+MATCH(LEFT(Table7[[#This Row],[Min]],FIND("-",Table7[[#This Row],[Min]])-1),Table1[Content Sku],0),16,1,1,"Entities")),"review","ok"),"ok")</f>
        <v>ok</v>
      </c>
      <c r="U1567" t="s">
        <v>313</v>
      </c>
      <c r="V1567">
        <v>0</v>
      </c>
      <c r="W1567">
        <v>0</v>
      </c>
      <c r="X1567" t="s">
        <v>8</v>
      </c>
      <c r="Y1567" s="74" t="str">
        <f ca="1">IF(Table15[[#This Row],[Type]]="KILL",IF(_xlfn.NUMBERVALUE(RIGHT(Table15[[#This Row],[Min]],LEN(Table15[[#This Row],[Min]])-FIND("-",Table15[[#This Row],[Min]])))&gt;INDIRECT(ADDRESS(11+MATCH(LEFT(Table15[[#This Row],[Min]],FIND("-",Table15[[#This Row],[Min]])-1),Table1[Content Sku],0),16,1,1,"Entities")),"review","ok"),"ok")</f>
        <v>ok</v>
      </c>
    </row>
    <row r="1568" spans="5:25" x14ac:dyDescent="0.25">
      <c r="E1568" t="s">
        <v>340</v>
      </c>
      <c r="F1568">
        <v>0</v>
      </c>
      <c r="G1568">
        <v>1600</v>
      </c>
      <c r="H1568" t="s">
        <v>205</v>
      </c>
      <c r="I1568" s="74" t="str">
        <f ca="1">IF(Table7[[#This Row],[Type]]="KILL",IF(_xlfn.NUMBERVALUE(RIGHT(Table7[[#This Row],[Min]],LEN(Table7[[#This Row],[Min]])-FIND("-",Table7[[#This Row],[Min]])))&gt;INDIRECT(ADDRESS(11+MATCH(LEFT(Table7[[#This Row],[Min]],FIND("-",Table7[[#This Row],[Min]])-1),Table1[Content Sku],0),16,1,1,"Entities")),"review","ok"),"ok")</f>
        <v>ok</v>
      </c>
      <c r="U1568" t="s">
        <v>450</v>
      </c>
      <c r="V1568">
        <v>0</v>
      </c>
      <c r="W1568">
        <v>0</v>
      </c>
      <c r="X1568" t="s">
        <v>8</v>
      </c>
      <c r="Y1568" s="74" t="str">
        <f ca="1">IF(Table15[[#This Row],[Type]]="KILL",IF(_xlfn.NUMBERVALUE(RIGHT(Table15[[#This Row],[Min]],LEN(Table15[[#This Row],[Min]])-FIND("-",Table15[[#This Row],[Min]])))&gt;INDIRECT(ADDRESS(11+MATCH(LEFT(Table15[[#This Row],[Min]],FIND("-",Table15[[#This Row],[Min]])-1),Table1[Content Sku],0),16,1,1,"Entities")),"review","ok"),"ok")</f>
        <v>ok</v>
      </c>
    </row>
    <row r="1569" spans="5:25" x14ac:dyDescent="0.25">
      <c r="E1569" t="s">
        <v>297</v>
      </c>
      <c r="F1569">
        <v>0</v>
      </c>
      <c r="G1569">
        <v>0</v>
      </c>
      <c r="H1569" t="s">
        <v>8</v>
      </c>
      <c r="I1569" s="74" t="str">
        <f ca="1">IF(Table7[[#This Row],[Type]]="KILL",IF(_xlfn.NUMBERVALUE(RIGHT(Table7[[#This Row],[Min]],LEN(Table7[[#This Row],[Min]])-FIND("-",Table7[[#This Row],[Min]])))&gt;INDIRECT(ADDRESS(11+MATCH(LEFT(Table7[[#This Row],[Min]],FIND("-",Table7[[#This Row],[Min]])-1),Table1[Content Sku],0),16,1,1,"Entities")),"review","ok"),"ok")</f>
        <v>ok</v>
      </c>
      <c r="U1569" t="s">
        <v>459</v>
      </c>
      <c r="V1569">
        <v>0</v>
      </c>
      <c r="W1569">
        <v>0</v>
      </c>
      <c r="X1569" t="s">
        <v>8</v>
      </c>
      <c r="Y1569" s="74" t="str">
        <f ca="1">IF(Table15[[#This Row],[Type]]="KILL",IF(_xlfn.NUMBERVALUE(RIGHT(Table15[[#This Row],[Min]],LEN(Table15[[#This Row],[Min]])-FIND("-",Table15[[#This Row],[Min]])))&gt;INDIRECT(ADDRESS(11+MATCH(LEFT(Table15[[#This Row],[Min]],FIND("-",Table15[[#This Row],[Min]])-1),Table1[Content Sku],0),16,1,1,"Entities")),"review","ok"),"ok")</f>
        <v>ok</v>
      </c>
    </row>
    <row r="1570" spans="5:25" x14ac:dyDescent="0.25">
      <c r="E1570" t="s">
        <v>254</v>
      </c>
      <c r="F1570">
        <v>0</v>
      </c>
      <c r="G1570">
        <v>0</v>
      </c>
      <c r="H1570" t="s">
        <v>8</v>
      </c>
      <c r="I1570" s="74" t="str">
        <f ca="1">IF(Table7[[#This Row],[Type]]="KILL",IF(_xlfn.NUMBERVALUE(RIGHT(Table7[[#This Row],[Min]],LEN(Table7[[#This Row],[Min]])-FIND("-",Table7[[#This Row],[Min]])))&gt;INDIRECT(ADDRESS(11+MATCH(LEFT(Table7[[#This Row],[Min]],FIND("-",Table7[[#This Row],[Min]])-1),Table1[Content Sku],0),16,1,1,"Entities")),"review","ok"),"ok")</f>
        <v>ok</v>
      </c>
      <c r="U1570" t="s">
        <v>457</v>
      </c>
      <c r="V1570">
        <v>0</v>
      </c>
      <c r="W1570">
        <v>0</v>
      </c>
      <c r="X1570" t="s">
        <v>8</v>
      </c>
      <c r="Y1570" s="74" t="str">
        <f ca="1">IF(Table15[[#This Row],[Type]]="KILL",IF(_xlfn.NUMBERVALUE(RIGHT(Table15[[#This Row],[Min]],LEN(Table15[[#This Row],[Min]])-FIND("-",Table15[[#This Row],[Min]])))&gt;INDIRECT(ADDRESS(11+MATCH(LEFT(Table15[[#This Row],[Min]],FIND("-",Table15[[#This Row],[Min]])-1),Table1[Content Sku],0),16,1,1,"Entities")),"review","ok"),"ok")</f>
        <v>ok</v>
      </c>
    </row>
    <row r="1571" spans="5:25" x14ac:dyDescent="0.25">
      <c r="E1571" t="s">
        <v>8134</v>
      </c>
      <c r="F1571">
        <v>0</v>
      </c>
      <c r="G1571">
        <v>0</v>
      </c>
      <c r="H1571" t="s">
        <v>8</v>
      </c>
      <c r="I1571" s="74" t="str">
        <f ca="1">IF(Table7[[#This Row],[Type]]="KILL",IF(_xlfn.NUMBERVALUE(RIGHT(Table7[[#This Row],[Min]],LEN(Table7[[#This Row],[Min]])-FIND("-",Table7[[#This Row],[Min]])))&gt;INDIRECT(ADDRESS(11+MATCH(LEFT(Table7[[#This Row],[Min]],FIND("-",Table7[[#This Row],[Min]])-1),Table1[Content Sku],0),16,1,1,"Entities")),"review","ok"),"ok")</f>
        <v>ok</v>
      </c>
      <c r="U1571" t="s">
        <v>457</v>
      </c>
      <c r="V1571">
        <v>0</v>
      </c>
      <c r="W1571">
        <v>0</v>
      </c>
      <c r="X1571" t="s">
        <v>8</v>
      </c>
      <c r="Y1571" s="74" t="str">
        <f ca="1">IF(Table15[[#This Row],[Type]]="KILL",IF(_xlfn.NUMBERVALUE(RIGHT(Table15[[#This Row],[Min]],LEN(Table15[[#This Row],[Min]])-FIND("-",Table15[[#This Row],[Min]])))&gt;INDIRECT(ADDRESS(11+MATCH(LEFT(Table15[[#This Row],[Min]],FIND("-",Table15[[#This Row],[Min]])-1),Table1[Content Sku],0),16,1,1,"Entities")),"review","ok"),"ok")</f>
        <v>ok</v>
      </c>
    </row>
    <row r="1572" spans="5:25" x14ac:dyDescent="0.25">
      <c r="E1572" t="s">
        <v>254</v>
      </c>
      <c r="F1572">
        <v>5000</v>
      </c>
      <c r="G1572">
        <v>0</v>
      </c>
      <c r="H1572" t="s">
        <v>205</v>
      </c>
      <c r="I1572" s="74" t="str">
        <f ca="1">IF(Table7[[#This Row],[Type]]="KILL",IF(_xlfn.NUMBERVALUE(RIGHT(Table7[[#This Row],[Min]],LEN(Table7[[#This Row],[Min]])-FIND("-",Table7[[#This Row],[Min]])))&gt;INDIRECT(ADDRESS(11+MATCH(LEFT(Table7[[#This Row],[Min]],FIND("-",Table7[[#This Row],[Min]])-1),Table1[Content Sku],0),16,1,1,"Entities")),"review","ok"),"ok")</f>
        <v>ok</v>
      </c>
      <c r="U1572" t="s">
        <v>457</v>
      </c>
      <c r="V1572">
        <v>0</v>
      </c>
      <c r="W1572">
        <v>0</v>
      </c>
      <c r="X1572" t="s">
        <v>8</v>
      </c>
      <c r="Y1572" s="74" t="str">
        <f ca="1">IF(Table15[[#This Row],[Type]]="KILL",IF(_xlfn.NUMBERVALUE(RIGHT(Table15[[#This Row],[Min]],LEN(Table15[[#This Row],[Min]])-FIND("-",Table15[[#This Row],[Min]])))&gt;INDIRECT(ADDRESS(11+MATCH(LEFT(Table15[[#This Row],[Min]],FIND("-",Table15[[#This Row],[Min]])-1),Table1[Content Sku],0),16,1,1,"Entities")),"review","ok"),"ok")</f>
        <v>ok</v>
      </c>
    </row>
    <row r="1573" spans="5:25" x14ac:dyDescent="0.25">
      <c r="E1573" t="s">
        <v>340</v>
      </c>
      <c r="F1573">
        <v>0</v>
      </c>
      <c r="G1573">
        <v>0</v>
      </c>
      <c r="H1573" t="s">
        <v>8</v>
      </c>
      <c r="I1573" s="74" t="str">
        <f ca="1">IF(Table7[[#This Row],[Type]]="KILL",IF(_xlfn.NUMBERVALUE(RIGHT(Table7[[#This Row],[Min]],LEN(Table7[[#This Row],[Min]])-FIND("-",Table7[[#This Row],[Min]])))&gt;INDIRECT(ADDRESS(11+MATCH(LEFT(Table7[[#This Row],[Min]],FIND("-",Table7[[#This Row],[Min]])-1),Table1[Content Sku],0),16,1,1,"Entities")),"review","ok"),"ok")</f>
        <v>ok</v>
      </c>
      <c r="U1573" t="s">
        <v>37</v>
      </c>
      <c r="V1573">
        <v>0</v>
      </c>
      <c r="W1573">
        <v>0</v>
      </c>
      <c r="X1573" t="s">
        <v>8</v>
      </c>
      <c r="Y1573" s="74" t="str">
        <f ca="1">IF(Table15[[#This Row],[Type]]="KILL",IF(_xlfn.NUMBERVALUE(RIGHT(Table15[[#This Row],[Min]],LEN(Table15[[#This Row],[Min]])-FIND("-",Table15[[#This Row],[Min]])))&gt;INDIRECT(ADDRESS(11+MATCH(LEFT(Table15[[#This Row],[Min]],FIND("-",Table15[[#This Row],[Min]])-1),Table1[Content Sku],0),16,1,1,"Entities")),"review","ok"),"ok")</f>
        <v>ok</v>
      </c>
    </row>
    <row r="1574" spans="5:25" x14ac:dyDescent="0.25">
      <c r="E1574" t="s">
        <v>8133</v>
      </c>
      <c r="F1574">
        <v>0</v>
      </c>
      <c r="G1574">
        <v>0</v>
      </c>
      <c r="H1574" t="s">
        <v>8</v>
      </c>
      <c r="I1574" s="74" t="str">
        <f ca="1">IF(Table7[[#This Row],[Type]]="KILL",IF(_xlfn.NUMBERVALUE(RIGHT(Table7[[#This Row],[Min]],LEN(Table7[[#This Row],[Min]])-FIND("-",Table7[[#This Row],[Min]])))&gt;INDIRECT(ADDRESS(11+MATCH(LEFT(Table7[[#This Row],[Min]],FIND("-",Table7[[#This Row],[Min]])-1),Table1[Content Sku],0),16,1,1,"Entities")),"review","ok"),"ok")</f>
        <v>ok</v>
      </c>
      <c r="U1574" t="s">
        <v>122</v>
      </c>
      <c r="V1574">
        <v>36000</v>
      </c>
      <c r="W1574">
        <v>0</v>
      </c>
      <c r="X1574" t="s">
        <v>205</v>
      </c>
      <c r="Y1574" s="74" t="str">
        <f ca="1">IF(Table15[[#This Row],[Type]]="KILL",IF(_xlfn.NUMBERVALUE(RIGHT(Table15[[#This Row],[Min]],LEN(Table15[[#This Row],[Min]])-FIND("-",Table15[[#This Row],[Min]])))&gt;INDIRECT(ADDRESS(11+MATCH(LEFT(Table15[[#This Row],[Min]],FIND("-",Table15[[#This Row],[Min]])-1),Table1[Content Sku],0),16,1,1,"Entities")),"review","ok"),"ok")</f>
        <v>ok</v>
      </c>
    </row>
    <row r="1575" spans="5:25" x14ac:dyDescent="0.25">
      <c r="E1575" t="s">
        <v>311</v>
      </c>
      <c r="F1575">
        <v>12000</v>
      </c>
      <c r="G1575">
        <v>0</v>
      </c>
      <c r="H1575" t="s">
        <v>205</v>
      </c>
      <c r="I1575" s="74" t="str">
        <f ca="1">IF(Table7[[#This Row],[Type]]="KILL",IF(_xlfn.NUMBERVALUE(RIGHT(Table7[[#This Row],[Min]],LEN(Table7[[#This Row],[Min]])-FIND("-",Table7[[#This Row],[Min]])))&gt;INDIRECT(ADDRESS(11+MATCH(LEFT(Table7[[#This Row],[Min]],FIND("-",Table7[[#This Row],[Min]])-1),Table1[Content Sku],0),16,1,1,"Entities")),"review","ok"),"ok")</f>
        <v>ok</v>
      </c>
      <c r="U1575" t="s">
        <v>2720</v>
      </c>
      <c r="V1575">
        <v>71000</v>
      </c>
      <c r="W1575">
        <v>0</v>
      </c>
      <c r="X1575" t="s">
        <v>205</v>
      </c>
      <c r="Y1575" s="74" t="str">
        <f ca="1">IF(Table15[[#This Row],[Type]]="KILL",IF(_xlfn.NUMBERVALUE(RIGHT(Table15[[#This Row],[Min]],LEN(Table15[[#This Row],[Min]])-FIND("-",Table15[[#This Row],[Min]])))&gt;INDIRECT(ADDRESS(11+MATCH(LEFT(Table15[[#This Row],[Min]],FIND("-",Table15[[#This Row],[Min]])-1),Table1[Content Sku],0),16,1,1,"Entities")),"review","ok"),"ok")</f>
        <v>ok</v>
      </c>
    </row>
    <row r="1576" spans="5:25" x14ac:dyDescent="0.25">
      <c r="E1576" t="s">
        <v>46</v>
      </c>
      <c r="F1576">
        <v>0</v>
      </c>
      <c r="G1576">
        <v>0</v>
      </c>
      <c r="H1576" t="s">
        <v>8</v>
      </c>
      <c r="I1576" s="74" t="str">
        <f ca="1">IF(Table7[[#This Row],[Type]]="KILL",IF(_xlfn.NUMBERVALUE(RIGHT(Table7[[#This Row],[Min]],LEN(Table7[[#This Row],[Min]])-FIND("-",Table7[[#This Row],[Min]])))&gt;INDIRECT(ADDRESS(11+MATCH(LEFT(Table7[[#This Row],[Min]],FIND("-",Table7[[#This Row],[Min]])-1),Table1[Content Sku],0),16,1,1,"Entities")),"review","ok"),"ok")</f>
        <v>ok</v>
      </c>
      <c r="U1576" t="s">
        <v>123</v>
      </c>
      <c r="V1576">
        <v>0</v>
      </c>
      <c r="W1576">
        <v>0</v>
      </c>
      <c r="X1576" t="s">
        <v>8</v>
      </c>
      <c r="Y1576" s="74" t="str">
        <f ca="1">IF(Table15[[#This Row],[Type]]="KILL",IF(_xlfn.NUMBERVALUE(RIGHT(Table15[[#This Row],[Min]],LEN(Table15[[#This Row],[Min]])-FIND("-",Table15[[#This Row],[Min]])))&gt;INDIRECT(ADDRESS(11+MATCH(LEFT(Table15[[#This Row],[Min]],FIND("-",Table15[[#This Row],[Min]])-1),Table1[Content Sku],0),16,1,1,"Entities")),"review","ok"),"ok")</f>
        <v>ok</v>
      </c>
    </row>
    <row r="1577" spans="5:25" x14ac:dyDescent="0.25">
      <c r="E1577" t="s">
        <v>122</v>
      </c>
      <c r="F1577">
        <v>0</v>
      </c>
      <c r="G1577">
        <v>0</v>
      </c>
      <c r="H1577" t="s">
        <v>8</v>
      </c>
      <c r="I1577" s="74" t="str">
        <f ca="1">IF(Table7[[#This Row],[Type]]="KILL",IF(_xlfn.NUMBERVALUE(RIGHT(Table7[[#This Row],[Min]],LEN(Table7[[#This Row],[Min]])-FIND("-",Table7[[#This Row],[Min]])))&gt;INDIRECT(ADDRESS(11+MATCH(LEFT(Table7[[#This Row],[Min]],FIND("-",Table7[[#This Row],[Min]])-1),Table1[Content Sku],0),16,1,1,"Entities")),"review","ok"),"ok")</f>
        <v>ok</v>
      </c>
      <c r="U1577" t="s">
        <v>37</v>
      </c>
      <c r="V1577">
        <v>0</v>
      </c>
      <c r="W1577">
        <v>0</v>
      </c>
      <c r="X1577" t="s">
        <v>8</v>
      </c>
      <c r="Y1577" s="74" t="str">
        <f ca="1">IF(Table15[[#This Row],[Type]]="KILL",IF(_xlfn.NUMBERVALUE(RIGHT(Table15[[#This Row],[Min]],LEN(Table15[[#This Row],[Min]])-FIND("-",Table15[[#This Row],[Min]])))&gt;INDIRECT(ADDRESS(11+MATCH(LEFT(Table15[[#This Row],[Min]],FIND("-",Table15[[#This Row],[Min]])-1),Table1[Content Sku],0),16,1,1,"Entities")),"review","ok"),"ok")</f>
        <v>ok</v>
      </c>
    </row>
    <row r="1578" spans="5:25" x14ac:dyDescent="0.25">
      <c r="E1578" t="s">
        <v>2741</v>
      </c>
      <c r="F1578">
        <v>0</v>
      </c>
      <c r="G1578">
        <v>0</v>
      </c>
      <c r="H1578" t="s">
        <v>8</v>
      </c>
      <c r="I1578" s="74" t="str">
        <f ca="1">IF(Table7[[#This Row],[Type]]="KILL",IF(_xlfn.NUMBERVALUE(RIGHT(Table7[[#This Row],[Min]],LEN(Table7[[#This Row],[Min]])-FIND("-",Table7[[#This Row],[Min]])))&gt;INDIRECT(ADDRESS(11+MATCH(LEFT(Table7[[#This Row],[Min]],FIND("-",Table7[[#This Row],[Min]])-1),Table1[Content Sku],0),16,1,1,"Entities")),"review","ok"),"ok")</f>
        <v>ok</v>
      </c>
      <c r="U1578" t="s">
        <v>396</v>
      </c>
      <c r="V1578">
        <v>40000</v>
      </c>
      <c r="W1578">
        <v>0</v>
      </c>
      <c r="X1578" t="s">
        <v>205</v>
      </c>
      <c r="Y1578" s="74" t="str">
        <f ca="1">IF(Table15[[#This Row],[Type]]="KILL",IF(_xlfn.NUMBERVALUE(RIGHT(Table15[[#This Row],[Min]],LEN(Table15[[#This Row],[Min]])-FIND("-",Table15[[#This Row],[Min]])))&gt;INDIRECT(ADDRESS(11+MATCH(LEFT(Table15[[#This Row],[Min]],FIND("-",Table15[[#This Row],[Min]])-1),Table1[Content Sku],0),16,1,1,"Entities")),"review","ok"),"ok")</f>
        <v>ok</v>
      </c>
    </row>
    <row r="1579" spans="5:25" x14ac:dyDescent="0.25">
      <c r="E1579" t="s">
        <v>318</v>
      </c>
      <c r="F1579">
        <v>0</v>
      </c>
      <c r="G1579">
        <v>0</v>
      </c>
      <c r="H1579" t="s">
        <v>8</v>
      </c>
      <c r="I1579" s="74" t="str">
        <f ca="1">IF(Table7[[#This Row],[Type]]="KILL",IF(_xlfn.NUMBERVALUE(RIGHT(Table7[[#This Row],[Min]],LEN(Table7[[#This Row],[Min]])-FIND("-",Table7[[#This Row],[Min]])))&gt;INDIRECT(ADDRESS(11+MATCH(LEFT(Table7[[#This Row],[Min]],FIND("-",Table7[[#This Row],[Min]])-1),Table1[Content Sku],0),16,1,1,"Entities")),"review","ok"),"ok")</f>
        <v>ok</v>
      </c>
      <c r="U1579" t="s">
        <v>457</v>
      </c>
      <c r="V1579">
        <v>0</v>
      </c>
      <c r="W1579">
        <v>0</v>
      </c>
      <c r="X1579" t="s">
        <v>8</v>
      </c>
      <c r="Y1579" s="74" t="str">
        <f ca="1">IF(Table15[[#This Row],[Type]]="KILL",IF(_xlfn.NUMBERVALUE(RIGHT(Table15[[#This Row],[Min]],LEN(Table15[[#This Row],[Min]])-FIND("-",Table15[[#This Row],[Min]])))&gt;INDIRECT(ADDRESS(11+MATCH(LEFT(Table15[[#This Row],[Min]],FIND("-",Table15[[#This Row],[Min]])-1),Table1[Content Sku],0),16,1,1,"Entities")),"review","ok"),"ok")</f>
        <v>ok</v>
      </c>
    </row>
    <row r="1580" spans="5:25" x14ac:dyDescent="0.25">
      <c r="E1580" t="s">
        <v>338</v>
      </c>
      <c r="F1580">
        <v>8000</v>
      </c>
      <c r="G1580">
        <v>0</v>
      </c>
      <c r="H1580" t="s">
        <v>205</v>
      </c>
      <c r="I1580" s="74" t="str">
        <f ca="1">IF(Table7[[#This Row],[Type]]="KILL",IF(_xlfn.NUMBERVALUE(RIGHT(Table7[[#This Row],[Min]],LEN(Table7[[#This Row],[Min]])-FIND("-",Table7[[#This Row],[Min]])))&gt;INDIRECT(ADDRESS(11+MATCH(LEFT(Table7[[#This Row],[Min]],FIND("-",Table7[[#This Row],[Min]])-1),Table1[Content Sku],0),16,1,1,"Entities")),"review","ok"),"ok")</f>
        <v>ok</v>
      </c>
      <c r="U1580" t="s">
        <v>396</v>
      </c>
      <c r="V1580">
        <v>0</v>
      </c>
      <c r="W1580">
        <v>0</v>
      </c>
      <c r="X1580" t="s">
        <v>8</v>
      </c>
      <c r="Y1580" s="74" t="str">
        <f ca="1">IF(Table15[[#This Row],[Type]]="KILL",IF(_xlfn.NUMBERVALUE(RIGHT(Table15[[#This Row],[Min]],LEN(Table15[[#This Row],[Min]])-FIND("-",Table15[[#This Row],[Min]])))&gt;INDIRECT(ADDRESS(11+MATCH(LEFT(Table15[[#This Row],[Min]],FIND("-",Table15[[#This Row],[Min]])-1),Table1[Content Sku],0),16,1,1,"Entities")),"review","ok"),"ok")</f>
        <v>ok</v>
      </c>
    </row>
    <row r="1581" spans="5:25" x14ac:dyDescent="0.25">
      <c r="E1581" t="s">
        <v>39</v>
      </c>
      <c r="F1581">
        <v>8500</v>
      </c>
      <c r="G1581">
        <v>0</v>
      </c>
      <c r="H1581" t="s">
        <v>205</v>
      </c>
      <c r="I1581" s="74" t="str">
        <f ca="1">IF(Table7[[#This Row],[Type]]="KILL",IF(_xlfn.NUMBERVALUE(RIGHT(Table7[[#This Row],[Min]],LEN(Table7[[#This Row],[Min]])-FIND("-",Table7[[#This Row],[Min]])))&gt;INDIRECT(ADDRESS(11+MATCH(LEFT(Table7[[#This Row],[Min]],FIND("-",Table7[[#This Row],[Min]])-1),Table1[Content Sku],0),16,1,1,"Entities")),"review","ok"),"ok")</f>
        <v>ok</v>
      </c>
      <c r="U1581" t="s">
        <v>2717</v>
      </c>
      <c r="V1581">
        <v>40000</v>
      </c>
      <c r="W1581">
        <v>0</v>
      </c>
      <c r="X1581" t="s">
        <v>205</v>
      </c>
      <c r="Y1581" s="74" t="str">
        <f ca="1">IF(Table15[[#This Row],[Type]]="KILL",IF(_xlfn.NUMBERVALUE(RIGHT(Table15[[#This Row],[Min]],LEN(Table15[[#This Row],[Min]])-FIND("-",Table15[[#This Row],[Min]])))&gt;INDIRECT(ADDRESS(11+MATCH(LEFT(Table15[[#This Row],[Min]],FIND("-",Table15[[#This Row],[Min]])-1),Table1[Content Sku],0),16,1,1,"Entities")),"review","ok"),"ok")</f>
        <v>ok</v>
      </c>
    </row>
    <row r="1582" spans="5:25" x14ac:dyDescent="0.25">
      <c r="E1582" t="s">
        <v>392</v>
      </c>
      <c r="F1582">
        <v>0</v>
      </c>
      <c r="G1582">
        <v>16000</v>
      </c>
      <c r="H1582" t="s">
        <v>205</v>
      </c>
      <c r="I1582" s="74" t="str">
        <f ca="1">IF(Table7[[#This Row],[Type]]="KILL",IF(_xlfn.NUMBERVALUE(RIGHT(Table7[[#This Row],[Min]],LEN(Table7[[#This Row],[Min]])-FIND("-",Table7[[#This Row],[Min]])))&gt;INDIRECT(ADDRESS(11+MATCH(LEFT(Table7[[#This Row],[Min]],FIND("-",Table7[[#This Row],[Min]])-1),Table1[Content Sku],0),16,1,1,"Entities")),"review","ok"),"ok")</f>
        <v>ok</v>
      </c>
      <c r="U1582" t="s">
        <v>46</v>
      </c>
      <c r="V1582">
        <v>0</v>
      </c>
      <c r="W1582">
        <v>0</v>
      </c>
      <c r="X1582" t="s">
        <v>8</v>
      </c>
      <c r="Y1582" s="74" t="str">
        <f ca="1">IF(Table15[[#This Row],[Type]]="KILL",IF(_xlfn.NUMBERVALUE(RIGHT(Table15[[#This Row],[Min]],LEN(Table15[[#This Row],[Min]])-FIND("-",Table15[[#This Row],[Min]])))&gt;INDIRECT(ADDRESS(11+MATCH(LEFT(Table15[[#This Row],[Min]],FIND("-",Table15[[#This Row],[Min]])-1),Table1[Content Sku],0),16,1,1,"Entities")),"review","ok"),"ok")</f>
        <v>ok</v>
      </c>
    </row>
    <row r="1583" spans="5:25" x14ac:dyDescent="0.25">
      <c r="E1583" t="s">
        <v>90</v>
      </c>
      <c r="F1583">
        <v>0</v>
      </c>
      <c r="G1583">
        <v>15000</v>
      </c>
      <c r="H1583" t="s">
        <v>205</v>
      </c>
      <c r="I1583" s="74" t="str">
        <f ca="1">IF(Table7[[#This Row],[Type]]="KILL",IF(_xlfn.NUMBERVALUE(RIGHT(Table7[[#This Row],[Min]],LEN(Table7[[#This Row],[Min]])-FIND("-",Table7[[#This Row],[Min]])))&gt;INDIRECT(ADDRESS(11+MATCH(LEFT(Table7[[#This Row],[Min]],FIND("-",Table7[[#This Row],[Min]])-1),Table1[Content Sku],0),16,1,1,"Entities")),"review","ok"),"ok")</f>
        <v>ok</v>
      </c>
      <c r="U1583" t="s">
        <v>457</v>
      </c>
      <c r="V1583">
        <v>0</v>
      </c>
      <c r="W1583">
        <v>0</v>
      </c>
      <c r="X1583" t="s">
        <v>8</v>
      </c>
      <c r="Y1583" s="74" t="str">
        <f ca="1">IF(Table15[[#This Row],[Type]]="KILL",IF(_xlfn.NUMBERVALUE(RIGHT(Table15[[#This Row],[Min]],LEN(Table15[[#This Row],[Min]])-FIND("-",Table15[[#This Row],[Min]])))&gt;INDIRECT(ADDRESS(11+MATCH(LEFT(Table15[[#This Row],[Min]],FIND("-",Table15[[#This Row],[Min]])-1),Table1[Content Sku],0),16,1,1,"Entities")),"review","ok"),"ok")</f>
        <v>ok</v>
      </c>
    </row>
    <row r="1584" spans="5:25" x14ac:dyDescent="0.25">
      <c r="E1584" t="s">
        <v>2741</v>
      </c>
      <c r="F1584">
        <v>0</v>
      </c>
      <c r="G1584">
        <v>0</v>
      </c>
      <c r="H1584" t="s">
        <v>8</v>
      </c>
      <c r="I1584" s="74" t="str">
        <f ca="1">IF(Table7[[#This Row],[Type]]="KILL",IF(_xlfn.NUMBERVALUE(RIGHT(Table7[[#This Row],[Min]],LEN(Table7[[#This Row],[Min]])-FIND("-",Table7[[#This Row],[Min]])))&gt;INDIRECT(ADDRESS(11+MATCH(LEFT(Table7[[#This Row],[Min]],FIND("-",Table7[[#This Row],[Min]])-1),Table1[Content Sku],0),16,1,1,"Entities")),"review","ok"),"ok")</f>
        <v>ok</v>
      </c>
      <c r="U1584" t="s">
        <v>457</v>
      </c>
      <c r="V1584">
        <v>0</v>
      </c>
      <c r="W1584">
        <v>0</v>
      </c>
      <c r="X1584" t="s">
        <v>8</v>
      </c>
      <c r="Y1584" s="74" t="str">
        <f ca="1">IF(Table15[[#This Row],[Type]]="KILL",IF(_xlfn.NUMBERVALUE(RIGHT(Table15[[#This Row],[Min]],LEN(Table15[[#This Row],[Min]])-FIND("-",Table15[[#This Row],[Min]])))&gt;INDIRECT(ADDRESS(11+MATCH(LEFT(Table15[[#This Row],[Min]],FIND("-",Table15[[#This Row],[Min]])-1),Table1[Content Sku],0),16,1,1,"Entities")),"review","ok"),"ok")</f>
        <v>ok</v>
      </c>
    </row>
    <row r="1585" spans="5:25" x14ac:dyDescent="0.25">
      <c r="E1585" t="s">
        <v>295</v>
      </c>
      <c r="F1585">
        <v>0</v>
      </c>
      <c r="G1585">
        <v>0</v>
      </c>
      <c r="H1585" t="s">
        <v>8</v>
      </c>
      <c r="I1585" s="74" t="str">
        <f ca="1">IF(Table7[[#This Row],[Type]]="KILL",IF(_xlfn.NUMBERVALUE(RIGHT(Table7[[#This Row],[Min]],LEN(Table7[[#This Row],[Min]])-FIND("-",Table7[[#This Row],[Min]])))&gt;INDIRECT(ADDRESS(11+MATCH(LEFT(Table7[[#This Row],[Min]],FIND("-",Table7[[#This Row],[Min]])-1),Table1[Content Sku],0),16,1,1,"Entities")),"review","ok"),"ok")</f>
        <v>ok</v>
      </c>
      <c r="U1585" t="s">
        <v>123</v>
      </c>
      <c r="V1585">
        <v>0</v>
      </c>
      <c r="W1585">
        <v>40000</v>
      </c>
      <c r="X1585" t="s">
        <v>205</v>
      </c>
      <c r="Y1585" s="74" t="str">
        <f ca="1">IF(Table15[[#This Row],[Type]]="KILL",IF(_xlfn.NUMBERVALUE(RIGHT(Table15[[#This Row],[Min]],LEN(Table15[[#This Row],[Min]])-FIND("-",Table15[[#This Row],[Min]])))&gt;INDIRECT(ADDRESS(11+MATCH(LEFT(Table15[[#This Row],[Min]],FIND("-",Table15[[#This Row],[Min]])-1),Table1[Content Sku],0),16,1,1,"Entities")),"review","ok"),"ok")</f>
        <v>ok</v>
      </c>
    </row>
    <row r="1586" spans="5:25" x14ac:dyDescent="0.25">
      <c r="E1586" t="s">
        <v>254</v>
      </c>
      <c r="F1586">
        <v>0</v>
      </c>
      <c r="G1586">
        <v>0</v>
      </c>
      <c r="H1586" t="s">
        <v>8</v>
      </c>
      <c r="I1586" s="74" t="str">
        <f ca="1">IF(Table7[[#This Row],[Type]]="KILL",IF(_xlfn.NUMBERVALUE(RIGHT(Table7[[#This Row],[Min]],LEN(Table7[[#This Row],[Min]])-FIND("-",Table7[[#This Row],[Min]])))&gt;INDIRECT(ADDRESS(11+MATCH(LEFT(Table7[[#This Row],[Min]],FIND("-",Table7[[#This Row],[Min]])-1),Table1[Content Sku],0),16,1,1,"Entities")),"review","ok"),"ok")</f>
        <v>ok</v>
      </c>
      <c r="U1586" t="s">
        <v>2720</v>
      </c>
      <c r="V1586">
        <v>0</v>
      </c>
      <c r="W1586">
        <v>0</v>
      </c>
      <c r="X1586" t="s">
        <v>8</v>
      </c>
      <c r="Y1586" s="74" t="str">
        <f ca="1">IF(Table15[[#This Row],[Type]]="KILL",IF(_xlfn.NUMBERVALUE(RIGHT(Table15[[#This Row],[Min]],LEN(Table15[[#This Row],[Min]])-FIND("-",Table15[[#This Row],[Min]])))&gt;INDIRECT(ADDRESS(11+MATCH(LEFT(Table15[[#This Row],[Min]],FIND("-",Table15[[#This Row],[Min]])-1),Table1[Content Sku],0),16,1,1,"Entities")),"review","ok"),"ok")</f>
        <v>ok</v>
      </c>
    </row>
    <row r="1587" spans="5:25" x14ac:dyDescent="0.25">
      <c r="E1587" t="s">
        <v>295</v>
      </c>
      <c r="F1587">
        <v>0</v>
      </c>
      <c r="G1587">
        <v>0</v>
      </c>
      <c r="H1587" t="s">
        <v>8</v>
      </c>
      <c r="I1587" s="74" t="str">
        <f ca="1">IF(Table7[[#This Row],[Type]]="KILL",IF(_xlfn.NUMBERVALUE(RIGHT(Table7[[#This Row],[Min]],LEN(Table7[[#This Row],[Min]])-FIND("-",Table7[[#This Row],[Min]])))&gt;INDIRECT(ADDRESS(11+MATCH(LEFT(Table7[[#This Row],[Min]],FIND("-",Table7[[#This Row],[Min]])-1),Table1[Content Sku],0),16,1,1,"Entities")),"review","ok"),"ok")</f>
        <v>ok</v>
      </c>
      <c r="U1587" t="s">
        <v>123</v>
      </c>
      <c r="V1587">
        <v>0</v>
      </c>
      <c r="W1587">
        <v>0</v>
      </c>
      <c r="X1587" t="s">
        <v>8</v>
      </c>
      <c r="Y1587" s="74" t="str">
        <f ca="1">IF(Table15[[#This Row],[Type]]="KILL",IF(_xlfn.NUMBERVALUE(RIGHT(Table15[[#This Row],[Min]],LEN(Table15[[#This Row],[Min]])-FIND("-",Table15[[#This Row],[Min]])))&gt;INDIRECT(ADDRESS(11+MATCH(LEFT(Table15[[#This Row],[Min]],FIND("-",Table15[[#This Row],[Min]])-1),Table1[Content Sku],0),16,1,1,"Entities")),"review","ok"),"ok")</f>
        <v>ok</v>
      </c>
    </row>
    <row r="1588" spans="5:25" x14ac:dyDescent="0.25">
      <c r="E1588" t="s">
        <v>123</v>
      </c>
      <c r="F1588">
        <v>0</v>
      </c>
      <c r="G1588">
        <v>0</v>
      </c>
      <c r="H1588" t="s">
        <v>8</v>
      </c>
      <c r="I1588" s="74" t="str">
        <f ca="1">IF(Table7[[#This Row],[Type]]="KILL",IF(_xlfn.NUMBERVALUE(RIGHT(Table7[[#This Row],[Min]],LEN(Table7[[#This Row],[Min]])-FIND("-",Table7[[#This Row],[Min]])))&gt;INDIRECT(ADDRESS(11+MATCH(LEFT(Table7[[#This Row],[Min]],FIND("-",Table7[[#This Row],[Min]])-1),Table1[Content Sku],0),16,1,1,"Entities")),"review","ok"),"ok")</f>
        <v>ok</v>
      </c>
      <c r="U1588" t="s">
        <v>123</v>
      </c>
      <c r="V1588">
        <v>0</v>
      </c>
      <c r="W1588">
        <v>0</v>
      </c>
      <c r="X1588" t="s">
        <v>8</v>
      </c>
      <c r="Y1588" s="74" t="str">
        <f ca="1">IF(Table15[[#This Row],[Type]]="KILL",IF(_xlfn.NUMBERVALUE(RIGHT(Table15[[#This Row],[Min]],LEN(Table15[[#This Row],[Min]])-FIND("-",Table15[[#This Row],[Min]])))&gt;INDIRECT(ADDRESS(11+MATCH(LEFT(Table15[[#This Row],[Min]],FIND("-",Table15[[#This Row],[Min]])-1),Table1[Content Sku],0),16,1,1,"Entities")),"review","ok"),"ok")</f>
        <v>ok</v>
      </c>
    </row>
    <row r="1589" spans="5:25" x14ac:dyDescent="0.25">
      <c r="E1589" t="s">
        <v>408</v>
      </c>
      <c r="F1589">
        <v>0</v>
      </c>
      <c r="G1589">
        <v>0</v>
      </c>
      <c r="H1589" t="s">
        <v>8</v>
      </c>
      <c r="I1589" s="74" t="str">
        <f ca="1">IF(Table7[[#This Row],[Type]]="KILL",IF(_xlfn.NUMBERVALUE(RIGHT(Table7[[#This Row],[Min]],LEN(Table7[[#This Row],[Min]])-FIND("-",Table7[[#This Row],[Min]])))&gt;INDIRECT(ADDRESS(11+MATCH(LEFT(Table7[[#This Row],[Min]],FIND("-",Table7[[#This Row],[Min]])-1),Table1[Content Sku],0),16,1,1,"Entities")),"review","ok"),"ok")</f>
        <v>ok</v>
      </c>
      <c r="U1589" t="s">
        <v>2717</v>
      </c>
      <c r="V1589">
        <v>0</v>
      </c>
      <c r="W1589">
        <v>0</v>
      </c>
      <c r="X1589" t="s">
        <v>8</v>
      </c>
      <c r="Y1589" s="74" t="str">
        <f ca="1">IF(Table15[[#This Row],[Type]]="KILL",IF(_xlfn.NUMBERVALUE(RIGHT(Table15[[#This Row],[Min]],LEN(Table15[[#This Row],[Min]])-FIND("-",Table15[[#This Row],[Min]])))&gt;INDIRECT(ADDRESS(11+MATCH(LEFT(Table15[[#This Row],[Min]],FIND("-",Table15[[#This Row],[Min]])-1),Table1[Content Sku],0),16,1,1,"Entities")),"review","ok"),"ok")</f>
        <v>ok</v>
      </c>
    </row>
    <row r="1590" spans="5:25" x14ac:dyDescent="0.25">
      <c r="E1590" t="s">
        <v>2736</v>
      </c>
      <c r="F1590">
        <v>0</v>
      </c>
      <c r="G1590">
        <v>0</v>
      </c>
      <c r="H1590" t="s">
        <v>8</v>
      </c>
      <c r="I1590" s="74" t="str">
        <f ca="1">IF(Table7[[#This Row],[Type]]="KILL",IF(_xlfn.NUMBERVALUE(RIGHT(Table7[[#This Row],[Min]],LEN(Table7[[#This Row],[Min]])-FIND("-",Table7[[#This Row],[Min]])))&gt;INDIRECT(ADDRESS(11+MATCH(LEFT(Table7[[#This Row],[Min]],FIND("-",Table7[[#This Row],[Min]])-1),Table1[Content Sku],0),16,1,1,"Entities")),"review","ok"),"ok")</f>
        <v>ok</v>
      </c>
      <c r="U1590" t="s">
        <v>2720</v>
      </c>
      <c r="V1590">
        <v>0</v>
      </c>
      <c r="W1590">
        <v>0</v>
      </c>
      <c r="X1590" t="s">
        <v>8</v>
      </c>
      <c r="Y1590" s="74" t="str">
        <f ca="1">IF(Table15[[#This Row],[Type]]="KILL",IF(_xlfn.NUMBERVALUE(RIGHT(Table15[[#This Row],[Min]],LEN(Table15[[#This Row],[Min]])-FIND("-",Table15[[#This Row],[Min]])))&gt;INDIRECT(ADDRESS(11+MATCH(LEFT(Table15[[#This Row],[Min]],FIND("-",Table15[[#This Row],[Min]])-1),Table1[Content Sku],0),16,1,1,"Entities")),"review","ok"),"ok")</f>
        <v>ok</v>
      </c>
    </row>
    <row r="1591" spans="5:25" x14ac:dyDescent="0.25">
      <c r="E1591" t="s">
        <v>313</v>
      </c>
      <c r="F1591">
        <v>0</v>
      </c>
      <c r="G1591">
        <v>0</v>
      </c>
      <c r="H1591" t="s">
        <v>8</v>
      </c>
      <c r="I1591" s="74" t="str">
        <f ca="1">IF(Table7[[#This Row],[Type]]="KILL",IF(_xlfn.NUMBERVALUE(RIGHT(Table7[[#This Row],[Min]],LEN(Table7[[#This Row],[Min]])-FIND("-",Table7[[#This Row],[Min]])))&gt;INDIRECT(ADDRESS(11+MATCH(LEFT(Table7[[#This Row],[Min]],FIND("-",Table7[[#This Row],[Min]])-1),Table1[Content Sku],0),16,1,1,"Entities")),"review","ok"),"ok")</f>
        <v>ok</v>
      </c>
      <c r="U1591" t="s">
        <v>2720</v>
      </c>
      <c r="V1591">
        <v>0</v>
      </c>
      <c r="W1591">
        <v>0</v>
      </c>
      <c r="X1591" t="s">
        <v>8</v>
      </c>
      <c r="Y1591" s="74" t="str">
        <f ca="1">IF(Table15[[#This Row],[Type]]="KILL",IF(_xlfn.NUMBERVALUE(RIGHT(Table15[[#This Row],[Min]],LEN(Table15[[#This Row],[Min]])-FIND("-",Table15[[#This Row],[Min]])))&gt;INDIRECT(ADDRESS(11+MATCH(LEFT(Table15[[#This Row],[Min]],FIND("-",Table15[[#This Row],[Min]])-1),Table1[Content Sku],0),16,1,1,"Entities")),"review","ok"),"ok")</f>
        <v>ok</v>
      </c>
    </row>
    <row r="1592" spans="5:25" x14ac:dyDescent="0.25">
      <c r="E1592" t="s">
        <v>2741</v>
      </c>
      <c r="F1592">
        <v>0</v>
      </c>
      <c r="G1592">
        <v>0</v>
      </c>
      <c r="H1592" t="s">
        <v>8</v>
      </c>
      <c r="I1592" s="74" t="str">
        <f ca="1">IF(Table7[[#This Row],[Type]]="KILL",IF(_xlfn.NUMBERVALUE(RIGHT(Table7[[#This Row],[Min]],LEN(Table7[[#This Row],[Min]])-FIND("-",Table7[[#This Row],[Min]])))&gt;INDIRECT(ADDRESS(11+MATCH(LEFT(Table7[[#This Row],[Min]],FIND("-",Table7[[#This Row],[Min]])-1),Table1[Content Sku],0),16,1,1,"Entities")),"review","ok"),"ok")</f>
        <v>ok</v>
      </c>
      <c r="U1592" t="s">
        <v>398</v>
      </c>
      <c r="V1592">
        <v>0</v>
      </c>
      <c r="W1592">
        <v>0</v>
      </c>
      <c r="X1592" t="s">
        <v>8</v>
      </c>
      <c r="Y1592" s="74" t="str">
        <f ca="1">IF(Table15[[#This Row],[Type]]="KILL",IF(_xlfn.NUMBERVALUE(RIGHT(Table15[[#This Row],[Min]],LEN(Table15[[#This Row],[Min]])-FIND("-",Table15[[#This Row],[Min]])))&gt;INDIRECT(ADDRESS(11+MATCH(LEFT(Table15[[#This Row],[Min]],FIND("-",Table15[[#This Row],[Min]])-1),Table1[Content Sku],0),16,1,1,"Entities")),"review","ok"),"ok")</f>
        <v>ok</v>
      </c>
    </row>
    <row r="1593" spans="5:25" x14ac:dyDescent="0.25">
      <c r="E1593" t="s">
        <v>461</v>
      </c>
      <c r="F1593">
        <v>0</v>
      </c>
      <c r="G1593">
        <v>30000</v>
      </c>
      <c r="H1593" t="s">
        <v>205</v>
      </c>
      <c r="I1593" s="74" t="str">
        <f ca="1">IF(Table7[[#This Row],[Type]]="KILL",IF(_xlfn.NUMBERVALUE(RIGHT(Table7[[#This Row],[Min]],LEN(Table7[[#This Row],[Min]])-FIND("-",Table7[[#This Row],[Min]])))&gt;INDIRECT(ADDRESS(11+MATCH(LEFT(Table7[[#This Row],[Min]],FIND("-",Table7[[#This Row],[Min]])-1),Table1[Content Sku],0),16,1,1,"Entities")),"review","ok"),"ok")</f>
        <v>ok</v>
      </c>
      <c r="U1593" t="s">
        <v>36</v>
      </c>
      <c r="V1593">
        <v>42000</v>
      </c>
      <c r="W1593">
        <v>0</v>
      </c>
      <c r="X1593" t="s">
        <v>205</v>
      </c>
      <c r="Y1593" s="74" t="str">
        <f ca="1">IF(Table15[[#This Row],[Type]]="KILL",IF(_xlfn.NUMBERVALUE(RIGHT(Table15[[#This Row],[Min]],LEN(Table15[[#This Row],[Min]])-FIND("-",Table15[[#This Row],[Min]])))&gt;INDIRECT(ADDRESS(11+MATCH(LEFT(Table15[[#This Row],[Min]],FIND("-",Table15[[#This Row],[Min]])-1),Table1[Content Sku],0),16,1,1,"Entities")),"review","ok"),"ok")</f>
        <v>ok</v>
      </c>
    </row>
    <row r="1594" spans="5:25" x14ac:dyDescent="0.25">
      <c r="E1594" t="s">
        <v>393</v>
      </c>
      <c r="F1594">
        <v>0</v>
      </c>
      <c r="G1594">
        <v>0</v>
      </c>
      <c r="H1594" t="s">
        <v>8</v>
      </c>
      <c r="I1594" s="74" t="str">
        <f ca="1">IF(Table7[[#This Row],[Type]]="KILL",IF(_xlfn.NUMBERVALUE(RIGHT(Table7[[#This Row],[Min]],LEN(Table7[[#This Row],[Min]])-FIND("-",Table7[[#This Row],[Min]])))&gt;INDIRECT(ADDRESS(11+MATCH(LEFT(Table7[[#This Row],[Min]],FIND("-",Table7[[#This Row],[Min]])-1),Table1[Content Sku],0),16,1,1,"Entities")),"review","ok"),"ok")</f>
        <v>ok</v>
      </c>
      <c r="U1594" t="s">
        <v>313</v>
      </c>
      <c r="V1594">
        <v>0</v>
      </c>
      <c r="W1594">
        <v>0</v>
      </c>
      <c r="X1594" t="s">
        <v>8</v>
      </c>
      <c r="Y1594" s="74" t="str">
        <f ca="1">IF(Table15[[#This Row],[Type]]="KILL",IF(_xlfn.NUMBERVALUE(RIGHT(Table15[[#This Row],[Min]],LEN(Table15[[#This Row],[Min]])-FIND("-",Table15[[#This Row],[Min]])))&gt;INDIRECT(ADDRESS(11+MATCH(LEFT(Table15[[#This Row],[Min]],FIND("-",Table15[[#This Row],[Min]])-1),Table1[Content Sku],0),16,1,1,"Entities")),"review","ok"),"ok")</f>
        <v>ok</v>
      </c>
    </row>
    <row r="1595" spans="5:25" x14ac:dyDescent="0.25">
      <c r="E1595" t="s">
        <v>2741</v>
      </c>
      <c r="F1595">
        <v>0</v>
      </c>
      <c r="G1595">
        <v>0</v>
      </c>
      <c r="H1595" t="s">
        <v>8</v>
      </c>
      <c r="I1595" s="74" t="str">
        <f ca="1">IF(Table7[[#This Row],[Type]]="KILL",IF(_xlfn.NUMBERVALUE(RIGHT(Table7[[#This Row],[Min]],LEN(Table7[[#This Row],[Min]])-FIND("-",Table7[[#This Row],[Min]])))&gt;INDIRECT(ADDRESS(11+MATCH(LEFT(Table7[[#This Row],[Min]],FIND("-",Table7[[#This Row],[Min]])-1),Table1[Content Sku],0),16,1,1,"Entities")),"review","ok"),"ok")</f>
        <v>ok</v>
      </c>
      <c r="U1595" t="s">
        <v>2720</v>
      </c>
      <c r="V1595">
        <v>0</v>
      </c>
      <c r="W1595">
        <v>0</v>
      </c>
      <c r="X1595" t="s">
        <v>8</v>
      </c>
      <c r="Y1595" s="74" t="str">
        <f ca="1">IF(Table15[[#This Row],[Type]]="KILL",IF(_xlfn.NUMBERVALUE(RIGHT(Table15[[#This Row],[Min]],LEN(Table15[[#This Row],[Min]])-FIND("-",Table15[[#This Row],[Min]])))&gt;INDIRECT(ADDRESS(11+MATCH(LEFT(Table15[[#This Row],[Min]],FIND("-",Table15[[#This Row],[Min]])-1),Table1[Content Sku],0),16,1,1,"Entities")),"review","ok"),"ok")</f>
        <v>ok</v>
      </c>
    </row>
    <row r="1596" spans="5:25" x14ac:dyDescent="0.25">
      <c r="E1596" t="s">
        <v>254</v>
      </c>
      <c r="F1596">
        <v>0</v>
      </c>
      <c r="G1596">
        <v>13000</v>
      </c>
      <c r="H1596" t="s">
        <v>205</v>
      </c>
      <c r="I1596" s="74" t="str">
        <f ca="1">IF(Table7[[#This Row],[Type]]="KILL",IF(_xlfn.NUMBERVALUE(RIGHT(Table7[[#This Row],[Min]],LEN(Table7[[#This Row],[Min]])-FIND("-",Table7[[#This Row],[Min]])))&gt;INDIRECT(ADDRESS(11+MATCH(LEFT(Table7[[#This Row],[Min]],FIND("-",Table7[[#This Row],[Min]])-1),Table1[Content Sku],0),16,1,1,"Entities")),"review","ok"),"ok")</f>
        <v>ok</v>
      </c>
      <c r="U1596" t="s">
        <v>2720</v>
      </c>
      <c r="V1596">
        <v>0</v>
      </c>
      <c r="W1596">
        <v>47000</v>
      </c>
      <c r="X1596" t="s">
        <v>205</v>
      </c>
      <c r="Y1596" s="74" t="str">
        <f ca="1">IF(Table15[[#This Row],[Type]]="KILL",IF(_xlfn.NUMBERVALUE(RIGHT(Table15[[#This Row],[Min]],LEN(Table15[[#This Row],[Min]])-FIND("-",Table15[[#This Row],[Min]])))&gt;INDIRECT(ADDRESS(11+MATCH(LEFT(Table15[[#This Row],[Min]],FIND("-",Table15[[#This Row],[Min]])-1),Table1[Content Sku],0),16,1,1,"Entities")),"review","ok"),"ok")</f>
        <v>ok</v>
      </c>
    </row>
    <row r="1597" spans="5:25" x14ac:dyDescent="0.25">
      <c r="E1597" t="s">
        <v>8134</v>
      </c>
      <c r="F1597">
        <v>0</v>
      </c>
      <c r="G1597">
        <v>0</v>
      </c>
      <c r="H1597" t="s">
        <v>8</v>
      </c>
      <c r="I1597" s="74" t="str">
        <f ca="1">IF(Table7[[#This Row],[Type]]="KILL",IF(_xlfn.NUMBERVALUE(RIGHT(Table7[[#This Row],[Min]],LEN(Table7[[#This Row],[Min]])-FIND("-",Table7[[#This Row],[Min]])))&gt;INDIRECT(ADDRESS(11+MATCH(LEFT(Table7[[#This Row],[Min]],FIND("-",Table7[[#This Row],[Min]])-1),Table1[Content Sku],0),16,1,1,"Entities")),"review","ok"),"ok")</f>
        <v>ok</v>
      </c>
      <c r="U1597" t="s">
        <v>400</v>
      </c>
      <c r="V1597">
        <v>0</v>
      </c>
      <c r="W1597">
        <v>0</v>
      </c>
      <c r="X1597" t="s">
        <v>8</v>
      </c>
      <c r="Y1597" s="74" t="str">
        <f ca="1">IF(Table15[[#This Row],[Type]]="KILL",IF(_xlfn.NUMBERVALUE(RIGHT(Table15[[#This Row],[Min]],LEN(Table15[[#This Row],[Min]])-FIND("-",Table15[[#This Row],[Min]])))&gt;INDIRECT(ADDRESS(11+MATCH(LEFT(Table15[[#This Row],[Min]],FIND("-",Table15[[#This Row],[Min]])-1),Table1[Content Sku],0),16,1,1,"Entities")),"review","ok"),"ok")</f>
        <v>ok</v>
      </c>
    </row>
    <row r="1598" spans="5:25" x14ac:dyDescent="0.25">
      <c r="E1598" t="s">
        <v>318</v>
      </c>
      <c r="F1598">
        <v>0</v>
      </c>
      <c r="G1598">
        <v>0</v>
      </c>
      <c r="H1598" t="s">
        <v>8</v>
      </c>
      <c r="I1598" s="74" t="str">
        <f ca="1">IF(Table7[[#This Row],[Type]]="KILL",IF(_xlfn.NUMBERVALUE(RIGHT(Table7[[#This Row],[Min]],LEN(Table7[[#This Row],[Min]])-FIND("-",Table7[[#This Row],[Min]])))&gt;INDIRECT(ADDRESS(11+MATCH(LEFT(Table7[[#This Row],[Min]],FIND("-",Table7[[#This Row],[Min]])-1),Table1[Content Sku],0),16,1,1,"Entities")),"review","ok"),"ok")</f>
        <v>ok</v>
      </c>
      <c r="U1598" t="s">
        <v>2720</v>
      </c>
      <c r="V1598">
        <v>0</v>
      </c>
      <c r="W1598">
        <v>40000</v>
      </c>
      <c r="X1598" t="s">
        <v>205</v>
      </c>
      <c r="Y1598" s="74" t="str">
        <f ca="1">IF(Table15[[#This Row],[Type]]="KILL",IF(_xlfn.NUMBERVALUE(RIGHT(Table15[[#This Row],[Min]],LEN(Table15[[#This Row],[Min]])-FIND("-",Table15[[#This Row],[Min]])))&gt;INDIRECT(ADDRESS(11+MATCH(LEFT(Table15[[#This Row],[Min]],FIND("-",Table15[[#This Row],[Min]])-1),Table1[Content Sku],0),16,1,1,"Entities")),"review","ok"),"ok")</f>
        <v>ok</v>
      </c>
    </row>
    <row r="1599" spans="5:25" x14ac:dyDescent="0.25">
      <c r="E1599" t="s">
        <v>48</v>
      </c>
      <c r="F1599">
        <v>7250</v>
      </c>
      <c r="G1599">
        <v>0</v>
      </c>
      <c r="H1599" t="s">
        <v>205</v>
      </c>
      <c r="I1599" s="74" t="str">
        <f ca="1">IF(Table7[[#This Row],[Type]]="KILL",IF(_xlfn.NUMBERVALUE(RIGHT(Table7[[#This Row],[Min]],LEN(Table7[[#This Row],[Min]])-FIND("-",Table7[[#This Row],[Min]])))&gt;INDIRECT(ADDRESS(11+MATCH(LEFT(Table7[[#This Row],[Min]],FIND("-",Table7[[#This Row],[Min]])-1),Table1[Content Sku],0),16,1,1,"Entities")),"review","ok"),"ok")</f>
        <v>ok</v>
      </c>
      <c r="U1599" t="s">
        <v>313</v>
      </c>
      <c r="V1599">
        <v>0</v>
      </c>
      <c r="W1599">
        <v>0</v>
      </c>
      <c r="X1599" t="s">
        <v>8</v>
      </c>
      <c r="Y1599" s="74" t="str">
        <f ca="1">IF(Table15[[#This Row],[Type]]="KILL",IF(_xlfn.NUMBERVALUE(RIGHT(Table15[[#This Row],[Min]],LEN(Table15[[#This Row],[Min]])-FIND("-",Table15[[#This Row],[Min]])))&gt;INDIRECT(ADDRESS(11+MATCH(LEFT(Table15[[#This Row],[Min]],FIND("-",Table15[[#This Row],[Min]])-1),Table1[Content Sku],0),16,1,1,"Entities")),"review","ok"),"ok")</f>
        <v>ok</v>
      </c>
    </row>
    <row r="1600" spans="5:25" x14ac:dyDescent="0.25">
      <c r="E1600" t="s">
        <v>8133</v>
      </c>
      <c r="F1600">
        <v>0</v>
      </c>
      <c r="G1600">
        <v>0</v>
      </c>
      <c r="H1600" t="s">
        <v>8</v>
      </c>
      <c r="I1600" s="74" t="str">
        <f ca="1">IF(Table7[[#This Row],[Type]]="KILL",IF(_xlfn.NUMBERVALUE(RIGHT(Table7[[#This Row],[Min]],LEN(Table7[[#This Row],[Min]])-FIND("-",Table7[[#This Row],[Min]])))&gt;INDIRECT(ADDRESS(11+MATCH(LEFT(Table7[[#This Row],[Min]],FIND("-",Table7[[#This Row],[Min]])-1),Table1[Content Sku],0),16,1,1,"Entities")),"review","ok"),"ok")</f>
        <v>ok</v>
      </c>
      <c r="U1600" t="s">
        <v>37</v>
      </c>
      <c r="V1600">
        <v>0</v>
      </c>
      <c r="W1600">
        <v>0</v>
      </c>
      <c r="X1600" t="s">
        <v>8</v>
      </c>
      <c r="Y1600" s="74" t="str">
        <f ca="1">IF(Table15[[#This Row],[Type]]="KILL",IF(_xlfn.NUMBERVALUE(RIGHT(Table15[[#This Row],[Min]],LEN(Table15[[#This Row],[Min]])-FIND("-",Table15[[#This Row],[Min]])))&gt;INDIRECT(ADDRESS(11+MATCH(LEFT(Table15[[#This Row],[Min]],FIND("-",Table15[[#This Row],[Min]])-1),Table1[Content Sku],0),16,1,1,"Entities")),"review","ok"),"ok")</f>
        <v>ok</v>
      </c>
    </row>
    <row r="1601" spans="5:25" x14ac:dyDescent="0.25">
      <c r="E1601" t="s">
        <v>258</v>
      </c>
      <c r="F1601">
        <v>28000</v>
      </c>
      <c r="G1601">
        <v>0</v>
      </c>
      <c r="H1601" t="s">
        <v>205</v>
      </c>
      <c r="I1601" s="74" t="str">
        <f ca="1">IF(Table7[[#This Row],[Type]]="KILL",IF(_xlfn.NUMBERVALUE(RIGHT(Table7[[#This Row],[Min]],LEN(Table7[[#This Row],[Min]])-FIND("-",Table7[[#This Row],[Min]])))&gt;INDIRECT(ADDRESS(11+MATCH(LEFT(Table7[[#This Row],[Min]],FIND("-",Table7[[#This Row],[Min]])-1),Table1[Content Sku],0),16,1,1,"Entities")),"review","ok"),"ok")</f>
        <v>ok</v>
      </c>
      <c r="U1601" t="s">
        <v>313</v>
      </c>
      <c r="V1601">
        <v>0</v>
      </c>
      <c r="W1601">
        <v>0</v>
      </c>
      <c r="X1601" t="s">
        <v>8</v>
      </c>
      <c r="Y1601" s="74" t="str">
        <f ca="1">IF(Table15[[#This Row],[Type]]="KILL",IF(_xlfn.NUMBERVALUE(RIGHT(Table15[[#This Row],[Min]],LEN(Table15[[#This Row],[Min]])-FIND("-",Table15[[#This Row],[Min]])))&gt;INDIRECT(ADDRESS(11+MATCH(LEFT(Table15[[#This Row],[Min]],FIND("-",Table15[[#This Row],[Min]])-1),Table1[Content Sku],0),16,1,1,"Entities")),"review","ok"),"ok")</f>
        <v>ok</v>
      </c>
    </row>
    <row r="1602" spans="5:25" x14ac:dyDescent="0.25">
      <c r="E1602" t="s">
        <v>286</v>
      </c>
      <c r="F1602">
        <v>0</v>
      </c>
      <c r="G1602">
        <v>0</v>
      </c>
      <c r="H1602" t="s">
        <v>8</v>
      </c>
      <c r="I1602" s="74" t="str">
        <f ca="1">IF(Table7[[#This Row],[Type]]="KILL",IF(_xlfn.NUMBERVALUE(RIGHT(Table7[[#This Row],[Min]],LEN(Table7[[#This Row],[Min]])-FIND("-",Table7[[#This Row],[Min]])))&gt;INDIRECT(ADDRESS(11+MATCH(LEFT(Table7[[#This Row],[Min]],FIND("-",Table7[[#This Row],[Min]])-1),Table1[Content Sku],0),16,1,1,"Entities")),"review","ok"),"ok")</f>
        <v>ok</v>
      </c>
      <c r="U1602" t="s">
        <v>450</v>
      </c>
      <c r="V1602">
        <v>0</v>
      </c>
      <c r="W1602">
        <v>0</v>
      </c>
      <c r="X1602" t="s">
        <v>8</v>
      </c>
      <c r="Y1602" s="74" t="str">
        <f ca="1">IF(Table15[[#This Row],[Type]]="KILL",IF(_xlfn.NUMBERVALUE(RIGHT(Table15[[#This Row],[Min]],LEN(Table15[[#This Row],[Min]])-FIND("-",Table15[[#This Row],[Min]])))&gt;INDIRECT(ADDRESS(11+MATCH(LEFT(Table15[[#This Row],[Min]],FIND("-",Table15[[#This Row],[Min]])-1),Table1[Content Sku],0),16,1,1,"Entities")),"review","ok"),"ok")</f>
        <v>ok</v>
      </c>
    </row>
    <row r="1603" spans="5:25" x14ac:dyDescent="0.25">
      <c r="E1603" t="s">
        <v>396</v>
      </c>
      <c r="F1603">
        <v>0</v>
      </c>
      <c r="G1603">
        <v>0</v>
      </c>
      <c r="H1603" t="s">
        <v>8</v>
      </c>
      <c r="I1603" s="74" t="str">
        <f ca="1">IF(Table7[[#This Row],[Type]]="KILL",IF(_xlfn.NUMBERVALUE(RIGHT(Table7[[#This Row],[Min]],LEN(Table7[[#This Row],[Min]])-FIND("-",Table7[[#This Row],[Min]])))&gt;INDIRECT(ADDRESS(11+MATCH(LEFT(Table7[[#This Row],[Min]],FIND("-",Table7[[#This Row],[Min]])-1),Table1[Content Sku],0),16,1,1,"Entities")),"review","ok"),"ok")</f>
        <v>ok</v>
      </c>
      <c r="U1603" t="s">
        <v>137</v>
      </c>
      <c r="V1603">
        <v>0</v>
      </c>
      <c r="W1603">
        <v>0</v>
      </c>
      <c r="X1603" t="s">
        <v>8</v>
      </c>
      <c r="Y1603" s="74" t="str">
        <f ca="1">IF(Table15[[#This Row],[Type]]="KILL",IF(_xlfn.NUMBERVALUE(RIGHT(Table15[[#This Row],[Min]],LEN(Table15[[#This Row],[Min]])-FIND("-",Table15[[#This Row],[Min]])))&gt;INDIRECT(ADDRESS(11+MATCH(LEFT(Table15[[#This Row],[Min]],FIND("-",Table15[[#This Row],[Min]])-1),Table1[Content Sku],0),16,1,1,"Entities")),"review","ok"),"ok")</f>
        <v>ok</v>
      </c>
    </row>
    <row r="1604" spans="5:25" x14ac:dyDescent="0.25">
      <c r="E1604" t="s">
        <v>2766</v>
      </c>
      <c r="F1604">
        <v>20000</v>
      </c>
      <c r="G1604">
        <v>0</v>
      </c>
      <c r="H1604" t="s">
        <v>205</v>
      </c>
      <c r="I1604" s="74" t="str">
        <f ca="1">IF(Table7[[#This Row],[Type]]="KILL",IF(_xlfn.NUMBERVALUE(RIGHT(Table7[[#This Row],[Min]],LEN(Table7[[#This Row],[Min]])-FIND("-",Table7[[#This Row],[Min]])))&gt;INDIRECT(ADDRESS(11+MATCH(LEFT(Table7[[#This Row],[Min]],FIND("-",Table7[[#This Row],[Min]])-1),Table1[Content Sku],0),16,1,1,"Entities")),"review","ok"),"ok")</f>
        <v>ok</v>
      </c>
      <c r="U1604" t="s">
        <v>396</v>
      </c>
      <c r="V1604">
        <v>80000</v>
      </c>
      <c r="W1604">
        <v>0</v>
      </c>
      <c r="X1604" t="s">
        <v>205</v>
      </c>
      <c r="Y1604" s="74" t="str">
        <f ca="1">IF(Table15[[#This Row],[Type]]="KILL",IF(_xlfn.NUMBERVALUE(RIGHT(Table15[[#This Row],[Min]],LEN(Table15[[#This Row],[Min]])-FIND("-",Table15[[#This Row],[Min]])))&gt;INDIRECT(ADDRESS(11+MATCH(LEFT(Table15[[#This Row],[Min]],FIND("-",Table15[[#This Row],[Min]])-1),Table1[Content Sku],0),16,1,1,"Entities")),"review","ok"),"ok")</f>
        <v>ok</v>
      </c>
    </row>
    <row r="1605" spans="5:25" x14ac:dyDescent="0.25">
      <c r="E1605" t="s">
        <v>338</v>
      </c>
      <c r="F1605">
        <v>2000</v>
      </c>
      <c r="G1605">
        <v>0</v>
      </c>
      <c r="H1605" t="s">
        <v>205</v>
      </c>
      <c r="I1605" s="74" t="str">
        <f ca="1">IF(Table7[[#This Row],[Type]]="KILL",IF(_xlfn.NUMBERVALUE(RIGHT(Table7[[#This Row],[Min]],LEN(Table7[[#This Row],[Min]])-FIND("-",Table7[[#This Row],[Min]])))&gt;INDIRECT(ADDRESS(11+MATCH(LEFT(Table7[[#This Row],[Min]],FIND("-",Table7[[#This Row],[Min]])-1),Table1[Content Sku],0),16,1,1,"Entities")),"review","ok"),"ok")</f>
        <v>ok</v>
      </c>
      <c r="U1605" t="s">
        <v>38</v>
      </c>
      <c r="V1605">
        <v>0</v>
      </c>
      <c r="W1605">
        <v>0</v>
      </c>
      <c r="X1605" t="s">
        <v>8</v>
      </c>
      <c r="Y1605" s="74" t="str">
        <f ca="1">IF(Table15[[#This Row],[Type]]="KILL",IF(_xlfn.NUMBERVALUE(RIGHT(Table15[[#This Row],[Min]],LEN(Table15[[#This Row],[Min]])-FIND("-",Table15[[#This Row],[Min]])))&gt;INDIRECT(ADDRESS(11+MATCH(LEFT(Table15[[#This Row],[Min]],FIND("-",Table15[[#This Row],[Min]])-1),Table1[Content Sku],0),16,1,1,"Entities")),"review","ok"),"ok")</f>
        <v>ok</v>
      </c>
    </row>
    <row r="1606" spans="5:25" x14ac:dyDescent="0.25">
      <c r="E1606" t="s">
        <v>8133</v>
      </c>
      <c r="F1606">
        <v>0</v>
      </c>
      <c r="G1606">
        <v>0</v>
      </c>
      <c r="H1606" t="s">
        <v>8</v>
      </c>
      <c r="I1606" s="74" t="str">
        <f ca="1">IF(Table7[[#This Row],[Type]]="KILL",IF(_xlfn.NUMBERVALUE(RIGHT(Table7[[#This Row],[Min]],LEN(Table7[[#This Row],[Min]])-FIND("-",Table7[[#This Row],[Min]])))&gt;INDIRECT(ADDRESS(11+MATCH(LEFT(Table7[[#This Row],[Min]],FIND("-",Table7[[#This Row],[Min]])-1),Table1[Content Sku],0),16,1,1,"Entities")),"review","ok"),"ok")</f>
        <v>ok</v>
      </c>
      <c r="U1606" t="s">
        <v>2717</v>
      </c>
      <c r="V1606">
        <v>36000</v>
      </c>
      <c r="W1606">
        <v>0</v>
      </c>
      <c r="X1606" t="s">
        <v>205</v>
      </c>
      <c r="Y1606" s="74" t="str">
        <f ca="1">IF(Table15[[#This Row],[Type]]="KILL",IF(_xlfn.NUMBERVALUE(RIGHT(Table15[[#This Row],[Min]],LEN(Table15[[#This Row],[Min]])-FIND("-",Table15[[#This Row],[Min]])))&gt;INDIRECT(ADDRESS(11+MATCH(LEFT(Table15[[#This Row],[Min]],FIND("-",Table15[[#This Row],[Min]])-1),Table1[Content Sku],0),16,1,1,"Entities")),"review","ok"),"ok")</f>
        <v>ok</v>
      </c>
    </row>
    <row r="1607" spans="5:25" x14ac:dyDescent="0.25">
      <c r="E1607" t="s">
        <v>2741</v>
      </c>
      <c r="F1607">
        <v>0</v>
      </c>
      <c r="G1607">
        <v>0</v>
      </c>
      <c r="H1607" t="s">
        <v>8</v>
      </c>
      <c r="I1607" s="74" t="str">
        <f ca="1">IF(Table7[[#This Row],[Type]]="KILL",IF(_xlfn.NUMBERVALUE(RIGHT(Table7[[#This Row],[Min]],LEN(Table7[[#This Row],[Min]])-FIND("-",Table7[[#This Row],[Min]])))&gt;INDIRECT(ADDRESS(11+MATCH(LEFT(Table7[[#This Row],[Min]],FIND("-",Table7[[#This Row],[Min]])-1),Table1[Content Sku],0),16,1,1,"Entities")),"review","ok"),"ok")</f>
        <v>ok</v>
      </c>
      <c r="U1607" t="s">
        <v>123</v>
      </c>
      <c r="V1607">
        <v>0</v>
      </c>
      <c r="W1607">
        <v>0</v>
      </c>
      <c r="X1607" t="s">
        <v>8</v>
      </c>
      <c r="Y1607" s="74" t="str">
        <f ca="1">IF(Table15[[#This Row],[Type]]="KILL",IF(_xlfn.NUMBERVALUE(RIGHT(Table15[[#This Row],[Min]],LEN(Table15[[#This Row],[Min]])-FIND("-",Table15[[#This Row],[Min]])))&gt;INDIRECT(ADDRESS(11+MATCH(LEFT(Table15[[#This Row],[Min]],FIND("-",Table15[[#This Row],[Min]])-1),Table1[Content Sku],0),16,1,1,"Entities")),"review","ok"),"ok")</f>
        <v>ok</v>
      </c>
    </row>
    <row r="1608" spans="5:25" x14ac:dyDescent="0.25">
      <c r="E1608" t="s">
        <v>47</v>
      </c>
      <c r="F1608">
        <v>45</v>
      </c>
      <c r="G1608">
        <v>0</v>
      </c>
      <c r="H1608" t="s">
        <v>4431</v>
      </c>
      <c r="I1608" s="74" t="str">
        <f ca="1">IF(Table7[[#This Row],[Type]]="KILL",IF(_xlfn.NUMBERVALUE(RIGHT(Table7[[#This Row],[Min]],LEN(Table7[[#This Row],[Min]])-FIND("-",Table7[[#This Row],[Min]])))&gt;INDIRECT(ADDRESS(11+MATCH(LEFT(Table7[[#This Row],[Min]],FIND("-",Table7[[#This Row],[Min]])-1),Table1[Content Sku],0),16,1,1,"Entities")),"review","ok"),"ok")</f>
        <v>ok</v>
      </c>
      <c r="U1608" t="s">
        <v>2717</v>
      </c>
      <c r="V1608">
        <v>55000</v>
      </c>
      <c r="W1608">
        <v>0</v>
      </c>
      <c r="X1608" t="s">
        <v>205</v>
      </c>
      <c r="Y1608" s="74" t="str">
        <f ca="1">IF(Table15[[#This Row],[Type]]="KILL",IF(_xlfn.NUMBERVALUE(RIGHT(Table15[[#This Row],[Min]],LEN(Table15[[#This Row],[Min]])-FIND("-",Table15[[#This Row],[Min]])))&gt;INDIRECT(ADDRESS(11+MATCH(LEFT(Table15[[#This Row],[Min]],FIND("-",Table15[[#This Row],[Min]])-1),Table1[Content Sku],0),16,1,1,"Entities")),"review","ok"),"ok")</f>
        <v>ok</v>
      </c>
    </row>
    <row r="1609" spans="5:25" x14ac:dyDescent="0.25">
      <c r="E1609" t="s">
        <v>313</v>
      </c>
      <c r="F1609">
        <v>0</v>
      </c>
      <c r="G1609">
        <v>0</v>
      </c>
      <c r="H1609" t="s">
        <v>8</v>
      </c>
      <c r="I1609" s="74" t="str">
        <f ca="1">IF(Table7[[#This Row],[Type]]="KILL",IF(_xlfn.NUMBERVALUE(RIGHT(Table7[[#This Row],[Min]],LEN(Table7[[#This Row],[Min]])-FIND("-",Table7[[#This Row],[Min]])))&gt;INDIRECT(ADDRESS(11+MATCH(LEFT(Table7[[#This Row],[Min]],FIND("-",Table7[[#This Row],[Min]])-1),Table1[Content Sku],0),16,1,1,"Entities")),"review","ok"),"ok")</f>
        <v>ok</v>
      </c>
      <c r="U1609" t="s">
        <v>450</v>
      </c>
      <c r="V1609">
        <v>360</v>
      </c>
      <c r="W1609">
        <v>0</v>
      </c>
      <c r="X1609" t="s">
        <v>4431</v>
      </c>
      <c r="Y1609" s="74" t="str">
        <f ca="1">IF(Table15[[#This Row],[Type]]="KILL",IF(_xlfn.NUMBERVALUE(RIGHT(Table15[[#This Row],[Min]],LEN(Table15[[#This Row],[Min]])-FIND("-",Table15[[#This Row],[Min]])))&gt;INDIRECT(ADDRESS(11+MATCH(LEFT(Table15[[#This Row],[Min]],FIND("-",Table15[[#This Row],[Min]])-1),Table1[Content Sku],0),16,1,1,"Entities")),"review","ok"),"ok")</f>
        <v>ok</v>
      </c>
    </row>
    <row r="1610" spans="5:25" x14ac:dyDescent="0.25">
      <c r="E1610" t="s">
        <v>14</v>
      </c>
      <c r="F1610">
        <v>0</v>
      </c>
      <c r="G1610">
        <v>0</v>
      </c>
      <c r="H1610" t="s">
        <v>8</v>
      </c>
      <c r="I1610" s="74" t="str">
        <f ca="1">IF(Table7[[#This Row],[Type]]="KILL",IF(_xlfn.NUMBERVALUE(RIGHT(Table7[[#This Row],[Min]],LEN(Table7[[#This Row],[Min]])-FIND("-",Table7[[#This Row],[Min]])))&gt;INDIRECT(ADDRESS(11+MATCH(LEFT(Table7[[#This Row],[Min]],FIND("-",Table7[[#This Row],[Min]])-1),Table1[Content Sku],0),16,1,1,"Entities")),"review","ok"),"ok")</f>
        <v>ok</v>
      </c>
      <c r="U1610" t="s">
        <v>2720</v>
      </c>
      <c r="V1610">
        <v>0</v>
      </c>
      <c r="W1610">
        <v>0</v>
      </c>
      <c r="X1610" t="s">
        <v>8</v>
      </c>
      <c r="Y1610" s="74" t="str">
        <f ca="1">IF(Table15[[#This Row],[Type]]="KILL",IF(_xlfn.NUMBERVALUE(RIGHT(Table15[[#This Row],[Min]],LEN(Table15[[#This Row],[Min]])-FIND("-",Table15[[#This Row],[Min]])))&gt;INDIRECT(ADDRESS(11+MATCH(LEFT(Table15[[#This Row],[Min]],FIND("-",Table15[[#This Row],[Min]])-1),Table1[Content Sku],0),16,1,1,"Entities")),"review","ok"),"ok")</f>
        <v>ok</v>
      </c>
    </row>
    <row r="1611" spans="5:25" x14ac:dyDescent="0.25">
      <c r="E1611" t="s">
        <v>306</v>
      </c>
      <c r="F1611">
        <v>0</v>
      </c>
      <c r="G1611">
        <v>0</v>
      </c>
      <c r="H1611" t="s">
        <v>8</v>
      </c>
      <c r="I1611" s="74" t="str">
        <f ca="1">IF(Table7[[#This Row],[Type]]="KILL",IF(_xlfn.NUMBERVALUE(RIGHT(Table7[[#This Row],[Min]],LEN(Table7[[#This Row],[Min]])-FIND("-",Table7[[#This Row],[Min]])))&gt;INDIRECT(ADDRESS(11+MATCH(LEFT(Table7[[#This Row],[Min]],FIND("-",Table7[[#This Row],[Min]])-1),Table1[Content Sku],0),16,1,1,"Entities")),"review","ok"),"ok")</f>
        <v>ok</v>
      </c>
      <c r="U1611" t="s">
        <v>457</v>
      </c>
      <c r="V1611">
        <v>0</v>
      </c>
      <c r="W1611">
        <v>0</v>
      </c>
      <c r="X1611" t="s">
        <v>8</v>
      </c>
      <c r="Y1611" s="74" t="str">
        <f ca="1">IF(Table15[[#This Row],[Type]]="KILL",IF(_xlfn.NUMBERVALUE(RIGHT(Table15[[#This Row],[Min]],LEN(Table15[[#This Row],[Min]])-FIND("-",Table15[[#This Row],[Min]])))&gt;INDIRECT(ADDRESS(11+MATCH(LEFT(Table15[[#This Row],[Min]],FIND("-",Table15[[#This Row],[Min]])-1),Table1[Content Sku],0),16,1,1,"Entities")),"review","ok"),"ok")</f>
        <v>ok</v>
      </c>
    </row>
    <row r="1612" spans="5:25" x14ac:dyDescent="0.25">
      <c r="E1612" t="s">
        <v>318</v>
      </c>
      <c r="F1612">
        <v>0</v>
      </c>
      <c r="G1612">
        <v>0</v>
      </c>
      <c r="H1612" t="s">
        <v>8</v>
      </c>
      <c r="I1612" s="74" t="str">
        <f ca="1">IF(Table7[[#This Row],[Type]]="KILL",IF(_xlfn.NUMBERVALUE(RIGHT(Table7[[#This Row],[Min]],LEN(Table7[[#This Row],[Min]])-FIND("-",Table7[[#This Row],[Min]])))&gt;INDIRECT(ADDRESS(11+MATCH(LEFT(Table7[[#This Row],[Min]],FIND("-",Table7[[#This Row],[Min]])-1),Table1[Content Sku],0),16,1,1,"Entities")),"review","ok"),"ok")</f>
        <v>ok</v>
      </c>
      <c r="U1612" t="s">
        <v>2717</v>
      </c>
      <c r="V1612">
        <v>200</v>
      </c>
      <c r="W1612">
        <v>0</v>
      </c>
      <c r="X1612" t="s">
        <v>4431</v>
      </c>
      <c r="Y1612" s="74" t="str">
        <f ca="1">IF(Table15[[#This Row],[Type]]="KILL",IF(_xlfn.NUMBERVALUE(RIGHT(Table15[[#This Row],[Min]],LEN(Table15[[#This Row],[Min]])-FIND("-",Table15[[#This Row],[Min]])))&gt;INDIRECT(ADDRESS(11+MATCH(LEFT(Table15[[#This Row],[Min]],FIND("-",Table15[[#This Row],[Min]])-1),Table1[Content Sku],0),16,1,1,"Entities")),"review","ok"),"ok")</f>
        <v>ok</v>
      </c>
    </row>
    <row r="1613" spans="5:25" x14ac:dyDescent="0.25">
      <c r="E1613" t="s">
        <v>8133</v>
      </c>
      <c r="F1613">
        <v>0</v>
      </c>
      <c r="G1613">
        <v>0</v>
      </c>
      <c r="H1613" t="s">
        <v>8</v>
      </c>
      <c r="I1613" s="74" t="str">
        <f ca="1">IF(Table7[[#This Row],[Type]]="KILL",IF(_xlfn.NUMBERVALUE(RIGHT(Table7[[#This Row],[Min]],LEN(Table7[[#This Row],[Min]])-FIND("-",Table7[[#This Row],[Min]])))&gt;INDIRECT(ADDRESS(11+MATCH(LEFT(Table7[[#This Row],[Min]],FIND("-",Table7[[#This Row],[Min]])-1),Table1[Content Sku],0),16,1,1,"Entities")),"review","ok"),"ok")</f>
        <v>ok</v>
      </c>
      <c r="U1613" t="s">
        <v>22</v>
      </c>
      <c r="V1613">
        <v>30000</v>
      </c>
      <c r="W1613">
        <v>0</v>
      </c>
      <c r="X1613" t="s">
        <v>205</v>
      </c>
      <c r="Y1613" s="74" t="str">
        <f ca="1">IF(Table15[[#This Row],[Type]]="KILL",IF(_xlfn.NUMBERVALUE(RIGHT(Table15[[#This Row],[Min]],LEN(Table15[[#This Row],[Min]])-FIND("-",Table15[[#This Row],[Min]])))&gt;INDIRECT(ADDRESS(11+MATCH(LEFT(Table15[[#This Row],[Min]],FIND("-",Table15[[#This Row],[Min]])-1),Table1[Content Sku],0),16,1,1,"Entities")),"review","ok"),"ok")</f>
        <v>ok</v>
      </c>
    </row>
    <row r="1614" spans="5:25" x14ac:dyDescent="0.25">
      <c r="E1614" t="s">
        <v>295</v>
      </c>
      <c r="F1614">
        <v>0</v>
      </c>
      <c r="G1614">
        <v>16000</v>
      </c>
      <c r="H1614" t="s">
        <v>205</v>
      </c>
      <c r="I1614" s="74" t="str">
        <f ca="1">IF(Table7[[#This Row],[Type]]="KILL",IF(_xlfn.NUMBERVALUE(RIGHT(Table7[[#This Row],[Min]],LEN(Table7[[#This Row],[Min]])-FIND("-",Table7[[#This Row],[Min]])))&gt;INDIRECT(ADDRESS(11+MATCH(LEFT(Table7[[#This Row],[Min]],FIND("-",Table7[[#This Row],[Min]])-1),Table1[Content Sku],0),16,1,1,"Entities")),"review","ok"),"ok")</f>
        <v>ok</v>
      </c>
      <c r="U1614" t="s">
        <v>122</v>
      </c>
      <c r="V1614">
        <v>40000</v>
      </c>
      <c r="W1614">
        <v>0</v>
      </c>
      <c r="X1614" t="s">
        <v>205</v>
      </c>
      <c r="Y1614" s="74" t="str">
        <f ca="1">IF(Table15[[#This Row],[Type]]="KILL",IF(_xlfn.NUMBERVALUE(RIGHT(Table15[[#This Row],[Min]],LEN(Table15[[#This Row],[Min]])-FIND("-",Table15[[#This Row],[Min]])))&gt;INDIRECT(ADDRESS(11+MATCH(LEFT(Table15[[#This Row],[Min]],FIND("-",Table15[[#This Row],[Min]])-1),Table1[Content Sku],0),16,1,1,"Entities")),"review","ok"),"ok")</f>
        <v>ok</v>
      </c>
    </row>
    <row r="1615" spans="5:25" x14ac:dyDescent="0.25">
      <c r="E1615" t="s">
        <v>315</v>
      </c>
      <c r="F1615">
        <v>0</v>
      </c>
      <c r="G1615">
        <v>0</v>
      </c>
      <c r="H1615" t="s">
        <v>8</v>
      </c>
      <c r="I1615" s="74" t="str">
        <f ca="1">IF(Table7[[#This Row],[Type]]="KILL",IF(_xlfn.NUMBERVALUE(RIGHT(Table7[[#This Row],[Min]],LEN(Table7[[#This Row],[Min]])-FIND("-",Table7[[#This Row],[Min]])))&gt;INDIRECT(ADDRESS(11+MATCH(LEFT(Table7[[#This Row],[Min]],FIND("-",Table7[[#This Row],[Min]])-1),Table1[Content Sku],0),16,1,1,"Entities")),"review","ok"),"ok")</f>
        <v>ok</v>
      </c>
      <c r="U1615" t="s">
        <v>313</v>
      </c>
      <c r="V1615">
        <v>0</v>
      </c>
      <c r="W1615">
        <v>0</v>
      </c>
      <c r="X1615" t="s">
        <v>8</v>
      </c>
      <c r="Y1615" s="74" t="str">
        <f ca="1">IF(Table15[[#This Row],[Type]]="KILL",IF(_xlfn.NUMBERVALUE(RIGHT(Table15[[#This Row],[Min]],LEN(Table15[[#This Row],[Min]])-FIND("-",Table15[[#This Row],[Min]])))&gt;INDIRECT(ADDRESS(11+MATCH(LEFT(Table15[[#This Row],[Min]],FIND("-",Table15[[#This Row],[Min]])-1),Table1[Content Sku],0),16,1,1,"Entities")),"review","ok"),"ok")</f>
        <v>ok</v>
      </c>
    </row>
    <row r="1616" spans="5:25" x14ac:dyDescent="0.25">
      <c r="E1616" t="s">
        <v>2766</v>
      </c>
      <c r="F1616">
        <v>0</v>
      </c>
      <c r="G1616">
        <v>0</v>
      </c>
      <c r="H1616" t="s">
        <v>8</v>
      </c>
      <c r="I1616" s="74" t="str">
        <f ca="1">IF(Table7[[#This Row],[Type]]="KILL",IF(_xlfn.NUMBERVALUE(RIGHT(Table7[[#This Row],[Min]],LEN(Table7[[#This Row],[Min]])-FIND("-",Table7[[#This Row],[Min]])))&gt;INDIRECT(ADDRESS(11+MATCH(LEFT(Table7[[#This Row],[Min]],FIND("-",Table7[[#This Row],[Min]])-1),Table1[Content Sku],0),16,1,1,"Entities")),"review","ok"),"ok")</f>
        <v>ok</v>
      </c>
      <c r="U1616" t="s">
        <v>313</v>
      </c>
      <c r="V1616">
        <v>0</v>
      </c>
      <c r="W1616">
        <v>0</v>
      </c>
      <c r="X1616" t="s">
        <v>8</v>
      </c>
      <c r="Y1616" s="74" t="str">
        <f ca="1">IF(Table15[[#This Row],[Type]]="KILL",IF(_xlfn.NUMBERVALUE(RIGHT(Table15[[#This Row],[Min]],LEN(Table15[[#This Row],[Min]])-FIND("-",Table15[[#This Row],[Min]])))&gt;INDIRECT(ADDRESS(11+MATCH(LEFT(Table15[[#This Row],[Min]],FIND("-",Table15[[#This Row],[Min]])-1),Table1[Content Sku],0),16,1,1,"Entities")),"review","ok"),"ok")</f>
        <v>ok</v>
      </c>
    </row>
    <row r="1617" spans="5:25" x14ac:dyDescent="0.25">
      <c r="E1617" t="s">
        <v>253</v>
      </c>
      <c r="F1617">
        <v>0</v>
      </c>
      <c r="G1617">
        <v>0</v>
      </c>
      <c r="H1617" t="s">
        <v>8</v>
      </c>
      <c r="I1617" s="74" t="str">
        <f ca="1">IF(Table7[[#This Row],[Type]]="KILL",IF(_xlfn.NUMBERVALUE(RIGHT(Table7[[#This Row],[Min]],LEN(Table7[[#This Row],[Min]])-FIND("-",Table7[[#This Row],[Min]])))&gt;INDIRECT(ADDRESS(11+MATCH(LEFT(Table7[[#This Row],[Min]],FIND("-",Table7[[#This Row],[Min]])-1),Table1[Content Sku],0),16,1,1,"Entities")),"review","ok"),"ok")</f>
        <v>ok</v>
      </c>
      <c r="U1617" t="s">
        <v>2720</v>
      </c>
      <c r="V1617">
        <v>0</v>
      </c>
      <c r="W1617">
        <v>320</v>
      </c>
      <c r="X1617" t="s">
        <v>4431</v>
      </c>
      <c r="Y1617" s="74" t="str">
        <f ca="1">IF(Table15[[#This Row],[Type]]="KILL",IF(_xlfn.NUMBERVALUE(RIGHT(Table15[[#This Row],[Min]],LEN(Table15[[#This Row],[Min]])-FIND("-",Table15[[#This Row],[Min]])))&gt;INDIRECT(ADDRESS(11+MATCH(LEFT(Table15[[#This Row],[Min]],FIND("-",Table15[[#This Row],[Min]])-1),Table1[Content Sku],0),16,1,1,"Entities")),"review","ok"),"ok")</f>
        <v>ok</v>
      </c>
    </row>
    <row r="1618" spans="5:25" x14ac:dyDescent="0.25">
      <c r="E1618" t="s">
        <v>318</v>
      </c>
      <c r="F1618">
        <v>16000</v>
      </c>
      <c r="G1618">
        <v>0</v>
      </c>
      <c r="H1618" t="s">
        <v>205</v>
      </c>
      <c r="I1618" s="74" t="str">
        <f ca="1">IF(Table7[[#This Row],[Type]]="KILL",IF(_xlfn.NUMBERVALUE(RIGHT(Table7[[#This Row],[Min]],LEN(Table7[[#This Row],[Min]])-FIND("-",Table7[[#This Row],[Min]])))&gt;INDIRECT(ADDRESS(11+MATCH(LEFT(Table7[[#This Row],[Min]],FIND("-",Table7[[#This Row],[Min]])-1),Table1[Content Sku],0),16,1,1,"Entities")),"review","ok"),"ok")</f>
        <v>ok</v>
      </c>
      <c r="U1618" t="s">
        <v>37</v>
      </c>
      <c r="V1618">
        <v>0</v>
      </c>
      <c r="W1618">
        <v>0</v>
      </c>
      <c r="X1618" t="s">
        <v>8</v>
      </c>
      <c r="Y1618" s="74" t="str">
        <f ca="1">IF(Table15[[#This Row],[Type]]="KILL",IF(_xlfn.NUMBERVALUE(RIGHT(Table15[[#This Row],[Min]],LEN(Table15[[#This Row],[Min]])-FIND("-",Table15[[#This Row],[Min]])))&gt;INDIRECT(ADDRESS(11+MATCH(LEFT(Table15[[#This Row],[Min]],FIND("-",Table15[[#This Row],[Min]])-1),Table1[Content Sku],0),16,1,1,"Entities")),"review","ok"),"ok")</f>
        <v>ok</v>
      </c>
    </row>
    <row r="1619" spans="5:25" x14ac:dyDescent="0.25">
      <c r="E1619" t="s">
        <v>90</v>
      </c>
      <c r="F1619">
        <v>0</v>
      </c>
      <c r="G1619">
        <v>15000</v>
      </c>
      <c r="H1619" t="s">
        <v>205</v>
      </c>
      <c r="I1619" s="74" t="str">
        <f ca="1">IF(Table7[[#This Row],[Type]]="KILL",IF(_xlfn.NUMBERVALUE(RIGHT(Table7[[#This Row],[Min]],LEN(Table7[[#This Row],[Min]])-FIND("-",Table7[[#This Row],[Min]])))&gt;INDIRECT(ADDRESS(11+MATCH(LEFT(Table7[[#This Row],[Min]],FIND("-",Table7[[#This Row],[Min]])-1),Table1[Content Sku],0),16,1,1,"Entities")),"review","ok"),"ok")</f>
        <v>ok</v>
      </c>
      <c r="U1619" t="s">
        <v>450</v>
      </c>
      <c r="V1619">
        <v>30000</v>
      </c>
      <c r="W1619">
        <v>0</v>
      </c>
      <c r="X1619" t="s">
        <v>205</v>
      </c>
      <c r="Y1619" s="74" t="str">
        <f ca="1">IF(Table15[[#This Row],[Type]]="KILL",IF(_xlfn.NUMBERVALUE(RIGHT(Table15[[#This Row],[Min]],LEN(Table15[[#This Row],[Min]])-FIND("-",Table15[[#This Row],[Min]])))&gt;INDIRECT(ADDRESS(11+MATCH(LEFT(Table15[[#This Row],[Min]],FIND("-",Table15[[#This Row],[Min]])-1),Table1[Content Sku],0),16,1,1,"Entities")),"review","ok"),"ok")</f>
        <v>ok</v>
      </c>
    </row>
    <row r="1620" spans="5:25" x14ac:dyDescent="0.25">
      <c r="E1620" t="s">
        <v>39</v>
      </c>
      <c r="F1620">
        <v>0</v>
      </c>
      <c r="G1620">
        <v>0</v>
      </c>
      <c r="H1620" t="s">
        <v>8</v>
      </c>
      <c r="I1620" s="74" t="str">
        <f ca="1">IF(Table7[[#This Row],[Type]]="KILL",IF(_xlfn.NUMBERVALUE(RIGHT(Table7[[#This Row],[Min]],LEN(Table7[[#This Row],[Min]])-FIND("-",Table7[[#This Row],[Min]])))&gt;INDIRECT(ADDRESS(11+MATCH(LEFT(Table7[[#This Row],[Min]],FIND("-",Table7[[#This Row],[Min]])-1),Table1[Content Sku],0),16,1,1,"Entities")),"review","ok"),"ok")</f>
        <v>ok</v>
      </c>
      <c r="U1620" t="s">
        <v>37</v>
      </c>
      <c r="V1620">
        <v>0</v>
      </c>
      <c r="W1620">
        <v>0</v>
      </c>
      <c r="X1620" t="s">
        <v>8</v>
      </c>
      <c r="Y1620" s="74" t="str">
        <f ca="1">IF(Table15[[#This Row],[Type]]="KILL",IF(_xlfn.NUMBERVALUE(RIGHT(Table15[[#This Row],[Min]],LEN(Table15[[#This Row],[Min]])-FIND("-",Table15[[#This Row],[Min]])))&gt;INDIRECT(ADDRESS(11+MATCH(LEFT(Table15[[#This Row],[Min]],FIND("-",Table15[[#This Row],[Min]])-1),Table1[Content Sku],0),16,1,1,"Entities")),"review","ok"),"ok")</f>
        <v>ok</v>
      </c>
    </row>
    <row r="1621" spans="5:25" x14ac:dyDescent="0.25">
      <c r="E1621" t="s">
        <v>313</v>
      </c>
      <c r="F1621">
        <v>0</v>
      </c>
      <c r="G1621">
        <v>0</v>
      </c>
      <c r="H1621" t="s">
        <v>8</v>
      </c>
      <c r="I1621" s="74" t="str">
        <f ca="1">IF(Table7[[#This Row],[Type]]="KILL",IF(_xlfn.NUMBERVALUE(RIGHT(Table7[[#This Row],[Min]],LEN(Table7[[#This Row],[Min]])-FIND("-",Table7[[#This Row],[Min]])))&gt;INDIRECT(ADDRESS(11+MATCH(LEFT(Table7[[#This Row],[Min]],FIND("-",Table7[[#This Row],[Min]])-1),Table1[Content Sku],0),16,1,1,"Entities")),"review","ok"),"ok")</f>
        <v>ok</v>
      </c>
      <c r="U1621" t="s">
        <v>460</v>
      </c>
      <c r="V1621">
        <v>0</v>
      </c>
      <c r="W1621">
        <v>0</v>
      </c>
      <c r="X1621" t="s">
        <v>8</v>
      </c>
      <c r="Y1621" s="74" t="str">
        <f ca="1">IF(Table15[[#This Row],[Type]]="KILL",IF(_xlfn.NUMBERVALUE(RIGHT(Table15[[#This Row],[Min]],LEN(Table15[[#This Row],[Min]])-FIND("-",Table15[[#This Row],[Min]])))&gt;INDIRECT(ADDRESS(11+MATCH(LEFT(Table15[[#This Row],[Min]],FIND("-",Table15[[#This Row],[Min]])-1),Table1[Content Sku],0),16,1,1,"Entities")),"review","ok"),"ok")</f>
        <v>ok</v>
      </c>
    </row>
    <row r="1622" spans="5:25" x14ac:dyDescent="0.25">
      <c r="E1622" t="s">
        <v>253</v>
      </c>
      <c r="F1622">
        <v>2000</v>
      </c>
      <c r="G1622">
        <v>0</v>
      </c>
      <c r="H1622" t="s">
        <v>205</v>
      </c>
      <c r="I1622" s="74" t="str">
        <f ca="1">IF(Table7[[#This Row],[Type]]="KILL",IF(_xlfn.NUMBERVALUE(RIGHT(Table7[[#This Row],[Min]],LEN(Table7[[#This Row],[Min]])-FIND("-",Table7[[#This Row],[Min]])))&gt;INDIRECT(ADDRESS(11+MATCH(LEFT(Table7[[#This Row],[Min]],FIND("-",Table7[[#This Row],[Min]])-1),Table1[Content Sku],0),16,1,1,"Entities")),"review","ok"),"ok")</f>
        <v>ok</v>
      </c>
      <c r="U1622" t="s">
        <v>37</v>
      </c>
      <c r="V1622">
        <v>0</v>
      </c>
      <c r="W1622">
        <v>0</v>
      </c>
      <c r="X1622" t="s">
        <v>8</v>
      </c>
      <c r="Y1622" s="74" t="str">
        <f ca="1">IF(Table15[[#This Row],[Type]]="KILL",IF(_xlfn.NUMBERVALUE(RIGHT(Table15[[#This Row],[Min]],LEN(Table15[[#This Row],[Min]])-FIND("-",Table15[[#This Row],[Min]])))&gt;INDIRECT(ADDRESS(11+MATCH(LEFT(Table15[[#This Row],[Min]],FIND("-",Table15[[#This Row],[Min]])-1),Table1[Content Sku],0),16,1,1,"Entities")),"review","ok"),"ok")</f>
        <v>ok</v>
      </c>
    </row>
    <row r="1623" spans="5:25" x14ac:dyDescent="0.25">
      <c r="E1623" t="s">
        <v>311</v>
      </c>
      <c r="F1623">
        <v>5000</v>
      </c>
      <c r="G1623">
        <v>0</v>
      </c>
      <c r="H1623" t="s">
        <v>205</v>
      </c>
      <c r="I1623" s="74" t="str">
        <f ca="1">IF(Table7[[#This Row],[Type]]="KILL",IF(_xlfn.NUMBERVALUE(RIGHT(Table7[[#This Row],[Min]],LEN(Table7[[#This Row],[Min]])-FIND("-",Table7[[#This Row],[Min]])))&gt;INDIRECT(ADDRESS(11+MATCH(LEFT(Table7[[#This Row],[Min]],FIND("-",Table7[[#This Row],[Min]])-1),Table1[Content Sku],0),16,1,1,"Entities")),"review","ok"),"ok")</f>
        <v>ok</v>
      </c>
      <c r="U1623" t="s">
        <v>457</v>
      </c>
      <c r="V1623">
        <v>0</v>
      </c>
      <c r="W1623">
        <v>31000</v>
      </c>
      <c r="X1623" t="s">
        <v>205</v>
      </c>
      <c r="Y1623" s="74" t="str">
        <f ca="1">IF(Table15[[#This Row],[Type]]="KILL",IF(_xlfn.NUMBERVALUE(RIGHT(Table15[[#This Row],[Min]],LEN(Table15[[#This Row],[Min]])-FIND("-",Table15[[#This Row],[Min]])))&gt;INDIRECT(ADDRESS(11+MATCH(LEFT(Table15[[#This Row],[Min]],FIND("-",Table15[[#This Row],[Min]])-1),Table1[Content Sku],0),16,1,1,"Entities")),"review","ok"),"ok")</f>
        <v>ok</v>
      </c>
    </row>
    <row r="1624" spans="5:25" x14ac:dyDescent="0.25">
      <c r="E1624" t="s">
        <v>47</v>
      </c>
      <c r="F1624">
        <v>6000</v>
      </c>
      <c r="G1624">
        <v>12000</v>
      </c>
      <c r="H1624" t="s">
        <v>205</v>
      </c>
      <c r="I1624" s="74" t="str">
        <f ca="1">IF(Table7[[#This Row],[Type]]="KILL",IF(_xlfn.NUMBERVALUE(RIGHT(Table7[[#This Row],[Min]],LEN(Table7[[#This Row],[Min]])-FIND("-",Table7[[#This Row],[Min]])))&gt;INDIRECT(ADDRESS(11+MATCH(LEFT(Table7[[#This Row],[Min]],FIND("-",Table7[[#This Row],[Min]])-1),Table1[Content Sku],0),16,1,1,"Entities")),"review","ok"),"ok")</f>
        <v>ok</v>
      </c>
      <c r="U1624" t="s">
        <v>396</v>
      </c>
      <c r="V1624">
        <v>42000</v>
      </c>
      <c r="W1624">
        <v>0</v>
      </c>
      <c r="X1624" t="s">
        <v>205</v>
      </c>
      <c r="Y1624" s="74" t="str">
        <f ca="1">IF(Table15[[#This Row],[Type]]="KILL",IF(_xlfn.NUMBERVALUE(RIGHT(Table15[[#This Row],[Min]],LEN(Table15[[#This Row],[Min]])-FIND("-",Table15[[#This Row],[Min]])))&gt;INDIRECT(ADDRESS(11+MATCH(LEFT(Table15[[#This Row],[Min]],FIND("-",Table15[[#This Row],[Min]])-1),Table1[Content Sku],0),16,1,1,"Entities")),"review","ok"),"ok")</f>
        <v>ok</v>
      </c>
    </row>
    <row r="1625" spans="5:25" x14ac:dyDescent="0.25">
      <c r="E1625" t="s">
        <v>90</v>
      </c>
      <c r="F1625">
        <v>0</v>
      </c>
      <c r="G1625">
        <v>0</v>
      </c>
      <c r="H1625" t="s">
        <v>8</v>
      </c>
      <c r="I1625" s="74" t="str">
        <f ca="1">IF(Table7[[#This Row],[Type]]="KILL",IF(_xlfn.NUMBERVALUE(RIGHT(Table7[[#This Row],[Min]],LEN(Table7[[#This Row],[Min]])-FIND("-",Table7[[#This Row],[Min]])))&gt;INDIRECT(ADDRESS(11+MATCH(LEFT(Table7[[#This Row],[Min]],FIND("-",Table7[[#This Row],[Min]])-1),Table1[Content Sku],0),16,1,1,"Entities")),"review","ok"),"ok")</f>
        <v>ok</v>
      </c>
      <c r="U1625" t="s">
        <v>398</v>
      </c>
      <c r="V1625">
        <v>0</v>
      </c>
      <c r="W1625">
        <v>0</v>
      </c>
      <c r="X1625" t="s">
        <v>8</v>
      </c>
      <c r="Y1625" s="74" t="str">
        <f ca="1">IF(Table15[[#This Row],[Type]]="KILL",IF(_xlfn.NUMBERVALUE(RIGHT(Table15[[#This Row],[Min]],LEN(Table15[[#This Row],[Min]])-FIND("-",Table15[[#This Row],[Min]])))&gt;INDIRECT(ADDRESS(11+MATCH(LEFT(Table15[[#This Row],[Min]],FIND("-",Table15[[#This Row],[Min]])-1),Table1[Content Sku],0),16,1,1,"Entities")),"review","ok"),"ok")</f>
        <v>ok</v>
      </c>
    </row>
    <row r="1626" spans="5:25" x14ac:dyDescent="0.25">
      <c r="E1626" t="s">
        <v>344</v>
      </c>
      <c r="F1626">
        <v>8000</v>
      </c>
      <c r="G1626">
        <v>0</v>
      </c>
      <c r="H1626" t="s">
        <v>205</v>
      </c>
      <c r="I1626" s="74" t="str">
        <f ca="1">IF(Table7[[#This Row],[Type]]="KILL",IF(_xlfn.NUMBERVALUE(RIGHT(Table7[[#This Row],[Min]],LEN(Table7[[#This Row],[Min]])-FIND("-",Table7[[#This Row],[Min]])))&gt;INDIRECT(ADDRESS(11+MATCH(LEFT(Table7[[#This Row],[Min]],FIND("-",Table7[[#This Row],[Min]])-1),Table1[Content Sku],0),16,1,1,"Entities")),"review","ok"),"ok")</f>
        <v>ok</v>
      </c>
      <c r="U1626" t="s">
        <v>459</v>
      </c>
      <c r="V1626">
        <v>0</v>
      </c>
      <c r="W1626">
        <v>30000</v>
      </c>
      <c r="X1626" t="s">
        <v>205</v>
      </c>
      <c r="Y1626" s="74" t="str">
        <f ca="1">IF(Table15[[#This Row],[Type]]="KILL",IF(_xlfn.NUMBERVALUE(RIGHT(Table15[[#This Row],[Min]],LEN(Table15[[#This Row],[Min]])-FIND("-",Table15[[#This Row],[Min]])))&gt;INDIRECT(ADDRESS(11+MATCH(LEFT(Table15[[#This Row],[Min]],FIND("-",Table15[[#This Row],[Min]])-1),Table1[Content Sku],0),16,1,1,"Entities")),"review","ok"),"ok")</f>
        <v>ok</v>
      </c>
    </row>
    <row r="1627" spans="5:25" x14ac:dyDescent="0.25">
      <c r="E1627" t="s">
        <v>2741</v>
      </c>
      <c r="F1627">
        <v>0</v>
      </c>
      <c r="G1627">
        <v>0</v>
      </c>
      <c r="H1627" t="s">
        <v>8</v>
      </c>
      <c r="I1627" s="74" t="str">
        <f ca="1">IF(Table7[[#This Row],[Type]]="KILL",IF(_xlfn.NUMBERVALUE(RIGHT(Table7[[#This Row],[Min]],LEN(Table7[[#This Row],[Min]])-FIND("-",Table7[[#This Row],[Min]])))&gt;INDIRECT(ADDRESS(11+MATCH(LEFT(Table7[[#This Row],[Min]],FIND("-",Table7[[#This Row],[Min]])-1),Table1[Content Sku],0),16,1,1,"Entities")),"review","ok"),"ok")</f>
        <v>ok</v>
      </c>
      <c r="U1627" t="s">
        <v>315</v>
      </c>
      <c r="V1627">
        <v>0</v>
      </c>
      <c r="W1627">
        <v>0</v>
      </c>
      <c r="X1627" t="s">
        <v>8</v>
      </c>
      <c r="Y1627" s="74" t="str">
        <f ca="1">IF(Table15[[#This Row],[Type]]="KILL",IF(_xlfn.NUMBERVALUE(RIGHT(Table15[[#This Row],[Min]],LEN(Table15[[#This Row],[Min]])-FIND("-",Table15[[#This Row],[Min]])))&gt;INDIRECT(ADDRESS(11+MATCH(LEFT(Table15[[#This Row],[Min]],FIND("-",Table15[[#This Row],[Min]])-1),Table1[Content Sku],0),16,1,1,"Entities")),"review","ok"),"ok")</f>
        <v>ok</v>
      </c>
    </row>
    <row r="1628" spans="5:25" x14ac:dyDescent="0.25">
      <c r="E1628" t="s">
        <v>254</v>
      </c>
      <c r="F1628">
        <v>0</v>
      </c>
      <c r="G1628">
        <v>0</v>
      </c>
      <c r="H1628" t="s">
        <v>8</v>
      </c>
      <c r="I1628" s="74" t="str">
        <f ca="1">IF(Table7[[#This Row],[Type]]="KILL",IF(_xlfn.NUMBERVALUE(RIGHT(Table7[[#This Row],[Min]],LEN(Table7[[#This Row],[Min]])-FIND("-",Table7[[#This Row],[Min]])))&gt;INDIRECT(ADDRESS(11+MATCH(LEFT(Table7[[#This Row],[Min]],FIND("-",Table7[[#This Row],[Min]])-1),Table1[Content Sku],0),16,1,1,"Entities")),"review","ok"),"ok")</f>
        <v>ok</v>
      </c>
      <c r="U1628" t="s">
        <v>309</v>
      </c>
      <c r="V1628">
        <v>31000</v>
      </c>
      <c r="W1628">
        <v>0</v>
      </c>
      <c r="X1628" t="s">
        <v>205</v>
      </c>
      <c r="Y1628" s="74" t="str">
        <f ca="1">IF(Table15[[#This Row],[Type]]="KILL",IF(_xlfn.NUMBERVALUE(RIGHT(Table15[[#This Row],[Min]],LEN(Table15[[#This Row],[Min]])-FIND("-",Table15[[#This Row],[Min]])))&gt;INDIRECT(ADDRESS(11+MATCH(LEFT(Table15[[#This Row],[Min]],FIND("-",Table15[[#This Row],[Min]])-1),Table1[Content Sku],0),16,1,1,"Entities")),"review","ok"),"ok")</f>
        <v>ok</v>
      </c>
    </row>
    <row r="1629" spans="5:25" x14ac:dyDescent="0.25">
      <c r="E1629" t="s">
        <v>313</v>
      </c>
      <c r="F1629">
        <v>0</v>
      </c>
      <c r="G1629">
        <v>0</v>
      </c>
      <c r="H1629" t="s">
        <v>8</v>
      </c>
      <c r="I1629" s="74" t="str">
        <f ca="1">IF(Table7[[#This Row],[Type]]="KILL",IF(_xlfn.NUMBERVALUE(RIGHT(Table7[[#This Row],[Min]],LEN(Table7[[#This Row],[Min]])-FIND("-",Table7[[#This Row],[Min]])))&gt;INDIRECT(ADDRESS(11+MATCH(LEFT(Table7[[#This Row],[Min]],FIND("-",Table7[[#This Row],[Min]])-1),Table1[Content Sku],0),16,1,1,"Entities")),"review","ok"),"ok")</f>
        <v>ok</v>
      </c>
      <c r="U1629" t="s">
        <v>273</v>
      </c>
      <c r="V1629">
        <v>45000</v>
      </c>
      <c r="W1629">
        <v>0</v>
      </c>
      <c r="X1629" t="s">
        <v>205</v>
      </c>
      <c r="Y1629" s="74" t="str">
        <f ca="1">IF(Table15[[#This Row],[Type]]="KILL",IF(_xlfn.NUMBERVALUE(RIGHT(Table15[[#This Row],[Min]],LEN(Table15[[#This Row],[Min]])-FIND("-",Table15[[#This Row],[Min]])))&gt;INDIRECT(ADDRESS(11+MATCH(LEFT(Table15[[#This Row],[Min]],FIND("-",Table15[[#This Row],[Min]])-1),Table1[Content Sku],0),16,1,1,"Entities")),"review","ok"),"ok")</f>
        <v>ok</v>
      </c>
    </row>
    <row r="1630" spans="5:25" x14ac:dyDescent="0.25">
      <c r="E1630" t="s">
        <v>48</v>
      </c>
      <c r="F1630">
        <v>7000</v>
      </c>
      <c r="G1630">
        <v>0</v>
      </c>
      <c r="H1630" t="s">
        <v>205</v>
      </c>
      <c r="I1630" s="74" t="str">
        <f ca="1">IF(Table7[[#This Row],[Type]]="KILL",IF(_xlfn.NUMBERVALUE(RIGHT(Table7[[#This Row],[Min]],LEN(Table7[[#This Row],[Min]])-FIND("-",Table7[[#This Row],[Min]])))&gt;INDIRECT(ADDRESS(11+MATCH(LEFT(Table7[[#This Row],[Min]],FIND("-",Table7[[#This Row],[Min]])-1),Table1[Content Sku],0),16,1,1,"Entities")),"review","ok"),"ok")</f>
        <v>ok</v>
      </c>
      <c r="U1630" t="s">
        <v>313</v>
      </c>
      <c r="V1630">
        <v>0</v>
      </c>
      <c r="W1630">
        <v>0</v>
      </c>
      <c r="X1630" t="s">
        <v>8</v>
      </c>
      <c r="Y1630" s="74" t="str">
        <f ca="1">IF(Table15[[#This Row],[Type]]="KILL",IF(_xlfn.NUMBERVALUE(RIGHT(Table15[[#This Row],[Min]],LEN(Table15[[#This Row],[Min]])-FIND("-",Table15[[#This Row],[Min]])))&gt;INDIRECT(ADDRESS(11+MATCH(LEFT(Table15[[#This Row],[Min]],FIND("-",Table15[[#This Row],[Min]])-1),Table1[Content Sku],0),16,1,1,"Entities")),"review","ok"),"ok")</f>
        <v>ok</v>
      </c>
    </row>
    <row r="1631" spans="5:25" x14ac:dyDescent="0.25">
      <c r="E1631" t="s">
        <v>396</v>
      </c>
      <c r="F1631">
        <v>0</v>
      </c>
      <c r="G1631">
        <v>0</v>
      </c>
      <c r="H1631" t="s">
        <v>8</v>
      </c>
      <c r="I1631" s="74" t="str">
        <f ca="1">IF(Table7[[#This Row],[Type]]="KILL",IF(_xlfn.NUMBERVALUE(RIGHT(Table7[[#This Row],[Min]],LEN(Table7[[#This Row],[Min]])-FIND("-",Table7[[#This Row],[Min]])))&gt;INDIRECT(ADDRESS(11+MATCH(LEFT(Table7[[#This Row],[Min]],FIND("-",Table7[[#This Row],[Min]])-1),Table1[Content Sku],0),16,1,1,"Entities")),"review","ok"),"ok")</f>
        <v>ok</v>
      </c>
      <c r="U1631" t="s">
        <v>22</v>
      </c>
      <c r="V1631">
        <v>50000</v>
      </c>
      <c r="W1631">
        <v>0</v>
      </c>
      <c r="X1631" t="s">
        <v>205</v>
      </c>
      <c r="Y1631" s="74" t="str">
        <f ca="1">IF(Table15[[#This Row],[Type]]="KILL",IF(_xlfn.NUMBERVALUE(RIGHT(Table15[[#This Row],[Min]],LEN(Table15[[#This Row],[Min]])-FIND("-",Table15[[#This Row],[Min]])))&gt;INDIRECT(ADDRESS(11+MATCH(LEFT(Table15[[#This Row],[Min]],FIND("-",Table15[[#This Row],[Min]])-1),Table1[Content Sku],0),16,1,1,"Entities")),"review","ok"),"ok")</f>
        <v>ok</v>
      </c>
    </row>
    <row r="1632" spans="5:25" x14ac:dyDescent="0.25">
      <c r="E1632" t="s">
        <v>311</v>
      </c>
      <c r="F1632">
        <v>0</v>
      </c>
      <c r="G1632">
        <v>0</v>
      </c>
      <c r="H1632" t="s">
        <v>8</v>
      </c>
      <c r="I1632" s="74" t="str">
        <f ca="1">IF(Table7[[#This Row],[Type]]="KILL",IF(_xlfn.NUMBERVALUE(RIGHT(Table7[[#This Row],[Min]],LEN(Table7[[#This Row],[Min]])-FIND("-",Table7[[#This Row],[Min]])))&gt;INDIRECT(ADDRESS(11+MATCH(LEFT(Table7[[#This Row],[Min]],FIND("-",Table7[[#This Row],[Min]])-1),Table1[Content Sku],0),16,1,1,"Entities")),"review","ok"),"ok")</f>
        <v>ok</v>
      </c>
      <c r="U1632" t="s">
        <v>46</v>
      </c>
      <c r="V1632">
        <v>0</v>
      </c>
      <c r="W1632">
        <v>0</v>
      </c>
      <c r="X1632" t="s">
        <v>8</v>
      </c>
      <c r="Y1632" s="74" t="str">
        <f ca="1">IF(Table15[[#This Row],[Type]]="KILL",IF(_xlfn.NUMBERVALUE(RIGHT(Table15[[#This Row],[Min]],LEN(Table15[[#This Row],[Min]])-FIND("-",Table15[[#This Row],[Min]])))&gt;INDIRECT(ADDRESS(11+MATCH(LEFT(Table15[[#This Row],[Min]],FIND("-",Table15[[#This Row],[Min]])-1),Table1[Content Sku],0),16,1,1,"Entities")),"review","ok"),"ok")</f>
        <v>ok</v>
      </c>
    </row>
    <row r="1633" spans="5:25" x14ac:dyDescent="0.25">
      <c r="E1633" t="s">
        <v>254</v>
      </c>
      <c r="F1633">
        <v>0</v>
      </c>
      <c r="G1633">
        <v>13000</v>
      </c>
      <c r="H1633" t="s">
        <v>205</v>
      </c>
      <c r="I1633" s="74" t="str">
        <f ca="1">IF(Table7[[#This Row],[Type]]="KILL",IF(_xlfn.NUMBERVALUE(RIGHT(Table7[[#This Row],[Min]],LEN(Table7[[#This Row],[Min]])-FIND("-",Table7[[#This Row],[Min]])))&gt;INDIRECT(ADDRESS(11+MATCH(LEFT(Table7[[#This Row],[Min]],FIND("-",Table7[[#This Row],[Min]])-1),Table1[Content Sku],0),16,1,1,"Entities")),"review","ok"),"ok")</f>
        <v>ok</v>
      </c>
      <c r="U1633" t="s">
        <v>122</v>
      </c>
      <c r="V1633">
        <v>20000</v>
      </c>
      <c r="W1633">
        <v>0</v>
      </c>
      <c r="X1633" t="s">
        <v>205</v>
      </c>
      <c r="Y1633" s="74" t="str">
        <f ca="1">IF(Table15[[#This Row],[Type]]="KILL",IF(_xlfn.NUMBERVALUE(RIGHT(Table15[[#This Row],[Min]],LEN(Table15[[#This Row],[Min]])-FIND("-",Table15[[#This Row],[Min]])))&gt;INDIRECT(ADDRESS(11+MATCH(LEFT(Table15[[#This Row],[Min]],FIND("-",Table15[[#This Row],[Min]])-1),Table1[Content Sku],0),16,1,1,"Entities")),"review","ok"),"ok")</f>
        <v>ok</v>
      </c>
    </row>
    <row r="1634" spans="5:25" x14ac:dyDescent="0.25">
      <c r="E1634" t="s">
        <v>313</v>
      </c>
      <c r="F1634">
        <v>2800</v>
      </c>
      <c r="G1634">
        <v>0</v>
      </c>
      <c r="H1634" t="s">
        <v>205</v>
      </c>
      <c r="I1634" s="74" t="str">
        <f ca="1">IF(Table7[[#This Row],[Type]]="KILL",IF(_xlfn.NUMBERVALUE(RIGHT(Table7[[#This Row],[Min]],LEN(Table7[[#This Row],[Min]])-FIND("-",Table7[[#This Row],[Min]])))&gt;INDIRECT(ADDRESS(11+MATCH(LEFT(Table7[[#This Row],[Min]],FIND("-",Table7[[#This Row],[Min]])-1),Table1[Content Sku],0),16,1,1,"Entities")),"review","ok"),"ok")</f>
        <v>ok</v>
      </c>
      <c r="U1634" t="s">
        <v>123</v>
      </c>
      <c r="V1634">
        <v>0</v>
      </c>
      <c r="W1634">
        <v>0</v>
      </c>
      <c r="X1634" t="s">
        <v>8</v>
      </c>
      <c r="Y1634" s="74" t="str">
        <f ca="1">IF(Table15[[#This Row],[Type]]="KILL",IF(_xlfn.NUMBERVALUE(RIGHT(Table15[[#This Row],[Min]],LEN(Table15[[#This Row],[Min]])-FIND("-",Table15[[#This Row],[Min]])))&gt;INDIRECT(ADDRESS(11+MATCH(LEFT(Table15[[#This Row],[Min]],FIND("-",Table15[[#This Row],[Min]])-1),Table1[Content Sku],0),16,1,1,"Entities")),"review","ok"),"ok")</f>
        <v>ok</v>
      </c>
    </row>
    <row r="1635" spans="5:25" x14ac:dyDescent="0.25">
      <c r="E1635" t="s">
        <v>2726</v>
      </c>
      <c r="F1635">
        <v>0</v>
      </c>
      <c r="G1635">
        <v>0</v>
      </c>
      <c r="H1635" t="s">
        <v>8</v>
      </c>
      <c r="I1635" s="74" t="str">
        <f ca="1">IF(Table7[[#This Row],[Type]]="KILL",IF(_xlfn.NUMBERVALUE(RIGHT(Table7[[#This Row],[Min]],LEN(Table7[[#This Row],[Min]])-FIND("-",Table7[[#This Row],[Min]])))&gt;INDIRECT(ADDRESS(11+MATCH(LEFT(Table7[[#This Row],[Min]],FIND("-",Table7[[#This Row],[Min]])-1),Table1[Content Sku],0),16,1,1,"Entities")),"review","ok"),"ok")</f>
        <v>ok</v>
      </c>
      <c r="U1635" t="s">
        <v>37</v>
      </c>
      <c r="V1635">
        <v>0</v>
      </c>
      <c r="W1635">
        <v>0</v>
      </c>
      <c r="X1635" t="s">
        <v>8</v>
      </c>
      <c r="Y1635" s="74" t="str">
        <f ca="1">IF(Table15[[#This Row],[Type]]="KILL",IF(_xlfn.NUMBERVALUE(RIGHT(Table15[[#This Row],[Min]],LEN(Table15[[#This Row],[Min]])-FIND("-",Table15[[#This Row],[Min]])))&gt;INDIRECT(ADDRESS(11+MATCH(LEFT(Table15[[#This Row],[Min]],FIND("-",Table15[[#This Row],[Min]])-1),Table1[Content Sku],0),16,1,1,"Entities")),"review","ok"),"ok")</f>
        <v>ok</v>
      </c>
    </row>
    <row r="1636" spans="5:25" x14ac:dyDescent="0.25">
      <c r="E1636" t="s">
        <v>295</v>
      </c>
      <c r="F1636">
        <v>0</v>
      </c>
      <c r="G1636">
        <v>8000</v>
      </c>
      <c r="H1636" t="s">
        <v>205</v>
      </c>
      <c r="I1636" s="74" t="str">
        <f ca="1">IF(Table7[[#This Row],[Type]]="KILL",IF(_xlfn.NUMBERVALUE(RIGHT(Table7[[#This Row],[Min]],LEN(Table7[[#This Row],[Min]])-FIND("-",Table7[[#This Row],[Min]])))&gt;INDIRECT(ADDRESS(11+MATCH(LEFT(Table7[[#This Row],[Min]],FIND("-",Table7[[#This Row],[Min]])-1),Table1[Content Sku],0),16,1,1,"Entities")),"review","ok"),"ok")</f>
        <v>ok</v>
      </c>
      <c r="U1636" t="s">
        <v>400</v>
      </c>
      <c r="V1636">
        <v>0</v>
      </c>
      <c r="W1636">
        <v>0</v>
      </c>
      <c r="X1636" t="s">
        <v>8</v>
      </c>
      <c r="Y1636" s="74" t="str">
        <f ca="1">IF(Table15[[#This Row],[Type]]="KILL",IF(_xlfn.NUMBERVALUE(RIGHT(Table15[[#This Row],[Min]],LEN(Table15[[#This Row],[Min]])-FIND("-",Table15[[#This Row],[Min]])))&gt;INDIRECT(ADDRESS(11+MATCH(LEFT(Table15[[#This Row],[Min]],FIND("-",Table15[[#This Row],[Min]])-1),Table1[Content Sku],0),16,1,1,"Entities")),"review","ok"),"ok")</f>
        <v>ok</v>
      </c>
    </row>
    <row r="1637" spans="5:25" x14ac:dyDescent="0.25">
      <c r="E1637" t="s">
        <v>545</v>
      </c>
      <c r="F1637">
        <v>0</v>
      </c>
      <c r="G1637">
        <v>0</v>
      </c>
      <c r="H1637" t="s">
        <v>8</v>
      </c>
      <c r="I1637" s="74" t="str">
        <f ca="1">IF(Table7[[#This Row],[Type]]="KILL",IF(_xlfn.NUMBERVALUE(RIGHT(Table7[[#This Row],[Min]],LEN(Table7[[#This Row],[Min]])-FIND("-",Table7[[#This Row],[Min]])))&gt;INDIRECT(ADDRESS(11+MATCH(LEFT(Table7[[#This Row],[Min]],FIND("-",Table7[[#This Row],[Min]])-1),Table1[Content Sku],0),16,1,1,"Entities")),"review","ok"),"ok")</f>
        <v>ok</v>
      </c>
      <c r="U1637" t="s">
        <v>276</v>
      </c>
      <c r="V1637">
        <v>0</v>
      </c>
      <c r="W1637">
        <v>42000</v>
      </c>
      <c r="X1637" t="s">
        <v>205</v>
      </c>
      <c r="Y1637" s="74" t="str">
        <f ca="1">IF(Table15[[#This Row],[Type]]="KILL",IF(_xlfn.NUMBERVALUE(RIGHT(Table15[[#This Row],[Min]],LEN(Table15[[#This Row],[Min]])-FIND("-",Table15[[#This Row],[Min]])))&gt;INDIRECT(ADDRESS(11+MATCH(LEFT(Table15[[#This Row],[Min]],FIND("-",Table15[[#This Row],[Min]])-1),Table1[Content Sku],0),16,1,1,"Entities")),"review","ok"),"ok")</f>
        <v>ok</v>
      </c>
    </row>
    <row r="1638" spans="5:25" x14ac:dyDescent="0.25">
      <c r="E1638" t="s">
        <v>2734</v>
      </c>
      <c r="F1638">
        <v>0</v>
      </c>
      <c r="G1638">
        <v>0</v>
      </c>
      <c r="H1638" t="s">
        <v>8</v>
      </c>
      <c r="I1638" s="74" t="str">
        <f ca="1">IF(Table7[[#This Row],[Type]]="KILL",IF(_xlfn.NUMBERVALUE(RIGHT(Table7[[#This Row],[Min]],LEN(Table7[[#This Row],[Min]])-FIND("-",Table7[[#This Row],[Min]])))&gt;INDIRECT(ADDRESS(11+MATCH(LEFT(Table7[[#This Row],[Min]],FIND("-",Table7[[#This Row],[Min]])-1),Table1[Content Sku],0),16,1,1,"Entities")),"review","ok"),"ok")</f>
        <v>ok</v>
      </c>
      <c r="U1638" t="s">
        <v>306</v>
      </c>
      <c r="V1638" t="s">
        <v>8128</v>
      </c>
      <c r="W1638" t="s">
        <v>4467</v>
      </c>
      <c r="X1638" t="s">
        <v>4468</v>
      </c>
      <c r="Y1638" s="74" t="str">
        <f ca="1">IF(Table15[[#This Row],[Type]]="KILL",IF(_xlfn.NUMBERVALUE(RIGHT(Table15[[#This Row],[Min]],LEN(Table15[[#This Row],[Min]])-FIND("-",Table15[[#This Row],[Min]])))&gt;INDIRECT(ADDRESS(11+MATCH(LEFT(Table15[[#This Row],[Min]],FIND("-",Table15[[#This Row],[Min]])-1),Table1[Content Sku],0),16,1,1,"Entities")),"review","ok"),"ok")</f>
        <v>ok</v>
      </c>
    </row>
    <row r="1639" spans="5:25" x14ac:dyDescent="0.25">
      <c r="E1639" t="s">
        <v>340</v>
      </c>
      <c r="F1639">
        <v>0</v>
      </c>
      <c r="G1639">
        <v>0</v>
      </c>
      <c r="H1639" t="s">
        <v>8</v>
      </c>
      <c r="I1639" s="74" t="str">
        <f ca="1">IF(Table7[[#This Row],[Type]]="KILL",IF(_xlfn.NUMBERVALUE(RIGHT(Table7[[#This Row],[Min]],LEN(Table7[[#This Row],[Min]])-FIND("-",Table7[[#This Row],[Min]])))&gt;INDIRECT(ADDRESS(11+MATCH(LEFT(Table7[[#This Row],[Min]],FIND("-",Table7[[#This Row],[Min]])-1),Table1[Content Sku],0),16,1,1,"Entities")),"review","ok"),"ok")</f>
        <v>ok</v>
      </c>
      <c r="U1639" t="s">
        <v>46</v>
      </c>
      <c r="V1639">
        <v>0</v>
      </c>
      <c r="W1639">
        <v>0</v>
      </c>
      <c r="X1639" t="s">
        <v>8</v>
      </c>
      <c r="Y1639" s="74" t="str">
        <f ca="1">IF(Table15[[#This Row],[Type]]="KILL",IF(_xlfn.NUMBERVALUE(RIGHT(Table15[[#This Row],[Min]],LEN(Table15[[#This Row],[Min]])-FIND("-",Table15[[#This Row],[Min]])))&gt;INDIRECT(ADDRESS(11+MATCH(LEFT(Table15[[#This Row],[Min]],FIND("-",Table15[[#This Row],[Min]])-1),Table1[Content Sku],0),16,1,1,"Entities")),"review","ok"),"ok")</f>
        <v>ok</v>
      </c>
    </row>
    <row r="1640" spans="5:25" x14ac:dyDescent="0.25">
      <c r="E1640" t="s">
        <v>346</v>
      </c>
      <c r="F1640">
        <v>40000</v>
      </c>
      <c r="G1640">
        <v>0</v>
      </c>
      <c r="H1640" t="s">
        <v>205</v>
      </c>
      <c r="I1640" s="74" t="str">
        <f ca="1">IF(Table7[[#This Row],[Type]]="KILL",IF(_xlfn.NUMBERVALUE(RIGHT(Table7[[#This Row],[Min]],LEN(Table7[[#This Row],[Min]])-FIND("-",Table7[[#This Row],[Min]])))&gt;INDIRECT(ADDRESS(11+MATCH(LEFT(Table7[[#This Row],[Min]],FIND("-",Table7[[#This Row],[Min]])-1),Table1[Content Sku],0),16,1,1,"Entities")),"review","ok"),"ok")</f>
        <v>ok</v>
      </c>
      <c r="U1640" t="s">
        <v>443</v>
      </c>
      <c r="V1640">
        <v>0</v>
      </c>
      <c r="W1640">
        <v>0</v>
      </c>
      <c r="X1640" t="s">
        <v>8</v>
      </c>
      <c r="Y1640" s="74" t="str">
        <f ca="1">IF(Table15[[#This Row],[Type]]="KILL",IF(_xlfn.NUMBERVALUE(RIGHT(Table15[[#This Row],[Min]],LEN(Table15[[#This Row],[Min]])-FIND("-",Table15[[#This Row],[Min]])))&gt;INDIRECT(ADDRESS(11+MATCH(LEFT(Table15[[#This Row],[Min]],FIND("-",Table15[[#This Row],[Min]])-1),Table1[Content Sku],0),16,1,1,"Entities")),"review","ok"),"ok")</f>
        <v>ok</v>
      </c>
    </row>
    <row r="1641" spans="5:25" x14ac:dyDescent="0.25">
      <c r="E1641" t="s">
        <v>253</v>
      </c>
      <c r="F1641">
        <v>0</v>
      </c>
      <c r="G1641">
        <v>0</v>
      </c>
      <c r="H1641" t="s">
        <v>8</v>
      </c>
      <c r="I1641" s="74" t="str">
        <f ca="1">IF(Table7[[#This Row],[Type]]="KILL",IF(_xlfn.NUMBERVALUE(RIGHT(Table7[[#This Row],[Min]],LEN(Table7[[#This Row],[Min]])-FIND("-",Table7[[#This Row],[Min]])))&gt;INDIRECT(ADDRESS(11+MATCH(LEFT(Table7[[#This Row],[Min]],FIND("-",Table7[[#This Row],[Min]])-1),Table1[Content Sku],0),16,1,1,"Entities")),"review","ok"),"ok")</f>
        <v>ok</v>
      </c>
      <c r="U1641" t="s">
        <v>123</v>
      </c>
      <c r="V1641">
        <v>0</v>
      </c>
      <c r="W1641">
        <v>0</v>
      </c>
      <c r="X1641" t="s">
        <v>8</v>
      </c>
      <c r="Y1641" s="74" t="str">
        <f ca="1">IF(Table15[[#This Row],[Type]]="KILL",IF(_xlfn.NUMBERVALUE(RIGHT(Table15[[#This Row],[Min]],LEN(Table15[[#This Row],[Min]])-FIND("-",Table15[[#This Row],[Min]])))&gt;INDIRECT(ADDRESS(11+MATCH(LEFT(Table15[[#This Row],[Min]],FIND("-",Table15[[#This Row],[Min]])-1),Table1[Content Sku],0),16,1,1,"Entities")),"review","ok"),"ok")</f>
        <v>ok</v>
      </c>
    </row>
    <row r="1642" spans="5:25" x14ac:dyDescent="0.25">
      <c r="E1642" t="s">
        <v>254</v>
      </c>
      <c r="F1642">
        <v>10000</v>
      </c>
      <c r="G1642">
        <v>0</v>
      </c>
      <c r="H1642" t="s">
        <v>205</v>
      </c>
      <c r="I1642" s="74" t="str">
        <f ca="1">IF(Table7[[#This Row],[Type]]="KILL",IF(_xlfn.NUMBERVALUE(RIGHT(Table7[[#This Row],[Min]],LEN(Table7[[#This Row],[Min]])-FIND("-",Table7[[#This Row],[Min]])))&gt;INDIRECT(ADDRESS(11+MATCH(LEFT(Table7[[#This Row],[Min]],FIND("-",Table7[[#This Row],[Min]])-1),Table1[Content Sku],0),16,1,1,"Entities")),"review","ok"),"ok")</f>
        <v>ok</v>
      </c>
      <c r="U1642" t="s">
        <v>2720</v>
      </c>
      <c r="V1642">
        <v>0</v>
      </c>
      <c r="W1642">
        <v>0</v>
      </c>
      <c r="X1642" t="s">
        <v>8</v>
      </c>
      <c r="Y1642" s="74" t="str">
        <f ca="1">IF(Table15[[#This Row],[Type]]="KILL",IF(_xlfn.NUMBERVALUE(RIGHT(Table15[[#This Row],[Min]],LEN(Table15[[#This Row],[Min]])-FIND("-",Table15[[#This Row],[Min]])))&gt;INDIRECT(ADDRESS(11+MATCH(LEFT(Table15[[#This Row],[Min]],FIND("-",Table15[[#This Row],[Min]])-1),Table1[Content Sku],0),16,1,1,"Entities")),"review","ok"),"ok")</f>
        <v>ok</v>
      </c>
    </row>
    <row r="1643" spans="5:25" x14ac:dyDescent="0.25">
      <c r="E1643" t="s">
        <v>258</v>
      </c>
      <c r="F1643">
        <v>24000</v>
      </c>
      <c r="G1643">
        <v>0</v>
      </c>
      <c r="H1643" t="s">
        <v>205</v>
      </c>
      <c r="I1643" s="74" t="str">
        <f ca="1">IF(Table7[[#This Row],[Type]]="KILL",IF(_xlfn.NUMBERVALUE(RIGHT(Table7[[#This Row],[Min]],LEN(Table7[[#This Row],[Min]])-FIND("-",Table7[[#This Row],[Min]])))&gt;INDIRECT(ADDRESS(11+MATCH(LEFT(Table7[[#This Row],[Min]],FIND("-",Table7[[#This Row],[Min]])-1),Table1[Content Sku],0),16,1,1,"Entities")),"review","ok"),"ok")</f>
        <v>ok</v>
      </c>
      <c r="U1643" t="s">
        <v>457</v>
      </c>
      <c r="V1643">
        <v>0</v>
      </c>
      <c r="W1643">
        <v>0</v>
      </c>
      <c r="X1643" t="s">
        <v>8</v>
      </c>
      <c r="Y1643" s="74" t="str">
        <f ca="1">IF(Table15[[#This Row],[Type]]="KILL",IF(_xlfn.NUMBERVALUE(RIGHT(Table15[[#This Row],[Min]],LEN(Table15[[#This Row],[Min]])-FIND("-",Table15[[#This Row],[Min]])))&gt;INDIRECT(ADDRESS(11+MATCH(LEFT(Table15[[#This Row],[Min]],FIND("-",Table15[[#This Row],[Min]])-1),Table1[Content Sku],0),16,1,1,"Entities")),"review","ok"),"ok")</f>
        <v>ok</v>
      </c>
    </row>
    <row r="1644" spans="5:25" x14ac:dyDescent="0.25">
      <c r="E1644" t="s">
        <v>313</v>
      </c>
      <c r="F1644">
        <v>0</v>
      </c>
      <c r="G1644">
        <v>0</v>
      </c>
      <c r="H1644" t="s">
        <v>8</v>
      </c>
      <c r="I1644" s="74" t="str">
        <f ca="1">IF(Table7[[#This Row],[Type]]="KILL",IF(_xlfn.NUMBERVALUE(RIGHT(Table7[[#This Row],[Min]],LEN(Table7[[#This Row],[Min]])-FIND("-",Table7[[#This Row],[Min]])))&gt;INDIRECT(ADDRESS(11+MATCH(LEFT(Table7[[#This Row],[Min]],FIND("-",Table7[[#This Row],[Min]])-1),Table1[Content Sku],0),16,1,1,"Entities")),"review","ok"),"ok")</f>
        <v>ok</v>
      </c>
      <c r="U1644" t="s">
        <v>457</v>
      </c>
      <c r="V1644">
        <v>0</v>
      </c>
      <c r="W1644">
        <v>0</v>
      </c>
      <c r="X1644" t="s">
        <v>8</v>
      </c>
      <c r="Y1644" s="74" t="str">
        <f ca="1">IF(Table15[[#This Row],[Type]]="KILL",IF(_xlfn.NUMBERVALUE(RIGHT(Table15[[#This Row],[Min]],LEN(Table15[[#This Row],[Min]])-FIND("-",Table15[[#This Row],[Min]])))&gt;INDIRECT(ADDRESS(11+MATCH(LEFT(Table15[[#This Row],[Min]],FIND("-",Table15[[#This Row],[Min]])-1),Table1[Content Sku],0),16,1,1,"Entities")),"review","ok"),"ok")</f>
        <v>ok</v>
      </c>
    </row>
    <row r="1645" spans="5:25" x14ac:dyDescent="0.25">
      <c r="E1645" t="s">
        <v>295</v>
      </c>
      <c r="F1645" t="s">
        <v>8119</v>
      </c>
      <c r="G1645" t="s">
        <v>4467</v>
      </c>
      <c r="H1645" t="s">
        <v>4468</v>
      </c>
      <c r="I1645" s="74" t="str">
        <f ca="1">IF(Table7[[#This Row],[Type]]="KILL",IF(_xlfn.NUMBERVALUE(RIGHT(Table7[[#This Row],[Min]],LEN(Table7[[#This Row],[Min]])-FIND("-",Table7[[#This Row],[Min]])))&gt;INDIRECT(ADDRESS(11+MATCH(LEFT(Table7[[#This Row],[Min]],FIND("-",Table7[[#This Row],[Min]])-1),Table1[Content Sku],0),16,1,1,"Entities")),"review","ok"),"ok")</f>
        <v>ok</v>
      </c>
      <c r="U1645" t="s">
        <v>36</v>
      </c>
      <c r="V1645">
        <v>0</v>
      </c>
      <c r="W1645">
        <v>0</v>
      </c>
      <c r="X1645" t="s">
        <v>8</v>
      </c>
      <c r="Y1645" s="74" t="str">
        <f ca="1">IF(Table15[[#This Row],[Type]]="KILL",IF(_xlfn.NUMBERVALUE(RIGHT(Table15[[#This Row],[Min]],LEN(Table15[[#This Row],[Min]])-FIND("-",Table15[[#This Row],[Min]])))&gt;INDIRECT(ADDRESS(11+MATCH(LEFT(Table15[[#This Row],[Min]],FIND("-",Table15[[#This Row],[Min]])-1),Table1[Content Sku],0),16,1,1,"Entities")),"review","ok"),"ok")</f>
        <v>ok</v>
      </c>
    </row>
    <row r="1646" spans="5:25" x14ac:dyDescent="0.25">
      <c r="E1646" t="s">
        <v>90</v>
      </c>
      <c r="F1646">
        <v>0</v>
      </c>
      <c r="G1646">
        <v>0</v>
      </c>
      <c r="H1646" t="s">
        <v>8</v>
      </c>
      <c r="I1646" s="74" t="str">
        <f ca="1">IF(Table7[[#This Row],[Type]]="KILL",IF(_xlfn.NUMBERVALUE(RIGHT(Table7[[#This Row],[Min]],LEN(Table7[[#This Row],[Min]])-FIND("-",Table7[[#This Row],[Min]])))&gt;INDIRECT(ADDRESS(11+MATCH(LEFT(Table7[[#This Row],[Min]],FIND("-",Table7[[#This Row],[Min]])-1),Table1[Content Sku],0),16,1,1,"Entities")),"review","ok"),"ok")</f>
        <v>ok</v>
      </c>
      <c r="U1646" t="s">
        <v>457</v>
      </c>
      <c r="V1646">
        <v>0</v>
      </c>
      <c r="W1646">
        <v>0</v>
      </c>
      <c r="X1646" t="s">
        <v>8</v>
      </c>
      <c r="Y1646" s="74" t="str">
        <f ca="1">IF(Table15[[#This Row],[Type]]="KILL",IF(_xlfn.NUMBERVALUE(RIGHT(Table15[[#This Row],[Min]],LEN(Table15[[#This Row],[Min]])-FIND("-",Table15[[#This Row],[Min]])))&gt;INDIRECT(ADDRESS(11+MATCH(LEFT(Table15[[#This Row],[Min]],FIND("-",Table15[[#This Row],[Min]])-1),Table1[Content Sku],0),16,1,1,"Entities")),"review","ok"),"ok")</f>
        <v>ok</v>
      </c>
    </row>
    <row r="1647" spans="5:25" x14ac:dyDescent="0.25">
      <c r="E1647" t="s">
        <v>2741</v>
      </c>
      <c r="F1647">
        <v>0</v>
      </c>
      <c r="G1647">
        <v>0</v>
      </c>
      <c r="H1647" t="s">
        <v>8</v>
      </c>
      <c r="I1647" s="74" t="str">
        <f ca="1">IF(Table7[[#This Row],[Type]]="KILL",IF(_xlfn.NUMBERVALUE(RIGHT(Table7[[#This Row],[Min]],LEN(Table7[[#This Row],[Min]])-FIND("-",Table7[[#This Row],[Min]])))&gt;INDIRECT(ADDRESS(11+MATCH(LEFT(Table7[[#This Row],[Min]],FIND("-",Table7[[#This Row],[Min]])-1),Table1[Content Sku],0),16,1,1,"Entities")),"review","ok"),"ok")</f>
        <v>ok</v>
      </c>
      <c r="U1647" t="s">
        <v>2720</v>
      </c>
      <c r="V1647">
        <v>0</v>
      </c>
      <c r="W1647">
        <v>0</v>
      </c>
      <c r="X1647" t="s">
        <v>8</v>
      </c>
      <c r="Y1647" s="74" t="str">
        <f ca="1">IF(Table15[[#This Row],[Type]]="KILL",IF(_xlfn.NUMBERVALUE(RIGHT(Table15[[#This Row],[Min]],LEN(Table15[[#This Row],[Min]])-FIND("-",Table15[[#This Row],[Min]])))&gt;INDIRECT(ADDRESS(11+MATCH(LEFT(Table15[[#This Row],[Min]],FIND("-",Table15[[#This Row],[Min]])-1),Table1[Content Sku],0),16,1,1,"Entities")),"review","ok"),"ok")</f>
        <v>ok</v>
      </c>
    </row>
    <row r="1648" spans="5:25" x14ac:dyDescent="0.25">
      <c r="E1648" t="s">
        <v>2736</v>
      </c>
      <c r="F1648">
        <v>0</v>
      </c>
      <c r="G1648">
        <v>0</v>
      </c>
      <c r="H1648" t="s">
        <v>8</v>
      </c>
      <c r="I1648" s="74" t="str">
        <f ca="1">IF(Table7[[#This Row],[Type]]="KILL",IF(_xlfn.NUMBERVALUE(RIGHT(Table7[[#This Row],[Min]],LEN(Table7[[#This Row],[Min]])-FIND("-",Table7[[#This Row],[Min]])))&gt;INDIRECT(ADDRESS(11+MATCH(LEFT(Table7[[#This Row],[Min]],FIND("-",Table7[[#This Row],[Min]])-1),Table1[Content Sku],0),16,1,1,"Entities")),"review","ok"),"ok")</f>
        <v>ok</v>
      </c>
      <c r="U1648" t="s">
        <v>400</v>
      </c>
      <c r="V1648">
        <v>0</v>
      </c>
      <c r="W1648">
        <v>0</v>
      </c>
      <c r="X1648" t="s">
        <v>8</v>
      </c>
      <c r="Y1648" s="74" t="str">
        <f ca="1">IF(Table15[[#This Row],[Type]]="KILL",IF(_xlfn.NUMBERVALUE(RIGHT(Table15[[#This Row],[Min]],LEN(Table15[[#This Row],[Min]])-FIND("-",Table15[[#This Row],[Min]])))&gt;INDIRECT(ADDRESS(11+MATCH(LEFT(Table15[[#This Row],[Min]],FIND("-",Table15[[#This Row],[Min]])-1),Table1[Content Sku],0),16,1,1,"Entities")),"review","ok"),"ok")</f>
        <v>ok</v>
      </c>
    </row>
    <row r="1649" spans="5:25" x14ac:dyDescent="0.25">
      <c r="E1649" t="s">
        <v>396</v>
      </c>
      <c r="F1649">
        <v>14000</v>
      </c>
      <c r="G1649">
        <v>0</v>
      </c>
      <c r="H1649" t="s">
        <v>205</v>
      </c>
      <c r="I1649" s="74" t="str">
        <f ca="1">IF(Table7[[#This Row],[Type]]="KILL",IF(_xlfn.NUMBERVALUE(RIGHT(Table7[[#This Row],[Min]],LEN(Table7[[#This Row],[Min]])-FIND("-",Table7[[#This Row],[Min]])))&gt;INDIRECT(ADDRESS(11+MATCH(LEFT(Table7[[#This Row],[Min]],FIND("-",Table7[[#This Row],[Min]])-1),Table1[Content Sku],0),16,1,1,"Entities")),"review","ok"),"ok")</f>
        <v>ok</v>
      </c>
      <c r="U1649" t="s">
        <v>50</v>
      </c>
      <c r="V1649">
        <v>200</v>
      </c>
      <c r="W1649">
        <v>0</v>
      </c>
      <c r="X1649" t="s">
        <v>4431</v>
      </c>
      <c r="Y1649" s="74" t="str">
        <f ca="1">IF(Table15[[#This Row],[Type]]="KILL",IF(_xlfn.NUMBERVALUE(RIGHT(Table15[[#This Row],[Min]],LEN(Table15[[#This Row],[Min]])-FIND("-",Table15[[#This Row],[Min]])))&gt;INDIRECT(ADDRESS(11+MATCH(LEFT(Table15[[#This Row],[Min]],FIND("-",Table15[[#This Row],[Min]])-1),Table1[Content Sku],0),16,1,1,"Entities")),"review","ok"),"ok")</f>
        <v>ok</v>
      </c>
    </row>
    <row r="1650" spans="5:25" x14ac:dyDescent="0.25">
      <c r="E1650" t="s">
        <v>8133</v>
      </c>
      <c r="F1650">
        <v>0</v>
      </c>
      <c r="G1650">
        <v>0</v>
      </c>
      <c r="H1650" t="s">
        <v>8</v>
      </c>
      <c r="I1650" s="74" t="str">
        <f ca="1">IF(Table7[[#This Row],[Type]]="KILL",IF(_xlfn.NUMBERVALUE(RIGHT(Table7[[#This Row],[Min]],LEN(Table7[[#This Row],[Min]])-FIND("-",Table7[[#This Row],[Min]])))&gt;INDIRECT(ADDRESS(11+MATCH(LEFT(Table7[[#This Row],[Min]],FIND("-",Table7[[#This Row],[Min]])-1),Table1[Content Sku],0),16,1,1,"Entities")),"review","ok"),"ok")</f>
        <v>ok</v>
      </c>
      <c r="U1650" t="s">
        <v>37</v>
      </c>
      <c r="V1650">
        <v>0</v>
      </c>
      <c r="W1650">
        <v>0</v>
      </c>
      <c r="X1650" t="s">
        <v>8</v>
      </c>
      <c r="Y1650" s="74" t="str">
        <f ca="1">IF(Table15[[#This Row],[Type]]="KILL",IF(_xlfn.NUMBERVALUE(RIGHT(Table15[[#This Row],[Min]],LEN(Table15[[#This Row],[Min]])-FIND("-",Table15[[#This Row],[Min]])))&gt;INDIRECT(ADDRESS(11+MATCH(LEFT(Table15[[#This Row],[Min]],FIND("-",Table15[[#This Row],[Min]])-1),Table1[Content Sku],0),16,1,1,"Entities")),"review","ok"),"ok")</f>
        <v>ok</v>
      </c>
    </row>
    <row r="1651" spans="5:25" x14ac:dyDescent="0.25">
      <c r="E1651" t="s">
        <v>91</v>
      </c>
      <c r="F1651">
        <v>0</v>
      </c>
      <c r="G1651">
        <v>27000</v>
      </c>
      <c r="H1651" t="s">
        <v>205</v>
      </c>
      <c r="I1651" s="74" t="str">
        <f ca="1">IF(Table7[[#This Row],[Type]]="KILL",IF(_xlfn.NUMBERVALUE(RIGHT(Table7[[#This Row],[Min]],LEN(Table7[[#This Row],[Min]])-FIND("-",Table7[[#This Row],[Min]])))&gt;INDIRECT(ADDRESS(11+MATCH(LEFT(Table7[[#This Row],[Min]],FIND("-",Table7[[#This Row],[Min]])-1),Table1[Content Sku],0),16,1,1,"Entities")),"review","ok"),"ok")</f>
        <v>ok</v>
      </c>
      <c r="U1651" t="s">
        <v>37</v>
      </c>
      <c r="V1651">
        <v>0</v>
      </c>
      <c r="W1651">
        <v>0</v>
      </c>
      <c r="X1651" t="s">
        <v>8</v>
      </c>
      <c r="Y1651" s="74" t="str">
        <f ca="1">IF(Table15[[#This Row],[Type]]="KILL",IF(_xlfn.NUMBERVALUE(RIGHT(Table15[[#This Row],[Min]],LEN(Table15[[#This Row],[Min]])-FIND("-",Table15[[#This Row],[Min]])))&gt;INDIRECT(ADDRESS(11+MATCH(LEFT(Table15[[#This Row],[Min]],FIND("-",Table15[[#This Row],[Min]])-1),Table1[Content Sku],0),16,1,1,"Entities")),"review","ok"),"ok")</f>
        <v>ok</v>
      </c>
    </row>
    <row r="1652" spans="5:25" x14ac:dyDescent="0.25">
      <c r="E1652" t="s">
        <v>2741</v>
      </c>
      <c r="F1652">
        <v>0</v>
      </c>
      <c r="G1652">
        <v>0</v>
      </c>
      <c r="H1652" t="s">
        <v>8</v>
      </c>
      <c r="I1652" s="74" t="str">
        <f ca="1">IF(Table7[[#This Row],[Type]]="KILL",IF(_xlfn.NUMBERVALUE(RIGHT(Table7[[#This Row],[Min]],LEN(Table7[[#This Row],[Min]])-FIND("-",Table7[[#This Row],[Min]])))&gt;INDIRECT(ADDRESS(11+MATCH(LEFT(Table7[[#This Row],[Min]],FIND("-",Table7[[#This Row],[Min]])-1),Table1[Content Sku],0),16,1,1,"Entities")),"review","ok"),"ok")</f>
        <v>ok</v>
      </c>
      <c r="U1652" t="s">
        <v>457</v>
      </c>
      <c r="V1652">
        <v>0</v>
      </c>
      <c r="W1652">
        <v>28000</v>
      </c>
      <c r="X1652" t="s">
        <v>205</v>
      </c>
      <c r="Y1652" s="74" t="str">
        <f ca="1">IF(Table15[[#This Row],[Type]]="KILL",IF(_xlfn.NUMBERVALUE(RIGHT(Table15[[#This Row],[Min]],LEN(Table15[[#This Row],[Min]])-FIND("-",Table15[[#This Row],[Min]])))&gt;INDIRECT(ADDRESS(11+MATCH(LEFT(Table15[[#This Row],[Min]],FIND("-",Table15[[#This Row],[Min]])-1),Table1[Content Sku],0),16,1,1,"Entities")),"review","ok"),"ok")</f>
        <v>ok</v>
      </c>
    </row>
    <row r="1653" spans="5:25" x14ac:dyDescent="0.25">
      <c r="E1653" t="s">
        <v>46</v>
      </c>
      <c r="F1653">
        <v>0</v>
      </c>
      <c r="G1653">
        <v>0</v>
      </c>
      <c r="H1653" t="s">
        <v>8</v>
      </c>
      <c r="I1653" s="74" t="str">
        <f ca="1">IF(Table7[[#This Row],[Type]]="KILL",IF(_xlfn.NUMBERVALUE(RIGHT(Table7[[#This Row],[Min]],LEN(Table7[[#This Row],[Min]])-FIND("-",Table7[[#This Row],[Min]])))&gt;INDIRECT(ADDRESS(11+MATCH(LEFT(Table7[[#This Row],[Min]],FIND("-",Table7[[#This Row],[Min]])-1),Table1[Content Sku],0),16,1,1,"Entities")),"review","ok"),"ok")</f>
        <v>ok</v>
      </c>
      <c r="U1653" t="s">
        <v>37</v>
      </c>
      <c r="V1653">
        <v>0</v>
      </c>
      <c r="W1653">
        <v>0</v>
      </c>
      <c r="X1653" t="s">
        <v>8</v>
      </c>
      <c r="Y1653" s="74" t="str">
        <f ca="1">IF(Table15[[#This Row],[Type]]="KILL",IF(_xlfn.NUMBERVALUE(RIGHT(Table15[[#This Row],[Min]],LEN(Table15[[#This Row],[Min]])-FIND("-",Table15[[#This Row],[Min]])))&gt;INDIRECT(ADDRESS(11+MATCH(LEFT(Table15[[#This Row],[Min]],FIND("-",Table15[[#This Row],[Min]])-1),Table1[Content Sku],0),16,1,1,"Entities")),"review","ok"),"ok")</f>
        <v>ok</v>
      </c>
    </row>
    <row r="1654" spans="5:25" x14ac:dyDescent="0.25">
      <c r="E1654" t="s">
        <v>91</v>
      </c>
      <c r="F1654">
        <v>35000</v>
      </c>
      <c r="G1654">
        <v>0</v>
      </c>
      <c r="H1654" t="s">
        <v>205</v>
      </c>
      <c r="I1654" s="74" t="str">
        <f ca="1">IF(Table7[[#This Row],[Type]]="KILL",IF(_xlfn.NUMBERVALUE(RIGHT(Table7[[#This Row],[Min]],LEN(Table7[[#This Row],[Min]])-FIND("-",Table7[[#This Row],[Min]])))&gt;INDIRECT(ADDRESS(11+MATCH(LEFT(Table7[[#This Row],[Min]],FIND("-",Table7[[#This Row],[Min]])-1),Table1[Content Sku],0),16,1,1,"Entities")),"review","ok"),"ok")</f>
        <v>ok</v>
      </c>
      <c r="U1654" t="s">
        <v>457</v>
      </c>
      <c r="V1654">
        <v>0</v>
      </c>
      <c r="W1654">
        <v>0</v>
      </c>
      <c r="X1654" t="s">
        <v>8</v>
      </c>
      <c r="Y1654" s="74" t="str">
        <f ca="1">IF(Table15[[#This Row],[Type]]="KILL",IF(_xlfn.NUMBERVALUE(RIGHT(Table15[[#This Row],[Min]],LEN(Table15[[#This Row],[Min]])-FIND("-",Table15[[#This Row],[Min]])))&gt;INDIRECT(ADDRESS(11+MATCH(LEFT(Table15[[#This Row],[Min]],FIND("-",Table15[[#This Row],[Min]])-1),Table1[Content Sku],0),16,1,1,"Entities")),"review","ok"),"ok")</f>
        <v>ok</v>
      </c>
    </row>
    <row r="1655" spans="5:25" x14ac:dyDescent="0.25">
      <c r="E1655" t="s">
        <v>45</v>
      </c>
      <c r="F1655">
        <v>0</v>
      </c>
      <c r="G1655">
        <v>0</v>
      </c>
      <c r="H1655" t="s">
        <v>8</v>
      </c>
      <c r="I1655" s="74" t="str">
        <f ca="1">IF(Table7[[#This Row],[Type]]="KILL",IF(_xlfn.NUMBERVALUE(RIGHT(Table7[[#This Row],[Min]],LEN(Table7[[#This Row],[Min]])-FIND("-",Table7[[#This Row],[Min]])))&gt;INDIRECT(ADDRESS(11+MATCH(LEFT(Table7[[#This Row],[Min]],FIND("-",Table7[[#This Row],[Min]])-1),Table1[Content Sku],0),16,1,1,"Entities")),"review","ok"),"ok")</f>
        <v>ok</v>
      </c>
      <c r="U1655" t="s">
        <v>21</v>
      </c>
      <c r="V1655">
        <v>240</v>
      </c>
      <c r="W1655">
        <v>0</v>
      </c>
      <c r="X1655" t="s">
        <v>4431</v>
      </c>
      <c r="Y1655" s="74" t="str">
        <f ca="1">IF(Table15[[#This Row],[Type]]="KILL",IF(_xlfn.NUMBERVALUE(RIGHT(Table15[[#This Row],[Min]],LEN(Table15[[#This Row],[Min]])-FIND("-",Table15[[#This Row],[Min]])))&gt;INDIRECT(ADDRESS(11+MATCH(LEFT(Table15[[#This Row],[Min]],FIND("-",Table15[[#This Row],[Min]])-1),Table1[Content Sku],0),16,1,1,"Entities")),"review","ok"),"ok")</f>
        <v>ok</v>
      </c>
    </row>
    <row r="1656" spans="5:25" x14ac:dyDescent="0.25">
      <c r="E1656" t="s">
        <v>253</v>
      </c>
      <c r="F1656">
        <v>0</v>
      </c>
      <c r="G1656">
        <v>10000</v>
      </c>
      <c r="H1656" t="s">
        <v>205</v>
      </c>
      <c r="I1656" s="74" t="str">
        <f ca="1">IF(Table7[[#This Row],[Type]]="KILL",IF(_xlfn.NUMBERVALUE(RIGHT(Table7[[#This Row],[Min]],LEN(Table7[[#This Row],[Min]])-FIND("-",Table7[[#This Row],[Min]])))&gt;INDIRECT(ADDRESS(11+MATCH(LEFT(Table7[[#This Row],[Min]],FIND("-",Table7[[#This Row],[Min]])-1),Table1[Content Sku],0),16,1,1,"Entities")),"review","ok"),"ok")</f>
        <v>ok</v>
      </c>
      <c r="U1656" t="s">
        <v>2720</v>
      </c>
      <c r="V1656">
        <v>280</v>
      </c>
      <c r="W1656">
        <v>0</v>
      </c>
      <c r="X1656" t="s">
        <v>4431</v>
      </c>
      <c r="Y1656" s="74" t="str">
        <f ca="1">IF(Table15[[#This Row],[Type]]="KILL",IF(_xlfn.NUMBERVALUE(RIGHT(Table15[[#This Row],[Min]],LEN(Table15[[#This Row],[Min]])-FIND("-",Table15[[#This Row],[Min]])))&gt;INDIRECT(ADDRESS(11+MATCH(LEFT(Table15[[#This Row],[Min]],FIND("-",Table15[[#This Row],[Min]])-1),Table1[Content Sku],0),16,1,1,"Entities")),"review","ok"),"ok")</f>
        <v>ok</v>
      </c>
    </row>
    <row r="1657" spans="5:25" x14ac:dyDescent="0.25">
      <c r="E1657" t="s">
        <v>254</v>
      </c>
      <c r="F1657">
        <v>1600</v>
      </c>
      <c r="G1657">
        <v>0</v>
      </c>
      <c r="H1657" t="s">
        <v>205</v>
      </c>
      <c r="I1657" s="74" t="str">
        <f ca="1">IF(Table7[[#This Row],[Type]]="KILL",IF(_xlfn.NUMBERVALUE(RIGHT(Table7[[#This Row],[Min]],LEN(Table7[[#This Row],[Min]])-FIND("-",Table7[[#This Row],[Min]])))&gt;INDIRECT(ADDRESS(11+MATCH(LEFT(Table7[[#This Row],[Min]],FIND("-",Table7[[#This Row],[Min]])-1),Table1[Content Sku],0),16,1,1,"Entities")),"review","ok"),"ok")</f>
        <v>ok</v>
      </c>
      <c r="U1657" t="s">
        <v>457</v>
      </c>
      <c r="V1657">
        <v>0</v>
      </c>
      <c r="W1657">
        <v>0</v>
      </c>
      <c r="X1657" t="s">
        <v>8</v>
      </c>
      <c r="Y1657" s="74" t="str">
        <f ca="1">IF(Table15[[#This Row],[Type]]="KILL",IF(_xlfn.NUMBERVALUE(RIGHT(Table15[[#This Row],[Min]],LEN(Table15[[#This Row],[Min]])-FIND("-",Table15[[#This Row],[Min]])))&gt;INDIRECT(ADDRESS(11+MATCH(LEFT(Table15[[#This Row],[Min]],FIND("-",Table15[[#This Row],[Min]])-1),Table1[Content Sku],0),16,1,1,"Entities")),"review","ok"),"ok")</f>
        <v>ok</v>
      </c>
    </row>
    <row r="1658" spans="5:25" x14ac:dyDescent="0.25">
      <c r="E1658" t="s">
        <v>2741</v>
      </c>
      <c r="F1658">
        <v>0</v>
      </c>
      <c r="G1658">
        <v>0</v>
      </c>
      <c r="H1658" t="s">
        <v>8</v>
      </c>
      <c r="I1658" s="74" t="str">
        <f ca="1">IF(Table7[[#This Row],[Type]]="KILL",IF(_xlfn.NUMBERVALUE(RIGHT(Table7[[#This Row],[Min]],LEN(Table7[[#This Row],[Min]])-FIND("-",Table7[[#This Row],[Min]])))&gt;INDIRECT(ADDRESS(11+MATCH(LEFT(Table7[[#This Row],[Min]],FIND("-",Table7[[#This Row],[Min]])-1),Table1[Content Sku],0),16,1,1,"Entities")),"review","ok"),"ok")</f>
        <v>ok</v>
      </c>
      <c r="U1658" t="s">
        <v>289</v>
      </c>
      <c r="V1658">
        <v>0</v>
      </c>
      <c r="W1658">
        <v>0</v>
      </c>
      <c r="X1658" t="s">
        <v>8</v>
      </c>
      <c r="Y1658" s="74" t="str">
        <f ca="1">IF(Table15[[#This Row],[Type]]="KILL",IF(_xlfn.NUMBERVALUE(RIGHT(Table15[[#This Row],[Min]],LEN(Table15[[#This Row],[Min]])-FIND("-",Table15[[#This Row],[Min]])))&gt;INDIRECT(ADDRESS(11+MATCH(LEFT(Table15[[#This Row],[Min]],FIND("-",Table15[[#This Row],[Min]])-1),Table1[Content Sku],0),16,1,1,"Entities")),"review","ok"),"ok")</f>
        <v>ok</v>
      </c>
    </row>
    <row r="1659" spans="5:25" x14ac:dyDescent="0.25">
      <c r="E1659" t="s">
        <v>545</v>
      </c>
      <c r="F1659">
        <v>0</v>
      </c>
      <c r="G1659">
        <v>0</v>
      </c>
      <c r="H1659" t="s">
        <v>8</v>
      </c>
      <c r="I1659" s="74" t="str">
        <f ca="1">IF(Table7[[#This Row],[Type]]="KILL",IF(_xlfn.NUMBERVALUE(RIGHT(Table7[[#This Row],[Min]],LEN(Table7[[#This Row],[Min]])-FIND("-",Table7[[#This Row],[Min]])))&gt;INDIRECT(ADDRESS(11+MATCH(LEFT(Table7[[#This Row],[Min]],FIND("-",Table7[[#This Row],[Min]])-1),Table1[Content Sku],0),16,1,1,"Entities")),"review","ok"),"ok")</f>
        <v>ok</v>
      </c>
      <c r="U1659" t="s">
        <v>2720</v>
      </c>
      <c r="V1659">
        <v>0</v>
      </c>
      <c r="W1659">
        <v>0</v>
      </c>
      <c r="X1659" t="s">
        <v>8</v>
      </c>
      <c r="Y1659" s="74" t="str">
        <f ca="1">IF(Table15[[#This Row],[Type]]="KILL",IF(_xlfn.NUMBERVALUE(RIGHT(Table15[[#This Row],[Min]],LEN(Table15[[#This Row],[Min]])-FIND("-",Table15[[#This Row],[Min]])))&gt;INDIRECT(ADDRESS(11+MATCH(LEFT(Table15[[#This Row],[Min]],FIND("-",Table15[[#This Row],[Min]])-1),Table1[Content Sku],0),16,1,1,"Entities")),"review","ok"),"ok")</f>
        <v>ok</v>
      </c>
    </row>
    <row r="1660" spans="5:25" x14ac:dyDescent="0.25">
      <c r="E1660" t="s">
        <v>47</v>
      </c>
      <c r="F1660">
        <v>0</v>
      </c>
      <c r="G1660">
        <v>0</v>
      </c>
      <c r="H1660" t="s">
        <v>8</v>
      </c>
      <c r="I1660" s="74" t="str">
        <f ca="1">IF(Table7[[#This Row],[Type]]="KILL",IF(_xlfn.NUMBERVALUE(RIGHT(Table7[[#This Row],[Min]],LEN(Table7[[#This Row],[Min]])-FIND("-",Table7[[#This Row],[Min]])))&gt;INDIRECT(ADDRESS(11+MATCH(LEFT(Table7[[#This Row],[Min]],FIND("-",Table7[[#This Row],[Min]])-1),Table1[Content Sku],0),16,1,1,"Entities")),"review","ok"),"ok")</f>
        <v>ok</v>
      </c>
      <c r="U1660" t="s">
        <v>457</v>
      </c>
      <c r="V1660">
        <v>0</v>
      </c>
      <c r="W1660">
        <v>0</v>
      </c>
      <c r="X1660" t="s">
        <v>8</v>
      </c>
      <c r="Y1660" s="74" t="str">
        <f ca="1">IF(Table15[[#This Row],[Type]]="KILL",IF(_xlfn.NUMBERVALUE(RIGHT(Table15[[#This Row],[Min]],LEN(Table15[[#This Row],[Min]])-FIND("-",Table15[[#This Row],[Min]])))&gt;INDIRECT(ADDRESS(11+MATCH(LEFT(Table15[[#This Row],[Min]],FIND("-",Table15[[#This Row],[Min]])-1),Table1[Content Sku],0),16,1,1,"Entities")),"review","ok"),"ok")</f>
        <v>ok</v>
      </c>
    </row>
    <row r="1661" spans="5:25" x14ac:dyDescent="0.25">
      <c r="E1661" t="s">
        <v>91</v>
      </c>
      <c r="F1661">
        <v>0</v>
      </c>
      <c r="G1661">
        <v>0</v>
      </c>
      <c r="H1661" t="s">
        <v>8</v>
      </c>
      <c r="I1661" s="74" t="str">
        <f ca="1">IF(Table7[[#This Row],[Type]]="KILL",IF(_xlfn.NUMBERVALUE(RIGHT(Table7[[#This Row],[Min]],LEN(Table7[[#This Row],[Min]])-FIND("-",Table7[[#This Row],[Min]])))&gt;INDIRECT(ADDRESS(11+MATCH(LEFT(Table7[[#This Row],[Min]],FIND("-",Table7[[#This Row],[Min]])-1),Table1[Content Sku],0),16,1,1,"Entities")),"review","ok"),"ok")</f>
        <v>ok</v>
      </c>
      <c r="U1661" t="s">
        <v>457</v>
      </c>
      <c r="V1661">
        <v>0</v>
      </c>
      <c r="W1661">
        <v>0</v>
      </c>
      <c r="X1661" t="s">
        <v>8</v>
      </c>
      <c r="Y1661" s="74" t="str">
        <f ca="1">IF(Table15[[#This Row],[Type]]="KILL",IF(_xlfn.NUMBERVALUE(RIGHT(Table15[[#This Row],[Min]],LEN(Table15[[#This Row],[Min]])-FIND("-",Table15[[#This Row],[Min]])))&gt;INDIRECT(ADDRESS(11+MATCH(LEFT(Table15[[#This Row],[Min]],FIND("-",Table15[[#This Row],[Min]])-1),Table1[Content Sku],0),16,1,1,"Entities")),"review","ok"),"ok")</f>
        <v>ok</v>
      </c>
    </row>
    <row r="1662" spans="5:25" x14ac:dyDescent="0.25">
      <c r="E1662" t="s">
        <v>313</v>
      </c>
      <c r="F1662">
        <v>0</v>
      </c>
      <c r="G1662">
        <v>0</v>
      </c>
      <c r="H1662" t="s">
        <v>8</v>
      </c>
      <c r="I1662" s="74" t="str">
        <f ca="1">IF(Table7[[#This Row],[Type]]="KILL",IF(_xlfn.NUMBERVALUE(RIGHT(Table7[[#This Row],[Min]],LEN(Table7[[#This Row],[Min]])-FIND("-",Table7[[#This Row],[Min]])))&gt;INDIRECT(ADDRESS(11+MATCH(LEFT(Table7[[#This Row],[Min]],FIND("-",Table7[[#This Row],[Min]])-1),Table1[Content Sku],0),16,1,1,"Entities")),"review","ok"),"ok")</f>
        <v>ok</v>
      </c>
      <c r="U1662" t="s">
        <v>22</v>
      </c>
      <c r="V1662">
        <v>0</v>
      </c>
      <c r="W1662">
        <v>0</v>
      </c>
      <c r="X1662" t="s">
        <v>8</v>
      </c>
      <c r="Y1662" s="74" t="str">
        <f ca="1">IF(Table15[[#This Row],[Type]]="KILL",IF(_xlfn.NUMBERVALUE(RIGHT(Table15[[#This Row],[Min]],LEN(Table15[[#This Row],[Min]])-FIND("-",Table15[[#This Row],[Min]])))&gt;INDIRECT(ADDRESS(11+MATCH(LEFT(Table15[[#This Row],[Min]],FIND("-",Table15[[#This Row],[Min]])-1),Table1[Content Sku],0),16,1,1,"Entities")),"review","ok"),"ok")</f>
        <v>ok</v>
      </c>
    </row>
    <row r="1663" spans="5:25" x14ac:dyDescent="0.25">
      <c r="E1663" t="s">
        <v>276</v>
      </c>
      <c r="F1663">
        <v>0</v>
      </c>
      <c r="G1663">
        <v>0</v>
      </c>
      <c r="H1663" t="s">
        <v>8</v>
      </c>
      <c r="I1663" s="74" t="str">
        <f ca="1">IF(Table7[[#This Row],[Type]]="KILL",IF(_xlfn.NUMBERVALUE(RIGHT(Table7[[#This Row],[Min]],LEN(Table7[[#This Row],[Min]])-FIND("-",Table7[[#This Row],[Min]])))&gt;INDIRECT(ADDRESS(11+MATCH(LEFT(Table7[[#This Row],[Min]],FIND("-",Table7[[#This Row],[Min]])-1),Table1[Content Sku],0),16,1,1,"Entities")),"review","ok"),"ok")</f>
        <v>ok</v>
      </c>
      <c r="U1663" t="s">
        <v>457</v>
      </c>
      <c r="V1663">
        <v>0</v>
      </c>
      <c r="W1663">
        <v>26000</v>
      </c>
      <c r="X1663" t="s">
        <v>205</v>
      </c>
      <c r="Y1663" s="74" t="str">
        <f ca="1">IF(Table15[[#This Row],[Type]]="KILL",IF(_xlfn.NUMBERVALUE(RIGHT(Table15[[#This Row],[Min]],LEN(Table15[[#This Row],[Min]])-FIND("-",Table15[[#This Row],[Min]])))&gt;INDIRECT(ADDRESS(11+MATCH(LEFT(Table15[[#This Row],[Min]],FIND("-",Table15[[#This Row],[Min]])-1),Table1[Content Sku],0),16,1,1,"Entities")),"review","ok"),"ok")</f>
        <v>ok</v>
      </c>
    </row>
    <row r="1664" spans="5:25" x14ac:dyDescent="0.25">
      <c r="E1664" t="s">
        <v>91</v>
      </c>
      <c r="F1664">
        <v>0</v>
      </c>
      <c r="G1664">
        <v>0</v>
      </c>
      <c r="H1664" t="s">
        <v>8</v>
      </c>
      <c r="I1664" s="74" t="str">
        <f ca="1">IF(Table7[[#This Row],[Type]]="KILL",IF(_xlfn.NUMBERVALUE(RIGHT(Table7[[#This Row],[Min]],LEN(Table7[[#This Row],[Min]])-FIND("-",Table7[[#This Row],[Min]])))&gt;INDIRECT(ADDRESS(11+MATCH(LEFT(Table7[[#This Row],[Min]],FIND("-",Table7[[#This Row],[Min]])-1),Table1[Content Sku],0),16,1,1,"Entities")),"review","ok"),"ok")</f>
        <v>ok</v>
      </c>
      <c r="U1664" t="s">
        <v>457</v>
      </c>
      <c r="V1664">
        <v>0</v>
      </c>
      <c r="W1664">
        <v>31000</v>
      </c>
      <c r="X1664" t="s">
        <v>205</v>
      </c>
      <c r="Y1664" s="74" t="str">
        <f ca="1">IF(Table15[[#This Row],[Type]]="KILL",IF(_xlfn.NUMBERVALUE(RIGHT(Table15[[#This Row],[Min]],LEN(Table15[[#This Row],[Min]])-FIND("-",Table15[[#This Row],[Min]])))&gt;INDIRECT(ADDRESS(11+MATCH(LEFT(Table15[[#This Row],[Min]],FIND("-",Table15[[#This Row],[Min]])-1),Table1[Content Sku],0),16,1,1,"Entities")),"review","ok"),"ok")</f>
        <v>ok</v>
      </c>
    </row>
    <row r="1665" spans="5:25" x14ac:dyDescent="0.25">
      <c r="E1665" t="s">
        <v>15</v>
      </c>
      <c r="F1665">
        <v>0</v>
      </c>
      <c r="G1665">
        <v>0</v>
      </c>
      <c r="H1665" t="s">
        <v>8</v>
      </c>
      <c r="I1665" s="74" t="str">
        <f ca="1">IF(Table7[[#This Row],[Type]]="KILL",IF(_xlfn.NUMBERVALUE(RIGHT(Table7[[#This Row],[Min]],LEN(Table7[[#This Row],[Min]])-FIND("-",Table7[[#This Row],[Min]])))&gt;INDIRECT(ADDRESS(11+MATCH(LEFT(Table7[[#This Row],[Min]],FIND("-",Table7[[#This Row],[Min]])-1),Table1[Content Sku],0),16,1,1,"Entities")),"review","ok"),"ok")</f>
        <v>ok</v>
      </c>
      <c r="U1665" t="s">
        <v>37</v>
      </c>
      <c r="V1665">
        <v>0</v>
      </c>
      <c r="W1665">
        <v>0</v>
      </c>
      <c r="X1665" t="s">
        <v>8</v>
      </c>
      <c r="Y1665" s="74" t="str">
        <f ca="1">IF(Table15[[#This Row],[Type]]="KILL",IF(_xlfn.NUMBERVALUE(RIGHT(Table15[[#This Row],[Min]],LEN(Table15[[#This Row],[Min]])-FIND("-",Table15[[#This Row],[Min]])))&gt;INDIRECT(ADDRESS(11+MATCH(LEFT(Table15[[#This Row],[Min]],FIND("-",Table15[[#This Row],[Min]])-1),Table1[Content Sku],0),16,1,1,"Entities")),"review","ok"),"ok")</f>
        <v>ok</v>
      </c>
    </row>
    <row r="1666" spans="5:25" x14ac:dyDescent="0.25">
      <c r="E1666" t="s">
        <v>253</v>
      </c>
      <c r="F1666">
        <v>0</v>
      </c>
      <c r="G1666">
        <v>0</v>
      </c>
      <c r="H1666" t="s">
        <v>8</v>
      </c>
      <c r="I1666" s="74" t="str">
        <f ca="1">IF(Table7[[#This Row],[Type]]="KILL",IF(_xlfn.NUMBERVALUE(RIGHT(Table7[[#This Row],[Min]],LEN(Table7[[#This Row],[Min]])-FIND("-",Table7[[#This Row],[Min]])))&gt;INDIRECT(ADDRESS(11+MATCH(LEFT(Table7[[#This Row],[Min]],FIND("-",Table7[[#This Row],[Min]])-1),Table1[Content Sku],0),16,1,1,"Entities")),"review","ok"),"ok")</f>
        <v>ok</v>
      </c>
      <c r="U1666" t="s">
        <v>42</v>
      </c>
      <c r="V1666">
        <v>48000</v>
      </c>
      <c r="W1666">
        <v>0</v>
      </c>
      <c r="X1666" t="s">
        <v>205</v>
      </c>
      <c r="Y1666" s="74" t="str">
        <f ca="1">IF(Table15[[#This Row],[Type]]="KILL",IF(_xlfn.NUMBERVALUE(RIGHT(Table15[[#This Row],[Min]],LEN(Table15[[#This Row],[Min]])-FIND("-",Table15[[#This Row],[Min]])))&gt;INDIRECT(ADDRESS(11+MATCH(LEFT(Table15[[#This Row],[Min]],FIND("-",Table15[[#This Row],[Min]])-1),Table1[Content Sku],0),16,1,1,"Entities")),"review","ok"),"ok")</f>
        <v>ok</v>
      </c>
    </row>
    <row r="1667" spans="5:25" x14ac:dyDescent="0.25">
      <c r="E1667" t="s">
        <v>8133</v>
      </c>
      <c r="F1667">
        <v>0</v>
      </c>
      <c r="G1667">
        <v>0</v>
      </c>
      <c r="H1667" t="s">
        <v>8</v>
      </c>
      <c r="I1667" s="74" t="str">
        <f ca="1">IF(Table7[[#This Row],[Type]]="KILL",IF(_xlfn.NUMBERVALUE(RIGHT(Table7[[#This Row],[Min]],LEN(Table7[[#This Row],[Min]])-FIND("-",Table7[[#This Row],[Min]])))&gt;INDIRECT(ADDRESS(11+MATCH(LEFT(Table7[[#This Row],[Min]],FIND("-",Table7[[#This Row],[Min]])-1),Table1[Content Sku],0),16,1,1,"Entities")),"review","ok"),"ok")</f>
        <v>ok</v>
      </c>
      <c r="U1667" t="s">
        <v>457</v>
      </c>
      <c r="V1667">
        <v>0</v>
      </c>
      <c r="W1667">
        <v>45000</v>
      </c>
      <c r="X1667" t="s">
        <v>205</v>
      </c>
      <c r="Y1667" s="74" t="str">
        <f ca="1">IF(Table15[[#This Row],[Type]]="KILL",IF(_xlfn.NUMBERVALUE(RIGHT(Table15[[#This Row],[Min]],LEN(Table15[[#This Row],[Min]])-FIND("-",Table15[[#This Row],[Min]])))&gt;INDIRECT(ADDRESS(11+MATCH(LEFT(Table15[[#This Row],[Min]],FIND("-",Table15[[#This Row],[Min]])-1),Table1[Content Sku],0),16,1,1,"Entities")),"review","ok"),"ok")</f>
        <v>ok</v>
      </c>
    </row>
    <row r="1668" spans="5:25" x14ac:dyDescent="0.25">
      <c r="E1668" t="s">
        <v>2726</v>
      </c>
      <c r="F1668">
        <v>0</v>
      </c>
      <c r="G1668">
        <v>0</v>
      </c>
      <c r="H1668" t="s">
        <v>8</v>
      </c>
      <c r="I1668" s="74" t="str">
        <f ca="1">IF(Table7[[#This Row],[Type]]="KILL",IF(_xlfn.NUMBERVALUE(RIGHT(Table7[[#This Row],[Min]],LEN(Table7[[#This Row],[Min]])-FIND("-",Table7[[#This Row],[Min]])))&gt;INDIRECT(ADDRESS(11+MATCH(LEFT(Table7[[#This Row],[Min]],FIND("-",Table7[[#This Row],[Min]])-1),Table1[Content Sku],0),16,1,1,"Entities")),"review","ok"),"ok")</f>
        <v>ok</v>
      </c>
      <c r="U1668" t="s">
        <v>457</v>
      </c>
      <c r="V1668">
        <v>0</v>
      </c>
      <c r="W1668">
        <v>0</v>
      </c>
      <c r="X1668" t="s">
        <v>8</v>
      </c>
      <c r="Y1668" s="74" t="str">
        <f ca="1">IF(Table15[[#This Row],[Type]]="KILL",IF(_xlfn.NUMBERVALUE(RIGHT(Table15[[#This Row],[Min]],LEN(Table15[[#This Row],[Min]])-FIND("-",Table15[[#This Row],[Min]])))&gt;INDIRECT(ADDRESS(11+MATCH(LEFT(Table15[[#This Row],[Min]],FIND("-",Table15[[#This Row],[Min]])-1),Table1[Content Sku],0),16,1,1,"Entities")),"review","ok"),"ok")</f>
        <v>ok</v>
      </c>
    </row>
    <row r="1669" spans="5:25" x14ac:dyDescent="0.25">
      <c r="E1669" t="s">
        <v>2741</v>
      </c>
      <c r="F1669">
        <v>0</v>
      </c>
      <c r="G1669">
        <v>0</v>
      </c>
      <c r="H1669" t="s">
        <v>8</v>
      </c>
      <c r="I1669" s="74" t="str">
        <f ca="1">IF(Table7[[#This Row],[Type]]="KILL",IF(_xlfn.NUMBERVALUE(RIGHT(Table7[[#This Row],[Min]],LEN(Table7[[#This Row],[Min]])-FIND("-",Table7[[#This Row],[Min]])))&gt;INDIRECT(ADDRESS(11+MATCH(LEFT(Table7[[#This Row],[Min]],FIND("-",Table7[[#This Row],[Min]])-1),Table1[Content Sku],0),16,1,1,"Entities")),"review","ok"),"ok")</f>
        <v>ok</v>
      </c>
      <c r="U1669" t="s">
        <v>123</v>
      </c>
      <c r="V1669">
        <v>0</v>
      </c>
      <c r="W1669">
        <v>0</v>
      </c>
      <c r="X1669" t="s">
        <v>8</v>
      </c>
      <c r="Y1669" s="74" t="str">
        <f ca="1">IF(Table15[[#This Row],[Type]]="KILL",IF(_xlfn.NUMBERVALUE(RIGHT(Table15[[#This Row],[Min]],LEN(Table15[[#This Row],[Min]])-FIND("-",Table15[[#This Row],[Min]])))&gt;INDIRECT(ADDRESS(11+MATCH(LEFT(Table15[[#This Row],[Min]],FIND("-",Table15[[#This Row],[Min]])-1),Table1[Content Sku],0),16,1,1,"Entities")),"review","ok"),"ok")</f>
        <v>ok</v>
      </c>
    </row>
    <row r="1670" spans="5:25" x14ac:dyDescent="0.25">
      <c r="E1670" t="s">
        <v>92</v>
      </c>
      <c r="F1670">
        <v>0</v>
      </c>
      <c r="G1670">
        <v>5000</v>
      </c>
      <c r="H1670" t="s">
        <v>205</v>
      </c>
      <c r="I1670" s="74" t="str">
        <f ca="1">IF(Table7[[#This Row],[Type]]="KILL",IF(_xlfn.NUMBERVALUE(RIGHT(Table7[[#This Row],[Min]],LEN(Table7[[#This Row],[Min]])-FIND("-",Table7[[#This Row],[Min]])))&gt;INDIRECT(ADDRESS(11+MATCH(LEFT(Table7[[#This Row],[Min]],FIND("-",Table7[[#This Row],[Min]])-1),Table1[Content Sku],0),16,1,1,"Entities")),"review","ok"),"ok")</f>
        <v>ok</v>
      </c>
      <c r="U1670" t="s">
        <v>457</v>
      </c>
      <c r="V1670">
        <v>0</v>
      </c>
      <c r="W1670">
        <v>0</v>
      </c>
      <c r="X1670" t="s">
        <v>8</v>
      </c>
      <c r="Y1670" s="74" t="str">
        <f ca="1">IF(Table15[[#This Row],[Type]]="KILL",IF(_xlfn.NUMBERVALUE(RIGHT(Table15[[#This Row],[Min]],LEN(Table15[[#This Row],[Min]])-FIND("-",Table15[[#This Row],[Min]])))&gt;INDIRECT(ADDRESS(11+MATCH(LEFT(Table15[[#This Row],[Min]],FIND("-",Table15[[#This Row],[Min]])-1),Table1[Content Sku],0),16,1,1,"Entities")),"review","ok"),"ok")</f>
        <v>ok</v>
      </c>
    </row>
    <row r="1671" spans="5:25" x14ac:dyDescent="0.25">
      <c r="E1671" t="s">
        <v>4430</v>
      </c>
      <c r="F1671">
        <v>0</v>
      </c>
      <c r="G1671">
        <v>0</v>
      </c>
      <c r="H1671" t="s">
        <v>8</v>
      </c>
      <c r="I1671" s="74" t="str">
        <f ca="1">IF(Table7[[#This Row],[Type]]="KILL",IF(_xlfn.NUMBERVALUE(RIGHT(Table7[[#This Row],[Min]],LEN(Table7[[#This Row],[Min]])-FIND("-",Table7[[#This Row],[Min]])))&gt;INDIRECT(ADDRESS(11+MATCH(LEFT(Table7[[#This Row],[Min]],FIND("-",Table7[[#This Row],[Min]])-1),Table1[Content Sku],0),16,1,1,"Entities")),"review","ok"),"ok")</f>
        <v>ok</v>
      </c>
      <c r="U1671" t="s">
        <v>22</v>
      </c>
      <c r="V1671">
        <v>42000</v>
      </c>
      <c r="W1671">
        <v>0</v>
      </c>
      <c r="X1671" t="s">
        <v>205</v>
      </c>
      <c r="Y1671" s="74" t="str">
        <f ca="1">IF(Table15[[#This Row],[Type]]="KILL",IF(_xlfn.NUMBERVALUE(RIGHT(Table15[[#This Row],[Min]],LEN(Table15[[#This Row],[Min]])-FIND("-",Table15[[#This Row],[Min]])))&gt;INDIRECT(ADDRESS(11+MATCH(LEFT(Table15[[#This Row],[Min]],FIND("-",Table15[[#This Row],[Min]])-1),Table1[Content Sku],0),16,1,1,"Entities")),"review","ok"),"ok")</f>
        <v>ok</v>
      </c>
    </row>
    <row r="1672" spans="5:25" x14ac:dyDescent="0.25">
      <c r="E1672" t="s">
        <v>91</v>
      </c>
      <c r="F1672">
        <v>0</v>
      </c>
      <c r="G1672">
        <v>6000</v>
      </c>
      <c r="H1672" t="s">
        <v>205</v>
      </c>
      <c r="I1672" s="74" t="str">
        <f ca="1">IF(Table7[[#This Row],[Type]]="KILL",IF(_xlfn.NUMBERVALUE(RIGHT(Table7[[#This Row],[Min]],LEN(Table7[[#This Row],[Min]])-FIND("-",Table7[[#This Row],[Min]])))&gt;INDIRECT(ADDRESS(11+MATCH(LEFT(Table7[[#This Row],[Min]],FIND("-",Table7[[#This Row],[Min]])-1),Table1[Content Sku],0),16,1,1,"Entities")),"review","ok"),"ok")</f>
        <v>ok</v>
      </c>
      <c r="U1672" t="s">
        <v>37</v>
      </c>
      <c r="V1672">
        <v>0</v>
      </c>
      <c r="W1672">
        <v>0</v>
      </c>
      <c r="X1672" t="s">
        <v>8</v>
      </c>
      <c r="Y1672" s="74" t="str">
        <f ca="1">IF(Table15[[#This Row],[Type]]="KILL",IF(_xlfn.NUMBERVALUE(RIGHT(Table15[[#This Row],[Min]],LEN(Table15[[#This Row],[Min]])-FIND("-",Table15[[#This Row],[Min]])))&gt;INDIRECT(ADDRESS(11+MATCH(LEFT(Table15[[#This Row],[Min]],FIND("-",Table15[[#This Row],[Min]])-1),Table1[Content Sku],0),16,1,1,"Entities")),"review","ok"),"ok")</f>
        <v>ok</v>
      </c>
    </row>
    <row r="1673" spans="5:25" x14ac:dyDescent="0.25">
      <c r="E1673" t="s">
        <v>92</v>
      </c>
      <c r="F1673">
        <v>0</v>
      </c>
      <c r="G1673">
        <v>27000</v>
      </c>
      <c r="H1673" t="s">
        <v>205</v>
      </c>
      <c r="I1673" s="74" t="str">
        <f ca="1">IF(Table7[[#This Row],[Type]]="KILL",IF(_xlfn.NUMBERVALUE(RIGHT(Table7[[#This Row],[Min]],LEN(Table7[[#This Row],[Min]])-FIND("-",Table7[[#This Row],[Min]])))&gt;INDIRECT(ADDRESS(11+MATCH(LEFT(Table7[[#This Row],[Min]],FIND("-",Table7[[#This Row],[Min]])-1),Table1[Content Sku],0),16,1,1,"Entities")),"review","ok"),"ok")</f>
        <v>ok</v>
      </c>
      <c r="U1673" t="s">
        <v>460</v>
      </c>
      <c r="V1673">
        <v>0</v>
      </c>
      <c r="W1673">
        <v>30000</v>
      </c>
      <c r="X1673" t="s">
        <v>205</v>
      </c>
      <c r="Y1673" s="74" t="str">
        <f ca="1">IF(Table15[[#This Row],[Type]]="KILL",IF(_xlfn.NUMBERVALUE(RIGHT(Table15[[#This Row],[Min]],LEN(Table15[[#This Row],[Min]])-FIND("-",Table15[[#This Row],[Min]])))&gt;INDIRECT(ADDRESS(11+MATCH(LEFT(Table15[[#This Row],[Min]],FIND("-",Table15[[#This Row],[Min]])-1),Table1[Content Sku],0),16,1,1,"Entities")),"review","ok"),"ok")</f>
        <v>ok</v>
      </c>
    </row>
    <row r="1674" spans="5:25" x14ac:dyDescent="0.25">
      <c r="E1674" t="s">
        <v>311</v>
      </c>
      <c r="F1674">
        <v>0</v>
      </c>
      <c r="G1674">
        <v>0</v>
      </c>
      <c r="H1674" t="s">
        <v>8</v>
      </c>
      <c r="I1674" s="74" t="str">
        <f ca="1">IF(Table7[[#This Row],[Type]]="KILL",IF(_xlfn.NUMBERVALUE(RIGHT(Table7[[#This Row],[Min]],LEN(Table7[[#This Row],[Min]])-FIND("-",Table7[[#This Row],[Min]])))&gt;INDIRECT(ADDRESS(11+MATCH(LEFT(Table7[[#This Row],[Min]],FIND("-",Table7[[#This Row],[Min]])-1),Table1[Content Sku],0),16,1,1,"Entities")),"review","ok"),"ok")</f>
        <v>ok</v>
      </c>
      <c r="U1674" t="s">
        <v>21</v>
      </c>
      <c r="V1674">
        <v>0</v>
      </c>
      <c r="W1674">
        <v>0</v>
      </c>
      <c r="X1674" t="s">
        <v>8</v>
      </c>
      <c r="Y1674" s="74" t="str">
        <f ca="1">IF(Table15[[#This Row],[Type]]="KILL",IF(_xlfn.NUMBERVALUE(RIGHT(Table15[[#This Row],[Min]],LEN(Table15[[#This Row],[Min]])-FIND("-",Table15[[#This Row],[Min]])))&gt;INDIRECT(ADDRESS(11+MATCH(LEFT(Table15[[#This Row],[Min]],FIND("-",Table15[[#This Row],[Min]])-1),Table1[Content Sku],0),16,1,1,"Entities")),"review","ok"),"ok")</f>
        <v>ok</v>
      </c>
    </row>
    <row r="1675" spans="5:25" x14ac:dyDescent="0.25">
      <c r="E1675" t="s">
        <v>286</v>
      </c>
      <c r="F1675">
        <v>0</v>
      </c>
      <c r="G1675">
        <v>0</v>
      </c>
      <c r="H1675" t="s">
        <v>8</v>
      </c>
      <c r="I1675" s="74" t="str">
        <f ca="1">IF(Table7[[#This Row],[Type]]="KILL",IF(_xlfn.NUMBERVALUE(RIGHT(Table7[[#This Row],[Min]],LEN(Table7[[#This Row],[Min]])-FIND("-",Table7[[#This Row],[Min]])))&gt;INDIRECT(ADDRESS(11+MATCH(LEFT(Table7[[#This Row],[Min]],FIND("-",Table7[[#This Row],[Min]])-1),Table1[Content Sku],0),16,1,1,"Entities")),"review","ok"),"ok")</f>
        <v>ok</v>
      </c>
      <c r="U1675" t="s">
        <v>2717</v>
      </c>
      <c r="V1675">
        <v>77000</v>
      </c>
      <c r="W1675">
        <v>0</v>
      </c>
      <c r="X1675" t="s">
        <v>205</v>
      </c>
      <c r="Y1675" s="74" t="str">
        <f ca="1">IF(Table15[[#This Row],[Type]]="KILL",IF(_xlfn.NUMBERVALUE(RIGHT(Table15[[#This Row],[Min]],LEN(Table15[[#This Row],[Min]])-FIND("-",Table15[[#This Row],[Min]])))&gt;INDIRECT(ADDRESS(11+MATCH(LEFT(Table15[[#This Row],[Min]],FIND("-",Table15[[#This Row],[Min]])-1),Table1[Content Sku],0),16,1,1,"Entities")),"review","ok"),"ok")</f>
        <v>ok</v>
      </c>
    </row>
    <row r="1676" spans="5:25" x14ac:dyDescent="0.25">
      <c r="E1676" t="s">
        <v>254</v>
      </c>
      <c r="F1676">
        <v>0</v>
      </c>
      <c r="G1676">
        <v>0</v>
      </c>
      <c r="H1676" t="s">
        <v>8</v>
      </c>
      <c r="I1676" s="74" t="str">
        <f ca="1">IF(Table7[[#This Row],[Type]]="KILL",IF(_xlfn.NUMBERVALUE(RIGHT(Table7[[#This Row],[Min]],LEN(Table7[[#This Row],[Min]])-FIND("-",Table7[[#This Row],[Min]])))&gt;INDIRECT(ADDRESS(11+MATCH(LEFT(Table7[[#This Row],[Min]],FIND("-",Table7[[#This Row],[Min]])-1),Table1[Content Sku],0),16,1,1,"Entities")),"review","ok"),"ok")</f>
        <v>ok</v>
      </c>
      <c r="U1676" t="s">
        <v>443</v>
      </c>
      <c r="V1676">
        <v>0</v>
      </c>
      <c r="W1676">
        <v>0</v>
      </c>
      <c r="X1676" t="s">
        <v>8</v>
      </c>
      <c r="Y1676" s="74" t="str">
        <f ca="1">IF(Table15[[#This Row],[Type]]="KILL",IF(_xlfn.NUMBERVALUE(RIGHT(Table15[[#This Row],[Min]],LEN(Table15[[#This Row],[Min]])-FIND("-",Table15[[#This Row],[Min]])))&gt;INDIRECT(ADDRESS(11+MATCH(LEFT(Table15[[#This Row],[Min]],FIND("-",Table15[[#This Row],[Min]])-1),Table1[Content Sku],0),16,1,1,"Entities")),"review","ok"),"ok")</f>
        <v>ok</v>
      </c>
    </row>
    <row r="1677" spans="5:25" x14ac:dyDescent="0.25">
      <c r="E1677" t="s">
        <v>47</v>
      </c>
      <c r="F1677">
        <v>3500</v>
      </c>
      <c r="G1677">
        <v>0</v>
      </c>
      <c r="H1677" t="s">
        <v>205</v>
      </c>
      <c r="I1677" s="74" t="str">
        <f ca="1">IF(Table7[[#This Row],[Type]]="KILL",IF(_xlfn.NUMBERVALUE(RIGHT(Table7[[#This Row],[Min]],LEN(Table7[[#This Row],[Min]])-FIND("-",Table7[[#This Row],[Min]])))&gt;INDIRECT(ADDRESS(11+MATCH(LEFT(Table7[[#This Row],[Min]],FIND("-",Table7[[#This Row],[Min]])-1),Table1[Content Sku],0),16,1,1,"Entities")),"review","ok"),"ok")</f>
        <v>ok</v>
      </c>
      <c r="U1677" t="s">
        <v>459</v>
      </c>
      <c r="V1677">
        <v>0</v>
      </c>
      <c r="W1677">
        <v>0</v>
      </c>
      <c r="X1677" t="s">
        <v>8</v>
      </c>
      <c r="Y1677" s="74" t="str">
        <f ca="1">IF(Table15[[#This Row],[Type]]="KILL",IF(_xlfn.NUMBERVALUE(RIGHT(Table15[[#This Row],[Min]],LEN(Table15[[#This Row],[Min]])-FIND("-",Table15[[#This Row],[Min]])))&gt;INDIRECT(ADDRESS(11+MATCH(LEFT(Table15[[#This Row],[Min]],FIND("-",Table15[[#This Row],[Min]])-1),Table1[Content Sku],0),16,1,1,"Entities")),"review","ok"),"ok")</f>
        <v>ok</v>
      </c>
    </row>
    <row r="1678" spans="5:25" x14ac:dyDescent="0.25">
      <c r="E1678" t="s">
        <v>257</v>
      </c>
      <c r="F1678">
        <v>25000</v>
      </c>
      <c r="G1678">
        <v>0</v>
      </c>
      <c r="H1678" t="s">
        <v>205</v>
      </c>
      <c r="I1678" s="74" t="str">
        <f ca="1">IF(Table7[[#This Row],[Type]]="KILL",IF(_xlfn.NUMBERVALUE(RIGHT(Table7[[#This Row],[Min]],LEN(Table7[[#This Row],[Min]])-FIND("-",Table7[[#This Row],[Min]])))&gt;INDIRECT(ADDRESS(11+MATCH(LEFT(Table7[[#This Row],[Min]],FIND("-",Table7[[#This Row],[Min]])-1),Table1[Content Sku],0),16,1,1,"Entities")),"review","ok"),"ok")</f>
        <v>ok</v>
      </c>
      <c r="U1678" t="s">
        <v>460</v>
      </c>
      <c r="V1678">
        <v>0</v>
      </c>
      <c r="W1678">
        <v>0</v>
      </c>
      <c r="X1678" t="s">
        <v>8</v>
      </c>
      <c r="Y1678" s="74" t="str">
        <f ca="1">IF(Table15[[#This Row],[Type]]="KILL",IF(_xlfn.NUMBERVALUE(RIGHT(Table15[[#This Row],[Min]],LEN(Table15[[#This Row],[Min]])-FIND("-",Table15[[#This Row],[Min]])))&gt;INDIRECT(ADDRESS(11+MATCH(LEFT(Table15[[#This Row],[Min]],FIND("-",Table15[[#This Row],[Min]])-1),Table1[Content Sku],0),16,1,1,"Entities")),"review","ok"),"ok")</f>
        <v>ok</v>
      </c>
    </row>
    <row r="1679" spans="5:25" x14ac:dyDescent="0.25">
      <c r="E1679" t="s">
        <v>2741</v>
      </c>
      <c r="F1679">
        <v>0</v>
      </c>
      <c r="G1679">
        <v>0</v>
      </c>
      <c r="H1679" t="s">
        <v>8</v>
      </c>
      <c r="I1679" s="74" t="str">
        <f ca="1">IF(Table7[[#This Row],[Type]]="KILL",IF(_xlfn.NUMBERVALUE(RIGHT(Table7[[#This Row],[Min]],LEN(Table7[[#This Row],[Min]])-FIND("-",Table7[[#This Row],[Min]])))&gt;INDIRECT(ADDRESS(11+MATCH(LEFT(Table7[[#This Row],[Min]],FIND("-",Table7[[#This Row],[Min]])-1),Table1[Content Sku],0),16,1,1,"Entities")),"review","ok"),"ok")</f>
        <v>ok</v>
      </c>
      <c r="U1679" t="s">
        <v>443</v>
      </c>
      <c r="V1679">
        <v>0</v>
      </c>
      <c r="W1679">
        <v>0</v>
      </c>
      <c r="X1679" t="s">
        <v>8</v>
      </c>
      <c r="Y1679" s="74" t="str">
        <f ca="1">IF(Table15[[#This Row],[Type]]="KILL",IF(_xlfn.NUMBERVALUE(RIGHT(Table15[[#This Row],[Min]],LEN(Table15[[#This Row],[Min]])-FIND("-",Table15[[#This Row],[Min]])))&gt;INDIRECT(ADDRESS(11+MATCH(LEFT(Table15[[#This Row],[Min]],FIND("-",Table15[[#This Row],[Min]])-1),Table1[Content Sku],0),16,1,1,"Entities")),"review","ok"),"ok")</f>
        <v>ok</v>
      </c>
    </row>
    <row r="1680" spans="5:25" x14ac:dyDescent="0.25">
      <c r="E1680" t="s">
        <v>41</v>
      </c>
      <c r="F1680">
        <v>12000</v>
      </c>
      <c r="G1680">
        <v>0</v>
      </c>
      <c r="H1680" t="s">
        <v>205</v>
      </c>
      <c r="I1680" s="74" t="str">
        <f ca="1">IF(Table7[[#This Row],[Type]]="KILL",IF(_xlfn.NUMBERVALUE(RIGHT(Table7[[#This Row],[Min]],LEN(Table7[[#This Row],[Min]])-FIND("-",Table7[[#This Row],[Min]])))&gt;INDIRECT(ADDRESS(11+MATCH(LEFT(Table7[[#This Row],[Min]],FIND("-",Table7[[#This Row],[Min]])-1),Table1[Content Sku],0),16,1,1,"Entities")),"review","ok"),"ok")</f>
        <v>ok</v>
      </c>
      <c r="U1680" t="s">
        <v>122</v>
      </c>
      <c r="V1680">
        <v>0</v>
      </c>
      <c r="W1680">
        <v>0</v>
      </c>
      <c r="X1680" t="s">
        <v>8</v>
      </c>
      <c r="Y1680" s="74" t="str">
        <f ca="1">IF(Table15[[#This Row],[Type]]="KILL",IF(_xlfn.NUMBERVALUE(RIGHT(Table15[[#This Row],[Min]],LEN(Table15[[#This Row],[Min]])-FIND("-",Table15[[#This Row],[Min]])))&gt;INDIRECT(ADDRESS(11+MATCH(LEFT(Table15[[#This Row],[Min]],FIND("-",Table15[[#This Row],[Min]])-1),Table1[Content Sku],0),16,1,1,"Entities")),"review","ok"),"ok")</f>
        <v>ok</v>
      </c>
    </row>
    <row r="1681" spans="5:25" x14ac:dyDescent="0.25">
      <c r="E1681" t="s">
        <v>463</v>
      </c>
      <c r="F1681">
        <v>0</v>
      </c>
      <c r="G1681">
        <v>180</v>
      </c>
      <c r="H1681" t="s">
        <v>4431</v>
      </c>
      <c r="I1681" s="74" t="str">
        <f ca="1">IF(Table7[[#This Row],[Type]]="KILL",IF(_xlfn.NUMBERVALUE(RIGHT(Table7[[#This Row],[Min]],LEN(Table7[[#This Row],[Min]])-FIND("-",Table7[[#This Row],[Min]])))&gt;INDIRECT(ADDRESS(11+MATCH(LEFT(Table7[[#This Row],[Min]],FIND("-",Table7[[#This Row],[Min]])-1),Table1[Content Sku],0),16,1,1,"Entities")),"review","ok"),"ok")</f>
        <v>ok</v>
      </c>
      <c r="U1681" t="s">
        <v>2717</v>
      </c>
      <c r="V1681">
        <v>39000</v>
      </c>
      <c r="W1681">
        <v>0</v>
      </c>
      <c r="X1681" t="s">
        <v>205</v>
      </c>
      <c r="Y1681" s="74" t="str">
        <f ca="1">IF(Table15[[#This Row],[Type]]="KILL",IF(_xlfn.NUMBERVALUE(RIGHT(Table15[[#This Row],[Min]],LEN(Table15[[#This Row],[Min]])-FIND("-",Table15[[#This Row],[Min]])))&gt;INDIRECT(ADDRESS(11+MATCH(LEFT(Table15[[#This Row],[Min]],FIND("-",Table15[[#This Row],[Min]])-1),Table1[Content Sku],0),16,1,1,"Entities")),"review","ok"),"ok")</f>
        <v>ok</v>
      </c>
    </row>
    <row r="1682" spans="5:25" x14ac:dyDescent="0.25">
      <c r="E1682" t="s">
        <v>40</v>
      </c>
      <c r="F1682">
        <v>5400</v>
      </c>
      <c r="G1682">
        <v>0</v>
      </c>
      <c r="H1682" t="s">
        <v>205</v>
      </c>
      <c r="I1682" s="74" t="str">
        <f ca="1">IF(Table7[[#This Row],[Type]]="KILL",IF(_xlfn.NUMBERVALUE(RIGHT(Table7[[#This Row],[Min]],LEN(Table7[[#This Row],[Min]])-FIND("-",Table7[[#This Row],[Min]])))&gt;INDIRECT(ADDRESS(11+MATCH(LEFT(Table7[[#This Row],[Min]],FIND("-",Table7[[#This Row],[Min]])-1),Table1[Content Sku],0),16,1,1,"Entities")),"review","ok"),"ok")</f>
        <v>ok</v>
      </c>
      <c r="U1682" t="s">
        <v>457</v>
      </c>
      <c r="V1682">
        <v>0</v>
      </c>
      <c r="W1682">
        <v>0</v>
      </c>
      <c r="X1682" t="s">
        <v>8</v>
      </c>
      <c r="Y1682" s="74" t="str">
        <f ca="1">IF(Table15[[#This Row],[Type]]="KILL",IF(_xlfn.NUMBERVALUE(RIGHT(Table15[[#This Row],[Min]],LEN(Table15[[#This Row],[Min]])-FIND("-",Table15[[#This Row],[Min]])))&gt;INDIRECT(ADDRESS(11+MATCH(LEFT(Table15[[#This Row],[Min]],FIND("-",Table15[[#This Row],[Min]])-1),Table1[Content Sku],0),16,1,1,"Entities")),"review","ok"),"ok")</f>
        <v>ok</v>
      </c>
    </row>
    <row r="1683" spans="5:25" x14ac:dyDescent="0.25">
      <c r="E1683" t="s">
        <v>8133</v>
      </c>
      <c r="F1683">
        <v>0</v>
      </c>
      <c r="G1683">
        <v>0</v>
      </c>
      <c r="H1683" t="s">
        <v>8</v>
      </c>
      <c r="I1683" s="74" t="str">
        <f ca="1">IF(Table7[[#This Row],[Type]]="KILL",IF(_xlfn.NUMBERVALUE(RIGHT(Table7[[#This Row],[Min]],LEN(Table7[[#This Row],[Min]])-FIND("-",Table7[[#This Row],[Min]])))&gt;INDIRECT(ADDRESS(11+MATCH(LEFT(Table7[[#This Row],[Min]],FIND("-",Table7[[#This Row],[Min]])-1),Table1[Content Sku],0),16,1,1,"Entities")),"review","ok"),"ok")</f>
        <v>ok</v>
      </c>
      <c r="U1683" t="s">
        <v>457</v>
      </c>
      <c r="V1683">
        <v>0</v>
      </c>
      <c r="W1683">
        <v>33000</v>
      </c>
      <c r="X1683" t="s">
        <v>205</v>
      </c>
      <c r="Y1683" s="74" t="str">
        <f ca="1">IF(Table15[[#This Row],[Type]]="KILL",IF(_xlfn.NUMBERVALUE(RIGHT(Table15[[#This Row],[Min]],LEN(Table15[[#This Row],[Min]])-FIND("-",Table15[[#This Row],[Min]])))&gt;INDIRECT(ADDRESS(11+MATCH(LEFT(Table15[[#This Row],[Min]],FIND("-",Table15[[#This Row],[Min]])-1),Table1[Content Sku],0),16,1,1,"Entities")),"review","ok"),"ok")</f>
        <v>ok</v>
      </c>
    </row>
    <row r="1684" spans="5:25" x14ac:dyDescent="0.25">
      <c r="E1684" t="s">
        <v>46</v>
      </c>
      <c r="F1684">
        <v>0</v>
      </c>
      <c r="G1684">
        <v>0</v>
      </c>
      <c r="H1684" t="s">
        <v>8</v>
      </c>
      <c r="I1684" s="74" t="str">
        <f ca="1">IF(Table7[[#This Row],[Type]]="KILL",IF(_xlfn.NUMBERVALUE(RIGHT(Table7[[#This Row],[Min]],LEN(Table7[[#This Row],[Min]])-FIND("-",Table7[[#This Row],[Min]])))&gt;INDIRECT(ADDRESS(11+MATCH(LEFT(Table7[[#This Row],[Min]],FIND("-",Table7[[#This Row],[Min]])-1),Table1[Content Sku],0),16,1,1,"Entities")),"review","ok"),"ok")</f>
        <v>ok</v>
      </c>
      <c r="U1684" t="s">
        <v>396</v>
      </c>
      <c r="V1684">
        <v>35000</v>
      </c>
      <c r="W1684">
        <v>0</v>
      </c>
      <c r="X1684" t="s">
        <v>205</v>
      </c>
      <c r="Y1684" s="74" t="str">
        <f ca="1">IF(Table15[[#This Row],[Type]]="KILL",IF(_xlfn.NUMBERVALUE(RIGHT(Table15[[#This Row],[Min]],LEN(Table15[[#This Row],[Min]])-FIND("-",Table15[[#This Row],[Min]])))&gt;INDIRECT(ADDRESS(11+MATCH(LEFT(Table15[[#This Row],[Min]],FIND("-",Table15[[#This Row],[Min]])-1),Table1[Content Sku],0),16,1,1,"Entities")),"review","ok"),"ok")</f>
        <v>ok</v>
      </c>
    </row>
    <row r="1685" spans="5:25" x14ac:dyDescent="0.25">
      <c r="E1685" t="s">
        <v>258</v>
      </c>
      <c r="F1685">
        <v>0</v>
      </c>
      <c r="G1685">
        <v>0</v>
      </c>
      <c r="H1685" t="s">
        <v>8</v>
      </c>
      <c r="I1685" s="74" t="str">
        <f ca="1">IF(Table7[[#This Row],[Type]]="KILL",IF(_xlfn.NUMBERVALUE(RIGHT(Table7[[#This Row],[Min]],LEN(Table7[[#This Row],[Min]])-FIND("-",Table7[[#This Row],[Min]])))&gt;INDIRECT(ADDRESS(11+MATCH(LEFT(Table7[[#This Row],[Min]],FIND("-",Table7[[#This Row],[Min]])-1),Table1[Content Sku],0),16,1,1,"Entities")),"review","ok"),"ok")</f>
        <v>ok</v>
      </c>
      <c r="U1685" t="s">
        <v>37</v>
      </c>
      <c r="V1685">
        <v>0</v>
      </c>
      <c r="W1685">
        <v>0</v>
      </c>
      <c r="X1685" t="s">
        <v>8</v>
      </c>
      <c r="Y1685" s="74" t="str">
        <f ca="1">IF(Table15[[#This Row],[Type]]="KILL",IF(_xlfn.NUMBERVALUE(RIGHT(Table15[[#This Row],[Min]],LEN(Table15[[#This Row],[Min]])-FIND("-",Table15[[#This Row],[Min]])))&gt;INDIRECT(ADDRESS(11+MATCH(LEFT(Table15[[#This Row],[Min]],FIND("-",Table15[[#This Row],[Min]])-1),Table1[Content Sku],0),16,1,1,"Entities")),"review","ok"),"ok")</f>
        <v>ok</v>
      </c>
    </row>
    <row r="1686" spans="5:25" x14ac:dyDescent="0.25">
      <c r="E1686" t="s">
        <v>49</v>
      </c>
      <c r="F1686">
        <v>0</v>
      </c>
      <c r="G1686">
        <v>0</v>
      </c>
      <c r="H1686" t="s">
        <v>8</v>
      </c>
      <c r="I1686" s="74" t="str">
        <f ca="1">IF(Table7[[#This Row],[Type]]="KILL",IF(_xlfn.NUMBERVALUE(RIGHT(Table7[[#This Row],[Min]],LEN(Table7[[#This Row],[Min]])-FIND("-",Table7[[#This Row],[Min]])))&gt;INDIRECT(ADDRESS(11+MATCH(LEFT(Table7[[#This Row],[Min]],FIND("-",Table7[[#This Row],[Min]])-1),Table1[Content Sku],0),16,1,1,"Entities")),"review","ok"),"ok")</f>
        <v>ok</v>
      </c>
      <c r="U1686" t="s">
        <v>457</v>
      </c>
      <c r="V1686">
        <v>0</v>
      </c>
      <c r="W1686">
        <v>0</v>
      </c>
      <c r="X1686" t="s">
        <v>8</v>
      </c>
      <c r="Y1686" s="74" t="str">
        <f ca="1">IF(Table15[[#This Row],[Type]]="KILL",IF(_xlfn.NUMBERVALUE(RIGHT(Table15[[#This Row],[Min]],LEN(Table15[[#This Row],[Min]])-FIND("-",Table15[[#This Row],[Min]])))&gt;INDIRECT(ADDRESS(11+MATCH(LEFT(Table15[[#This Row],[Min]],FIND("-",Table15[[#This Row],[Min]])-1),Table1[Content Sku],0),16,1,1,"Entities")),"review","ok"),"ok")</f>
        <v>ok</v>
      </c>
    </row>
    <row r="1687" spans="5:25" x14ac:dyDescent="0.25">
      <c r="E1687" t="s">
        <v>8150</v>
      </c>
      <c r="F1687">
        <v>0</v>
      </c>
      <c r="G1687">
        <v>0</v>
      </c>
      <c r="H1687" t="s">
        <v>8</v>
      </c>
      <c r="I1687" s="74" t="str">
        <f ca="1">IF(Table7[[#This Row],[Type]]="KILL",IF(_xlfn.NUMBERVALUE(RIGHT(Table7[[#This Row],[Min]],LEN(Table7[[#This Row],[Min]])-FIND("-",Table7[[#This Row],[Min]])))&gt;INDIRECT(ADDRESS(11+MATCH(LEFT(Table7[[#This Row],[Min]],FIND("-",Table7[[#This Row],[Min]])-1),Table1[Content Sku],0),16,1,1,"Entities")),"review","ok"),"ok")</f>
        <v>ok</v>
      </c>
      <c r="U1687" t="s">
        <v>37</v>
      </c>
      <c r="V1687">
        <v>0</v>
      </c>
      <c r="W1687">
        <v>0</v>
      </c>
      <c r="X1687" t="s">
        <v>8</v>
      </c>
      <c r="Y1687" s="74" t="str">
        <f ca="1">IF(Table15[[#This Row],[Type]]="KILL",IF(_xlfn.NUMBERVALUE(RIGHT(Table15[[#This Row],[Min]],LEN(Table15[[#This Row],[Min]])-FIND("-",Table15[[#This Row],[Min]])))&gt;INDIRECT(ADDRESS(11+MATCH(LEFT(Table15[[#This Row],[Min]],FIND("-",Table15[[#This Row],[Min]])-1),Table1[Content Sku],0),16,1,1,"Entities")),"review","ok"),"ok")</f>
        <v>ok</v>
      </c>
    </row>
    <row r="1688" spans="5:25" x14ac:dyDescent="0.25">
      <c r="E1688" t="s">
        <v>278</v>
      </c>
      <c r="F1688">
        <v>0</v>
      </c>
      <c r="G1688">
        <v>0</v>
      </c>
      <c r="H1688" t="s">
        <v>8</v>
      </c>
      <c r="I1688" s="74" t="str">
        <f ca="1">IF(Table7[[#This Row],[Type]]="KILL",IF(_xlfn.NUMBERVALUE(RIGHT(Table7[[#This Row],[Min]],LEN(Table7[[#This Row],[Min]])-FIND("-",Table7[[#This Row],[Min]])))&gt;INDIRECT(ADDRESS(11+MATCH(LEFT(Table7[[#This Row],[Min]],FIND("-",Table7[[#This Row],[Min]])-1),Table1[Content Sku],0),16,1,1,"Entities")),"review","ok"),"ok")</f>
        <v>ok</v>
      </c>
      <c r="U1688" t="s">
        <v>37</v>
      </c>
      <c r="V1688">
        <v>0</v>
      </c>
      <c r="W1688">
        <v>0</v>
      </c>
      <c r="X1688" t="s">
        <v>8</v>
      </c>
      <c r="Y1688" s="74" t="str">
        <f ca="1">IF(Table15[[#This Row],[Type]]="KILL",IF(_xlfn.NUMBERVALUE(RIGHT(Table15[[#This Row],[Min]],LEN(Table15[[#This Row],[Min]])-FIND("-",Table15[[#This Row],[Min]])))&gt;INDIRECT(ADDRESS(11+MATCH(LEFT(Table15[[#This Row],[Min]],FIND("-",Table15[[#This Row],[Min]])-1),Table1[Content Sku],0),16,1,1,"Entities")),"review","ok"),"ok")</f>
        <v>ok</v>
      </c>
    </row>
    <row r="1689" spans="5:25" x14ac:dyDescent="0.25">
      <c r="E1689" t="s">
        <v>8133</v>
      </c>
      <c r="F1689">
        <v>0</v>
      </c>
      <c r="G1689">
        <v>0</v>
      </c>
      <c r="H1689" t="s">
        <v>8</v>
      </c>
      <c r="I1689" s="74" t="str">
        <f ca="1">IF(Table7[[#This Row],[Type]]="KILL",IF(_xlfn.NUMBERVALUE(RIGHT(Table7[[#This Row],[Min]],LEN(Table7[[#This Row],[Min]])-FIND("-",Table7[[#This Row],[Min]])))&gt;INDIRECT(ADDRESS(11+MATCH(LEFT(Table7[[#This Row],[Min]],FIND("-",Table7[[#This Row],[Min]])-1),Table1[Content Sku],0),16,1,1,"Entities")),"review","ok"),"ok")</f>
        <v>ok</v>
      </c>
      <c r="U1689" t="s">
        <v>457</v>
      </c>
      <c r="V1689">
        <v>0</v>
      </c>
      <c r="W1689">
        <v>33000</v>
      </c>
      <c r="X1689" t="s">
        <v>205</v>
      </c>
      <c r="Y1689" s="74" t="str">
        <f ca="1">IF(Table15[[#This Row],[Type]]="KILL",IF(_xlfn.NUMBERVALUE(RIGHT(Table15[[#This Row],[Min]],LEN(Table15[[#This Row],[Min]])-FIND("-",Table15[[#This Row],[Min]])))&gt;INDIRECT(ADDRESS(11+MATCH(LEFT(Table15[[#This Row],[Min]],FIND("-",Table15[[#This Row],[Min]])-1),Table1[Content Sku],0),16,1,1,"Entities")),"review","ok"),"ok")</f>
        <v>ok</v>
      </c>
    </row>
    <row r="1690" spans="5:25" x14ac:dyDescent="0.25">
      <c r="E1690" t="s">
        <v>95</v>
      </c>
      <c r="F1690">
        <v>0</v>
      </c>
      <c r="G1690">
        <v>0</v>
      </c>
      <c r="H1690" t="s">
        <v>8</v>
      </c>
      <c r="I1690" s="74" t="str">
        <f ca="1">IF(Table7[[#This Row],[Type]]="KILL",IF(_xlfn.NUMBERVALUE(RIGHT(Table7[[#This Row],[Min]],LEN(Table7[[#This Row],[Min]])-FIND("-",Table7[[#This Row],[Min]])))&gt;INDIRECT(ADDRESS(11+MATCH(LEFT(Table7[[#This Row],[Min]],FIND("-",Table7[[#This Row],[Min]])-1),Table1[Content Sku],0),16,1,1,"Entities")),"review","ok"),"ok")</f>
        <v>ok</v>
      </c>
      <c r="U1690" t="s">
        <v>2720</v>
      </c>
      <c r="V1690">
        <v>0</v>
      </c>
      <c r="W1690">
        <v>240</v>
      </c>
      <c r="X1690" t="s">
        <v>4431</v>
      </c>
      <c r="Y1690" s="74" t="str">
        <f ca="1">IF(Table15[[#This Row],[Type]]="KILL",IF(_xlfn.NUMBERVALUE(RIGHT(Table15[[#This Row],[Min]],LEN(Table15[[#This Row],[Min]])-FIND("-",Table15[[#This Row],[Min]])))&gt;INDIRECT(ADDRESS(11+MATCH(LEFT(Table15[[#This Row],[Min]],FIND("-",Table15[[#This Row],[Min]])-1),Table1[Content Sku],0),16,1,1,"Entities")),"review","ok"),"ok")</f>
        <v>ok</v>
      </c>
    </row>
    <row r="1691" spans="5:25" x14ac:dyDescent="0.25">
      <c r="E1691" t="s">
        <v>8133</v>
      </c>
      <c r="F1691">
        <v>0</v>
      </c>
      <c r="G1691">
        <v>0</v>
      </c>
      <c r="H1691" t="s">
        <v>8</v>
      </c>
      <c r="I1691" s="74" t="str">
        <f ca="1">IF(Table7[[#This Row],[Type]]="KILL",IF(_xlfn.NUMBERVALUE(RIGHT(Table7[[#This Row],[Min]],LEN(Table7[[#This Row],[Min]])-FIND("-",Table7[[#This Row],[Min]])))&gt;INDIRECT(ADDRESS(11+MATCH(LEFT(Table7[[#This Row],[Min]],FIND("-",Table7[[#This Row],[Min]])-1),Table1[Content Sku],0),16,1,1,"Entities")),"review","ok"),"ok")</f>
        <v>ok</v>
      </c>
      <c r="U1691" t="s">
        <v>315</v>
      </c>
      <c r="V1691">
        <v>0</v>
      </c>
      <c r="W1691">
        <v>0</v>
      </c>
      <c r="X1691" t="s">
        <v>8</v>
      </c>
      <c r="Y1691" s="74" t="str">
        <f ca="1">IF(Table15[[#This Row],[Type]]="KILL",IF(_xlfn.NUMBERVALUE(RIGHT(Table15[[#This Row],[Min]],LEN(Table15[[#This Row],[Min]])-FIND("-",Table15[[#This Row],[Min]])))&gt;INDIRECT(ADDRESS(11+MATCH(LEFT(Table15[[#This Row],[Min]],FIND("-",Table15[[#This Row],[Min]])-1),Table1[Content Sku],0),16,1,1,"Entities")),"review","ok"),"ok")</f>
        <v>ok</v>
      </c>
    </row>
    <row r="1692" spans="5:25" x14ac:dyDescent="0.25">
      <c r="E1692" t="s">
        <v>122</v>
      </c>
      <c r="F1692">
        <v>0</v>
      </c>
      <c r="G1692">
        <v>0</v>
      </c>
      <c r="H1692" t="s">
        <v>8</v>
      </c>
      <c r="I1692" s="74" t="str">
        <f ca="1">IF(Table7[[#This Row],[Type]]="KILL",IF(_xlfn.NUMBERVALUE(RIGHT(Table7[[#This Row],[Min]],LEN(Table7[[#This Row],[Min]])-FIND("-",Table7[[#This Row],[Min]])))&gt;INDIRECT(ADDRESS(11+MATCH(LEFT(Table7[[#This Row],[Min]],FIND("-",Table7[[#This Row],[Min]])-1),Table1[Content Sku],0),16,1,1,"Entities")),"review","ok"),"ok")</f>
        <v>ok</v>
      </c>
      <c r="U1692" t="s">
        <v>22</v>
      </c>
      <c r="V1692">
        <v>35000</v>
      </c>
      <c r="W1692">
        <v>0</v>
      </c>
      <c r="X1692" t="s">
        <v>205</v>
      </c>
      <c r="Y1692" s="74" t="str">
        <f ca="1">IF(Table15[[#This Row],[Type]]="KILL",IF(_xlfn.NUMBERVALUE(RIGHT(Table15[[#This Row],[Min]],LEN(Table15[[#This Row],[Min]])-FIND("-",Table15[[#This Row],[Min]])))&gt;INDIRECT(ADDRESS(11+MATCH(LEFT(Table15[[#This Row],[Min]],FIND("-",Table15[[#This Row],[Min]])-1),Table1[Content Sku],0),16,1,1,"Entities")),"review","ok"),"ok")</f>
        <v>ok</v>
      </c>
    </row>
    <row r="1693" spans="5:25" x14ac:dyDescent="0.25">
      <c r="E1693" t="s">
        <v>95</v>
      </c>
      <c r="F1693">
        <v>0</v>
      </c>
      <c r="G1693">
        <v>0</v>
      </c>
      <c r="H1693" t="s">
        <v>8</v>
      </c>
      <c r="I1693" s="74" t="str">
        <f ca="1">IF(Table7[[#This Row],[Type]]="KILL",IF(_xlfn.NUMBERVALUE(RIGHT(Table7[[#This Row],[Min]],LEN(Table7[[#This Row],[Min]])-FIND("-",Table7[[#This Row],[Min]])))&gt;INDIRECT(ADDRESS(11+MATCH(LEFT(Table7[[#This Row],[Min]],FIND("-",Table7[[#This Row],[Min]])-1),Table1[Content Sku],0),16,1,1,"Entities")),"review","ok"),"ok")</f>
        <v>ok</v>
      </c>
      <c r="U1693" t="s">
        <v>548</v>
      </c>
      <c r="V1693">
        <v>0</v>
      </c>
      <c r="W1693">
        <v>0</v>
      </c>
      <c r="X1693" t="s">
        <v>8</v>
      </c>
      <c r="Y1693" s="74" t="str">
        <f ca="1">IF(Table15[[#This Row],[Type]]="KILL",IF(_xlfn.NUMBERVALUE(RIGHT(Table15[[#This Row],[Min]],LEN(Table15[[#This Row],[Min]])-FIND("-",Table15[[#This Row],[Min]])))&gt;INDIRECT(ADDRESS(11+MATCH(LEFT(Table15[[#This Row],[Min]],FIND("-",Table15[[#This Row],[Min]])-1),Table1[Content Sku],0),16,1,1,"Entities")),"review","ok"),"ok")</f>
        <v>ok</v>
      </c>
    </row>
    <row r="1694" spans="5:25" x14ac:dyDescent="0.25">
      <c r="E1694" t="s">
        <v>2732</v>
      </c>
      <c r="F1694">
        <v>0</v>
      </c>
      <c r="G1694">
        <v>0</v>
      </c>
      <c r="H1694" t="s">
        <v>8</v>
      </c>
      <c r="I1694" s="74" t="str">
        <f ca="1">IF(Table7[[#This Row],[Type]]="KILL",IF(_xlfn.NUMBERVALUE(RIGHT(Table7[[#This Row],[Min]],LEN(Table7[[#This Row],[Min]])-FIND("-",Table7[[#This Row],[Min]])))&gt;INDIRECT(ADDRESS(11+MATCH(LEFT(Table7[[#This Row],[Min]],FIND("-",Table7[[#This Row],[Min]])-1),Table1[Content Sku],0),16,1,1,"Entities")),"review","ok"),"ok")</f>
        <v>ok</v>
      </c>
      <c r="U1694" t="s">
        <v>37</v>
      </c>
      <c r="V1694">
        <v>0</v>
      </c>
      <c r="W1694">
        <v>0</v>
      </c>
      <c r="X1694" t="s">
        <v>8</v>
      </c>
      <c r="Y1694" s="74" t="str">
        <f ca="1">IF(Table15[[#This Row],[Type]]="KILL",IF(_xlfn.NUMBERVALUE(RIGHT(Table15[[#This Row],[Min]],LEN(Table15[[#This Row],[Min]])-FIND("-",Table15[[#This Row],[Min]])))&gt;INDIRECT(ADDRESS(11+MATCH(LEFT(Table15[[#This Row],[Min]],FIND("-",Table15[[#This Row],[Min]])-1),Table1[Content Sku],0),16,1,1,"Entities")),"review","ok"),"ok")</f>
        <v>ok</v>
      </c>
    </row>
    <row r="1695" spans="5:25" x14ac:dyDescent="0.25">
      <c r="E1695" t="s">
        <v>278</v>
      </c>
      <c r="F1695">
        <v>4000</v>
      </c>
      <c r="G1695">
        <v>0</v>
      </c>
      <c r="H1695" t="s">
        <v>205</v>
      </c>
      <c r="I1695" s="74" t="str">
        <f ca="1">IF(Table7[[#This Row],[Type]]="KILL",IF(_xlfn.NUMBERVALUE(RIGHT(Table7[[#This Row],[Min]],LEN(Table7[[#This Row],[Min]])-FIND("-",Table7[[#This Row],[Min]])))&gt;INDIRECT(ADDRESS(11+MATCH(LEFT(Table7[[#This Row],[Min]],FIND("-",Table7[[#This Row],[Min]])-1),Table1[Content Sku],0),16,1,1,"Entities")),"review","ok"),"ok")</f>
        <v>ok</v>
      </c>
      <c r="U1695" t="s">
        <v>37</v>
      </c>
      <c r="V1695">
        <v>0</v>
      </c>
      <c r="W1695">
        <v>0</v>
      </c>
      <c r="X1695" t="s">
        <v>8</v>
      </c>
      <c r="Y1695" s="74" t="str">
        <f ca="1">IF(Table15[[#This Row],[Type]]="KILL",IF(_xlfn.NUMBERVALUE(RIGHT(Table15[[#This Row],[Min]],LEN(Table15[[#This Row],[Min]])-FIND("-",Table15[[#This Row],[Min]])))&gt;INDIRECT(ADDRESS(11+MATCH(LEFT(Table15[[#This Row],[Min]],FIND("-",Table15[[#This Row],[Min]])-1),Table1[Content Sku],0),16,1,1,"Entities")),"review","ok"),"ok")</f>
        <v>ok</v>
      </c>
    </row>
    <row r="1696" spans="5:25" x14ac:dyDescent="0.25">
      <c r="E1696" t="s">
        <v>0</v>
      </c>
      <c r="F1696">
        <v>0</v>
      </c>
      <c r="G1696">
        <v>5400</v>
      </c>
      <c r="H1696" t="s">
        <v>205</v>
      </c>
      <c r="I1696" s="74" t="str">
        <f ca="1">IF(Table7[[#This Row],[Type]]="KILL",IF(_xlfn.NUMBERVALUE(RIGHT(Table7[[#This Row],[Min]],LEN(Table7[[#This Row],[Min]])-FIND("-",Table7[[#This Row],[Min]])))&gt;INDIRECT(ADDRESS(11+MATCH(LEFT(Table7[[#This Row],[Min]],FIND("-",Table7[[#This Row],[Min]])-1),Table1[Content Sku],0),16,1,1,"Entities")),"review","ok"),"ok")</f>
        <v>ok</v>
      </c>
      <c r="U1696" t="s">
        <v>37</v>
      </c>
      <c r="V1696">
        <v>0</v>
      </c>
      <c r="W1696">
        <v>40000</v>
      </c>
      <c r="X1696" t="s">
        <v>205</v>
      </c>
      <c r="Y1696" s="74" t="str">
        <f ca="1">IF(Table15[[#This Row],[Type]]="KILL",IF(_xlfn.NUMBERVALUE(RIGHT(Table15[[#This Row],[Min]],LEN(Table15[[#This Row],[Min]])-FIND("-",Table15[[#This Row],[Min]])))&gt;INDIRECT(ADDRESS(11+MATCH(LEFT(Table15[[#This Row],[Min]],FIND("-",Table15[[#This Row],[Min]])-1),Table1[Content Sku],0),16,1,1,"Entities")),"review","ok"),"ok")</f>
        <v>ok</v>
      </c>
    </row>
    <row r="1697" spans="5:25" x14ac:dyDescent="0.25">
      <c r="E1697" t="s">
        <v>403</v>
      </c>
      <c r="F1697">
        <v>0</v>
      </c>
      <c r="G1697">
        <v>0</v>
      </c>
      <c r="H1697" t="s">
        <v>8</v>
      </c>
      <c r="I1697" s="74" t="str">
        <f ca="1">IF(Table7[[#This Row],[Type]]="KILL",IF(_xlfn.NUMBERVALUE(RIGHT(Table7[[#This Row],[Min]],LEN(Table7[[#This Row],[Min]])-FIND("-",Table7[[#This Row],[Min]])))&gt;INDIRECT(ADDRESS(11+MATCH(LEFT(Table7[[#This Row],[Min]],FIND("-",Table7[[#This Row],[Min]])-1),Table1[Content Sku],0),16,1,1,"Entities")),"review","ok"),"ok")</f>
        <v>ok</v>
      </c>
      <c r="U1697" t="s">
        <v>123</v>
      </c>
      <c r="V1697">
        <v>0</v>
      </c>
      <c r="W1697">
        <v>0</v>
      </c>
      <c r="X1697" t="s">
        <v>8</v>
      </c>
      <c r="Y1697" s="74" t="str">
        <f ca="1">IF(Table15[[#This Row],[Type]]="KILL",IF(_xlfn.NUMBERVALUE(RIGHT(Table15[[#This Row],[Min]],LEN(Table15[[#This Row],[Min]])-FIND("-",Table15[[#This Row],[Min]])))&gt;INDIRECT(ADDRESS(11+MATCH(LEFT(Table15[[#This Row],[Min]],FIND("-",Table15[[#This Row],[Min]])-1),Table1[Content Sku],0),16,1,1,"Entities")),"review","ok"),"ok")</f>
        <v>ok</v>
      </c>
    </row>
    <row r="1698" spans="5:25" x14ac:dyDescent="0.25">
      <c r="E1698" t="s">
        <v>2738</v>
      </c>
      <c r="F1698">
        <v>0</v>
      </c>
      <c r="G1698">
        <v>0</v>
      </c>
      <c r="H1698" t="s">
        <v>8</v>
      </c>
      <c r="I1698" s="74" t="str">
        <f ca="1">IF(Table7[[#This Row],[Type]]="KILL",IF(_xlfn.NUMBERVALUE(RIGHT(Table7[[#This Row],[Min]],LEN(Table7[[#This Row],[Min]])-FIND("-",Table7[[#This Row],[Min]])))&gt;INDIRECT(ADDRESS(11+MATCH(LEFT(Table7[[#This Row],[Min]],FIND("-",Table7[[#This Row],[Min]])-1),Table1[Content Sku],0),16,1,1,"Entities")),"review","ok"),"ok")</f>
        <v>ok</v>
      </c>
      <c r="U1698" t="s">
        <v>396</v>
      </c>
      <c r="V1698">
        <v>0</v>
      </c>
      <c r="W1698">
        <v>0</v>
      </c>
      <c r="X1698" t="s">
        <v>8</v>
      </c>
      <c r="Y1698" s="74" t="str">
        <f ca="1">IF(Table15[[#This Row],[Type]]="KILL",IF(_xlfn.NUMBERVALUE(RIGHT(Table15[[#This Row],[Min]],LEN(Table15[[#This Row],[Min]])-FIND("-",Table15[[#This Row],[Min]])))&gt;INDIRECT(ADDRESS(11+MATCH(LEFT(Table15[[#This Row],[Min]],FIND("-",Table15[[#This Row],[Min]])-1),Table1[Content Sku],0),16,1,1,"Entities")),"review","ok"),"ok")</f>
        <v>ok</v>
      </c>
    </row>
    <row r="1699" spans="5:25" x14ac:dyDescent="0.25">
      <c r="E1699" t="s">
        <v>48</v>
      </c>
      <c r="F1699">
        <v>0</v>
      </c>
      <c r="G1699">
        <v>14000</v>
      </c>
      <c r="H1699" t="s">
        <v>205</v>
      </c>
      <c r="I1699" s="74" t="str">
        <f ca="1">IF(Table7[[#This Row],[Type]]="KILL",IF(_xlfn.NUMBERVALUE(RIGHT(Table7[[#This Row],[Min]],LEN(Table7[[#This Row],[Min]])-FIND("-",Table7[[#This Row],[Min]])))&gt;INDIRECT(ADDRESS(11+MATCH(LEFT(Table7[[#This Row],[Min]],FIND("-",Table7[[#This Row],[Min]])-1),Table1[Content Sku],0),16,1,1,"Entities")),"review","ok"),"ok")</f>
        <v>ok</v>
      </c>
      <c r="U1699" t="s">
        <v>396</v>
      </c>
      <c r="V1699">
        <v>0</v>
      </c>
      <c r="W1699">
        <v>0</v>
      </c>
      <c r="X1699" t="s">
        <v>8</v>
      </c>
      <c r="Y1699" s="74" t="str">
        <f ca="1">IF(Table15[[#This Row],[Type]]="KILL",IF(_xlfn.NUMBERVALUE(RIGHT(Table15[[#This Row],[Min]],LEN(Table15[[#This Row],[Min]])-FIND("-",Table15[[#This Row],[Min]])))&gt;INDIRECT(ADDRESS(11+MATCH(LEFT(Table15[[#This Row],[Min]],FIND("-",Table15[[#This Row],[Min]])-1),Table1[Content Sku],0),16,1,1,"Entities")),"review","ok"),"ok")</f>
        <v>ok</v>
      </c>
    </row>
    <row r="1700" spans="5:25" x14ac:dyDescent="0.25">
      <c r="E1700" t="s">
        <v>254</v>
      </c>
      <c r="F1700">
        <v>0</v>
      </c>
      <c r="G1700">
        <v>0</v>
      </c>
      <c r="H1700" t="s">
        <v>8</v>
      </c>
      <c r="I1700" s="74" t="str">
        <f ca="1">IF(Table7[[#This Row],[Type]]="KILL",IF(_xlfn.NUMBERVALUE(RIGHT(Table7[[#This Row],[Min]],LEN(Table7[[#This Row],[Min]])-FIND("-",Table7[[#This Row],[Min]])))&gt;INDIRECT(ADDRESS(11+MATCH(LEFT(Table7[[#This Row],[Min]],FIND("-",Table7[[#This Row],[Min]])-1),Table1[Content Sku],0),16,1,1,"Entities")),"review","ok"),"ok")</f>
        <v>ok</v>
      </c>
      <c r="U1700" t="s">
        <v>457</v>
      </c>
      <c r="V1700">
        <v>0</v>
      </c>
      <c r="W1700">
        <v>0</v>
      </c>
      <c r="X1700" t="s">
        <v>8</v>
      </c>
      <c r="Y1700" s="74" t="str">
        <f ca="1">IF(Table15[[#This Row],[Type]]="KILL",IF(_xlfn.NUMBERVALUE(RIGHT(Table15[[#This Row],[Min]],LEN(Table15[[#This Row],[Min]])-FIND("-",Table15[[#This Row],[Min]])))&gt;INDIRECT(ADDRESS(11+MATCH(LEFT(Table15[[#This Row],[Min]],FIND("-",Table15[[#This Row],[Min]])-1),Table1[Content Sku],0),16,1,1,"Entities")),"review","ok"),"ok")</f>
        <v>ok</v>
      </c>
    </row>
    <row r="1701" spans="5:25" x14ac:dyDescent="0.25">
      <c r="E1701" t="s">
        <v>0</v>
      </c>
      <c r="F1701">
        <v>0</v>
      </c>
      <c r="G1701">
        <v>0</v>
      </c>
      <c r="H1701" t="s">
        <v>8</v>
      </c>
      <c r="I1701" s="74" t="str">
        <f ca="1">IF(Table7[[#This Row],[Type]]="KILL",IF(_xlfn.NUMBERVALUE(RIGHT(Table7[[#This Row],[Min]],LEN(Table7[[#This Row],[Min]])-FIND("-",Table7[[#This Row],[Min]])))&gt;INDIRECT(ADDRESS(11+MATCH(LEFT(Table7[[#This Row],[Min]],FIND("-",Table7[[#This Row],[Min]])-1),Table1[Content Sku],0),16,1,1,"Entities")),"review","ok"),"ok")</f>
        <v>ok</v>
      </c>
      <c r="U1701" t="s">
        <v>22</v>
      </c>
      <c r="V1701">
        <v>0</v>
      </c>
      <c r="W1701">
        <v>0</v>
      </c>
      <c r="X1701" t="s">
        <v>8</v>
      </c>
      <c r="Y1701" s="74" t="str">
        <f ca="1">IF(Table15[[#This Row],[Type]]="KILL",IF(_xlfn.NUMBERVALUE(RIGHT(Table15[[#This Row],[Min]],LEN(Table15[[#This Row],[Min]])-FIND("-",Table15[[#This Row],[Min]])))&gt;INDIRECT(ADDRESS(11+MATCH(LEFT(Table15[[#This Row],[Min]],FIND("-",Table15[[#This Row],[Min]])-1),Table1[Content Sku],0),16,1,1,"Entities")),"review","ok"),"ok")</f>
        <v>ok</v>
      </c>
    </row>
    <row r="1702" spans="5:25" x14ac:dyDescent="0.25">
      <c r="E1702" t="s">
        <v>8133</v>
      </c>
      <c r="F1702">
        <v>0</v>
      </c>
      <c r="G1702">
        <v>0</v>
      </c>
      <c r="H1702" t="s">
        <v>8</v>
      </c>
      <c r="I1702" s="74" t="str">
        <f ca="1">IF(Table7[[#This Row],[Type]]="KILL",IF(_xlfn.NUMBERVALUE(RIGHT(Table7[[#This Row],[Min]],LEN(Table7[[#This Row],[Min]])-FIND("-",Table7[[#This Row],[Min]])))&gt;INDIRECT(ADDRESS(11+MATCH(LEFT(Table7[[#This Row],[Min]],FIND("-",Table7[[#This Row],[Min]])-1),Table1[Content Sku],0),16,1,1,"Entities")),"review","ok"),"ok")</f>
        <v>ok</v>
      </c>
      <c r="U1702" t="s">
        <v>457</v>
      </c>
      <c r="V1702">
        <v>0</v>
      </c>
      <c r="W1702">
        <v>0</v>
      </c>
      <c r="X1702" t="s">
        <v>8</v>
      </c>
      <c r="Y1702" s="74" t="str">
        <f ca="1">IF(Table15[[#This Row],[Type]]="KILL",IF(_xlfn.NUMBERVALUE(RIGHT(Table15[[#This Row],[Min]],LEN(Table15[[#This Row],[Min]])-FIND("-",Table15[[#This Row],[Min]])))&gt;INDIRECT(ADDRESS(11+MATCH(LEFT(Table15[[#This Row],[Min]],FIND("-",Table15[[#This Row],[Min]])-1),Table1[Content Sku],0),16,1,1,"Entities")),"review","ok"),"ok")</f>
        <v>ok</v>
      </c>
    </row>
    <row r="1703" spans="5:25" x14ac:dyDescent="0.25">
      <c r="E1703" t="s">
        <v>313</v>
      </c>
      <c r="F1703">
        <v>0</v>
      </c>
      <c r="G1703">
        <v>0</v>
      </c>
      <c r="H1703" t="s">
        <v>8</v>
      </c>
      <c r="I1703" s="74" t="str">
        <f ca="1">IF(Table7[[#This Row],[Type]]="KILL",IF(_xlfn.NUMBERVALUE(RIGHT(Table7[[#This Row],[Min]],LEN(Table7[[#This Row],[Min]])-FIND("-",Table7[[#This Row],[Min]])))&gt;INDIRECT(ADDRESS(11+MATCH(LEFT(Table7[[#This Row],[Min]],FIND("-",Table7[[#This Row],[Min]])-1),Table1[Content Sku],0),16,1,1,"Entities")),"review","ok"),"ok")</f>
        <v>ok</v>
      </c>
      <c r="U1703" t="s">
        <v>38</v>
      </c>
      <c r="V1703">
        <v>0</v>
      </c>
      <c r="W1703">
        <v>0</v>
      </c>
      <c r="X1703" t="s">
        <v>8</v>
      </c>
      <c r="Y1703" s="74" t="str">
        <f ca="1">IF(Table15[[#This Row],[Type]]="KILL",IF(_xlfn.NUMBERVALUE(RIGHT(Table15[[#This Row],[Min]],LEN(Table15[[#This Row],[Min]])-FIND("-",Table15[[#This Row],[Min]])))&gt;INDIRECT(ADDRESS(11+MATCH(LEFT(Table15[[#This Row],[Min]],FIND("-",Table15[[#This Row],[Min]])-1),Table1[Content Sku],0),16,1,1,"Entities")),"review","ok"),"ok")</f>
        <v>ok</v>
      </c>
    </row>
    <row r="1704" spans="5:25" x14ac:dyDescent="0.25">
      <c r="E1704" t="s">
        <v>2741</v>
      </c>
      <c r="F1704">
        <v>0</v>
      </c>
      <c r="G1704">
        <v>0</v>
      </c>
      <c r="H1704" t="s">
        <v>8</v>
      </c>
      <c r="I1704" s="74" t="str">
        <f ca="1">IF(Table7[[#This Row],[Type]]="KILL",IF(_xlfn.NUMBERVALUE(RIGHT(Table7[[#This Row],[Min]],LEN(Table7[[#This Row],[Min]])-FIND("-",Table7[[#This Row],[Min]])))&gt;INDIRECT(ADDRESS(11+MATCH(LEFT(Table7[[#This Row],[Min]],FIND("-",Table7[[#This Row],[Min]])-1),Table1[Content Sku],0),16,1,1,"Entities")),"review","ok"),"ok")</f>
        <v>ok</v>
      </c>
      <c r="U1704" t="s">
        <v>2717</v>
      </c>
      <c r="V1704">
        <v>0</v>
      </c>
      <c r="W1704">
        <v>0</v>
      </c>
      <c r="X1704" t="s">
        <v>8</v>
      </c>
      <c r="Y1704" s="74" t="str">
        <f ca="1">IF(Table15[[#This Row],[Type]]="KILL",IF(_xlfn.NUMBERVALUE(RIGHT(Table15[[#This Row],[Min]],LEN(Table15[[#This Row],[Min]])-FIND("-",Table15[[#This Row],[Min]])))&gt;INDIRECT(ADDRESS(11+MATCH(LEFT(Table15[[#This Row],[Min]],FIND("-",Table15[[#This Row],[Min]])-1),Table1[Content Sku],0),16,1,1,"Entities")),"review","ok"),"ok")</f>
        <v>ok</v>
      </c>
    </row>
    <row r="1705" spans="5:25" x14ac:dyDescent="0.25">
      <c r="E1705" t="s">
        <v>258</v>
      </c>
      <c r="F1705">
        <v>65000</v>
      </c>
      <c r="G1705">
        <v>0</v>
      </c>
      <c r="H1705" t="s">
        <v>205</v>
      </c>
      <c r="I1705" s="74" t="str">
        <f ca="1">IF(Table7[[#This Row],[Type]]="KILL",IF(_xlfn.NUMBERVALUE(RIGHT(Table7[[#This Row],[Min]],LEN(Table7[[#This Row],[Min]])-FIND("-",Table7[[#This Row],[Min]])))&gt;INDIRECT(ADDRESS(11+MATCH(LEFT(Table7[[#This Row],[Min]],FIND("-",Table7[[#This Row],[Min]])-1),Table1[Content Sku],0),16,1,1,"Entities")),"review","ok"),"ok")</f>
        <v>ok</v>
      </c>
      <c r="U1705" t="s">
        <v>457</v>
      </c>
      <c r="V1705">
        <v>0</v>
      </c>
      <c r="W1705">
        <v>0</v>
      </c>
      <c r="X1705" t="s">
        <v>8</v>
      </c>
      <c r="Y1705" s="74" t="str">
        <f ca="1">IF(Table15[[#This Row],[Type]]="KILL",IF(_xlfn.NUMBERVALUE(RIGHT(Table15[[#This Row],[Min]],LEN(Table15[[#This Row],[Min]])-FIND("-",Table15[[#This Row],[Min]])))&gt;INDIRECT(ADDRESS(11+MATCH(LEFT(Table15[[#This Row],[Min]],FIND("-",Table15[[#This Row],[Min]])-1),Table1[Content Sku],0),16,1,1,"Entities")),"review","ok"),"ok")</f>
        <v>ok</v>
      </c>
    </row>
    <row r="1706" spans="5:25" x14ac:dyDescent="0.25">
      <c r="E1706" t="s">
        <v>39</v>
      </c>
      <c r="F1706">
        <v>0</v>
      </c>
      <c r="G1706">
        <v>0</v>
      </c>
      <c r="H1706" t="s">
        <v>8</v>
      </c>
      <c r="I1706" s="74" t="str">
        <f ca="1">IF(Table7[[#This Row],[Type]]="KILL",IF(_xlfn.NUMBERVALUE(RIGHT(Table7[[#This Row],[Min]],LEN(Table7[[#This Row],[Min]])-FIND("-",Table7[[#This Row],[Min]])))&gt;INDIRECT(ADDRESS(11+MATCH(LEFT(Table7[[#This Row],[Min]],FIND("-",Table7[[#This Row],[Min]])-1),Table1[Content Sku],0),16,1,1,"Entities")),"review","ok"),"ok")</f>
        <v>ok</v>
      </c>
      <c r="U1706" t="s">
        <v>2720</v>
      </c>
      <c r="V1706">
        <v>0</v>
      </c>
      <c r="W1706">
        <v>0</v>
      </c>
      <c r="X1706" t="s">
        <v>8</v>
      </c>
      <c r="Y1706" s="74" t="str">
        <f ca="1">IF(Table15[[#This Row],[Type]]="KILL",IF(_xlfn.NUMBERVALUE(RIGHT(Table15[[#This Row],[Min]],LEN(Table15[[#This Row],[Min]])-FIND("-",Table15[[#This Row],[Min]])))&gt;INDIRECT(ADDRESS(11+MATCH(LEFT(Table15[[#This Row],[Min]],FIND("-",Table15[[#This Row],[Min]])-1),Table1[Content Sku],0),16,1,1,"Entities")),"review","ok"),"ok")</f>
        <v>ok</v>
      </c>
    </row>
    <row r="1707" spans="5:25" x14ac:dyDescent="0.25">
      <c r="E1707" t="s">
        <v>398</v>
      </c>
      <c r="F1707">
        <v>0</v>
      </c>
      <c r="G1707">
        <v>0</v>
      </c>
      <c r="H1707" t="s">
        <v>8</v>
      </c>
      <c r="I1707" s="74" t="str">
        <f ca="1">IF(Table7[[#This Row],[Type]]="KILL",IF(_xlfn.NUMBERVALUE(RIGHT(Table7[[#This Row],[Min]],LEN(Table7[[#This Row],[Min]])-FIND("-",Table7[[#This Row],[Min]])))&gt;INDIRECT(ADDRESS(11+MATCH(LEFT(Table7[[#This Row],[Min]],FIND("-",Table7[[#This Row],[Min]])-1),Table1[Content Sku],0),16,1,1,"Entities")),"review","ok"),"ok")</f>
        <v>ok</v>
      </c>
      <c r="U1707" t="s">
        <v>457</v>
      </c>
      <c r="V1707">
        <v>0</v>
      </c>
      <c r="W1707">
        <v>0</v>
      </c>
      <c r="X1707" t="s">
        <v>8</v>
      </c>
      <c r="Y1707" s="74" t="str">
        <f ca="1">IF(Table15[[#This Row],[Type]]="KILL",IF(_xlfn.NUMBERVALUE(RIGHT(Table15[[#This Row],[Min]],LEN(Table15[[#This Row],[Min]])-FIND("-",Table15[[#This Row],[Min]])))&gt;INDIRECT(ADDRESS(11+MATCH(LEFT(Table15[[#This Row],[Min]],FIND("-",Table15[[#This Row],[Min]])-1),Table1[Content Sku],0),16,1,1,"Entities")),"review","ok"),"ok")</f>
        <v>ok</v>
      </c>
    </row>
    <row r="1708" spans="5:25" x14ac:dyDescent="0.25">
      <c r="E1708" t="s">
        <v>254</v>
      </c>
      <c r="F1708">
        <v>0</v>
      </c>
      <c r="G1708">
        <v>20000</v>
      </c>
      <c r="H1708" t="s">
        <v>205</v>
      </c>
      <c r="I1708" s="74" t="str">
        <f ca="1">IF(Table7[[#This Row],[Type]]="KILL",IF(_xlfn.NUMBERVALUE(RIGHT(Table7[[#This Row],[Min]],LEN(Table7[[#This Row],[Min]])-FIND("-",Table7[[#This Row],[Min]])))&gt;INDIRECT(ADDRESS(11+MATCH(LEFT(Table7[[#This Row],[Min]],FIND("-",Table7[[#This Row],[Min]])-1),Table1[Content Sku],0),16,1,1,"Entities")),"review","ok"),"ok")</f>
        <v>ok</v>
      </c>
      <c r="U1708" t="s">
        <v>450</v>
      </c>
      <c r="V1708">
        <v>45000</v>
      </c>
      <c r="W1708">
        <v>0</v>
      </c>
      <c r="X1708" t="s">
        <v>205</v>
      </c>
      <c r="Y1708" s="74" t="str">
        <f ca="1">IF(Table15[[#This Row],[Type]]="KILL",IF(_xlfn.NUMBERVALUE(RIGHT(Table15[[#This Row],[Min]],LEN(Table15[[#This Row],[Min]])-FIND("-",Table15[[#This Row],[Min]])))&gt;INDIRECT(ADDRESS(11+MATCH(LEFT(Table15[[#This Row],[Min]],FIND("-",Table15[[#This Row],[Min]])-1),Table1[Content Sku],0),16,1,1,"Entities")),"review","ok"),"ok")</f>
        <v>ok</v>
      </c>
    </row>
    <row r="1709" spans="5:25" x14ac:dyDescent="0.25">
      <c r="E1709" t="s">
        <v>313</v>
      </c>
      <c r="F1709">
        <v>0</v>
      </c>
      <c r="G1709">
        <v>0</v>
      </c>
      <c r="H1709" t="s">
        <v>8</v>
      </c>
      <c r="I1709" s="74" t="str">
        <f ca="1">IF(Table7[[#This Row],[Type]]="KILL",IF(_xlfn.NUMBERVALUE(RIGHT(Table7[[#This Row],[Min]],LEN(Table7[[#This Row],[Min]])-FIND("-",Table7[[#This Row],[Min]])))&gt;INDIRECT(ADDRESS(11+MATCH(LEFT(Table7[[#This Row],[Min]],FIND("-",Table7[[#This Row],[Min]])-1),Table1[Content Sku],0),16,1,1,"Entities")),"review","ok"),"ok")</f>
        <v>ok</v>
      </c>
      <c r="U1709" t="s">
        <v>37</v>
      </c>
      <c r="V1709">
        <v>0</v>
      </c>
      <c r="W1709">
        <v>35000</v>
      </c>
      <c r="X1709" t="s">
        <v>205</v>
      </c>
      <c r="Y1709" s="74" t="str">
        <f ca="1">IF(Table15[[#This Row],[Type]]="KILL",IF(_xlfn.NUMBERVALUE(RIGHT(Table15[[#This Row],[Min]],LEN(Table15[[#This Row],[Min]])-FIND("-",Table15[[#This Row],[Min]])))&gt;INDIRECT(ADDRESS(11+MATCH(LEFT(Table15[[#This Row],[Min]],FIND("-",Table15[[#This Row],[Min]])-1),Table1[Content Sku],0),16,1,1,"Entities")),"review","ok"),"ok")</f>
        <v>ok</v>
      </c>
    </row>
    <row r="1710" spans="5:25" x14ac:dyDescent="0.25">
      <c r="E1710" t="s">
        <v>396</v>
      </c>
      <c r="F1710">
        <v>0</v>
      </c>
      <c r="G1710">
        <v>0</v>
      </c>
      <c r="H1710" t="s">
        <v>8</v>
      </c>
      <c r="I1710" s="74" t="str">
        <f ca="1">IF(Table7[[#This Row],[Type]]="KILL",IF(_xlfn.NUMBERVALUE(RIGHT(Table7[[#This Row],[Min]],LEN(Table7[[#This Row],[Min]])-FIND("-",Table7[[#This Row],[Min]])))&gt;INDIRECT(ADDRESS(11+MATCH(LEFT(Table7[[#This Row],[Min]],FIND("-",Table7[[#This Row],[Min]])-1),Table1[Content Sku],0),16,1,1,"Entities")),"review","ok"),"ok")</f>
        <v>ok</v>
      </c>
      <c r="U1710" t="s">
        <v>548</v>
      </c>
      <c r="V1710">
        <v>0</v>
      </c>
      <c r="W1710">
        <v>0</v>
      </c>
      <c r="X1710" t="s">
        <v>8</v>
      </c>
      <c r="Y1710" s="74" t="str">
        <f ca="1">IF(Table15[[#This Row],[Type]]="KILL",IF(_xlfn.NUMBERVALUE(RIGHT(Table15[[#This Row],[Min]],LEN(Table15[[#This Row],[Min]])-FIND("-",Table15[[#This Row],[Min]])))&gt;INDIRECT(ADDRESS(11+MATCH(LEFT(Table15[[#This Row],[Min]],FIND("-",Table15[[#This Row],[Min]])-1),Table1[Content Sku],0),16,1,1,"Entities")),"review","ok"),"ok")</f>
        <v>ok</v>
      </c>
    </row>
    <row r="1711" spans="5:25" x14ac:dyDescent="0.25">
      <c r="E1711" t="s">
        <v>406</v>
      </c>
      <c r="F1711">
        <v>4800</v>
      </c>
      <c r="G1711">
        <v>0</v>
      </c>
      <c r="H1711" t="s">
        <v>205</v>
      </c>
      <c r="I1711" s="74" t="str">
        <f ca="1">IF(Table7[[#This Row],[Type]]="KILL",IF(_xlfn.NUMBERVALUE(RIGHT(Table7[[#This Row],[Min]],LEN(Table7[[#This Row],[Min]])-FIND("-",Table7[[#This Row],[Min]])))&gt;INDIRECT(ADDRESS(11+MATCH(LEFT(Table7[[#This Row],[Min]],FIND("-",Table7[[#This Row],[Min]])-1),Table1[Content Sku],0),16,1,1,"Entities")),"review","ok"),"ok")</f>
        <v>ok</v>
      </c>
      <c r="U1711" t="s">
        <v>457</v>
      </c>
      <c r="V1711">
        <v>0</v>
      </c>
      <c r="W1711">
        <v>0</v>
      </c>
      <c r="X1711" t="s">
        <v>8</v>
      </c>
      <c r="Y1711" s="74" t="str">
        <f ca="1">IF(Table15[[#This Row],[Type]]="KILL",IF(_xlfn.NUMBERVALUE(RIGHT(Table15[[#This Row],[Min]],LEN(Table15[[#This Row],[Min]])-FIND("-",Table15[[#This Row],[Min]])))&gt;INDIRECT(ADDRESS(11+MATCH(LEFT(Table15[[#This Row],[Min]],FIND("-",Table15[[#This Row],[Min]])-1),Table1[Content Sku],0),16,1,1,"Entities")),"review","ok"),"ok")</f>
        <v>ok</v>
      </c>
    </row>
    <row r="1712" spans="5:25" x14ac:dyDescent="0.25">
      <c r="E1712" t="s">
        <v>278</v>
      </c>
      <c r="F1712">
        <v>0</v>
      </c>
      <c r="G1712">
        <v>5000</v>
      </c>
      <c r="H1712" t="s">
        <v>205</v>
      </c>
      <c r="I1712" s="74" t="str">
        <f ca="1">IF(Table7[[#This Row],[Type]]="KILL",IF(_xlfn.NUMBERVALUE(RIGHT(Table7[[#This Row],[Min]],LEN(Table7[[#This Row],[Min]])-FIND("-",Table7[[#This Row],[Min]])))&gt;INDIRECT(ADDRESS(11+MATCH(LEFT(Table7[[#This Row],[Min]],FIND("-",Table7[[#This Row],[Min]])-1),Table1[Content Sku],0),16,1,1,"Entities")),"review","ok"),"ok")</f>
        <v>ok</v>
      </c>
      <c r="U1712" t="s">
        <v>457</v>
      </c>
      <c r="V1712">
        <v>0</v>
      </c>
      <c r="W1712">
        <v>0</v>
      </c>
      <c r="X1712" t="s">
        <v>8</v>
      </c>
      <c r="Y1712" s="74" t="str">
        <f ca="1">IF(Table15[[#This Row],[Type]]="KILL",IF(_xlfn.NUMBERVALUE(RIGHT(Table15[[#This Row],[Min]],LEN(Table15[[#This Row],[Min]])-FIND("-",Table15[[#This Row],[Min]])))&gt;INDIRECT(ADDRESS(11+MATCH(LEFT(Table15[[#This Row],[Min]],FIND("-",Table15[[#This Row],[Min]])-1),Table1[Content Sku],0),16,1,1,"Entities")),"review","ok"),"ok")</f>
        <v>ok</v>
      </c>
    </row>
    <row r="1713" spans="5:25" x14ac:dyDescent="0.25">
      <c r="E1713" t="s">
        <v>95</v>
      </c>
      <c r="F1713">
        <v>15000</v>
      </c>
      <c r="G1713">
        <v>0</v>
      </c>
      <c r="H1713" t="s">
        <v>205</v>
      </c>
      <c r="I1713" s="74" t="str">
        <f ca="1">IF(Table7[[#This Row],[Type]]="KILL",IF(_xlfn.NUMBERVALUE(RIGHT(Table7[[#This Row],[Min]],LEN(Table7[[#This Row],[Min]])-FIND("-",Table7[[#This Row],[Min]])))&gt;INDIRECT(ADDRESS(11+MATCH(LEFT(Table7[[#This Row],[Min]],FIND("-",Table7[[#This Row],[Min]])-1),Table1[Content Sku],0),16,1,1,"Entities")),"review","ok"),"ok")</f>
        <v>ok</v>
      </c>
      <c r="U1713" t="s">
        <v>2717</v>
      </c>
      <c r="V1713">
        <v>50000</v>
      </c>
      <c r="W1713">
        <v>0</v>
      </c>
      <c r="X1713" t="s">
        <v>205</v>
      </c>
      <c r="Y1713" s="74" t="str">
        <f ca="1">IF(Table15[[#This Row],[Type]]="KILL",IF(_xlfn.NUMBERVALUE(RIGHT(Table15[[#This Row],[Min]],LEN(Table15[[#This Row],[Min]])-FIND("-",Table15[[#This Row],[Min]])))&gt;INDIRECT(ADDRESS(11+MATCH(LEFT(Table15[[#This Row],[Min]],FIND("-",Table15[[#This Row],[Min]])-1),Table1[Content Sku],0),16,1,1,"Entities")),"review","ok"),"ok")</f>
        <v>ok</v>
      </c>
    </row>
    <row r="1714" spans="5:25" x14ac:dyDescent="0.25">
      <c r="E1714" t="s">
        <v>2741</v>
      </c>
      <c r="F1714">
        <v>0</v>
      </c>
      <c r="G1714">
        <v>0</v>
      </c>
      <c r="H1714" t="s">
        <v>8</v>
      </c>
      <c r="I1714" s="74" t="str">
        <f ca="1">IF(Table7[[#This Row],[Type]]="KILL",IF(_xlfn.NUMBERVALUE(RIGHT(Table7[[#This Row],[Min]],LEN(Table7[[#This Row],[Min]])-FIND("-",Table7[[#This Row],[Min]])))&gt;INDIRECT(ADDRESS(11+MATCH(LEFT(Table7[[#This Row],[Min]],FIND("-",Table7[[#This Row],[Min]])-1),Table1[Content Sku],0),16,1,1,"Entities")),"review","ok"),"ok")</f>
        <v>ok</v>
      </c>
      <c r="U1714" t="s">
        <v>36</v>
      </c>
      <c r="V1714">
        <v>0</v>
      </c>
      <c r="W1714">
        <v>0</v>
      </c>
      <c r="X1714" t="s">
        <v>8</v>
      </c>
      <c r="Y1714" s="74" t="str">
        <f ca="1">IF(Table15[[#This Row],[Type]]="KILL",IF(_xlfn.NUMBERVALUE(RIGHT(Table15[[#This Row],[Min]],LEN(Table15[[#This Row],[Min]])-FIND("-",Table15[[#This Row],[Min]])))&gt;INDIRECT(ADDRESS(11+MATCH(LEFT(Table15[[#This Row],[Min]],FIND("-",Table15[[#This Row],[Min]])-1),Table1[Content Sku],0),16,1,1,"Entities")),"review","ok"),"ok")</f>
        <v>ok</v>
      </c>
    </row>
    <row r="1715" spans="5:25" x14ac:dyDescent="0.25">
      <c r="E1715" t="s">
        <v>313</v>
      </c>
      <c r="F1715">
        <v>8000</v>
      </c>
      <c r="G1715">
        <v>0</v>
      </c>
      <c r="H1715" t="s">
        <v>205</v>
      </c>
      <c r="I1715" s="74" t="str">
        <f ca="1">IF(Table7[[#This Row],[Type]]="KILL",IF(_xlfn.NUMBERVALUE(RIGHT(Table7[[#This Row],[Min]],LEN(Table7[[#This Row],[Min]])-FIND("-",Table7[[#This Row],[Min]])))&gt;INDIRECT(ADDRESS(11+MATCH(LEFT(Table7[[#This Row],[Min]],FIND("-",Table7[[#This Row],[Min]])-1),Table1[Content Sku],0),16,1,1,"Entities")),"review","ok"),"ok")</f>
        <v>ok</v>
      </c>
      <c r="U1715" t="s">
        <v>289</v>
      </c>
      <c r="V1715">
        <v>0</v>
      </c>
      <c r="W1715">
        <v>0</v>
      </c>
      <c r="X1715" t="s">
        <v>8</v>
      </c>
      <c r="Y1715" s="74" t="str">
        <f ca="1">IF(Table15[[#This Row],[Type]]="KILL",IF(_xlfn.NUMBERVALUE(RIGHT(Table15[[#This Row],[Min]],LEN(Table15[[#This Row],[Min]])-FIND("-",Table15[[#This Row],[Min]])))&gt;INDIRECT(ADDRESS(11+MATCH(LEFT(Table15[[#This Row],[Min]],FIND("-",Table15[[#This Row],[Min]])-1),Table1[Content Sku],0),16,1,1,"Entities")),"review","ok"),"ok")</f>
        <v>ok</v>
      </c>
    </row>
    <row r="1716" spans="5:25" x14ac:dyDescent="0.25">
      <c r="E1716" t="s">
        <v>463</v>
      </c>
      <c r="F1716">
        <v>0</v>
      </c>
      <c r="G1716">
        <v>2500</v>
      </c>
      <c r="H1716" t="s">
        <v>205</v>
      </c>
      <c r="I1716" s="74" t="str">
        <f ca="1">IF(Table7[[#This Row],[Type]]="KILL",IF(_xlfn.NUMBERVALUE(RIGHT(Table7[[#This Row],[Min]],LEN(Table7[[#This Row],[Min]])-FIND("-",Table7[[#This Row],[Min]])))&gt;INDIRECT(ADDRESS(11+MATCH(LEFT(Table7[[#This Row],[Min]],FIND("-",Table7[[#This Row],[Min]])-1),Table1[Content Sku],0),16,1,1,"Entities")),"review","ok"),"ok")</f>
        <v>ok</v>
      </c>
      <c r="U1716" t="s">
        <v>396</v>
      </c>
      <c r="V1716">
        <v>40000</v>
      </c>
      <c r="W1716">
        <v>0</v>
      </c>
      <c r="X1716" t="s">
        <v>205</v>
      </c>
      <c r="Y1716" s="74" t="str">
        <f ca="1">IF(Table15[[#This Row],[Type]]="KILL",IF(_xlfn.NUMBERVALUE(RIGHT(Table15[[#This Row],[Min]],LEN(Table15[[#This Row],[Min]])-FIND("-",Table15[[#This Row],[Min]])))&gt;INDIRECT(ADDRESS(11+MATCH(LEFT(Table15[[#This Row],[Min]],FIND("-",Table15[[#This Row],[Min]])-1),Table1[Content Sku],0),16,1,1,"Entities")),"review","ok"),"ok")</f>
        <v>ok</v>
      </c>
    </row>
    <row r="1717" spans="5:25" x14ac:dyDescent="0.25">
      <c r="E1717" t="s">
        <v>313</v>
      </c>
      <c r="F1717">
        <v>0</v>
      </c>
      <c r="G1717">
        <v>0</v>
      </c>
      <c r="H1717" t="s">
        <v>8</v>
      </c>
      <c r="I1717" s="74" t="str">
        <f ca="1">IF(Table7[[#This Row],[Type]]="KILL",IF(_xlfn.NUMBERVALUE(RIGHT(Table7[[#This Row],[Min]],LEN(Table7[[#This Row],[Min]])-FIND("-",Table7[[#This Row],[Min]])))&gt;INDIRECT(ADDRESS(11+MATCH(LEFT(Table7[[#This Row],[Min]],FIND("-",Table7[[#This Row],[Min]])-1),Table1[Content Sku],0),16,1,1,"Entities")),"review","ok"),"ok")</f>
        <v>ok</v>
      </c>
      <c r="U1717" t="s">
        <v>2720</v>
      </c>
      <c r="V1717">
        <v>0</v>
      </c>
      <c r="W1717">
        <v>0</v>
      </c>
      <c r="X1717" t="s">
        <v>8</v>
      </c>
      <c r="Y1717" s="74" t="str">
        <f ca="1">IF(Table15[[#This Row],[Type]]="KILL",IF(_xlfn.NUMBERVALUE(RIGHT(Table15[[#This Row],[Min]],LEN(Table15[[#This Row],[Min]])-FIND("-",Table15[[#This Row],[Min]])))&gt;INDIRECT(ADDRESS(11+MATCH(LEFT(Table15[[#This Row],[Min]],FIND("-",Table15[[#This Row],[Min]])-1),Table1[Content Sku],0),16,1,1,"Entities")),"review","ok"),"ok")</f>
        <v>ok</v>
      </c>
    </row>
    <row r="1718" spans="5:25" x14ac:dyDescent="0.25">
      <c r="E1718" t="s">
        <v>8133</v>
      </c>
      <c r="F1718">
        <v>0</v>
      </c>
      <c r="G1718">
        <v>0</v>
      </c>
      <c r="H1718" t="s">
        <v>8</v>
      </c>
      <c r="I1718" s="74" t="str">
        <f ca="1">IF(Table7[[#This Row],[Type]]="KILL",IF(_xlfn.NUMBERVALUE(RIGHT(Table7[[#This Row],[Min]],LEN(Table7[[#This Row],[Min]])-FIND("-",Table7[[#This Row],[Min]])))&gt;INDIRECT(ADDRESS(11+MATCH(LEFT(Table7[[#This Row],[Min]],FIND("-",Table7[[#This Row],[Min]])-1),Table1[Content Sku],0),16,1,1,"Entities")),"review","ok"),"ok")</f>
        <v>ok</v>
      </c>
      <c r="U1718" t="s">
        <v>457</v>
      </c>
      <c r="V1718">
        <v>0</v>
      </c>
      <c r="W1718">
        <v>0</v>
      </c>
      <c r="X1718" t="s">
        <v>8</v>
      </c>
      <c r="Y1718" s="74" t="str">
        <f ca="1">IF(Table15[[#This Row],[Type]]="KILL",IF(_xlfn.NUMBERVALUE(RIGHT(Table15[[#This Row],[Min]],LEN(Table15[[#This Row],[Min]])-FIND("-",Table15[[#This Row],[Min]])))&gt;INDIRECT(ADDRESS(11+MATCH(LEFT(Table15[[#This Row],[Min]],FIND("-",Table15[[#This Row],[Min]])-1),Table1[Content Sku],0),16,1,1,"Entities")),"review","ok"),"ok")</f>
        <v>ok</v>
      </c>
    </row>
    <row r="1719" spans="5:25" x14ac:dyDescent="0.25">
      <c r="E1719" t="s">
        <v>46</v>
      </c>
      <c r="F1719">
        <v>0</v>
      </c>
      <c r="G1719">
        <v>0</v>
      </c>
      <c r="H1719" t="s">
        <v>8</v>
      </c>
      <c r="I1719" s="74" t="str">
        <f ca="1">IF(Table7[[#This Row],[Type]]="KILL",IF(_xlfn.NUMBERVALUE(RIGHT(Table7[[#This Row],[Min]],LEN(Table7[[#This Row],[Min]])-FIND("-",Table7[[#This Row],[Min]])))&gt;INDIRECT(ADDRESS(11+MATCH(LEFT(Table7[[#This Row],[Min]],FIND("-",Table7[[#This Row],[Min]])-1),Table1[Content Sku],0),16,1,1,"Entities")),"review","ok"),"ok")</f>
        <v>ok</v>
      </c>
      <c r="U1719" t="s">
        <v>122</v>
      </c>
      <c r="V1719">
        <v>0</v>
      </c>
      <c r="W1719">
        <v>0</v>
      </c>
      <c r="X1719" t="s">
        <v>8</v>
      </c>
      <c r="Y1719" s="74" t="str">
        <f ca="1">IF(Table15[[#This Row],[Type]]="KILL",IF(_xlfn.NUMBERVALUE(RIGHT(Table15[[#This Row],[Min]],LEN(Table15[[#This Row],[Min]])-FIND("-",Table15[[#This Row],[Min]])))&gt;INDIRECT(ADDRESS(11+MATCH(LEFT(Table15[[#This Row],[Min]],FIND("-",Table15[[#This Row],[Min]])-1),Table1[Content Sku],0),16,1,1,"Entities")),"review","ok"),"ok")</f>
        <v>ok</v>
      </c>
    </row>
    <row r="1720" spans="5:25" x14ac:dyDescent="0.25">
      <c r="E1720" t="s">
        <v>2741</v>
      </c>
      <c r="F1720">
        <v>0</v>
      </c>
      <c r="G1720">
        <v>0</v>
      </c>
      <c r="H1720" t="s">
        <v>8</v>
      </c>
      <c r="I1720" s="74" t="str">
        <f ca="1">IF(Table7[[#This Row],[Type]]="KILL",IF(_xlfn.NUMBERVALUE(RIGHT(Table7[[#This Row],[Min]],LEN(Table7[[#This Row],[Min]])-FIND("-",Table7[[#This Row],[Min]])))&gt;INDIRECT(ADDRESS(11+MATCH(LEFT(Table7[[#This Row],[Min]],FIND("-",Table7[[#This Row],[Min]])-1),Table1[Content Sku],0),16,1,1,"Entities")),"review","ok"),"ok")</f>
        <v>ok</v>
      </c>
      <c r="U1720" t="s">
        <v>37</v>
      </c>
      <c r="V1720">
        <v>0</v>
      </c>
      <c r="W1720">
        <v>0</v>
      </c>
      <c r="X1720" t="s">
        <v>8</v>
      </c>
      <c r="Y1720" s="74" t="str">
        <f ca="1">IF(Table15[[#This Row],[Type]]="KILL",IF(_xlfn.NUMBERVALUE(RIGHT(Table15[[#This Row],[Min]],LEN(Table15[[#This Row],[Min]])-FIND("-",Table15[[#This Row],[Min]])))&gt;INDIRECT(ADDRESS(11+MATCH(LEFT(Table15[[#This Row],[Min]],FIND("-",Table15[[#This Row],[Min]])-1),Table1[Content Sku],0),16,1,1,"Entities")),"review","ok"),"ok")</f>
        <v>ok</v>
      </c>
    </row>
    <row r="1721" spans="5:25" x14ac:dyDescent="0.25">
      <c r="E1721" t="s">
        <v>254</v>
      </c>
      <c r="F1721">
        <v>0</v>
      </c>
      <c r="G1721">
        <v>26000</v>
      </c>
      <c r="H1721" t="s">
        <v>205</v>
      </c>
      <c r="I1721" s="74" t="str">
        <f ca="1">IF(Table7[[#This Row],[Type]]="KILL",IF(_xlfn.NUMBERVALUE(RIGHT(Table7[[#This Row],[Min]],LEN(Table7[[#This Row],[Min]])-FIND("-",Table7[[#This Row],[Min]])))&gt;INDIRECT(ADDRESS(11+MATCH(LEFT(Table7[[#This Row],[Min]],FIND("-",Table7[[#This Row],[Min]])-1),Table1[Content Sku],0),16,1,1,"Entities")),"review","ok"),"ok")</f>
        <v>ok</v>
      </c>
      <c r="U1721" t="s">
        <v>311</v>
      </c>
      <c r="V1721">
        <v>0</v>
      </c>
      <c r="W1721">
        <v>0</v>
      </c>
      <c r="X1721" t="s">
        <v>8</v>
      </c>
      <c r="Y1721" s="74" t="str">
        <f ca="1">IF(Table15[[#This Row],[Type]]="KILL",IF(_xlfn.NUMBERVALUE(RIGHT(Table15[[#This Row],[Min]],LEN(Table15[[#This Row],[Min]])-FIND("-",Table15[[#This Row],[Min]])))&gt;INDIRECT(ADDRESS(11+MATCH(LEFT(Table15[[#This Row],[Min]],FIND("-",Table15[[#This Row],[Min]])-1),Table1[Content Sku],0),16,1,1,"Entities")),"review","ok"),"ok")</f>
        <v>ok</v>
      </c>
    </row>
    <row r="1722" spans="5:25" x14ac:dyDescent="0.25">
      <c r="E1722" t="s">
        <v>50</v>
      </c>
      <c r="F1722">
        <v>20000</v>
      </c>
      <c r="G1722">
        <v>0</v>
      </c>
      <c r="H1722" t="s">
        <v>205</v>
      </c>
      <c r="I1722" s="74" t="str">
        <f ca="1">IF(Table7[[#This Row],[Type]]="KILL",IF(_xlfn.NUMBERVALUE(RIGHT(Table7[[#This Row],[Min]],LEN(Table7[[#This Row],[Min]])-FIND("-",Table7[[#This Row],[Min]])))&gt;INDIRECT(ADDRESS(11+MATCH(LEFT(Table7[[#This Row],[Min]],FIND("-",Table7[[#This Row],[Min]])-1),Table1[Content Sku],0),16,1,1,"Entities")),"review","ok"),"ok")</f>
        <v>ok</v>
      </c>
      <c r="U1722" t="s">
        <v>457</v>
      </c>
      <c r="V1722">
        <v>0</v>
      </c>
      <c r="W1722">
        <v>0</v>
      </c>
      <c r="X1722" t="s">
        <v>8</v>
      </c>
      <c r="Y1722" s="74" t="str">
        <f ca="1">IF(Table15[[#This Row],[Type]]="KILL",IF(_xlfn.NUMBERVALUE(RIGHT(Table15[[#This Row],[Min]],LEN(Table15[[#This Row],[Min]])-FIND("-",Table15[[#This Row],[Min]])))&gt;INDIRECT(ADDRESS(11+MATCH(LEFT(Table15[[#This Row],[Min]],FIND("-",Table15[[#This Row],[Min]])-1),Table1[Content Sku],0),16,1,1,"Entities")),"review","ok"),"ok")</f>
        <v>ok</v>
      </c>
    </row>
    <row r="1723" spans="5:25" x14ac:dyDescent="0.25">
      <c r="E1723" t="s">
        <v>313</v>
      </c>
      <c r="F1723">
        <v>0</v>
      </c>
      <c r="G1723">
        <v>0</v>
      </c>
      <c r="H1723" t="s">
        <v>8</v>
      </c>
      <c r="I1723" s="74" t="str">
        <f ca="1">IF(Table7[[#This Row],[Type]]="KILL",IF(_xlfn.NUMBERVALUE(RIGHT(Table7[[#This Row],[Min]],LEN(Table7[[#This Row],[Min]])-FIND("-",Table7[[#This Row],[Min]])))&gt;INDIRECT(ADDRESS(11+MATCH(LEFT(Table7[[#This Row],[Min]],FIND("-",Table7[[#This Row],[Min]])-1),Table1[Content Sku],0),16,1,1,"Entities")),"review","ok"),"ok")</f>
        <v>ok</v>
      </c>
      <c r="U1723" t="s">
        <v>457</v>
      </c>
      <c r="V1723">
        <v>0</v>
      </c>
      <c r="W1723">
        <v>0</v>
      </c>
      <c r="X1723" t="s">
        <v>8</v>
      </c>
      <c r="Y1723" s="74" t="str">
        <f ca="1">IF(Table15[[#This Row],[Type]]="KILL",IF(_xlfn.NUMBERVALUE(RIGHT(Table15[[#This Row],[Min]],LEN(Table15[[#This Row],[Min]])-FIND("-",Table15[[#This Row],[Min]])))&gt;INDIRECT(ADDRESS(11+MATCH(LEFT(Table15[[#This Row],[Min]],FIND("-",Table15[[#This Row],[Min]])-1),Table1[Content Sku],0),16,1,1,"Entities")),"review","ok"),"ok")</f>
        <v>ok</v>
      </c>
    </row>
    <row r="1724" spans="5:25" x14ac:dyDescent="0.25">
      <c r="E1724" t="s">
        <v>8103</v>
      </c>
      <c r="F1724">
        <v>50000</v>
      </c>
      <c r="G1724">
        <v>0</v>
      </c>
      <c r="H1724" t="s">
        <v>205</v>
      </c>
      <c r="I1724" s="74" t="str">
        <f ca="1">IF(Table7[[#This Row],[Type]]="KILL",IF(_xlfn.NUMBERVALUE(RIGHT(Table7[[#This Row],[Min]],LEN(Table7[[#This Row],[Min]])-FIND("-",Table7[[#This Row],[Min]])))&gt;INDIRECT(ADDRESS(11+MATCH(LEFT(Table7[[#This Row],[Min]],FIND("-",Table7[[#This Row],[Min]])-1),Table1[Content Sku],0),16,1,1,"Entities")),"review","ok"),"ok")</f>
        <v>ok</v>
      </c>
      <c r="U1724" t="s">
        <v>37</v>
      </c>
      <c r="V1724">
        <v>0</v>
      </c>
      <c r="W1724">
        <v>0</v>
      </c>
      <c r="X1724" t="s">
        <v>8</v>
      </c>
      <c r="Y1724" s="74" t="str">
        <f ca="1">IF(Table15[[#This Row],[Type]]="KILL",IF(_xlfn.NUMBERVALUE(RIGHT(Table15[[#This Row],[Min]],LEN(Table15[[#This Row],[Min]])-FIND("-",Table15[[#This Row],[Min]])))&gt;INDIRECT(ADDRESS(11+MATCH(LEFT(Table15[[#This Row],[Min]],FIND("-",Table15[[#This Row],[Min]])-1),Table1[Content Sku],0),16,1,1,"Entities")),"review","ok"),"ok")</f>
        <v>ok</v>
      </c>
    </row>
    <row r="1725" spans="5:25" x14ac:dyDescent="0.25">
      <c r="E1725" t="s">
        <v>318</v>
      </c>
      <c r="F1725">
        <v>0</v>
      </c>
      <c r="G1725">
        <v>0</v>
      </c>
      <c r="H1725" t="s">
        <v>8</v>
      </c>
      <c r="I1725" s="74" t="str">
        <f ca="1">IF(Table7[[#This Row],[Type]]="KILL",IF(_xlfn.NUMBERVALUE(RIGHT(Table7[[#This Row],[Min]],LEN(Table7[[#This Row],[Min]])-FIND("-",Table7[[#This Row],[Min]])))&gt;INDIRECT(ADDRESS(11+MATCH(LEFT(Table7[[#This Row],[Min]],FIND("-",Table7[[#This Row],[Min]])-1),Table1[Content Sku],0),16,1,1,"Entities")),"review","ok"),"ok")</f>
        <v>ok</v>
      </c>
      <c r="U1725" t="s">
        <v>313</v>
      </c>
      <c r="V1725">
        <v>0</v>
      </c>
      <c r="W1725">
        <v>0</v>
      </c>
      <c r="X1725" t="s">
        <v>8</v>
      </c>
      <c r="Y1725" s="74" t="str">
        <f ca="1">IF(Table15[[#This Row],[Type]]="KILL",IF(_xlfn.NUMBERVALUE(RIGHT(Table15[[#This Row],[Min]],LEN(Table15[[#This Row],[Min]])-FIND("-",Table15[[#This Row],[Min]])))&gt;INDIRECT(ADDRESS(11+MATCH(LEFT(Table15[[#This Row],[Min]],FIND("-",Table15[[#This Row],[Min]])-1),Table1[Content Sku],0),16,1,1,"Entities")),"review","ok"),"ok")</f>
        <v>ok</v>
      </c>
    </row>
    <row r="1726" spans="5:25" x14ac:dyDescent="0.25">
      <c r="E1726" t="s">
        <v>123</v>
      </c>
      <c r="F1726">
        <v>0</v>
      </c>
      <c r="G1726">
        <v>0</v>
      </c>
      <c r="H1726" t="s">
        <v>8</v>
      </c>
      <c r="I1726" s="74" t="str">
        <f ca="1">IF(Table7[[#This Row],[Type]]="KILL",IF(_xlfn.NUMBERVALUE(RIGHT(Table7[[#This Row],[Min]],LEN(Table7[[#This Row],[Min]])-FIND("-",Table7[[#This Row],[Min]])))&gt;INDIRECT(ADDRESS(11+MATCH(LEFT(Table7[[#This Row],[Min]],FIND("-",Table7[[#This Row],[Min]])-1),Table1[Content Sku],0),16,1,1,"Entities")),"review","ok"),"ok")</f>
        <v>ok</v>
      </c>
      <c r="U1726" t="s">
        <v>457</v>
      </c>
      <c r="V1726">
        <v>0</v>
      </c>
      <c r="W1726">
        <v>0</v>
      </c>
      <c r="X1726" t="s">
        <v>8</v>
      </c>
      <c r="Y1726" s="74" t="str">
        <f ca="1">IF(Table15[[#This Row],[Type]]="KILL",IF(_xlfn.NUMBERVALUE(RIGHT(Table15[[#This Row],[Min]],LEN(Table15[[#This Row],[Min]])-FIND("-",Table15[[#This Row],[Min]])))&gt;INDIRECT(ADDRESS(11+MATCH(LEFT(Table15[[#This Row],[Min]],FIND("-",Table15[[#This Row],[Min]])-1),Table1[Content Sku],0),16,1,1,"Entities")),"review","ok"),"ok")</f>
        <v>ok</v>
      </c>
    </row>
    <row r="1727" spans="5:25" x14ac:dyDescent="0.25">
      <c r="E1727" t="s">
        <v>0</v>
      </c>
      <c r="F1727">
        <v>0</v>
      </c>
      <c r="G1727">
        <v>0</v>
      </c>
      <c r="H1727" t="s">
        <v>8</v>
      </c>
      <c r="I1727" s="74" t="str">
        <f ca="1">IF(Table7[[#This Row],[Type]]="KILL",IF(_xlfn.NUMBERVALUE(RIGHT(Table7[[#This Row],[Min]],LEN(Table7[[#This Row],[Min]])-FIND("-",Table7[[#This Row],[Min]])))&gt;INDIRECT(ADDRESS(11+MATCH(LEFT(Table7[[#This Row],[Min]],FIND("-",Table7[[#This Row],[Min]])-1),Table1[Content Sku],0),16,1,1,"Entities")),"review","ok"),"ok")</f>
        <v>ok</v>
      </c>
      <c r="U1727" t="s">
        <v>37</v>
      </c>
      <c r="V1727">
        <v>0</v>
      </c>
      <c r="W1727">
        <v>0</v>
      </c>
      <c r="X1727" t="s">
        <v>8</v>
      </c>
      <c r="Y1727" s="74" t="str">
        <f ca="1">IF(Table15[[#This Row],[Type]]="KILL",IF(_xlfn.NUMBERVALUE(RIGHT(Table15[[#This Row],[Min]],LEN(Table15[[#This Row],[Min]])-FIND("-",Table15[[#This Row],[Min]])))&gt;INDIRECT(ADDRESS(11+MATCH(LEFT(Table15[[#This Row],[Min]],FIND("-",Table15[[#This Row],[Min]])-1),Table1[Content Sku],0),16,1,1,"Entities")),"review","ok"),"ok")</f>
        <v>ok</v>
      </c>
    </row>
    <row r="1728" spans="5:25" x14ac:dyDescent="0.25">
      <c r="E1728" t="s">
        <v>313</v>
      </c>
      <c r="F1728">
        <v>4200</v>
      </c>
      <c r="G1728">
        <v>0</v>
      </c>
      <c r="H1728" t="s">
        <v>205</v>
      </c>
      <c r="I1728" s="74" t="str">
        <f ca="1">IF(Table7[[#This Row],[Type]]="KILL",IF(_xlfn.NUMBERVALUE(RIGHT(Table7[[#This Row],[Min]],LEN(Table7[[#This Row],[Min]])-FIND("-",Table7[[#This Row],[Min]])))&gt;INDIRECT(ADDRESS(11+MATCH(LEFT(Table7[[#This Row],[Min]],FIND("-",Table7[[#This Row],[Min]])-1),Table1[Content Sku],0),16,1,1,"Entities")),"review","ok"),"ok")</f>
        <v>ok</v>
      </c>
      <c r="U1728" t="s">
        <v>311</v>
      </c>
      <c r="V1728">
        <v>0</v>
      </c>
      <c r="W1728">
        <v>0</v>
      </c>
      <c r="X1728" t="s">
        <v>8</v>
      </c>
      <c r="Y1728" s="74" t="str">
        <f ca="1">IF(Table15[[#This Row],[Type]]="KILL",IF(_xlfn.NUMBERVALUE(RIGHT(Table15[[#This Row],[Min]],LEN(Table15[[#This Row],[Min]])-FIND("-",Table15[[#This Row],[Min]])))&gt;INDIRECT(ADDRESS(11+MATCH(LEFT(Table15[[#This Row],[Min]],FIND("-",Table15[[#This Row],[Min]])-1),Table1[Content Sku],0),16,1,1,"Entities")),"review","ok"),"ok")</f>
        <v>ok</v>
      </c>
    </row>
    <row r="1729" spans="5:25" x14ac:dyDescent="0.25">
      <c r="E1729" t="s">
        <v>2741</v>
      </c>
      <c r="F1729">
        <v>0</v>
      </c>
      <c r="G1729">
        <v>0</v>
      </c>
      <c r="H1729" t="s">
        <v>8</v>
      </c>
      <c r="I1729" s="74" t="str">
        <f ca="1">IF(Table7[[#This Row],[Type]]="KILL",IF(_xlfn.NUMBERVALUE(RIGHT(Table7[[#This Row],[Min]],LEN(Table7[[#This Row],[Min]])-FIND("-",Table7[[#This Row],[Min]])))&gt;INDIRECT(ADDRESS(11+MATCH(LEFT(Table7[[#This Row],[Min]],FIND("-",Table7[[#This Row],[Min]])-1),Table1[Content Sku],0),16,1,1,"Entities")),"review","ok"),"ok")</f>
        <v>ok</v>
      </c>
      <c r="U1729" t="s">
        <v>2717</v>
      </c>
      <c r="V1729">
        <v>57000</v>
      </c>
      <c r="W1729">
        <v>0</v>
      </c>
      <c r="X1729" t="s">
        <v>205</v>
      </c>
      <c r="Y1729" s="74" t="str">
        <f ca="1">IF(Table15[[#This Row],[Type]]="KILL",IF(_xlfn.NUMBERVALUE(RIGHT(Table15[[#This Row],[Min]],LEN(Table15[[#This Row],[Min]])-FIND("-",Table15[[#This Row],[Min]])))&gt;INDIRECT(ADDRESS(11+MATCH(LEFT(Table15[[#This Row],[Min]],FIND("-",Table15[[#This Row],[Min]])-1),Table1[Content Sku],0),16,1,1,"Entities")),"review","ok"),"ok")</f>
        <v>ok</v>
      </c>
    </row>
    <row r="1730" spans="5:25" x14ac:dyDescent="0.25">
      <c r="E1730" t="s">
        <v>393</v>
      </c>
      <c r="F1730">
        <v>0</v>
      </c>
      <c r="G1730">
        <v>0</v>
      </c>
      <c r="H1730" t="s">
        <v>8</v>
      </c>
      <c r="I1730" s="74" t="str">
        <f ca="1">IF(Table7[[#This Row],[Type]]="KILL",IF(_xlfn.NUMBERVALUE(RIGHT(Table7[[#This Row],[Min]],LEN(Table7[[#This Row],[Min]])-FIND("-",Table7[[#This Row],[Min]])))&gt;INDIRECT(ADDRESS(11+MATCH(LEFT(Table7[[#This Row],[Min]],FIND("-",Table7[[#This Row],[Min]])-1),Table1[Content Sku],0),16,1,1,"Entities")),"review","ok"),"ok")</f>
        <v>ok</v>
      </c>
      <c r="U1730" t="s">
        <v>289</v>
      </c>
      <c r="V1730">
        <v>0</v>
      </c>
      <c r="W1730">
        <v>0</v>
      </c>
      <c r="X1730" t="s">
        <v>8</v>
      </c>
      <c r="Y1730" s="74" t="str">
        <f ca="1">IF(Table15[[#This Row],[Type]]="KILL",IF(_xlfn.NUMBERVALUE(RIGHT(Table15[[#This Row],[Min]],LEN(Table15[[#This Row],[Min]])-FIND("-",Table15[[#This Row],[Min]])))&gt;INDIRECT(ADDRESS(11+MATCH(LEFT(Table15[[#This Row],[Min]],FIND("-",Table15[[#This Row],[Min]])-1),Table1[Content Sku],0),16,1,1,"Entities")),"review","ok"),"ok")</f>
        <v>ok</v>
      </c>
    </row>
    <row r="1731" spans="5:25" x14ac:dyDescent="0.25">
      <c r="E1731" t="s">
        <v>2741</v>
      </c>
      <c r="F1731">
        <v>0</v>
      </c>
      <c r="G1731">
        <v>0</v>
      </c>
      <c r="H1731" t="s">
        <v>8</v>
      </c>
      <c r="I1731" s="74" t="str">
        <f ca="1">IF(Table7[[#This Row],[Type]]="KILL",IF(_xlfn.NUMBERVALUE(RIGHT(Table7[[#This Row],[Min]],LEN(Table7[[#This Row],[Min]])-FIND("-",Table7[[#This Row],[Min]])))&gt;INDIRECT(ADDRESS(11+MATCH(LEFT(Table7[[#This Row],[Min]],FIND("-",Table7[[#This Row],[Min]])-1),Table1[Content Sku],0),16,1,1,"Entities")),"review","ok"),"ok")</f>
        <v>ok</v>
      </c>
      <c r="U1731" t="s">
        <v>123</v>
      </c>
      <c r="V1731">
        <v>0</v>
      </c>
      <c r="W1731">
        <v>0</v>
      </c>
      <c r="X1731" t="s">
        <v>8</v>
      </c>
      <c r="Y1731" s="74" t="str">
        <f ca="1">IF(Table15[[#This Row],[Type]]="KILL",IF(_xlfn.NUMBERVALUE(RIGHT(Table15[[#This Row],[Min]],LEN(Table15[[#This Row],[Min]])-FIND("-",Table15[[#This Row],[Min]])))&gt;INDIRECT(ADDRESS(11+MATCH(LEFT(Table15[[#This Row],[Min]],FIND("-",Table15[[#This Row],[Min]])-1),Table1[Content Sku],0),16,1,1,"Entities")),"review","ok"),"ok")</f>
        <v>ok</v>
      </c>
    </row>
    <row r="1732" spans="5:25" x14ac:dyDescent="0.25">
      <c r="E1732" t="s">
        <v>392</v>
      </c>
      <c r="F1732">
        <v>0</v>
      </c>
      <c r="G1732">
        <v>8000</v>
      </c>
      <c r="H1732" t="s">
        <v>205</v>
      </c>
      <c r="I1732" s="74" t="str">
        <f ca="1">IF(Table7[[#This Row],[Type]]="KILL",IF(_xlfn.NUMBERVALUE(RIGHT(Table7[[#This Row],[Min]],LEN(Table7[[#This Row],[Min]])-FIND("-",Table7[[#This Row],[Min]])))&gt;INDIRECT(ADDRESS(11+MATCH(LEFT(Table7[[#This Row],[Min]],FIND("-",Table7[[#This Row],[Min]])-1),Table1[Content Sku],0),16,1,1,"Entities")),"review","ok"),"ok")</f>
        <v>ok</v>
      </c>
      <c r="U1732" t="s">
        <v>289</v>
      </c>
      <c r="V1732">
        <v>0</v>
      </c>
      <c r="W1732">
        <v>0</v>
      </c>
      <c r="X1732" t="s">
        <v>8</v>
      </c>
      <c r="Y1732" s="74" t="str">
        <f ca="1">IF(Table15[[#This Row],[Type]]="KILL",IF(_xlfn.NUMBERVALUE(RIGHT(Table15[[#This Row],[Min]],LEN(Table15[[#This Row],[Min]])-FIND("-",Table15[[#This Row],[Min]])))&gt;INDIRECT(ADDRESS(11+MATCH(LEFT(Table15[[#This Row],[Min]],FIND("-",Table15[[#This Row],[Min]])-1),Table1[Content Sku],0),16,1,1,"Entities")),"review","ok"),"ok")</f>
        <v>ok</v>
      </c>
    </row>
    <row r="1733" spans="5:25" x14ac:dyDescent="0.25">
      <c r="E1733" t="s">
        <v>2738</v>
      </c>
      <c r="F1733">
        <v>0</v>
      </c>
      <c r="G1733">
        <v>0</v>
      </c>
      <c r="H1733" t="s">
        <v>8</v>
      </c>
      <c r="I1733" s="74" t="str">
        <f ca="1">IF(Table7[[#This Row],[Type]]="KILL",IF(_xlfn.NUMBERVALUE(RIGHT(Table7[[#This Row],[Min]],LEN(Table7[[#This Row],[Min]])-FIND("-",Table7[[#This Row],[Min]])))&gt;INDIRECT(ADDRESS(11+MATCH(LEFT(Table7[[#This Row],[Min]],FIND("-",Table7[[#This Row],[Min]])-1),Table1[Content Sku],0),16,1,1,"Entities")),"review","ok"),"ok")</f>
        <v>ok</v>
      </c>
      <c r="U1733" t="s">
        <v>2720</v>
      </c>
      <c r="V1733">
        <v>0</v>
      </c>
      <c r="W1733">
        <v>0</v>
      </c>
      <c r="X1733" t="s">
        <v>8</v>
      </c>
      <c r="Y1733" s="74" t="str">
        <f ca="1">IF(Table15[[#This Row],[Type]]="KILL",IF(_xlfn.NUMBERVALUE(RIGHT(Table15[[#This Row],[Min]],LEN(Table15[[#This Row],[Min]])-FIND("-",Table15[[#This Row],[Min]])))&gt;INDIRECT(ADDRESS(11+MATCH(LEFT(Table15[[#This Row],[Min]],FIND("-",Table15[[#This Row],[Min]])-1),Table1[Content Sku],0),16,1,1,"Entities")),"review","ok"),"ok")</f>
        <v>ok</v>
      </c>
    </row>
    <row r="1734" spans="5:25" x14ac:dyDescent="0.25">
      <c r="E1734" t="s">
        <v>336</v>
      </c>
      <c r="F1734">
        <v>13000</v>
      </c>
      <c r="G1734">
        <v>0</v>
      </c>
      <c r="H1734" t="s">
        <v>205</v>
      </c>
      <c r="I1734" s="74" t="str">
        <f ca="1">IF(Table7[[#This Row],[Type]]="KILL",IF(_xlfn.NUMBERVALUE(RIGHT(Table7[[#This Row],[Min]],LEN(Table7[[#This Row],[Min]])-FIND("-",Table7[[#This Row],[Min]])))&gt;INDIRECT(ADDRESS(11+MATCH(LEFT(Table7[[#This Row],[Min]],FIND("-",Table7[[#This Row],[Min]])-1),Table1[Content Sku],0),16,1,1,"Entities")),"review","ok"),"ok")</f>
        <v>ok</v>
      </c>
      <c r="U1734" t="s">
        <v>313</v>
      </c>
      <c r="V1734">
        <v>0</v>
      </c>
      <c r="W1734">
        <v>0</v>
      </c>
      <c r="X1734" t="s">
        <v>8</v>
      </c>
      <c r="Y1734" s="74" t="str">
        <f ca="1">IF(Table15[[#This Row],[Type]]="KILL",IF(_xlfn.NUMBERVALUE(RIGHT(Table15[[#This Row],[Min]],LEN(Table15[[#This Row],[Min]])-FIND("-",Table15[[#This Row],[Min]])))&gt;INDIRECT(ADDRESS(11+MATCH(LEFT(Table15[[#This Row],[Min]],FIND("-",Table15[[#This Row],[Min]])-1),Table1[Content Sku],0),16,1,1,"Entities")),"review","ok"),"ok")</f>
        <v>ok</v>
      </c>
    </row>
    <row r="1735" spans="5:25" x14ac:dyDescent="0.25">
      <c r="E1735" t="s">
        <v>256</v>
      </c>
      <c r="F1735">
        <v>21000</v>
      </c>
      <c r="G1735">
        <v>0</v>
      </c>
      <c r="H1735" t="s">
        <v>205</v>
      </c>
      <c r="I1735" s="74" t="str">
        <f ca="1">IF(Table7[[#This Row],[Type]]="KILL",IF(_xlfn.NUMBERVALUE(RIGHT(Table7[[#This Row],[Min]],LEN(Table7[[#This Row],[Min]])-FIND("-",Table7[[#This Row],[Min]])))&gt;INDIRECT(ADDRESS(11+MATCH(LEFT(Table7[[#This Row],[Min]],FIND("-",Table7[[#This Row],[Min]])-1),Table1[Content Sku],0),16,1,1,"Entities")),"review","ok"),"ok")</f>
        <v>ok</v>
      </c>
      <c r="U1735" t="s">
        <v>289</v>
      </c>
      <c r="V1735">
        <v>0</v>
      </c>
      <c r="W1735">
        <v>0</v>
      </c>
      <c r="X1735" t="s">
        <v>8</v>
      </c>
      <c r="Y1735" s="74" t="str">
        <f ca="1">IF(Table15[[#This Row],[Type]]="KILL",IF(_xlfn.NUMBERVALUE(RIGHT(Table15[[#This Row],[Min]],LEN(Table15[[#This Row],[Min]])-FIND("-",Table15[[#This Row],[Min]])))&gt;INDIRECT(ADDRESS(11+MATCH(LEFT(Table15[[#This Row],[Min]],FIND("-",Table15[[#This Row],[Min]])-1),Table1[Content Sku],0),16,1,1,"Entities")),"review","ok"),"ok")</f>
        <v>ok</v>
      </c>
    </row>
    <row r="1736" spans="5:25" x14ac:dyDescent="0.25">
      <c r="E1736" t="s">
        <v>2741</v>
      </c>
      <c r="F1736">
        <v>0</v>
      </c>
      <c r="G1736">
        <v>0</v>
      </c>
      <c r="H1736" t="s">
        <v>8</v>
      </c>
      <c r="I1736" s="74" t="str">
        <f ca="1">IF(Table7[[#This Row],[Type]]="KILL",IF(_xlfn.NUMBERVALUE(RIGHT(Table7[[#This Row],[Min]],LEN(Table7[[#This Row],[Min]])-FIND("-",Table7[[#This Row],[Min]])))&gt;INDIRECT(ADDRESS(11+MATCH(LEFT(Table7[[#This Row],[Min]],FIND("-",Table7[[#This Row],[Min]])-1),Table1[Content Sku],0),16,1,1,"Entities")),"review","ok"),"ok")</f>
        <v>ok</v>
      </c>
      <c r="U1736" t="s">
        <v>36</v>
      </c>
      <c r="V1736">
        <v>300</v>
      </c>
      <c r="W1736">
        <v>0</v>
      </c>
      <c r="X1736" t="s">
        <v>4431</v>
      </c>
      <c r="Y1736" s="74" t="str">
        <f ca="1">IF(Table15[[#This Row],[Type]]="KILL",IF(_xlfn.NUMBERVALUE(RIGHT(Table15[[#This Row],[Min]],LEN(Table15[[#This Row],[Min]])-FIND("-",Table15[[#This Row],[Min]])))&gt;INDIRECT(ADDRESS(11+MATCH(LEFT(Table15[[#This Row],[Min]],FIND("-",Table15[[#This Row],[Min]])-1),Table1[Content Sku],0),16,1,1,"Entities")),"review","ok"),"ok")</f>
        <v>ok</v>
      </c>
    </row>
    <row r="1737" spans="5:25" x14ac:dyDescent="0.25">
      <c r="E1737" t="s">
        <v>311</v>
      </c>
      <c r="F1737">
        <v>0</v>
      </c>
      <c r="G1737">
        <v>0</v>
      </c>
      <c r="H1737" t="s">
        <v>8</v>
      </c>
      <c r="I1737" s="74" t="str">
        <f ca="1">IF(Table7[[#This Row],[Type]]="KILL",IF(_xlfn.NUMBERVALUE(RIGHT(Table7[[#This Row],[Min]],LEN(Table7[[#This Row],[Min]])-FIND("-",Table7[[#This Row],[Min]])))&gt;INDIRECT(ADDRESS(11+MATCH(LEFT(Table7[[#This Row],[Min]],FIND("-",Table7[[#This Row],[Min]])-1),Table1[Content Sku],0),16,1,1,"Entities")),"review","ok"),"ok")</f>
        <v>ok</v>
      </c>
      <c r="U1737" t="s">
        <v>457</v>
      </c>
      <c r="V1737">
        <v>0</v>
      </c>
      <c r="W1737">
        <v>32000</v>
      </c>
      <c r="X1737" t="s">
        <v>205</v>
      </c>
      <c r="Y1737" s="74" t="str">
        <f ca="1">IF(Table15[[#This Row],[Type]]="KILL",IF(_xlfn.NUMBERVALUE(RIGHT(Table15[[#This Row],[Min]],LEN(Table15[[#This Row],[Min]])-FIND("-",Table15[[#This Row],[Min]])))&gt;INDIRECT(ADDRESS(11+MATCH(LEFT(Table15[[#This Row],[Min]],FIND("-",Table15[[#This Row],[Min]])-1),Table1[Content Sku],0),16,1,1,"Entities")),"review","ok"),"ok")</f>
        <v>ok</v>
      </c>
    </row>
    <row r="1738" spans="5:25" x14ac:dyDescent="0.25">
      <c r="E1738" t="s">
        <v>400</v>
      </c>
      <c r="F1738">
        <v>0</v>
      </c>
      <c r="G1738">
        <v>0</v>
      </c>
      <c r="H1738" t="s">
        <v>8</v>
      </c>
      <c r="I1738" s="74" t="str">
        <f ca="1">IF(Table7[[#This Row],[Type]]="KILL",IF(_xlfn.NUMBERVALUE(RIGHT(Table7[[#This Row],[Min]],LEN(Table7[[#This Row],[Min]])-FIND("-",Table7[[#This Row],[Min]])))&gt;INDIRECT(ADDRESS(11+MATCH(LEFT(Table7[[#This Row],[Min]],FIND("-",Table7[[#This Row],[Min]])-1),Table1[Content Sku],0),16,1,1,"Entities")),"review","ok"),"ok")</f>
        <v>ok</v>
      </c>
      <c r="U1738" t="s">
        <v>8103</v>
      </c>
      <c r="V1738">
        <v>55000</v>
      </c>
      <c r="W1738">
        <v>0</v>
      </c>
      <c r="X1738" t="s">
        <v>205</v>
      </c>
      <c r="Y1738" s="74" t="str">
        <f ca="1">IF(Table15[[#This Row],[Type]]="KILL",IF(_xlfn.NUMBERVALUE(RIGHT(Table15[[#This Row],[Min]],LEN(Table15[[#This Row],[Min]])-FIND("-",Table15[[#This Row],[Min]])))&gt;INDIRECT(ADDRESS(11+MATCH(LEFT(Table15[[#This Row],[Min]],FIND("-",Table15[[#This Row],[Min]])-1),Table1[Content Sku],0),16,1,1,"Entities")),"review","ok"),"ok")</f>
        <v>ok</v>
      </c>
    </row>
    <row r="1739" spans="5:25" x14ac:dyDescent="0.25">
      <c r="E1739" t="s">
        <v>254</v>
      </c>
      <c r="F1739">
        <v>0</v>
      </c>
      <c r="G1739">
        <v>7500</v>
      </c>
      <c r="H1739" t="s">
        <v>205</v>
      </c>
      <c r="I1739" s="74" t="str">
        <f ca="1">IF(Table7[[#This Row],[Type]]="KILL",IF(_xlfn.NUMBERVALUE(RIGHT(Table7[[#This Row],[Min]],LEN(Table7[[#This Row],[Min]])-FIND("-",Table7[[#This Row],[Min]])))&gt;INDIRECT(ADDRESS(11+MATCH(LEFT(Table7[[#This Row],[Min]],FIND("-",Table7[[#This Row],[Min]])-1),Table1[Content Sku],0),16,1,1,"Entities")),"review","ok"),"ok")</f>
        <v>ok</v>
      </c>
      <c r="U1739" t="s">
        <v>46</v>
      </c>
      <c r="V1739">
        <v>0</v>
      </c>
      <c r="W1739">
        <v>0</v>
      </c>
      <c r="X1739" t="s">
        <v>8</v>
      </c>
      <c r="Y1739" s="74" t="str">
        <f ca="1">IF(Table15[[#This Row],[Type]]="KILL",IF(_xlfn.NUMBERVALUE(RIGHT(Table15[[#This Row],[Min]],LEN(Table15[[#This Row],[Min]])-FIND("-",Table15[[#This Row],[Min]])))&gt;INDIRECT(ADDRESS(11+MATCH(LEFT(Table15[[#This Row],[Min]],FIND("-",Table15[[#This Row],[Min]])-1),Table1[Content Sku],0),16,1,1,"Entities")),"review","ok"),"ok")</f>
        <v>ok</v>
      </c>
    </row>
    <row r="1740" spans="5:25" x14ac:dyDescent="0.25">
      <c r="E1740" t="s">
        <v>2738</v>
      </c>
      <c r="F1740">
        <v>0</v>
      </c>
      <c r="G1740">
        <v>0</v>
      </c>
      <c r="H1740" t="s">
        <v>8</v>
      </c>
      <c r="I1740" s="74" t="str">
        <f ca="1">IF(Table7[[#This Row],[Type]]="KILL",IF(_xlfn.NUMBERVALUE(RIGHT(Table7[[#This Row],[Min]],LEN(Table7[[#This Row],[Min]])-FIND("-",Table7[[#This Row],[Min]])))&gt;INDIRECT(ADDRESS(11+MATCH(LEFT(Table7[[#This Row],[Min]],FIND("-",Table7[[#This Row],[Min]])-1),Table1[Content Sku],0),16,1,1,"Entities")),"review","ok"),"ok")</f>
        <v>ok</v>
      </c>
      <c r="U1740" t="s">
        <v>450</v>
      </c>
      <c r="V1740">
        <v>45000</v>
      </c>
      <c r="W1740">
        <v>0</v>
      </c>
      <c r="X1740" t="s">
        <v>205</v>
      </c>
      <c r="Y1740" s="74" t="str">
        <f ca="1">IF(Table15[[#This Row],[Type]]="KILL",IF(_xlfn.NUMBERVALUE(RIGHT(Table15[[#This Row],[Min]],LEN(Table15[[#This Row],[Min]])-FIND("-",Table15[[#This Row],[Min]])))&gt;INDIRECT(ADDRESS(11+MATCH(LEFT(Table15[[#This Row],[Min]],FIND("-",Table15[[#This Row],[Min]])-1),Table1[Content Sku],0),16,1,1,"Entities")),"review","ok"),"ok")</f>
        <v>ok</v>
      </c>
    </row>
    <row r="1741" spans="5:25" x14ac:dyDescent="0.25">
      <c r="E1741" t="s">
        <v>254</v>
      </c>
      <c r="F1741">
        <v>0</v>
      </c>
      <c r="G1741">
        <v>0</v>
      </c>
      <c r="H1741" t="s">
        <v>8</v>
      </c>
      <c r="I1741" s="74" t="str">
        <f ca="1">IF(Table7[[#This Row],[Type]]="KILL",IF(_xlfn.NUMBERVALUE(RIGHT(Table7[[#This Row],[Min]],LEN(Table7[[#This Row],[Min]])-FIND("-",Table7[[#This Row],[Min]])))&gt;INDIRECT(ADDRESS(11+MATCH(LEFT(Table7[[#This Row],[Min]],FIND("-",Table7[[#This Row],[Min]])-1),Table1[Content Sku],0),16,1,1,"Entities")),"review","ok"),"ok")</f>
        <v>ok</v>
      </c>
      <c r="U1741" t="s">
        <v>459</v>
      </c>
      <c r="V1741">
        <v>0</v>
      </c>
      <c r="W1741">
        <v>35000</v>
      </c>
      <c r="X1741" t="s">
        <v>205</v>
      </c>
      <c r="Y1741" s="74" t="str">
        <f ca="1">IF(Table15[[#This Row],[Type]]="KILL",IF(_xlfn.NUMBERVALUE(RIGHT(Table15[[#This Row],[Min]],LEN(Table15[[#This Row],[Min]])-FIND("-",Table15[[#This Row],[Min]])))&gt;INDIRECT(ADDRESS(11+MATCH(LEFT(Table15[[#This Row],[Min]],FIND("-",Table15[[#This Row],[Min]])-1),Table1[Content Sku],0),16,1,1,"Entities")),"review","ok"),"ok")</f>
        <v>ok</v>
      </c>
    </row>
    <row r="1742" spans="5:25" x14ac:dyDescent="0.25">
      <c r="E1742" t="s">
        <v>254</v>
      </c>
      <c r="F1742">
        <v>0</v>
      </c>
      <c r="G1742">
        <v>0</v>
      </c>
      <c r="H1742" t="s">
        <v>8</v>
      </c>
      <c r="I1742" s="74" t="str">
        <f ca="1">IF(Table7[[#This Row],[Type]]="KILL",IF(_xlfn.NUMBERVALUE(RIGHT(Table7[[#This Row],[Min]],LEN(Table7[[#This Row],[Min]])-FIND("-",Table7[[#This Row],[Min]])))&gt;INDIRECT(ADDRESS(11+MATCH(LEFT(Table7[[#This Row],[Min]],FIND("-",Table7[[#This Row],[Min]])-1),Table1[Content Sku],0),16,1,1,"Entities")),"review","ok"),"ok")</f>
        <v>ok</v>
      </c>
      <c r="U1742" t="s">
        <v>459</v>
      </c>
      <c r="V1742">
        <v>0</v>
      </c>
      <c r="W1742">
        <v>24000</v>
      </c>
      <c r="X1742" t="s">
        <v>205</v>
      </c>
      <c r="Y1742" s="74" t="str">
        <f ca="1">IF(Table15[[#This Row],[Type]]="KILL",IF(_xlfn.NUMBERVALUE(RIGHT(Table15[[#This Row],[Min]],LEN(Table15[[#This Row],[Min]])-FIND("-",Table15[[#This Row],[Min]])))&gt;INDIRECT(ADDRESS(11+MATCH(LEFT(Table15[[#This Row],[Min]],FIND("-",Table15[[#This Row],[Min]])-1),Table1[Content Sku],0),16,1,1,"Entities")),"review","ok"),"ok")</f>
        <v>ok</v>
      </c>
    </row>
    <row r="1743" spans="5:25" x14ac:dyDescent="0.25">
      <c r="E1743" t="s">
        <v>254</v>
      </c>
      <c r="F1743">
        <v>0</v>
      </c>
      <c r="G1743">
        <v>0</v>
      </c>
      <c r="H1743" t="s">
        <v>8</v>
      </c>
      <c r="I1743" s="74" t="str">
        <f ca="1">IF(Table7[[#This Row],[Type]]="KILL",IF(_xlfn.NUMBERVALUE(RIGHT(Table7[[#This Row],[Min]],LEN(Table7[[#This Row],[Min]])-FIND("-",Table7[[#This Row],[Min]])))&gt;INDIRECT(ADDRESS(11+MATCH(LEFT(Table7[[#This Row],[Min]],FIND("-",Table7[[#This Row],[Min]])-1),Table1[Content Sku],0),16,1,1,"Entities")),"review","ok"),"ok")</f>
        <v>ok</v>
      </c>
      <c r="U1743" t="s">
        <v>309</v>
      </c>
      <c r="V1743">
        <v>42000</v>
      </c>
      <c r="W1743">
        <v>0</v>
      </c>
      <c r="X1743" t="s">
        <v>205</v>
      </c>
      <c r="Y1743" s="74" t="str">
        <f ca="1">IF(Table15[[#This Row],[Type]]="KILL",IF(_xlfn.NUMBERVALUE(RIGHT(Table15[[#This Row],[Min]],LEN(Table15[[#This Row],[Min]])-FIND("-",Table15[[#This Row],[Min]])))&gt;INDIRECT(ADDRESS(11+MATCH(LEFT(Table15[[#This Row],[Min]],FIND("-",Table15[[#This Row],[Min]])-1),Table1[Content Sku],0),16,1,1,"Entities")),"review","ok"),"ok")</f>
        <v>ok</v>
      </c>
    </row>
    <row r="1744" spans="5:25" x14ac:dyDescent="0.25">
      <c r="E1744" t="s">
        <v>14</v>
      </c>
      <c r="F1744">
        <v>0</v>
      </c>
      <c r="G1744">
        <v>0</v>
      </c>
      <c r="H1744" t="s">
        <v>8</v>
      </c>
      <c r="I1744" s="74" t="str">
        <f ca="1">IF(Table7[[#This Row],[Type]]="KILL",IF(_xlfn.NUMBERVALUE(RIGHT(Table7[[#This Row],[Min]],LEN(Table7[[#This Row],[Min]])-FIND("-",Table7[[#This Row],[Min]])))&gt;INDIRECT(ADDRESS(11+MATCH(LEFT(Table7[[#This Row],[Min]],FIND("-",Table7[[#This Row],[Min]])-1),Table1[Content Sku],0),16,1,1,"Entities")),"review","ok"),"ok")</f>
        <v>ok</v>
      </c>
      <c r="U1744" t="s">
        <v>313</v>
      </c>
      <c r="V1744">
        <v>0</v>
      </c>
      <c r="W1744">
        <v>0</v>
      </c>
      <c r="X1744" t="s">
        <v>8</v>
      </c>
      <c r="Y1744" s="74" t="str">
        <f ca="1">IF(Table15[[#This Row],[Type]]="KILL",IF(_xlfn.NUMBERVALUE(RIGHT(Table15[[#This Row],[Min]],LEN(Table15[[#This Row],[Min]])-FIND("-",Table15[[#This Row],[Min]])))&gt;INDIRECT(ADDRESS(11+MATCH(LEFT(Table15[[#This Row],[Min]],FIND("-",Table15[[#This Row],[Min]])-1),Table1[Content Sku],0),16,1,1,"Entities")),"review","ok"),"ok")</f>
        <v>ok</v>
      </c>
    </row>
    <row r="1745" spans="5:25" x14ac:dyDescent="0.25">
      <c r="E1745" t="s">
        <v>254</v>
      </c>
      <c r="F1745">
        <v>0</v>
      </c>
      <c r="G1745">
        <v>0</v>
      </c>
      <c r="H1745" t="s">
        <v>8</v>
      </c>
      <c r="I1745" s="74" t="str">
        <f ca="1">IF(Table7[[#This Row],[Type]]="KILL",IF(_xlfn.NUMBERVALUE(RIGHT(Table7[[#This Row],[Min]],LEN(Table7[[#This Row],[Min]])-FIND("-",Table7[[#This Row],[Min]])))&gt;INDIRECT(ADDRESS(11+MATCH(LEFT(Table7[[#This Row],[Min]],FIND("-",Table7[[#This Row],[Min]])-1),Table1[Content Sku],0),16,1,1,"Entities")),"review","ok"),"ok")</f>
        <v>ok</v>
      </c>
      <c r="U1745" t="s">
        <v>313</v>
      </c>
      <c r="V1745">
        <v>0</v>
      </c>
      <c r="W1745">
        <v>0</v>
      </c>
      <c r="X1745" t="s">
        <v>8</v>
      </c>
      <c r="Y1745" s="74" t="str">
        <f ca="1">IF(Table15[[#This Row],[Type]]="KILL",IF(_xlfn.NUMBERVALUE(RIGHT(Table15[[#This Row],[Min]],LEN(Table15[[#This Row],[Min]])-FIND("-",Table15[[#This Row],[Min]])))&gt;INDIRECT(ADDRESS(11+MATCH(LEFT(Table15[[#This Row],[Min]],FIND("-",Table15[[#This Row],[Min]])-1),Table1[Content Sku],0),16,1,1,"Entities")),"review","ok"),"ok")</f>
        <v>ok</v>
      </c>
    </row>
    <row r="1746" spans="5:25" x14ac:dyDescent="0.25">
      <c r="E1746" t="s">
        <v>2741</v>
      </c>
      <c r="F1746">
        <v>0</v>
      </c>
      <c r="G1746">
        <v>0</v>
      </c>
      <c r="H1746" t="s">
        <v>8</v>
      </c>
      <c r="I1746" s="74" t="str">
        <f ca="1">IF(Table7[[#This Row],[Type]]="KILL",IF(_xlfn.NUMBERVALUE(RIGHT(Table7[[#This Row],[Min]],LEN(Table7[[#This Row],[Min]])-FIND("-",Table7[[#This Row],[Min]])))&gt;INDIRECT(ADDRESS(11+MATCH(LEFT(Table7[[#This Row],[Min]],FIND("-",Table7[[#This Row],[Min]])-1),Table1[Content Sku],0),16,1,1,"Entities")),"review","ok"),"ok")</f>
        <v>ok</v>
      </c>
      <c r="U1746" t="s">
        <v>450</v>
      </c>
      <c r="V1746">
        <v>0</v>
      </c>
      <c r="W1746">
        <v>0</v>
      </c>
      <c r="X1746" t="s">
        <v>8</v>
      </c>
      <c r="Y1746" s="74" t="str">
        <f ca="1">IF(Table15[[#This Row],[Type]]="KILL",IF(_xlfn.NUMBERVALUE(RIGHT(Table15[[#This Row],[Min]],LEN(Table15[[#This Row],[Min]])-FIND("-",Table15[[#This Row],[Min]])))&gt;INDIRECT(ADDRESS(11+MATCH(LEFT(Table15[[#This Row],[Min]],FIND("-",Table15[[#This Row],[Min]])-1),Table1[Content Sku],0),16,1,1,"Entities")),"review","ok"),"ok")</f>
        <v>ok</v>
      </c>
    </row>
    <row r="1747" spans="5:25" x14ac:dyDescent="0.25">
      <c r="E1747" t="s">
        <v>273</v>
      </c>
      <c r="F1747">
        <v>7500</v>
      </c>
      <c r="G1747">
        <v>0</v>
      </c>
      <c r="H1747" t="s">
        <v>205</v>
      </c>
      <c r="I1747" s="74" t="str">
        <f ca="1">IF(Table7[[#This Row],[Type]]="KILL",IF(_xlfn.NUMBERVALUE(RIGHT(Table7[[#This Row],[Min]],LEN(Table7[[#This Row],[Min]])-FIND("-",Table7[[#This Row],[Min]])))&gt;INDIRECT(ADDRESS(11+MATCH(LEFT(Table7[[#This Row],[Min]],FIND("-",Table7[[#This Row],[Min]])-1),Table1[Content Sku],0),16,1,1,"Entities")),"review","ok"),"ok")</f>
        <v>ok</v>
      </c>
      <c r="U1747" t="s">
        <v>443</v>
      </c>
      <c r="V1747">
        <v>380</v>
      </c>
      <c r="W1747">
        <v>0</v>
      </c>
      <c r="X1747" t="s">
        <v>4431</v>
      </c>
      <c r="Y1747" s="74" t="str">
        <f ca="1">IF(Table15[[#This Row],[Type]]="KILL",IF(_xlfn.NUMBERVALUE(RIGHT(Table15[[#This Row],[Min]],LEN(Table15[[#This Row],[Min]])-FIND("-",Table15[[#This Row],[Min]])))&gt;INDIRECT(ADDRESS(11+MATCH(LEFT(Table15[[#This Row],[Min]],FIND("-",Table15[[#This Row],[Min]])-1),Table1[Content Sku],0),16,1,1,"Entities")),"review","ok"),"ok")</f>
        <v>ok</v>
      </c>
    </row>
    <row r="1748" spans="5:25" x14ac:dyDescent="0.25">
      <c r="E1748" t="s">
        <v>8133</v>
      </c>
      <c r="F1748">
        <v>0</v>
      </c>
      <c r="G1748">
        <v>0</v>
      </c>
      <c r="H1748" t="s">
        <v>8</v>
      </c>
      <c r="I1748" s="74" t="str">
        <f ca="1">IF(Table7[[#This Row],[Type]]="KILL",IF(_xlfn.NUMBERVALUE(RIGHT(Table7[[#This Row],[Min]],LEN(Table7[[#This Row],[Min]])-FIND("-",Table7[[#This Row],[Min]])))&gt;INDIRECT(ADDRESS(11+MATCH(LEFT(Table7[[#This Row],[Min]],FIND("-",Table7[[#This Row],[Min]])-1),Table1[Content Sku],0),16,1,1,"Entities")),"review","ok"),"ok")</f>
        <v>ok</v>
      </c>
      <c r="U1748" t="s">
        <v>457</v>
      </c>
      <c r="V1748">
        <v>0</v>
      </c>
      <c r="W1748">
        <v>32000</v>
      </c>
      <c r="X1748" t="s">
        <v>205</v>
      </c>
      <c r="Y1748" s="74" t="str">
        <f ca="1">IF(Table15[[#This Row],[Type]]="KILL",IF(_xlfn.NUMBERVALUE(RIGHT(Table15[[#This Row],[Min]],LEN(Table15[[#This Row],[Min]])-FIND("-",Table15[[#This Row],[Min]])))&gt;INDIRECT(ADDRESS(11+MATCH(LEFT(Table15[[#This Row],[Min]],FIND("-",Table15[[#This Row],[Min]])-1),Table1[Content Sku],0),16,1,1,"Entities")),"review","ok"),"ok")</f>
        <v>ok</v>
      </c>
    </row>
    <row r="1749" spans="5:25" x14ac:dyDescent="0.25">
      <c r="E1749" t="s">
        <v>254</v>
      </c>
      <c r="F1749">
        <v>0</v>
      </c>
      <c r="G1749">
        <v>0</v>
      </c>
      <c r="H1749" t="s">
        <v>8</v>
      </c>
      <c r="I1749" s="74" t="str">
        <f ca="1">IF(Table7[[#This Row],[Type]]="KILL",IF(_xlfn.NUMBERVALUE(RIGHT(Table7[[#This Row],[Min]],LEN(Table7[[#This Row],[Min]])-FIND("-",Table7[[#This Row],[Min]])))&gt;INDIRECT(ADDRESS(11+MATCH(LEFT(Table7[[#This Row],[Min]],FIND("-",Table7[[#This Row],[Min]])-1),Table1[Content Sku],0),16,1,1,"Entities")),"review","ok"),"ok")</f>
        <v>ok</v>
      </c>
      <c r="U1749" t="s">
        <v>2720</v>
      </c>
      <c r="V1749">
        <v>57000</v>
      </c>
      <c r="W1749">
        <v>0</v>
      </c>
      <c r="X1749" t="s">
        <v>205</v>
      </c>
      <c r="Y1749" s="74" t="str">
        <f ca="1">IF(Table15[[#This Row],[Type]]="KILL",IF(_xlfn.NUMBERVALUE(RIGHT(Table15[[#This Row],[Min]],LEN(Table15[[#This Row],[Min]])-FIND("-",Table15[[#This Row],[Min]])))&gt;INDIRECT(ADDRESS(11+MATCH(LEFT(Table15[[#This Row],[Min]],FIND("-",Table15[[#This Row],[Min]])-1),Table1[Content Sku],0),16,1,1,"Entities")),"review","ok"),"ok")</f>
        <v>ok</v>
      </c>
    </row>
    <row r="1750" spans="5:25" x14ac:dyDescent="0.25">
      <c r="E1750" t="s">
        <v>90</v>
      </c>
      <c r="F1750">
        <v>0</v>
      </c>
      <c r="G1750">
        <v>0</v>
      </c>
      <c r="H1750" t="s">
        <v>8</v>
      </c>
      <c r="I1750" s="74" t="str">
        <f ca="1">IF(Table7[[#This Row],[Type]]="KILL",IF(_xlfn.NUMBERVALUE(RIGHT(Table7[[#This Row],[Min]],LEN(Table7[[#This Row],[Min]])-FIND("-",Table7[[#This Row],[Min]])))&gt;INDIRECT(ADDRESS(11+MATCH(LEFT(Table7[[#This Row],[Min]],FIND("-",Table7[[#This Row],[Min]])-1),Table1[Content Sku],0),16,1,1,"Entities")),"review","ok"),"ok")</f>
        <v>ok</v>
      </c>
      <c r="U1750" t="s">
        <v>398</v>
      </c>
      <c r="V1750">
        <v>0</v>
      </c>
      <c r="W1750">
        <v>0</v>
      </c>
      <c r="X1750" t="s">
        <v>8</v>
      </c>
      <c r="Y1750" s="74" t="str">
        <f ca="1">IF(Table15[[#This Row],[Type]]="KILL",IF(_xlfn.NUMBERVALUE(RIGHT(Table15[[#This Row],[Min]],LEN(Table15[[#This Row],[Min]])-FIND("-",Table15[[#This Row],[Min]])))&gt;INDIRECT(ADDRESS(11+MATCH(LEFT(Table15[[#This Row],[Min]],FIND("-",Table15[[#This Row],[Min]])-1),Table1[Content Sku],0),16,1,1,"Entities")),"review","ok"),"ok")</f>
        <v>ok</v>
      </c>
    </row>
    <row r="1751" spans="5:25" x14ac:dyDescent="0.25">
      <c r="E1751" t="s">
        <v>276</v>
      </c>
      <c r="F1751">
        <v>0</v>
      </c>
      <c r="G1751">
        <v>0</v>
      </c>
      <c r="H1751" t="s">
        <v>8</v>
      </c>
      <c r="I1751" s="74" t="str">
        <f ca="1">IF(Table7[[#This Row],[Type]]="KILL",IF(_xlfn.NUMBERVALUE(RIGHT(Table7[[#This Row],[Min]],LEN(Table7[[#This Row],[Min]])-FIND("-",Table7[[#This Row],[Min]])))&gt;INDIRECT(ADDRESS(11+MATCH(LEFT(Table7[[#This Row],[Min]],FIND("-",Table7[[#This Row],[Min]])-1),Table1[Content Sku],0),16,1,1,"Entities")),"review","ok"),"ok")</f>
        <v>ok</v>
      </c>
      <c r="U1751" t="s">
        <v>398</v>
      </c>
      <c r="V1751">
        <v>0</v>
      </c>
      <c r="W1751">
        <v>0</v>
      </c>
      <c r="X1751" t="s">
        <v>8</v>
      </c>
      <c r="Y1751" s="74" t="str">
        <f ca="1">IF(Table15[[#This Row],[Type]]="KILL",IF(_xlfn.NUMBERVALUE(RIGHT(Table15[[#This Row],[Min]],LEN(Table15[[#This Row],[Min]])-FIND("-",Table15[[#This Row],[Min]])))&gt;INDIRECT(ADDRESS(11+MATCH(LEFT(Table15[[#This Row],[Min]],FIND("-",Table15[[#This Row],[Min]])-1),Table1[Content Sku],0),16,1,1,"Entities")),"review","ok"),"ok")</f>
        <v>ok</v>
      </c>
    </row>
    <row r="1752" spans="5:25" x14ac:dyDescent="0.25">
      <c r="E1752" t="s">
        <v>2741</v>
      </c>
      <c r="F1752">
        <v>0</v>
      </c>
      <c r="G1752">
        <v>0</v>
      </c>
      <c r="H1752" t="s">
        <v>8</v>
      </c>
      <c r="I1752" s="74" t="str">
        <f ca="1">IF(Table7[[#This Row],[Type]]="KILL",IF(_xlfn.NUMBERVALUE(RIGHT(Table7[[#This Row],[Min]],LEN(Table7[[#This Row],[Min]])-FIND("-",Table7[[#This Row],[Min]])))&gt;INDIRECT(ADDRESS(11+MATCH(LEFT(Table7[[#This Row],[Min]],FIND("-",Table7[[#This Row],[Min]])-1),Table1[Content Sku],0),16,1,1,"Entities")),"review","ok"),"ok")</f>
        <v>ok</v>
      </c>
      <c r="U1752" t="s">
        <v>46</v>
      </c>
      <c r="V1752">
        <v>0</v>
      </c>
      <c r="W1752">
        <v>0</v>
      </c>
      <c r="X1752" t="s">
        <v>8</v>
      </c>
      <c r="Y1752" s="74" t="str">
        <f ca="1">IF(Table15[[#This Row],[Type]]="KILL",IF(_xlfn.NUMBERVALUE(RIGHT(Table15[[#This Row],[Min]],LEN(Table15[[#This Row],[Min]])-FIND("-",Table15[[#This Row],[Min]])))&gt;INDIRECT(ADDRESS(11+MATCH(LEFT(Table15[[#This Row],[Min]],FIND("-",Table15[[#This Row],[Min]])-1),Table1[Content Sku],0),16,1,1,"Entities")),"review","ok"),"ok")</f>
        <v>ok</v>
      </c>
    </row>
    <row r="1753" spans="5:25" x14ac:dyDescent="0.25">
      <c r="E1753" t="s">
        <v>2729</v>
      </c>
      <c r="F1753">
        <v>0</v>
      </c>
      <c r="G1753">
        <v>0</v>
      </c>
      <c r="H1753" t="s">
        <v>8</v>
      </c>
      <c r="I1753" s="74" t="str">
        <f ca="1">IF(Table7[[#This Row],[Type]]="KILL",IF(_xlfn.NUMBERVALUE(RIGHT(Table7[[#This Row],[Min]],LEN(Table7[[#This Row],[Min]])-FIND("-",Table7[[#This Row],[Min]])))&gt;INDIRECT(ADDRESS(11+MATCH(LEFT(Table7[[#This Row],[Min]],FIND("-",Table7[[#This Row],[Min]])-1),Table1[Content Sku],0),16,1,1,"Entities")),"review","ok"),"ok")</f>
        <v>ok</v>
      </c>
      <c r="U1753" t="s">
        <v>460</v>
      </c>
      <c r="V1753">
        <v>0</v>
      </c>
      <c r="W1753">
        <v>0</v>
      </c>
      <c r="X1753" t="s">
        <v>8</v>
      </c>
      <c r="Y1753" s="74" t="str">
        <f ca="1">IF(Table15[[#This Row],[Type]]="KILL",IF(_xlfn.NUMBERVALUE(RIGHT(Table15[[#This Row],[Min]],LEN(Table15[[#This Row],[Min]])-FIND("-",Table15[[#This Row],[Min]])))&gt;INDIRECT(ADDRESS(11+MATCH(LEFT(Table15[[#This Row],[Min]],FIND("-",Table15[[#This Row],[Min]])-1),Table1[Content Sku],0),16,1,1,"Entities")),"review","ok"),"ok")</f>
        <v>ok</v>
      </c>
    </row>
    <row r="1754" spans="5:25" x14ac:dyDescent="0.25">
      <c r="E1754" t="s">
        <v>340</v>
      </c>
      <c r="F1754">
        <v>0</v>
      </c>
      <c r="G1754">
        <v>0</v>
      </c>
      <c r="H1754" t="s">
        <v>8</v>
      </c>
      <c r="I1754" s="74" t="str">
        <f ca="1">IF(Table7[[#This Row],[Type]]="KILL",IF(_xlfn.NUMBERVALUE(RIGHT(Table7[[#This Row],[Min]],LEN(Table7[[#This Row],[Min]])-FIND("-",Table7[[#This Row],[Min]])))&gt;INDIRECT(ADDRESS(11+MATCH(LEFT(Table7[[#This Row],[Min]],FIND("-",Table7[[#This Row],[Min]])-1),Table1[Content Sku],0),16,1,1,"Entities")),"review","ok"),"ok")</f>
        <v>ok</v>
      </c>
      <c r="U1754" t="s">
        <v>21</v>
      </c>
      <c r="V1754">
        <v>0</v>
      </c>
      <c r="W1754">
        <v>0</v>
      </c>
      <c r="X1754" t="s">
        <v>8</v>
      </c>
      <c r="Y1754" s="74" t="str">
        <f ca="1">IF(Table15[[#This Row],[Type]]="KILL",IF(_xlfn.NUMBERVALUE(RIGHT(Table15[[#This Row],[Min]],LEN(Table15[[#This Row],[Min]])-FIND("-",Table15[[#This Row],[Min]])))&gt;INDIRECT(ADDRESS(11+MATCH(LEFT(Table15[[#This Row],[Min]],FIND("-",Table15[[#This Row],[Min]])-1),Table1[Content Sku],0),16,1,1,"Entities")),"review","ok"),"ok")</f>
        <v>ok</v>
      </c>
    </row>
    <row r="1755" spans="5:25" x14ac:dyDescent="0.25">
      <c r="E1755" t="s">
        <v>45</v>
      </c>
      <c r="F1755">
        <v>8000</v>
      </c>
      <c r="G1755">
        <v>0</v>
      </c>
      <c r="H1755" t="s">
        <v>205</v>
      </c>
      <c r="I1755" s="74" t="str">
        <f ca="1">IF(Table7[[#This Row],[Type]]="KILL",IF(_xlfn.NUMBERVALUE(RIGHT(Table7[[#This Row],[Min]],LEN(Table7[[#This Row],[Min]])-FIND("-",Table7[[#This Row],[Min]])))&gt;INDIRECT(ADDRESS(11+MATCH(LEFT(Table7[[#This Row],[Min]],FIND("-",Table7[[#This Row],[Min]])-1),Table1[Content Sku],0),16,1,1,"Entities")),"review","ok"),"ok")</f>
        <v>ok</v>
      </c>
      <c r="U1755" t="s">
        <v>400</v>
      </c>
      <c r="V1755">
        <v>0</v>
      </c>
      <c r="W1755">
        <v>0</v>
      </c>
      <c r="X1755" t="s">
        <v>8</v>
      </c>
      <c r="Y1755" s="74" t="str">
        <f ca="1">IF(Table15[[#This Row],[Type]]="KILL",IF(_xlfn.NUMBERVALUE(RIGHT(Table15[[#This Row],[Min]],LEN(Table15[[#This Row],[Min]])-FIND("-",Table15[[#This Row],[Min]])))&gt;INDIRECT(ADDRESS(11+MATCH(LEFT(Table15[[#This Row],[Min]],FIND("-",Table15[[#This Row],[Min]])-1),Table1[Content Sku],0),16,1,1,"Entities")),"review","ok"),"ok")</f>
        <v>ok</v>
      </c>
    </row>
    <row r="1756" spans="5:25" x14ac:dyDescent="0.25">
      <c r="E1756" t="s">
        <v>392</v>
      </c>
      <c r="F1756">
        <v>0</v>
      </c>
      <c r="G1756">
        <v>0</v>
      </c>
      <c r="H1756" t="s">
        <v>8</v>
      </c>
      <c r="I1756" s="74" t="str">
        <f ca="1">IF(Table7[[#This Row],[Type]]="KILL",IF(_xlfn.NUMBERVALUE(RIGHT(Table7[[#This Row],[Min]],LEN(Table7[[#This Row],[Min]])-FIND("-",Table7[[#This Row],[Min]])))&gt;INDIRECT(ADDRESS(11+MATCH(LEFT(Table7[[#This Row],[Min]],FIND("-",Table7[[#This Row],[Min]])-1),Table1[Content Sku],0),16,1,1,"Entities")),"review","ok"),"ok")</f>
        <v>ok</v>
      </c>
      <c r="U1756" t="s">
        <v>46</v>
      </c>
      <c r="V1756">
        <v>0</v>
      </c>
      <c r="W1756">
        <v>0</v>
      </c>
      <c r="X1756" t="s">
        <v>8</v>
      </c>
      <c r="Y1756" s="74" t="str">
        <f ca="1">IF(Table15[[#This Row],[Type]]="KILL",IF(_xlfn.NUMBERVALUE(RIGHT(Table15[[#This Row],[Min]],LEN(Table15[[#This Row],[Min]])-FIND("-",Table15[[#This Row],[Min]])))&gt;INDIRECT(ADDRESS(11+MATCH(LEFT(Table15[[#This Row],[Min]],FIND("-",Table15[[#This Row],[Min]])-1),Table1[Content Sku],0),16,1,1,"Entities")),"review","ok"),"ok")</f>
        <v>ok</v>
      </c>
    </row>
    <row r="1757" spans="5:25" x14ac:dyDescent="0.25">
      <c r="E1757" t="s">
        <v>338</v>
      </c>
      <c r="F1757">
        <v>16000</v>
      </c>
      <c r="G1757">
        <v>0</v>
      </c>
      <c r="H1757" t="s">
        <v>205</v>
      </c>
      <c r="I1757" s="74" t="str">
        <f ca="1">IF(Table7[[#This Row],[Type]]="KILL",IF(_xlfn.NUMBERVALUE(RIGHT(Table7[[#This Row],[Min]],LEN(Table7[[#This Row],[Min]])-FIND("-",Table7[[#This Row],[Min]])))&gt;INDIRECT(ADDRESS(11+MATCH(LEFT(Table7[[#This Row],[Min]],FIND("-",Table7[[#This Row],[Min]])-1),Table1[Content Sku],0),16,1,1,"Entities")),"review","ok"),"ok")</f>
        <v>ok</v>
      </c>
      <c r="U1757" t="s">
        <v>396</v>
      </c>
      <c r="V1757">
        <v>300</v>
      </c>
      <c r="W1757">
        <v>0</v>
      </c>
      <c r="X1757" t="s">
        <v>4431</v>
      </c>
      <c r="Y1757" s="74" t="str">
        <f ca="1">IF(Table15[[#This Row],[Type]]="KILL",IF(_xlfn.NUMBERVALUE(RIGHT(Table15[[#This Row],[Min]],LEN(Table15[[#This Row],[Min]])-FIND("-",Table15[[#This Row],[Min]])))&gt;INDIRECT(ADDRESS(11+MATCH(LEFT(Table15[[#This Row],[Min]],FIND("-",Table15[[#This Row],[Min]])-1),Table1[Content Sku],0),16,1,1,"Entities")),"review","ok"),"ok")</f>
        <v>ok</v>
      </c>
    </row>
    <row r="1758" spans="5:25" x14ac:dyDescent="0.25">
      <c r="E1758" t="s">
        <v>545</v>
      </c>
      <c r="F1758">
        <v>0</v>
      </c>
      <c r="G1758">
        <v>0</v>
      </c>
      <c r="H1758" t="s">
        <v>8</v>
      </c>
      <c r="I1758" s="74" t="str">
        <f ca="1">IF(Table7[[#This Row],[Type]]="KILL",IF(_xlfn.NUMBERVALUE(RIGHT(Table7[[#This Row],[Min]],LEN(Table7[[#This Row],[Min]])-FIND("-",Table7[[#This Row],[Min]])))&gt;INDIRECT(ADDRESS(11+MATCH(LEFT(Table7[[#This Row],[Min]],FIND("-",Table7[[#This Row],[Min]])-1),Table1[Content Sku],0),16,1,1,"Entities")),"review","ok"),"ok")</f>
        <v>ok</v>
      </c>
      <c r="U1758" t="s">
        <v>475</v>
      </c>
      <c r="V1758">
        <v>38000</v>
      </c>
      <c r="W1758">
        <v>0</v>
      </c>
      <c r="X1758" t="s">
        <v>205</v>
      </c>
      <c r="Y1758" s="74" t="str">
        <f ca="1">IF(Table15[[#This Row],[Type]]="KILL",IF(_xlfn.NUMBERVALUE(RIGHT(Table15[[#This Row],[Min]],LEN(Table15[[#This Row],[Min]])-FIND("-",Table15[[#This Row],[Min]])))&gt;INDIRECT(ADDRESS(11+MATCH(LEFT(Table15[[#This Row],[Min]],FIND("-",Table15[[#This Row],[Min]])-1),Table1[Content Sku],0),16,1,1,"Entities")),"review","ok"),"ok")</f>
        <v>ok</v>
      </c>
    </row>
    <row r="1759" spans="5:25" x14ac:dyDescent="0.25">
      <c r="E1759" t="s">
        <v>2732</v>
      </c>
      <c r="F1759">
        <v>0</v>
      </c>
      <c r="G1759">
        <v>0</v>
      </c>
      <c r="H1759" t="s">
        <v>8</v>
      </c>
      <c r="I1759" s="74" t="str">
        <f ca="1">IF(Table7[[#This Row],[Type]]="KILL",IF(_xlfn.NUMBERVALUE(RIGHT(Table7[[#This Row],[Min]],LEN(Table7[[#This Row],[Min]])-FIND("-",Table7[[#This Row],[Min]])))&gt;INDIRECT(ADDRESS(11+MATCH(LEFT(Table7[[#This Row],[Min]],FIND("-",Table7[[#This Row],[Min]])-1),Table1[Content Sku],0),16,1,1,"Entities")),"review","ok"),"ok")</f>
        <v>ok</v>
      </c>
      <c r="U1759" t="s">
        <v>37</v>
      </c>
      <c r="V1759">
        <v>0</v>
      </c>
      <c r="W1759">
        <v>0</v>
      </c>
      <c r="X1759" t="s">
        <v>8</v>
      </c>
      <c r="Y1759" s="74" t="str">
        <f ca="1">IF(Table15[[#This Row],[Type]]="KILL",IF(_xlfn.NUMBERVALUE(RIGHT(Table15[[#This Row],[Min]],LEN(Table15[[#This Row],[Min]])-FIND("-",Table15[[#This Row],[Min]])))&gt;INDIRECT(ADDRESS(11+MATCH(LEFT(Table15[[#This Row],[Min]],FIND("-",Table15[[#This Row],[Min]])-1),Table1[Content Sku],0),16,1,1,"Entities")),"review","ok"),"ok")</f>
        <v>ok</v>
      </c>
    </row>
    <row r="1760" spans="5:25" x14ac:dyDescent="0.25">
      <c r="E1760" t="s">
        <v>8133</v>
      </c>
      <c r="F1760">
        <v>0</v>
      </c>
      <c r="G1760">
        <v>0</v>
      </c>
      <c r="H1760" t="s">
        <v>8</v>
      </c>
      <c r="I1760" s="74" t="str">
        <f ca="1">IF(Table7[[#This Row],[Type]]="KILL",IF(_xlfn.NUMBERVALUE(RIGHT(Table7[[#This Row],[Min]],LEN(Table7[[#This Row],[Min]])-FIND("-",Table7[[#This Row],[Min]])))&gt;INDIRECT(ADDRESS(11+MATCH(LEFT(Table7[[#This Row],[Min]],FIND("-",Table7[[#This Row],[Min]])-1),Table1[Content Sku],0),16,1,1,"Entities")),"review","ok"),"ok")</f>
        <v>ok</v>
      </c>
      <c r="U1760" t="s">
        <v>289</v>
      </c>
      <c r="V1760">
        <v>0</v>
      </c>
      <c r="W1760">
        <v>0</v>
      </c>
      <c r="X1760" t="s">
        <v>8</v>
      </c>
      <c r="Y1760" s="74" t="str">
        <f ca="1">IF(Table15[[#This Row],[Type]]="KILL",IF(_xlfn.NUMBERVALUE(RIGHT(Table15[[#This Row],[Min]],LEN(Table15[[#This Row],[Min]])-FIND("-",Table15[[#This Row],[Min]])))&gt;INDIRECT(ADDRESS(11+MATCH(LEFT(Table15[[#This Row],[Min]],FIND("-",Table15[[#This Row],[Min]])-1),Table1[Content Sku],0),16,1,1,"Entities")),"review","ok"),"ok")</f>
        <v>ok</v>
      </c>
    </row>
    <row r="1761" spans="5:25" x14ac:dyDescent="0.25">
      <c r="E1761" t="s">
        <v>46</v>
      </c>
      <c r="F1761">
        <v>0</v>
      </c>
      <c r="G1761">
        <v>0</v>
      </c>
      <c r="H1761" t="s">
        <v>8</v>
      </c>
      <c r="I1761" s="74" t="str">
        <f ca="1">IF(Table7[[#This Row],[Type]]="KILL",IF(_xlfn.NUMBERVALUE(RIGHT(Table7[[#This Row],[Min]],LEN(Table7[[#This Row],[Min]])-FIND("-",Table7[[#This Row],[Min]])))&gt;INDIRECT(ADDRESS(11+MATCH(LEFT(Table7[[#This Row],[Min]],FIND("-",Table7[[#This Row],[Min]])-1),Table1[Content Sku],0),16,1,1,"Entities")),"review","ok"),"ok")</f>
        <v>ok</v>
      </c>
      <c r="U1761" t="s">
        <v>396</v>
      </c>
      <c r="V1761">
        <v>360</v>
      </c>
      <c r="W1761">
        <v>0</v>
      </c>
      <c r="X1761" t="s">
        <v>4431</v>
      </c>
      <c r="Y1761" s="74" t="str">
        <f ca="1">IF(Table15[[#This Row],[Type]]="KILL",IF(_xlfn.NUMBERVALUE(RIGHT(Table15[[#This Row],[Min]],LEN(Table15[[#This Row],[Min]])-FIND("-",Table15[[#This Row],[Min]])))&gt;INDIRECT(ADDRESS(11+MATCH(LEFT(Table15[[#This Row],[Min]],FIND("-",Table15[[#This Row],[Min]])-1),Table1[Content Sku],0),16,1,1,"Entities")),"review","ok"),"ok")</f>
        <v>ok</v>
      </c>
    </row>
    <row r="1762" spans="5:25" x14ac:dyDescent="0.25">
      <c r="E1762" t="s">
        <v>286</v>
      </c>
      <c r="F1762">
        <v>0</v>
      </c>
      <c r="G1762">
        <v>40000</v>
      </c>
      <c r="H1762" t="s">
        <v>205</v>
      </c>
      <c r="I1762" s="74" t="str">
        <f ca="1">IF(Table7[[#This Row],[Type]]="KILL",IF(_xlfn.NUMBERVALUE(RIGHT(Table7[[#This Row],[Min]],LEN(Table7[[#This Row],[Min]])-FIND("-",Table7[[#This Row],[Min]])))&gt;INDIRECT(ADDRESS(11+MATCH(LEFT(Table7[[#This Row],[Min]],FIND("-",Table7[[#This Row],[Min]])-1),Table1[Content Sku],0),16,1,1,"Entities")),"review","ok"),"ok")</f>
        <v>ok</v>
      </c>
      <c r="U1762" t="s">
        <v>548</v>
      </c>
      <c r="V1762">
        <v>0</v>
      </c>
      <c r="W1762">
        <v>0</v>
      </c>
      <c r="X1762" t="s">
        <v>8</v>
      </c>
      <c r="Y1762" s="74" t="str">
        <f ca="1">IF(Table15[[#This Row],[Type]]="KILL",IF(_xlfn.NUMBERVALUE(RIGHT(Table15[[#This Row],[Min]],LEN(Table15[[#This Row],[Min]])-FIND("-",Table15[[#This Row],[Min]])))&gt;INDIRECT(ADDRESS(11+MATCH(LEFT(Table15[[#This Row],[Min]],FIND("-",Table15[[#This Row],[Min]])-1),Table1[Content Sku],0),16,1,1,"Entities")),"review","ok"),"ok")</f>
        <v>ok</v>
      </c>
    </row>
    <row r="1763" spans="5:25" x14ac:dyDescent="0.25">
      <c r="E1763" t="s">
        <v>313</v>
      </c>
      <c r="F1763">
        <v>0</v>
      </c>
      <c r="G1763">
        <v>7500</v>
      </c>
      <c r="H1763" t="s">
        <v>205</v>
      </c>
      <c r="I1763" s="74" t="str">
        <f ca="1">IF(Table7[[#This Row],[Type]]="KILL",IF(_xlfn.NUMBERVALUE(RIGHT(Table7[[#This Row],[Min]],LEN(Table7[[#This Row],[Min]])-FIND("-",Table7[[#This Row],[Min]])))&gt;INDIRECT(ADDRESS(11+MATCH(LEFT(Table7[[#This Row],[Min]],FIND("-",Table7[[#This Row],[Min]])-1),Table1[Content Sku],0),16,1,1,"Entities")),"review","ok"),"ok")</f>
        <v>ok</v>
      </c>
      <c r="U1763" t="s">
        <v>50</v>
      </c>
      <c r="V1763">
        <v>38000</v>
      </c>
      <c r="W1763">
        <v>0</v>
      </c>
      <c r="X1763" t="s">
        <v>205</v>
      </c>
      <c r="Y1763" s="74" t="str">
        <f ca="1">IF(Table15[[#This Row],[Type]]="KILL",IF(_xlfn.NUMBERVALUE(RIGHT(Table15[[#This Row],[Min]],LEN(Table15[[#This Row],[Min]])-FIND("-",Table15[[#This Row],[Min]])))&gt;INDIRECT(ADDRESS(11+MATCH(LEFT(Table15[[#This Row],[Min]],FIND("-",Table15[[#This Row],[Min]])-1),Table1[Content Sku],0),16,1,1,"Entities")),"review","ok"),"ok")</f>
        <v>ok</v>
      </c>
    </row>
    <row r="1764" spans="5:25" x14ac:dyDescent="0.25">
      <c r="E1764" t="s">
        <v>254</v>
      </c>
      <c r="F1764">
        <v>0</v>
      </c>
      <c r="G1764">
        <v>0</v>
      </c>
      <c r="H1764" t="s">
        <v>8</v>
      </c>
      <c r="I1764" s="74" t="str">
        <f ca="1">IF(Table7[[#This Row],[Type]]="KILL",IF(_xlfn.NUMBERVALUE(RIGHT(Table7[[#This Row],[Min]],LEN(Table7[[#This Row],[Min]])-FIND("-",Table7[[#This Row],[Min]])))&gt;INDIRECT(ADDRESS(11+MATCH(LEFT(Table7[[#This Row],[Min]],FIND("-",Table7[[#This Row],[Min]])-1),Table1[Content Sku],0),16,1,1,"Entities")),"review","ok"),"ok")</f>
        <v>ok</v>
      </c>
      <c r="U1764" t="s">
        <v>443</v>
      </c>
      <c r="V1764">
        <v>0</v>
      </c>
      <c r="W1764">
        <v>300</v>
      </c>
      <c r="X1764" t="s">
        <v>4431</v>
      </c>
      <c r="Y1764" s="74" t="str">
        <f ca="1">IF(Table15[[#This Row],[Type]]="KILL",IF(_xlfn.NUMBERVALUE(RIGHT(Table15[[#This Row],[Min]],LEN(Table15[[#This Row],[Min]])-FIND("-",Table15[[#This Row],[Min]])))&gt;INDIRECT(ADDRESS(11+MATCH(LEFT(Table15[[#This Row],[Min]],FIND("-",Table15[[#This Row],[Min]])-1),Table1[Content Sku],0),16,1,1,"Entities")),"review","ok"),"ok")</f>
        <v>ok</v>
      </c>
    </row>
    <row r="1765" spans="5:25" x14ac:dyDescent="0.25">
      <c r="E1765" t="s">
        <v>92</v>
      </c>
      <c r="F1765">
        <v>28000</v>
      </c>
      <c r="G1765">
        <v>0</v>
      </c>
      <c r="H1765" t="s">
        <v>205</v>
      </c>
      <c r="I1765" s="74" t="str">
        <f ca="1">IF(Table7[[#This Row],[Type]]="KILL",IF(_xlfn.NUMBERVALUE(RIGHT(Table7[[#This Row],[Min]],LEN(Table7[[#This Row],[Min]])-FIND("-",Table7[[#This Row],[Min]])))&gt;INDIRECT(ADDRESS(11+MATCH(LEFT(Table7[[#This Row],[Min]],FIND("-",Table7[[#This Row],[Min]])-1),Table1[Content Sku],0),16,1,1,"Entities")),"review","ok"),"ok")</f>
        <v>ok</v>
      </c>
      <c r="U1765" t="s">
        <v>123</v>
      </c>
      <c r="V1765">
        <v>0</v>
      </c>
      <c r="W1765">
        <v>0</v>
      </c>
      <c r="X1765" t="s">
        <v>8</v>
      </c>
      <c r="Y1765" s="74" t="str">
        <f ca="1">IF(Table15[[#This Row],[Type]]="KILL",IF(_xlfn.NUMBERVALUE(RIGHT(Table15[[#This Row],[Min]],LEN(Table15[[#This Row],[Min]])-FIND("-",Table15[[#This Row],[Min]])))&gt;INDIRECT(ADDRESS(11+MATCH(LEFT(Table15[[#This Row],[Min]],FIND("-",Table15[[#This Row],[Min]])-1),Table1[Content Sku],0),16,1,1,"Entities")),"review","ok"),"ok")</f>
        <v>ok</v>
      </c>
    </row>
    <row r="1766" spans="5:25" x14ac:dyDescent="0.25">
      <c r="E1766" t="s">
        <v>8133</v>
      </c>
      <c r="F1766">
        <v>0</v>
      </c>
      <c r="G1766">
        <v>0</v>
      </c>
      <c r="H1766" t="s">
        <v>8</v>
      </c>
      <c r="I1766" s="74" t="str">
        <f ca="1">IF(Table7[[#This Row],[Type]]="KILL",IF(_xlfn.NUMBERVALUE(RIGHT(Table7[[#This Row],[Min]],LEN(Table7[[#This Row],[Min]])-FIND("-",Table7[[#This Row],[Min]])))&gt;INDIRECT(ADDRESS(11+MATCH(LEFT(Table7[[#This Row],[Min]],FIND("-",Table7[[#This Row],[Min]])-1),Table1[Content Sku],0),16,1,1,"Entities")),"review","ok"),"ok")</f>
        <v>ok</v>
      </c>
      <c r="U1766" t="s">
        <v>443</v>
      </c>
      <c r="V1766">
        <v>0</v>
      </c>
      <c r="W1766">
        <v>0</v>
      </c>
      <c r="X1766" t="s">
        <v>8</v>
      </c>
      <c r="Y1766" s="74" t="str">
        <f ca="1">IF(Table15[[#This Row],[Type]]="KILL",IF(_xlfn.NUMBERVALUE(RIGHT(Table15[[#This Row],[Min]],LEN(Table15[[#This Row],[Min]])-FIND("-",Table15[[#This Row],[Min]])))&gt;INDIRECT(ADDRESS(11+MATCH(LEFT(Table15[[#This Row],[Min]],FIND("-",Table15[[#This Row],[Min]])-1),Table1[Content Sku],0),16,1,1,"Entities")),"review","ok"),"ok")</f>
        <v>ok</v>
      </c>
    </row>
    <row r="1767" spans="5:25" x14ac:dyDescent="0.25">
      <c r="E1767" t="s">
        <v>256</v>
      </c>
      <c r="F1767">
        <v>0</v>
      </c>
      <c r="G1767">
        <v>0</v>
      </c>
      <c r="H1767" t="s">
        <v>8</v>
      </c>
      <c r="I1767" s="74" t="str">
        <f ca="1">IF(Table7[[#This Row],[Type]]="KILL",IF(_xlfn.NUMBERVALUE(RIGHT(Table7[[#This Row],[Min]],LEN(Table7[[#This Row],[Min]])-FIND("-",Table7[[#This Row],[Min]])))&gt;INDIRECT(ADDRESS(11+MATCH(LEFT(Table7[[#This Row],[Min]],FIND("-",Table7[[#This Row],[Min]])-1),Table1[Content Sku],0),16,1,1,"Entities")),"review","ok"),"ok")</f>
        <v>ok</v>
      </c>
      <c r="U1767" t="s">
        <v>459</v>
      </c>
      <c r="V1767">
        <v>0</v>
      </c>
      <c r="W1767">
        <v>0</v>
      </c>
      <c r="X1767" t="s">
        <v>8</v>
      </c>
      <c r="Y1767" s="74" t="str">
        <f ca="1">IF(Table15[[#This Row],[Type]]="KILL",IF(_xlfn.NUMBERVALUE(RIGHT(Table15[[#This Row],[Min]],LEN(Table15[[#This Row],[Min]])-FIND("-",Table15[[#This Row],[Min]])))&gt;INDIRECT(ADDRESS(11+MATCH(LEFT(Table15[[#This Row],[Min]],FIND("-",Table15[[#This Row],[Min]])-1),Table1[Content Sku],0),16,1,1,"Entities")),"review","ok"),"ok")</f>
        <v>ok</v>
      </c>
    </row>
    <row r="1768" spans="5:25" x14ac:dyDescent="0.25">
      <c r="E1768" t="s">
        <v>403</v>
      </c>
      <c r="F1768">
        <v>0</v>
      </c>
      <c r="G1768">
        <v>0</v>
      </c>
      <c r="H1768" t="s">
        <v>8</v>
      </c>
      <c r="I1768" s="74" t="str">
        <f ca="1">IF(Table7[[#This Row],[Type]]="KILL",IF(_xlfn.NUMBERVALUE(RIGHT(Table7[[#This Row],[Min]],LEN(Table7[[#This Row],[Min]])-FIND("-",Table7[[#This Row],[Min]])))&gt;INDIRECT(ADDRESS(11+MATCH(LEFT(Table7[[#This Row],[Min]],FIND("-",Table7[[#This Row],[Min]])-1),Table1[Content Sku],0),16,1,1,"Entities")),"review","ok"),"ok")</f>
        <v>ok</v>
      </c>
      <c r="U1768" t="s">
        <v>43</v>
      </c>
      <c r="V1768">
        <v>45000</v>
      </c>
      <c r="W1768">
        <v>0</v>
      </c>
      <c r="X1768" t="s">
        <v>205</v>
      </c>
      <c r="Y1768" s="74" t="str">
        <f ca="1">IF(Table15[[#This Row],[Type]]="KILL",IF(_xlfn.NUMBERVALUE(RIGHT(Table15[[#This Row],[Min]],LEN(Table15[[#This Row],[Min]])-FIND("-",Table15[[#This Row],[Min]])))&gt;INDIRECT(ADDRESS(11+MATCH(LEFT(Table15[[#This Row],[Min]],FIND("-",Table15[[#This Row],[Min]])-1),Table1[Content Sku],0),16,1,1,"Entities")),"review","ok"),"ok")</f>
        <v>ok</v>
      </c>
    </row>
    <row r="1769" spans="5:25" x14ac:dyDescent="0.25">
      <c r="E1769" t="s">
        <v>463</v>
      </c>
      <c r="F1769">
        <v>0</v>
      </c>
      <c r="G1769">
        <v>0</v>
      </c>
      <c r="H1769" t="s">
        <v>8</v>
      </c>
      <c r="I1769" s="74" t="str">
        <f ca="1">IF(Table7[[#This Row],[Type]]="KILL",IF(_xlfn.NUMBERVALUE(RIGHT(Table7[[#This Row],[Min]],LEN(Table7[[#This Row],[Min]])-FIND("-",Table7[[#This Row],[Min]])))&gt;INDIRECT(ADDRESS(11+MATCH(LEFT(Table7[[#This Row],[Min]],FIND("-",Table7[[#This Row],[Min]])-1),Table1[Content Sku],0),16,1,1,"Entities")),"review","ok"),"ok")</f>
        <v>ok</v>
      </c>
      <c r="U1769" t="s">
        <v>137</v>
      </c>
      <c r="V1769">
        <v>0</v>
      </c>
      <c r="W1769">
        <v>0</v>
      </c>
      <c r="X1769" t="s">
        <v>8</v>
      </c>
      <c r="Y1769" s="74" t="str">
        <f ca="1">IF(Table15[[#This Row],[Type]]="KILL",IF(_xlfn.NUMBERVALUE(RIGHT(Table15[[#This Row],[Min]],LEN(Table15[[#This Row],[Min]])-FIND("-",Table15[[#This Row],[Min]])))&gt;INDIRECT(ADDRESS(11+MATCH(LEFT(Table15[[#This Row],[Min]],FIND("-",Table15[[#This Row],[Min]])-1),Table1[Content Sku],0),16,1,1,"Entities")),"review","ok"),"ok")</f>
        <v>ok</v>
      </c>
    </row>
    <row r="1770" spans="5:25" x14ac:dyDescent="0.25">
      <c r="E1770" t="s">
        <v>37</v>
      </c>
      <c r="F1770">
        <v>0</v>
      </c>
      <c r="G1770">
        <v>0</v>
      </c>
      <c r="H1770" t="s">
        <v>8</v>
      </c>
      <c r="I1770" s="74" t="str">
        <f ca="1">IF(Table7[[#This Row],[Type]]="KILL",IF(_xlfn.NUMBERVALUE(RIGHT(Table7[[#This Row],[Min]],LEN(Table7[[#This Row],[Min]])-FIND("-",Table7[[#This Row],[Min]])))&gt;INDIRECT(ADDRESS(11+MATCH(LEFT(Table7[[#This Row],[Min]],FIND("-",Table7[[#This Row],[Min]])-1),Table1[Content Sku],0),16,1,1,"Entities")),"review","ok"),"ok")</f>
        <v>ok</v>
      </c>
      <c r="U1770" t="s">
        <v>457</v>
      </c>
      <c r="V1770">
        <v>0</v>
      </c>
      <c r="W1770">
        <v>0</v>
      </c>
      <c r="X1770" t="s">
        <v>8</v>
      </c>
      <c r="Y1770" s="74" t="str">
        <f ca="1">IF(Table15[[#This Row],[Type]]="KILL",IF(_xlfn.NUMBERVALUE(RIGHT(Table15[[#This Row],[Min]],LEN(Table15[[#This Row],[Min]])-FIND("-",Table15[[#This Row],[Min]])))&gt;INDIRECT(ADDRESS(11+MATCH(LEFT(Table15[[#This Row],[Min]],FIND("-",Table15[[#This Row],[Min]])-1),Table1[Content Sku],0),16,1,1,"Entities")),"review","ok"),"ok")</f>
        <v>ok</v>
      </c>
    </row>
    <row r="1771" spans="5:25" x14ac:dyDescent="0.25">
      <c r="E1771" t="s">
        <v>393</v>
      </c>
      <c r="F1771">
        <v>0</v>
      </c>
      <c r="G1771">
        <v>0</v>
      </c>
      <c r="H1771" t="s">
        <v>8</v>
      </c>
      <c r="I1771" s="74" t="str">
        <f ca="1">IF(Table7[[#This Row],[Type]]="KILL",IF(_xlfn.NUMBERVALUE(RIGHT(Table7[[#This Row],[Min]],LEN(Table7[[#This Row],[Min]])-FIND("-",Table7[[#This Row],[Min]])))&gt;INDIRECT(ADDRESS(11+MATCH(LEFT(Table7[[#This Row],[Min]],FIND("-",Table7[[#This Row],[Min]])-1),Table1[Content Sku],0),16,1,1,"Entities")),"review","ok"),"ok")</f>
        <v>ok</v>
      </c>
      <c r="U1771" t="s">
        <v>457</v>
      </c>
      <c r="V1771">
        <v>0</v>
      </c>
      <c r="W1771">
        <v>0</v>
      </c>
      <c r="X1771" t="s">
        <v>8</v>
      </c>
      <c r="Y1771" s="74" t="str">
        <f ca="1">IF(Table15[[#This Row],[Type]]="KILL",IF(_xlfn.NUMBERVALUE(RIGHT(Table15[[#This Row],[Min]],LEN(Table15[[#This Row],[Min]])-FIND("-",Table15[[#This Row],[Min]])))&gt;INDIRECT(ADDRESS(11+MATCH(LEFT(Table15[[#This Row],[Min]],FIND("-",Table15[[#This Row],[Min]])-1),Table1[Content Sku],0),16,1,1,"Entities")),"review","ok"),"ok")</f>
        <v>ok</v>
      </c>
    </row>
    <row r="1772" spans="5:25" x14ac:dyDescent="0.25">
      <c r="E1772" t="s">
        <v>8133</v>
      </c>
      <c r="F1772">
        <v>0</v>
      </c>
      <c r="G1772">
        <v>0</v>
      </c>
      <c r="H1772" t="s">
        <v>8</v>
      </c>
      <c r="I1772" s="74" t="str">
        <f ca="1">IF(Table7[[#This Row],[Type]]="KILL",IF(_xlfn.NUMBERVALUE(RIGHT(Table7[[#This Row],[Min]],LEN(Table7[[#This Row],[Min]])-FIND("-",Table7[[#This Row],[Min]])))&gt;INDIRECT(ADDRESS(11+MATCH(LEFT(Table7[[#This Row],[Min]],FIND("-",Table7[[#This Row],[Min]])-1),Table1[Content Sku],0),16,1,1,"Entities")),"review","ok"),"ok")</f>
        <v>ok</v>
      </c>
      <c r="U1772" t="s">
        <v>457</v>
      </c>
      <c r="V1772">
        <v>0</v>
      </c>
      <c r="W1772">
        <v>0</v>
      </c>
      <c r="X1772" t="s">
        <v>8</v>
      </c>
      <c r="Y1772" s="74" t="str">
        <f ca="1">IF(Table15[[#This Row],[Type]]="KILL",IF(_xlfn.NUMBERVALUE(RIGHT(Table15[[#This Row],[Min]],LEN(Table15[[#This Row],[Min]])-FIND("-",Table15[[#This Row],[Min]])))&gt;INDIRECT(ADDRESS(11+MATCH(LEFT(Table15[[#This Row],[Min]],FIND("-",Table15[[#This Row],[Min]])-1),Table1[Content Sku],0),16,1,1,"Entities")),"review","ok"),"ok")</f>
        <v>ok</v>
      </c>
    </row>
    <row r="1773" spans="5:25" x14ac:dyDescent="0.25">
      <c r="E1773" t="s">
        <v>311</v>
      </c>
      <c r="F1773">
        <v>8000</v>
      </c>
      <c r="G1773">
        <v>0</v>
      </c>
      <c r="H1773" t="s">
        <v>205</v>
      </c>
      <c r="I1773" s="74" t="str">
        <f ca="1">IF(Table7[[#This Row],[Type]]="KILL",IF(_xlfn.NUMBERVALUE(RIGHT(Table7[[#This Row],[Min]],LEN(Table7[[#This Row],[Min]])-FIND("-",Table7[[#This Row],[Min]])))&gt;INDIRECT(ADDRESS(11+MATCH(LEFT(Table7[[#This Row],[Min]],FIND("-",Table7[[#This Row],[Min]])-1),Table1[Content Sku],0),16,1,1,"Entities")),"review","ok"),"ok")</f>
        <v>ok</v>
      </c>
      <c r="U1773" t="s">
        <v>122</v>
      </c>
      <c r="V1773">
        <v>0</v>
      </c>
      <c r="W1773">
        <v>0</v>
      </c>
      <c r="X1773" t="s">
        <v>8</v>
      </c>
      <c r="Y1773" s="74" t="str">
        <f ca="1">IF(Table15[[#This Row],[Type]]="KILL",IF(_xlfn.NUMBERVALUE(RIGHT(Table15[[#This Row],[Min]],LEN(Table15[[#This Row],[Min]])-FIND("-",Table15[[#This Row],[Min]])))&gt;INDIRECT(ADDRESS(11+MATCH(LEFT(Table15[[#This Row],[Min]],FIND("-",Table15[[#This Row],[Min]])-1),Table1[Content Sku],0),16,1,1,"Entities")),"review","ok"),"ok")</f>
        <v>ok</v>
      </c>
    </row>
    <row r="1774" spans="5:25" x14ac:dyDescent="0.25">
      <c r="E1774" t="s">
        <v>8151</v>
      </c>
      <c r="F1774">
        <v>0</v>
      </c>
      <c r="G1774">
        <v>0</v>
      </c>
      <c r="H1774" t="s">
        <v>8</v>
      </c>
      <c r="I1774" s="74" t="str">
        <f ca="1">IF(Table7[[#This Row],[Type]]="KILL",IF(_xlfn.NUMBERVALUE(RIGHT(Table7[[#This Row],[Min]],LEN(Table7[[#This Row],[Min]])-FIND("-",Table7[[#This Row],[Min]])))&gt;INDIRECT(ADDRESS(11+MATCH(LEFT(Table7[[#This Row],[Min]],FIND("-",Table7[[#This Row],[Min]])-1),Table1[Content Sku],0),16,1,1,"Entities")),"review","ok"),"ok")</f>
        <v>ok</v>
      </c>
      <c r="U1774" t="s">
        <v>400</v>
      </c>
      <c r="V1774">
        <v>0</v>
      </c>
      <c r="W1774">
        <v>0</v>
      </c>
      <c r="X1774" t="s">
        <v>8</v>
      </c>
      <c r="Y1774" s="74" t="str">
        <f ca="1">IF(Table15[[#This Row],[Type]]="KILL",IF(_xlfn.NUMBERVALUE(RIGHT(Table15[[#This Row],[Min]],LEN(Table15[[#This Row],[Min]])-FIND("-",Table15[[#This Row],[Min]])))&gt;INDIRECT(ADDRESS(11+MATCH(LEFT(Table15[[#This Row],[Min]],FIND("-",Table15[[#This Row],[Min]])-1),Table1[Content Sku],0),16,1,1,"Entities")),"review","ok"),"ok")</f>
        <v>ok</v>
      </c>
    </row>
    <row r="1775" spans="5:25" x14ac:dyDescent="0.25">
      <c r="E1775" t="s">
        <v>36</v>
      </c>
      <c r="F1775">
        <v>3650</v>
      </c>
      <c r="G1775">
        <v>0</v>
      </c>
      <c r="H1775" t="s">
        <v>205</v>
      </c>
      <c r="I1775" s="74" t="str">
        <f ca="1">IF(Table7[[#This Row],[Type]]="KILL",IF(_xlfn.NUMBERVALUE(RIGHT(Table7[[#This Row],[Min]],LEN(Table7[[#This Row],[Min]])-FIND("-",Table7[[#This Row],[Min]])))&gt;INDIRECT(ADDRESS(11+MATCH(LEFT(Table7[[#This Row],[Min]],FIND("-",Table7[[#This Row],[Min]])-1),Table1[Content Sku],0),16,1,1,"Entities")),"review","ok"),"ok")</f>
        <v>ok</v>
      </c>
      <c r="U1775" t="s">
        <v>122</v>
      </c>
      <c r="V1775">
        <v>0</v>
      </c>
      <c r="W1775">
        <v>0</v>
      </c>
      <c r="X1775" t="s">
        <v>8</v>
      </c>
      <c r="Y1775" s="74" t="str">
        <f ca="1">IF(Table15[[#This Row],[Type]]="KILL",IF(_xlfn.NUMBERVALUE(RIGHT(Table15[[#This Row],[Min]],LEN(Table15[[#This Row],[Min]])-FIND("-",Table15[[#This Row],[Min]])))&gt;INDIRECT(ADDRESS(11+MATCH(LEFT(Table15[[#This Row],[Min]],FIND("-",Table15[[#This Row],[Min]])-1),Table1[Content Sku],0),16,1,1,"Entities")),"review","ok"),"ok")</f>
        <v>ok</v>
      </c>
    </row>
    <row r="1776" spans="5:25" x14ac:dyDescent="0.25">
      <c r="E1776" t="s">
        <v>123</v>
      </c>
      <c r="F1776" t="s">
        <v>8120</v>
      </c>
      <c r="G1776" t="s">
        <v>4467</v>
      </c>
      <c r="H1776" t="s">
        <v>4468</v>
      </c>
      <c r="I1776" s="74" t="str">
        <f ca="1">IF(Table7[[#This Row],[Type]]="KILL",IF(_xlfn.NUMBERVALUE(RIGHT(Table7[[#This Row],[Min]],LEN(Table7[[#This Row],[Min]])-FIND("-",Table7[[#This Row],[Min]])))&gt;INDIRECT(ADDRESS(11+MATCH(LEFT(Table7[[#This Row],[Min]],FIND("-",Table7[[#This Row],[Min]])-1),Table1[Content Sku],0),16,1,1,"Entities")),"review","ok"),"ok")</f>
        <v>review</v>
      </c>
      <c r="U1776" t="s">
        <v>457</v>
      </c>
      <c r="V1776">
        <v>0</v>
      </c>
      <c r="W1776">
        <v>0</v>
      </c>
      <c r="X1776" t="s">
        <v>8</v>
      </c>
      <c r="Y1776" s="74" t="str">
        <f ca="1">IF(Table15[[#This Row],[Type]]="KILL",IF(_xlfn.NUMBERVALUE(RIGHT(Table15[[#This Row],[Min]],LEN(Table15[[#This Row],[Min]])-FIND("-",Table15[[#This Row],[Min]])))&gt;INDIRECT(ADDRESS(11+MATCH(LEFT(Table15[[#This Row],[Min]],FIND("-",Table15[[#This Row],[Min]])-1),Table1[Content Sku],0),16,1,1,"Entities")),"review","ok"),"ok")</f>
        <v>ok</v>
      </c>
    </row>
    <row r="1777" spans="5:25" x14ac:dyDescent="0.25">
      <c r="E1777" t="s">
        <v>2741</v>
      </c>
      <c r="F1777">
        <v>0</v>
      </c>
      <c r="G1777">
        <v>0</v>
      </c>
      <c r="H1777" t="s">
        <v>8</v>
      </c>
      <c r="I1777" s="74" t="str">
        <f ca="1">IF(Table7[[#This Row],[Type]]="KILL",IF(_xlfn.NUMBERVALUE(RIGHT(Table7[[#This Row],[Min]],LEN(Table7[[#This Row],[Min]])-FIND("-",Table7[[#This Row],[Min]])))&gt;INDIRECT(ADDRESS(11+MATCH(LEFT(Table7[[#This Row],[Min]],FIND("-",Table7[[#This Row],[Min]])-1),Table1[Content Sku],0),16,1,1,"Entities")),"review","ok"),"ok")</f>
        <v>ok</v>
      </c>
      <c r="U1777" t="s">
        <v>43</v>
      </c>
      <c r="V1777">
        <v>40000</v>
      </c>
      <c r="W1777">
        <v>0</v>
      </c>
      <c r="X1777" t="s">
        <v>205</v>
      </c>
      <c r="Y1777" s="74" t="str">
        <f ca="1">IF(Table15[[#This Row],[Type]]="KILL",IF(_xlfn.NUMBERVALUE(RIGHT(Table15[[#This Row],[Min]],LEN(Table15[[#This Row],[Min]])-FIND("-",Table15[[#This Row],[Min]])))&gt;INDIRECT(ADDRESS(11+MATCH(LEFT(Table15[[#This Row],[Min]],FIND("-",Table15[[#This Row],[Min]])-1),Table1[Content Sku],0),16,1,1,"Entities")),"review","ok"),"ok")</f>
        <v>ok</v>
      </c>
    </row>
    <row r="1778" spans="5:25" x14ac:dyDescent="0.25">
      <c r="E1778" t="s">
        <v>254</v>
      </c>
      <c r="F1778">
        <v>0</v>
      </c>
      <c r="G1778">
        <v>0</v>
      </c>
      <c r="H1778" t="s">
        <v>8</v>
      </c>
      <c r="I1778" s="74" t="str">
        <f ca="1">IF(Table7[[#This Row],[Type]]="KILL",IF(_xlfn.NUMBERVALUE(RIGHT(Table7[[#This Row],[Min]],LEN(Table7[[#This Row],[Min]])-FIND("-",Table7[[#This Row],[Min]])))&gt;INDIRECT(ADDRESS(11+MATCH(LEFT(Table7[[#This Row],[Min]],FIND("-",Table7[[#This Row],[Min]])-1),Table1[Content Sku],0),16,1,1,"Entities")),"review","ok"),"ok")</f>
        <v>ok</v>
      </c>
      <c r="U1778" t="s">
        <v>2720</v>
      </c>
      <c r="V1778">
        <v>0</v>
      </c>
      <c r="W1778">
        <v>0</v>
      </c>
      <c r="X1778" t="s">
        <v>8</v>
      </c>
      <c r="Y1778" s="74" t="str">
        <f ca="1">IF(Table15[[#This Row],[Type]]="KILL",IF(_xlfn.NUMBERVALUE(RIGHT(Table15[[#This Row],[Min]],LEN(Table15[[#This Row],[Min]])-FIND("-",Table15[[#This Row],[Min]])))&gt;INDIRECT(ADDRESS(11+MATCH(LEFT(Table15[[#This Row],[Min]],FIND("-",Table15[[#This Row],[Min]])-1),Table1[Content Sku],0),16,1,1,"Entities")),"review","ok"),"ok")</f>
        <v>ok</v>
      </c>
    </row>
    <row r="1779" spans="5:25" x14ac:dyDescent="0.25">
      <c r="E1779" t="s">
        <v>90</v>
      </c>
      <c r="F1779">
        <v>9000</v>
      </c>
      <c r="G1779">
        <v>0</v>
      </c>
      <c r="H1779" t="s">
        <v>205</v>
      </c>
      <c r="I1779" s="74" t="str">
        <f ca="1">IF(Table7[[#This Row],[Type]]="KILL",IF(_xlfn.NUMBERVALUE(RIGHT(Table7[[#This Row],[Min]],LEN(Table7[[#This Row],[Min]])-FIND("-",Table7[[#This Row],[Min]])))&gt;INDIRECT(ADDRESS(11+MATCH(LEFT(Table7[[#This Row],[Min]],FIND("-",Table7[[#This Row],[Min]])-1),Table1[Content Sku],0),16,1,1,"Entities")),"review","ok"),"ok")</f>
        <v>ok</v>
      </c>
      <c r="U1779" t="s">
        <v>457</v>
      </c>
      <c r="V1779">
        <v>0</v>
      </c>
      <c r="W1779">
        <v>0</v>
      </c>
      <c r="X1779" t="s">
        <v>8</v>
      </c>
      <c r="Y1779" s="74" t="str">
        <f ca="1">IF(Table15[[#This Row],[Type]]="KILL",IF(_xlfn.NUMBERVALUE(RIGHT(Table15[[#This Row],[Min]],LEN(Table15[[#This Row],[Min]])-FIND("-",Table15[[#This Row],[Min]])))&gt;INDIRECT(ADDRESS(11+MATCH(LEFT(Table15[[#This Row],[Min]],FIND("-",Table15[[#This Row],[Min]])-1),Table1[Content Sku],0),16,1,1,"Entities")),"review","ok"),"ok")</f>
        <v>ok</v>
      </c>
    </row>
    <row r="1780" spans="5:25" x14ac:dyDescent="0.25">
      <c r="E1780" t="s">
        <v>254</v>
      </c>
      <c r="F1780">
        <v>0</v>
      </c>
      <c r="G1780">
        <v>0</v>
      </c>
      <c r="H1780" t="s">
        <v>8</v>
      </c>
      <c r="I1780" s="74" t="str">
        <f ca="1">IF(Table7[[#This Row],[Type]]="KILL",IF(_xlfn.NUMBERVALUE(RIGHT(Table7[[#This Row],[Min]],LEN(Table7[[#This Row],[Min]])-FIND("-",Table7[[#This Row],[Min]])))&gt;INDIRECT(ADDRESS(11+MATCH(LEFT(Table7[[#This Row],[Min]],FIND("-",Table7[[#This Row],[Min]])-1),Table1[Content Sku],0),16,1,1,"Entities")),"review","ok"),"ok")</f>
        <v>ok</v>
      </c>
      <c r="U1780" t="s">
        <v>457</v>
      </c>
      <c r="V1780">
        <v>0</v>
      </c>
      <c r="W1780">
        <v>28000</v>
      </c>
      <c r="X1780" t="s">
        <v>205</v>
      </c>
      <c r="Y1780" s="74" t="str">
        <f ca="1">IF(Table15[[#This Row],[Type]]="KILL",IF(_xlfn.NUMBERVALUE(RIGHT(Table15[[#This Row],[Min]],LEN(Table15[[#This Row],[Min]])-FIND("-",Table15[[#This Row],[Min]])))&gt;INDIRECT(ADDRESS(11+MATCH(LEFT(Table15[[#This Row],[Min]],FIND("-",Table15[[#This Row],[Min]])-1),Table1[Content Sku],0),16,1,1,"Entities")),"review","ok"),"ok")</f>
        <v>ok</v>
      </c>
    </row>
    <row r="1781" spans="5:25" x14ac:dyDescent="0.25">
      <c r="E1781" t="s">
        <v>313</v>
      </c>
      <c r="F1781">
        <v>0</v>
      </c>
      <c r="G1781">
        <v>0</v>
      </c>
      <c r="H1781" t="s">
        <v>8</v>
      </c>
      <c r="I1781" s="74" t="str">
        <f ca="1">IF(Table7[[#This Row],[Type]]="KILL",IF(_xlfn.NUMBERVALUE(RIGHT(Table7[[#This Row],[Min]],LEN(Table7[[#This Row],[Min]])-FIND("-",Table7[[#This Row],[Min]])))&gt;INDIRECT(ADDRESS(11+MATCH(LEFT(Table7[[#This Row],[Min]],FIND("-",Table7[[#This Row],[Min]])-1),Table1[Content Sku],0),16,1,1,"Entities")),"review","ok"),"ok")</f>
        <v>ok</v>
      </c>
      <c r="U1781" t="s">
        <v>457</v>
      </c>
      <c r="V1781">
        <v>0</v>
      </c>
      <c r="W1781">
        <v>0</v>
      </c>
      <c r="X1781" t="s">
        <v>8</v>
      </c>
      <c r="Y1781" s="74" t="str">
        <f ca="1">IF(Table15[[#This Row],[Type]]="KILL",IF(_xlfn.NUMBERVALUE(RIGHT(Table15[[#This Row],[Min]],LEN(Table15[[#This Row],[Min]])-FIND("-",Table15[[#This Row],[Min]])))&gt;INDIRECT(ADDRESS(11+MATCH(LEFT(Table15[[#This Row],[Min]],FIND("-",Table15[[#This Row],[Min]])-1),Table1[Content Sku],0),16,1,1,"Entities")),"review","ok"),"ok")</f>
        <v>ok</v>
      </c>
    </row>
    <row r="1782" spans="5:25" x14ac:dyDescent="0.25">
      <c r="E1782" t="s">
        <v>254</v>
      </c>
      <c r="F1782">
        <v>0</v>
      </c>
      <c r="G1782">
        <v>17000</v>
      </c>
      <c r="H1782" t="s">
        <v>205</v>
      </c>
      <c r="I1782" s="74" t="str">
        <f ca="1">IF(Table7[[#This Row],[Type]]="KILL",IF(_xlfn.NUMBERVALUE(RIGHT(Table7[[#This Row],[Min]],LEN(Table7[[#This Row],[Min]])-FIND("-",Table7[[#This Row],[Min]])))&gt;INDIRECT(ADDRESS(11+MATCH(LEFT(Table7[[#This Row],[Min]],FIND("-",Table7[[#This Row],[Min]])-1),Table1[Content Sku],0),16,1,1,"Entities")),"review","ok"),"ok")</f>
        <v>ok</v>
      </c>
      <c r="U1782" t="s">
        <v>46</v>
      </c>
      <c r="V1782">
        <v>0</v>
      </c>
      <c r="W1782">
        <v>0</v>
      </c>
      <c r="X1782" t="s">
        <v>8</v>
      </c>
      <c r="Y1782" s="74" t="str">
        <f ca="1">IF(Table15[[#This Row],[Type]]="KILL",IF(_xlfn.NUMBERVALUE(RIGHT(Table15[[#This Row],[Min]],LEN(Table15[[#This Row],[Min]])-FIND("-",Table15[[#This Row],[Min]])))&gt;INDIRECT(ADDRESS(11+MATCH(LEFT(Table15[[#This Row],[Min]],FIND("-",Table15[[#This Row],[Min]])-1),Table1[Content Sku],0),16,1,1,"Entities")),"review","ok"),"ok")</f>
        <v>ok</v>
      </c>
    </row>
    <row r="1783" spans="5:25" x14ac:dyDescent="0.25">
      <c r="E1783" t="s">
        <v>408</v>
      </c>
      <c r="F1783">
        <v>16000</v>
      </c>
      <c r="G1783">
        <v>0</v>
      </c>
      <c r="H1783" t="s">
        <v>205</v>
      </c>
      <c r="I1783" s="74" t="str">
        <f ca="1">IF(Table7[[#This Row],[Type]]="KILL",IF(_xlfn.NUMBERVALUE(RIGHT(Table7[[#This Row],[Min]],LEN(Table7[[#This Row],[Min]])-FIND("-",Table7[[#This Row],[Min]])))&gt;INDIRECT(ADDRESS(11+MATCH(LEFT(Table7[[#This Row],[Min]],FIND("-",Table7[[#This Row],[Min]])-1),Table1[Content Sku],0),16,1,1,"Entities")),"review","ok"),"ok")</f>
        <v>ok</v>
      </c>
      <c r="U1783" t="s">
        <v>313</v>
      </c>
      <c r="V1783">
        <v>0</v>
      </c>
      <c r="W1783">
        <v>0</v>
      </c>
      <c r="X1783" t="s">
        <v>8</v>
      </c>
      <c r="Y1783" s="74" t="str">
        <f ca="1">IF(Table15[[#This Row],[Type]]="KILL",IF(_xlfn.NUMBERVALUE(RIGHT(Table15[[#This Row],[Min]],LEN(Table15[[#This Row],[Min]])-FIND("-",Table15[[#This Row],[Min]])))&gt;INDIRECT(ADDRESS(11+MATCH(LEFT(Table15[[#This Row],[Min]],FIND("-",Table15[[#This Row],[Min]])-1),Table1[Content Sku],0),16,1,1,"Entities")),"review","ok"),"ok")</f>
        <v>ok</v>
      </c>
    </row>
    <row r="1784" spans="5:25" x14ac:dyDescent="0.25">
      <c r="E1784" t="s">
        <v>408</v>
      </c>
      <c r="F1784">
        <v>12000</v>
      </c>
      <c r="G1784">
        <v>0</v>
      </c>
      <c r="H1784" t="s">
        <v>205</v>
      </c>
      <c r="I1784" s="74" t="str">
        <f ca="1">IF(Table7[[#This Row],[Type]]="KILL",IF(_xlfn.NUMBERVALUE(RIGHT(Table7[[#This Row],[Min]],LEN(Table7[[#This Row],[Min]])-FIND("-",Table7[[#This Row],[Min]])))&gt;INDIRECT(ADDRESS(11+MATCH(LEFT(Table7[[#This Row],[Min]],FIND("-",Table7[[#This Row],[Min]])-1),Table1[Content Sku],0),16,1,1,"Entities")),"review","ok"),"ok")</f>
        <v>ok</v>
      </c>
      <c r="U1784" t="s">
        <v>37</v>
      </c>
      <c r="V1784">
        <v>0</v>
      </c>
      <c r="W1784">
        <v>0</v>
      </c>
      <c r="X1784" t="s">
        <v>8</v>
      </c>
      <c r="Y1784" s="74" t="str">
        <f ca="1">IF(Table15[[#This Row],[Type]]="KILL",IF(_xlfn.NUMBERVALUE(RIGHT(Table15[[#This Row],[Min]],LEN(Table15[[#This Row],[Min]])-FIND("-",Table15[[#This Row],[Min]])))&gt;INDIRECT(ADDRESS(11+MATCH(LEFT(Table15[[#This Row],[Min]],FIND("-",Table15[[#This Row],[Min]])-1),Table1[Content Sku],0),16,1,1,"Entities")),"review","ok"),"ok")</f>
        <v>ok</v>
      </c>
    </row>
    <row r="1785" spans="5:25" x14ac:dyDescent="0.25">
      <c r="E1785" t="s">
        <v>311</v>
      </c>
      <c r="F1785">
        <v>0</v>
      </c>
      <c r="G1785">
        <v>0</v>
      </c>
      <c r="H1785" t="s">
        <v>8</v>
      </c>
      <c r="I1785" s="74" t="str">
        <f ca="1">IF(Table7[[#This Row],[Type]]="KILL",IF(_xlfn.NUMBERVALUE(RIGHT(Table7[[#This Row],[Min]],LEN(Table7[[#This Row],[Min]])-FIND("-",Table7[[#This Row],[Min]])))&gt;INDIRECT(ADDRESS(11+MATCH(LEFT(Table7[[#This Row],[Min]],FIND("-",Table7[[#This Row],[Min]])-1),Table1[Content Sku],0),16,1,1,"Entities")),"review","ok"),"ok")</f>
        <v>ok</v>
      </c>
      <c r="U1785" t="s">
        <v>460</v>
      </c>
      <c r="V1785">
        <v>0</v>
      </c>
      <c r="W1785">
        <v>0</v>
      </c>
      <c r="X1785" t="s">
        <v>8</v>
      </c>
      <c r="Y1785" s="74" t="str">
        <f ca="1">IF(Table15[[#This Row],[Type]]="KILL",IF(_xlfn.NUMBERVALUE(RIGHT(Table15[[#This Row],[Min]],LEN(Table15[[#This Row],[Min]])-FIND("-",Table15[[#This Row],[Min]])))&gt;INDIRECT(ADDRESS(11+MATCH(LEFT(Table15[[#This Row],[Min]],FIND("-",Table15[[#This Row],[Min]])-1),Table1[Content Sku],0),16,1,1,"Entities")),"review","ok"),"ok")</f>
        <v>ok</v>
      </c>
    </row>
    <row r="1786" spans="5:25" x14ac:dyDescent="0.25">
      <c r="E1786" t="s">
        <v>2732</v>
      </c>
      <c r="F1786">
        <v>0</v>
      </c>
      <c r="G1786">
        <v>0</v>
      </c>
      <c r="H1786" t="s">
        <v>8</v>
      </c>
      <c r="I1786" s="74" t="str">
        <f ca="1">IF(Table7[[#This Row],[Type]]="KILL",IF(_xlfn.NUMBERVALUE(RIGHT(Table7[[#This Row],[Min]],LEN(Table7[[#This Row],[Min]])-FIND("-",Table7[[#This Row],[Min]])))&gt;INDIRECT(ADDRESS(11+MATCH(LEFT(Table7[[#This Row],[Min]],FIND("-",Table7[[#This Row],[Min]])-1),Table1[Content Sku],0),16,1,1,"Entities")),"review","ok"),"ok")</f>
        <v>ok</v>
      </c>
      <c r="U1786" t="s">
        <v>457</v>
      </c>
      <c r="V1786">
        <v>0</v>
      </c>
      <c r="W1786">
        <v>45000</v>
      </c>
      <c r="X1786" t="s">
        <v>205</v>
      </c>
      <c r="Y1786" s="74" t="str">
        <f ca="1">IF(Table15[[#This Row],[Type]]="KILL",IF(_xlfn.NUMBERVALUE(RIGHT(Table15[[#This Row],[Min]],LEN(Table15[[#This Row],[Min]])-FIND("-",Table15[[#This Row],[Min]])))&gt;INDIRECT(ADDRESS(11+MATCH(LEFT(Table15[[#This Row],[Min]],FIND("-",Table15[[#This Row],[Min]])-1),Table1[Content Sku],0),16,1,1,"Entities")),"review","ok"),"ok")</f>
        <v>ok</v>
      </c>
    </row>
    <row r="1787" spans="5:25" x14ac:dyDescent="0.25">
      <c r="E1787" t="s">
        <v>90</v>
      </c>
      <c r="F1787">
        <v>2150</v>
      </c>
      <c r="G1787">
        <v>0</v>
      </c>
      <c r="H1787" t="s">
        <v>205</v>
      </c>
      <c r="I1787" s="74" t="str">
        <f ca="1">IF(Table7[[#This Row],[Type]]="KILL",IF(_xlfn.NUMBERVALUE(RIGHT(Table7[[#This Row],[Min]],LEN(Table7[[#This Row],[Min]])-FIND("-",Table7[[#This Row],[Min]])))&gt;INDIRECT(ADDRESS(11+MATCH(LEFT(Table7[[#This Row],[Min]],FIND("-",Table7[[#This Row],[Min]])-1),Table1[Content Sku],0),16,1,1,"Entities")),"review","ok"),"ok")</f>
        <v>ok</v>
      </c>
      <c r="U1787" t="s">
        <v>396</v>
      </c>
      <c r="V1787">
        <v>35000</v>
      </c>
      <c r="W1787">
        <v>0</v>
      </c>
      <c r="X1787" t="s">
        <v>205</v>
      </c>
      <c r="Y1787" s="74" t="str">
        <f ca="1">IF(Table15[[#This Row],[Type]]="KILL",IF(_xlfn.NUMBERVALUE(RIGHT(Table15[[#This Row],[Min]],LEN(Table15[[#This Row],[Min]])-FIND("-",Table15[[#This Row],[Min]])))&gt;INDIRECT(ADDRESS(11+MATCH(LEFT(Table15[[#This Row],[Min]],FIND("-",Table15[[#This Row],[Min]])-1),Table1[Content Sku],0),16,1,1,"Entities")),"review","ok"),"ok")</f>
        <v>ok</v>
      </c>
    </row>
    <row r="1788" spans="5:25" x14ac:dyDescent="0.25">
      <c r="E1788" t="s">
        <v>313</v>
      </c>
      <c r="F1788">
        <v>0</v>
      </c>
      <c r="G1788">
        <v>0</v>
      </c>
      <c r="H1788" t="s">
        <v>8</v>
      </c>
      <c r="I1788" s="74" t="str">
        <f ca="1">IF(Table7[[#This Row],[Type]]="KILL",IF(_xlfn.NUMBERVALUE(RIGHT(Table7[[#This Row],[Min]],LEN(Table7[[#This Row],[Min]])-FIND("-",Table7[[#This Row],[Min]])))&gt;INDIRECT(ADDRESS(11+MATCH(LEFT(Table7[[#This Row],[Min]],FIND("-",Table7[[#This Row],[Min]])-1),Table1[Content Sku],0),16,1,1,"Entities")),"review","ok"),"ok")</f>
        <v>ok</v>
      </c>
      <c r="U1788" t="s">
        <v>400</v>
      </c>
      <c r="V1788">
        <v>0</v>
      </c>
      <c r="W1788">
        <v>0</v>
      </c>
      <c r="X1788" t="s">
        <v>8</v>
      </c>
      <c r="Y1788" s="74" t="str">
        <f ca="1">IF(Table15[[#This Row],[Type]]="KILL",IF(_xlfn.NUMBERVALUE(RIGHT(Table15[[#This Row],[Min]],LEN(Table15[[#This Row],[Min]])-FIND("-",Table15[[#This Row],[Min]])))&gt;INDIRECT(ADDRESS(11+MATCH(LEFT(Table15[[#This Row],[Min]],FIND("-",Table15[[#This Row],[Min]])-1),Table1[Content Sku],0),16,1,1,"Entities")),"review","ok"),"ok")</f>
        <v>ok</v>
      </c>
    </row>
    <row r="1789" spans="5:25" x14ac:dyDescent="0.25">
      <c r="E1789" t="s">
        <v>545</v>
      </c>
      <c r="F1789">
        <v>0</v>
      </c>
      <c r="G1789">
        <v>0</v>
      </c>
      <c r="H1789" t="s">
        <v>8</v>
      </c>
      <c r="I1789" s="74" t="str">
        <f ca="1">IF(Table7[[#This Row],[Type]]="KILL",IF(_xlfn.NUMBERVALUE(RIGHT(Table7[[#This Row],[Min]],LEN(Table7[[#This Row],[Min]])-FIND("-",Table7[[#This Row],[Min]])))&gt;INDIRECT(ADDRESS(11+MATCH(LEFT(Table7[[#This Row],[Min]],FIND("-",Table7[[#This Row],[Min]])-1),Table1[Content Sku],0),16,1,1,"Entities")),"review","ok"),"ok")</f>
        <v>ok</v>
      </c>
      <c r="U1789" t="s">
        <v>398</v>
      </c>
      <c r="V1789">
        <v>0</v>
      </c>
      <c r="W1789">
        <v>0</v>
      </c>
      <c r="X1789" t="s">
        <v>8</v>
      </c>
      <c r="Y1789" s="74" t="str">
        <f ca="1">IF(Table15[[#This Row],[Type]]="KILL",IF(_xlfn.NUMBERVALUE(RIGHT(Table15[[#This Row],[Min]],LEN(Table15[[#This Row],[Min]])-FIND("-",Table15[[#This Row],[Min]])))&gt;INDIRECT(ADDRESS(11+MATCH(LEFT(Table15[[#This Row],[Min]],FIND("-",Table15[[#This Row],[Min]])-1),Table1[Content Sku],0),16,1,1,"Entities")),"review","ok"),"ok")</f>
        <v>ok</v>
      </c>
    </row>
    <row r="1790" spans="5:25" x14ac:dyDescent="0.25">
      <c r="E1790" t="s">
        <v>4430</v>
      </c>
      <c r="F1790">
        <v>0</v>
      </c>
      <c r="G1790">
        <v>0</v>
      </c>
      <c r="H1790" t="s">
        <v>8</v>
      </c>
      <c r="I1790" s="74" t="str">
        <f ca="1">IF(Table7[[#This Row],[Type]]="KILL",IF(_xlfn.NUMBERVALUE(RIGHT(Table7[[#This Row],[Min]],LEN(Table7[[#This Row],[Min]])-FIND("-",Table7[[#This Row],[Min]])))&gt;INDIRECT(ADDRESS(11+MATCH(LEFT(Table7[[#This Row],[Min]],FIND("-",Table7[[#This Row],[Min]])-1),Table1[Content Sku],0),16,1,1,"Entities")),"review","ok"),"ok")</f>
        <v>ok</v>
      </c>
      <c r="U1790" t="s">
        <v>396</v>
      </c>
      <c r="V1790">
        <v>0</v>
      </c>
      <c r="W1790">
        <v>0</v>
      </c>
      <c r="X1790" t="s">
        <v>8</v>
      </c>
      <c r="Y1790" s="74" t="str">
        <f ca="1">IF(Table15[[#This Row],[Type]]="KILL",IF(_xlfn.NUMBERVALUE(RIGHT(Table15[[#This Row],[Min]],LEN(Table15[[#This Row],[Min]])-FIND("-",Table15[[#This Row],[Min]])))&gt;INDIRECT(ADDRESS(11+MATCH(LEFT(Table15[[#This Row],[Min]],FIND("-",Table15[[#This Row],[Min]])-1),Table1[Content Sku],0),16,1,1,"Entities")),"review","ok"),"ok")</f>
        <v>ok</v>
      </c>
    </row>
    <row r="1791" spans="5:25" x14ac:dyDescent="0.25">
      <c r="E1791" t="s">
        <v>422</v>
      </c>
      <c r="F1791">
        <v>0</v>
      </c>
      <c r="G1791">
        <v>0</v>
      </c>
      <c r="H1791" t="s">
        <v>8</v>
      </c>
      <c r="I1791" s="74" t="str">
        <f ca="1">IF(Table7[[#This Row],[Type]]="KILL",IF(_xlfn.NUMBERVALUE(RIGHT(Table7[[#This Row],[Min]],LEN(Table7[[#This Row],[Min]])-FIND("-",Table7[[#This Row],[Min]])))&gt;INDIRECT(ADDRESS(11+MATCH(LEFT(Table7[[#This Row],[Min]],FIND("-",Table7[[#This Row],[Min]])-1),Table1[Content Sku],0),16,1,1,"Entities")),"review","ok"),"ok")</f>
        <v>ok</v>
      </c>
      <c r="U1791" t="s">
        <v>123</v>
      </c>
      <c r="V1791">
        <v>0</v>
      </c>
      <c r="W1791">
        <v>0</v>
      </c>
      <c r="X1791" t="s">
        <v>8</v>
      </c>
      <c r="Y1791" s="74" t="str">
        <f ca="1">IF(Table15[[#This Row],[Type]]="KILL",IF(_xlfn.NUMBERVALUE(RIGHT(Table15[[#This Row],[Min]],LEN(Table15[[#This Row],[Min]])-FIND("-",Table15[[#This Row],[Min]])))&gt;INDIRECT(ADDRESS(11+MATCH(LEFT(Table15[[#This Row],[Min]],FIND("-",Table15[[#This Row],[Min]])-1),Table1[Content Sku],0),16,1,1,"Entities")),"review","ok"),"ok")</f>
        <v>ok</v>
      </c>
    </row>
    <row r="1792" spans="5:25" x14ac:dyDescent="0.25">
      <c r="E1792" t="s">
        <v>273</v>
      </c>
      <c r="F1792">
        <v>10000</v>
      </c>
      <c r="G1792">
        <v>0</v>
      </c>
      <c r="H1792" t="s">
        <v>205</v>
      </c>
      <c r="I1792" s="74" t="str">
        <f ca="1">IF(Table7[[#This Row],[Type]]="KILL",IF(_xlfn.NUMBERVALUE(RIGHT(Table7[[#This Row],[Min]],LEN(Table7[[#This Row],[Min]])-FIND("-",Table7[[#This Row],[Min]])))&gt;INDIRECT(ADDRESS(11+MATCH(LEFT(Table7[[#This Row],[Min]],FIND("-",Table7[[#This Row],[Min]])-1),Table1[Content Sku],0),16,1,1,"Entities")),"review","ok"),"ok")</f>
        <v>ok</v>
      </c>
      <c r="U1792" t="s">
        <v>22</v>
      </c>
      <c r="V1792">
        <v>0</v>
      </c>
      <c r="W1792">
        <v>0</v>
      </c>
      <c r="X1792" t="s">
        <v>8</v>
      </c>
      <c r="Y1792" s="74" t="str">
        <f ca="1">IF(Table15[[#This Row],[Type]]="KILL",IF(_xlfn.NUMBERVALUE(RIGHT(Table15[[#This Row],[Min]],LEN(Table15[[#This Row],[Min]])-FIND("-",Table15[[#This Row],[Min]])))&gt;INDIRECT(ADDRESS(11+MATCH(LEFT(Table15[[#This Row],[Min]],FIND("-",Table15[[#This Row],[Min]])-1),Table1[Content Sku],0),16,1,1,"Entities")),"review","ok"),"ok")</f>
        <v>ok</v>
      </c>
    </row>
    <row r="1793" spans="5:25" x14ac:dyDescent="0.25">
      <c r="E1793" t="s">
        <v>2741</v>
      </c>
      <c r="F1793">
        <v>0</v>
      </c>
      <c r="G1793">
        <v>0</v>
      </c>
      <c r="H1793" t="s">
        <v>8</v>
      </c>
      <c r="I1793" s="74" t="str">
        <f ca="1">IF(Table7[[#This Row],[Type]]="KILL",IF(_xlfn.NUMBERVALUE(RIGHT(Table7[[#This Row],[Min]],LEN(Table7[[#This Row],[Min]])-FIND("-",Table7[[#This Row],[Min]])))&gt;INDIRECT(ADDRESS(11+MATCH(LEFT(Table7[[#This Row],[Min]],FIND("-",Table7[[#This Row],[Min]])-1),Table1[Content Sku],0),16,1,1,"Entities")),"review","ok"),"ok")</f>
        <v>ok</v>
      </c>
      <c r="U1793" t="s">
        <v>2720</v>
      </c>
      <c r="V1793">
        <v>0</v>
      </c>
      <c r="W1793">
        <v>0</v>
      </c>
      <c r="X1793" t="s">
        <v>8</v>
      </c>
      <c r="Y1793" s="74" t="str">
        <f ca="1">IF(Table15[[#This Row],[Type]]="KILL",IF(_xlfn.NUMBERVALUE(RIGHT(Table15[[#This Row],[Min]],LEN(Table15[[#This Row],[Min]])-FIND("-",Table15[[#This Row],[Min]])))&gt;INDIRECT(ADDRESS(11+MATCH(LEFT(Table15[[#This Row],[Min]],FIND("-",Table15[[#This Row],[Min]])-1),Table1[Content Sku],0),16,1,1,"Entities")),"review","ok"),"ok")</f>
        <v>ok</v>
      </c>
    </row>
    <row r="1794" spans="5:25" x14ac:dyDescent="0.25">
      <c r="E1794" t="s">
        <v>256</v>
      </c>
      <c r="F1794">
        <v>0</v>
      </c>
      <c r="G1794">
        <v>5700</v>
      </c>
      <c r="H1794" t="s">
        <v>205</v>
      </c>
      <c r="I1794" s="74" t="str">
        <f ca="1">IF(Table7[[#This Row],[Type]]="KILL",IF(_xlfn.NUMBERVALUE(RIGHT(Table7[[#This Row],[Min]],LEN(Table7[[#This Row],[Min]])-FIND("-",Table7[[#This Row],[Min]])))&gt;INDIRECT(ADDRESS(11+MATCH(LEFT(Table7[[#This Row],[Min]],FIND("-",Table7[[#This Row],[Min]])-1),Table1[Content Sku],0),16,1,1,"Entities")),"review","ok"),"ok")</f>
        <v>ok</v>
      </c>
      <c r="U1794" t="s">
        <v>4430</v>
      </c>
      <c r="V1794">
        <v>0</v>
      </c>
      <c r="W1794">
        <v>0</v>
      </c>
      <c r="X1794" t="s">
        <v>8</v>
      </c>
      <c r="Y1794" s="74" t="str">
        <f ca="1">IF(Table15[[#This Row],[Type]]="KILL",IF(_xlfn.NUMBERVALUE(RIGHT(Table15[[#This Row],[Min]],LEN(Table15[[#This Row],[Min]])-FIND("-",Table15[[#This Row],[Min]])))&gt;INDIRECT(ADDRESS(11+MATCH(LEFT(Table15[[#This Row],[Min]],FIND("-",Table15[[#This Row],[Min]])-1),Table1[Content Sku],0),16,1,1,"Entities")),"review","ok"),"ok")</f>
        <v>ok</v>
      </c>
    </row>
    <row r="1795" spans="5:25" x14ac:dyDescent="0.25">
      <c r="E1795" t="s">
        <v>39</v>
      </c>
      <c r="F1795">
        <v>5700</v>
      </c>
      <c r="G1795">
        <v>0</v>
      </c>
      <c r="H1795" t="s">
        <v>205</v>
      </c>
      <c r="I1795" s="74" t="str">
        <f ca="1">IF(Table7[[#This Row],[Type]]="KILL",IF(_xlfn.NUMBERVALUE(RIGHT(Table7[[#This Row],[Min]],LEN(Table7[[#This Row],[Min]])-FIND("-",Table7[[#This Row],[Min]])))&gt;INDIRECT(ADDRESS(11+MATCH(LEFT(Table7[[#This Row],[Min]],FIND("-",Table7[[#This Row],[Min]])-1),Table1[Content Sku],0),16,1,1,"Entities")),"review","ok"),"ok")</f>
        <v>ok</v>
      </c>
      <c r="U1795" t="s">
        <v>315</v>
      </c>
      <c r="V1795">
        <v>0</v>
      </c>
      <c r="W1795">
        <v>0</v>
      </c>
      <c r="X1795" t="s">
        <v>8</v>
      </c>
      <c r="Y1795" s="74" t="str">
        <f ca="1">IF(Table15[[#This Row],[Type]]="KILL",IF(_xlfn.NUMBERVALUE(RIGHT(Table15[[#This Row],[Min]],LEN(Table15[[#This Row],[Min]])-FIND("-",Table15[[#This Row],[Min]])))&gt;INDIRECT(ADDRESS(11+MATCH(LEFT(Table15[[#This Row],[Min]],FIND("-",Table15[[#This Row],[Min]])-1),Table1[Content Sku],0),16,1,1,"Entities")),"review","ok"),"ok")</f>
        <v>ok</v>
      </c>
    </row>
    <row r="1796" spans="5:25" x14ac:dyDescent="0.25">
      <c r="E1796" t="s">
        <v>123</v>
      </c>
      <c r="F1796">
        <v>8000</v>
      </c>
      <c r="G1796">
        <v>0</v>
      </c>
      <c r="H1796" t="s">
        <v>205</v>
      </c>
      <c r="I1796" s="74" t="str">
        <f ca="1">IF(Table7[[#This Row],[Type]]="KILL",IF(_xlfn.NUMBERVALUE(RIGHT(Table7[[#This Row],[Min]],LEN(Table7[[#This Row],[Min]])-FIND("-",Table7[[#This Row],[Min]])))&gt;INDIRECT(ADDRESS(11+MATCH(LEFT(Table7[[#This Row],[Min]],FIND("-",Table7[[#This Row],[Min]])-1),Table1[Content Sku],0),16,1,1,"Entities")),"review","ok"),"ok")</f>
        <v>ok</v>
      </c>
      <c r="U1796" t="s">
        <v>457</v>
      </c>
      <c r="V1796">
        <v>0</v>
      </c>
      <c r="W1796">
        <v>0</v>
      </c>
      <c r="X1796" t="s">
        <v>8</v>
      </c>
      <c r="Y1796" s="74" t="str">
        <f ca="1">IF(Table15[[#This Row],[Type]]="KILL",IF(_xlfn.NUMBERVALUE(RIGHT(Table15[[#This Row],[Min]],LEN(Table15[[#This Row],[Min]])-FIND("-",Table15[[#This Row],[Min]])))&gt;INDIRECT(ADDRESS(11+MATCH(LEFT(Table15[[#This Row],[Min]],FIND("-",Table15[[#This Row],[Min]])-1),Table1[Content Sku],0),16,1,1,"Entities")),"review","ok"),"ok")</f>
        <v>ok</v>
      </c>
    </row>
    <row r="1797" spans="5:25" x14ac:dyDescent="0.25">
      <c r="E1797" t="s">
        <v>91</v>
      </c>
      <c r="F1797">
        <v>900</v>
      </c>
      <c r="G1797">
        <v>0</v>
      </c>
      <c r="H1797" t="s">
        <v>205</v>
      </c>
      <c r="I1797" s="74" t="str">
        <f ca="1">IF(Table7[[#This Row],[Type]]="KILL",IF(_xlfn.NUMBERVALUE(RIGHT(Table7[[#This Row],[Min]],LEN(Table7[[#This Row],[Min]])-FIND("-",Table7[[#This Row],[Min]])))&gt;INDIRECT(ADDRESS(11+MATCH(LEFT(Table7[[#This Row],[Min]],FIND("-",Table7[[#This Row],[Min]])-1),Table1[Content Sku],0),16,1,1,"Entities")),"review","ok"),"ok")</f>
        <v>ok</v>
      </c>
      <c r="U1797" t="s">
        <v>37</v>
      </c>
      <c r="V1797">
        <v>0</v>
      </c>
      <c r="W1797">
        <v>0</v>
      </c>
      <c r="X1797" t="s">
        <v>8</v>
      </c>
      <c r="Y1797" s="74" t="str">
        <f ca="1">IF(Table15[[#This Row],[Type]]="KILL",IF(_xlfn.NUMBERVALUE(RIGHT(Table15[[#This Row],[Min]],LEN(Table15[[#This Row],[Min]])-FIND("-",Table15[[#This Row],[Min]])))&gt;INDIRECT(ADDRESS(11+MATCH(LEFT(Table15[[#This Row],[Min]],FIND("-",Table15[[#This Row],[Min]])-1),Table1[Content Sku],0),16,1,1,"Entities")),"review","ok"),"ok")</f>
        <v>ok</v>
      </c>
    </row>
    <row r="1798" spans="5:25" x14ac:dyDescent="0.25">
      <c r="E1798" t="s">
        <v>123</v>
      </c>
      <c r="F1798">
        <v>0</v>
      </c>
      <c r="G1798">
        <v>7500</v>
      </c>
      <c r="H1798" t="s">
        <v>205</v>
      </c>
      <c r="I1798" s="74" t="str">
        <f ca="1">IF(Table7[[#This Row],[Type]]="KILL",IF(_xlfn.NUMBERVALUE(RIGHT(Table7[[#This Row],[Min]],LEN(Table7[[#This Row],[Min]])-FIND("-",Table7[[#This Row],[Min]])))&gt;INDIRECT(ADDRESS(11+MATCH(LEFT(Table7[[#This Row],[Min]],FIND("-",Table7[[#This Row],[Min]])-1),Table1[Content Sku],0),16,1,1,"Entities")),"review","ok"),"ok")</f>
        <v>ok</v>
      </c>
      <c r="U1798" t="s">
        <v>396</v>
      </c>
      <c r="V1798">
        <v>300</v>
      </c>
      <c r="W1798">
        <v>0</v>
      </c>
      <c r="X1798" t="s">
        <v>4431</v>
      </c>
      <c r="Y1798" s="74" t="str">
        <f ca="1">IF(Table15[[#This Row],[Type]]="KILL",IF(_xlfn.NUMBERVALUE(RIGHT(Table15[[#This Row],[Min]],LEN(Table15[[#This Row],[Min]])-FIND("-",Table15[[#This Row],[Min]])))&gt;INDIRECT(ADDRESS(11+MATCH(LEFT(Table15[[#This Row],[Min]],FIND("-",Table15[[#This Row],[Min]])-1),Table1[Content Sku],0),16,1,1,"Entities")),"review","ok"),"ok")</f>
        <v>ok</v>
      </c>
    </row>
    <row r="1799" spans="5:25" x14ac:dyDescent="0.25">
      <c r="E1799" t="s">
        <v>2741</v>
      </c>
      <c r="F1799">
        <v>0</v>
      </c>
      <c r="G1799">
        <v>0</v>
      </c>
      <c r="H1799" t="s">
        <v>8</v>
      </c>
      <c r="I1799" s="74" t="str">
        <f ca="1">IF(Table7[[#This Row],[Type]]="KILL",IF(_xlfn.NUMBERVALUE(RIGHT(Table7[[#This Row],[Min]],LEN(Table7[[#This Row],[Min]])-FIND("-",Table7[[#This Row],[Min]])))&gt;INDIRECT(ADDRESS(11+MATCH(LEFT(Table7[[#This Row],[Min]],FIND("-",Table7[[#This Row],[Min]])-1),Table1[Content Sku],0),16,1,1,"Entities")),"review","ok"),"ok")</f>
        <v>ok</v>
      </c>
      <c r="U1799" t="s">
        <v>123</v>
      </c>
      <c r="V1799">
        <v>0</v>
      </c>
      <c r="W1799">
        <v>0</v>
      </c>
      <c r="X1799" t="s">
        <v>8</v>
      </c>
      <c r="Y1799" s="74" t="str">
        <f ca="1">IF(Table15[[#This Row],[Type]]="KILL",IF(_xlfn.NUMBERVALUE(RIGHT(Table15[[#This Row],[Min]],LEN(Table15[[#This Row],[Min]])-FIND("-",Table15[[#This Row],[Min]])))&gt;INDIRECT(ADDRESS(11+MATCH(LEFT(Table15[[#This Row],[Min]],FIND("-",Table15[[#This Row],[Min]])-1),Table1[Content Sku],0),16,1,1,"Entities")),"review","ok"),"ok")</f>
        <v>ok</v>
      </c>
    </row>
    <row r="1800" spans="5:25" x14ac:dyDescent="0.25">
      <c r="E1800" t="s">
        <v>254</v>
      </c>
      <c r="F1800">
        <v>4000</v>
      </c>
      <c r="G1800">
        <v>0</v>
      </c>
      <c r="H1800" t="s">
        <v>205</v>
      </c>
      <c r="I1800" s="74" t="str">
        <f ca="1">IF(Table7[[#This Row],[Type]]="KILL",IF(_xlfn.NUMBERVALUE(RIGHT(Table7[[#This Row],[Min]],LEN(Table7[[#This Row],[Min]])-FIND("-",Table7[[#This Row],[Min]])))&gt;INDIRECT(ADDRESS(11+MATCH(LEFT(Table7[[#This Row],[Min]],FIND("-",Table7[[#This Row],[Min]])-1),Table1[Content Sku],0),16,1,1,"Entities")),"review","ok"),"ok")</f>
        <v>ok</v>
      </c>
      <c r="U1800" t="s">
        <v>457</v>
      </c>
      <c r="V1800">
        <v>0</v>
      </c>
      <c r="W1800">
        <v>0</v>
      </c>
      <c r="X1800" t="s">
        <v>8</v>
      </c>
      <c r="Y1800" s="74" t="str">
        <f ca="1">IF(Table15[[#This Row],[Type]]="KILL",IF(_xlfn.NUMBERVALUE(RIGHT(Table15[[#This Row],[Min]],LEN(Table15[[#This Row],[Min]])-FIND("-",Table15[[#This Row],[Min]])))&gt;INDIRECT(ADDRESS(11+MATCH(LEFT(Table15[[#This Row],[Min]],FIND("-",Table15[[#This Row],[Min]])-1),Table1[Content Sku],0),16,1,1,"Entities")),"review","ok"),"ok")</f>
        <v>ok</v>
      </c>
    </row>
    <row r="1801" spans="5:25" x14ac:dyDescent="0.25">
      <c r="E1801" t="s">
        <v>43</v>
      </c>
      <c r="F1801">
        <v>16800</v>
      </c>
      <c r="G1801">
        <v>0</v>
      </c>
      <c r="H1801" t="s">
        <v>205</v>
      </c>
      <c r="I1801" s="74" t="str">
        <f ca="1">IF(Table7[[#This Row],[Type]]="KILL",IF(_xlfn.NUMBERVALUE(RIGHT(Table7[[#This Row],[Min]],LEN(Table7[[#This Row],[Min]])-FIND("-",Table7[[#This Row],[Min]])))&gt;INDIRECT(ADDRESS(11+MATCH(LEFT(Table7[[#This Row],[Min]],FIND("-",Table7[[#This Row],[Min]])-1),Table1[Content Sku],0),16,1,1,"Entities")),"review","ok"),"ok")</f>
        <v>ok</v>
      </c>
      <c r="U1801" t="s">
        <v>457</v>
      </c>
      <c r="V1801">
        <v>0</v>
      </c>
      <c r="W1801">
        <v>0</v>
      </c>
      <c r="X1801" t="s">
        <v>8</v>
      </c>
      <c r="Y1801" s="74" t="str">
        <f ca="1">IF(Table15[[#This Row],[Type]]="KILL",IF(_xlfn.NUMBERVALUE(RIGHT(Table15[[#This Row],[Min]],LEN(Table15[[#This Row],[Min]])-FIND("-",Table15[[#This Row],[Min]])))&gt;INDIRECT(ADDRESS(11+MATCH(LEFT(Table15[[#This Row],[Min]],FIND("-",Table15[[#This Row],[Min]])-1),Table1[Content Sku],0),16,1,1,"Entities")),"review","ok"),"ok")</f>
        <v>ok</v>
      </c>
    </row>
    <row r="1802" spans="5:25" x14ac:dyDescent="0.25">
      <c r="E1802" t="s">
        <v>400</v>
      </c>
      <c r="F1802">
        <v>0</v>
      </c>
      <c r="G1802">
        <v>0</v>
      </c>
      <c r="H1802" t="s">
        <v>8</v>
      </c>
      <c r="I1802" s="74" t="str">
        <f ca="1">IF(Table7[[#This Row],[Type]]="KILL",IF(_xlfn.NUMBERVALUE(RIGHT(Table7[[#This Row],[Min]],LEN(Table7[[#This Row],[Min]])-FIND("-",Table7[[#This Row],[Min]])))&gt;INDIRECT(ADDRESS(11+MATCH(LEFT(Table7[[#This Row],[Min]],FIND("-",Table7[[#This Row],[Min]])-1),Table1[Content Sku],0),16,1,1,"Entities")),"review","ok"),"ok")</f>
        <v>ok</v>
      </c>
      <c r="U1802" t="s">
        <v>396</v>
      </c>
      <c r="V1802">
        <v>0</v>
      </c>
      <c r="W1802">
        <v>0</v>
      </c>
      <c r="X1802" t="s">
        <v>8</v>
      </c>
      <c r="Y1802" s="74" t="str">
        <f ca="1">IF(Table15[[#This Row],[Type]]="KILL",IF(_xlfn.NUMBERVALUE(RIGHT(Table15[[#This Row],[Min]],LEN(Table15[[#This Row],[Min]])-FIND("-",Table15[[#This Row],[Min]])))&gt;INDIRECT(ADDRESS(11+MATCH(LEFT(Table15[[#This Row],[Min]],FIND("-",Table15[[#This Row],[Min]])-1),Table1[Content Sku],0),16,1,1,"Entities")),"review","ok"),"ok")</f>
        <v>ok</v>
      </c>
    </row>
    <row r="1803" spans="5:25" x14ac:dyDescent="0.25">
      <c r="E1803" t="s">
        <v>254</v>
      </c>
      <c r="F1803">
        <v>0</v>
      </c>
      <c r="G1803">
        <v>0</v>
      </c>
      <c r="H1803" t="s">
        <v>8</v>
      </c>
      <c r="I1803" s="74" t="str">
        <f ca="1">IF(Table7[[#This Row],[Type]]="KILL",IF(_xlfn.NUMBERVALUE(RIGHT(Table7[[#This Row],[Min]],LEN(Table7[[#This Row],[Min]])-FIND("-",Table7[[#This Row],[Min]])))&gt;INDIRECT(ADDRESS(11+MATCH(LEFT(Table7[[#This Row],[Min]],FIND("-",Table7[[#This Row],[Min]])-1),Table1[Content Sku],0),16,1,1,"Entities")),"review","ok"),"ok")</f>
        <v>ok</v>
      </c>
      <c r="U1803" t="s">
        <v>457</v>
      </c>
      <c r="V1803">
        <v>0</v>
      </c>
      <c r="W1803">
        <v>30000</v>
      </c>
      <c r="X1803" t="s">
        <v>205</v>
      </c>
      <c r="Y1803" s="74" t="str">
        <f ca="1">IF(Table15[[#This Row],[Type]]="KILL",IF(_xlfn.NUMBERVALUE(RIGHT(Table15[[#This Row],[Min]],LEN(Table15[[#This Row],[Min]])-FIND("-",Table15[[#This Row],[Min]])))&gt;INDIRECT(ADDRESS(11+MATCH(LEFT(Table15[[#This Row],[Min]],FIND("-",Table15[[#This Row],[Min]])-1),Table1[Content Sku],0),16,1,1,"Entities")),"review","ok"),"ok")</f>
        <v>ok</v>
      </c>
    </row>
    <row r="1804" spans="5:25" x14ac:dyDescent="0.25">
      <c r="E1804" t="s">
        <v>346</v>
      </c>
      <c r="F1804">
        <v>10000</v>
      </c>
      <c r="G1804">
        <v>25000</v>
      </c>
      <c r="H1804" t="s">
        <v>205</v>
      </c>
      <c r="I1804" s="74" t="str">
        <f ca="1">IF(Table7[[#This Row],[Type]]="KILL",IF(_xlfn.NUMBERVALUE(RIGHT(Table7[[#This Row],[Min]],LEN(Table7[[#This Row],[Min]])-FIND("-",Table7[[#This Row],[Min]])))&gt;INDIRECT(ADDRESS(11+MATCH(LEFT(Table7[[#This Row],[Min]],FIND("-",Table7[[#This Row],[Min]])-1),Table1[Content Sku],0),16,1,1,"Entities")),"review","ok"),"ok")</f>
        <v>ok</v>
      </c>
      <c r="U1804" t="s">
        <v>457</v>
      </c>
      <c r="V1804">
        <v>0</v>
      </c>
      <c r="W1804">
        <v>0</v>
      </c>
      <c r="X1804" t="s">
        <v>8</v>
      </c>
      <c r="Y1804" s="74" t="str">
        <f ca="1">IF(Table15[[#This Row],[Type]]="KILL",IF(_xlfn.NUMBERVALUE(RIGHT(Table15[[#This Row],[Min]],LEN(Table15[[#This Row],[Min]])-FIND("-",Table15[[#This Row],[Min]])))&gt;INDIRECT(ADDRESS(11+MATCH(LEFT(Table15[[#This Row],[Min]],FIND("-",Table15[[#This Row],[Min]])-1),Table1[Content Sku],0),16,1,1,"Entities")),"review","ok"),"ok")</f>
        <v>ok</v>
      </c>
    </row>
    <row r="1805" spans="5:25" x14ac:dyDescent="0.25">
      <c r="E1805" t="s">
        <v>39</v>
      </c>
      <c r="F1805">
        <v>0</v>
      </c>
      <c r="G1805">
        <v>5000</v>
      </c>
      <c r="H1805" t="s">
        <v>205</v>
      </c>
      <c r="I1805" s="74" t="str">
        <f ca="1">IF(Table7[[#This Row],[Type]]="KILL",IF(_xlfn.NUMBERVALUE(RIGHT(Table7[[#This Row],[Min]],LEN(Table7[[#This Row],[Min]])-FIND("-",Table7[[#This Row],[Min]])))&gt;INDIRECT(ADDRESS(11+MATCH(LEFT(Table7[[#This Row],[Min]],FIND("-",Table7[[#This Row],[Min]])-1),Table1[Content Sku],0),16,1,1,"Entities")),"review","ok"),"ok")</f>
        <v>ok</v>
      </c>
      <c r="U1805" t="s">
        <v>396</v>
      </c>
      <c r="V1805">
        <v>0</v>
      </c>
      <c r="W1805">
        <v>0</v>
      </c>
      <c r="X1805" t="s">
        <v>8</v>
      </c>
      <c r="Y1805" s="74" t="str">
        <f ca="1">IF(Table15[[#This Row],[Type]]="KILL",IF(_xlfn.NUMBERVALUE(RIGHT(Table15[[#This Row],[Min]],LEN(Table15[[#This Row],[Min]])-FIND("-",Table15[[#This Row],[Min]])))&gt;INDIRECT(ADDRESS(11+MATCH(LEFT(Table15[[#This Row],[Min]],FIND("-",Table15[[#This Row],[Min]])-1),Table1[Content Sku],0),16,1,1,"Entities")),"review","ok"),"ok")</f>
        <v>ok</v>
      </c>
    </row>
    <row r="1806" spans="5:25" x14ac:dyDescent="0.25">
      <c r="E1806" t="s">
        <v>46</v>
      </c>
      <c r="F1806">
        <v>0</v>
      </c>
      <c r="G1806">
        <v>0</v>
      </c>
      <c r="H1806" t="s">
        <v>8</v>
      </c>
      <c r="I1806" s="74" t="str">
        <f ca="1">IF(Table7[[#This Row],[Type]]="KILL",IF(_xlfn.NUMBERVALUE(RIGHT(Table7[[#This Row],[Min]],LEN(Table7[[#This Row],[Min]])-FIND("-",Table7[[#This Row],[Min]])))&gt;INDIRECT(ADDRESS(11+MATCH(LEFT(Table7[[#This Row],[Min]],FIND("-",Table7[[#This Row],[Min]])-1),Table1[Content Sku],0),16,1,1,"Entities")),"review","ok"),"ok")</f>
        <v>ok</v>
      </c>
      <c r="U1806" t="s">
        <v>457</v>
      </c>
      <c r="V1806">
        <v>0</v>
      </c>
      <c r="W1806">
        <v>31000</v>
      </c>
      <c r="X1806" t="s">
        <v>205</v>
      </c>
      <c r="Y1806" s="74" t="str">
        <f ca="1">IF(Table15[[#This Row],[Type]]="KILL",IF(_xlfn.NUMBERVALUE(RIGHT(Table15[[#This Row],[Min]],LEN(Table15[[#This Row],[Min]])-FIND("-",Table15[[#This Row],[Min]])))&gt;INDIRECT(ADDRESS(11+MATCH(LEFT(Table15[[#This Row],[Min]],FIND("-",Table15[[#This Row],[Min]])-1),Table1[Content Sku],0),16,1,1,"Entities")),"review","ok"),"ok")</f>
        <v>ok</v>
      </c>
    </row>
    <row r="1807" spans="5:25" x14ac:dyDescent="0.25">
      <c r="E1807" t="s">
        <v>311</v>
      </c>
      <c r="F1807">
        <v>0</v>
      </c>
      <c r="G1807">
        <v>0</v>
      </c>
      <c r="H1807" t="s">
        <v>8</v>
      </c>
      <c r="I1807" s="74" t="str">
        <f ca="1">IF(Table7[[#This Row],[Type]]="KILL",IF(_xlfn.NUMBERVALUE(RIGHT(Table7[[#This Row],[Min]],LEN(Table7[[#This Row],[Min]])-FIND("-",Table7[[#This Row],[Min]])))&gt;INDIRECT(ADDRESS(11+MATCH(LEFT(Table7[[#This Row],[Min]],FIND("-",Table7[[#This Row],[Min]])-1),Table1[Content Sku],0),16,1,1,"Entities")),"review","ok"),"ok")</f>
        <v>ok</v>
      </c>
      <c r="U1807" t="s">
        <v>457</v>
      </c>
      <c r="V1807">
        <v>0</v>
      </c>
      <c r="W1807">
        <v>0</v>
      </c>
      <c r="X1807" t="s">
        <v>8</v>
      </c>
      <c r="Y1807" s="74" t="str">
        <f ca="1">IF(Table15[[#This Row],[Type]]="KILL",IF(_xlfn.NUMBERVALUE(RIGHT(Table15[[#This Row],[Min]],LEN(Table15[[#This Row],[Min]])-FIND("-",Table15[[#This Row],[Min]])))&gt;INDIRECT(ADDRESS(11+MATCH(LEFT(Table15[[#This Row],[Min]],FIND("-",Table15[[#This Row],[Min]])-1),Table1[Content Sku],0),16,1,1,"Entities")),"review","ok"),"ok")</f>
        <v>ok</v>
      </c>
    </row>
    <row r="1808" spans="5:25" x14ac:dyDescent="0.25">
      <c r="E1808" t="s">
        <v>273</v>
      </c>
      <c r="F1808">
        <v>7500</v>
      </c>
      <c r="G1808">
        <v>0</v>
      </c>
      <c r="H1808" t="s">
        <v>205</v>
      </c>
      <c r="I1808" s="74" t="str">
        <f ca="1">IF(Table7[[#This Row],[Type]]="KILL",IF(_xlfn.NUMBERVALUE(RIGHT(Table7[[#This Row],[Min]],LEN(Table7[[#This Row],[Min]])-FIND("-",Table7[[#This Row],[Min]])))&gt;INDIRECT(ADDRESS(11+MATCH(LEFT(Table7[[#This Row],[Min]],FIND("-",Table7[[#This Row],[Min]])-1),Table1[Content Sku],0),16,1,1,"Entities")),"review","ok"),"ok")</f>
        <v>ok</v>
      </c>
      <c r="U1808" t="s">
        <v>475</v>
      </c>
      <c r="V1808">
        <v>42000</v>
      </c>
      <c r="W1808">
        <v>59900</v>
      </c>
      <c r="X1808" t="s">
        <v>205</v>
      </c>
      <c r="Y1808" s="74" t="str">
        <f ca="1">IF(Table15[[#This Row],[Type]]="KILL",IF(_xlfn.NUMBERVALUE(RIGHT(Table15[[#This Row],[Min]],LEN(Table15[[#This Row],[Min]])-FIND("-",Table15[[#This Row],[Min]])))&gt;INDIRECT(ADDRESS(11+MATCH(LEFT(Table15[[#This Row],[Min]],FIND("-",Table15[[#This Row],[Min]])-1),Table1[Content Sku],0),16,1,1,"Entities")),"review","ok"),"ok")</f>
        <v>ok</v>
      </c>
    </row>
    <row r="1809" spans="5:25" x14ac:dyDescent="0.25">
      <c r="E1809" t="s">
        <v>313</v>
      </c>
      <c r="F1809">
        <v>5000</v>
      </c>
      <c r="G1809">
        <v>0</v>
      </c>
      <c r="H1809" t="s">
        <v>205</v>
      </c>
      <c r="I1809" s="74" t="str">
        <f ca="1">IF(Table7[[#This Row],[Type]]="KILL",IF(_xlfn.NUMBERVALUE(RIGHT(Table7[[#This Row],[Min]],LEN(Table7[[#This Row],[Min]])-FIND("-",Table7[[#This Row],[Min]])))&gt;INDIRECT(ADDRESS(11+MATCH(LEFT(Table7[[#This Row],[Min]],FIND("-",Table7[[#This Row],[Min]])-1),Table1[Content Sku],0),16,1,1,"Entities")),"review","ok"),"ok")</f>
        <v>ok</v>
      </c>
      <c r="U1809" t="s">
        <v>457</v>
      </c>
      <c r="V1809">
        <v>0</v>
      </c>
      <c r="W1809">
        <v>0</v>
      </c>
      <c r="X1809" t="s">
        <v>8</v>
      </c>
      <c r="Y1809" s="74" t="str">
        <f ca="1">IF(Table15[[#This Row],[Type]]="KILL",IF(_xlfn.NUMBERVALUE(RIGHT(Table15[[#This Row],[Min]],LEN(Table15[[#This Row],[Min]])-FIND("-",Table15[[#This Row],[Min]])))&gt;INDIRECT(ADDRESS(11+MATCH(LEFT(Table15[[#This Row],[Min]],FIND("-",Table15[[#This Row],[Min]])-1),Table1[Content Sku],0),16,1,1,"Entities")),"review","ok"),"ok")</f>
        <v>ok</v>
      </c>
    </row>
    <row r="1810" spans="5:25" x14ac:dyDescent="0.25">
      <c r="E1810" t="s">
        <v>318</v>
      </c>
      <c r="F1810">
        <v>0</v>
      </c>
      <c r="G1810">
        <v>6000</v>
      </c>
      <c r="H1810" t="s">
        <v>205</v>
      </c>
      <c r="I1810" s="74" t="str">
        <f ca="1">IF(Table7[[#This Row],[Type]]="KILL",IF(_xlfn.NUMBERVALUE(RIGHT(Table7[[#This Row],[Min]],LEN(Table7[[#This Row],[Min]])-FIND("-",Table7[[#This Row],[Min]])))&gt;INDIRECT(ADDRESS(11+MATCH(LEFT(Table7[[#This Row],[Min]],FIND("-",Table7[[#This Row],[Min]])-1),Table1[Content Sku],0),16,1,1,"Entities")),"review","ok"),"ok")</f>
        <v>ok</v>
      </c>
      <c r="U1810" t="s">
        <v>2720</v>
      </c>
      <c r="V1810">
        <v>0</v>
      </c>
      <c r="W1810">
        <v>0</v>
      </c>
      <c r="X1810" t="s">
        <v>8</v>
      </c>
      <c r="Y1810" s="74" t="str">
        <f ca="1">IF(Table15[[#This Row],[Type]]="KILL",IF(_xlfn.NUMBERVALUE(RIGHT(Table15[[#This Row],[Min]],LEN(Table15[[#This Row],[Min]])-FIND("-",Table15[[#This Row],[Min]])))&gt;INDIRECT(ADDRESS(11+MATCH(LEFT(Table15[[#This Row],[Min]],FIND("-",Table15[[#This Row],[Min]])-1),Table1[Content Sku],0),16,1,1,"Entities")),"review","ok"),"ok")</f>
        <v>ok</v>
      </c>
    </row>
    <row r="1811" spans="5:25" x14ac:dyDescent="0.25">
      <c r="E1811" t="s">
        <v>10</v>
      </c>
      <c r="F1811" t="s">
        <v>8121</v>
      </c>
      <c r="G1811" t="s">
        <v>4467</v>
      </c>
      <c r="H1811" t="s">
        <v>4468</v>
      </c>
      <c r="I1811" s="74" t="str">
        <f ca="1">IF(Table7[[#This Row],[Type]]="KILL",IF(_xlfn.NUMBERVALUE(RIGHT(Table7[[#This Row],[Min]],LEN(Table7[[#This Row],[Min]])-FIND("-",Table7[[#This Row],[Min]])))&gt;INDIRECT(ADDRESS(11+MATCH(LEFT(Table7[[#This Row],[Min]],FIND("-",Table7[[#This Row],[Min]])-1),Table1[Content Sku],0),16,1,1,"Entities")),"review","ok"),"ok")</f>
        <v>review</v>
      </c>
      <c r="U1811" t="s">
        <v>396</v>
      </c>
      <c r="V1811">
        <v>0</v>
      </c>
      <c r="W1811">
        <v>0</v>
      </c>
      <c r="X1811" t="s">
        <v>8</v>
      </c>
      <c r="Y1811" s="74" t="str">
        <f ca="1">IF(Table15[[#This Row],[Type]]="KILL",IF(_xlfn.NUMBERVALUE(RIGHT(Table15[[#This Row],[Min]],LEN(Table15[[#This Row],[Min]])-FIND("-",Table15[[#This Row],[Min]])))&gt;INDIRECT(ADDRESS(11+MATCH(LEFT(Table15[[#This Row],[Min]],FIND("-",Table15[[#This Row],[Min]])-1),Table1[Content Sku],0),16,1,1,"Entities")),"review","ok"),"ok")</f>
        <v>ok</v>
      </c>
    </row>
    <row r="1812" spans="5:25" x14ac:dyDescent="0.25">
      <c r="E1812" t="s">
        <v>297</v>
      </c>
      <c r="F1812">
        <v>0</v>
      </c>
      <c r="G1812">
        <v>0</v>
      </c>
      <c r="H1812" t="s">
        <v>8</v>
      </c>
      <c r="I1812" s="74" t="str">
        <f ca="1">IF(Table7[[#This Row],[Type]]="KILL",IF(_xlfn.NUMBERVALUE(RIGHT(Table7[[#This Row],[Min]],LEN(Table7[[#This Row],[Min]])-FIND("-",Table7[[#This Row],[Min]])))&gt;INDIRECT(ADDRESS(11+MATCH(LEFT(Table7[[#This Row],[Min]],FIND("-",Table7[[#This Row],[Min]])-1),Table1[Content Sku],0),16,1,1,"Entities")),"review","ok"),"ok")</f>
        <v>ok</v>
      </c>
      <c r="U1812" t="s">
        <v>2720</v>
      </c>
      <c r="V1812">
        <v>0</v>
      </c>
      <c r="W1812">
        <v>50000</v>
      </c>
      <c r="X1812" t="s">
        <v>205</v>
      </c>
      <c r="Y1812" s="74" t="str">
        <f ca="1">IF(Table15[[#This Row],[Type]]="KILL",IF(_xlfn.NUMBERVALUE(RIGHT(Table15[[#This Row],[Min]],LEN(Table15[[#This Row],[Min]])-FIND("-",Table15[[#This Row],[Min]])))&gt;INDIRECT(ADDRESS(11+MATCH(LEFT(Table15[[#This Row],[Min]],FIND("-",Table15[[#This Row],[Min]])-1),Table1[Content Sku],0),16,1,1,"Entities")),"review","ok"),"ok")</f>
        <v>ok</v>
      </c>
    </row>
    <row r="1813" spans="5:25" x14ac:dyDescent="0.25">
      <c r="E1813" t="s">
        <v>253</v>
      </c>
      <c r="F1813">
        <v>0</v>
      </c>
      <c r="G1813">
        <v>10000</v>
      </c>
      <c r="H1813" t="s">
        <v>205</v>
      </c>
      <c r="I1813" s="74" t="str">
        <f ca="1">IF(Table7[[#This Row],[Type]]="KILL",IF(_xlfn.NUMBERVALUE(RIGHT(Table7[[#This Row],[Min]],LEN(Table7[[#This Row],[Min]])-FIND("-",Table7[[#This Row],[Min]])))&gt;INDIRECT(ADDRESS(11+MATCH(LEFT(Table7[[#This Row],[Min]],FIND("-",Table7[[#This Row],[Min]])-1),Table1[Content Sku],0),16,1,1,"Entities")),"review","ok"),"ok")</f>
        <v>ok</v>
      </c>
      <c r="U1813" t="s">
        <v>122</v>
      </c>
      <c r="V1813">
        <v>0</v>
      </c>
      <c r="W1813">
        <v>0</v>
      </c>
      <c r="X1813" t="s">
        <v>8</v>
      </c>
      <c r="Y1813" s="74" t="str">
        <f ca="1">IF(Table15[[#This Row],[Type]]="KILL",IF(_xlfn.NUMBERVALUE(RIGHT(Table15[[#This Row],[Min]],LEN(Table15[[#This Row],[Min]])-FIND("-",Table15[[#This Row],[Min]])))&gt;INDIRECT(ADDRESS(11+MATCH(LEFT(Table15[[#This Row],[Min]],FIND("-",Table15[[#This Row],[Min]])-1),Table1[Content Sku],0),16,1,1,"Entities")),"review","ok"),"ok")</f>
        <v>ok</v>
      </c>
    </row>
    <row r="1814" spans="5:25" x14ac:dyDescent="0.25">
      <c r="E1814" t="s">
        <v>254</v>
      </c>
      <c r="F1814">
        <v>0</v>
      </c>
      <c r="G1814">
        <v>13000</v>
      </c>
      <c r="H1814" t="s">
        <v>205</v>
      </c>
      <c r="I1814" s="74" t="str">
        <f ca="1">IF(Table7[[#This Row],[Type]]="KILL",IF(_xlfn.NUMBERVALUE(RIGHT(Table7[[#This Row],[Min]],LEN(Table7[[#This Row],[Min]])-FIND("-",Table7[[#This Row],[Min]])))&gt;INDIRECT(ADDRESS(11+MATCH(LEFT(Table7[[#This Row],[Min]],FIND("-",Table7[[#This Row],[Min]])-1),Table1[Content Sku],0),16,1,1,"Entities")),"review","ok"),"ok")</f>
        <v>ok</v>
      </c>
      <c r="U1814" t="s">
        <v>2720</v>
      </c>
      <c r="V1814">
        <v>15000</v>
      </c>
      <c r="W1814">
        <v>0</v>
      </c>
      <c r="X1814" t="s">
        <v>205</v>
      </c>
      <c r="Y1814" s="74" t="str">
        <f ca="1">IF(Table15[[#This Row],[Type]]="KILL",IF(_xlfn.NUMBERVALUE(RIGHT(Table15[[#This Row],[Min]],LEN(Table15[[#This Row],[Min]])-FIND("-",Table15[[#This Row],[Min]])))&gt;INDIRECT(ADDRESS(11+MATCH(LEFT(Table15[[#This Row],[Min]],FIND("-",Table15[[#This Row],[Min]])-1),Table1[Content Sku],0),16,1,1,"Entities")),"review","ok"),"ok")</f>
        <v>ok</v>
      </c>
    </row>
    <row r="1815" spans="5:25" x14ac:dyDescent="0.25">
      <c r="E1815" t="s">
        <v>8133</v>
      </c>
      <c r="F1815">
        <v>0</v>
      </c>
      <c r="G1815">
        <v>0</v>
      </c>
      <c r="H1815" t="s">
        <v>8</v>
      </c>
      <c r="I1815" s="74" t="str">
        <f ca="1">IF(Table7[[#This Row],[Type]]="KILL",IF(_xlfn.NUMBERVALUE(RIGHT(Table7[[#This Row],[Min]],LEN(Table7[[#This Row],[Min]])-FIND("-",Table7[[#This Row],[Min]])))&gt;INDIRECT(ADDRESS(11+MATCH(LEFT(Table7[[#This Row],[Min]],FIND("-",Table7[[#This Row],[Min]])-1),Table1[Content Sku],0),16,1,1,"Entities")),"review","ok"),"ok")</f>
        <v>ok</v>
      </c>
      <c r="U1815" t="s">
        <v>36</v>
      </c>
      <c r="V1815">
        <v>0</v>
      </c>
      <c r="W1815">
        <v>0</v>
      </c>
      <c r="X1815" t="s">
        <v>8</v>
      </c>
      <c r="Y1815" s="74" t="str">
        <f ca="1">IF(Table15[[#This Row],[Type]]="KILL",IF(_xlfn.NUMBERVALUE(RIGHT(Table15[[#This Row],[Min]],LEN(Table15[[#This Row],[Min]])-FIND("-",Table15[[#This Row],[Min]])))&gt;INDIRECT(ADDRESS(11+MATCH(LEFT(Table15[[#This Row],[Min]],FIND("-",Table15[[#This Row],[Min]])-1),Table1[Content Sku],0),16,1,1,"Entities")),"review","ok"),"ok")</f>
        <v>ok</v>
      </c>
    </row>
    <row r="1816" spans="5:25" x14ac:dyDescent="0.25">
      <c r="E1816" t="s">
        <v>463</v>
      </c>
      <c r="F1816">
        <v>0</v>
      </c>
      <c r="G1816">
        <v>2600</v>
      </c>
      <c r="H1816" t="s">
        <v>205</v>
      </c>
      <c r="I1816" s="74" t="str">
        <f ca="1">IF(Table7[[#This Row],[Type]]="KILL",IF(_xlfn.NUMBERVALUE(RIGHT(Table7[[#This Row],[Min]],LEN(Table7[[#This Row],[Min]])-FIND("-",Table7[[#This Row],[Min]])))&gt;INDIRECT(ADDRESS(11+MATCH(LEFT(Table7[[#This Row],[Min]],FIND("-",Table7[[#This Row],[Min]])-1),Table1[Content Sku],0),16,1,1,"Entities")),"review","ok"),"ok")</f>
        <v>ok</v>
      </c>
      <c r="U1816" t="s">
        <v>315</v>
      </c>
      <c r="V1816">
        <v>0</v>
      </c>
      <c r="W1816">
        <v>41000</v>
      </c>
      <c r="X1816" t="s">
        <v>205</v>
      </c>
      <c r="Y1816" s="74" t="str">
        <f ca="1">IF(Table15[[#This Row],[Type]]="KILL",IF(_xlfn.NUMBERVALUE(RIGHT(Table15[[#This Row],[Min]],LEN(Table15[[#This Row],[Min]])-FIND("-",Table15[[#This Row],[Min]])))&gt;INDIRECT(ADDRESS(11+MATCH(LEFT(Table15[[#This Row],[Min]],FIND("-",Table15[[#This Row],[Min]])-1),Table1[Content Sku],0),16,1,1,"Entities")),"review","ok"),"ok")</f>
        <v>ok</v>
      </c>
    </row>
    <row r="1817" spans="5:25" x14ac:dyDescent="0.25">
      <c r="E1817" t="s">
        <v>256</v>
      </c>
      <c r="F1817">
        <v>0</v>
      </c>
      <c r="G1817">
        <v>2500</v>
      </c>
      <c r="H1817" t="s">
        <v>205</v>
      </c>
      <c r="I1817" s="74" t="str">
        <f ca="1">IF(Table7[[#This Row],[Type]]="KILL",IF(_xlfn.NUMBERVALUE(RIGHT(Table7[[#This Row],[Min]],LEN(Table7[[#This Row],[Min]])-FIND("-",Table7[[#This Row],[Min]])))&gt;INDIRECT(ADDRESS(11+MATCH(LEFT(Table7[[#This Row],[Min]],FIND("-",Table7[[#This Row],[Min]])-1),Table1[Content Sku],0),16,1,1,"Entities")),"review","ok"),"ok")</f>
        <v>ok</v>
      </c>
      <c r="U1817" t="s">
        <v>313</v>
      </c>
      <c r="V1817">
        <v>0</v>
      </c>
      <c r="W1817">
        <v>0</v>
      </c>
      <c r="X1817" t="s">
        <v>8</v>
      </c>
      <c r="Y1817" s="74" t="str">
        <f ca="1">IF(Table15[[#This Row],[Type]]="KILL",IF(_xlfn.NUMBERVALUE(RIGHT(Table15[[#This Row],[Min]],LEN(Table15[[#This Row],[Min]])-FIND("-",Table15[[#This Row],[Min]])))&gt;INDIRECT(ADDRESS(11+MATCH(LEFT(Table15[[#This Row],[Min]],FIND("-",Table15[[#This Row],[Min]])-1),Table1[Content Sku],0),16,1,1,"Entities")),"review","ok"),"ok")</f>
        <v>ok</v>
      </c>
    </row>
    <row r="1818" spans="5:25" x14ac:dyDescent="0.25">
      <c r="E1818" t="s">
        <v>37</v>
      </c>
      <c r="F1818">
        <v>0</v>
      </c>
      <c r="G1818">
        <v>0</v>
      </c>
      <c r="H1818" t="s">
        <v>8</v>
      </c>
      <c r="I1818" s="74" t="str">
        <f ca="1">IF(Table7[[#This Row],[Type]]="KILL",IF(_xlfn.NUMBERVALUE(RIGHT(Table7[[#This Row],[Min]],LEN(Table7[[#This Row],[Min]])-FIND("-",Table7[[#This Row],[Min]])))&gt;INDIRECT(ADDRESS(11+MATCH(LEFT(Table7[[#This Row],[Min]],FIND("-",Table7[[#This Row],[Min]])-1),Table1[Content Sku],0),16,1,1,"Entities")),"review","ok"),"ok")</f>
        <v>ok</v>
      </c>
      <c r="U1818" t="s">
        <v>37</v>
      </c>
      <c r="V1818">
        <v>0</v>
      </c>
      <c r="W1818">
        <v>0</v>
      </c>
      <c r="X1818" t="s">
        <v>8</v>
      </c>
      <c r="Y1818" s="74" t="str">
        <f ca="1">IF(Table15[[#This Row],[Type]]="KILL",IF(_xlfn.NUMBERVALUE(RIGHT(Table15[[#This Row],[Min]],LEN(Table15[[#This Row],[Min]])-FIND("-",Table15[[#This Row],[Min]])))&gt;INDIRECT(ADDRESS(11+MATCH(LEFT(Table15[[#This Row],[Min]],FIND("-",Table15[[#This Row],[Min]])-1),Table1[Content Sku],0),16,1,1,"Entities")),"review","ok"),"ok")</f>
        <v>ok</v>
      </c>
    </row>
    <row r="1819" spans="5:25" x14ac:dyDescent="0.25">
      <c r="E1819" t="s">
        <v>253</v>
      </c>
      <c r="F1819">
        <v>0</v>
      </c>
      <c r="G1819">
        <v>10000</v>
      </c>
      <c r="H1819" t="s">
        <v>205</v>
      </c>
      <c r="I1819" s="74" t="str">
        <f ca="1">IF(Table7[[#This Row],[Type]]="KILL",IF(_xlfn.NUMBERVALUE(RIGHT(Table7[[#This Row],[Min]],LEN(Table7[[#This Row],[Min]])-FIND("-",Table7[[#This Row],[Min]])))&gt;INDIRECT(ADDRESS(11+MATCH(LEFT(Table7[[#This Row],[Min]],FIND("-",Table7[[#This Row],[Min]])-1),Table1[Content Sku],0),16,1,1,"Entities")),"review","ok"),"ok")</f>
        <v>ok</v>
      </c>
      <c r="U1819" t="s">
        <v>457</v>
      </c>
      <c r="V1819">
        <v>0</v>
      </c>
      <c r="W1819">
        <v>30000</v>
      </c>
      <c r="X1819" t="s">
        <v>205</v>
      </c>
      <c r="Y1819" s="74" t="str">
        <f ca="1">IF(Table15[[#This Row],[Type]]="KILL",IF(_xlfn.NUMBERVALUE(RIGHT(Table15[[#This Row],[Min]],LEN(Table15[[#This Row],[Min]])-FIND("-",Table15[[#This Row],[Min]])))&gt;INDIRECT(ADDRESS(11+MATCH(LEFT(Table15[[#This Row],[Min]],FIND("-",Table15[[#This Row],[Min]])-1),Table1[Content Sku],0),16,1,1,"Entities")),"review","ok"),"ok")</f>
        <v>ok</v>
      </c>
    </row>
    <row r="1820" spans="5:25" x14ac:dyDescent="0.25">
      <c r="E1820" t="s">
        <v>286</v>
      </c>
      <c r="F1820">
        <v>9500</v>
      </c>
      <c r="G1820">
        <v>0</v>
      </c>
      <c r="H1820" t="s">
        <v>205</v>
      </c>
      <c r="I1820" s="74" t="str">
        <f ca="1">IF(Table7[[#This Row],[Type]]="KILL",IF(_xlfn.NUMBERVALUE(RIGHT(Table7[[#This Row],[Min]],LEN(Table7[[#This Row],[Min]])-FIND("-",Table7[[#This Row],[Min]])))&gt;INDIRECT(ADDRESS(11+MATCH(LEFT(Table7[[#This Row],[Min]],FIND("-",Table7[[#This Row],[Min]])-1),Table1[Content Sku],0),16,1,1,"Entities")),"review","ok"),"ok")</f>
        <v>ok</v>
      </c>
      <c r="U1820" t="s">
        <v>37</v>
      </c>
      <c r="V1820">
        <v>0</v>
      </c>
      <c r="W1820">
        <v>0</v>
      </c>
      <c r="X1820" t="s">
        <v>8</v>
      </c>
      <c r="Y1820" s="74" t="str">
        <f ca="1">IF(Table15[[#This Row],[Type]]="KILL",IF(_xlfn.NUMBERVALUE(RIGHT(Table15[[#This Row],[Min]],LEN(Table15[[#This Row],[Min]])-FIND("-",Table15[[#This Row],[Min]])))&gt;INDIRECT(ADDRESS(11+MATCH(LEFT(Table15[[#This Row],[Min]],FIND("-",Table15[[#This Row],[Min]])-1),Table1[Content Sku],0),16,1,1,"Entities")),"review","ok"),"ok")</f>
        <v>ok</v>
      </c>
    </row>
    <row r="1821" spans="5:25" x14ac:dyDescent="0.25">
      <c r="E1821" t="s">
        <v>318</v>
      </c>
      <c r="F1821">
        <v>0</v>
      </c>
      <c r="G1821">
        <v>0</v>
      </c>
      <c r="H1821" t="s">
        <v>8</v>
      </c>
      <c r="I1821" s="74" t="str">
        <f ca="1">IF(Table7[[#This Row],[Type]]="KILL",IF(_xlfn.NUMBERVALUE(RIGHT(Table7[[#This Row],[Min]],LEN(Table7[[#This Row],[Min]])-FIND("-",Table7[[#This Row],[Min]])))&gt;INDIRECT(ADDRESS(11+MATCH(LEFT(Table7[[#This Row],[Min]],FIND("-",Table7[[#This Row],[Min]])-1),Table1[Content Sku],0),16,1,1,"Entities")),"review","ok"),"ok")</f>
        <v>ok</v>
      </c>
      <c r="U1821" t="s">
        <v>37</v>
      </c>
      <c r="V1821">
        <v>0</v>
      </c>
      <c r="W1821">
        <v>0</v>
      </c>
      <c r="X1821" t="s">
        <v>8</v>
      </c>
      <c r="Y1821" s="74" t="str">
        <f ca="1">IF(Table15[[#This Row],[Type]]="KILL",IF(_xlfn.NUMBERVALUE(RIGHT(Table15[[#This Row],[Min]],LEN(Table15[[#This Row],[Min]])-FIND("-",Table15[[#This Row],[Min]])))&gt;INDIRECT(ADDRESS(11+MATCH(LEFT(Table15[[#This Row],[Min]],FIND("-",Table15[[#This Row],[Min]])-1),Table1[Content Sku],0),16,1,1,"Entities")),"review","ok"),"ok")</f>
        <v>ok</v>
      </c>
    </row>
    <row r="1822" spans="5:25" x14ac:dyDescent="0.25">
      <c r="E1822" t="s">
        <v>8133</v>
      </c>
      <c r="F1822">
        <v>0</v>
      </c>
      <c r="G1822">
        <v>0</v>
      </c>
      <c r="H1822" t="s">
        <v>8</v>
      </c>
      <c r="I1822" s="74" t="str">
        <f ca="1">IF(Table7[[#This Row],[Type]]="KILL",IF(_xlfn.NUMBERVALUE(RIGHT(Table7[[#This Row],[Min]],LEN(Table7[[#This Row],[Min]])-FIND("-",Table7[[#This Row],[Min]])))&gt;INDIRECT(ADDRESS(11+MATCH(LEFT(Table7[[#This Row],[Min]],FIND("-",Table7[[#This Row],[Min]])-1),Table1[Content Sku],0),16,1,1,"Entities")),"review","ok"),"ok")</f>
        <v>ok</v>
      </c>
      <c r="U1822" t="s">
        <v>21</v>
      </c>
      <c r="V1822">
        <v>27000</v>
      </c>
      <c r="W1822">
        <v>0</v>
      </c>
      <c r="X1822" t="s">
        <v>205</v>
      </c>
      <c r="Y1822" s="74" t="str">
        <f ca="1">IF(Table15[[#This Row],[Type]]="KILL",IF(_xlfn.NUMBERVALUE(RIGHT(Table15[[#This Row],[Min]],LEN(Table15[[#This Row],[Min]])-FIND("-",Table15[[#This Row],[Min]])))&gt;INDIRECT(ADDRESS(11+MATCH(LEFT(Table15[[#This Row],[Min]],FIND("-",Table15[[#This Row],[Min]])-1),Table1[Content Sku],0),16,1,1,"Entities")),"review","ok"),"ok")</f>
        <v>ok</v>
      </c>
    </row>
    <row r="1823" spans="5:25" x14ac:dyDescent="0.25">
      <c r="E1823" t="s">
        <v>48</v>
      </c>
      <c r="F1823">
        <v>0</v>
      </c>
      <c r="G1823">
        <v>30000</v>
      </c>
      <c r="H1823" t="s">
        <v>205</v>
      </c>
      <c r="I1823" s="74" t="str">
        <f ca="1">IF(Table7[[#This Row],[Type]]="KILL",IF(_xlfn.NUMBERVALUE(RIGHT(Table7[[#This Row],[Min]],LEN(Table7[[#This Row],[Min]])-FIND("-",Table7[[#This Row],[Min]])))&gt;INDIRECT(ADDRESS(11+MATCH(LEFT(Table7[[#This Row],[Min]],FIND("-",Table7[[#This Row],[Min]])-1),Table1[Content Sku],0),16,1,1,"Entities")),"review","ok"),"ok")</f>
        <v>ok</v>
      </c>
      <c r="U1823" t="s">
        <v>457</v>
      </c>
      <c r="V1823">
        <v>0</v>
      </c>
      <c r="W1823">
        <v>0</v>
      </c>
      <c r="X1823" t="s">
        <v>8</v>
      </c>
      <c r="Y1823" s="74" t="str">
        <f ca="1">IF(Table15[[#This Row],[Type]]="KILL",IF(_xlfn.NUMBERVALUE(RIGHT(Table15[[#This Row],[Min]],LEN(Table15[[#This Row],[Min]])-FIND("-",Table15[[#This Row],[Min]])))&gt;INDIRECT(ADDRESS(11+MATCH(LEFT(Table15[[#This Row],[Min]],FIND("-",Table15[[#This Row],[Min]])-1),Table1[Content Sku],0),16,1,1,"Entities")),"review","ok"),"ok")</f>
        <v>ok</v>
      </c>
    </row>
    <row r="1824" spans="5:25" x14ac:dyDescent="0.25">
      <c r="E1824" t="s">
        <v>393</v>
      </c>
      <c r="F1824">
        <v>0</v>
      </c>
      <c r="G1824">
        <v>0</v>
      </c>
      <c r="H1824" t="s">
        <v>8</v>
      </c>
      <c r="I1824" s="74" t="str">
        <f ca="1">IF(Table7[[#This Row],[Type]]="KILL",IF(_xlfn.NUMBERVALUE(RIGHT(Table7[[#This Row],[Min]],LEN(Table7[[#This Row],[Min]])-FIND("-",Table7[[#This Row],[Min]])))&gt;INDIRECT(ADDRESS(11+MATCH(LEFT(Table7[[#This Row],[Min]],FIND("-",Table7[[#This Row],[Min]])-1),Table1[Content Sku],0),16,1,1,"Entities")),"review","ok"),"ok")</f>
        <v>ok</v>
      </c>
      <c r="U1824" t="s">
        <v>457</v>
      </c>
      <c r="V1824">
        <v>0</v>
      </c>
      <c r="W1824">
        <v>0</v>
      </c>
      <c r="X1824" t="s">
        <v>8</v>
      </c>
      <c r="Y1824" s="74" t="str">
        <f ca="1">IF(Table15[[#This Row],[Type]]="KILL",IF(_xlfn.NUMBERVALUE(RIGHT(Table15[[#This Row],[Min]],LEN(Table15[[#This Row],[Min]])-FIND("-",Table15[[#This Row],[Min]])))&gt;INDIRECT(ADDRESS(11+MATCH(LEFT(Table15[[#This Row],[Min]],FIND("-",Table15[[#This Row],[Min]])-1),Table1[Content Sku],0),16,1,1,"Entities")),"review","ok"),"ok")</f>
        <v>ok</v>
      </c>
    </row>
    <row r="1825" spans="5:25" x14ac:dyDescent="0.25">
      <c r="E1825" t="s">
        <v>2741</v>
      </c>
      <c r="F1825">
        <v>0</v>
      </c>
      <c r="G1825">
        <v>0</v>
      </c>
      <c r="H1825" t="s">
        <v>8</v>
      </c>
      <c r="I1825" s="74" t="str">
        <f ca="1">IF(Table7[[#This Row],[Type]]="KILL",IF(_xlfn.NUMBERVALUE(RIGHT(Table7[[#This Row],[Min]],LEN(Table7[[#This Row],[Min]])-FIND("-",Table7[[#This Row],[Min]])))&gt;INDIRECT(ADDRESS(11+MATCH(LEFT(Table7[[#This Row],[Min]],FIND("-",Table7[[#This Row],[Min]])-1),Table1[Content Sku],0),16,1,1,"Entities")),"review","ok"),"ok")</f>
        <v>ok</v>
      </c>
      <c r="U1825" t="s">
        <v>313</v>
      </c>
      <c r="V1825">
        <v>0</v>
      </c>
      <c r="W1825">
        <v>0</v>
      </c>
      <c r="X1825" t="s">
        <v>8</v>
      </c>
      <c r="Y1825" s="74" t="str">
        <f ca="1">IF(Table15[[#This Row],[Type]]="KILL",IF(_xlfn.NUMBERVALUE(RIGHT(Table15[[#This Row],[Min]],LEN(Table15[[#This Row],[Min]])-FIND("-",Table15[[#This Row],[Min]])))&gt;INDIRECT(ADDRESS(11+MATCH(LEFT(Table15[[#This Row],[Min]],FIND("-",Table15[[#This Row],[Min]])-1),Table1[Content Sku],0),16,1,1,"Entities")),"review","ok"),"ok")</f>
        <v>ok</v>
      </c>
    </row>
    <row r="1826" spans="5:25" x14ac:dyDescent="0.25">
      <c r="E1826" t="s">
        <v>406</v>
      </c>
      <c r="F1826">
        <v>0</v>
      </c>
      <c r="G1826">
        <v>0</v>
      </c>
      <c r="H1826" t="s">
        <v>8</v>
      </c>
      <c r="I1826" s="74" t="str">
        <f ca="1">IF(Table7[[#This Row],[Type]]="KILL",IF(_xlfn.NUMBERVALUE(RIGHT(Table7[[#This Row],[Min]],LEN(Table7[[#This Row],[Min]])-FIND("-",Table7[[#This Row],[Min]])))&gt;INDIRECT(ADDRESS(11+MATCH(LEFT(Table7[[#This Row],[Min]],FIND("-",Table7[[#This Row],[Min]])-1),Table1[Content Sku],0),16,1,1,"Entities")),"review","ok"),"ok")</f>
        <v>ok</v>
      </c>
      <c r="U1826" t="s">
        <v>313</v>
      </c>
      <c r="V1826">
        <v>0</v>
      </c>
      <c r="W1826">
        <v>0</v>
      </c>
      <c r="X1826" t="s">
        <v>8</v>
      </c>
      <c r="Y1826" s="74" t="str">
        <f ca="1">IF(Table15[[#This Row],[Type]]="KILL",IF(_xlfn.NUMBERVALUE(RIGHT(Table15[[#This Row],[Min]],LEN(Table15[[#This Row],[Min]])-FIND("-",Table15[[#This Row],[Min]])))&gt;INDIRECT(ADDRESS(11+MATCH(LEFT(Table15[[#This Row],[Min]],FIND("-",Table15[[#This Row],[Min]])-1),Table1[Content Sku],0),16,1,1,"Entities")),"review","ok"),"ok")</f>
        <v>ok</v>
      </c>
    </row>
    <row r="1827" spans="5:25" x14ac:dyDescent="0.25">
      <c r="E1827" t="s">
        <v>2729</v>
      </c>
      <c r="F1827">
        <v>0</v>
      </c>
      <c r="G1827">
        <v>0</v>
      </c>
      <c r="H1827" t="s">
        <v>8</v>
      </c>
      <c r="I1827" s="74" t="str">
        <f ca="1">IF(Table7[[#This Row],[Type]]="KILL",IF(_xlfn.NUMBERVALUE(RIGHT(Table7[[#This Row],[Min]],LEN(Table7[[#This Row],[Min]])-FIND("-",Table7[[#This Row],[Min]])))&gt;INDIRECT(ADDRESS(11+MATCH(LEFT(Table7[[#This Row],[Min]],FIND("-",Table7[[#This Row],[Min]])-1),Table1[Content Sku],0),16,1,1,"Entities")),"review","ok"),"ok")</f>
        <v>ok</v>
      </c>
      <c r="U1827" t="s">
        <v>457</v>
      </c>
      <c r="V1827">
        <v>0</v>
      </c>
      <c r="W1827">
        <v>0</v>
      </c>
      <c r="X1827" t="s">
        <v>8</v>
      </c>
      <c r="Y1827" s="74" t="str">
        <f ca="1">IF(Table15[[#This Row],[Type]]="KILL",IF(_xlfn.NUMBERVALUE(RIGHT(Table15[[#This Row],[Min]],LEN(Table15[[#This Row],[Min]])-FIND("-",Table15[[#This Row],[Min]])))&gt;INDIRECT(ADDRESS(11+MATCH(LEFT(Table15[[#This Row],[Min]],FIND("-",Table15[[#This Row],[Min]])-1),Table1[Content Sku],0),16,1,1,"Entities")),"review","ok"),"ok")</f>
        <v>ok</v>
      </c>
    </row>
    <row r="1828" spans="5:25" x14ac:dyDescent="0.25">
      <c r="E1828" t="s">
        <v>396</v>
      </c>
      <c r="F1828">
        <v>7000</v>
      </c>
      <c r="G1828">
        <v>0</v>
      </c>
      <c r="H1828" t="s">
        <v>205</v>
      </c>
      <c r="I1828" s="74" t="str">
        <f ca="1">IF(Table7[[#This Row],[Type]]="KILL",IF(_xlfn.NUMBERVALUE(RIGHT(Table7[[#This Row],[Min]],LEN(Table7[[#This Row],[Min]])-FIND("-",Table7[[#This Row],[Min]])))&gt;INDIRECT(ADDRESS(11+MATCH(LEFT(Table7[[#This Row],[Min]],FIND("-",Table7[[#This Row],[Min]])-1),Table1[Content Sku],0),16,1,1,"Entities")),"review","ok"),"ok")</f>
        <v>ok</v>
      </c>
      <c r="U1828" t="s">
        <v>289</v>
      </c>
      <c r="V1828">
        <v>0</v>
      </c>
      <c r="W1828">
        <v>0</v>
      </c>
      <c r="X1828" t="s">
        <v>8</v>
      </c>
      <c r="Y1828" s="74" t="str">
        <f ca="1">IF(Table15[[#This Row],[Type]]="KILL",IF(_xlfn.NUMBERVALUE(RIGHT(Table15[[#This Row],[Min]],LEN(Table15[[#This Row],[Min]])-FIND("-",Table15[[#This Row],[Min]])))&gt;INDIRECT(ADDRESS(11+MATCH(LEFT(Table15[[#This Row],[Min]],FIND("-",Table15[[#This Row],[Min]])-1),Table1[Content Sku],0),16,1,1,"Entities")),"review","ok"),"ok")</f>
        <v>ok</v>
      </c>
    </row>
    <row r="1829" spans="5:25" x14ac:dyDescent="0.25">
      <c r="E1829" t="s">
        <v>396</v>
      </c>
      <c r="F1829">
        <v>29000</v>
      </c>
      <c r="G1829">
        <v>0</v>
      </c>
      <c r="H1829" t="s">
        <v>205</v>
      </c>
      <c r="I1829" s="74" t="str">
        <f ca="1">IF(Table7[[#This Row],[Type]]="KILL",IF(_xlfn.NUMBERVALUE(RIGHT(Table7[[#This Row],[Min]],LEN(Table7[[#This Row],[Min]])-FIND("-",Table7[[#This Row],[Min]])))&gt;INDIRECT(ADDRESS(11+MATCH(LEFT(Table7[[#This Row],[Min]],FIND("-",Table7[[#This Row],[Min]])-1),Table1[Content Sku],0),16,1,1,"Entities")),"review","ok"),"ok")</f>
        <v>ok</v>
      </c>
      <c r="U1829" t="s">
        <v>122</v>
      </c>
      <c r="V1829">
        <v>30000</v>
      </c>
      <c r="W1829">
        <v>0</v>
      </c>
      <c r="X1829" t="s">
        <v>205</v>
      </c>
      <c r="Y1829" s="74" t="str">
        <f ca="1">IF(Table15[[#This Row],[Type]]="KILL",IF(_xlfn.NUMBERVALUE(RIGHT(Table15[[#This Row],[Min]],LEN(Table15[[#This Row],[Min]])-FIND("-",Table15[[#This Row],[Min]])))&gt;INDIRECT(ADDRESS(11+MATCH(LEFT(Table15[[#This Row],[Min]],FIND("-",Table15[[#This Row],[Min]])-1),Table1[Content Sku],0),16,1,1,"Entities")),"review","ok"),"ok")</f>
        <v>ok</v>
      </c>
    </row>
    <row r="1830" spans="5:25" x14ac:dyDescent="0.25">
      <c r="E1830" t="s">
        <v>548</v>
      </c>
      <c r="F1830">
        <v>0</v>
      </c>
      <c r="G1830">
        <v>0</v>
      </c>
      <c r="H1830" t="s">
        <v>8</v>
      </c>
      <c r="I1830" s="74" t="str">
        <f ca="1">IF(Table7[[#This Row],[Type]]="KILL",IF(_xlfn.NUMBERVALUE(RIGHT(Table7[[#This Row],[Min]],LEN(Table7[[#This Row],[Min]])-FIND("-",Table7[[#This Row],[Min]])))&gt;INDIRECT(ADDRESS(11+MATCH(LEFT(Table7[[#This Row],[Min]],FIND("-",Table7[[#This Row],[Min]])-1),Table1[Content Sku],0),16,1,1,"Entities")),"review","ok"),"ok")</f>
        <v>ok</v>
      </c>
      <c r="U1830" t="s">
        <v>2720</v>
      </c>
      <c r="V1830">
        <v>0</v>
      </c>
      <c r="W1830">
        <v>0</v>
      </c>
      <c r="X1830" t="s">
        <v>8</v>
      </c>
      <c r="Y1830" s="74" t="str">
        <f ca="1">IF(Table15[[#This Row],[Type]]="KILL",IF(_xlfn.NUMBERVALUE(RIGHT(Table15[[#This Row],[Min]],LEN(Table15[[#This Row],[Min]])-FIND("-",Table15[[#This Row],[Min]])))&gt;INDIRECT(ADDRESS(11+MATCH(LEFT(Table15[[#This Row],[Min]],FIND("-",Table15[[#This Row],[Min]])-1),Table1[Content Sku],0),16,1,1,"Entities")),"review","ok"),"ok")</f>
        <v>ok</v>
      </c>
    </row>
    <row r="1831" spans="5:25" x14ac:dyDescent="0.25">
      <c r="E1831" t="s">
        <v>340</v>
      </c>
      <c r="F1831">
        <v>0</v>
      </c>
      <c r="G1831">
        <v>0</v>
      </c>
      <c r="H1831" t="s">
        <v>8</v>
      </c>
      <c r="I1831" s="74" t="str">
        <f ca="1">IF(Table7[[#This Row],[Type]]="KILL",IF(_xlfn.NUMBERVALUE(RIGHT(Table7[[#This Row],[Min]],LEN(Table7[[#This Row],[Min]])-FIND("-",Table7[[#This Row],[Min]])))&gt;INDIRECT(ADDRESS(11+MATCH(LEFT(Table7[[#This Row],[Min]],FIND("-",Table7[[#This Row],[Min]])-1),Table1[Content Sku],0),16,1,1,"Entities")),"review","ok"),"ok")</f>
        <v>ok</v>
      </c>
      <c r="U1831" t="s">
        <v>548</v>
      </c>
      <c r="V1831">
        <v>0</v>
      </c>
      <c r="W1831">
        <v>0</v>
      </c>
      <c r="X1831" t="s">
        <v>8</v>
      </c>
      <c r="Y1831" s="74" t="str">
        <f ca="1">IF(Table15[[#This Row],[Type]]="KILL",IF(_xlfn.NUMBERVALUE(RIGHT(Table15[[#This Row],[Min]],LEN(Table15[[#This Row],[Min]])-FIND("-",Table15[[#This Row],[Min]])))&gt;INDIRECT(ADDRESS(11+MATCH(LEFT(Table15[[#This Row],[Min]],FIND("-",Table15[[#This Row],[Min]])-1),Table1[Content Sku],0),16,1,1,"Entities")),"review","ok"),"ok")</f>
        <v>ok</v>
      </c>
    </row>
    <row r="1832" spans="5:25" x14ac:dyDescent="0.25">
      <c r="E1832" t="s">
        <v>122</v>
      </c>
      <c r="F1832">
        <v>0</v>
      </c>
      <c r="G1832">
        <v>0</v>
      </c>
      <c r="H1832" t="s">
        <v>8</v>
      </c>
      <c r="I1832" s="74" t="str">
        <f ca="1">IF(Table7[[#This Row],[Type]]="KILL",IF(_xlfn.NUMBERVALUE(RIGHT(Table7[[#This Row],[Min]],LEN(Table7[[#This Row],[Min]])-FIND("-",Table7[[#This Row],[Min]])))&gt;INDIRECT(ADDRESS(11+MATCH(LEFT(Table7[[#This Row],[Min]],FIND("-",Table7[[#This Row],[Min]])-1),Table1[Content Sku],0),16,1,1,"Entities")),"review","ok"),"ok")</f>
        <v>ok</v>
      </c>
      <c r="U1832" t="s">
        <v>457</v>
      </c>
      <c r="V1832">
        <v>0</v>
      </c>
      <c r="W1832">
        <v>0</v>
      </c>
      <c r="X1832" t="s">
        <v>8</v>
      </c>
      <c r="Y1832" s="74" t="str">
        <f ca="1">IF(Table15[[#This Row],[Type]]="KILL",IF(_xlfn.NUMBERVALUE(RIGHT(Table15[[#This Row],[Min]],LEN(Table15[[#This Row],[Min]])-FIND("-",Table15[[#This Row],[Min]])))&gt;INDIRECT(ADDRESS(11+MATCH(LEFT(Table15[[#This Row],[Min]],FIND("-",Table15[[#This Row],[Min]])-1),Table1[Content Sku],0),16,1,1,"Entities")),"review","ok"),"ok")</f>
        <v>ok</v>
      </c>
    </row>
    <row r="1833" spans="5:25" x14ac:dyDescent="0.25">
      <c r="E1833" t="s">
        <v>2741</v>
      </c>
      <c r="F1833">
        <v>0</v>
      </c>
      <c r="G1833">
        <v>0</v>
      </c>
      <c r="H1833" t="s">
        <v>8</v>
      </c>
      <c r="I1833" s="74" t="str">
        <f ca="1">IF(Table7[[#This Row],[Type]]="KILL",IF(_xlfn.NUMBERVALUE(RIGHT(Table7[[#This Row],[Min]],LEN(Table7[[#This Row],[Min]])-FIND("-",Table7[[#This Row],[Min]])))&gt;INDIRECT(ADDRESS(11+MATCH(LEFT(Table7[[#This Row],[Min]],FIND("-",Table7[[#This Row],[Min]])-1),Table1[Content Sku],0),16,1,1,"Entities")),"review","ok"),"ok")</f>
        <v>ok</v>
      </c>
      <c r="U1833" t="s">
        <v>313</v>
      </c>
      <c r="V1833">
        <v>0</v>
      </c>
      <c r="W1833">
        <v>0</v>
      </c>
      <c r="X1833" t="s">
        <v>8</v>
      </c>
      <c r="Y1833" s="74" t="str">
        <f ca="1">IF(Table15[[#This Row],[Type]]="KILL",IF(_xlfn.NUMBERVALUE(RIGHT(Table15[[#This Row],[Min]],LEN(Table15[[#This Row],[Min]])-FIND("-",Table15[[#This Row],[Min]])))&gt;INDIRECT(ADDRESS(11+MATCH(LEFT(Table15[[#This Row],[Min]],FIND("-",Table15[[#This Row],[Min]])-1),Table1[Content Sku],0),16,1,1,"Entities")),"review","ok"),"ok")</f>
        <v>ok</v>
      </c>
    </row>
    <row r="1834" spans="5:25" x14ac:dyDescent="0.25">
      <c r="E1834" t="s">
        <v>123</v>
      </c>
      <c r="F1834">
        <v>0</v>
      </c>
      <c r="G1834">
        <v>0</v>
      </c>
      <c r="H1834" t="s">
        <v>8</v>
      </c>
      <c r="I1834" s="74" t="str">
        <f ca="1">IF(Table7[[#This Row],[Type]]="KILL",IF(_xlfn.NUMBERVALUE(RIGHT(Table7[[#This Row],[Min]],LEN(Table7[[#This Row],[Min]])-FIND("-",Table7[[#This Row],[Min]])))&gt;INDIRECT(ADDRESS(11+MATCH(LEFT(Table7[[#This Row],[Min]],FIND("-",Table7[[#This Row],[Min]])-1),Table1[Content Sku],0),16,1,1,"Entities")),"review","ok"),"ok")</f>
        <v>ok</v>
      </c>
      <c r="U1834" t="s">
        <v>8103</v>
      </c>
      <c r="V1834">
        <v>60000</v>
      </c>
      <c r="W1834">
        <v>0</v>
      </c>
      <c r="X1834" t="s">
        <v>205</v>
      </c>
      <c r="Y1834" s="74" t="str">
        <f ca="1">IF(Table15[[#This Row],[Type]]="KILL",IF(_xlfn.NUMBERVALUE(RIGHT(Table15[[#This Row],[Min]],LEN(Table15[[#This Row],[Min]])-FIND("-",Table15[[#This Row],[Min]])))&gt;INDIRECT(ADDRESS(11+MATCH(LEFT(Table15[[#This Row],[Min]],FIND("-",Table15[[#This Row],[Min]])-1),Table1[Content Sku],0),16,1,1,"Entities")),"review","ok"),"ok")</f>
        <v>ok</v>
      </c>
    </row>
    <row r="1835" spans="5:25" x14ac:dyDescent="0.25">
      <c r="E1835" t="s">
        <v>392</v>
      </c>
      <c r="F1835">
        <v>0</v>
      </c>
      <c r="G1835">
        <v>8000</v>
      </c>
      <c r="H1835" t="s">
        <v>205</v>
      </c>
      <c r="I1835" s="74" t="str">
        <f ca="1">IF(Table7[[#This Row],[Type]]="KILL",IF(_xlfn.NUMBERVALUE(RIGHT(Table7[[#This Row],[Min]],LEN(Table7[[#This Row],[Min]])-FIND("-",Table7[[#This Row],[Min]])))&gt;INDIRECT(ADDRESS(11+MATCH(LEFT(Table7[[#This Row],[Min]],FIND("-",Table7[[#This Row],[Min]])-1),Table1[Content Sku],0),16,1,1,"Entities")),"review","ok"),"ok")</f>
        <v>ok</v>
      </c>
      <c r="U1835" t="s">
        <v>37</v>
      </c>
      <c r="V1835">
        <v>0</v>
      </c>
      <c r="W1835">
        <v>0</v>
      </c>
      <c r="X1835" t="s">
        <v>8</v>
      </c>
      <c r="Y1835" s="74" t="str">
        <f ca="1">IF(Table15[[#This Row],[Type]]="KILL",IF(_xlfn.NUMBERVALUE(RIGHT(Table15[[#This Row],[Min]],LEN(Table15[[#This Row],[Min]])-FIND("-",Table15[[#This Row],[Min]])))&gt;INDIRECT(ADDRESS(11+MATCH(LEFT(Table15[[#This Row],[Min]],FIND("-",Table15[[#This Row],[Min]])-1),Table1[Content Sku],0),16,1,1,"Entities")),"review","ok"),"ok")</f>
        <v>ok</v>
      </c>
    </row>
    <row r="1836" spans="5:25" x14ac:dyDescent="0.25">
      <c r="E1836" t="s">
        <v>306</v>
      </c>
      <c r="F1836">
        <v>0</v>
      </c>
      <c r="G1836">
        <v>0</v>
      </c>
      <c r="H1836" t="s">
        <v>8</v>
      </c>
      <c r="I1836" s="74" t="str">
        <f ca="1">IF(Table7[[#This Row],[Type]]="KILL",IF(_xlfn.NUMBERVALUE(RIGHT(Table7[[#This Row],[Min]],LEN(Table7[[#This Row],[Min]])-FIND("-",Table7[[#This Row],[Min]])))&gt;INDIRECT(ADDRESS(11+MATCH(LEFT(Table7[[#This Row],[Min]],FIND("-",Table7[[#This Row],[Min]])-1),Table1[Content Sku],0),16,1,1,"Entities")),"review","ok"),"ok")</f>
        <v>ok</v>
      </c>
      <c r="U1836" t="s">
        <v>460</v>
      </c>
      <c r="V1836">
        <v>0</v>
      </c>
      <c r="W1836">
        <v>0</v>
      </c>
      <c r="X1836" t="s">
        <v>8</v>
      </c>
      <c r="Y1836" s="74" t="str">
        <f ca="1">IF(Table15[[#This Row],[Type]]="KILL",IF(_xlfn.NUMBERVALUE(RIGHT(Table15[[#This Row],[Min]],LEN(Table15[[#This Row],[Min]])-FIND("-",Table15[[#This Row],[Min]])))&gt;INDIRECT(ADDRESS(11+MATCH(LEFT(Table15[[#This Row],[Min]],FIND("-",Table15[[#This Row],[Min]])-1),Table1[Content Sku],0),16,1,1,"Entities")),"review","ok"),"ok")</f>
        <v>ok</v>
      </c>
    </row>
    <row r="1837" spans="5:25" x14ac:dyDescent="0.25">
      <c r="E1837" t="s">
        <v>8152</v>
      </c>
      <c r="F1837">
        <v>0</v>
      </c>
      <c r="G1837">
        <v>0</v>
      </c>
      <c r="H1837" t="s">
        <v>8</v>
      </c>
      <c r="I1837" s="74" t="str">
        <f ca="1">IF(Table7[[#This Row],[Type]]="KILL",IF(_xlfn.NUMBERVALUE(RIGHT(Table7[[#This Row],[Min]],LEN(Table7[[#This Row],[Min]])-FIND("-",Table7[[#This Row],[Min]])))&gt;INDIRECT(ADDRESS(11+MATCH(LEFT(Table7[[#This Row],[Min]],FIND("-",Table7[[#This Row],[Min]])-1),Table1[Content Sku],0),16,1,1,"Entities")),"review","ok"),"ok")</f>
        <v>ok</v>
      </c>
      <c r="U1837" t="s">
        <v>38</v>
      </c>
      <c r="V1837">
        <v>0</v>
      </c>
      <c r="W1837">
        <v>0</v>
      </c>
      <c r="X1837" t="s">
        <v>8</v>
      </c>
      <c r="Y1837" s="74" t="str">
        <f ca="1">IF(Table15[[#This Row],[Type]]="KILL",IF(_xlfn.NUMBERVALUE(RIGHT(Table15[[#This Row],[Min]],LEN(Table15[[#This Row],[Min]])-FIND("-",Table15[[#This Row],[Min]])))&gt;INDIRECT(ADDRESS(11+MATCH(LEFT(Table15[[#This Row],[Min]],FIND("-",Table15[[#This Row],[Min]])-1),Table1[Content Sku],0),16,1,1,"Entities")),"review","ok"),"ok")</f>
        <v>ok</v>
      </c>
    </row>
    <row r="1838" spans="5:25" x14ac:dyDescent="0.25">
      <c r="E1838" t="s">
        <v>254</v>
      </c>
      <c r="F1838">
        <v>0</v>
      </c>
      <c r="G1838">
        <v>0</v>
      </c>
      <c r="H1838" t="s">
        <v>8</v>
      </c>
      <c r="I1838" s="74" t="str">
        <f ca="1">IF(Table7[[#This Row],[Type]]="KILL",IF(_xlfn.NUMBERVALUE(RIGHT(Table7[[#This Row],[Min]],LEN(Table7[[#This Row],[Min]])-FIND("-",Table7[[#This Row],[Min]])))&gt;INDIRECT(ADDRESS(11+MATCH(LEFT(Table7[[#This Row],[Min]],FIND("-",Table7[[#This Row],[Min]])-1),Table1[Content Sku],0),16,1,1,"Entities")),"review","ok"),"ok")</f>
        <v>ok</v>
      </c>
      <c r="U1838" t="s">
        <v>457</v>
      </c>
      <c r="V1838">
        <v>0</v>
      </c>
      <c r="W1838">
        <v>30000</v>
      </c>
      <c r="X1838" t="s">
        <v>205</v>
      </c>
      <c r="Y1838" s="74" t="str">
        <f ca="1">IF(Table15[[#This Row],[Type]]="KILL",IF(_xlfn.NUMBERVALUE(RIGHT(Table15[[#This Row],[Min]],LEN(Table15[[#This Row],[Min]])-FIND("-",Table15[[#This Row],[Min]])))&gt;INDIRECT(ADDRESS(11+MATCH(LEFT(Table15[[#This Row],[Min]],FIND("-",Table15[[#This Row],[Min]])-1),Table1[Content Sku],0),16,1,1,"Entities")),"review","ok"),"ok")</f>
        <v>ok</v>
      </c>
    </row>
    <row r="1839" spans="5:25" x14ac:dyDescent="0.25">
      <c r="E1839" t="s">
        <v>123</v>
      </c>
      <c r="F1839">
        <v>0</v>
      </c>
      <c r="G1839">
        <v>6500</v>
      </c>
      <c r="H1839" t="s">
        <v>205</v>
      </c>
      <c r="I1839" s="74" t="str">
        <f ca="1">IF(Table7[[#This Row],[Type]]="KILL",IF(_xlfn.NUMBERVALUE(RIGHT(Table7[[#This Row],[Min]],LEN(Table7[[#This Row],[Min]])-FIND("-",Table7[[#This Row],[Min]])))&gt;INDIRECT(ADDRESS(11+MATCH(LEFT(Table7[[#This Row],[Min]],FIND("-",Table7[[#This Row],[Min]])-1),Table1[Content Sku],0),16,1,1,"Entities")),"review","ok"),"ok")</f>
        <v>ok</v>
      </c>
      <c r="U1839" t="s">
        <v>123</v>
      </c>
      <c r="V1839">
        <v>0</v>
      </c>
      <c r="W1839">
        <v>0</v>
      </c>
      <c r="X1839" t="s">
        <v>8</v>
      </c>
      <c r="Y1839" s="74" t="str">
        <f ca="1">IF(Table15[[#This Row],[Type]]="KILL",IF(_xlfn.NUMBERVALUE(RIGHT(Table15[[#This Row],[Min]],LEN(Table15[[#This Row],[Min]])-FIND("-",Table15[[#This Row],[Min]])))&gt;INDIRECT(ADDRESS(11+MATCH(LEFT(Table15[[#This Row],[Min]],FIND("-",Table15[[#This Row],[Min]])-1),Table1[Content Sku],0),16,1,1,"Entities")),"review","ok"),"ok")</f>
        <v>ok</v>
      </c>
    </row>
    <row r="1840" spans="5:25" x14ac:dyDescent="0.25">
      <c r="E1840" t="s">
        <v>313</v>
      </c>
      <c r="F1840">
        <v>7000</v>
      </c>
      <c r="G1840">
        <v>0</v>
      </c>
      <c r="H1840" t="s">
        <v>205</v>
      </c>
      <c r="I1840" s="74" t="str">
        <f ca="1">IF(Table7[[#This Row],[Type]]="KILL",IF(_xlfn.NUMBERVALUE(RIGHT(Table7[[#This Row],[Min]],LEN(Table7[[#This Row],[Min]])-FIND("-",Table7[[#This Row],[Min]])))&gt;INDIRECT(ADDRESS(11+MATCH(LEFT(Table7[[#This Row],[Min]],FIND("-",Table7[[#This Row],[Min]])-1),Table1[Content Sku],0),16,1,1,"Entities")),"review","ok"),"ok")</f>
        <v>ok</v>
      </c>
      <c r="U1840" t="s">
        <v>396</v>
      </c>
      <c r="V1840">
        <v>0</v>
      </c>
      <c r="W1840">
        <v>0</v>
      </c>
      <c r="X1840" t="s">
        <v>8</v>
      </c>
      <c r="Y1840" s="74" t="str">
        <f ca="1">IF(Table15[[#This Row],[Type]]="KILL",IF(_xlfn.NUMBERVALUE(RIGHT(Table15[[#This Row],[Min]],LEN(Table15[[#This Row],[Min]])-FIND("-",Table15[[#This Row],[Min]])))&gt;INDIRECT(ADDRESS(11+MATCH(LEFT(Table15[[#This Row],[Min]],FIND("-",Table15[[#This Row],[Min]])-1),Table1[Content Sku],0),16,1,1,"Entities")),"review","ok"),"ok")</f>
        <v>ok</v>
      </c>
    </row>
    <row r="1841" spans="5:25" x14ac:dyDescent="0.25">
      <c r="E1841" t="s">
        <v>95</v>
      </c>
      <c r="F1841">
        <v>0</v>
      </c>
      <c r="G1841">
        <v>0</v>
      </c>
      <c r="H1841" t="s">
        <v>8</v>
      </c>
      <c r="I1841" s="74" t="str">
        <f ca="1">IF(Table7[[#This Row],[Type]]="KILL",IF(_xlfn.NUMBERVALUE(RIGHT(Table7[[#This Row],[Min]],LEN(Table7[[#This Row],[Min]])-FIND("-",Table7[[#This Row],[Min]])))&gt;INDIRECT(ADDRESS(11+MATCH(LEFT(Table7[[#This Row],[Min]],FIND("-",Table7[[#This Row],[Min]])-1),Table1[Content Sku],0),16,1,1,"Entities")),"review","ok"),"ok")</f>
        <v>ok</v>
      </c>
      <c r="U1841" t="s">
        <v>457</v>
      </c>
      <c r="V1841">
        <v>0</v>
      </c>
      <c r="W1841">
        <v>32000</v>
      </c>
      <c r="X1841" t="s">
        <v>205</v>
      </c>
      <c r="Y1841" s="74" t="str">
        <f ca="1">IF(Table15[[#This Row],[Type]]="KILL",IF(_xlfn.NUMBERVALUE(RIGHT(Table15[[#This Row],[Min]],LEN(Table15[[#This Row],[Min]])-FIND("-",Table15[[#This Row],[Min]])))&gt;INDIRECT(ADDRESS(11+MATCH(LEFT(Table15[[#This Row],[Min]],FIND("-",Table15[[#This Row],[Min]])-1),Table1[Content Sku],0),16,1,1,"Entities")),"review","ok"),"ok")</f>
        <v>ok</v>
      </c>
    </row>
    <row r="1842" spans="5:25" x14ac:dyDescent="0.25">
      <c r="E1842" t="s">
        <v>40</v>
      </c>
      <c r="F1842">
        <v>0</v>
      </c>
      <c r="G1842">
        <v>0</v>
      </c>
      <c r="H1842" t="s">
        <v>8</v>
      </c>
      <c r="I1842" s="74" t="str">
        <f ca="1">IF(Table7[[#This Row],[Type]]="KILL",IF(_xlfn.NUMBERVALUE(RIGHT(Table7[[#This Row],[Min]],LEN(Table7[[#This Row],[Min]])-FIND("-",Table7[[#This Row],[Min]])))&gt;INDIRECT(ADDRESS(11+MATCH(LEFT(Table7[[#This Row],[Min]],FIND("-",Table7[[#This Row],[Min]])-1),Table1[Content Sku],0),16,1,1,"Entities")),"review","ok"),"ok")</f>
        <v>ok</v>
      </c>
      <c r="U1842" t="s">
        <v>548</v>
      </c>
      <c r="V1842">
        <v>0</v>
      </c>
      <c r="W1842">
        <v>0</v>
      </c>
      <c r="X1842" t="s">
        <v>8</v>
      </c>
      <c r="Y1842" s="74" t="str">
        <f ca="1">IF(Table15[[#This Row],[Type]]="KILL",IF(_xlfn.NUMBERVALUE(RIGHT(Table15[[#This Row],[Min]],LEN(Table15[[#This Row],[Min]])-FIND("-",Table15[[#This Row],[Min]])))&gt;INDIRECT(ADDRESS(11+MATCH(LEFT(Table15[[#This Row],[Min]],FIND("-",Table15[[#This Row],[Min]])-1),Table1[Content Sku],0),16,1,1,"Entities")),"review","ok"),"ok")</f>
        <v>ok</v>
      </c>
    </row>
    <row r="1843" spans="5:25" x14ac:dyDescent="0.25">
      <c r="E1843" t="s">
        <v>40</v>
      </c>
      <c r="F1843">
        <v>21000</v>
      </c>
      <c r="G1843">
        <v>0</v>
      </c>
      <c r="H1843" t="s">
        <v>205</v>
      </c>
      <c r="I1843" s="74" t="str">
        <f ca="1">IF(Table7[[#This Row],[Type]]="KILL",IF(_xlfn.NUMBERVALUE(RIGHT(Table7[[#This Row],[Min]],LEN(Table7[[#This Row],[Min]])-FIND("-",Table7[[#This Row],[Min]])))&gt;INDIRECT(ADDRESS(11+MATCH(LEFT(Table7[[#This Row],[Min]],FIND("-",Table7[[#This Row],[Min]])-1),Table1[Content Sku],0),16,1,1,"Entities")),"review","ok"),"ok")</f>
        <v>ok</v>
      </c>
      <c r="U1843" t="s">
        <v>123</v>
      </c>
      <c r="V1843">
        <v>0</v>
      </c>
      <c r="W1843">
        <v>0</v>
      </c>
      <c r="X1843" t="s">
        <v>8</v>
      </c>
      <c r="Y1843" s="74" t="str">
        <f ca="1">IF(Table15[[#This Row],[Type]]="KILL",IF(_xlfn.NUMBERVALUE(RIGHT(Table15[[#This Row],[Min]],LEN(Table15[[#This Row],[Min]])-FIND("-",Table15[[#This Row],[Min]])))&gt;INDIRECT(ADDRESS(11+MATCH(LEFT(Table15[[#This Row],[Min]],FIND("-",Table15[[#This Row],[Min]])-1),Table1[Content Sku],0),16,1,1,"Entities")),"review","ok"),"ok")</f>
        <v>ok</v>
      </c>
    </row>
    <row r="1844" spans="5:25" x14ac:dyDescent="0.25">
      <c r="E1844" t="s">
        <v>8133</v>
      </c>
      <c r="F1844">
        <v>0</v>
      </c>
      <c r="G1844">
        <v>0</v>
      </c>
      <c r="H1844" t="s">
        <v>8</v>
      </c>
      <c r="I1844" s="74" t="str">
        <f ca="1">IF(Table7[[#This Row],[Type]]="KILL",IF(_xlfn.NUMBERVALUE(RIGHT(Table7[[#This Row],[Min]],LEN(Table7[[#This Row],[Min]])-FIND("-",Table7[[#This Row],[Min]])))&gt;INDIRECT(ADDRESS(11+MATCH(LEFT(Table7[[#This Row],[Min]],FIND("-",Table7[[#This Row],[Min]])-1),Table1[Content Sku],0),16,1,1,"Entities")),"review","ok"),"ok")</f>
        <v>ok</v>
      </c>
      <c r="U1844" t="s">
        <v>457</v>
      </c>
      <c r="V1844">
        <v>0</v>
      </c>
      <c r="W1844">
        <v>0</v>
      </c>
      <c r="X1844" t="s">
        <v>8</v>
      </c>
      <c r="Y1844" s="74" t="str">
        <f ca="1">IF(Table15[[#This Row],[Type]]="KILL",IF(_xlfn.NUMBERVALUE(RIGHT(Table15[[#This Row],[Min]],LEN(Table15[[#This Row],[Min]])-FIND("-",Table15[[#This Row],[Min]])))&gt;INDIRECT(ADDRESS(11+MATCH(LEFT(Table15[[#This Row],[Min]],FIND("-",Table15[[#This Row],[Min]])-1),Table1[Content Sku],0),16,1,1,"Entities")),"review","ok"),"ok")</f>
        <v>ok</v>
      </c>
    </row>
    <row r="1845" spans="5:25" x14ac:dyDescent="0.25">
      <c r="E1845" t="s">
        <v>257</v>
      </c>
      <c r="F1845">
        <v>28000</v>
      </c>
      <c r="G1845">
        <v>0</v>
      </c>
      <c r="H1845" t="s">
        <v>205</v>
      </c>
      <c r="I1845" s="74" t="str">
        <f ca="1">IF(Table7[[#This Row],[Type]]="KILL",IF(_xlfn.NUMBERVALUE(RIGHT(Table7[[#This Row],[Min]],LEN(Table7[[#This Row],[Min]])-FIND("-",Table7[[#This Row],[Min]])))&gt;INDIRECT(ADDRESS(11+MATCH(LEFT(Table7[[#This Row],[Min]],FIND("-",Table7[[#This Row],[Min]])-1),Table1[Content Sku],0),16,1,1,"Entities")),"review","ok"),"ok")</f>
        <v>ok</v>
      </c>
      <c r="U1845" t="s">
        <v>21</v>
      </c>
      <c r="V1845">
        <v>80000</v>
      </c>
      <c r="W1845">
        <v>0</v>
      </c>
      <c r="X1845" t="s">
        <v>205</v>
      </c>
      <c r="Y1845" s="74" t="str">
        <f ca="1">IF(Table15[[#This Row],[Type]]="KILL",IF(_xlfn.NUMBERVALUE(RIGHT(Table15[[#This Row],[Min]],LEN(Table15[[#This Row],[Min]])-FIND("-",Table15[[#This Row],[Min]])))&gt;INDIRECT(ADDRESS(11+MATCH(LEFT(Table15[[#This Row],[Min]],FIND("-",Table15[[#This Row],[Min]])-1),Table1[Content Sku],0),16,1,1,"Entities")),"review","ok"),"ok")</f>
        <v>ok</v>
      </c>
    </row>
    <row r="1846" spans="5:25" x14ac:dyDescent="0.25">
      <c r="E1846" t="s">
        <v>280</v>
      </c>
      <c r="F1846">
        <v>0</v>
      </c>
      <c r="G1846">
        <v>0</v>
      </c>
      <c r="H1846" t="s">
        <v>8</v>
      </c>
      <c r="I1846" s="74" t="str">
        <f ca="1">IF(Table7[[#This Row],[Type]]="KILL",IF(_xlfn.NUMBERVALUE(RIGHT(Table7[[#This Row],[Min]],LEN(Table7[[#This Row],[Min]])-FIND("-",Table7[[#This Row],[Min]])))&gt;INDIRECT(ADDRESS(11+MATCH(LEFT(Table7[[#This Row],[Min]],FIND("-",Table7[[#This Row],[Min]])-1),Table1[Content Sku],0),16,1,1,"Entities")),"review","ok"),"ok")</f>
        <v>ok</v>
      </c>
      <c r="U1846" t="s">
        <v>2717</v>
      </c>
      <c r="V1846">
        <v>30000</v>
      </c>
      <c r="W1846">
        <v>0</v>
      </c>
      <c r="X1846" t="s">
        <v>205</v>
      </c>
      <c r="Y1846" s="74" t="str">
        <f ca="1">IF(Table15[[#This Row],[Type]]="KILL",IF(_xlfn.NUMBERVALUE(RIGHT(Table15[[#This Row],[Min]],LEN(Table15[[#This Row],[Min]])-FIND("-",Table15[[#This Row],[Min]])))&gt;INDIRECT(ADDRESS(11+MATCH(LEFT(Table15[[#This Row],[Min]],FIND("-",Table15[[#This Row],[Min]])-1),Table1[Content Sku],0),16,1,1,"Entities")),"review","ok"),"ok")</f>
        <v>ok</v>
      </c>
    </row>
    <row r="1847" spans="5:25" x14ac:dyDescent="0.25">
      <c r="E1847" t="s">
        <v>286</v>
      </c>
      <c r="F1847">
        <v>12000</v>
      </c>
      <c r="G1847">
        <v>0</v>
      </c>
      <c r="H1847" t="s">
        <v>205</v>
      </c>
      <c r="I1847" s="74" t="str">
        <f ca="1">IF(Table7[[#This Row],[Type]]="KILL",IF(_xlfn.NUMBERVALUE(RIGHT(Table7[[#This Row],[Min]],LEN(Table7[[#This Row],[Min]])-FIND("-",Table7[[#This Row],[Min]])))&gt;INDIRECT(ADDRESS(11+MATCH(LEFT(Table7[[#This Row],[Min]],FIND("-",Table7[[#This Row],[Min]])-1),Table1[Content Sku],0),16,1,1,"Entities")),"review","ok"),"ok")</f>
        <v>ok</v>
      </c>
      <c r="U1847" t="s">
        <v>289</v>
      </c>
      <c r="V1847">
        <v>0</v>
      </c>
      <c r="W1847">
        <v>0</v>
      </c>
      <c r="X1847" t="s">
        <v>8</v>
      </c>
      <c r="Y1847" s="74" t="str">
        <f ca="1">IF(Table15[[#This Row],[Type]]="KILL",IF(_xlfn.NUMBERVALUE(RIGHT(Table15[[#This Row],[Min]],LEN(Table15[[#This Row],[Min]])-FIND("-",Table15[[#This Row],[Min]])))&gt;INDIRECT(ADDRESS(11+MATCH(LEFT(Table15[[#This Row],[Min]],FIND("-",Table15[[#This Row],[Min]])-1),Table1[Content Sku],0),16,1,1,"Entities")),"review","ok"),"ok")</f>
        <v>ok</v>
      </c>
    </row>
    <row r="1848" spans="5:25" x14ac:dyDescent="0.25">
      <c r="E1848" t="s">
        <v>4430</v>
      </c>
      <c r="F1848">
        <v>0</v>
      </c>
      <c r="G1848">
        <v>0</v>
      </c>
      <c r="H1848" t="s">
        <v>8</v>
      </c>
      <c r="I1848" s="74" t="str">
        <f ca="1">IF(Table7[[#This Row],[Type]]="KILL",IF(_xlfn.NUMBERVALUE(RIGHT(Table7[[#This Row],[Min]],LEN(Table7[[#This Row],[Min]])-FIND("-",Table7[[#This Row],[Min]])))&gt;INDIRECT(ADDRESS(11+MATCH(LEFT(Table7[[#This Row],[Min]],FIND("-",Table7[[#This Row],[Min]])-1),Table1[Content Sku],0),16,1,1,"Entities")),"review","ok"),"ok")</f>
        <v>ok</v>
      </c>
      <c r="U1848" t="s">
        <v>36</v>
      </c>
      <c r="V1848">
        <v>0</v>
      </c>
      <c r="W1848">
        <v>0</v>
      </c>
      <c r="X1848" t="s">
        <v>8</v>
      </c>
      <c r="Y1848" s="74" t="str">
        <f ca="1">IF(Table15[[#This Row],[Type]]="KILL",IF(_xlfn.NUMBERVALUE(RIGHT(Table15[[#This Row],[Min]],LEN(Table15[[#This Row],[Min]])-FIND("-",Table15[[#This Row],[Min]])))&gt;INDIRECT(ADDRESS(11+MATCH(LEFT(Table15[[#This Row],[Min]],FIND("-",Table15[[#This Row],[Min]])-1),Table1[Content Sku],0),16,1,1,"Entities")),"review","ok"),"ok")</f>
        <v>ok</v>
      </c>
    </row>
    <row r="1849" spans="5:25" x14ac:dyDescent="0.25">
      <c r="E1849" t="s">
        <v>318</v>
      </c>
      <c r="F1849">
        <v>0</v>
      </c>
      <c r="G1849">
        <v>0</v>
      </c>
      <c r="H1849" t="s">
        <v>8</v>
      </c>
      <c r="I1849" s="74" t="str">
        <f ca="1">IF(Table7[[#This Row],[Type]]="KILL",IF(_xlfn.NUMBERVALUE(RIGHT(Table7[[#This Row],[Min]],LEN(Table7[[#This Row],[Min]])-FIND("-",Table7[[#This Row],[Min]])))&gt;INDIRECT(ADDRESS(11+MATCH(LEFT(Table7[[#This Row],[Min]],FIND("-",Table7[[#This Row],[Min]])-1),Table1[Content Sku],0),16,1,1,"Entities")),"review","ok"),"ok")</f>
        <v>ok</v>
      </c>
      <c r="U1849" t="s">
        <v>289</v>
      </c>
      <c r="V1849">
        <v>0</v>
      </c>
      <c r="W1849">
        <v>0</v>
      </c>
      <c r="X1849" t="s">
        <v>8</v>
      </c>
      <c r="Y1849" s="74" t="str">
        <f ca="1">IF(Table15[[#This Row],[Type]]="KILL",IF(_xlfn.NUMBERVALUE(RIGHT(Table15[[#This Row],[Min]],LEN(Table15[[#This Row],[Min]])-FIND("-",Table15[[#This Row],[Min]])))&gt;INDIRECT(ADDRESS(11+MATCH(LEFT(Table15[[#This Row],[Min]],FIND("-",Table15[[#This Row],[Min]])-1),Table1[Content Sku],0),16,1,1,"Entities")),"review","ok"),"ok")</f>
        <v>ok</v>
      </c>
    </row>
    <row r="1850" spans="5:25" x14ac:dyDescent="0.25">
      <c r="E1850" t="s">
        <v>253</v>
      </c>
      <c r="F1850">
        <v>0</v>
      </c>
      <c r="G1850">
        <v>0</v>
      </c>
      <c r="H1850" t="s">
        <v>8</v>
      </c>
      <c r="I1850" s="74" t="str">
        <f ca="1">IF(Table7[[#This Row],[Type]]="KILL",IF(_xlfn.NUMBERVALUE(RIGHT(Table7[[#This Row],[Min]],LEN(Table7[[#This Row],[Min]])-FIND("-",Table7[[#This Row],[Min]])))&gt;INDIRECT(ADDRESS(11+MATCH(LEFT(Table7[[#This Row],[Min]],FIND("-",Table7[[#This Row],[Min]])-1),Table1[Content Sku],0),16,1,1,"Entities")),"review","ok"),"ok")</f>
        <v>ok</v>
      </c>
      <c r="U1850" t="s">
        <v>43</v>
      </c>
      <c r="V1850">
        <v>45000</v>
      </c>
      <c r="W1850">
        <v>0</v>
      </c>
      <c r="X1850" t="s">
        <v>205</v>
      </c>
      <c r="Y1850" s="74" t="str">
        <f ca="1">IF(Table15[[#This Row],[Type]]="KILL",IF(_xlfn.NUMBERVALUE(RIGHT(Table15[[#This Row],[Min]],LEN(Table15[[#This Row],[Min]])-FIND("-",Table15[[#This Row],[Min]])))&gt;INDIRECT(ADDRESS(11+MATCH(LEFT(Table15[[#This Row],[Min]],FIND("-",Table15[[#This Row],[Min]])-1),Table1[Content Sku],0),16,1,1,"Entities")),"review","ok"),"ok")</f>
        <v>ok</v>
      </c>
    </row>
    <row r="1851" spans="5:25" x14ac:dyDescent="0.25">
      <c r="E1851" t="s">
        <v>90</v>
      </c>
      <c r="F1851">
        <v>0</v>
      </c>
      <c r="G1851">
        <v>0</v>
      </c>
      <c r="H1851" t="s">
        <v>8</v>
      </c>
      <c r="I1851" s="74" t="str">
        <f ca="1">IF(Table7[[#This Row],[Type]]="KILL",IF(_xlfn.NUMBERVALUE(RIGHT(Table7[[#This Row],[Min]],LEN(Table7[[#This Row],[Min]])-FIND("-",Table7[[#This Row],[Min]])))&gt;INDIRECT(ADDRESS(11+MATCH(LEFT(Table7[[#This Row],[Min]],FIND("-",Table7[[#This Row],[Min]])-1),Table1[Content Sku],0),16,1,1,"Entities")),"review","ok"),"ok")</f>
        <v>ok</v>
      </c>
      <c r="U1851" t="s">
        <v>457</v>
      </c>
      <c r="V1851">
        <v>0</v>
      </c>
      <c r="W1851">
        <v>0</v>
      </c>
      <c r="X1851" t="s">
        <v>8</v>
      </c>
      <c r="Y1851" s="74" t="str">
        <f ca="1">IF(Table15[[#This Row],[Type]]="KILL",IF(_xlfn.NUMBERVALUE(RIGHT(Table15[[#This Row],[Min]],LEN(Table15[[#This Row],[Min]])-FIND("-",Table15[[#This Row],[Min]])))&gt;INDIRECT(ADDRESS(11+MATCH(LEFT(Table15[[#This Row],[Min]],FIND("-",Table15[[#This Row],[Min]])-1),Table1[Content Sku],0),16,1,1,"Entities")),"review","ok"),"ok")</f>
        <v>ok</v>
      </c>
    </row>
    <row r="1852" spans="5:25" x14ac:dyDescent="0.25">
      <c r="E1852" t="s">
        <v>313</v>
      </c>
      <c r="F1852">
        <v>0</v>
      </c>
      <c r="G1852">
        <v>0</v>
      </c>
      <c r="H1852" t="s">
        <v>8</v>
      </c>
      <c r="I1852" s="74" t="str">
        <f ca="1">IF(Table7[[#This Row],[Type]]="KILL",IF(_xlfn.NUMBERVALUE(RIGHT(Table7[[#This Row],[Min]],LEN(Table7[[#This Row],[Min]])-FIND("-",Table7[[#This Row],[Min]])))&gt;INDIRECT(ADDRESS(11+MATCH(LEFT(Table7[[#This Row],[Min]],FIND("-",Table7[[#This Row],[Min]])-1),Table1[Content Sku],0),16,1,1,"Entities")),"review","ok"),"ok")</f>
        <v>ok</v>
      </c>
      <c r="U1852" t="s">
        <v>37</v>
      </c>
      <c r="V1852">
        <v>0</v>
      </c>
      <c r="W1852">
        <v>0</v>
      </c>
      <c r="X1852" t="s">
        <v>8</v>
      </c>
      <c r="Y1852" s="74" t="str">
        <f ca="1">IF(Table15[[#This Row],[Type]]="KILL",IF(_xlfn.NUMBERVALUE(RIGHT(Table15[[#This Row],[Min]],LEN(Table15[[#This Row],[Min]])-FIND("-",Table15[[#This Row],[Min]])))&gt;INDIRECT(ADDRESS(11+MATCH(LEFT(Table15[[#This Row],[Min]],FIND("-",Table15[[#This Row],[Min]])-1),Table1[Content Sku],0),16,1,1,"Entities")),"review","ok"),"ok")</f>
        <v>ok</v>
      </c>
    </row>
    <row r="1853" spans="5:25" x14ac:dyDescent="0.25">
      <c r="E1853" t="s">
        <v>313</v>
      </c>
      <c r="F1853">
        <v>0</v>
      </c>
      <c r="G1853">
        <v>16000</v>
      </c>
      <c r="H1853" t="s">
        <v>205</v>
      </c>
      <c r="I1853" s="74" t="str">
        <f ca="1">IF(Table7[[#This Row],[Type]]="KILL",IF(_xlfn.NUMBERVALUE(RIGHT(Table7[[#This Row],[Min]],LEN(Table7[[#This Row],[Min]])-FIND("-",Table7[[#This Row],[Min]])))&gt;INDIRECT(ADDRESS(11+MATCH(LEFT(Table7[[#This Row],[Min]],FIND("-",Table7[[#This Row],[Min]])-1),Table1[Content Sku],0),16,1,1,"Entities")),"review","ok"),"ok")</f>
        <v>ok</v>
      </c>
      <c r="U1853" t="s">
        <v>398</v>
      </c>
      <c r="V1853">
        <v>0</v>
      </c>
      <c r="W1853">
        <v>0</v>
      </c>
      <c r="X1853" t="s">
        <v>8</v>
      </c>
      <c r="Y1853" s="74" t="str">
        <f ca="1">IF(Table15[[#This Row],[Type]]="KILL",IF(_xlfn.NUMBERVALUE(RIGHT(Table15[[#This Row],[Min]],LEN(Table15[[#This Row],[Min]])-FIND("-",Table15[[#This Row],[Min]])))&gt;INDIRECT(ADDRESS(11+MATCH(LEFT(Table15[[#This Row],[Min]],FIND("-",Table15[[#This Row],[Min]])-1),Table1[Content Sku],0),16,1,1,"Entities")),"review","ok"),"ok")</f>
        <v>ok</v>
      </c>
    </row>
    <row r="1854" spans="5:25" x14ac:dyDescent="0.25">
      <c r="E1854" t="s">
        <v>396</v>
      </c>
      <c r="F1854">
        <v>0</v>
      </c>
      <c r="G1854">
        <v>0</v>
      </c>
      <c r="H1854" t="s">
        <v>8</v>
      </c>
      <c r="I1854" s="74" t="str">
        <f ca="1">IF(Table7[[#This Row],[Type]]="KILL",IF(_xlfn.NUMBERVALUE(RIGHT(Table7[[#This Row],[Min]],LEN(Table7[[#This Row],[Min]])-FIND("-",Table7[[#This Row],[Min]])))&gt;INDIRECT(ADDRESS(11+MATCH(LEFT(Table7[[#This Row],[Min]],FIND("-",Table7[[#This Row],[Min]])-1),Table1[Content Sku],0),16,1,1,"Entities")),"review","ok"),"ok")</f>
        <v>ok</v>
      </c>
      <c r="U1854" t="s">
        <v>457</v>
      </c>
      <c r="V1854">
        <v>0</v>
      </c>
      <c r="W1854">
        <v>0</v>
      </c>
      <c r="X1854" t="s">
        <v>8</v>
      </c>
      <c r="Y1854" s="74" t="str">
        <f ca="1">IF(Table15[[#This Row],[Type]]="KILL",IF(_xlfn.NUMBERVALUE(RIGHT(Table15[[#This Row],[Min]],LEN(Table15[[#This Row],[Min]])-FIND("-",Table15[[#This Row],[Min]])))&gt;INDIRECT(ADDRESS(11+MATCH(LEFT(Table15[[#This Row],[Min]],FIND("-",Table15[[#This Row],[Min]])-1),Table1[Content Sku],0),16,1,1,"Entities")),"review","ok"),"ok")</f>
        <v>ok</v>
      </c>
    </row>
    <row r="1855" spans="5:25" x14ac:dyDescent="0.25">
      <c r="E1855" t="s">
        <v>318</v>
      </c>
      <c r="F1855">
        <v>0</v>
      </c>
      <c r="G1855">
        <v>24000</v>
      </c>
      <c r="H1855" t="s">
        <v>205</v>
      </c>
      <c r="I1855" s="74" t="str">
        <f ca="1">IF(Table7[[#This Row],[Type]]="KILL",IF(_xlfn.NUMBERVALUE(RIGHT(Table7[[#This Row],[Min]],LEN(Table7[[#This Row],[Min]])-FIND("-",Table7[[#This Row],[Min]])))&gt;INDIRECT(ADDRESS(11+MATCH(LEFT(Table7[[#This Row],[Min]],FIND("-",Table7[[#This Row],[Min]])-1),Table1[Content Sku],0),16,1,1,"Entities")),"review","ok"),"ok")</f>
        <v>ok</v>
      </c>
      <c r="U1855" t="s">
        <v>123</v>
      </c>
      <c r="V1855">
        <v>0</v>
      </c>
      <c r="W1855">
        <v>0</v>
      </c>
      <c r="X1855" t="s">
        <v>8</v>
      </c>
      <c r="Y1855" s="74" t="str">
        <f ca="1">IF(Table15[[#This Row],[Type]]="KILL",IF(_xlfn.NUMBERVALUE(RIGHT(Table15[[#This Row],[Min]],LEN(Table15[[#This Row],[Min]])-FIND("-",Table15[[#This Row],[Min]])))&gt;INDIRECT(ADDRESS(11+MATCH(LEFT(Table15[[#This Row],[Min]],FIND("-",Table15[[#This Row],[Min]])-1),Table1[Content Sku],0),16,1,1,"Entities")),"review","ok"),"ok")</f>
        <v>ok</v>
      </c>
    </row>
    <row r="1856" spans="5:25" x14ac:dyDescent="0.25">
      <c r="E1856" t="s">
        <v>313</v>
      </c>
      <c r="F1856">
        <v>0</v>
      </c>
      <c r="G1856">
        <v>0</v>
      </c>
      <c r="H1856" t="s">
        <v>8</v>
      </c>
      <c r="I1856" s="74" t="str">
        <f ca="1">IF(Table7[[#This Row],[Type]]="KILL",IF(_xlfn.NUMBERVALUE(RIGHT(Table7[[#This Row],[Min]],LEN(Table7[[#This Row],[Min]])-FIND("-",Table7[[#This Row],[Min]])))&gt;INDIRECT(ADDRESS(11+MATCH(LEFT(Table7[[#This Row],[Min]],FIND("-",Table7[[#This Row],[Min]])-1),Table1[Content Sku],0),16,1,1,"Entities")),"review","ok"),"ok")</f>
        <v>ok</v>
      </c>
      <c r="U1856" t="s">
        <v>457</v>
      </c>
      <c r="V1856">
        <v>0</v>
      </c>
      <c r="W1856">
        <v>0</v>
      </c>
      <c r="X1856" t="s">
        <v>8</v>
      </c>
      <c r="Y1856" s="74" t="str">
        <f ca="1">IF(Table15[[#This Row],[Type]]="KILL",IF(_xlfn.NUMBERVALUE(RIGHT(Table15[[#This Row],[Min]],LEN(Table15[[#This Row],[Min]])-FIND("-",Table15[[#This Row],[Min]])))&gt;INDIRECT(ADDRESS(11+MATCH(LEFT(Table15[[#This Row],[Min]],FIND("-",Table15[[#This Row],[Min]])-1),Table1[Content Sku],0),16,1,1,"Entities")),"review","ok"),"ok")</f>
        <v>ok</v>
      </c>
    </row>
    <row r="1857" spans="5:25" x14ac:dyDescent="0.25">
      <c r="E1857" t="s">
        <v>95</v>
      </c>
      <c r="F1857">
        <v>0</v>
      </c>
      <c r="G1857">
        <v>0</v>
      </c>
      <c r="H1857" t="s">
        <v>8</v>
      </c>
      <c r="I1857" s="74" t="str">
        <f ca="1">IF(Table7[[#This Row],[Type]]="KILL",IF(_xlfn.NUMBERVALUE(RIGHT(Table7[[#This Row],[Min]],LEN(Table7[[#This Row],[Min]])-FIND("-",Table7[[#This Row],[Min]])))&gt;INDIRECT(ADDRESS(11+MATCH(LEFT(Table7[[#This Row],[Min]],FIND("-",Table7[[#This Row],[Min]])-1),Table1[Content Sku],0),16,1,1,"Entities")),"review","ok"),"ok")</f>
        <v>ok</v>
      </c>
      <c r="U1857" t="s">
        <v>460</v>
      </c>
      <c r="V1857">
        <v>0</v>
      </c>
      <c r="W1857">
        <v>0</v>
      </c>
      <c r="X1857" t="s">
        <v>8</v>
      </c>
      <c r="Y1857" s="74" t="str">
        <f ca="1">IF(Table15[[#This Row],[Type]]="KILL",IF(_xlfn.NUMBERVALUE(RIGHT(Table15[[#This Row],[Min]],LEN(Table15[[#This Row],[Min]])-FIND("-",Table15[[#This Row],[Min]])))&gt;INDIRECT(ADDRESS(11+MATCH(LEFT(Table15[[#This Row],[Min]],FIND("-",Table15[[#This Row],[Min]])-1),Table1[Content Sku],0),16,1,1,"Entities")),"review","ok"),"ok")</f>
        <v>ok</v>
      </c>
    </row>
    <row r="1858" spans="5:25" x14ac:dyDescent="0.25">
      <c r="E1858" t="s">
        <v>313</v>
      </c>
      <c r="F1858">
        <v>0</v>
      </c>
      <c r="G1858">
        <v>0</v>
      </c>
      <c r="H1858" t="s">
        <v>8</v>
      </c>
      <c r="I1858" s="74" t="str">
        <f ca="1">IF(Table7[[#This Row],[Type]]="KILL",IF(_xlfn.NUMBERVALUE(RIGHT(Table7[[#This Row],[Min]],LEN(Table7[[#This Row],[Min]])-FIND("-",Table7[[#This Row],[Min]])))&gt;INDIRECT(ADDRESS(11+MATCH(LEFT(Table7[[#This Row],[Min]],FIND("-",Table7[[#This Row],[Min]])-1),Table1[Content Sku],0),16,1,1,"Entities")),"review","ok"),"ok")</f>
        <v>ok</v>
      </c>
      <c r="U1858" t="s">
        <v>460</v>
      </c>
      <c r="V1858">
        <v>0</v>
      </c>
      <c r="W1858">
        <v>0</v>
      </c>
      <c r="X1858" t="s">
        <v>8</v>
      </c>
      <c r="Y1858" s="74" t="str">
        <f ca="1">IF(Table15[[#This Row],[Type]]="KILL",IF(_xlfn.NUMBERVALUE(RIGHT(Table15[[#This Row],[Min]],LEN(Table15[[#This Row],[Min]])-FIND("-",Table15[[#This Row],[Min]])))&gt;INDIRECT(ADDRESS(11+MATCH(LEFT(Table15[[#This Row],[Min]],FIND("-",Table15[[#This Row],[Min]])-1),Table1[Content Sku],0),16,1,1,"Entities")),"review","ok"),"ok")</f>
        <v>ok</v>
      </c>
    </row>
    <row r="1859" spans="5:25" x14ac:dyDescent="0.25">
      <c r="E1859" t="s">
        <v>313</v>
      </c>
      <c r="F1859">
        <v>0</v>
      </c>
      <c r="G1859">
        <v>0</v>
      </c>
      <c r="H1859" t="s">
        <v>8</v>
      </c>
      <c r="I1859" s="74" t="str">
        <f ca="1">IF(Table7[[#This Row],[Type]]="KILL",IF(_xlfn.NUMBERVALUE(RIGHT(Table7[[#This Row],[Min]],LEN(Table7[[#This Row],[Min]])-FIND("-",Table7[[#This Row],[Min]])))&gt;INDIRECT(ADDRESS(11+MATCH(LEFT(Table7[[#This Row],[Min]],FIND("-",Table7[[#This Row],[Min]])-1),Table1[Content Sku],0),16,1,1,"Entities")),"review","ok"),"ok")</f>
        <v>ok</v>
      </c>
      <c r="U1859" t="s">
        <v>457</v>
      </c>
      <c r="V1859">
        <v>0</v>
      </c>
      <c r="W1859">
        <v>0</v>
      </c>
      <c r="X1859" t="s">
        <v>8</v>
      </c>
      <c r="Y1859" s="74" t="str">
        <f ca="1">IF(Table15[[#This Row],[Type]]="KILL",IF(_xlfn.NUMBERVALUE(RIGHT(Table15[[#This Row],[Min]],LEN(Table15[[#This Row],[Min]])-FIND("-",Table15[[#This Row],[Min]])))&gt;INDIRECT(ADDRESS(11+MATCH(LEFT(Table15[[#This Row],[Min]],FIND("-",Table15[[#This Row],[Min]])-1),Table1[Content Sku],0),16,1,1,"Entities")),"review","ok"),"ok")</f>
        <v>ok</v>
      </c>
    </row>
    <row r="1860" spans="5:25" x14ac:dyDescent="0.25">
      <c r="E1860" t="s">
        <v>2723</v>
      </c>
      <c r="F1860">
        <v>0</v>
      </c>
      <c r="G1860">
        <v>0</v>
      </c>
      <c r="H1860" t="s">
        <v>8</v>
      </c>
      <c r="I1860" s="74" t="str">
        <f ca="1">IF(Table7[[#This Row],[Type]]="KILL",IF(_xlfn.NUMBERVALUE(RIGHT(Table7[[#This Row],[Min]],LEN(Table7[[#This Row],[Min]])-FIND("-",Table7[[#This Row],[Min]])))&gt;INDIRECT(ADDRESS(11+MATCH(LEFT(Table7[[#This Row],[Min]],FIND("-",Table7[[#This Row],[Min]])-1),Table1[Content Sku],0),16,1,1,"Entities")),"review","ok"),"ok")</f>
        <v>ok</v>
      </c>
      <c r="U1860" t="s">
        <v>396</v>
      </c>
      <c r="V1860">
        <v>40000</v>
      </c>
      <c r="W1860">
        <v>0</v>
      </c>
      <c r="X1860" t="s">
        <v>205</v>
      </c>
      <c r="Y1860" s="74" t="str">
        <f ca="1">IF(Table15[[#This Row],[Type]]="KILL",IF(_xlfn.NUMBERVALUE(RIGHT(Table15[[#This Row],[Min]],LEN(Table15[[#This Row],[Min]])-FIND("-",Table15[[#This Row],[Min]])))&gt;INDIRECT(ADDRESS(11+MATCH(LEFT(Table15[[#This Row],[Min]],FIND("-",Table15[[#This Row],[Min]])-1),Table1[Content Sku],0),16,1,1,"Entities")),"review","ok"),"ok")</f>
        <v>ok</v>
      </c>
    </row>
    <row r="1861" spans="5:25" x14ac:dyDescent="0.25">
      <c r="E1861" t="s">
        <v>278</v>
      </c>
      <c r="F1861">
        <v>0</v>
      </c>
      <c r="G1861">
        <v>7000</v>
      </c>
      <c r="H1861" t="s">
        <v>205</v>
      </c>
      <c r="I1861" s="74" t="str">
        <f ca="1">IF(Table7[[#This Row],[Type]]="KILL",IF(_xlfn.NUMBERVALUE(RIGHT(Table7[[#This Row],[Min]],LEN(Table7[[#This Row],[Min]])-FIND("-",Table7[[#This Row],[Min]])))&gt;INDIRECT(ADDRESS(11+MATCH(LEFT(Table7[[#This Row],[Min]],FIND("-",Table7[[#This Row],[Min]])-1),Table1[Content Sku],0),16,1,1,"Entities")),"review","ok"),"ok")</f>
        <v>ok</v>
      </c>
      <c r="U1861" t="s">
        <v>396</v>
      </c>
      <c r="V1861">
        <v>40000</v>
      </c>
      <c r="W1861">
        <v>0</v>
      </c>
      <c r="X1861" t="s">
        <v>205</v>
      </c>
      <c r="Y1861" s="74" t="str">
        <f ca="1">IF(Table15[[#This Row],[Type]]="KILL",IF(_xlfn.NUMBERVALUE(RIGHT(Table15[[#This Row],[Min]],LEN(Table15[[#This Row],[Min]])-FIND("-",Table15[[#This Row],[Min]])))&gt;INDIRECT(ADDRESS(11+MATCH(LEFT(Table15[[#This Row],[Min]],FIND("-",Table15[[#This Row],[Min]])-1),Table1[Content Sku],0),16,1,1,"Entities")),"review","ok"),"ok")</f>
        <v>ok</v>
      </c>
    </row>
    <row r="1862" spans="5:25" x14ac:dyDescent="0.25">
      <c r="E1862" t="s">
        <v>42</v>
      </c>
      <c r="F1862">
        <v>25500</v>
      </c>
      <c r="G1862">
        <v>0</v>
      </c>
      <c r="H1862" t="s">
        <v>205</v>
      </c>
      <c r="I1862" s="74" t="str">
        <f ca="1">IF(Table7[[#This Row],[Type]]="KILL",IF(_xlfn.NUMBERVALUE(RIGHT(Table7[[#This Row],[Min]],LEN(Table7[[#This Row],[Min]])-FIND("-",Table7[[#This Row],[Min]])))&gt;INDIRECT(ADDRESS(11+MATCH(LEFT(Table7[[#This Row],[Min]],FIND("-",Table7[[#This Row],[Min]])-1),Table1[Content Sku],0),16,1,1,"Entities")),"review","ok"),"ok")</f>
        <v>ok</v>
      </c>
      <c r="U1862" t="s">
        <v>457</v>
      </c>
      <c r="V1862">
        <v>0</v>
      </c>
      <c r="W1862">
        <v>0</v>
      </c>
      <c r="X1862" t="s">
        <v>8</v>
      </c>
      <c r="Y1862" s="74" t="str">
        <f ca="1">IF(Table15[[#This Row],[Type]]="KILL",IF(_xlfn.NUMBERVALUE(RIGHT(Table15[[#This Row],[Min]],LEN(Table15[[#This Row],[Min]])-FIND("-",Table15[[#This Row],[Min]])))&gt;INDIRECT(ADDRESS(11+MATCH(LEFT(Table15[[#This Row],[Min]],FIND("-",Table15[[#This Row],[Min]])-1),Table1[Content Sku],0),16,1,1,"Entities")),"review","ok"),"ok")</f>
        <v>ok</v>
      </c>
    </row>
    <row r="1863" spans="5:25" x14ac:dyDescent="0.25">
      <c r="E1863" t="s">
        <v>313</v>
      </c>
      <c r="F1863">
        <v>0</v>
      </c>
      <c r="G1863">
        <v>27000</v>
      </c>
      <c r="H1863" t="s">
        <v>205</v>
      </c>
      <c r="I1863" s="74" t="str">
        <f ca="1">IF(Table7[[#This Row],[Type]]="KILL",IF(_xlfn.NUMBERVALUE(RIGHT(Table7[[#This Row],[Min]],LEN(Table7[[#This Row],[Min]])-FIND("-",Table7[[#This Row],[Min]])))&gt;INDIRECT(ADDRESS(11+MATCH(LEFT(Table7[[#This Row],[Min]],FIND("-",Table7[[#This Row],[Min]])-1),Table1[Content Sku],0),16,1,1,"Entities")),"review","ok"),"ok")</f>
        <v>ok</v>
      </c>
      <c r="U1863" t="s">
        <v>21</v>
      </c>
      <c r="V1863">
        <v>0</v>
      </c>
      <c r="W1863">
        <v>0</v>
      </c>
      <c r="X1863" t="s">
        <v>8</v>
      </c>
      <c r="Y1863" s="74" t="str">
        <f ca="1">IF(Table15[[#This Row],[Type]]="KILL",IF(_xlfn.NUMBERVALUE(RIGHT(Table15[[#This Row],[Min]],LEN(Table15[[#This Row],[Min]])-FIND("-",Table15[[#This Row],[Min]])))&gt;INDIRECT(ADDRESS(11+MATCH(LEFT(Table15[[#This Row],[Min]],FIND("-",Table15[[#This Row],[Min]])-1),Table1[Content Sku],0),16,1,1,"Entities")),"review","ok"),"ok")</f>
        <v>ok</v>
      </c>
    </row>
    <row r="1864" spans="5:25" x14ac:dyDescent="0.25">
      <c r="E1864" t="s">
        <v>50</v>
      </c>
      <c r="F1864">
        <v>37000</v>
      </c>
      <c r="G1864">
        <v>0</v>
      </c>
      <c r="H1864" t="s">
        <v>205</v>
      </c>
      <c r="I1864" s="74" t="str">
        <f ca="1">IF(Table7[[#This Row],[Type]]="KILL",IF(_xlfn.NUMBERVALUE(RIGHT(Table7[[#This Row],[Min]],LEN(Table7[[#This Row],[Min]])-FIND("-",Table7[[#This Row],[Min]])))&gt;INDIRECT(ADDRESS(11+MATCH(LEFT(Table7[[#This Row],[Min]],FIND("-",Table7[[#This Row],[Min]])-1),Table1[Content Sku],0),16,1,1,"Entities")),"review","ok"),"ok")</f>
        <v>ok</v>
      </c>
      <c r="U1864" t="s">
        <v>396</v>
      </c>
      <c r="V1864">
        <v>40000</v>
      </c>
      <c r="W1864">
        <v>0</v>
      </c>
      <c r="X1864" t="s">
        <v>205</v>
      </c>
      <c r="Y1864" s="74" t="str">
        <f ca="1">IF(Table15[[#This Row],[Type]]="KILL",IF(_xlfn.NUMBERVALUE(RIGHT(Table15[[#This Row],[Min]],LEN(Table15[[#This Row],[Min]])-FIND("-",Table15[[#This Row],[Min]])))&gt;INDIRECT(ADDRESS(11+MATCH(LEFT(Table15[[#This Row],[Min]],FIND("-",Table15[[#This Row],[Min]])-1),Table1[Content Sku],0),16,1,1,"Entities")),"review","ok"),"ok")</f>
        <v>ok</v>
      </c>
    </row>
    <row r="1865" spans="5:25" x14ac:dyDescent="0.25">
      <c r="E1865" t="s">
        <v>400</v>
      </c>
      <c r="F1865">
        <v>0</v>
      </c>
      <c r="G1865">
        <v>0</v>
      </c>
      <c r="H1865" t="s">
        <v>8</v>
      </c>
      <c r="I1865" s="74" t="str">
        <f ca="1">IF(Table7[[#This Row],[Type]]="KILL",IF(_xlfn.NUMBERVALUE(RIGHT(Table7[[#This Row],[Min]],LEN(Table7[[#This Row],[Min]])-FIND("-",Table7[[#This Row],[Min]])))&gt;INDIRECT(ADDRESS(11+MATCH(LEFT(Table7[[#This Row],[Min]],FIND("-",Table7[[#This Row],[Min]])-1),Table1[Content Sku],0),16,1,1,"Entities")),"review","ok"),"ok")</f>
        <v>ok</v>
      </c>
      <c r="U1865" t="s">
        <v>313</v>
      </c>
      <c r="V1865">
        <v>0</v>
      </c>
      <c r="W1865">
        <v>0</v>
      </c>
      <c r="X1865" t="s">
        <v>8</v>
      </c>
      <c r="Y1865" s="74" t="str">
        <f ca="1">IF(Table15[[#This Row],[Type]]="KILL",IF(_xlfn.NUMBERVALUE(RIGHT(Table15[[#This Row],[Min]],LEN(Table15[[#This Row],[Min]])-FIND("-",Table15[[#This Row],[Min]])))&gt;INDIRECT(ADDRESS(11+MATCH(LEFT(Table15[[#This Row],[Min]],FIND("-",Table15[[#This Row],[Min]])-1),Table1[Content Sku],0),16,1,1,"Entities")),"review","ok"),"ok")</f>
        <v>ok</v>
      </c>
    </row>
    <row r="1866" spans="5:25" x14ac:dyDescent="0.25">
      <c r="E1866" t="s">
        <v>313</v>
      </c>
      <c r="F1866">
        <v>0</v>
      </c>
      <c r="G1866">
        <v>0</v>
      </c>
      <c r="H1866" t="s">
        <v>8</v>
      </c>
      <c r="I1866" s="74" t="str">
        <f ca="1">IF(Table7[[#This Row],[Type]]="KILL",IF(_xlfn.NUMBERVALUE(RIGHT(Table7[[#This Row],[Min]],LEN(Table7[[#This Row],[Min]])-FIND("-",Table7[[#This Row],[Min]])))&gt;INDIRECT(ADDRESS(11+MATCH(LEFT(Table7[[#This Row],[Min]],FIND("-",Table7[[#This Row],[Min]])-1),Table1[Content Sku],0),16,1,1,"Entities")),"review","ok"),"ok")</f>
        <v>ok</v>
      </c>
      <c r="U1866" t="s">
        <v>123</v>
      </c>
      <c r="V1866">
        <v>0</v>
      </c>
      <c r="W1866">
        <v>0</v>
      </c>
      <c r="X1866" t="s">
        <v>8</v>
      </c>
      <c r="Y1866" s="74" t="str">
        <f ca="1">IF(Table15[[#This Row],[Type]]="KILL",IF(_xlfn.NUMBERVALUE(RIGHT(Table15[[#This Row],[Min]],LEN(Table15[[#This Row],[Min]])-FIND("-",Table15[[#This Row],[Min]])))&gt;INDIRECT(ADDRESS(11+MATCH(LEFT(Table15[[#This Row],[Min]],FIND("-",Table15[[#This Row],[Min]])-1),Table1[Content Sku],0),16,1,1,"Entities")),"review","ok"),"ok")</f>
        <v>ok</v>
      </c>
    </row>
    <row r="1867" spans="5:25" x14ac:dyDescent="0.25">
      <c r="E1867" t="s">
        <v>2741</v>
      </c>
      <c r="F1867">
        <v>0</v>
      </c>
      <c r="G1867">
        <v>0</v>
      </c>
      <c r="H1867" t="s">
        <v>8</v>
      </c>
      <c r="I1867" s="74" t="str">
        <f ca="1">IF(Table7[[#This Row],[Type]]="KILL",IF(_xlfn.NUMBERVALUE(RIGHT(Table7[[#This Row],[Min]],LEN(Table7[[#This Row],[Min]])-FIND("-",Table7[[#This Row],[Min]])))&gt;INDIRECT(ADDRESS(11+MATCH(LEFT(Table7[[#This Row],[Min]],FIND("-",Table7[[#This Row],[Min]])-1),Table1[Content Sku],0),16,1,1,"Entities")),"review","ok"),"ok")</f>
        <v>ok</v>
      </c>
      <c r="U1867" t="s">
        <v>2720</v>
      </c>
      <c r="V1867">
        <v>0</v>
      </c>
      <c r="W1867">
        <v>43000</v>
      </c>
      <c r="X1867" t="s">
        <v>205</v>
      </c>
      <c r="Y1867" s="74" t="str">
        <f ca="1">IF(Table15[[#This Row],[Type]]="KILL",IF(_xlfn.NUMBERVALUE(RIGHT(Table15[[#This Row],[Min]],LEN(Table15[[#This Row],[Min]])-FIND("-",Table15[[#This Row],[Min]])))&gt;INDIRECT(ADDRESS(11+MATCH(LEFT(Table15[[#This Row],[Min]],FIND("-",Table15[[#This Row],[Min]])-1),Table1[Content Sku],0),16,1,1,"Entities")),"review","ok"),"ok")</f>
        <v>ok</v>
      </c>
    </row>
    <row r="1868" spans="5:25" x14ac:dyDescent="0.25">
      <c r="E1868" t="s">
        <v>43</v>
      </c>
      <c r="F1868">
        <v>16000</v>
      </c>
      <c r="G1868">
        <v>0</v>
      </c>
      <c r="H1868" t="s">
        <v>205</v>
      </c>
      <c r="I1868" s="74" t="str">
        <f ca="1">IF(Table7[[#This Row],[Type]]="KILL",IF(_xlfn.NUMBERVALUE(RIGHT(Table7[[#This Row],[Min]],LEN(Table7[[#This Row],[Min]])-FIND("-",Table7[[#This Row],[Min]])))&gt;INDIRECT(ADDRESS(11+MATCH(LEFT(Table7[[#This Row],[Min]],FIND("-",Table7[[#This Row],[Min]])-1),Table1[Content Sku],0),16,1,1,"Entities")),"review","ok"),"ok")</f>
        <v>ok</v>
      </c>
      <c r="U1868" t="s">
        <v>37</v>
      </c>
      <c r="V1868">
        <v>0</v>
      </c>
      <c r="W1868">
        <v>0</v>
      </c>
      <c r="X1868" t="s">
        <v>8</v>
      </c>
      <c r="Y1868" s="74" t="str">
        <f ca="1">IF(Table15[[#This Row],[Type]]="KILL",IF(_xlfn.NUMBERVALUE(RIGHT(Table15[[#This Row],[Min]],LEN(Table15[[#This Row],[Min]])-FIND("-",Table15[[#This Row],[Min]])))&gt;INDIRECT(ADDRESS(11+MATCH(LEFT(Table15[[#This Row],[Min]],FIND("-",Table15[[#This Row],[Min]])-1),Table1[Content Sku],0),16,1,1,"Entities")),"review","ok"),"ok")</f>
        <v>ok</v>
      </c>
    </row>
    <row r="1869" spans="5:25" x14ac:dyDescent="0.25">
      <c r="E1869" t="s">
        <v>92</v>
      </c>
      <c r="F1869">
        <v>0</v>
      </c>
      <c r="G1869">
        <v>0</v>
      </c>
      <c r="H1869" t="s">
        <v>8</v>
      </c>
      <c r="I1869" s="74" t="str">
        <f ca="1">IF(Table7[[#This Row],[Type]]="KILL",IF(_xlfn.NUMBERVALUE(RIGHT(Table7[[#This Row],[Min]],LEN(Table7[[#This Row],[Min]])-FIND("-",Table7[[#This Row],[Min]])))&gt;INDIRECT(ADDRESS(11+MATCH(LEFT(Table7[[#This Row],[Min]],FIND("-",Table7[[#This Row],[Min]])-1),Table1[Content Sku],0),16,1,1,"Entities")),"review","ok"),"ok")</f>
        <v>ok</v>
      </c>
      <c r="U1869" t="s">
        <v>457</v>
      </c>
      <c r="V1869">
        <v>0</v>
      </c>
      <c r="W1869">
        <v>0</v>
      </c>
      <c r="X1869" t="s">
        <v>8</v>
      </c>
      <c r="Y1869" s="74" t="str">
        <f ca="1">IF(Table15[[#This Row],[Type]]="KILL",IF(_xlfn.NUMBERVALUE(RIGHT(Table15[[#This Row],[Min]],LEN(Table15[[#This Row],[Min]])-FIND("-",Table15[[#This Row],[Min]])))&gt;INDIRECT(ADDRESS(11+MATCH(LEFT(Table15[[#This Row],[Min]],FIND("-",Table15[[#This Row],[Min]])-1),Table1[Content Sku],0),16,1,1,"Entities")),"review","ok"),"ok")</f>
        <v>ok</v>
      </c>
    </row>
    <row r="1870" spans="5:25" x14ac:dyDescent="0.25">
      <c r="E1870" t="s">
        <v>50</v>
      </c>
      <c r="F1870">
        <v>26000</v>
      </c>
      <c r="G1870">
        <v>0</v>
      </c>
      <c r="H1870" t="s">
        <v>205</v>
      </c>
      <c r="I1870" s="74" t="str">
        <f ca="1">IF(Table7[[#This Row],[Type]]="KILL",IF(_xlfn.NUMBERVALUE(RIGHT(Table7[[#This Row],[Min]],LEN(Table7[[#This Row],[Min]])-FIND("-",Table7[[#This Row],[Min]])))&gt;INDIRECT(ADDRESS(11+MATCH(LEFT(Table7[[#This Row],[Min]],FIND("-",Table7[[#This Row],[Min]])-1),Table1[Content Sku],0),16,1,1,"Entities")),"review","ok"),"ok")</f>
        <v>ok</v>
      </c>
      <c r="U1870" t="s">
        <v>42</v>
      </c>
      <c r="V1870">
        <v>60000</v>
      </c>
      <c r="W1870">
        <v>0</v>
      </c>
      <c r="X1870" t="s">
        <v>205</v>
      </c>
      <c r="Y1870" s="74" t="str">
        <f ca="1">IF(Table15[[#This Row],[Type]]="KILL",IF(_xlfn.NUMBERVALUE(RIGHT(Table15[[#This Row],[Min]],LEN(Table15[[#This Row],[Min]])-FIND("-",Table15[[#This Row],[Min]])))&gt;INDIRECT(ADDRESS(11+MATCH(LEFT(Table15[[#This Row],[Min]],FIND("-",Table15[[#This Row],[Min]])-1),Table1[Content Sku],0),16,1,1,"Entities")),"review","ok"),"ok")</f>
        <v>ok</v>
      </c>
    </row>
    <row r="1871" spans="5:25" x14ac:dyDescent="0.25">
      <c r="E1871" t="s">
        <v>2741</v>
      </c>
      <c r="F1871">
        <v>0</v>
      </c>
      <c r="G1871">
        <v>0</v>
      </c>
      <c r="H1871" t="s">
        <v>8</v>
      </c>
      <c r="I1871" s="74" t="str">
        <f ca="1">IF(Table7[[#This Row],[Type]]="KILL",IF(_xlfn.NUMBERVALUE(RIGHT(Table7[[#This Row],[Min]],LEN(Table7[[#This Row],[Min]])-FIND("-",Table7[[#This Row],[Min]])))&gt;INDIRECT(ADDRESS(11+MATCH(LEFT(Table7[[#This Row],[Min]],FIND("-",Table7[[#This Row],[Min]])-1),Table1[Content Sku],0),16,1,1,"Entities")),"review","ok"),"ok")</f>
        <v>ok</v>
      </c>
      <c r="U1871" t="s">
        <v>460</v>
      </c>
      <c r="V1871">
        <v>0</v>
      </c>
      <c r="W1871">
        <v>0</v>
      </c>
      <c r="X1871" t="s">
        <v>8</v>
      </c>
      <c r="Y1871" s="74" t="str">
        <f ca="1">IF(Table15[[#This Row],[Type]]="KILL",IF(_xlfn.NUMBERVALUE(RIGHT(Table15[[#This Row],[Min]],LEN(Table15[[#This Row],[Min]])-FIND("-",Table15[[#This Row],[Min]])))&gt;INDIRECT(ADDRESS(11+MATCH(LEFT(Table15[[#This Row],[Min]],FIND("-",Table15[[#This Row],[Min]])-1),Table1[Content Sku],0),16,1,1,"Entities")),"review","ok"),"ok")</f>
        <v>ok</v>
      </c>
    </row>
    <row r="1872" spans="5:25" x14ac:dyDescent="0.25">
      <c r="E1872" t="s">
        <v>8133</v>
      </c>
      <c r="F1872">
        <v>0</v>
      </c>
      <c r="G1872">
        <v>0</v>
      </c>
      <c r="H1872" t="s">
        <v>8</v>
      </c>
      <c r="I1872" s="74" t="str">
        <f ca="1">IF(Table7[[#This Row],[Type]]="KILL",IF(_xlfn.NUMBERVALUE(RIGHT(Table7[[#This Row],[Min]],LEN(Table7[[#This Row],[Min]])-FIND("-",Table7[[#This Row],[Min]])))&gt;INDIRECT(ADDRESS(11+MATCH(LEFT(Table7[[#This Row],[Min]],FIND("-",Table7[[#This Row],[Min]])-1),Table1[Content Sku],0),16,1,1,"Entities")),"review","ok"),"ok")</f>
        <v>ok</v>
      </c>
      <c r="U1872" t="s">
        <v>457</v>
      </c>
      <c r="V1872">
        <v>0</v>
      </c>
      <c r="W1872">
        <v>0</v>
      </c>
      <c r="X1872" t="s">
        <v>8</v>
      </c>
      <c r="Y1872" s="74" t="str">
        <f ca="1">IF(Table15[[#This Row],[Type]]="KILL",IF(_xlfn.NUMBERVALUE(RIGHT(Table15[[#This Row],[Min]],LEN(Table15[[#This Row],[Min]])-FIND("-",Table15[[#This Row],[Min]])))&gt;INDIRECT(ADDRESS(11+MATCH(LEFT(Table15[[#This Row],[Min]],FIND("-",Table15[[#This Row],[Min]])-1),Table1[Content Sku],0),16,1,1,"Entities")),"review","ok"),"ok")</f>
        <v>ok</v>
      </c>
    </row>
    <row r="1873" spans="5:25" x14ac:dyDescent="0.25">
      <c r="E1873" t="s">
        <v>8133</v>
      </c>
      <c r="F1873">
        <v>0</v>
      </c>
      <c r="G1873">
        <v>0</v>
      </c>
      <c r="H1873" t="s">
        <v>8</v>
      </c>
      <c r="I1873" s="74" t="str">
        <f ca="1">IF(Table7[[#This Row],[Type]]="KILL",IF(_xlfn.NUMBERVALUE(RIGHT(Table7[[#This Row],[Min]],LEN(Table7[[#This Row],[Min]])-FIND("-",Table7[[#This Row],[Min]])))&gt;INDIRECT(ADDRESS(11+MATCH(LEFT(Table7[[#This Row],[Min]],FIND("-",Table7[[#This Row],[Min]])-1),Table1[Content Sku],0),16,1,1,"Entities")),"review","ok"),"ok")</f>
        <v>ok</v>
      </c>
      <c r="U1873" t="s">
        <v>123</v>
      </c>
      <c r="V1873">
        <v>0</v>
      </c>
      <c r="W1873">
        <v>0</v>
      </c>
      <c r="X1873" t="s">
        <v>8</v>
      </c>
      <c r="Y1873" s="74" t="str">
        <f ca="1">IF(Table15[[#This Row],[Type]]="KILL",IF(_xlfn.NUMBERVALUE(RIGHT(Table15[[#This Row],[Min]],LEN(Table15[[#This Row],[Min]])-FIND("-",Table15[[#This Row],[Min]])))&gt;INDIRECT(ADDRESS(11+MATCH(LEFT(Table15[[#This Row],[Min]],FIND("-",Table15[[#This Row],[Min]])-1),Table1[Content Sku],0),16,1,1,"Entities")),"review","ok"),"ok")</f>
        <v>ok</v>
      </c>
    </row>
    <row r="1874" spans="5:25" x14ac:dyDescent="0.25">
      <c r="E1874" t="s">
        <v>46</v>
      </c>
      <c r="F1874">
        <v>0</v>
      </c>
      <c r="G1874">
        <v>0</v>
      </c>
      <c r="H1874" t="s">
        <v>8</v>
      </c>
      <c r="I1874" s="74" t="str">
        <f ca="1">IF(Table7[[#This Row],[Type]]="KILL",IF(_xlfn.NUMBERVALUE(RIGHT(Table7[[#This Row],[Min]],LEN(Table7[[#This Row],[Min]])-FIND("-",Table7[[#This Row],[Min]])))&gt;INDIRECT(ADDRESS(11+MATCH(LEFT(Table7[[#This Row],[Min]],FIND("-",Table7[[#This Row],[Min]])-1),Table1[Content Sku],0),16,1,1,"Entities")),"review","ok"),"ok")</f>
        <v>ok</v>
      </c>
      <c r="U1874" t="s">
        <v>2720</v>
      </c>
      <c r="V1874">
        <v>0</v>
      </c>
      <c r="W1874">
        <v>32000</v>
      </c>
      <c r="X1874" t="s">
        <v>205</v>
      </c>
      <c r="Y1874" s="74" t="str">
        <f ca="1">IF(Table15[[#This Row],[Type]]="KILL",IF(_xlfn.NUMBERVALUE(RIGHT(Table15[[#This Row],[Min]],LEN(Table15[[#This Row],[Min]])-FIND("-",Table15[[#This Row],[Min]])))&gt;INDIRECT(ADDRESS(11+MATCH(LEFT(Table15[[#This Row],[Min]],FIND("-",Table15[[#This Row],[Min]])-1),Table1[Content Sku],0),16,1,1,"Entities")),"review","ok"),"ok")</f>
        <v>ok</v>
      </c>
    </row>
    <row r="1875" spans="5:25" x14ac:dyDescent="0.25">
      <c r="E1875" t="s">
        <v>313</v>
      </c>
      <c r="F1875">
        <v>0</v>
      </c>
      <c r="G1875">
        <v>0</v>
      </c>
      <c r="H1875" t="s">
        <v>8</v>
      </c>
      <c r="I1875" s="74" t="str">
        <f ca="1">IF(Table7[[#This Row],[Type]]="KILL",IF(_xlfn.NUMBERVALUE(RIGHT(Table7[[#This Row],[Min]],LEN(Table7[[#This Row],[Min]])-FIND("-",Table7[[#This Row],[Min]])))&gt;INDIRECT(ADDRESS(11+MATCH(LEFT(Table7[[#This Row],[Min]],FIND("-",Table7[[#This Row],[Min]])-1),Table1[Content Sku],0),16,1,1,"Entities")),"review","ok"),"ok")</f>
        <v>ok</v>
      </c>
      <c r="U1875" t="s">
        <v>400</v>
      </c>
      <c r="V1875">
        <v>0</v>
      </c>
      <c r="W1875">
        <v>0</v>
      </c>
      <c r="X1875" t="s">
        <v>8</v>
      </c>
      <c r="Y1875" s="74" t="str">
        <f ca="1">IF(Table15[[#This Row],[Type]]="KILL",IF(_xlfn.NUMBERVALUE(RIGHT(Table15[[#This Row],[Min]],LEN(Table15[[#This Row],[Min]])-FIND("-",Table15[[#This Row],[Min]])))&gt;INDIRECT(ADDRESS(11+MATCH(LEFT(Table15[[#This Row],[Min]],FIND("-",Table15[[#This Row],[Min]])-1),Table1[Content Sku],0),16,1,1,"Entities")),"review","ok"),"ok")</f>
        <v>ok</v>
      </c>
    </row>
    <row r="1876" spans="5:25" x14ac:dyDescent="0.25">
      <c r="E1876" t="s">
        <v>91</v>
      </c>
      <c r="F1876">
        <v>8000</v>
      </c>
      <c r="G1876">
        <v>0</v>
      </c>
      <c r="H1876" t="s">
        <v>205</v>
      </c>
      <c r="I1876" s="74" t="str">
        <f ca="1">IF(Table7[[#This Row],[Type]]="KILL",IF(_xlfn.NUMBERVALUE(RIGHT(Table7[[#This Row],[Min]],LEN(Table7[[#This Row],[Min]])-FIND("-",Table7[[#This Row],[Min]])))&gt;INDIRECT(ADDRESS(11+MATCH(LEFT(Table7[[#This Row],[Min]],FIND("-",Table7[[#This Row],[Min]])-1),Table1[Content Sku],0),16,1,1,"Entities")),"review","ok"),"ok")</f>
        <v>ok</v>
      </c>
      <c r="U1876" t="s">
        <v>457</v>
      </c>
      <c r="V1876">
        <v>0</v>
      </c>
      <c r="W1876">
        <v>0</v>
      </c>
      <c r="X1876" t="s">
        <v>8</v>
      </c>
      <c r="Y1876" s="74" t="str">
        <f ca="1">IF(Table15[[#This Row],[Type]]="KILL",IF(_xlfn.NUMBERVALUE(RIGHT(Table15[[#This Row],[Min]],LEN(Table15[[#This Row],[Min]])-FIND("-",Table15[[#This Row],[Min]])))&gt;INDIRECT(ADDRESS(11+MATCH(LEFT(Table15[[#This Row],[Min]],FIND("-",Table15[[#This Row],[Min]])-1),Table1[Content Sku],0),16,1,1,"Entities")),"review","ok"),"ok")</f>
        <v>ok</v>
      </c>
    </row>
    <row r="1877" spans="5:25" x14ac:dyDescent="0.25">
      <c r="E1877" t="s">
        <v>91</v>
      </c>
      <c r="F1877">
        <v>29000</v>
      </c>
      <c r="G1877">
        <v>39000</v>
      </c>
      <c r="H1877" t="s">
        <v>205</v>
      </c>
      <c r="I1877" s="74" t="str">
        <f ca="1">IF(Table7[[#This Row],[Type]]="KILL",IF(_xlfn.NUMBERVALUE(RIGHT(Table7[[#This Row],[Min]],LEN(Table7[[#This Row],[Min]])-FIND("-",Table7[[#This Row],[Min]])))&gt;INDIRECT(ADDRESS(11+MATCH(LEFT(Table7[[#This Row],[Min]],FIND("-",Table7[[#This Row],[Min]])-1),Table1[Content Sku],0),16,1,1,"Entities")),"review","ok"),"ok")</f>
        <v>ok</v>
      </c>
      <c r="U1877" t="s">
        <v>313</v>
      </c>
      <c r="V1877">
        <v>0</v>
      </c>
      <c r="W1877">
        <v>0</v>
      </c>
      <c r="X1877" t="s">
        <v>8</v>
      </c>
      <c r="Y1877" s="74" t="str">
        <f ca="1">IF(Table15[[#This Row],[Type]]="KILL",IF(_xlfn.NUMBERVALUE(RIGHT(Table15[[#This Row],[Min]],LEN(Table15[[#This Row],[Min]])-FIND("-",Table15[[#This Row],[Min]])))&gt;INDIRECT(ADDRESS(11+MATCH(LEFT(Table15[[#This Row],[Min]],FIND("-",Table15[[#This Row],[Min]])-1),Table1[Content Sku],0),16,1,1,"Entities")),"review","ok"),"ok")</f>
        <v>ok</v>
      </c>
    </row>
    <row r="1878" spans="5:25" x14ac:dyDescent="0.25">
      <c r="E1878" t="s">
        <v>8153</v>
      </c>
      <c r="F1878">
        <v>0</v>
      </c>
      <c r="G1878">
        <v>0</v>
      </c>
      <c r="H1878" t="s">
        <v>8</v>
      </c>
      <c r="I1878" s="74" t="str">
        <f ca="1">IF(Table7[[#This Row],[Type]]="KILL",IF(_xlfn.NUMBERVALUE(RIGHT(Table7[[#This Row],[Min]],LEN(Table7[[#This Row],[Min]])-FIND("-",Table7[[#This Row],[Min]])))&gt;INDIRECT(ADDRESS(11+MATCH(LEFT(Table7[[#This Row],[Min]],FIND("-",Table7[[#This Row],[Min]])-1),Table1[Content Sku],0),16,1,1,"Entities")),"review","ok"),"ok")</f>
        <v>ok</v>
      </c>
      <c r="U1878" t="s">
        <v>2720</v>
      </c>
      <c r="V1878">
        <v>0</v>
      </c>
      <c r="W1878">
        <v>0</v>
      </c>
      <c r="X1878" t="s">
        <v>8</v>
      </c>
      <c r="Y1878" s="74" t="str">
        <f ca="1">IF(Table15[[#This Row],[Type]]="KILL",IF(_xlfn.NUMBERVALUE(RIGHT(Table15[[#This Row],[Min]],LEN(Table15[[#This Row],[Min]])-FIND("-",Table15[[#This Row],[Min]])))&gt;INDIRECT(ADDRESS(11+MATCH(LEFT(Table15[[#This Row],[Min]],FIND("-",Table15[[#This Row],[Min]])-1),Table1[Content Sku],0),16,1,1,"Entities")),"review","ok"),"ok")</f>
        <v>ok</v>
      </c>
    </row>
    <row r="1879" spans="5:25" x14ac:dyDescent="0.25">
      <c r="E1879" t="s">
        <v>313</v>
      </c>
      <c r="F1879">
        <v>0</v>
      </c>
      <c r="G1879">
        <v>17000</v>
      </c>
      <c r="H1879" t="s">
        <v>205</v>
      </c>
      <c r="I1879" s="74" t="str">
        <f ca="1">IF(Table7[[#This Row],[Type]]="KILL",IF(_xlfn.NUMBERVALUE(RIGHT(Table7[[#This Row],[Min]],LEN(Table7[[#This Row],[Min]])-FIND("-",Table7[[#This Row],[Min]])))&gt;INDIRECT(ADDRESS(11+MATCH(LEFT(Table7[[#This Row],[Min]],FIND("-",Table7[[#This Row],[Min]])-1),Table1[Content Sku],0),16,1,1,"Entities")),"review","ok"),"ok")</f>
        <v>ok</v>
      </c>
      <c r="U1879" t="s">
        <v>396</v>
      </c>
      <c r="V1879">
        <v>40000</v>
      </c>
      <c r="W1879">
        <v>0</v>
      </c>
      <c r="X1879" t="s">
        <v>205</v>
      </c>
      <c r="Y1879" s="74" t="str">
        <f ca="1">IF(Table15[[#This Row],[Type]]="KILL",IF(_xlfn.NUMBERVALUE(RIGHT(Table15[[#This Row],[Min]],LEN(Table15[[#This Row],[Min]])-FIND("-",Table15[[#This Row],[Min]])))&gt;INDIRECT(ADDRESS(11+MATCH(LEFT(Table15[[#This Row],[Min]],FIND("-",Table15[[#This Row],[Min]])-1),Table1[Content Sku],0),16,1,1,"Entities")),"review","ok"),"ok")</f>
        <v>ok</v>
      </c>
    </row>
    <row r="1880" spans="5:25" x14ac:dyDescent="0.25">
      <c r="E1880" t="s">
        <v>545</v>
      </c>
      <c r="F1880">
        <v>0</v>
      </c>
      <c r="G1880">
        <v>0</v>
      </c>
      <c r="H1880" t="s">
        <v>8</v>
      </c>
      <c r="I1880" s="74" t="str">
        <f ca="1">IF(Table7[[#This Row],[Type]]="KILL",IF(_xlfn.NUMBERVALUE(RIGHT(Table7[[#This Row],[Min]],LEN(Table7[[#This Row],[Min]])-FIND("-",Table7[[#This Row],[Min]])))&gt;INDIRECT(ADDRESS(11+MATCH(LEFT(Table7[[#This Row],[Min]],FIND("-",Table7[[#This Row],[Min]])-1),Table1[Content Sku],0),16,1,1,"Entities")),"review","ok"),"ok")</f>
        <v>ok</v>
      </c>
      <c r="U1880" t="s">
        <v>396</v>
      </c>
      <c r="V1880">
        <v>40000</v>
      </c>
      <c r="W1880">
        <v>0</v>
      </c>
      <c r="X1880" t="s">
        <v>205</v>
      </c>
      <c r="Y1880" s="74" t="str">
        <f ca="1">IF(Table15[[#This Row],[Type]]="KILL",IF(_xlfn.NUMBERVALUE(RIGHT(Table15[[#This Row],[Min]],LEN(Table15[[#This Row],[Min]])-FIND("-",Table15[[#This Row],[Min]])))&gt;INDIRECT(ADDRESS(11+MATCH(LEFT(Table15[[#This Row],[Min]],FIND("-",Table15[[#This Row],[Min]])-1),Table1[Content Sku],0),16,1,1,"Entities")),"review","ok"),"ok")</f>
        <v>ok</v>
      </c>
    </row>
    <row r="1881" spans="5:25" x14ac:dyDescent="0.25">
      <c r="E1881" t="s">
        <v>2732</v>
      </c>
      <c r="F1881">
        <v>0</v>
      </c>
      <c r="G1881">
        <v>0</v>
      </c>
      <c r="H1881" t="s">
        <v>8</v>
      </c>
      <c r="I1881" s="74" t="str">
        <f ca="1">IF(Table7[[#This Row],[Type]]="KILL",IF(_xlfn.NUMBERVALUE(RIGHT(Table7[[#This Row],[Min]],LEN(Table7[[#This Row],[Min]])-FIND("-",Table7[[#This Row],[Min]])))&gt;INDIRECT(ADDRESS(11+MATCH(LEFT(Table7[[#This Row],[Min]],FIND("-",Table7[[#This Row],[Min]])-1),Table1[Content Sku],0),16,1,1,"Entities")),"review","ok"),"ok")</f>
        <v>ok</v>
      </c>
      <c r="U1881" t="s">
        <v>2720</v>
      </c>
      <c r="V1881">
        <v>0</v>
      </c>
      <c r="W1881">
        <v>250</v>
      </c>
      <c r="X1881" t="s">
        <v>4431</v>
      </c>
      <c r="Y1881" s="74" t="str">
        <f ca="1">IF(Table15[[#This Row],[Type]]="KILL",IF(_xlfn.NUMBERVALUE(RIGHT(Table15[[#This Row],[Min]],LEN(Table15[[#This Row],[Min]])-FIND("-",Table15[[#This Row],[Min]])))&gt;INDIRECT(ADDRESS(11+MATCH(LEFT(Table15[[#This Row],[Min]],FIND("-",Table15[[#This Row],[Min]])-1),Table1[Content Sku],0),16,1,1,"Entities")),"review","ok"),"ok")</f>
        <v>ok</v>
      </c>
    </row>
    <row r="1882" spans="5:25" x14ac:dyDescent="0.25">
      <c r="E1882" t="s">
        <v>8133</v>
      </c>
      <c r="F1882">
        <v>0</v>
      </c>
      <c r="G1882">
        <v>0</v>
      </c>
      <c r="H1882" t="s">
        <v>8</v>
      </c>
      <c r="I1882" s="74" t="str">
        <f ca="1">IF(Table7[[#This Row],[Type]]="KILL",IF(_xlfn.NUMBERVALUE(RIGHT(Table7[[#This Row],[Min]],LEN(Table7[[#This Row],[Min]])-FIND("-",Table7[[#This Row],[Min]])))&gt;INDIRECT(ADDRESS(11+MATCH(LEFT(Table7[[#This Row],[Min]],FIND("-",Table7[[#This Row],[Min]])-1),Table1[Content Sku],0),16,1,1,"Entities")),"review","ok"),"ok")</f>
        <v>ok</v>
      </c>
      <c r="U1882" t="s">
        <v>313</v>
      </c>
      <c r="V1882">
        <v>0</v>
      </c>
      <c r="W1882">
        <v>0</v>
      </c>
      <c r="X1882" t="s">
        <v>8</v>
      </c>
      <c r="Y1882" s="74" t="str">
        <f ca="1">IF(Table15[[#This Row],[Type]]="KILL",IF(_xlfn.NUMBERVALUE(RIGHT(Table15[[#This Row],[Min]],LEN(Table15[[#This Row],[Min]])-FIND("-",Table15[[#This Row],[Min]])))&gt;INDIRECT(ADDRESS(11+MATCH(LEFT(Table15[[#This Row],[Min]],FIND("-",Table15[[#This Row],[Min]])-1),Table1[Content Sku],0),16,1,1,"Entities")),"review","ok"),"ok")</f>
        <v>ok</v>
      </c>
    </row>
    <row r="1883" spans="5:25" x14ac:dyDescent="0.25">
      <c r="E1883" t="s">
        <v>257</v>
      </c>
      <c r="F1883">
        <v>0</v>
      </c>
      <c r="G1883">
        <v>0</v>
      </c>
      <c r="H1883" t="s">
        <v>8</v>
      </c>
      <c r="I1883" s="74" t="str">
        <f ca="1">IF(Table7[[#This Row],[Type]]="KILL",IF(_xlfn.NUMBERVALUE(RIGHT(Table7[[#This Row],[Min]],LEN(Table7[[#This Row],[Min]])-FIND("-",Table7[[#This Row],[Min]])))&gt;INDIRECT(ADDRESS(11+MATCH(LEFT(Table7[[#This Row],[Min]],FIND("-",Table7[[#This Row],[Min]])-1),Table1[Content Sku],0),16,1,1,"Entities")),"review","ok"),"ok")</f>
        <v>ok</v>
      </c>
      <c r="U1883" t="s">
        <v>122</v>
      </c>
      <c r="V1883">
        <v>0</v>
      </c>
      <c r="W1883">
        <v>0</v>
      </c>
      <c r="X1883" t="s">
        <v>8</v>
      </c>
      <c r="Y1883" s="74" t="str">
        <f ca="1">IF(Table15[[#This Row],[Type]]="KILL",IF(_xlfn.NUMBERVALUE(RIGHT(Table15[[#This Row],[Min]],LEN(Table15[[#This Row],[Min]])-FIND("-",Table15[[#This Row],[Min]])))&gt;INDIRECT(ADDRESS(11+MATCH(LEFT(Table15[[#This Row],[Min]],FIND("-",Table15[[#This Row],[Min]])-1),Table1[Content Sku],0),16,1,1,"Entities")),"review","ok"),"ok")</f>
        <v>ok</v>
      </c>
    </row>
    <row r="1884" spans="5:25" x14ac:dyDescent="0.25">
      <c r="E1884" t="s">
        <v>253</v>
      </c>
      <c r="F1884">
        <v>0</v>
      </c>
      <c r="G1884">
        <v>10000</v>
      </c>
      <c r="H1884" t="s">
        <v>205</v>
      </c>
      <c r="I1884" s="74" t="str">
        <f ca="1">IF(Table7[[#This Row],[Type]]="KILL",IF(_xlfn.NUMBERVALUE(RIGHT(Table7[[#This Row],[Min]],LEN(Table7[[#This Row],[Min]])-FIND("-",Table7[[#This Row],[Min]])))&gt;INDIRECT(ADDRESS(11+MATCH(LEFT(Table7[[#This Row],[Min]],FIND("-",Table7[[#This Row],[Min]])-1),Table1[Content Sku],0),16,1,1,"Entities")),"review","ok"),"ok")</f>
        <v>ok</v>
      </c>
      <c r="U1884" t="s">
        <v>396</v>
      </c>
      <c r="V1884">
        <v>0</v>
      </c>
      <c r="W1884">
        <v>0</v>
      </c>
      <c r="X1884" t="s">
        <v>8</v>
      </c>
      <c r="Y1884" s="74" t="str">
        <f ca="1">IF(Table15[[#This Row],[Type]]="KILL",IF(_xlfn.NUMBERVALUE(RIGHT(Table15[[#This Row],[Min]],LEN(Table15[[#This Row],[Min]])-FIND("-",Table15[[#This Row],[Min]])))&gt;INDIRECT(ADDRESS(11+MATCH(LEFT(Table15[[#This Row],[Min]],FIND("-",Table15[[#This Row],[Min]])-1),Table1[Content Sku],0),16,1,1,"Entities")),"review","ok"),"ok")</f>
        <v>ok</v>
      </c>
    </row>
    <row r="1885" spans="5:25" x14ac:dyDescent="0.25">
      <c r="E1885" t="s">
        <v>90</v>
      </c>
      <c r="F1885">
        <v>0</v>
      </c>
      <c r="G1885">
        <v>0</v>
      </c>
      <c r="H1885" t="s">
        <v>8</v>
      </c>
      <c r="I1885" s="74" t="str">
        <f ca="1">IF(Table7[[#This Row],[Type]]="KILL",IF(_xlfn.NUMBERVALUE(RIGHT(Table7[[#This Row],[Min]],LEN(Table7[[#This Row],[Min]])-FIND("-",Table7[[#This Row],[Min]])))&gt;INDIRECT(ADDRESS(11+MATCH(LEFT(Table7[[#This Row],[Min]],FIND("-",Table7[[#This Row],[Min]])-1),Table1[Content Sku],0),16,1,1,"Entities")),"review","ok"),"ok")</f>
        <v>ok</v>
      </c>
      <c r="U1885" t="s">
        <v>2717</v>
      </c>
      <c r="V1885">
        <v>200</v>
      </c>
      <c r="W1885">
        <v>0</v>
      </c>
      <c r="X1885" t="s">
        <v>4431</v>
      </c>
      <c r="Y1885" s="74" t="str">
        <f ca="1">IF(Table15[[#This Row],[Type]]="KILL",IF(_xlfn.NUMBERVALUE(RIGHT(Table15[[#This Row],[Min]],LEN(Table15[[#This Row],[Min]])-FIND("-",Table15[[#This Row],[Min]])))&gt;INDIRECT(ADDRESS(11+MATCH(LEFT(Table15[[#This Row],[Min]],FIND("-",Table15[[#This Row],[Min]])-1),Table1[Content Sku],0),16,1,1,"Entities")),"review","ok"),"ok")</f>
        <v>ok</v>
      </c>
    </row>
    <row r="1886" spans="5:25" x14ac:dyDescent="0.25">
      <c r="E1886" t="s">
        <v>313</v>
      </c>
      <c r="F1886">
        <v>0</v>
      </c>
      <c r="G1886">
        <v>12000</v>
      </c>
      <c r="H1886" t="s">
        <v>205</v>
      </c>
      <c r="I1886" s="74" t="str">
        <f ca="1">IF(Table7[[#This Row],[Type]]="KILL",IF(_xlfn.NUMBERVALUE(RIGHT(Table7[[#This Row],[Min]],LEN(Table7[[#This Row],[Min]])-FIND("-",Table7[[#This Row],[Min]])))&gt;INDIRECT(ADDRESS(11+MATCH(LEFT(Table7[[#This Row],[Min]],FIND("-",Table7[[#This Row],[Min]])-1),Table1[Content Sku],0),16,1,1,"Entities")),"review","ok"),"ok")</f>
        <v>ok</v>
      </c>
      <c r="U1886" t="s">
        <v>443</v>
      </c>
      <c r="V1886">
        <v>0</v>
      </c>
      <c r="W1886">
        <v>0</v>
      </c>
      <c r="X1886" t="s">
        <v>8</v>
      </c>
      <c r="Y1886" s="74" t="str">
        <f ca="1">IF(Table15[[#This Row],[Type]]="KILL",IF(_xlfn.NUMBERVALUE(RIGHT(Table15[[#This Row],[Min]],LEN(Table15[[#This Row],[Min]])-FIND("-",Table15[[#This Row],[Min]])))&gt;INDIRECT(ADDRESS(11+MATCH(LEFT(Table15[[#This Row],[Min]],FIND("-",Table15[[#This Row],[Min]])-1),Table1[Content Sku],0),16,1,1,"Entities")),"review","ok"),"ok")</f>
        <v>ok</v>
      </c>
    </row>
    <row r="1887" spans="5:25" x14ac:dyDescent="0.25">
      <c r="E1887" t="s">
        <v>46</v>
      </c>
      <c r="F1887">
        <v>0</v>
      </c>
      <c r="G1887">
        <v>0</v>
      </c>
      <c r="H1887" t="s">
        <v>8</v>
      </c>
      <c r="I1887" s="74" t="str">
        <f ca="1">IF(Table7[[#This Row],[Type]]="KILL",IF(_xlfn.NUMBERVALUE(RIGHT(Table7[[#This Row],[Min]],LEN(Table7[[#This Row],[Min]])-FIND("-",Table7[[#This Row],[Min]])))&gt;INDIRECT(ADDRESS(11+MATCH(LEFT(Table7[[#This Row],[Min]],FIND("-",Table7[[#This Row],[Min]])-1),Table1[Content Sku],0),16,1,1,"Entities")),"review","ok"),"ok")</f>
        <v>ok</v>
      </c>
      <c r="U1887" t="s">
        <v>2717</v>
      </c>
      <c r="V1887">
        <v>365</v>
      </c>
      <c r="W1887">
        <v>0</v>
      </c>
      <c r="X1887" t="s">
        <v>4431</v>
      </c>
      <c r="Y1887" s="74" t="str">
        <f ca="1">IF(Table15[[#This Row],[Type]]="KILL",IF(_xlfn.NUMBERVALUE(RIGHT(Table15[[#This Row],[Min]],LEN(Table15[[#This Row],[Min]])-FIND("-",Table15[[#This Row],[Min]])))&gt;INDIRECT(ADDRESS(11+MATCH(LEFT(Table15[[#This Row],[Min]],FIND("-",Table15[[#This Row],[Min]])-1),Table1[Content Sku],0),16,1,1,"Entities")),"review","ok"),"ok")</f>
        <v>ok</v>
      </c>
    </row>
    <row r="1888" spans="5:25" x14ac:dyDescent="0.25">
      <c r="E1888" t="s">
        <v>2741</v>
      </c>
      <c r="F1888">
        <v>0</v>
      </c>
      <c r="G1888">
        <v>0</v>
      </c>
      <c r="H1888" t="s">
        <v>8</v>
      </c>
      <c r="I1888" s="74" t="str">
        <f ca="1">IF(Table7[[#This Row],[Type]]="KILL",IF(_xlfn.NUMBERVALUE(RIGHT(Table7[[#This Row],[Min]],LEN(Table7[[#This Row],[Min]])-FIND("-",Table7[[#This Row],[Min]])))&gt;INDIRECT(ADDRESS(11+MATCH(LEFT(Table7[[#This Row],[Min]],FIND("-",Table7[[#This Row],[Min]])-1),Table1[Content Sku],0),16,1,1,"Entities")),"review","ok"),"ok")</f>
        <v>ok</v>
      </c>
      <c r="U1888" t="s">
        <v>396</v>
      </c>
      <c r="V1888">
        <v>60000</v>
      </c>
      <c r="W1888">
        <v>0</v>
      </c>
      <c r="X1888" t="s">
        <v>205</v>
      </c>
      <c r="Y1888" s="74" t="str">
        <f ca="1">IF(Table15[[#This Row],[Type]]="KILL",IF(_xlfn.NUMBERVALUE(RIGHT(Table15[[#This Row],[Min]],LEN(Table15[[#This Row],[Min]])-FIND("-",Table15[[#This Row],[Min]])))&gt;INDIRECT(ADDRESS(11+MATCH(LEFT(Table15[[#This Row],[Min]],FIND("-",Table15[[#This Row],[Min]])-1),Table1[Content Sku],0),16,1,1,"Entities")),"review","ok"),"ok")</f>
        <v>ok</v>
      </c>
    </row>
    <row r="1889" spans="5:25" x14ac:dyDescent="0.25">
      <c r="E1889" t="s">
        <v>295</v>
      </c>
      <c r="F1889">
        <v>0</v>
      </c>
      <c r="G1889">
        <v>0</v>
      </c>
      <c r="H1889" t="s">
        <v>8</v>
      </c>
      <c r="I1889" s="74" t="str">
        <f ca="1">IF(Table7[[#This Row],[Type]]="KILL",IF(_xlfn.NUMBERVALUE(RIGHT(Table7[[#This Row],[Min]],LEN(Table7[[#This Row],[Min]])-FIND("-",Table7[[#This Row],[Min]])))&gt;INDIRECT(ADDRESS(11+MATCH(LEFT(Table7[[#This Row],[Min]],FIND("-",Table7[[#This Row],[Min]])-1),Table1[Content Sku],0),16,1,1,"Entities")),"review","ok"),"ok")</f>
        <v>ok</v>
      </c>
      <c r="U1889" t="s">
        <v>450</v>
      </c>
      <c r="V1889">
        <v>45000</v>
      </c>
      <c r="W1889">
        <v>0</v>
      </c>
      <c r="X1889" t="s">
        <v>205</v>
      </c>
      <c r="Y1889" s="74" t="str">
        <f ca="1">IF(Table15[[#This Row],[Type]]="KILL",IF(_xlfn.NUMBERVALUE(RIGHT(Table15[[#This Row],[Min]],LEN(Table15[[#This Row],[Min]])-FIND("-",Table15[[#This Row],[Min]])))&gt;INDIRECT(ADDRESS(11+MATCH(LEFT(Table15[[#This Row],[Min]],FIND("-",Table15[[#This Row],[Min]])-1),Table1[Content Sku],0),16,1,1,"Entities")),"review","ok"),"ok")</f>
        <v>ok</v>
      </c>
    </row>
    <row r="1890" spans="5:25" x14ac:dyDescent="0.25">
      <c r="E1890" t="s">
        <v>43</v>
      </c>
      <c r="F1890">
        <v>500</v>
      </c>
      <c r="G1890">
        <v>0</v>
      </c>
      <c r="H1890" t="s">
        <v>4431</v>
      </c>
      <c r="I1890" s="74" t="str">
        <f ca="1">IF(Table7[[#This Row],[Type]]="KILL",IF(_xlfn.NUMBERVALUE(RIGHT(Table7[[#This Row],[Min]],LEN(Table7[[#This Row],[Min]])-FIND("-",Table7[[#This Row],[Min]])))&gt;INDIRECT(ADDRESS(11+MATCH(LEFT(Table7[[#This Row],[Min]],FIND("-",Table7[[#This Row],[Min]])-1),Table1[Content Sku],0),16,1,1,"Entities")),"review","ok"),"ok")</f>
        <v>ok</v>
      </c>
      <c r="U1890" t="s">
        <v>37</v>
      </c>
      <c r="V1890">
        <v>0</v>
      </c>
      <c r="W1890">
        <v>0</v>
      </c>
      <c r="X1890" t="s">
        <v>8</v>
      </c>
      <c r="Y1890" s="74" t="str">
        <f ca="1">IF(Table15[[#This Row],[Type]]="KILL",IF(_xlfn.NUMBERVALUE(RIGHT(Table15[[#This Row],[Min]],LEN(Table15[[#This Row],[Min]])-FIND("-",Table15[[#This Row],[Min]])))&gt;INDIRECT(ADDRESS(11+MATCH(LEFT(Table15[[#This Row],[Min]],FIND("-",Table15[[#This Row],[Min]])-1),Table1[Content Sku],0),16,1,1,"Entities")),"review","ok"),"ok")</f>
        <v>ok</v>
      </c>
    </row>
    <row r="1891" spans="5:25" x14ac:dyDescent="0.25">
      <c r="E1891" t="s">
        <v>254</v>
      </c>
      <c r="F1891">
        <v>0</v>
      </c>
      <c r="G1891">
        <v>0</v>
      </c>
      <c r="H1891" t="s">
        <v>8</v>
      </c>
      <c r="I1891" s="74" t="str">
        <f ca="1">IF(Table7[[#This Row],[Type]]="KILL",IF(_xlfn.NUMBERVALUE(RIGHT(Table7[[#This Row],[Min]],LEN(Table7[[#This Row],[Min]])-FIND("-",Table7[[#This Row],[Min]])))&gt;INDIRECT(ADDRESS(11+MATCH(LEFT(Table7[[#This Row],[Min]],FIND("-",Table7[[#This Row],[Min]])-1),Table1[Content Sku],0),16,1,1,"Entities")),"review","ok"),"ok")</f>
        <v>ok</v>
      </c>
      <c r="U1891" t="s">
        <v>43</v>
      </c>
      <c r="V1891">
        <v>35000</v>
      </c>
      <c r="W1891">
        <v>0</v>
      </c>
      <c r="X1891" t="s">
        <v>205</v>
      </c>
      <c r="Y1891" s="74" t="str">
        <f ca="1">IF(Table15[[#This Row],[Type]]="KILL",IF(_xlfn.NUMBERVALUE(RIGHT(Table15[[#This Row],[Min]],LEN(Table15[[#This Row],[Min]])-FIND("-",Table15[[#This Row],[Min]])))&gt;INDIRECT(ADDRESS(11+MATCH(LEFT(Table15[[#This Row],[Min]],FIND("-",Table15[[#This Row],[Min]])-1),Table1[Content Sku],0),16,1,1,"Entities")),"review","ok"),"ok")</f>
        <v>ok</v>
      </c>
    </row>
    <row r="1892" spans="5:25" x14ac:dyDescent="0.25">
      <c r="E1892" t="s">
        <v>2741</v>
      </c>
      <c r="F1892">
        <v>0</v>
      </c>
      <c r="G1892">
        <v>0</v>
      </c>
      <c r="H1892" t="s">
        <v>8</v>
      </c>
      <c r="I1892" s="74" t="str">
        <f ca="1">IF(Table7[[#This Row],[Type]]="KILL",IF(_xlfn.NUMBERVALUE(RIGHT(Table7[[#This Row],[Min]],LEN(Table7[[#This Row],[Min]])-FIND("-",Table7[[#This Row],[Min]])))&gt;INDIRECT(ADDRESS(11+MATCH(LEFT(Table7[[#This Row],[Min]],FIND("-",Table7[[#This Row],[Min]])-1),Table1[Content Sku],0),16,1,1,"Entities")),"review","ok"),"ok")</f>
        <v>ok</v>
      </c>
      <c r="U1892" t="s">
        <v>313</v>
      </c>
      <c r="V1892">
        <v>0</v>
      </c>
      <c r="W1892">
        <v>0</v>
      </c>
      <c r="X1892" t="s">
        <v>8</v>
      </c>
      <c r="Y1892" s="74" t="str">
        <f ca="1">IF(Table15[[#This Row],[Type]]="KILL",IF(_xlfn.NUMBERVALUE(RIGHT(Table15[[#This Row],[Min]],LEN(Table15[[#This Row],[Min]])-FIND("-",Table15[[#This Row],[Min]])))&gt;INDIRECT(ADDRESS(11+MATCH(LEFT(Table15[[#This Row],[Min]],FIND("-",Table15[[#This Row],[Min]])-1),Table1[Content Sku],0),16,1,1,"Entities")),"review","ok"),"ok")</f>
        <v>ok</v>
      </c>
    </row>
    <row r="1893" spans="5:25" x14ac:dyDescent="0.25">
      <c r="E1893" t="s">
        <v>315</v>
      </c>
      <c r="F1893">
        <v>0</v>
      </c>
      <c r="G1893">
        <v>0</v>
      </c>
      <c r="H1893" t="s">
        <v>8</v>
      </c>
      <c r="I1893" s="74" t="str">
        <f ca="1">IF(Table7[[#This Row],[Type]]="KILL",IF(_xlfn.NUMBERVALUE(RIGHT(Table7[[#This Row],[Min]],LEN(Table7[[#This Row],[Min]])-FIND("-",Table7[[#This Row],[Min]])))&gt;INDIRECT(ADDRESS(11+MATCH(LEFT(Table7[[#This Row],[Min]],FIND("-",Table7[[#This Row],[Min]])-1),Table1[Content Sku],0),16,1,1,"Entities")),"review","ok"),"ok")</f>
        <v>ok</v>
      </c>
      <c r="U1893" t="s">
        <v>2720</v>
      </c>
      <c r="V1893">
        <v>0</v>
      </c>
      <c r="W1893">
        <v>0</v>
      </c>
      <c r="X1893" t="s">
        <v>8</v>
      </c>
      <c r="Y1893" s="74" t="str">
        <f ca="1">IF(Table15[[#This Row],[Type]]="KILL",IF(_xlfn.NUMBERVALUE(RIGHT(Table15[[#This Row],[Min]],LEN(Table15[[#This Row],[Min]])-FIND("-",Table15[[#This Row],[Min]])))&gt;INDIRECT(ADDRESS(11+MATCH(LEFT(Table15[[#This Row],[Min]],FIND("-",Table15[[#This Row],[Min]])-1),Table1[Content Sku],0),16,1,1,"Entities")),"review","ok"),"ok")</f>
        <v>ok</v>
      </c>
    </row>
    <row r="1894" spans="5:25" x14ac:dyDescent="0.25">
      <c r="E1894" t="s">
        <v>315</v>
      </c>
      <c r="F1894">
        <v>0</v>
      </c>
      <c r="G1894">
        <v>0</v>
      </c>
      <c r="H1894" t="s">
        <v>8</v>
      </c>
      <c r="I1894" s="74" t="str">
        <f ca="1">IF(Table7[[#This Row],[Type]]="KILL",IF(_xlfn.NUMBERVALUE(RIGHT(Table7[[#This Row],[Min]],LEN(Table7[[#This Row],[Min]])-FIND("-",Table7[[#This Row],[Min]])))&gt;INDIRECT(ADDRESS(11+MATCH(LEFT(Table7[[#This Row],[Min]],FIND("-",Table7[[#This Row],[Min]])-1),Table1[Content Sku],0),16,1,1,"Entities")),"review","ok"),"ok")</f>
        <v>ok</v>
      </c>
      <c r="U1894" t="s">
        <v>37</v>
      </c>
      <c r="V1894">
        <v>0</v>
      </c>
      <c r="W1894">
        <v>0</v>
      </c>
      <c r="X1894" t="s">
        <v>8</v>
      </c>
      <c r="Y1894" s="74" t="str">
        <f ca="1">IF(Table15[[#This Row],[Type]]="KILL",IF(_xlfn.NUMBERVALUE(RIGHT(Table15[[#This Row],[Min]],LEN(Table15[[#This Row],[Min]])-FIND("-",Table15[[#This Row],[Min]])))&gt;INDIRECT(ADDRESS(11+MATCH(LEFT(Table15[[#This Row],[Min]],FIND("-",Table15[[#This Row],[Min]])-1),Table1[Content Sku],0),16,1,1,"Entities")),"review","ok"),"ok")</f>
        <v>ok</v>
      </c>
    </row>
    <row r="1895" spans="5:25" x14ac:dyDescent="0.25">
      <c r="E1895" t="s">
        <v>8133</v>
      </c>
      <c r="F1895">
        <v>0</v>
      </c>
      <c r="G1895">
        <v>0</v>
      </c>
      <c r="H1895" t="s">
        <v>8</v>
      </c>
      <c r="I1895" s="74" t="str">
        <f ca="1">IF(Table7[[#This Row],[Type]]="KILL",IF(_xlfn.NUMBERVALUE(RIGHT(Table7[[#This Row],[Min]],LEN(Table7[[#This Row],[Min]])-FIND("-",Table7[[#This Row],[Min]])))&gt;INDIRECT(ADDRESS(11+MATCH(LEFT(Table7[[#This Row],[Min]],FIND("-",Table7[[#This Row],[Min]])-1),Table1[Content Sku],0),16,1,1,"Entities")),"review","ok"),"ok")</f>
        <v>ok</v>
      </c>
      <c r="U1895" t="s">
        <v>457</v>
      </c>
      <c r="V1895">
        <v>0</v>
      </c>
      <c r="W1895">
        <v>26000</v>
      </c>
      <c r="X1895" t="s">
        <v>205</v>
      </c>
      <c r="Y1895" s="74" t="str">
        <f ca="1">IF(Table15[[#This Row],[Type]]="KILL",IF(_xlfn.NUMBERVALUE(RIGHT(Table15[[#This Row],[Min]],LEN(Table15[[#This Row],[Min]])-FIND("-",Table15[[#This Row],[Min]])))&gt;INDIRECT(ADDRESS(11+MATCH(LEFT(Table15[[#This Row],[Min]],FIND("-",Table15[[#This Row],[Min]])-1),Table1[Content Sku],0),16,1,1,"Entities")),"review","ok"),"ok")</f>
        <v>ok</v>
      </c>
    </row>
    <row r="1896" spans="5:25" x14ac:dyDescent="0.25">
      <c r="E1896" t="s">
        <v>276</v>
      </c>
      <c r="F1896">
        <v>0</v>
      </c>
      <c r="G1896">
        <v>0</v>
      </c>
      <c r="H1896" t="s">
        <v>8</v>
      </c>
      <c r="I1896" s="74" t="str">
        <f ca="1">IF(Table7[[#This Row],[Type]]="KILL",IF(_xlfn.NUMBERVALUE(RIGHT(Table7[[#This Row],[Min]],LEN(Table7[[#This Row],[Min]])-FIND("-",Table7[[#This Row],[Min]])))&gt;INDIRECT(ADDRESS(11+MATCH(LEFT(Table7[[#This Row],[Min]],FIND("-",Table7[[#This Row],[Min]])-1),Table1[Content Sku],0),16,1,1,"Entities")),"review","ok"),"ok")</f>
        <v>ok</v>
      </c>
      <c r="U1896" t="s">
        <v>123</v>
      </c>
      <c r="V1896">
        <v>0</v>
      </c>
      <c r="W1896">
        <v>0</v>
      </c>
      <c r="X1896" t="s">
        <v>8</v>
      </c>
      <c r="Y1896" s="74" t="str">
        <f ca="1">IF(Table15[[#This Row],[Type]]="KILL",IF(_xlfn.NUMBERVALUE(RIGHT(Table15[[#This Row],[Min]],LEN(Table15[[#This Row],[Min]])-FIND("-",Table15[[#This Row],[Min]])))&gt;INDIRECT(ADDRESS(11+MATCH(LEFT(Table15[[#This Row],[Min]],FIND("-",Table15[[#This Row],[Min]])-1),Table1[Content Sku],0),16,1,1,"Entities")),"review","ok"),"ok")</f>
        <v>ok</v>
      </c>
    </row>
    <row r="1897" spans="5:25" x14ac:dyDescent="0.25">
      <c r="E1897" t="s">
        <v>0</v>
      </c>
      <c r="F1897">
        <v>0</v>
      </c>
      <c r="G1897">
        <v>0</v>
      </c>
      <c r="H1897" t="s">
        <v>8</v>
      </c>
      <c r="I1897" s="74" t="str">
        <f ca="1">IF(Table7[[#This Row],[Type]]="KILL",IF(_xlfn.NUMBERVALUE(RIGHT(Table7[[#This Row],[Min]],LEN(Table7[[#This Row],[Min]])-FIND("-",Table7[[#This Row],[Min]])))&gt;INDIRECT(ADDRESS(11+MATCH(LEFT(Table7[[#This Row],[Min]],FIND("-",Table7[[#This Row],[Min]])-1),Table1[Content Sku],0),16,1,1,"Entities")),"review","ok"),"ok")</f>
        <v>ok</v>
      </c>
      <c r="U1897" t="s">
        <v>457</v>
      </c>
      <c r="V1897">
        <v>0</v>
      </c>
      <c r="W1897">
        <v>0</v>
      </c>
      <c r="X1897" t="s">
        <v>8</v>
      </c>
      <c r="Y1897" s="74" t="str">
        <f ca="1">IF(Table15[[#This Row],[Type]]="KILL",IF(_xlfn.NUMBERVALUE(RIGHT(Table15[[#This Row],[Min]],LEN(Table15[[#This Row],[Min]])-FIND("-",Table15[[#This Row],[Min]])))&gt;INDIRECT(ADDRESS(11+MATCH(LEFT(Table15[[#This Row],[Min]],FIND("-",Table15[[#This Row],[Min]])-1),Table1[Content Sku],0),16,1,1,"Entities")),"review","ok"),"ok")</f>
        <v>ok</v>
      </c>
    </row>
    <row r="1898" spans="5:25" x14ac:dyDescent="0.25">
      <c r="E1898" t="s">
        <v>45</v>
      </c>
      <c r="F1898">
        <v>0</v>
      </c>
      <c r="G1898">
        <v>0</v>
      </c>
      <c r="H1898" t="s">
        <v>8</v>
      </c>
      <c r="I1898" s="74" t="str">
        <f ca="1">IF(Table7[[#This Row],[Type]]="KILL",IF(_xlfn.NUMBERVALUE(RIGHT(Table7[[#This Row],[Min]],LEN(Table7[[#This Row],[Min]])-FIND("-",Table7[[#This Row],[Min]])))&gt;INDIRECT(ADDRESS(11+MATCH(LEFT(Table7[[#This Row],[Min]],FIND("-",Table7[[#This Row],[Min]])-1),Table1[Content Sku],0),16,1,1,"Entities")),"review","ok"),"ok")</f>
        <v>ok</v>
      </c>
      <c r="U1898" t="s">
        <v>457</v>
      </c>
      <c r="V1898">
        <v>0</v>
      </c>
      <c r="W1898">
        <v>0</v>
      </c>
      <c r="X1898" t="s">
        <v>8</v>
      </c>
      <c r="Y1898" s="74" t="str">
        <f ca="1">IF(Table15[[#This Row],[Type]]="KILL",IF(_xlfn.NUMBERVALUE(RIGHT(Table15[[#This Row],[Min]],LEN(Table15[[#This Row],[Min]])-FIND("-",Table15[[#This Row],[Min]])))&gt;INDIRECT(ADDRESS(11+MATCH(LEFT(Table15[[#This Row],[Min]],FIND("-",Table15[[#This Row],[Min]])-1),Table1[Content Sku],0),16,1,1,"Entities")),"review","ok"),"ok")</f>
        <v>ok</v>
      </c>
    </row>
    <row r="1899" spans="5:25" x14ac:dyDescent="0.25">
      <c r="E1899" t="s">
        <v>2741</v>
      </c>
      <c r="F1899">
        <v>0</v>
      </c>
      <c r="G1899">
        <v>0</v>
      </c>
      <c r="H1899" t="s">
        <v>8</v>
      </c>
      <c r="I1899" s="74" t="str">
        <f ca="1">IF(Table7[[#This Row],[Type]]="KILL",IF(_xlfn.NUMBERVALUE(RIGHT(Table7[[#This Row],[Min]],LEN(Table7[[#This Row],[Min]])-FIND("-",Table7[[#This Row],[Min]])))&gt;INDIRECT(ADDRESS(11+MATCH(LEFT(Table7[[#This Row],[Min]],FIND("-",Table7[[#This Row],[Min]])-1),Table1[Content Sku],0),16,1,1,"Entities")),"review","ok"),"ok")</f>
        <v>ok</v>
      </c>
      <c r="U1899" t="s">
        <v>393</v>
      </c>
      <c r="V1899">
        <v>0</v>
      </c>
      <c r="W1899">
        <v>0</v>
      </c>
      <c r="X1899" t="s">
        <v>8</v>
      </c>
      <c r="Y1899" s="74" t="str">
        <f ca="1">IF(Table15[[#This Row],[Type]]="KILL",IF(_xlfn.NUMBERVALUE(RIGHT(Table15[[#This Row],[Min]],LEN(Table15[[#This Row],[Min]])-FIND("-",Table15[[#This Row],[Min]])))&gt;INDIRECT(ADDRESS(11+MATCH(LEFT(Table15[[#This Row],[Min]],FIND("-",Table15[[#This Row],[Min]])-1),Table1[Content Sku],0),16,1,1,"Entities")),"review","ok"),"ok")</f>
        <v>ok</v>
      </c>
    </row>
    <row r="1900" spans="5:25" x14ac:dyDescent="0.25">
      <c r="E1900" t="s">
        <v>95</v>
      </c>
      <c r="F1900">
        <v>0</v>
      </c>
      <c r="G1900">
        <v>0</v>
      </c>
      <c r="H1900" t="s">
        <v>8</v>
      </c>
      <c r="I1900" s="74" t="str">
        <f ca="1">IF(Table7[[#This Row],[Type]]="KILL",IF(_xlfn.NUMBERVALUE(RIGHT(Table7[[#This Row],[Min]],LEN(Table7[[#This Row],[Min]])-FIND("-",Table7[[#This Row],[Min]])))&gt;INDIRECT(ADDRESS(11+MATCH(LEFT(Table7[[#This Row],[Min]],FIND("-",Table7[[#This Row],[Min]])-1),Table1[Content Sku],0),16,1,1,"Entities")),"review","ok"),"ok")</f>
        <v>ok</v>
      </c>
      <c r="U1900" t="s">
        <v>21</v>
      </c>
      <c r="V1900">
        <v>340</v>
      </c>
      <c r="W1900">
        <v>0</v>
      </c>
      <c r="X1900" t="s">
        <v>4431</v>
      </c>
      <c r="Y1900" s="74" t="str">
        <f ca="1">IF(Table15[[#This Row],[Type]]="KILL",IF(_xlfn.NUMBERVALUE(RIGHT(Table15[[#This Row],[Min]],LEN(Table15[[#This Row],[Min]])-FIND("-",Table15[[#This Row],[Min]])))&gt;INDIRECT(ADDRESS(11+MATCH(LEFT(Table15[[#This Row],[Min]],FIND("-",Table15[[#This Row],[Min]])-1),Table1[Content Sku],0),16,1,1,"Entities")),"review","ok"),"ok")</f>
        <v>ok</v>
      </c>
    </row>
    <row r="1901" spans="5:25" x14ac:dyDescent="0.25">
      <c r="E1901" t="s">
        <v>295</v>
      </c>
      <c r="F1901">
        <v>0</v>
      </c>
      <c r="G1901">
        <v>0</v>
      </c>
      <c r="H1901" t="s">
        <v>8</v>
      </c>
      <c r="I1901" s="74" t="str">
        <f ca="1">IF(Table7[[#This Row],[Type]]="KILL",IF(_xlfn.NUMBERVALUE(RIGHT(Table7[[#This Row],[Min]],LEN(Table7[[#This Row],[Min]])-FIND("-",Table7[[#This Row],[Min]])))&gt;INDIRECT(ADDRESS(11+MATCH(LEFT(Table7[[#This Row],[Min]],FIND("-",Table7[[#This Row],[Min]])-1),Table1[Content Sku],0),16,1,1,"Entities")),"review","ok"),"ok")</f>
        <v>ok</v>
      </c>
      <c r="U1901" t="s">
        <v>37</v>
      </c>
      <c r="V1901">
        <v>0</v>
      </c>
      <c r="W1901">
        <v>0</v>
      </c>
      <c r="X1901" t="s">
        <v>8</v>
      </c>
      <c r="Y1901" s="74" t="str">
        <f ca="1">IF(Table15[[#This Row],[Type]]="KILL",IF(_xlfn.NUMBERVALUE(RIGHT(Table15[[#This Row],[Min]],LEN(Table15[[#This Row],[Min]])-FIND("-",Table15[[#This Row],[Min]])))&gt;INDIRECT(ADDRESS(11+MATCH(LEFT(Table15[[#This Row],[Min]],FIND("-",Table15[[#This Row],[Min]])-1),Table1[Content Sku],0),16,1,1,"Entities")),"review","ok"),"ok")</f>
        <v>ok</v>
      </c>
    </row>
    <row r="1902" spans="5:25" x14ac:dyDescent="0.25">
      <c r="E1902" t="s">
        <v>8133</v>
      </c>
      <c r="F1902">
        <v>0</v>
      </c>
      <c r="G1902">
        <v>0</v>
      </c>
      <c r="H1902" t="s">
        <v>8</v>
      </c>
      <c r="I1902" s="74" t="str">
        <f ca="1">IF(Table7[[#This Row],[Type]]="KILL",IF(_xlfn.NUMBERVALUE(RIGHT(Table7[[#This Row],[Min]],LEN(Table7[[#This Row],[Min]])-FIND("-",Table7[[#This Row],[Min]])))&gt;INDIRECT(ADDRESS(11+MATCH(LEFT(Table7[[#This Row],[Min]],FIND("-",Table7[[#This Row],[Min]])-1),Table1[Content Sku],0),16,1,1,"Entities")),"review","ok"),"ok")</f>
        <v>ok</v>
      </c>
      <c r="U1902" t="s">
        <v>2717</v>
      </c>
      <c r="V1902">
        <v>225</v>
      </c>
      <c r="W1902">
        <v>0</v>
      </c>
      <c r="X1902" t="s">
        <v>4431</v>
      </c>
      <c r="Y1902" s="74" t="str">
        <f ca="1">IF(Table15[[#This Row],[Type]]="KILL",IF(_xlfn.NUMBERVALUE(RIGHT(Table15[[#This Row],[Min]],LEN(Table15[[#This Row],[Min]])-FIND("-",Table15[[#This Row],[Min]])))&gt;INDIRECT(ADDRESS(11+MATCH(LEFT(Table15[[#This Row],[Min]],FIND("-",Table15[[#This Row],[Min]])-1),Table1[Content Sku],0),16,1,1,"Entities")),"review","ok"),"ok")</f>
        <v>ok</v>
      </c>
    </row>
    <row r="1903" spans="5:25" x14ac:dyDescent="0.25">
      <c r="E1903" t="s">
        <v>254</v>
      </c>
      <c r="F1903">
        <v>0</v>
      </c>
      <c r="G1903">
        <v>0</v>
      </c>
      <c r="H1903" t="s">
        <v>8</v>
      </c>
      <c r="I1903" s="74" t="str">
        <f ca="1">IF(Table7[[#This Row],[Type]]="KILL",IF(_xlfn.NUMBERVALUE(RIGHT(Table7[[#This Row],[Min]],LEN(Table7[[#This Row],[Min]])-FIND("-",Table7[[#This Row],[Min]])))&gt;INDIRECT(ADDRESS(11+MATCH(LEFT(Table7[[#This Row],[Min]],FIND("-",Table7[[#This Row],[Min]])-1),Table1[Content Sku],0),16,1,1,"Entities")),"review","ok"),"ok")</f>
        <v>ok</v>
      </c>
      <c r="U1903" t="s">
        <v>37</v>
      </c>
      <c r="V1903">
        <v>0</v>
      </c>
      <c r="W1903">
        <v>0</v>
      </c>
      <c r="X1903" t="s">
        <v>8</v>
      </c>
      <c r="Y1903" s="74" t="str">
        <f ca="1">IF(Table15[[#This Row],[Type]]="KILL",IF(_xlfn.NUMBERVALUE(RIGHT(Table15[[#This Row],[Min]],LEN(Table15[[#This Row],[Min]])-FIND("-",Table15[[#This Row],[Min]])))&gt;INDIRECT(ADDRESS(11+MATCH(LEFT(Table15[[#This Row],[Min]],FIND("-",Table15[[#This Row],[Min]])-1),Table1[Content Sku],0),16,1,1,"Entities")),"review","ok"),"ok")</f>
        <v>ok</v>
      </c>
    </row>
    <row r="1904" spans="5:25" x14ac:dyDescent="0.25">
      <c r="E1904" t="s">
        <v>545</v>
      </c>
      <c r="F1904">
        <v>0</v>
      </c>
      <c r="G1904">
        <v>0</v>
      </c>
      <c r="H1904" t="s">
        <v>8</v>
      </c>
      <c r="I1904" s="74" t="str">
        <f ca="1">IF(Table7[[#This Row],[Type]]="KILL",IF(_xlfn.NUMBERVALUE(RIGHT(Table7[[#This Row],[Min]],LEN(Table7[[#This Row],[Min]])-FIND("-",Table7[[#This Row],[Min]])))&gt;INDIRECT(ADDRESS(11+MATCH(LEFT(Table7[[#This Row],[Min]],FIND("-",Table7[[#This Row],[Min]])-1),Table1[Content Sku],0),16,1,1,"Entities")),"review","ok"),"ok")</f>
        <v>ok</v>
      </c>
      <c r="U1904" t="s">
        <v>37</v>
      </c>
      <c r="V1904">
        <v>0</v>
      </c>
      <c r="W1904">
        <v>0</v>
      </c>
      <c r="X1904" t="s">
        <v>8</v>
      </c>
      <c r="Y1904" s="74" t="str">
        <f ca="1">IF(Table15[[#This Row],[Type]]="KILL",IF(_xlfn.NUMBERVALUE(RIGHT(Table15[[#This Row],[Min]],LEN(Table15[[#This Row],[Min]])-FIND("-",Table15[[#This Row],[Min]])))&gt;INDIRECT(ADDRESS(11+MATCH(LEFT(Table15[[#This Row],[Min]],FIND("-",Table15[[#This Row],[Min]])-1),Table1[Content Sku],0),16,1,1,"Entities")),"review","ok"),"ok")</f>
        <v>ok</v>
      </c>
    </row>
    <row r="1905" spans="5:25" x14ac:dyDescent="0.25">
      <c r="E1905" t="s">
        <v>8133</v>
      </c>
      <c r="F1905">
        <v>0</v>
      </c>
      <c r="G1905">
        <v>0</v>
      </c>
      <c r="H1905" t="s">
        <v>8</v>
      </c>
      <c r="I1905" s="74" t="str">
        <f ca="1">IF(Table7[[#This Row],[Type]]="KILL",IF(_xlfn.NUMBERVALUE(RIGHT(Table7[[#This Row],[Min]],LEN(Table7[[#This Row],[Min]])-FIND("-",Table7[[#This Row],[Min]])))&gt;INDIRECT(ADDRESS(11+MATCH(LEFT(Table7[[#This Row],[Min]],FIND("-",Table7[[#This Row],[Min]])-1),Table1[Content Sku],0),16,1,1,"Entities")),"review","ok"),"ok")</f>
        <v>ok</v>
      </c>
      <c r="U1905" t="s">
        <v>123</v>
      </c>
      <c r="V1905">
        <v>0</v>
      </c>
      <c r="W1905">
        <v>0</v>
      </c>
      <c r="X1905" t="s">
        <v>8</v>
      </c>
      <c r="Y1905" s="74" t="str">
        <f ca="1">IF(Table15[[#This Row],[Type]]="KILL",IF(_xlfn.NUMBERVALUE(RIGHT(Table15[[#This Row],[Min]],LEN(Table15[[#This Row],[Min]])-FIND("-",Table15[[#This Row],[Min]])))&gt;INDIRECT(ADDRESS(11+MATCH(LEFT(Table15[[#This Row],[Min]],FIND("-",Table15[[#This Row],[Min]])-1),Table1[Content Sku],0),16,1,1,"Entities")),"review","ok"),"ok")</f>
        <v>ok</v>
      </c>
    </row>
    <row r="1906" spans="5:25" x14ac:dyDescent="0.25">
      <c r="E1906" t="s">
        <v>254</v>
      </c>
      <c r="F1906">
        <v>0</v>
      </c>
      <c r="G1906">
        <v>0</v>
      </c>
      <c r="H1906" t="s">
        <v>8</v>
      </c>
      <c r="I1906" s="74" t="str">
        <f ca="1">IF(Table7[[#This Row],[Type]]="KILL",IF(_xlfn.NUMBERVALUE(RIGHT(Table7[[#This Row],[Min]],LEN(Table7[[#This Row],[Min]])-FIND("-",Table7[[#This Row],[Min]])))&gt;INDIRECT(ADDRESS(11+MATCH(LEFT(Table7[[#This Row],[Min]],FIND("-",Table7[[#This Row],[Min]])-1),Table1[Content Sku],0),16,1,1,"Entities")),"review","ok"),"ok")</f>
        <v>ok</v>
      </c>
      <c r="U1906" t="s">
        <v>2717</v>
      </c>
      <c r="V1906">
        <v>320</v>
      </c>
      <c r="W1906">
        <v>0</v>
      </c>
      <c r="X1906" t="s">
        <v>4431</v>
      </c>
      <c r="Y1906" s="74" t="str">
        <f ca="1">IF(Table15[[#This Row],[Type]]="KILL",IF(_xlfn.NUMBERVALUE(RIGHT(Table15[[#This Row],[Min]],LEN(Table15[[#This Row],[Min]])-FIND("-",Table15[[#This Row],[Min]])))&gt;INDIRECT(ADDRESS(11+MATCH(LEFT(Table15[[#This Row],[Min]],FIND("-",Table15[[#This Row],[Min]])-1),Table1[Content Sku],0),16,1,1,"Entities")),"review","ok"),"ok")</f>
        <v>ok</v>
      </c>
    </row>
    <row r="1907" spans="5:25" x14ac:dyDescent="0.25">
      <c r="E1907" t="s">
        <v>406</v>
      </c>
      <c r="F1907">
        <v>0</v>
      </c>
      <c r="G1907">
        <v>0</v>
      </c>
      <c r="H1907" t="s">
        <v>8</v>
      </c>
      <c r="I1907" s="74" t="str">
        <f ca="1">IF(Table7[[#This Row],[Type]]="KILL",IF(_xlfn.NUMBERVALUE(RIGHT(Table7[[#This Row],[Min]],LEN(Table7[[#This Row],[Min]])-FIND("-",Table7[[#This Row],[Min]])))&gt;INDIRECT(ADDRESS(11+MATCH(LEFT(Table7[[#This Row],[Min]],FIND("-",Table7[[#This Row],[Min]])-1),Table1[Content Sku],0),16,1,1,"Entities")),"review","ok"),"ok")</f>
        <v>ok</v>
      </c>
      <c r="U1907" t="s">
        <v>37</v>
      </c>
      <c r="V1907">
        <v>0</v>
      </c>
      <c r="W1907">
        <v>0</v>
      </c>
      <c r="X1907" t="s">
        <v>8</v>
      </c>
      <c r="Y1907" s="74" t="str">
        <f ca="1">IF(Table15[[#This Row],[Type]]="KILL",IF(_xlfn.NUMBERVALUE(RIGHT(Table15[[#This Row],[Min]],LEN(Table15[[#This Row],[Min]])-FIND("-",Table15[[#This Row],[Min]])))&gt;INDIRECT(ADDRESS(11+MATCH(LEFT(Table15[[#This Row],[Min]],FIND("-",Table15[[#This Row],[Min]])-1),Table1[Content Sku],0),16,1,1,"Entities")),"review","ok"),"ok")</f>
        <v>ok</v>
      </c>
    </row>
    <row r="1908" spans="5:25" x14ac:dyDescent="0.25">
      <c r="E1908" t="s">
        <v>123</v>
      </c>
      <c r="F1908">
        <v>4000</v>
      </c>
      <c r="G1908">
        <v>12000</v>
      </c>
      <c r="H1908" t="s">
        <v>205</v>
      </c>
      <c r="I1908" s="74" t="str">
        <f ca="1">IF(Table7[[#This Row],[Type]]="KILL",IF(_xlfn.NUMBERVALUE(RIGHT(Table7[[#This Row],[Min]],LEN(Table7[[#This Row],[Min]])-FIND("-",Table7[[#This Row],[Min]])))&gt;INDIRECT(ADDRESS(11+MATCH(LEFT(Table7[[#This Row],[Min]],FIND("-",Table7[[#This Row],[Min]])-1),Table1[Content Sku],0),16,1,1,"Entities")),"review","ok"),"ok")</f>
        <v>ok</v>
      </c>
      <c r="U1908" t="s">
        <v>37</v>
      </c>
      <c r="V1908">
        <v>0</v>
      </c>
      <c r="W1908">
        <v>0</v>
      </c>
      <c r="X1908" t="s">
        <v>8</v>
      </c>
      <c r="Y1908" s="74" t="str">
        <f ca="1">IF(Table15[[#This Row],[Type]]="KILL",IF(_xlfn.NUMBERVALUE(RIGHT(Table15[[#This Row],[Min]],LEN(Table15[[#This Row],[Min]])-FIND("-",Table15[[#This Row],[Min]])))&gt;INDIRECT(ADDRESS(11+MATCH(LEFT(Table15[[#This Row],[Min]],FIND("-",Table15[[#This Row],[Min]])-1),Table1[Content Sku],0),16,1,1,"Entities")),"review","ok"),"ok")</f>
        <v>ok</v>
      </c>
    </row>
    <row r="1909" spans="5:25" x14ac:dyDescent="0.25">
      <c r="E1909" t="s">
        <v>2741</v>
      </c>
      <c r="F1909">
        <v>0</v>
      </c>
      <c r="G1909">
        <v>0</v>
      </c>
      <c r="H1909" t="s">
        <v>8</v>
      </c>
      <c r="I1909" s="74" t="str">
        <f ca="1">IF(Table7[[#This Row],[Type]]="KILL",IF(_xlfn.NUMBERVALUE(RIGHT(Table7[[#This Row],[Min]],LEN(Table7[[#This Row],[Min]])-FIND("-",Table7[[#This Row],[Min]])))&gt;INDIRECT(ADDRESS(11+MATCH(LEFT(Table7[[#This Row],[Min]],FIND("-",Table7[[#This Row],[Min]])-1),Table1[Content Sku],0),16,1,1,"Entities")),"review","ok"),"ok")</f>
        <v>ok</v>
      </c>
      <c r="U1909" t="s">
        <v>396</v>
      </c>
      <c r="V1909">
        <v>40000</v>
      </c>
      <c r="W1909">
        <v>0</v>
      </c>
      <c r="X1909" t="s">
        <v>205</v>
      </c>
      <c r="Y1909" s="74" t="str">
        <f ca="1">IF(Table15[[#This Row],[Type]]="KILL",IF(_xlfn.NUMBERVALUE(RIGHT(Table15[[#This Row],[Min]],LEN(Table15[[#This Row],[Min]])-FIND("-",Table15[[#This Row],[Min]])))&gt;INDIRECT(ADDRESS(11+MATCH(LEFT(Table15[[#This Row],[Min]],FIND("-",Table15[[#This Row],[Min]])-1),Table1[Content Sku],0),16,1,1,"Entities")),"review","ok"),"ok")</f>
        <v>ok</v>
      </c>
    </row>
    <row r="1910" spans="5:25" x14ac:dyDescent="0.25">
      <c r="E1910" t="s">
        <v>2732</v>
      </c>
      <c r="F1910">
        <v>0</v>
      </c>
      <c r="G1910">
        <v>0</v>
      </c>
      <c r="H1910" t="s">
        <v>8</v>
      </c>
      <c r="I1910" s="74" t="str">
        <f ca="1">IF(Table7[[#This Row],[Type]]="KILL",IF(_xlfn.NUMBERVALUE(RIGHT(Table7[[#This Row],[Min]],LEN(Table7[[#This Row],[Min]])-FIND("-",Table7[[#This Row],[Min]])))&gt;INDIRECT(ADDRESS(11+MATCH(LEFT(Table7[[#This Row],[Min]],FIND("-",Table7[[#This Row],[Min]])-1),Table1[Content Sku],0),16,1,1,"Entities")),"review","ok"),"ok")</f>
        <v>ok</v>
      </c>
      <c r="U1910" t="s">
        <v>43</v>
      </c>
      <c r="V1910">
        <v>40000</v>
      </c>
      <c r="W1910">
        <v>0</v>
      </c>
      <c r="X1910" t="s">
        <v>205</v>
      </c>
      <c r="Y1910" s="74" t="str">
        <f ca="1">IF(Table15[[#This Row],[Type]]="KILL",IF(_xlfn.NUMBERVALUE(RIGHT(Table15[[#This Row],[Min]],LEN(Table15[[#This Row],[Min]])-FIND("-",Table15[[#This Row],[Min]])))&gt;INDIRECT(ADDRESS(11+MATCH(LEFT(Table15[[#This Row],[Min]],FIND("-",Table15[[#This Row],[Min]])-1),Table1[Content Sku],0),16,1,1,"Entities")),"review","ok"),"ok")</f>
        <v>ok</v>
      </c>
    </row>
    <row r="1911" spans="5:25" x14ac:dyDescent="0.25">
      <c r="E1911" t="s">
        <v>313</v>
      </c>
      <c r="F1911">
        <v>0</v>
      </c>
      <c r="G1911">
        <v>0</v>
      </c>
      <c r="H1911" t="s">
        <v>8</v>
      </c>
      <c r="I1911" s="74" t="str">
        <f ca="1">IF(Table7[[#This Row],[Type]]="KILL",IF(_xlfn.NUMBERVALUE(RIGHT(Table7[[#This Row],[Min]],LEN(Table7[[#This Row],[Min]])-FIND("-",Table7[[#This Row],[Min]])))&gt;INDIRECT(ADDRESS(11+MATCH(LEFT(Table7[[#This Row],[Min]],FIND("-",Table7[[#This Row],[Min]])-1),Table1[Content Sku],0),16,1,1,"Entities")),"review","ok"),"ok")</f>
        <v>ok</v>
      </c>
      <c r="U1911" t="s">
        <v>2720</v>
      </c>
      <c r="V1911">
        <v>0</v>
      </c>
      <c r="W1911">
        <v>0</v>
      </c>
      <c r="X1911" t="s">
        <v>8</v>
      </c>
      <c r="Y1911" s="74" t="str">
        <f ca="1">IF(Table15[[#This Row],[Type]]="KILL",IF(_xlfn.NUMBERVALUE(RIGHT(Table15[[#This Row],[Min]],LEN(Table15[[#This Row],[Min]])-FIND("-",Table15[[#This Row],[Min]])))&gt;INDIRECT(ADDRESS(11+MATCH(LEFT(Table15[[#This Row],[Min]],FIND("-",Table15[[#This Row],[Min]])-1),Table1[Content Sku],0),16,1,1,"Entities")),"review","ok"),"ok")</f>
        <v>ok</v>
      </c>
    </row>
    <row r="1912" spans="5:25" x14ac:dyDescent="0.25">
      <c r="E1912" t="s">
        <v>8103</v>
      </c>
      <c r="F1912">
        <v>50000</v>
      </c>
      <c r="G1912">
        <v>0</v>
      </c>
      <c r="H1912" t="s">
        <v>205</v>
      </c>
      <c r="I1912" s="74" t="str">
        <f ca="1">IF(Table7[[#This Row],[Type]]="KILL",IF(_xlfn.NUMBERVALUE(RIGHT(Table7[[#This Row],[Min]],LEN(Table7[[#This Row],[Min]])-FIND("-",Table7[[#This Row],[Min]])))&gt;INDIRECT(ADDRESS(11+MATCH(LEFT(Table7[[#This Row],[Min]],FIND("-",Table7[[#This Row],[Min]])-1),Table1[Content Sku],0),16,1,1,"Entities")),"review","ok"),"ok")</f>
        <v>ok</v>
      </c>
      <c r="U1912" t="s">
        <v>460</v>
      </c>
      <c r="V1912">
        <v>0</v>
      </c>
      <c r="W1912">
        <v>0</v>
      </c>
      <c r="X1912" t="s">
        <v>8</v>
      </c>
      <c r="Y1912" s="74" t="str">
        <f ca="1">IF(Table15[[#This Row],[Type]]="KILL",IF(_xlfn.NUMBERVALUE(RIGHT(Table15[[#This Row],[Min]],LEN(Table15[[#This Row],[Min]])-FIND("-",Table15[[#This Row],[Min]])))&gt;INDIRECT(ADDRESS(11+MATCH(LEFT(Table15[[#This Row],[Min]],FIND("-",Table15[[#This Row],[Min]])-1),Table1[Content Sku],0),16,1,1,"Entities")),"review","ok"),"ok")</f>
        <v>ok</v>
      </c>
    </row>
    <row r="1913" spans="5:25" x14ac:dyDescent="0.25">
      <c r="E1913" t="s">
        <v>2736</v>
      </c>
      <c r="F1913">
        <v>0</v>
      </c>
      <c r="G1913">
        <v>0</v>
      </c>
      <c r="H1913" t="s">
        <v>8</v>
      </c>
      <c r="I1913" s="74" t="str">
        <f ca="1">IF(Table7[[#This Row],[Type]]="KILL",IF(_xlfn.NUMBERVALUE(RIGHT(Table7[[#This Row],[Min]],LEN(Table7[[#This Row],[Min]])-FIND("-",Table7[[#This Row],[Min]])))&gt;INDIRECT(ADDRESS(11+MATCH(LEFT(Table7[[#This Row],[Min]],FIND("-",Table7[[#This Row],[Min]])-1),Table1[Content Sku],0),16,1,1,"Entities")),"review","ok"),"ok")</f>
        <v>ok</v>
      </c>
      <c r="U1913" t="s">
        <v>457</v>
      </c>
      <c r="V1913">
        <v>0</v>
      </c>
      <c r="W1913">
        <v>0</v>
      </c>
      <c r="X1913" t="s">
        <v>8</v>
      </c>
      <c r="Y1913" s="74" t="str">
        <f ca="1">IF(Table15[[#This Row],[Type]]="KILL",IF(_xlfn.NUMBERVALUE(RIGHT(Table15[[#This Row],[Min]],LEN(Table15[[#This Row],[Min]])-FIND("-",Table15[[#This Row],[Min]])))&gt;INDIRECT(ADDRESS(11+MATCH(LEFT(Table15[[#This Row],[Min]],FIND("-",Table15[[#This Row],[Min]])-1),Table1[Content Sku],0),16,1,1,"Entities")),"review","ok"),"ok")</f>
        <v>ok</v>
      </c>
    </row>
    <row r="1914" spans="5:25" x14ac:dyDescent="0.25">
      <c r="E1914" t="s">
        <v>256</v>
      </c>
      <c r="F1914">
        <v>17000</v>
      </c>
      <c r="G1914">
        <v>0</v>
      </c>
      <c r="H1914" t="s">
        <v>205</v>
      </c>
      <c r="I1914" s="74" t="str">
        <f ca="1">IF(Table7[[#This Row],[Type]]="KILL",IF(_xlfn.NUMBERVALUE(RIGHT(Table7[[#This Row],[Min]],LEN(Table7[[#This Row],[Min]])-FIND("-",Table7[[#This Row],[Min]])))&gt;INDIRECT(ADDRESS(11+MATCH(LEFT(Table7[[#This Row],[Min]],FIND("-",Table7[[#This Row],[Min]])-1),Table1[Content Sku],0),16,1,1,"Entities")),"review","ok"),"ok")</f>
        <v>ok</v>
      </c>
      <c r="U1914" t="s">
        <v>450</v>
      </c>
      <c r="V1914">
        <v>0</v>
      </c>
      <c r="W1914">
        <v>0</v>
      </c>
      <c r="X1914" t="s">
        <v>8</v>
      </c>
      <c r="Y1914" s="74" t="str">
        <f ca="1">IF(Table15[[#This Row],[Type]]="KILL",IF(_xlfn.NUMBERVALUE(RIGHT(Table15[[#This Row],[Min]],LEN(Table15[[#This Row],[Min]])-FIND("-",Table15[[#This Row],[Min]])))&gt;INDIRECT(ADDRESS(11+MATCH(LEFT(Table15[[#This Row],[Min]],FIND("-",Table15[[#This Row],[Min]])-1),Table1[Content Sku],0),16,1,1,"Entities")),"review","ok"),"ok")</f>
        <v>ok</v>
      </c>
    </row>
    <row r="1915" spans="5:25" x14ac:dyDescent="0.25">
      <c r="E1915" t="s">
        <v>254</v>
      </c>
      <c r="F1915">
        <v>0</v>
      </c>
      <c r="G1915">
        <v>0</v>
      </c>
      <c r="H1915" t="s">
        <v>8</v>
      </c>
      <c r="I1915" s="74" t="str">
        <f ca="1">IF(Table7[[#This Row],[Type]]="KILL",IF(_xlfn.NUMBERVALUE(RIGHT(Table7[[#This Row],[Min]],LEN(Table7[[#This Row],[Min]])-FIND("-",Table7[[#This Row],[Min]])))&gt;INDIRECT(ADDRESS(11+MATCH(LEFT(Table7[[#This Row],[Min]],FIND("-",Table7[[#This Row],[Min]])-1),Table1[Content Sku],0),16,1,1,"Entities")),"review","ok"),"ok")</f>
        <v>ok</v>
      </c>
      <c r="U1915" t="s">
        <v>457</v>
      </c>
      <c r="V1915">
        <v>0</v>
      </c>
      <c r="W1915">
        <v>0</v>
      </c>
      <c r="X1915" t="s">
        <v>8</v>
      </c>
      <c r="Y1915" s="74" t="str">
        <f ca="1">IF(Table15[[#This Row],[Type]]="KILL",IF(_xlfn.NUMBERVALUE(RIGHT(Table15[[#This Row],[Min]],LEN(Table15[[#This Row],[Min]])-FIND("-",Table15[[#This Row],[Min]])))&gt;INDIRECT(ADDRESS(11+MATCH(LEFT(Table15[[#This Row],[Min]],FIND("-",Table15[[#This Row],[Min]])-1),Table1[Content Sku],0),16,1,1,"Entities")),"review","ok"),"ok")</f>
        <v>ok</v>
      </c>
    </row>
    <row r="1916" spans="5:25" x14ac:dyDescent="0.25">
      <c r="E1916" t="s">
        <v>313</v>
      </c>
      <c r="F1916">
        <v>0</v>
      </c>
      <c r="G1916">
        <v>0</v>
      </c>
      <c r="H1916" t="s">
        <v>8</v>
      </c>
      <c r="I1916" s="74" t="str">
        <f ca="1">IF(Table7[[#This Row],[Type]]="KILL",IF(_xlfn.NUMBERVALUE(RIGHT(Table7[[#This Row],[Min]],LEN(Table7[[#This Row],[Min]])-FIND("-",Table7[[#This Row],[Min]])))&gt;INDIRECT(ADDRESS(11+MATCH(LEFT(Table7[[#This Row],[Min]],FIND("-",Table7[[#This Row],[Min]])-1),Table1[Content Sku],0),16,1,1,"Entities")),"review","ok"),"ok")</f>
        <v>ok</v>
      </c>
      <c r="U1916" t="s">
        <v>289</v>
      </c>
      <c r="V1916">
        <v>0</v>
      </c>
      <c r="W1916">
        <v>0</v>
      </c>
      <c r="X1916" t="s">
        <v>8</v>
      </c>
      <c r="Y1916" s="74" t="str">
        <f ca="1">IF(Table15[[#This Row],[Type]]="KILL",IF(_xlfn.NUMBERVALUE(RIGHT(Table15[[#This Row],[Min]],LEN(Table15[[#This Row],[Min]])-FIND("-",Table15[[#This Row],[Min]])))&gt;INDIRECT(ADDRESS(11+MATCH(LEFT(Table15[[#This Row],[Min]],FIND("-",Table15[[#This Row],[Min]])-1),Table1[Content Sku],0),16,1,1,"Entities")),"review","ok"),"ok")</f>
        <v>ok</v>
      </c>
    </row>
    <row r="1917" spans="5:25" x14ac:dyDescent="0.25">
      <c r="E1917" t="s">
        <v>39</v>
      </c>
      <c r="F1917">
        <v>12000</v>
      </c>
      <c r="G1917">
        <v>0</v>
      </c>
      <c r="H1917" t="s">
        <v>205</v>
      </c>
      <c r="I1917" s="74" t="str">
        <f ca="1">IF(Table7[[#This Row],[Type]]="KILL",IF(_xlfn.NUMBERVALUE(RIGHT(Table7[[#This Row],[Min]],LEN(Table7[[#This Row],[Min]])-FIND("-",Table7[[#This Row],[Min]])))&gt;INDIRECT(ADDRESS(11+MATCH(LEFT(Table7[[#This Row],[Min]],FIND("-",Table7[[#This Row],[Min]])-1),Table1[Content Sku],0),16,1,1,"Entities")),"review","ok"),"ok")</f>
        <v>ok</v>
      </c>
      <c r="U1917" t="s">
        <v>2717</v>
      </c>
      <c r="V1917">
        <v>0</v>
      </c>
      <c r="W1917">
        <v>0</v>
      </c>
      <c r="X1917" t="s">
        <v>8</v>
      </c>
      <c r="Y1917" s="74" t="str">
        <f ca="1">IF(Table15[[#This Row],[Type]]="KILL",IF(_xlfn.NUMBERVALUE(RIGHT(Table15[[#This Row],[Min]],LEN(Table15[[#This Row],[Min]])-FIND("-",Table15[[#This Row],[Min]])))&gt;INDIRECT(ADDRESS(11+MATCH(LEFT(Table15[[#This Row],[Min]],FIND("-",Table15[[#This Row],[Min]])-1),Table1[Content Sku],0),16,1,1,"Entities")),"review","ok"),"ok")</f>
        <v>ok</v>
      </c>
    </row>
    <row r="1918" spans="5:25" x14ac:dyDescent="0.25">
      <c r="E1918" t="s">
        <v>313</v>
      </c>
      <c r="F1918">
        <v>0</v>
      </c>
      <c r="G1918">
        <v>0</v>
      </c>
      <c r="H1918" t="s">
        <v>8</v>
      </c>
      <c r="I1918" s="74" t="str">
        <f ca="1">IF(Table7[[#This Row],[Type]]="KILL",IF(_xlfn.NUMBERVALUE(RIGHT(Table7[[#This Row],[Min]],LEN(Table7[[#This Row],[Min]])-FIND("-",Table7[[#This Row],[Min]])))&gt;INDIRECT(ADDRESS(11+MATCH(LEFT(Table7[[#This Row],[Min]],FIND("-",Table7[[#This Row],[Min]])-1),Table1[Content Sku],0),16,1,1,"Entities")),"review","ok"),"ok")</f>
        <v>ok</v>
      </c>
      <c r="U1918" t="s">
        <v>2717</v>
      </c>
      <c r="V1918">
        <v>82000</v>
      </c>
      <c r="W1918">
        <v>0</v>
      </c>
      <c r="X1918" t="s">
        <v>205</v>
      </c>
      <c r="Y1918" s="74" t="str">
        <f ca="1">IF(Table15[[#This Row],[Type]]="KILL",IF(_xlfn.NUMBERVALUE(RIGHT(Table15[[#This Row],[Min]],LEN(Table15[[#This Row],[Min]])-FIND("-",Table15[[#This Row],[Min]])))&gt;INDIRECT(ADDRESS(11+MATCH(LEFT(Table15[[#This Row],[Min]],FIND("-",Table15[[#This Row],[Min]])-1),Table1[Content Sku],0),16,1,1,"Entities")),"review","ok"),"ok")</f>
        <v>ok</v>
      </c>
    </row>
    <row r="1919" spans="5:25" x14ac:dyDescent="0.25">
      <c r="E1919" t="s">
        <v>2723</v>
      </c>
      <c r="F1919">
        <v>0</v>
      </c>
      <c r="G1919">
        <v>0</v>
      </c>
      <c r="H1919" t="s">
        <v>8</v>
      </c>
      <c r="I1919" s="74" t="str">
        <f ca="1">IF(Table7[[#This Row],[Type]]="KILL",IF(_xlfn.NUMBERVALUE(RIGHT(Table7[[#This Row],[Min]],LEN(Table7[[#This Row],[Min]])-FIND("-",Table7[[#This Row],[Min]])))&gt;INDIRECT(ADDRESS(11+MATCH(LEFT(Table7[[#This Row],[Min]],FIND("-",Table7[[#This Row],[Min]])-1),Table1[Content Sku],0),16,1,1,"Entities")),"review","ok"),"ok")</f>
        <v>ok</v>
      </c>
      <c r="U1919" t="s">
        <v>37</v>
      </c>
      <c r="V1919">
        <v>0</v>
      </c>
      <c r="W1919">
        <v>0</v>
      </c>
      <c r="X1919" t="s">
        <v>8</v>
      </c>
      <c r="Y1919" s="74" t="str">
        <f ca="1">IF(Table15[[#This Row],[Type]]="KILL",IF(_xlfn.NUMBERVALUE(RIGHT(Table15[[#This Row],[Min]],LEN(Table15[[#This Row],[Min]])-FIND("-",Table15[[#This Row],[Min]])))&gt;INDIRECT(ADDRESS(11+MATCH(LEFT(Table15[[#This Row],[Min]],FIND("-",Table15[[#This Row],[Min]])-1),Table1[Content Sku],0),16,1,1,"Entities")),"review","ok"),"ok")</f>
        <v>ok</v>
      </c>
    </row>
    <row r="1920" spans="5:25" x14ac:dyDescent="0.25">
      <c r="E1920" t="s">
        <v>256</v>
      </c>
      <c r="F1920">
        <v>0</v>
      </c>
      <c r="G1920">
        <v>0</v>
      </c>
      <c r="H1920" t="s">
        <v>8</v>
      </c>
      <c r="I1920" s="74" t="str">
        <f ca="1">IF(Table7[[#This Row],[Type]]="KILL",IF(_xlfn.NUMBERVALUE(RIGHT(Table7[[#This Row],[Min]],LEN(Table7[[#This Row],[Min]])-FIND("-",Table7[[#This Row],[Min]])))&gt;INDIRECT(ADDRESS(11+MATCH(LEFT(Table7[[#This Row],[Min]],FIND("-",Table7[[#This Row],[Min]])-1),Table1[Content Sku],0),16,1,1,"Entities")),"review","ok"),"ok")</f>
        <v>ok</v>
      </c>
      <c r="U1920" t="s">
        <v>548</v>
      </c>
      <c r="V1920">
        <v>0</v>
      </c>
      <c r="W1920">
        <v>0</v>
      </c>
      <c r="X1920" t="s">
        <v>8</v>
      </c>
      <c r="Y1920" s="74" t="str">
        <f ca="1">IF(Table15[[#This Row],[Type]]="KILL",IF(_xlfn.NUMBERVALUE(RIGHT(Table15[[#This Row],[Min]],LEN(Table15[[#This Row],[Min]])-FIND("-",Table15[[#This Row],[Min]])))&gt;INDIRECT(ADDRESS(11+MATCH(LEFT(Table15[[#This Row],[Min]],FIND("-",Table15[[#This Row],[Min]])-1),Table1[Content Sku],0),16,1,1,"Entities")),"review","ok"),"ok")</f>
        <v>ok</v>
      </c>
    </row>
    <row r="1921" spans="5:25" x14ac:dyDescent="0.25">
      <c r="E1921" t="s">
        <v>257</v>
      </c>
      <c r="F1921">
        <v>25000</v>
      </c>
      <c r="G1921">
        <v>0</v>
      </c>
      <c r="H1921" t="s">
        <v>205</v>
      </c>
      <c r="I1921" s="74" t="str">
        <f ca="1">IF(Table7[[#This Row],[Type]]="KILL",IF(_xlfn.NUMBERVALUE(RIGHT(Table7[[#This Row],[Min]],LEN(Table7[[#This Row],[Min]])-FIND("-",Table7[[#This Row],[Min]])))&gt;INDIRECT(ADDRESS(11+MATCH(LEFT(Table7[[#This Row],[Min]],FIND("-",Table7[[#This Row],[Min]])-1),Table1[Content Sku],0),16,1,1,"Entities")),"review","ok"),"ok")</f>
        <v>ok</v>
      </c>
      <c r="U1921" t="s">
        <v>457</v>
      </c>
      <c r="V1921">
        <v>0</v>
      </c>
      <c r="W1921">
        <v>0</v>
      </c>
      <c r="X1921" t="s">
        <v>8</v>
      </c>
      <c r="Y1921" s="74" t="str">
        <f ca="1">IF(Table15[[#This Row],[Type]]="KILL",IF(_xlfn.NUMBERVALUE(RIGHT(Table15[[#This Row],[Min]],LEN(Table15[[#This Row],[Min]])-FIND("-",Table15[[#This Row],[Min]])))&gt;INDIRECT(ADDRESS(11+MATCH(LEFT(Table15[[#This Row],[Min]],FIND("-",Table15[[#This Row],[Min]])-1),Table1[Content Sku],0),16,1,1,"Entities")),"review","ok"),"ok")</f>
        <v>ok</v>
      </c>
    </row>
    <row r="1922" spans="5:25" x14ac:dyDescent="0.25">
      <c r="E1922" t="s">
        <v>254</v>
      </c>
      <c r="F1922">
        <v>8000</v>
      </c>
      <c r="G1922">
        <v>0</v>
      </c>
      <c r="H1922" t="s">
        <v>205</v>
      </c>
      <c r="I1922" s="74" t="str">
        <f ca="1">IF(Table7[[#This Row],[Type]]="KILL",IF(_xlfn.NUMBERVALUE(RIGHT(Table7[[#This Row],[Min]],LEN(Table7[[#This Row],[Min]])-FIND("-",Table7[[#This Row],[Min]])))&gt;INDIRECT(ADDRESS(11+MATCH(LEFT(Table7[[#This Row],[Min]],FIND("-",Table7[[#This Row],[Min]])-1),Table1[Content Sku],0),16,1,1,"Entities")),"review","ok"),"ok")</f>
        <v>ok</v>
      </c>
      <c r="U1922" t="s">
        <v>306</v>
      </c>
      <c r="V1922">
        <v>330</v>
      </c>
      <c r="W1922">
        <v>0</v>
      </c>
      <c r="X1922" t="s">
        <v>4431</v>
      </c>
      <c r="Y1922" s="74" t="str">
        <f ca="1">IF(Table15[[#This Row],[Type]]="KILL",IF(_xlfn.NUMBERVALUE(RIGHT(Table15[[#This Row],[Min]],LEN(Table15[[#This Row],[Min]])-FIND("-",Table15[[#This Row],[Min]])))&gt;INDIRECT(ADDRESS(11+MATCH(LEFT(Table15[[#This Row],[Min]],FIND("-",Table15[[#This Row],[Min]])-1),Table1[Content Sku],0),16,1,1,"Entities")),"review","ok"),"ok")</f>
        <v>ok</v>
      </c>
    </row>
    <row r="1923" spans="5:25" x14ac:dyDescent="0.25">
      <c r="E1923" t="s">
        <v>338</v>
      </c>
      <c r="F1923">
        <v>0</v>
      </c>
      <c r="G1923">
        <v>0</v>
      </c>
      <c r="H1923" t="s">
        <v>8</v>
      </c>
      <c r="I1923" s="74" t="str">
        <f ca="1">IF(Table7[[#This Row],[Type]]="KILL",IF(_xlfn.NUMBERVALUE(RIGHT(Table7[[#This Row],[Min]],LEN(Table7[[#This Row],[Min]])-FIND("-",Table7[[#This Row],[Min]])))&gt;INDIRECT(ADDRESS(11+MATCH(LEFT(Table7[[#This Row],[Min]],FIND("-",Table7[[#This Row],[Min]])-1),Table1[Content Sku],0),16,1,1,"Entities")),"review","ok"),"ok")</f>
        <v>ok</v>
      </c>
      <c r="U1923" t="s">
        <v>443</v>
      </c>
      <c r="V1923">
        <v>300</v>
      </c>
      <c r="W1923">
        <v>0</v>
      </c>
      <c r="X1923" t="s">
        <v>4431</v>
      </c>
      <c r="Y1923" s="74" t="str">
        <f ca="1">IF(Table15[[#This Row],[Type]]="KILL",IF(_xlfn.NUMBERVALUE(RIGHT(Table15[[#This Row],[Min]],LEN(Table15[[#This Row],[Min]])-FIND("-",Table15[[#This Row],[Min]])))&gt;INDIRECT(ADDRESS(11+MATCH(LEFT(Table15[[#This Row],[Min]],FIND("-",Table15[[#This Row],[Min]])-1),Table1[Content Sku],0),16,1,1,"Entities")),"review","ok"),"ok")</f>
        <v>ok</v>
      </c>
    </row>
    <row r="1924" spans="5:25" x14ac:dyDescent="0.25">
      <c r="E1924" t="s">
        <v>311</v>
      </c>
      <c r="F1924">
        <v>0</v>
      </c>
      <c r="G1924">
        <v>0</v>
      </c>
      <c r="H1924" t="s">
        <v>8</v>
      </c>
      <c r="I1924" s="74" t="str">
        <f ca="1">IF(Table7[[#This Row],[Type]]="KILL",IF(_xlfn.NUMBERVALUE(RIGHT(Table7[[#This Row],[Min]],LEN(Table7[[#This Row],[Min]])-FIND("-",Table7[[#This Row],[Min]])))&gt;INDIRECT(ADDRESS(11+MATCH(LEFT(Table7[[#This Row],[Min]],FIND("-",Table7[[#This Row],[Min]])-1),Table1[Content Sku],0),16,1,1,"Entities")),"review","ok"),"ok")</f>
        <v>ok</v>
      </c>
      <c r="U1924" t="s">
        <v>315</v>
      </c>
      <c r="V1924">
        <v>0</v>
      </c>
      <c r="W1924">
        <v>0</v>
      </c>
      <c r="X1924" t="s">
        <v>8</v>
      </c>
      <c r="Y1924" s="74" t="str">
        <f ca="1">IF(Table15[[#This Row],[Type]]="KILL",IF(_xlfn.NUMBERVALUE(RIGHT(Table15[[#This Row],[Min]],LEN(Table15[[#This Row],[Min]])-FIND("-",Table15[[#This Row],[Min]])))&gt;INDIRECT(ADDRESS(11+MATCH(LEFT(Table15[[#This Row],[Min]],FIND("-",Table15[[#This Row],[Min]])-1),Table1[Content Sku],0),16,1,1,"Entities")),"review","ok"),"ok")</f>
        <v>ok</v>
      </c>
    </row>
    <row r="1925" spans="5:25" x14ac:dyDescent="0.25">
      <c r="E1925" t="s">
        <v>295</v>
      </c>
      <c r="F1925">
        <v>0</v>
      </c>
      <c r="G1925">
        <v>10000</v>
      </c>
      <c r="H1925" t="s">
        <v>205</v>
      </c>
      <c r="I1925" s="74" t="str">
        <f ca="1">IF(Table7[[#This Row],[Type]]="KILL",IF(_xlfn.NUMBERVALUE(RIGHT(Table7[[#This Row],[Min]],LEN(Table7[[#This Row],[Min]])-FIND("-",Table7[[#This Row],[Min]])))&gt;INDIRECT(ADDRESS(11+MATCH(LEFT(Table7[[#This Row],[Min]],FIND("-",Table7[[#This Row],[Min]])-1),Table1[Content Sku],0),16,1,1,"Entities")),"review","ok"),"ok")</f>
        <v>ok</v>
      </c>
      <c r="U1925" t="s">
        <v>276</v>
      </c>
      <c r="V1925">
        <v>0</v>
      </c>
      <c r="W1925">
        <v>42000</v>
      </c>
      <c r="X1925" t="s">
        <v>205</v>
      </c>
      <c r="Y1925" s="74" t="str">
        <f ca="1">IF(Table15[[#This Row],[Type]]="KILL",IF(_xlfn.NUMBERVALUE(RIGHT(Table15[[#This Row],[Min]],LEN(Table15[[#This Row],[Min]])-FIND("-",Table15[[#This Row],[Min]])))&gt;INDIRECT(ADDRESS(11+MATCH(LEFT(Table15[[#This Row],[Min]],FIND("-",Table15[[#This Row],[Min]])-1),Table1[Content Sku],0),16,1,1,"Entities")),"review","ok"),"ok")</f>
        <v>ok</v>
      </c>
    </row>
    <row r="1926" spans="5:25" x14ac:dyDescent="0.25">
      <c r="E1926" t="s">
        <v>545</v>
      </c>
      <c r="F1926">
        <v>0</v>
      </c>
      <c r="G1926">
        <v>0</v>
      </c>
      <c r="H1926" t="s">
        <v>8</v>
      </c>
      <c r="I1926" s="74" t="str">
        <f ca="1">IF(Table7[[#This Row],[Type]]="KILL",IF(_xlfn.NUMBERVALUE(RIGHT(Table7[[#This Row],[Min]],LEN(Table7[[#This Row],[Min]])-FIND("-",Table7[[#This Row],[Min]])))&gt;INDIRECT(ADDRESS(11+MATCH(LEFT(Table7[[#This Row],[Min]],FIND("-",Table7[[#This Row],[Min]])-1),Table1[Content Sku],0),16,1,1,"Entities")),"review","ok"),"ok")</f>
        <v>ok</v>
      </c>
      <c r="U1926" t="s">
        <v>457</v>
      </c>
      <c r="V1926">
        <v>0</v>
      </c>
      <c r="W1926">
        <v>0</v>
      </c>
      <c r="X1926" t="s">
        <v>8</v>
      </c>
      <c r="Y1926" s="74" t="str">
        <f ca="1">IF(Table15[[#This Row],[Type]]="KILL",IF(_xlfn.NUMBERVALUE(RIGHT(Table15[[#This Row],[Min]],LEN(Table15[[#This Row],[Min]])-FIND("-",Table15[[#This Row],[Min]])))&gt;INDIRECT(ADDRESS(11+MATCH(LEFT(Table15[[#This Row],[Min]],FIND("-",Table15[[#This Row],[Min]])-1),Table1[Content Sku],0),16,1,1,"Entities")),"review","ok"),"ok")</f>
        <v>ok</v>
      </c>
    </row>
    <row r="1927" spans="5:25" x14ac:dyDescent="0.25">
      <c r="E1927" t="s">
        <v>8133</v>
      </c>
      <c r="F1927">
        <v>0</v>
      </c>
      <c r="G1927">
        <v>0</v>
      </c>
      <c r="H1927" t="s">
        <v>8</v>
      </c>
      <c r="I1927" s="74" t="str">
        <f ca="1">IF(Table7[[#This Row],[Type]]="KILL",IF(_xlfn.NUMBERVALUE(RIGHT(Table7[[#This Row],[Min]],LEN(Table7[[#This Row],[Min]])-FIND("-",Table7[[#This Row],[Min]])))&gt;INDIRECT(ADDRESS(11+MATCH(LEFT(Table7[[#This Row],[Min]],FIND("-",Table7[[#This Row],[Min]])-1),Table1[Content Sku],0),16,1,1,"Entities")),"review","ok"),"ok")</f>
        <v>ok</v>
      </c>
      <c r="U1927" t="s">
        <v>36</v>
      </c>
      <c r="V1927">
        <v>0</v>
      </c>
      <c r="W1927">
        <v>0</v>
      </c>
      <c r="X1927" t="s">
        <v>8</v>
      </c>
      <c r="Y1927" s="74" t="str">
        <f ca="1">IF(Table15[[#This Row],[Type]]="KILL",IF(_xlfn.NUMBERVALUE(RIGHT(Table15[[#This Row],[Min]],LEN(Table15[[#This Row],[Min]])-FIND("-",Table15[[#This Row],[Min]])))&gt;INDIRECT(ADDRESS(11+MATCH(LEFT(Table15[[#This Row],[Min]],FIND("-",Table15[[#This Row],[Min]])-1),Table1[Content Sku],0),16,1,1,"Entities")),"review","ok"),"ok")</f>
        <v>ok</v>
      </c>
    </row>
    <row r="1928" spans="5:25" x14ac:dyDescent="0.25">
      <c r="E1928" t="s">
        <v>313</v>
      </c>
      <c r="F1928">
        <v>0</v>
      </c>
      <c r="G1928">
        <v>0</v>
      </c>
      <c r="H1928" t="s">
        <v>8</v>
      </c>
      <c r="I1928" s="74" t="str">
        <f ca="1">IF(Table7[[#This Row],[Type]]="KILL",IF(_xlfn.NUMBERVALUE(RIGHT(Table7[[#This Row],[Min]],LEN(Table7[[#This Row],[Min]])-FIND("-",Table7[[#This Row],[Min]])))&gt;INDIRECT(ADDRESS(11+MATCH(LEFT(Table7[[#This Row],[Min]],FIND("-",Table7[[#This Row],[Min]])-1),Table1[Content Sku],0),16,1,1,"Entities")),"review","ok"),"ok")</f>
        <v>ok</v>
      </c>
      <c r="U1928" t="s">
        <v>398</v>
      </c>
      <c r="V1928">
        <v>0</v>
      </c>
      <c r="W1928">
        <v>0</v>
      </c>
      <c r="X1928" t="s">
        <v>8</v>
      </c>
      <c r="Y1928" s="74" t="str">
        <f ca="1">IF(Table15[[#This Row],[Type]]="KILL",IF(_xlfn.NUMBERVALUE(RIGHT(Table15[[#This Row],[Min]],LEN(Table15[[#This Row],[Min]])-FIND("-",Table15[[#This Row],[Min]])))&gt;INDIRECT(ADDRESS(11+MATCH(LEFT(Table15[[#This Row],[Min]],FIND("-",Table15[[#This Row],[Min]])-1),Table1[Content Sku],0),16,1,1,"Entities")),"review","ok"),"ok")</f>
        <v>ok</v>
      </c>
    </row>
    <row r="1929" spans="5:25" x14ac:dyDescent="0.25">
      <c r="E1929" t="s">
        <v>90</v>
      </c>
      <c r="F1929">
        <v>0</v>
      </c>
      <c r="G1929">
        <v>0</v>
      </c>
      <c r="H1929" t="s">
        <v>8</v>
      </c>
      <c r="I1929" s="74" t="str">
        <f ca="1">IF(Table7[[#This Row],[Type]]="KILL",IF(_xlfn.NUMBERVALUE(RIGHT(Table7[[#This Row],[Min]],LEN(Table7[[#This Row],[Min]])-FIND("-",Table7[[#This Row],[Min]])))&gt;INDIRECT(ADDRESS(11+MATCH(LEFT(Table7[[#This Row],[Min]],FIND("-",Table7[[#This Row],[Min]])-1),Table1[Content Sku],0),16,1,1,"Entities")),"review","ok"),"ok")</f>
        <v>ok</v>
      </c>
      <c r="U1929" t="s">
        <v>36</v>
      </c>
      <c r="V1929">
        <v>0</v>
      </c>
      <c r="W1929">
        <v>0</v>
      </c>
      <c r="X1929" t="s">
        <v>8</v>
      </c>
      <c r="Y1929" s="74" t="str">
        <f ca="1">IF(Table15[[#This Row],[Type]]="KILL",IF(_xlfn.NUMBERVALUE(RIGHT(Table15[[#This Row],[Min]],LEN(Table15[[#This Row],[Min]])-FIND("-",Table15[[#This Row],[Min]])))&gt;INDIRECT(ADDRESS(11+MATCH(LEFT(Table15[[#This Row],[Min]],FIND("-",Table15[[#This Row],[Min]])-1),Table1[Content Sku],0),16,1,1,"Entities")),"review","ok"),"ok")</f>
        <v>ok</v>
      </c>
    </row>
    <row r="1930" spans="5:25" x14ac:dyDescent="0.25">
      <c r="E1930" t="s">
        <v>396</v>
      </c>
      <c r="F1930">
        <v>0</v>
      </c>
      <c r="G1930">
        <v>0</v>
      </c>
      <c r="H1930" t="s">
        <v>8</v>
      </c>
      <c r="I1930" s="74" t="str">
        <f ca="1">IF(Table7[[#This Row],[Type]]="KILL",IF(_xlfn.NUMBERVALUE(RIGHT(Table7[[#This Row],[Min]],LEN(Table7[[#This Row],[Min]])-FIND("-",Table7[[#This Row],[Min]])))&gt;INDIRECT(ADDRESS(11+MATCH(LEFT(Table7[[#This Row],[Min]],FIND("-",Table7[[#This Row],[Min]])-1),Table1[Content Sku],0),16,1,1,"Entities")),"review","ok"),"ok")</f>
        <v>ok</v>
      </c>
      <c r="U1930" t="s">
        <v>396</v>
      </c>
      <c r="V1930">
        <v>40000</v>
      </c>
      <c r="W1930">
        <v>0</v>
      </c>
      <c r="X1930" t="s">
        <v>205</v>
      </c>
      <c r="Y1930" s="74" t="str">
        <f ca="1">IF(Table15[[#This Row],[Type]]="KILL",IF(_xlfn.NUMBERVALUE(RIGHT(Table15[[#This Row],[Min]],LEN(Table15[[#This Row],[Min]])-FIND("-",Table15[[#This Row],[Min]])))&gt;INDIRECT(ADDRESS(11+MATCH(LEFT(Table15[[#This Row],[Min]],FIND("-",Table15[[#This Row],[Min]])-1),Table1[Content Sku],0),16,1,1,"Entities")),"review","ok"),"ok")</f>
        <v>ok</v>
      </c>
    </row>
    <row r="1931" spans="5:25" x14ac:dyDescent="0.25">
      <c r="E1931" t="s">
        <v>396</v>
      </c>
      <c r="F1931">
        <v>20000</v>
      </c>
      <c r="G1931">
        <v>0</v>
      </c>
      <c r="H1931" t="s">
        <v>205</v>
      </c>
      <c r="I1931" s="74" t="str">
        <f ca="1">IF(Table7[[#This Row],[Type]]="KILL",IF(_xlfn.NUMBERVALUE(RIGHT(Table7[[#This Row],[Min]],LEN(Table7[[#This Row],[Min]])-FIND("-",Table7[[#This Row],[Min]])))&gt;INDIRECT(ADDRESS(11+MATCH(LEFT(Table7[[#This Row],[Min]],FIND("-",Table7[[#This Row],[Min]])-1),Table1[Content Sku],0),16,1,1,"Entities")),"review","ok"),"ok")</f>
        <v>ok</v>
      </c>
      <c r="U1931" t="s">
        <v>37</v>
      </c>
      <c r="V1931">
        <v>0</v>
      </c>
      <c r="W1931">
        <v>0</v>
      </c>
      <c r="X1931" t="s">
        <v>8</v>
      </c>
      <c r="Y1931" s="74" t="str">
        <f ca="1">IF(Table15[[#This Row],[Type]]="KILL",IF(_xlfn.NUMBERVALUE(RIGHT(Table15[[#This Row],[Min]],LEN(Table15[[#This Row],[Min]])-FIND("-",Table15[[#This Row],[Min]])))&gt;INDIRECT(ADDRESS(11+MATCH(LEFT(Table15[[#This Row],[Min]],FIND("-",Table15[[#This Row],[Min]])-1),Table1[Content Sku],0),16,1,1,"Entities")),"review","ok"),"ok")</f>
        <v>ok</v>
      </c>
    </row>
    <row r="1932" spans="5:25" x14ac:dyDescent="0.25">
      <c r="E1932" t="s">
        <v>2741</v>
      </c>
      <c r="F1932">
        <v>0</v>
      </c>
      <c r="G1932">
        <v>0</v>
      </c>
      <c r="H1932" t="s">
        <v>8</v>
      </c>
      <c r="I1932" s="74" t="str">
        <f ca="1">IF(Table7[[#This Row],[Type]]="KILL",IF(_xlfn.NUMBERVALUE(RIGHT(Table7[[#This Row],[Min]],LEN(Table7[[#This Row],[Min]])-FIND("-",Table7[[#This Row],[Min]])))&gt;INDIRECT(ADDRESS(11+MATCH(LEFT(Table7[[#This Row],[Min]],FIND("-",Table7[[#This Row],[Min]])-1),Table1[Content Sku],0),16,1,1,"Entities")),"review","ok"),"ok")</f>
        <v>ok</v>
      </c>
      <c r="U1932" t="s">
        <v>46</v>
      </c>
      <c r="V1932">
        <v>0</v>
      </c>
      <c r="W1932">
        <v>0</v>
      </c>
      <c r="X1932" t="s">
        <v>8</v>
      </c>
      <c r="Y1932" s="74" t="str">
        <f ca="1">IF(Table15[[#This Row],[Type]]="KILL",IF(_xlfn.NUMBERVALUE(RIGHT(Table15[[#This Row],[Min]],LEN(Table15[[#This Row],[Min]])-FIND("-",Table15[[#This Row],[Min]])))&gt;INDIRECT(ADDRESS(11+MATCH(LEFT(Table15[[#This Row],[Min]],FIND("-",Table15[[#This Row],[Min]])-1),Table1[Content Sku],0),16,1,1,"Entities")),"review","ok"),"ok")</f>
        <v>ok</v>
      </c>
    </row>
    <row r="1933" spans="5:25" x14ac:dyDescent="0.25">
      <c r="E1933" t="s">
        <v>311</v>
      </c>
      <c r="F1933">
        <v>4200</v>
      </c>
      <c r="G1933">
        <v>0</v>
      </c>
      <c r="H1933" t="s">
        <v>205</v>
      </c>
      <c r="I1933" s="74" t="str">
        <f ca="1">IF(Table7[[#This Row],[Type]]="KILL",IF(_xlfn.NUMBERVALUE(RIGHT(Table7[[#This Row],[Min]],LEN(Table7[[#This Row],[Min]])-FIND("-",Table7[[#This Row],[Min]])))&gt;INDIRECT(ADDRESS(11+MATCH(LEFT(Table7[[#This Row],[Min]],FIND("-",Table7[[#This Row],[Min]])-1),Table1[Content Sku],0),16,1,1,"Entities")),"review","ok"),"ok")</f>
        <v>ok</v>
      </c>
      <c r="U1933" t="s">
        <v>37</v>
      </c>
      <c r="V1933">
        <v>0</v>
      </c>
      <c r="W1933">
        <v>0</v>
      </c>
      <c r="X1933" t="s">
        <v>8</v>
      </c>
      <c r="Y1933" s="74" t="str">
        <f ca="1">IF(Table15[[#This Row],[Type]]="KILL",IF(_xlfn.NUMBERVALUE(RIGHT(Table15[[#This Row],[Min]],LEN(Table15[[#This Row],[Min]])-FIND("-",Table15[[#This Row],[Min]])))&gt;INDIRECT(ADDRESS(11+MATCH(LEFT(Table15[[#This Row],[Min]],FIND("-",Table15[[#This Row],[Min]])-1),Table1[Content Sku],0),16,1,1,"Entities")),"review","ok"),"ok")</f>
        <v>ok</v>
      </c>
    </row>
    <row r="1934" spans="5:25" x14ac:dyDescent="0.25">
      <c r="E1934" t="s">
        <v>14</v>
      </c>
      <c r="F1934">
        <v>0</v>
      </c>
      <c r="G1934">
        <v>0</v>
      </c>
      <c r="H1934" t="s">
        <v>8</v>
      </c>
      <c r="I1934" s="74" t="str">
        <f ca="1">IF(Table7[[#This Row],[Type]]="KILL",IF(_xlfn.NUMBERVALUE(RIGHT(Table7[[#This Row],[Min]],LEN(Table7[[#This Row],[Min]])-FIND("-",Table7[[#This Row],[Min]])))&gt;INDIRECT(ADDRESS(11+MATCH(LEFT(Table7[[#This Row],[Min]],FIND("-",Table7[[#This Row],[Min]])-1),Table1[Content Sku],0),16,1,1,"Entities")),"review","ok"),"ok")</f>
        <v>ok</v>
      </c>
      <c r="U1934" t="s">
        <v>457</v>
      </c>
      <c r="V1934">
        <v>0</v>
      </c>
      <c r="W1934">
        <v>0</v>
      </c>
      <c r="X1934" t="s">
        <v>8</v>
      </c>
      <c r="Y1934" s="74" t="str">
        <f ca="1">IF(Table15[[#This Row],[Type]]="KILL",IF(_xlfn.NUMBERVALUE(RIGHT(Table15[[#This Row],[Min]],LEN(Table15[[#This Row],[Min]])-FIND("-",Table15[[#This Row],[Min]])))&gt;INDIRECT(ADDRESS(11+MATCH(LEFT(Table15[[#This Row],[Min]],FIND("-",Table15[[#This Row],[Min]])-1),Table1[Content Sku],0),16,1,1,"Entities")),"review","ok"),"ok")</f>
        <v>ok</v>
      </c>
    </row>
    <row r="1935" spans="5:25" x14ac:dyDescent="0.25">
      <c r="E1935" t="s">
        <v>254</v>
      </c>
      <c r="F1935">
        <v>0</v>
      </c>
      <c r="G1935">
        <v>0</v>
      </c>
      <c r="H1935" t="s">
        <v>8</v>
      </c>
      <c r="I1935" s="74" t="str">
        <f ca="1">IF(Table7[[#This Row],[Type]]="KILL",IF(_xlfn.NUMBERVALUE(RIGHT(Table7[[#This Row],[Min]],LEN(Table7[[#This Row],[Min]])-FIND("-",Table7[[#This Row],[Min]])))&gt;INDIRECT(ADDRESS(11+MATCH(LEFT(Table7[[#This Row],[Min]],FIND("-",Table7[[#This Row],[Min]])-1),Table1[Content Sku],0),16,1,1,"Entities")),"review","ok"),"ok")</f>
        <v>ok</v>
      </c>
      <c r="U1935" t="s">
        <v>37</v>
      </c>
      <c r="V1935">
        <v>0</v>
      </c>
      <c r="W1935">
        <v>0</v>
      </c>
      <c r="X1935" t="s">
        <v>8</v>
      </c>
      <c r="Y1935" s="74" t="str">
        <f ca="1">IF(Table15[[#This Row],[Type]]="KILL",IF(_xlfn.NUMBERVALUE(RIGHT(Table15[[#This Row],[Min]],LEN(Table15[[#This Row],[Min]])-FIND("-",Table15[[#This Row],[Min]])))&gt;INDIRECT(ADDRESS(11+MATCH(LEFT(Table15[[#This Row],[Min]],FIND("-",Table15[[#This Row],[Min]])-1),Table1[Content Sku],0),16,1,1,"Entities")),"review","ok"),"ok")</f>
        <v>ok</v>
      </c>
    </row>
    <row r="1936" spans="5:25" x14ac:dyDescent="0.25">
      <c r="E1936" t="s">
        <v>2766</v>
      </c>
      <c r="F1936">
        <v>0</v>
      </c>
      <c r="G1936">
        <v>0</v>
      </c>
      <c r="H1936" t="s">
        <v>8</v>
      </c>
      <c r="I1936" s="74" t="str">
        <f ca="1">IF(Table7[[#This Row],[Type]]="KILL",IF(_xlfn.NUMBERVALUE(RIGHT(Table7[[#This Row],[Min]],LEN(Table7[[#This Row],[Min]])-FIND("-",Table7[[#This Row],[Min]])))&gt;INDIRECT(ADDRESS(11+MATCH(LEFT(Table7[[#This Row],[Min]],FIND("-",Table7[[#This Row],[Min]])-1),Table1[Content Sku],0),16,1,1,"Entities")),"review","ok"),"ok")</f>
        <v>ok</v>
      </c>
      <c r="U1936" t="s">
        <v>457</v>
      </c>
      <c r="V1936">
        <v>0</v>
      </c>
      <c r="W1936">
        <v>50000</v>
      </c>
      <c r="X1936" t="s">
        <v>205</v>
      </c>
      <c r="Y1936" s="74" t="str">
        <f ca="1">IF(Table15[[#This Row],[Type]]="KILL",IF(_xlfn.NUMBERVALUE(RIGHT(Table15[[#This Row],[Min]],LEN(Table15[[#This Row],[Min]])-FIND("-",Table15[[#This Row],[Min]])))&gt;INDIRECT(ADDRESS(11+MATCH(LEFT(Table15[[#This Row],[Min]],FIND("-",Table15[[#This Row],[Min]])-1),Table1[Content Sku],0),16,1,1,"Entities")),"review","ok"),"ok")</f>
        <v>ok</v>
      </c>
    </row>
    <row r="1937" spans="5:25" x14ac:dyDescent="0.25">
      <c r="E1937" t="s">
        <v>10</v>
      </c>
      <c r="F1937">
        <v>2250</v>
      </c>
      <c r="G1937">
        <v>0</v>
      </c>
      <c r="H1937" t="s">
        <v>205</v>
      </c>
      <c r="I1937" s="74" t="str">
        <f ca="1">IF(Table7[[#This Row],[Type]]="KILL",IF(_xlfn.NUMBERVALUE(RIGHT(Table7[[#This Row],[Min]],LEN(Table7[[#This Row],[Min]])-FIND("-",Table7[[#This Row],[Min]])))&gt;INDIRECT(ADDRESS(11+MATCH(LEFT(Table7[[#This Row],[Min]],FIND("-",Table7[[#This Row],[Min]])-1),Table1[Content Sku],0),16,1,1,"Entities")),"review","ok"),"ok")</f>
        <v>ok</v>
      </c>
      <c r="U1937" t="s">
        <v>123</v>
      </c>
      <c r="V1937">
        <v>0</v>
      </c>
      <c r="W1937">
        <v>0</v>
      </c>
      <c r="X1937" t="s">
        <v>8</v>
      </c>
      <c r="Y1937" s="74" t="str">
        <f ca="1">IF(Table15[[#This Row],[Type]]="KILL",IF(_xlfn.NUMBERVALUE(RIGHT(Table15[[#This Row],[Min]],LEN(Table15[[#This Row],[Min]])-FIND("-",Table15[[#This Row],[Min]])))&gt;INDIRECT(ADDRESS(11+MATCH(LEFT(Table15[[#This Row],[Min]],FIND("-",Table15[[#This Row],[Min]])-1),Table1[Content Sku],0),16,1,1,"Entities")),"review","ok"),"ok")</f>
        <v>ok</v>
      </c>
    </row>
    <row r="1938" spans="5:25" x14ac:dyDescent="0.25">
      <c r="E1938" t="s">
        <v>393</v>
      </c>
      <c r="F1938">
        <v>0</v>
      </c>
      <c r="G1938">
        <v>0</v>
      </c>
      <c r="H1938" t="s">
        <v>8</v>
      </c>
      <c r="I1938" s="74" t="str">
        <f ca="1">IF(Table7[[#This Row],[Type]]="KILL",IF(_xlfn.NUMBERVALUE(RIGHT(Table7[[#This Row],[Min]],LEN(Table7[[#This Row],[Min]])-FIND("-",Table7[[#This Row],[Min]])))&gt;INDIRECT(ADDRESS(11+MATCH(LEFT(Table7[[#This Row],[Min]],FIND("-",Table7[[#This Row],[Min]])-1),Table1[Content Sku],0),16,1,1,"Entities")),"review","ok"),"ok")</f>
        <v>ok</v>
      </c>
      <c r="U1938" t="s">
        <v>457</v>
      </c>
      <c r="V1938">
        <v>0</v>
      </c>
      <c r="W1938">
        <v>0</v>
      </c>
      <c r="X1938" t="s">
        <v>8</v>
      </c>
      <c r="Y1938" s="74" t="str">
        <f ca="1">IF(Table15[[#This Row],[Type]]="KILL",IF(_xlfn.NUMBERVALUE(RIGHT(Table15[[#This Row],[Min]],LEN(Table15[[#This Row],[Min]])-FIND("-",Table15[[#This Row],[Min]])))&gt;INDIRECT(ADDRESS(11+MATCH(LEFT(Table15[[#This Row],[Min]],FIND("-",Table15[[#This Row],[Min]])-1),Table1[Content Sku],0),16,1,1,"Entities")),"review","ok"),"ok")</f>
        <v>ok</v>
      </c>
    </row>
    <row r="1939" spans="5:25" x14ac:dyDescent="0.25">
      <c r="E1939" t="s">
        <v>286</v>
      </c>
      <c r="F1939">
        <v>4000</v>
      </c>
      <c r="G1939">
        <v>40000</v>
      </c>
      <c r="H1939" t="s">
        <v>205</v>
      </c>
      <c r="I1939" s="74" t="str">
        <f ca="1">IF(Table7[[#This Row],[Type]]="KILL",IF(_xlfn.NUMBERVALUE(RIGHT(Table7[[#This Row],[Min]],LEN(Table7[[#This Row],[Min]])-FIND("-",Table7[[#This Row],[Min]])))&gt;INDIRECT(ADDRESS(11+MATCH(LEFT(Table7[[#This Row],[Min]],FIND("-",Table7[[#This Row],[Min]])-1),Table1[Content Sku],0),16,1,1,"Entities")),"review","ok"),"ok")</f>
        <v>ok</v>
      </c>
      <c r="U1939" t="s">
        <v>289</v>
      </c>
      <c r="V1939">
        <v>0</v>
      </c>
      <c r="W1939">
        <v>0</v>
      </c>
      <c r="X1939" t="s">
        <v>8</v>
      </c>
      <c r="Y1939" s="74" t="str">
        <f ca="1">IF(Table15[[#This Row],[Type]]="KILL",IF(_xlfn.NUMBERVALUE(RIGHT(Table15[[#This Row],[Min]],LEN(Table15[[#This Row],[Min]])-FIND("-",Table15[[#This Row],[Min]])))&gt;INDIRECT(ADDRESS(11+MATCH(LEFT(Table15[[#This Row],[Min]],FIND("-",Table15[[#This Row],[Min]])-1),Table1[Content Sku],0),16,1,1,"Entities")),"review","ok"),"ok")</f>
        <v>ok</v>
      </c>
    </row>
    <row r="1940" spans="5:25" x14ac:dyDescent="0.25">
      <c r="E1940" t="s">
        <v>8133</v>
      </c>
      <c r="F1940">
        <v>0</v>
      </c>
      <c r="G1940">
        <v>0</v>
      </c>
      <c r="H1940" t="s">
        <v>8</v>
      </c>
      <c r="I1940" s="74" t="str">
        <f ca="1">IF(Table7[[#This Row],[Type]]="KILL",IF(_xlfn.NUMBERVALUE(RIGHT(Table7[[#This Row],[Min]],LEN(Table7[[#This Row],[Min]])-FIND("-",Table7[[#This Row],[Min]])))&gt;INDIRECT(ADDRESS(11+MATCH(LEFT(Table7[[#This Row],[Min]],FIND("-",Table7[[#This Row],[Min]])-1),Table1[Content Sku],0),16,1,1,"Entities")),"review","ok"),"ok")</f>
        <v>ok</v>
      </c>
      <c r="U1940" t="s">
        <v>457</v>
      </c>
      <c r="V1940">
        <v>0</v>
      </c>
      <c r="W1940">
        <v>0</v>
      </c>
      <c r="X1940" t="s">
        <v>8</v>
      </c>
      <c r="Y1940" s="74" t="str">
        <f ca="1">IF(Table15[[#This Row],[Type]]="KILL",IF(_xlfn.NUMBERVALUE(RIGHT(Table15[[#This Row],[Min]],LEN(Table15[[#This Row],[Min]])-FIND("-",Table15[[#This Row],[Min]])))&gt;INDIRECT(ADDRESS(11+MATCH(LEFT(Table15[[#This Row],[Min]],FIND("-",Table15[[#This Row],[Min]])-1),Table1[Content Sku],0),16,1,1,"Entities")),"review","ok"),"ok")</f>
        <v>ok</v>
      </c>
    </row>
    <row r="1941" spans="5:25" x14ac:dyDescent="0.25">
      <c r="E1941" t="s">
        <v>41</v>
      </c>
      <c r="F1941">
        <v>10000</v>
      </c>
      <c r="G1941">
        <v>0</v>
      </c>
      <c r="H1941" t="s">
        <v>205</v>
      </c>
      <c r="I1941" s="74" t="str">
        <f ca="1">IF(Table7[[#This Row],[Type]]="KILL",IF(_xlfn.NUMBERVALUE(RIGHT(Table7[[#This Row],[Min]],LEN(Table7[[#This Row],[Min]])-FIND("-",Table7[[#This Row],[Min]])))&gt;INDIRECT(ADDRESS(11+MATCH(LEFT(Table7[[#This Row],[Min]],FIND("-",Table7[[#This Row],[Min]])-1),Table1[Content Sku],0),16,1,1,"Entities")),"review","ok"),"ok")</f>
        <v>ok</v>
      </c>
      <c r="U1941" t="s">
        <v>313</v>
      </c>
      <c r="V1941">
        <v>0</v>
      </c>
      <c r="W1941">
        <v>0</v>
      </c>
      <c r="X1941" t="s">
        <v>8</v>
      </c>
      <c r="Y1941" s="74" t="str">
        <f ca="1">IF(Table15[[#This Row],[Type]]="KILL",IF(_xlfn.NUMBERVALUE(RIGHT(Table15[[#This Row],[Min]],LEN(Table15[[#This Row],[Min]])-FIND("-",Table15[[#This Row],[Min]])))&gt;INDIRECT(ADDRESS(11+MATCH(LEFT(Table15[[#This Row],[Min]],FIND("-",Table15[[#This Row],[Min]])-1),Table1[Content Sku],0),16,1,1,"Entities")),"review","ok"),"ok")</f>
        <v>ok</v>
      </c>
    </row>
    <row r="1942" spans="5:25" x14ac:dyDescent="0.25">
      <c r="E1942" t="s">
        <v>8134</v>
      </c>
      <c r="F1942">
        <v>0</v>
      </c>
      <c r="G1942">
        <v>0</v>
      </c>
      <c r="H1942" t="s">
        <v>8</v>
      </c>
      <c r="I1942" s="74" t="str">
        <f ca="1">IF(Table7[[#This Row],[Type]]="KILL",IF(_xlfn.NUMBERVALUE(RIGHT(Table7[[#This Row],[Min]],LEN(Table7[[#This Row],[Min]])-FIND("-",Table7[[#This Row],[Min]])))&gt;INDIRECT(ADDRESS(11+MATCH(LEFT(Table7[[#This Row],[Min]],FIND("-",Table7[[#This Row],[Min]])-1),Table1[Content Sku],0),16,1,1,"Entities")),"review","ok"),"ok")</f>
        <v>ok</v>
      </c>
      <c r="U1942" t="s">
        <v>457</v>
      </c>
      <c r="V1942">
        <v>0</v>
      </c>
      <c r="W1942">
        <v>0</v>
      </c>
      <c r="X1942" t="s">
        <v>8</v>
      </c>
      <c r="Y1942" s="74" t="str">
        <f ca="1">IF(Table15[[#This Row],[Type]]="KILL",IF(_xlfn.NUMBERVALUE(RIGHT(Table15[[#This Row],[Min]],LEN(Table15[[#This Row],[Min]])-FIND("-",Table15[[#This Row],[Min]])))&gt;INDIRECT(ADDRESS(11+MATCH(LEFT(Table15[[#This Row],[Min]],FIND("-",Table15[[#This Row],[Min]])-1),Table1[Content Sku],0),16,1,1,"Entities")),"review","ok"),"ok")</f>
        <v>ok</v>
      </c>
    </row>
    <row r="1943" spans="5:25" x14ac:dyDescent="0.25">
      <c r="E1943" t="s">
        <v>315</v>
      </c>
      <c r="F1943">
        <v>0</v>
      </c>
      <c r="G1943">
        <v>0</v>
      </c>
      <c r="H1943" t="s">
        <v>8</v>
      </c>
      <c r="I1943" s="74" t="str">
        <f ca="1">IF(Table7[[#This Row],[Type]]="KILL",IF(_xlfn.NUMBERVALUE(RIGHT(Table7[[#This Row],[Min]],LEN(Table7[[#This Row],[Min]])-FIND("-",Table7[[#This Row],[Min]])))&gt;INDIRECT(ADDRESS(11+MATCH(LEFT(Table7[[#This Row],[Min]],FIND("-",Table7[[#This Row],[Min]])-1),Table1[Content Sku],0),16,1,1,"Entities")),"review","ok"),"ok")</f>
        <v>ok</v>
      </c>
      <c r="U1943" t="s">
        <v>457</v>
      </c>
      <c r="V1943">
        <v>0</v>
      </c>
      <c r="W1943">
        <v>0</v>
      </c>
      <c r="X1943" t="s">
        <v>8</v>
      </c>
      <c r="Y1943" s="74" t="str">
        <f ca="1">IF(Table15[[#This Row],[Type]]="KILL",IF(_xlfn.NUMBERVALUE(RIGHT(Table15[[#This Row],[Min]],LEN(Table15[[#This Row],[Min]])-FIND("-",Table15[[#This Row],[Min]])))&gt;INDIRECT(ADDRESS(11+MATCH(LEFT(Table15[[#This Row],[Min]],FIND("-",Table15[[#This Row],[Min]])-1),Table1[Content Sku],0),16,1,1,"Entities")),"review","ok"),"ok")</f>
        <v>ok</v>
      </c>
    </row>
    <row r="1944" spans="5:25" x14ac:dyDescent="0.25">
      <c r="E1944" t="s">
        <v>258</v>
      </c>
      <c r="F1944">
        <v>35000</v>
      </c>
      <c r="G1944">
        <v>0</v>
      </c>
      <c r="H1944" t="s">
        <v>205</v>
      </c>
      <c r="I1944" s="74" t="str">
        <f ca="1">IF(Table7[[#This Row],[Type]]="KILL",IF(_xlfn.NUMBERVALUE(RIGHT(Table7[[#This Row],[Min]],LEN(Table7[[#This Row],[Min]])-FIND("-",Table7[[#This Row],[Min]])))&gt;INDIRECT(ADDRESS(11+MATCH(LEFT(Table7[[#This Row],[Min]],FIND("-",Table7[[#This Row],[Min]])-1),Table1[Content Sku],0),16,1,1,"Entities")),"review","ok"),"ok")</f>
        <v>ok</v>
      </c>
      <c r="U1944" t="s">
        <v>398</v>
      </c>
      <c r="V1944">
        <v>0</v>
      </c>
      <c r="W1944">
        <v>0</v>
      </c>
      <c r="X1944" t="s">
        <v>8</v>
      </c>
      <c r="Y1944" s="74" t="str">
        <f ca="1">IF(Table15[[#This Row],[Type]]="KILL",IF(_xlfn.NUMBERVALUE(RIGHT(Table15[[#This Row],[Min]],LEN(Table15[[#This Row],[Min]])-FIND("-",Table15[[#This Row],[Min]])))&gt;INDIRECT(ADDRESS(11+MATCH(LEFT(Table15[[#This Row],[Min]],FIND("-",Table15[[#This Row],[Min]])-1),Table1[Content Sku],0),16,1,1,"Entities")),"review","ok"),"ok")</f>
        <v>ok</v>
      </c>
    </row>
    <row r="1945" spans="5:25" x14ac:dyDescent="0.25">
      <c r="E1945" t="s">
        <v>41</v>
      </c>
      <c r="F1945">
        <v>8000</v>
      </c>
      <c r="G1945">
        <v>0</v>
      </c>
      <c r="H1945" t="s">
        <v>205</v>
      </c>
      <c r="I1945" s="74" t="str">
        <f ca="1">IF(Table7[[#This Row],[Type]]="KILL",IF(_xlfn.NUMBERVALUE(RIGHT(Table7[[#This Row],[Min]],LEN(Table7[[#This Row],[Min]])-FIND("-",Table7[[#This Row],[Min]])))&gt;INDIRECT(ADDRESS(11+MATCH(LEFT(Table7[[#This Row],[Min]],FIND("-",Table7[[#This Row],[Min]])-1),Table1[Content Sku],0),16,1,1,"Entities")),"review","ok"),"ok")</f>
        <v>ok</v>
      </c>
      <c r="U1945" t="s">
        <v>21</v>
      </c>
      <c r="V1945">
        <v>0</v>
      </c>
      <c r="W1945">
        <v>0</v>
      </c>
      <c r="X1945" t="s">
        <v>8</v>
      </c>
      <c r="Y1945" s="74" t="str">
        <f ca="1">IF(Table15[[#This Row],[Type]]="KILL",IF(_xlfn.NUMBERVALUE(RIGHT(Table15[[#This Row],[Min]],LEN(Table15[[#This Row],[Min]])-FIND("-",Table15[[#This Row],[Min]])))&gt;INDIRECT(ADDRESS(11+MATCH(LEFT(Table15[[#This Row],[Min]],FIND("-",Table15[[#This Row],[Min]])-1),Table1[Content Sku],0),16,1,1,"Entities")),"review","ok"),"ok")</f>
        <v>ok</v>
      </c>
    </row>
    <row r="1946" spans="5:25" x14ac:dyDescent="0.25">
      <c r="E1946" t="s">
        <v>8133</v>
      </c>
      <c r="F1946">
        <v>0</v>
      </c>
      <c r="G1946">
        <v>0</v>
      </c>
      <c r="H1946" t="s">
        <v>8</v>
      </c>
      <c r="I1946" s="74" t="str">
        <f ca="1">IF(Table7[[#This Row],[Type]]="KILL",IF(_xlfn.NUMBERVALUE(RIGHT(Table7[[#This Row],[Min]],LEN(Table7[[#This Row],[Min]])-FIND("-",Table7[[#This Row],[Min]])))&gt;INDIRECT(ADDRESS(11+MATCH(LEFT(Table7[[#This Row],[Min]],FIND("-",Table7[[#This Row],[Min]])-1),Table1[Content Sku],0),16,1,1,"Entities")),"review","ok"),"ok")</f>
        <v>ok</v>
      </c>
      <c r="U1946" t="s">
        <v>22</v>
      </c>
      <c r="V1946">
        <v>45000</v>
      </c>
      <c r="W1946">
        <v>0</v>
      </c>
      <c r="X1946" t="s">
        <v>205</v>
      </c>
      <c r="Y1946" s="74" t="str">
        <f ca="1">IF(Table15[[#This Row],[Type]]="KILL",IF(_xlfn.NUMBERVALUE(RIGHT(Table15[[#This Row],[Min]],LEN(Table15[[#This Row],[Min]])-FIND("-",Table15[[#This Row],[Min]])))&gt;INDIRECT(ADDRESS(11+MATCH(LEFT(Table15[[#This Row],[Min]],FIND("-",Table15[[#This Row],[Min]])-1),Table1[Content Sku],0),16,1,1,"Entities")),"review","ok"),"ok")</f>
        <v>ok</v>
      </c>
    </row>
    <row r="1947" spans="5:25" x14ac:dyDescent="0.25">
      <c r="E1947" t="s">
        <v>2741</v>
      </c>
      <c r="F1947">
        <v>0</v>
      </c>
      <c r="G1947">
        <v>0</v>
      </c>
      <c r="H1947" t="s">
        <v>8</v>
      </c>
      <c r="I1947" s="74" t="str">
        <f ca="1">IF(Table7[[#This Row],[Type]]="KILL",IF(_xlfn.NUMBERVALUE(RIGHT(Table7[[#This Row],[Min]],LEN(Table7[[#This Row],[Min]])-FIND("-",Table7[[#This Row],[Min]])))&gt;INDIRECT(ADDRESS(11+MATCH(LEFT(Table7[[#This Row],[Min]],FIND("-",Table7[[#This Row],[Min]])-1),Table1[Content Sku],0),16,1,1,"Entities")),"review","ok"),"ok")</f>
        <v>ok</v>
      </c>
      <c r="U1947" t="s">
        <v>37</v>
      </c>
      <c r="V1947">
        <v>0</v>
      </c>
      <c r="W1947">
        <v>0</v>
      </c>
      <c r="X1947" t="s">
        <v>8</v>
      </c>
      <c r="Y1947" s="74" t="str">
        <f ca="1">IF(Table15[[#This Row],[Type]]="KILL",IF(_xlfn.NUMBERVALUE(RIGHT(Table15[[#This Row],[Min]],LEN(Table15[[#This Row],[Min]])-FIND("-",Table15[[#This Row],[Min]])))&gt;INDIRECT(ADDRESS(11+MATCH(LEFT(Table15[[#This Row],[Min]],FIND("-",Table15[[#This Row],[Min]])-1),Table1[Content Sku],0),16,1,1,"Entities")),"review","ok"),"ok")</f>
        <v>ok</v>
      </c>
    </row>
    <row r="1948" spans="5:25" x14ac:dyDescent="0.25">
      <c r="E1948" t="s">
        <v>90</v>
      </c>
      <c r="F1948">
        <v>0</v>
      </c>
      <c r="G1948">
        <v>27000</v>
      </c>
      <c r="H1948" t="s">
        <v>205</v>
      </c>
      <c r="I1948" s="74" t="str">
        <f ca="1">IF(Table7[[#This Row],[Type]]="KILL",IF(_xlfn.NUMBERVALUE(RIGHT(Table7[[#This Row],[Min]],LEN(Table7[[#This Row],[Min]])-FIND("-",Table7[[#This Row],[Min]])))&gt;INDIRECT(ADDRESS(11+MATCH(LEFT(Table7[[#This Row],[Min]],FIND("-",Table7[[#This Row],[Min]])-1),Table1[Content Sku],0),16,1,1,"Entities")),"review","ok"),"ok")</f>
        <v>ok</v>
      </c>
      <c r="U1948" t="s">
        <v>37</v>
      </c>
      <c r="V1948">
        <v>0</v>
      </c>
      <c r="W1948">
        <v>0</v>
      </c>
      <c r="X1948" t="s">
        <v>8</v>
      </c>
      <c r="Y1948" s="74" t="str">
        <f ca="1">IF(Table15[[#This Row],[Type]]="KILL",IF(_xlfn.NUMBERVALUE(RIGHT(Table15[[#This Row],[Min]],LEN(Table15[[#This Row],[Min]])-FIND("-",Table15[[#This Row],[Min]])))&gt;INDIRECT(ADDRESS(11+MATCH(LEFT(Table15[[#This Row],[Min]],FIND("-",Table15[[#This Row],[Min]])-1),Table1[Content Sku],0),16,1,1,"Entities")),"review","ok"),"ok")</f>
        <v>ok</v>
      </c>
    </row>
    <row r="1949" spans="5:25" x14ac:dyDescent="0.25">
      <c r="E1949" t="s">
        <v>295</v>
      </c>
      <c r="F1949">
        <v>4200</v>
      </c>
      <c r="G1949">
        <v>0</v>
      </c>
      <c r="H1949" t="s">
        <v>205</v>
      </c>
      <c r="I1949" s="74" t="str">
        <f ca="1">IF(Table7[[#This Row],[Type]]="KILL",IF(_xlfn.NUMBERVALUE(RIGHT(Table7[[#This Row],[Min]],LEN(Table7[[#This Row],[Min]])-FIND("-",Table7[[#This Row],[Min]])))&gt;INDIRECT(ADDRESS(11+MATCH(LEFT(Table7[[#This Row],[Min]],FIND("-",Table7[[#This Row],[Min]])-1),Table1[Content Sku],0),16,1,1,"Entities")),"review","ok"),"ok")</f>
        <v>ok</v>
      </c>
      <c r="U1949" t="s">
        <v>457</v>
      </c>
      <c r="V1949">
        <v>0</v>
      </c>
      <c r="W1949">
        <v>0</v>
      </c>
      <c r="X1949" t="s">
        <v>8</v>
      </c>
      <c r="Y1949" s="74" t="str">
        <f ca="1">IF(Table15[[#This Row],[Type]]="KILL",IF(_xlfn.NUMBERVALUE(RIGHT(Table15[[#This Row],[Min]],LEN(Table15[[#This Row],[Min]])-FIND("-",Table15[[#This Row],[Min]])))&gt;INDIRECT(ADDRESS(11+MATCH(LEFT(Table15[[#This Row],[Min]],FIND("-",Table15[[#This Row],[Min]])-1),Table1[Content Sku],0),16,1,1,"Entities")),"review","ok"),"ok")</f>
        <v>ok</v>
      </c>
    </row>
    <row r="1950" spans="5:25" x14ac:dyDescent="0.25">
      <c r="E1950" t="s">
        <v>8133</v>
      </c>
      <c r="F1950">
        <v>0</v>
      </c>
      <c r="G1950">
        <v>0</v>
      </c>
      <c r="H1950" t="s">
        <v>8</v>
      </c>
      <c r="I1950" s="74" t="str">
        <f ca="1">IF(Table7[[#This Row],[Type]]="KILL",IF(_xlfn.NUMBERVALUE(RIGHT(Table7[[#This Row],[Min]],LEN(Table7[[#This Row],[Min]])-FIND("-",Table7[[#This Row],[Min]])))&gt;INDIRECT(ADDRESS(11+MATCH(LEFT(Table7[[#This Row],[Min]],FIND("-",Table7[[#This Row],[Min]])-1),Table1[Content Sku],0),16,1,1,"Entities")),"review","ok"),"ok")</f>
        <v>ok</v>
      </c>
      <c r="U1950" t="s">
        <v>122</v>
      </c>
      <c r="V1950">
        <v>0</v>
      </c>
      <c r="W1950">
        <v>0</v>
      </c>
      <c r="X1950" t="s">
        <v>8</v>
      </c>
      <c r="Y1950" s="74" t="str">
        <f ca="1">IF(Table15[[#This Row],[Type]]="KILL",IF(_xlfn.NUMBERVALUE(RIGHT(Table15[[#This Row],[Min]],LEN(Table15[[#This Row],[Min]])-FIND("-",Table15[[#This Row],[Min]])))&gt;INDIRECT(ADDRESS(11+MATCH(LEFT(Table15[[#This Row],[Min]],FIND("-",Table15[[#This Row],[Min]])-1),Table1[Content Sku],0),16,1,1,"Entities")),"review","ok"),"ok")</f>
        <v>ok</v>
      </c>
    </row>
    <row r="1951" spans="5:25" x14ac:dyDescent="0.25">
      <c r="E1951" t="s">
        <v>545</v>
      </c>
      <c r="F1951">
        <v>0</v>
      </c>
      <c r="G1951">
        <v>0</v>
      </c>
      <c r="H1951" t="s">
        <v>8</v>
      </c>
      <c r="I1951" s="74" t="str">
        <f ca="1">IF(Table7[[#This Row],[Type]]="KILL",IF(_xlfn.NUMBERVALUE(RIGHT(Table7[[#This Row],[Min]],LEN(Table7[[#This Row],[Min]])-FIND("-",Table7[[#This Row],[Min]])))&gt;INDIRECT(ADDRESS(11+MATCH(LEFT(Table7[[#This Row],[Min]],FIND("-",Table7[[#This Row],[Min]])-1),Table1[Content Sku],0),16,1,1,"Entities")),"review","ok"),"ok")</f>
        <v>ok</v>
      </c>
      <c r="U1951" t="s">
        <v>22</v>
      </c>
      <c r="V1951">
        <v>46000</v>
      </c>
      <c r="W1951">
        <v>0</v>
      </c>
      <c r="X1951" t="s">
        <v>205</v>
      </c>
      <c r="Y1951" s="74" t="str">
        <f ca="1">IF(Table15[[#This Row],[Type]]="KILL",IF(_xlfn.NUMBERVALUE(RIGHT(Table15[[#This Row],[Min]],LEN(Table15[[#This Row],[Min]])-FIND("-",Table15[[#This Row],[Min]])))&gt;INDIRECT(ADDRESS(11+MATCH(LEFT(Table15[[#This Row],[Min]],FIND("-",Table15[[#This Row],[Min]])-1),Table1[Content Sku],0),16,1,1,"Entities")),"review","ok"),"ok")</f>
        <v>ok</v>
      </c>
    </row>
    <row r="1952" spans="5:25" x14ac:dyDescent="0.25">
      <c r="E1952" t="s">
        <v>91</v>
      </c>
      <c r="F1952">
        <v>0</v>
      </c>
      <c r="G1952">
        <v>0</v>
      </c>
      <c r="H1952" t="s">
        <v>8</v>
      </c>
      <c r="I1952" s="74" t="str">
        <f ca="1">IF(Table7[[#This Row],[Type]]="KILL",IF(_xlfn.NUMBERVALUE(RIGHT(Table7[[#This Row],[Min]],LEN(Table7[[#This Row],[Min]])-FIND("-",Table7[[#This Row],[Min]])))&gt;INDIRECT(ADDRESS(11+MATCH(LEFT(Table7[[#This Row],[Min]],FIND("-",Table7[[#This Row],[Min]])-1),Table1[Content Sku],0),16,1,1,"Entities")),"review","ok"),"ok")</f>
        <v>ok</v>
      </c>
      <c r="U1952" t="s">
        <v>289</v>
      </c>
      <c r="V1952">
        <v>0</v>
      </c>
      <c r="W1952">
        <v>0</v>
      </c>
      <c r="X1952" t="s">
        <v>8</v>
      </c>
      <c r="Y1952" s="74" t="str">
        <f ca="1">IF(Table15[[#This Row],[Type]]="KILL",IF(_xlfn.NUMBERVALUE(RIGHT(Table15[[#This Row],[Min]],LEN(Table15[[#This Row],[Min]])-FIND("-",Table15[[#This Row],[Min]])))&gt;INDIRECT(ADDRESS(11+MATCH(LEFT(Table15[[#This Row],[Min]],FIND("-",Table15[[#This Row],[Min]])-1),Table1[Content Sku],0),16,1,1,"Entities")),"review","ok"),"ok")</f>
        <v>ok</v>
      </c>
    </row>
    <row r="1953" spans="5:25" x14ac:dyDescent="0.25">
      <c r="E1953" t="s">
        <v>336</v>
      </c>
      <c r="F1953">
        <v>0</v>
      </c>
      <c r="G1953">
        <v>0</v>
      </c>
      <c r="H1953" t="s">
        <v>8</v>
      </c>
      <c r="I1953" s="74" t="str">
        <f ca="1">IF(Table7[[#This Row],[Type]]="KILL",IF(_xlfn.NUMBERVALUE(RIGHT(Table7[[#This Row],[Min]],LEN(Table7[[#This Row],[Min]])-FIND("-",Table7[[#This Row],[Min]])))&gt;INDIRECT(ADDRESS(11+MATCH(LEFT(Table7[[#This Row],[Min]],FIND("-",Table7[[#This Row],[Min]])-1),Table1[Content Sku],0),16,1,1,"Entities")),"review","ok"),"ok")</f>
        <v>ok</v>
      </c>
      <c r="U1953" t="s">
        <v>2720</v>
      </c>
      <c r="V1953">
        <v>0</v>
      </c>
      <c r="W1953">
        <v>0</v>
      </c>
      <c r="X1953" t="s">
        <v>8</v>
      </c>
      <c r="Y1953" s="74" t="str">
        <f ca="1">IF(Table15[[#This Row],[Type]]="KILL",IF(_xlfn.NUMBERVALUE(RIGHT(Table15[[#This Row],[Min]],LEN(Table15[[#This Row],[Min]])-FIND("-",Table15[[#This Row],[Min]])))&gt;INDIRECT(ADDRESS(11+MATCH(LEFT(Table15[[#This Row],[Min]],FIND("-",Table15[[#This Row],[Min]])-1),Table1[Content Sku],0),16,1,1,"Entities")),"review","ok"),"ok")</f>
        <v>ok</v>
      </c>
    </row>
    <row r="1954" spans="5:25" x14ac:dyDescent="0.25">
      <c r="E1954" t="s">
        <v>8133</v>
      </c>
      <c r="F1954">
        <v>0</v>
      </c>
      <c r="G1954">
        <v>0</v>
      </c>
      <c r="H1954" t="s">
        <v>8</v>
      </c>
      <c r="I1954" s="74" t="str">
        <f ca="1">IF(Table7[[#This Row],[Type]]="KILL",IF(_xlfn.NUMBERVALUE(RIGHT(Table7[[#This Row],[Min]],LEN(Table7[[#This Row],[Min]])-FIND("-",Table7[[#This Row],[Min]])))&gt;INDIRECT(ADDRESS(11+MATCH(LEFT(Table7[[#This Row],[Min]],FIND("-",Table7[[#This Row],[Min]])-1),Table1[Content Sku],0),16,1,1,"Entities")),"review","ok"),"ok")</f>
        <v>ok</v>
      </c>
      <c r="U1954" t="s">
        <v>457</v>
      </c>
      <c r="V1954">
        <v>0</v>
      </c>
      <c r="W1954">
        <v>0</v>
      </c>
      <c r="X1954" t="s">
        <v>8</v>
      </c>
      <c r="Y1954" s="74" t="str">
        <f ca="1">IF(Table15[[#This Row],[Type]]="KILL",IF(_xlfn.NUMBERVALUE(RIGHT(Table15[[#This Row],[Min]],LEN(Table15[[#This Row],[Min]])-FIND("-",Table15[[#This Row],[Min]])))&gt;INDIRECT(ADDRESS(11+MATCH(LEFT(Table15[[#This Row],[Min]],FIND("-",Table15[[#This Row],[Min]])-1),Table1[Content Sku],0),16,1,1,"Entities")),"review","ok"),"ok")</f>
        <v>ok</v>
      </c>
    </row>
    <row r="1955" spans="5:25" x14ac:dyDescent="0.25">
      <c r="E1955" t="s">
        <v>2741</v>
      </c>
      <c r="F1955">
        <v>0</v>
      </c>
      <c r="G1955">
        <v>0</v>
      </c>
      <c r="H1955" t="s">
        <v>8</v>
      </c>
      <c r="I1955" s="74" t="str">
        <f ca="1">IF(Table7[[#This Row],[Type]]="KILL",IF(_xlfn.NUMBERVALUE(RIGHT(Table7[[#This Row],[Min]],LEN(Table7[[#This Row],[Min]])-FIND("-",Table7[[#This Row],[Min]])))&gt;INDIRECT(ADDRESS(11+MATCH(LEFT(Table7[[#This Row],[Min]],FIND("-",Table7[[#This Row],[Min]])-1),Table1[Content Sku],0),16,1,1,"Entities")),"review","ok"),"ok")</f>
        <v>ok</v>
      </c>
      <c r="U1955" t="s">
        <v>122</v>
      </c>
      <c r="V1955">
        <v>32000</v>
      </c>
      <c r="W1955">
        <v>0</v>
      </c>
      <c r="X1955" t="s">
        <v>205</v>
      </c>
      <c r="Y1955" s="74" t="str">
        <f ca="1">IF(Table15[[#This Row],[Type]]="KILL",IF(_xlfn.NUMBERVALUE(RIGHT(Table15[[#This Row],[Min]],LEN(Table15[[#This Row],[Min]])-FIND("-",Table15[[#This Row],[Min]])))&gt;INDIRECT(ADDRESS(11+MATCH(LEFT(Table15[[#This Row],[Min]],FIND("-",Table15[[#This Row],[Min]])-1),Table1[Content Sku],0),16,1,1,"Entities")),"review","ok"),"ok")</f>
        <v>ok</v>
      </c>
    </row>
    <row r="1956" spans="5:25" x14ac:dyDescent="0.25">
      <c r="E1956" t="s">
        <v>2741</v>
      </c>
      <c r="F1956">
        <v>0</v>
      </c>
      <c r="G1956">
        <v>0</v>
      </c>
      <c r="H1956" t="s">
        <v>8</v>
      </c>
      <c r="I1956" s="74" t="str">
        <f ca="1">IF(Table7[[#This Row],[Type]]="KILL",IF(_xlfn.NUMBERVALUE(RIGHT(Table7[[#This Row],[Min]],LEN(Table7[[#This Row],[Min]])-FIND("-",Table7[[#This Row],[Min]])))&gt;INDIRECT(ADDRESS(11+MATCH(LEFT(Table7[[#This Row],[Min]],FIND("-",Table7[[#This Row],[Min]])-1),Table1[Content Sku],0),16,1,1,"Entities")),"review","ok"),"ok")</f>
        <v>ok</v>
      </c>
      <c r="U1956" t="s">
        <v>450</v>
      </c>
      <c r="V1956" t="s">
        <v>8129</v>
      </c>
      <c r="W1956" t="s">
        <v>4467</v>
      </c>
      <c r="X1956" t="s">
        <v>4468</v>
      </c>
      <c r="Y1956" s="74" t="str">
        <f ca="1">IF(Table15[[#This Row],[Type]]="KILL",IF(_xlfn.NUMBERVALUE(RIGHT(Table15[[#This Row],[Min]],LEN(Table15[[#This Row],[Min]])-FIND("-",Table15[[#This Row],[Min]])))&gt;INDIRECT(ADDRESS(11+MATCH(LEFT(Table15[[#This Row],[Min]],FIND("-",Table15[[#This Row],[Min]])-1),Table1[Content Sku],0),16,1,1,"Entities")),"review","ok"),"ok")</f>
        <v>review</v>
      </c>
    </row>
    <row r="1957" spans="5:25" x14ac:dyDescent="0.25">
      <c r="E1957" t="s">
        <v>2726</v>
      </c>
      <c r="F1957">
        <v>0</v>
      </c>
      <c r="G1957">
        <v>0</v>
      </c>
      <c r="H1957" t="s">
        <v>8</v>
      </c>
      <c r="I1957" s="74" t="str">
        <f ca="1">IF(Table7[[#This Row],[Type]]="KILL",IF(_xlfn.NUMBERVALUE(RIGHT(Table7[[#This Row],[Min]],LEN(Table7[[#This Row],[Min]])-FIND("-",Table7[[#This Row],[Min]])))&gt;INDIRECT(ADDRESS(11+MATCH(LEFT(Table7[[#This Row],[Min]],FIND("-",Table7[[#This Row],[Min]])-1),Table1[Content Sku],0),16,1,1,"Entities")),"review","ok"),"ok")</f>
        <v>ok</v>
      </c>
      <c r="U1957" t="s">
        <v>123</v>
      </c>
      <c r="V1957">
        <v>0</v>
      </c>
      <c r="W1957">
        <v>0</v>
      </c>
      <c r="X1957" t="s">
        <v>8</v>
      </c>
      <c r="Y1957" s="74" t="str">
        <f ca="1">IF(Table15[[#This Row],[Type]]="KILL",IF(_xlfn.NUMBERVALUE(RIGHT(Table15[[#This Row],[Min]],LEN(Table15[[#This Row],[Min]])-FIND("-",Table15[[#This Row],[Min]])))&gt;INDIRECT(ADDRESS(11+MATCH(LEFT(Table15[[#This Row],[Min]],FIND("-",Table15[[#This Row],[Min]])-1),Table1[Content Sku],0),16,1,1,"Entities")),"review","ok"),"ok")</f>
        <v>ok</v>
      </c>
    </row>
    <row r="1958" spans="5:25" x14ac:dyDescent="0.25">
      <c r="E1958" t="s">
        <v>95</v>
      </c>
      <c r="F1958">
        <v>0</v>
      </c>
      <c r="G1958">
        <v>0</v>
      </c>
      <c r="H1958" t="s">
        <v>8</v>
      </c>
      <c r="I1958" s="74" t="str">
        <f ca="1">IF(Table7[[#This Row],[Type]]="KILL",IF(_xlfn.NUMBERVALUE(RIGHT(Table7[[#This Row],[Min]],LEN(Table7[[#This Row],[Min]])-FIND("-",Table7[[#This Row],[Min]])))&gt;INDIRECT(ADDRESS(11+MATCH(LEFT(Table7[[#This Row],[Min]],FIND("-",Table7[[#This Row],[Min]])-1),Table1[Content Sku],0),16,1,1,"Entities")),"review","ok"),"ok")</f>
        <v>ok</v>
      </c>
      <c r="U1958" t="s">
        <v>548</v>
      </c>
      <c r="V1958">
        <v>0</v>
      </c>
      <c r="W1958">
        <v>0</v>
      </c>
      <c r="X1958" t="s">
        <v>8</v>
      </c>
      <c r="Y1958" s="74" t="str">
        <f ca="1">IF(Table15[[#This Row],[Type]]="KILL",IF(_xlfn.NUMBERVALUE(RIGHT(Table15[[#This Row],[Min]],LEN(Table15[[#This Row],[Min]])-FIND("-",Table15[[#This Row],[Min]])))&gt;INDIRECT(ADDRESS(11+MATCH(LEFT(Table15[[#This Row],[Min]],FIND("-",Table15[[#This Row],[Min]])-1),Table1[Content Sku],0),16,1,1,"Entities")),"review","ok"),"ok")</f>
        <v>ok</v>
      </c>
    </row>
    <row r="1959" spans="5:25" x14ac:dyDescent="0.25">
      <c r="E1959" t="s">
        <v>90</v>
      </c>
      <c r="F1959">
        <v>0</v>
      </c>
      <c r="G1959">
        <v>0</v>
      </c>
      <c r="H1959" t="s">
        <v>8</v>
      </c>
      <c r="I1959" s="74" t="str">
        <f ca="1">IF(Table7[[#This Row],[Type]]="KILL",IF(_xlfn.NUMBERVALUE(RIGHT(Table7[[#This Row],[Min]],LEN(Table7[[#This Row],[Min]])-FIND("-",Table7[[#This Row],[Min]])))&gt;INDIRECT(ADDRESS(11+MATCH(LEFT(Table7[[#This Row],[Min]],FIND("-",Table7[[#This Row],[Min]])-1),Table1[Content Sku],0),16,1,1,"Entities")),"review","ok"),"ok")</f>
        <v>ok</v>
      </c>
      <c r="U1959" t="s">
        <v>2717</v>
      </c>
      <c r="V1959">
        <v>220</v>
      </c>
      <c r="W1959">
        <v>0</v>
      </c>
      <c r="X1959" t="s">
        <v>4431</v>
      </c>
      <c r="Y1959" s="74" t="str">
        <f ca="1">IF(Table15[[#This Row],[Type]]="KILL",IF(_xlfn.NUMBERVALUE(RIGHT(Table15[[#This Row],[Min]],LEN(Table15[[#This Row],[Min]])-FIND("-",Table15[[#This Row],[Min]])))&gt;INDIRECT(ADDRESS(11+MATCH(LEFT(Table15[[#This Row],[Min]],FIND("-",Table15[[#This Row],[Min]])-1),Table1[Content Sku],0),16,1,1,"Entities")),"review","ok"),"ok")</f>
        <v>ok</v>
      </c>
    </row>
    <row r="1960" spans="5:25" x14ac:dyDescent="0.25">
      <c r="E1960" t="s">
        <v>313</v>
      </c>
      <c r="F1960">
        <v>0</v>
      </c>
      <c r="G1960">
        <v>0</v>
      </c>
      <c r="H1960" t="s">
        <v>8</v>
      </c>
      <c r="I1960" s="74" t="str">
        <f ca="1">IF(Table7[[#This Row],[Type]]="KILL",IF(_xlfn.NUMBERVALUE(RIGHT(Table7[[#This Row],[Min]],LEN(Table7[[#This Row],[Min]])-FIND("-",Table7[[#This Row],[Min]])))&gt;INDIRECT(ADDRESS(11+MATCH(LEFT(Table7[[#This Row],[Min]],FIND("-",Table7[[#This Row],[Min]])-1),Table1[Content Sku],0),16,1,1,"Entities")),"review","ok"),"ok")</f>
        <v>ok</v>
      </c>
      <c r="U1960" t="s">
        <v>457</v>
      </c>
      <c r="V1960">
        <v>0</v>
      </c>
      <c r="W1960">
        <v>0</v>
      </c>
      <c r="X1960" t="s">
        <v>8</v>
      </c>
      <c r="Y1960" s="74" t="str">
        <f ca="1">IF(Table15[[#This Row],[Type]]="KILL",IF(_xlfn.NUMBERVALUE(RIGHT(Table15[[#This Row],[Min]],LEN(Table15[[#This Row],[Min]])-FIND("-",Table15[[#This Row],[Min]])))&gt;INDIRECT(ADDRESS(11+MATCH(LEFT(Table15[[#This Row],[Min]],FIND("-",Table15[[#This Row],[Min]])-1),Table1[Content Sku],0),16,1,1,"Entities")),"review","ok"),"ok")</f>
        <v>ok</v>
      </c>
    </row>
    <row r="1961" spans="5:25" x14ac:dyDescent="0.25">
      <c r="E1961" t="s">
        <v>8133</v>
      </c>
      <c r="F1961">
        <v>0</v>
      </c>
      <c r="G1961">
        <v>0</v>
      </c>
      <c r="H1961" t="s">
        <v>8</v>
      </c>
      <c r="I1961" s="74" t="str">
        <f ca="1">IF(Table7[[#This Row],[Type]]="KILL",IF(_xlfn.NUMBERVALUE(RIGHT(Table7[[#This Row],[Min]],LEN(Table7[[#This Row],[Min]])-FIND("-",Table7[[#This Row],[Min]])))&gt;INDIRECT(ADDRESS(11+MATCH(LEFT(Table7[[#This Row],[Min]],FIND("-",Table7[[#This Row],[Min]])-1),Table1[Content Sku],0),16,1,1,"Entities")),"review","ok"),"ok")</f>
        <v>ok</v>
      </c>
      <c r="U1961" t="s">
        <v>42</v>
      </c>
      <c r="V1961">
        <v>60000</v>
      </c>
      <c r="W1961">
        <v>0</v>
      </c>
      <c r="X1961" t="s">
        <v>205</v>
      </c>
      <c r="Y1961" s="74" t="str">
        <f ca="1">IF(Table15[[#This Row],[Type]]="KILL",IF(_xlfn.NUMBERVALUE(RIGHT(Table15[[#This Row],[Min]],LEN(Table15[[#This Row],[Min]])-FIND("-",Table15[[#This Row],[Min]])))&gt;INDIRECT(ADDRESS(11+MATCH(LEFT(Table15[[#This Row],[Min]],FIND("-",Table15[[#This Row],[Min]])-1),Table1[Content Sku],0),16,1,1,"Entities")),"review","ok"),"ok")</f>
        <v>ok</v>
      </c>
    </row>
    <row r="1962" spans="5:25" x14ac:dyDescent="0.25">
      <c r="E1962" t="s">
        <v>318</v>
      </c>
      <c r="F1962">
        <v>16000</v>
      </c>
      <c r="G1962">
        <v>0</v>
      </c>
      <c r="H1962" t="s">
        <v>205</v>
      </c>
      <c r="I1962" s="74" t="str">
        <f ca="1">IF(Table7[[#This Row],[Type]]="KILL",IF(_xlfn.NUMBERVALUE(RIGHT(Table7[[#This Row],[Min]],LEN(Table7[[#This Row],[Min]])-FIND("-",Table7[[#This Row],[Min]])))&gt;INDIRECT(ADDRESS(11+MATCH(LEFT(Table7[[#This Row],[Min]],FIND("-",Table7[[#This Row],[Min]])-1),Table1[Content Sku],0),16,1,1,"Entities")),"review","ok"),"ok")</f>
        <v>ok</v>
      </c>
      <c r="U1962" t="s">
        <v>2720</v>
      </c>
      <c r="V1962">
        <v>0</v>
      </c>
      <c r="W1962">
        <v>0</v>
      </c>
      <c r="X1962" t="s">
        <v>8</v>
      </c>
      <c r="Y1962" s="74" t="str">
        <f ca="1">IF(Table15[[#This Row],[Type]]="KILL",IF(_xlfn.NUMBERVALUE(RIGHT(Table15[[#This Row],[Min]],LEN(Table15[[#This Row],[Min]])-FIND("-",Table15[[#This Row],[Min]])))&gt;INDIRECT(ADDRESS(11+MATCH(LEFT(Table15[[#This Row],[Min]],FIND("-",Table15[[#This Row],[Min]])-1),Table1[Content Sku],0),16,1,1,"Entities")),"review","ok"),"ok")</f>
        <v>ok</v>
      </c>
    </row>
    <row r="1963" spans="5:25" x14ac:dyDescent="0.25">
      <c r="E1963" t="s">
        <v>48</v>
      </c>
      <c r="F1963">
        <v>0</v>
      </c>
      <c r="G1963">
        <v>0</v>
      </c>
      <c r="H1963" t="s">
        <v>8</v>
      </c>
      <c r="I1963" s="74" t="str">
        <f ca="1">IF(Table7[[#This Row],[Type]]="KILL",IF(_xlfn.NUMBERVALUE(RIGHT(Table7[[#This Row],[Min]],LEN(Table7[[#This Row],[Min]])-FIND("-",Table7[[#This Row],[Min]])))&gt;INDIRECT(ADDRESS(11+MATCH(LEFT(Table7[[#This Row],[Min]],FIND("-",Table7[[#This Row],[Min]])-1),Table1[Content Sku],0),16,1,1,"Entities")),"review","ok"),"ok")</f>
        <v>ok</v>
      </c>
      <c r="U1963" t="s">
        <v>37</v>
      </c>
      <c r="V1963">
        <v>0</v>
      </c>
      <c r="W1963">
        <v>0</v>
      </c>
      <c r="X1963" t="s">
        <v>8</v>
      </c>
      <c r="Y1963" s="74" t="str">
        <f ca="1">IF(Table15[[#This Row],[Type]]="KILL",IF(_xlfn.NUMBERVALUE(RIGHT(Table15[[#This Row],[Min]],LEN(Table15[[#This Row],[Min]])-FIND("-",Table15[[#This Row],[Min]])))&gt;INDIRECT(ADDRESS(11+MATCH(LEFT(Table15[[#This Row],[Min]],FIND("-",Table15[[#This Row],[Min]])-1),Table1[Content Sku],0),16,1,1,"Entities")),"review","ok"),"ok")</f>
        <v>ok</v>
      </c>
    </row>
    <row r="1964" spans="5:25" x14ac:dyDescent="0.25">
      <c r="E1964" t="s">
        <v>90</v>
      </c>
      <c r="F1964">
        <v>0</v>
      </c>
      <c r="G1964">
        <v>0</v>
      </c>
      <c r="H1964" t="s">
        <v>8</v>
      </c>
      <c r="I1964" s="74" t="str">
        <f ca="1">IF(Table7[[#This Row],[Type]]="KILL",IF(_xlfn.NUMBERVALUE(RIGHT(Table7[[#This Row],[Min]],LEN(Table7[[#This Row],[Min]])-FIND("-",Table7[[#This Row],[Min]])))&gt;INDIRECT(ADDRESS(11+MATCH(LEFT(Table7[[#This Row],[Min]],FIND("-",Table7[[#This Row],[Min]])-1),Table1[Content Sku],0),16,1,1,"Entities")),"review","ok"),"ok")</f>
        <v>ok</v>
      </c>
      <c r="U1964" t="s">
        <v>2720</v>
      </c>
      <c r="V1964">
        <v>0</v>
      </c>
      <c r="W1964">
        <v>40000</v>
      </c>
      <c r="X1964" t="s">
        <v>205</v>
      </c>
      <c r="Y1964" s="74" t="str">
        <f ca="1">IF(Table15[[#This Row],[Type]]="KILL",IF(_xlfn.NUMBERVALUE(RIGHT(Table15[[#This Row],[Min]],LEN(Table15[[#This Row],[Min]])-FIND("-",Table15[[#This Row],[Min]])))&gt;INDIRECT(ADDRESS(11+MATCH(LEFT(Table15[[#This Row],[Min]],FIND("-",Table15[[#This Row],[Min]])-1),Table1[Content Sku],0),16,1,1,"Entities")),"review","ok"),"ok")</f>
        <v>ok</v>
      </c>
    </row>
    <row r="1965" spans="5:25" x14ac:dyDescent="0.25">
      <c r="E1965" t="s">
        <v>8133</v>
      </c>
      <c r="F1965">
        <v>0</v>
      </c>
      <c r="G1965">
        <v>0</v>
      </c>
      <c r="H1965" t="s">
        <v>8</v>
      </c>
      <c r="I1965" s="74" t="str">
        <f ca="1">IF(Table7[[#This Row],[Type]]="KILL",IF(_xlfn.NUMBERVALUE(RIGHT(Table7[[#This Row],[Min]],LEN(Table7[[#This Row],[Min]])-FIND("-",Table7[[#This Row],[Min]])))&gt;INDIRECT(ADDRESS(11+MATCH(LEFT(Table7[[#This Row],[Min]],FIND("-",Table7[[#This Row],[Min]])-1),Table1[Content Sku],0),16,1,1,"Entities")),"review","ok"),"ok")</f>
        <v>ok</v>
      </c>
      <c r="U1965" t="s">
        <v>313</v>
      </c>
      <c r="V1965">
        <v>0</v>
      </c>
      <c r="W1965">
        <v>0</v>
      </c>
      <c r="X1965" t="s">
        <v>8</v>
      </c>
      <c r="Y1965" s="74" t="str">
        <f ca="1">IF(Table15[[#This Row],[Type]]="KILL",IF(_xlfn.NUMBERVALUE(RIGHT(Table15[[#This Row],[Min]],LEN(Table15[[#This Row],[Min]])-FIND("-",Table15[[#This Row],[Min]])))&gt;INDIRECT(ADDRESS(11+MATCH(LEFT(Table15[[#This Row],[Min]],FIND("-",Table15[[#This Row],[Min]])-1),Table1[Content Sku],0),16,1,1,"Entities")),"review","ok"),"ok")</f>
        <v>ok</v>
      </c>
    </row>
    <row r="1966" spans="5:25" x14ac:dyDescent="0.25">
      <c r="E1966" t="s">
        <v>253</v>
      </c>
      <c r="F1966">
        <v>0</v>
      </c>
      <c r="G1966">
        <v>0</v>
      </c>
      <c r="H1966" t="s">
        <v>8</v>
      </c>
      <c r="I1966" s="74" t="str">
        <f ca="1">IF(Table7[[#This Row],[Type]]="KILL",IF(_xlfn.NUMBERVALUE(RIGHT(Table7[[#This Row],[Min]],LEN(Table7[[#This Row],[Min]])-FIND("-",Table7[[#This Row],[Min]])))&gt;INDIRECT(ADDRESS(11+MATCH(LEFT(Table7[[#This Row],[Min]],FIND("-",Table7[[#This Row],[Min]])-1),Table1[Content Sku],0),16,1,1,"Entities")),"review","ok"),"ok")</f>
        <v>ok</v>
      </c>
      <c r="U1966" t="s">
        <v>22</v>
      </c>
      <c r="V1966">
        <v>32000</v>
      </c>
      <c r="W1966">
        <v>0</v>
      </c>
      <c r="X1966" t="s">
        <v>205</v>
      </c>
      <c r="Y1966" s="74" t="str">
        <f ca="1">IF(Table15[[#This Row],[Type]]="KILL",IF(_xlfn.NUMBERVALUE(RIGHT(Table15[[#This Row],[Min]],LEN(Table15[[#This Row],[Min]])-FIND("-",Table15[[#This Row],[Min]])))&gt;INDIRECT(ADDRESS(11+MATCH(LEFT(Table15[[#This Row],[Min]],FIND("-",Table15[[#This Row],[Min]])-1),Table1[Content Sku],0),16,1,1,"Entities")),"review","ok"),"ok")</f>
        <v>ok</v>
      </c>
    </row>
    <row r="1967" spans="5:25" x14ac:dyDescent="0.25">
      <c r="E1967" t="s">
        <v>8154</v>
      </c>
      <c r="F1967">
        <v>0</v>
      </c>
      <c r="G1967">
        <v>0</v>
      </c>
      <c r="H1967" t="s">
        <v>8</v>
      </c>
      <c r="I1967" s="74" t="str">
        <f ca="1">IF(Table7[[#This Row],[Type]]="KILL",IF(_xlfn.NUMBERVALUE(RIGHT(Table7[[#This Row],[Min]],LEN(Table7[[#This Row],[Min]])-FIND("-",Table7[[#This Row],[Min]])))&gt;INDIRECT(ADDRESS(11+MATCH(LEFT(Table7[[#This Row],[Min]],FIND("-",Table7[[#This Row],[Min]])-1),Table1[Content Sku],0),16,1,1,"Entities")),"review","ok"),"ok")</f>
        <v>ok</v>
      </c>
      <c r="U1967" t="s">
        <v>123</v>
      </c>
      <c r="V1967">
        <v>0</v>
      </c>
      <c r="W1967">
        <v>0</v>
      </c>
      <c r="X1967" t="s">
        <v>8</v>
      </c>
      <c r="Y1967" s="74" t="str">
        <f ca="1">IF(Table15[[#This Row],[Type]]="KILL",IF(_xlfn.NUMBERVALUE(RIGHT(Table15[[#This Row],[Min]],LEN(Table15[[#This Row],[Min]])-FIND("-",Table15[[#This Row],[Min]])))&gt;INDIRECT(ADDRESS(11+MATCH(LEFT(Table15[[#This Row],[Min]],FIND("-",Table15[[#This Row],[Min]])-1),Table1[Content Sku],0),16,1,1,"Entities")),"review","ok"),"ok")</f>
        <v>ok</v>
      </c>
    </row>
    <row r="1968" spans="5:25" x14ac:dyDescent="0.25">
      <c r="E1968" t="s">
        <v>39</v>
      </c>
      <c r="F1968">
        <v>0</v>
      </c>
      <c r="G1968">
        <v>3800</v>
      </c>
      <c r="H1968" t="s">
        <v>205</v>
      </c>
      <c r="I1968" s="74" t="str">
        <f ca="1">IF(Table7[[#This Row],[Type]]="KILL",IF(_xlfn.NUMBERVALUE(RIGHT(Table7[[#This Row],[Min]],LEN(Table7[[#This Row],[Min]])-FIND("-",Table7[[#This Row],[Min]])))&gt;INDIRECT(ADDRESS(11+MATCH(LEFT(Table7[[#This Row],[Min]],FIND("-",Table7[[#This Row],[Min]])-1),Table1[Content Sku],0),16,1,1,"Entities")),"review","ok"),"ok")</f>
        <v>ok</v>
      </c>
      <c r="U1968" t="s">
        <v>313</v>
      </c>
      <c r="V1968">
        <v>0</v>
      </c>
      <c r="W1968">
        <v>0</v>
      </c>
      <c r="X1968" t="s">
        <v>8</v>
      </c>
      <c r="Y1968" s="74" t="str">
        <f ca="1">IF(Table15[[#This Row],[Type]]="KILL",IF(_xlfn.NUMBERVALUE(RIGHT(Table15[[#This Row],[Min]],LEN(Table15[[#This Row],[Min]])-FIND("-",Table15[[#This Row],[Min]])))&gt;INDIRECT(ADDRESS(11+MATCH(LEFT(Table15[[#This Row],[Min]],FIND("-",Table15[[#This Row],[Min]])-1),Table1[Content Sku],0),16,1,1,"Entities")),"review","ok"),"ok")</f>
        <v>ok</v>
      </c>
    </row>
    <row r="1969" spans="5:25" x14ac:dyDescent="0.25">
      <c r="E1969" t="s">
        <v>295</v>
      </c>
      <c r="F1969">
        <v>0</v>
      </c>
      <c r="G1969">
        <v>12000</v>
      </c>
      <c r="H1969" t="s">
        <v>205</v>
      </c>
      <c r="I1969" s="74" t="str">
        <f ca="1">IF(Table7[[#This Row],[Type]]="KILL",IF(_xlfn.NUMBERVALUE(RIGHT(Table7[[#This Row],[Min]],LEN(Table7[[#This Row],[Min]])-FIND("-",Table7[[#This Row],[Min]])))&gt;INDIRECT(ADDRESS(11+MATCH(LEFT(Table7[[#This Row],[Min]],FIND("-",Table7[[#This Row],[Min]])-1),Table1[Content Sku],0),16,1,1,"Entities")),"review","ok"),"ok")</f>
        <v>ok</v>
      </c>
      <c r="U1969" t="s">
        <v>48</v>
      </c>
      <c r="V1969">
        <v>45000</v>
      </c>
      <c r="W1969">
        <v>0</v>
      </c>
      <c r="X1969" t="s">
        <v>205</v>
      </c>
      <c r="Y1969" s="74" t="str">
        <f ca="1">IF(Table15[[#This Row],[Type]]="KILL",IF(_xlfn.NUMBERVALUE(RIGHT(Table15[[#This Row],[Min]],LEN(Table15[[#This Row],[Min]])-FIND("-",Table15[[#This Row],[Min]])))&gt;INDIRECT(ADDRESS(11+MATCH(LEFT(Table15[[#This Row],[Min]],FIND("-",Table15[[#This Row],[Min]])-1),Table1[Content Sku],0),16,1,1,"Entities")),"review","ok"),"ok")</f>
        <v>ok</v>
      </c>
    </row>
    <row r="1970" spans="5:25" x14ac:dyDescent="0.25">
      <c r="E1970" t="s">
        <v>2732</v>
      </c>
      <c r="F1970">
        <v>0</v>
      </c>
      <c r="G1970">
        <v>0</v>
      </c>
      <c r="H1970" t="s">
        <v>8</v>
      </c>
      <c r="I1970" s="74" t="str">
        <f ca="1">IF(Table7[[#This Row],[Type]]="KILL",IF(_xlfn.NUMBERVALUE(RIGHT(Table7[[#This Row],[Min]],LEN(Table7[[#This Row],[Min]])-FIND("-",Table7[[#This Row],[Min]])))&gt;INDIRECT(ADDRESS(11+MATCH(LEFT(Table7[[#This Row],[Min]],FIND("-",Table7[[#This Row],[Min]])-1),Table1[Content Sku],0),16,1,1,"Entities")),"review","ok"),"ok")</f>
        <v>ok</v>
      </c>
      <c r="U1970" t="s">
        <v>459</v>
      </c>
      <c r="V1970">
        <v>0</v>
      </c>
      <c r="W1970">
        <v>0</v>
      </c>
      <c r="X1970" t="s">
        <v>8</v>
      </c>
      <c r="Y1970" s="74" t="str">
        <f ca="1">IF(Table15[[#This Row],[Type]]="KILL",IF(_xlfn.NUMBERVALUE(RIGHT(Table15[[#This Row],[Min]],LEN(Table15[[#This Row],[Min]])-FIND("-",Table15[[#This Row],[Min]])))&gt;INDIRECT(ADDRESS(11+MATCH(LEFT(Table15[[#This Row],[Min]],FIND("-",Table15[[#This Row],[Min]])-1),Table1[Content Sku],0),16,1,1,"Entities")),"review","ok"),"ok")</f>
        <v>ok</v>
      </c>
    </row>
    <row r="1971" spans="5:25" x14ac:dyDescent="0.25">
      <c r="E1971" t="s">
        <v>39</v>
      </c>
      <c r="F1971">
        <v>4000</v>
      </c>
      <c r="G1971">
        <v>0</v>
      </c>
      <c r="H1971" t="s">
        <v>205</v>
      </c>
      <c r="I1971" s="74" t="str">
        <f ca="1">IF(Table7[[#This Row],[Type]]="KILL",IF(_xlfn.NUMBERVALUE(RIGHT(Table7[[#This Row],[Min]],LEN(Table7[[#This Row],[Min]])-FIND("-",Table7[[#This Row],[Min]])))&gt;INDIRECT(ADDRESS(11+MATCH(LEFT(Table7[[#This Row],[Min]],FIND("-",Table7[[#This Row],[Min]])-1),Table1[Content Sku],0),16,1,1,"Entities")),"review","ok"),"ok")</f>
        <v>ok</v>
      </c>
      <c r="U1971" t="s">
        <v>37</v>
      </c>
      <c r="V1971">
        <v>0</v>
      </c>
      <c r="W1971">
        <v>0</v>
      </c>
      <c r="X1971" t="s">
        <v>8</v>
      </c>
      <c r="Y1971" s="74" t="str">
        <f ca="1">IF(Table15[[#This Row],[Type]]="KILL",IF(_xlfn.NUMBERVALUE(RIGHT(Table15[[#This Row],[Min]],LEN(Table15[[#This Row],[Min]])-FIND("-",Table15[[#This Row],[Min]])))&gt;INDIRECT(ADDRESS(11+MATCH(LEFT(Table15[[#This Row],[Min]],FIND("-",Table15[[#This Row],[Min]])-1),Table1[Content Sku],0),16,1,1,"Entities")),"review","ok"),"ok")</f>
        <v>ok</v>
      </c>
    </row>
    <row r="1972" spans="5:25" x14ac:dyDescent="0.25">
      <c r="E1972" t="s">
        <v>280</v>
      </c>
      <c r="F1972">
        <v>0</v>
      </c>
      <c r="G1972">
        <v>0</v>
      </c>
      <c r="H1972" t="s">
        <v>8</v>
      </c>
      <c r="I1972" s="74" t="str">
        <f ca="1">IF(Table7[[#This Row],[Type]]="KILL",IF(_xlfn.NUMBERVALUE(RIGHT(Table7[[#This Row],[Min]],LEN(Table7[[#This Row],[Min]])-FIND("-",Table7[[#This Row],[Min]])))&gt;INDIRECT(ADDRESS(11+MATCH(LEFT(Table7[[#This Row],[Min]],FIND("-",Table7[[#This Row],[Min]])-1),Table1[Content Sku],0),16,1,1,"Entities")),"review","ok"),"ok")</f>
        <v>ok</v>
      </c>
      <c r="U1972" t="s">
        <v>2720</v>
      </c>
      <c r="V1972">
        <v>0</v>
      </c>
      <c r="W1972">
        <v>0</v>
      </c>
      <c r="X1972" t="s">
        <v>8</v>
      </c>
      <c r="Y1972" s="74" t="str">
        <f ca="1">IF(Table15[[#This Row],[Type]]="KILL",IF(_xlfn.NUMBERVALUE(RIGHT(Table15[[#This Row],[Min]],LEN(Table15[[#This Row],[Min]])-FIND("-",Table15[[#This Row],[Min]])))&gt;INDIRECT(ADDRESS(11+MATCH(LEFT(Table15[[#This Row],[Min]],FIND("-",Table15[[#This Row],[Min]])-1),Table1[Content Sku],0),16,1,1,"Entities")),"review","ok"),"ok")</f>
        <v>ok</v>
      </c>
    </row>
    <row r="1973" spans="5:25" x14ac:dyDescent="0.25">
      <c r="E1973" t="s">
        <v>254</v>
      </c>
      <c r="F1973">
        <v>0</v>
      </c>
      <c r="G1973">
        <v>0</v>
      </c>
      <c r="H1973" t="s">
        <v>8</v>
      </c>
      <c r="I1973" s="74" t="str">
        <f ca="1">IF(Table7[[#This Row],[Type]]="KILL",IF(_xlfn.NUMBERVALUE(RIGHT(Table7[[#This Row],[Min]],LEN(Table7[[#This Row],[Min]])-FIND("-",Table7[[#This Row],[Min]])))&gt;INDIRECT(ADDRESS(11+MATCH(LEFT(Table7[[#This Row],[Min]],FIND("-",Table7[[#This Row],[Min]])-1),Table1[Content Sku],0),16,1,1,"Entities")),"review","ok"),"ok")</f>
        <v>ok</v>
      </c>
      <c r="U1973" t="s">
        <v>2720</v>
      </c>
      <c r="V1973">
        <v>0</v>
      </c>
      <c r="W1973">
        <v>0</v>
      </c>
      <c r="X1973" t="s">
        <v>8</v>
      </c>
      <c r="Y1973" s="74" t="str">
        <f ca="1">IF(Table15[[#This Row],[Type]]="KILL",IF(_xlfn.NUMBERVALUE(RIGHT(Table15[[#This Row],[Min]],LEN(Table15[[#This Row],[Min]])-FIND("-",Table15[[#This Row],[Min]])))&gt;INDIRECT(ADDRESS(11+MATCH(LEFT(Table15[[#This Row],[Min]],FIND("-",Table15[[#This Row],[Min]])-1),Table1[Content Sku],0),16,1,1,"Entities")),"review","ok"),"ok")</f>
        <v>ok</v>
      </c>
    </row>
    <row r="1974" spans="5:25" x14ac:dyDescent="0.25">
      <c r="E1974" t="s">
        <v>313</v>
      </c>
      <c r="F1974">
        <v>0</v>
      </c>
      <c r="G1974">
        <v>5000</v>
      </c>
      <c r="H1974" t="s">
        <v>205</v>
      </c>
      <c r="I1974" s="74" t="str">
        <f ca="1">IF(Table7[[#This Row],[Type]]="KILL",IF(_xlfn.NUMBERVALUE(RIGHT(Table7[[#This Row],[Min]],LEN(Table7[[#This Row],[Min]])-FIND("-",Table7[[#This Row],[Min]])))&gt;INDIRECT(ADDRESS(11+MATCH(LEFT(Table7[[#This Row],[Min]],FIND("-",Table7[[#This Row],[Min]])-1),Table1[Content Sku],0),16,1,1,"Entities")),"review","ok"),"ok")</f>
        <v>ok</v>
      </c>
      <c r="U1974" t="s">
        <v>398</v>
      </c>
      <c r="V1974">
        <v>0</v>
      </c>
      <c r="W1974">
        <v>0</v>
      </c>
      <c r="X1974" t="s">
        <v>8</v>
      </c>
      <c r="Y1974" s="74" t="str">
        <f ca="1">IF(Table15[[#This Row],[Type]]="KILL",IF(_xlfn.NUMBERVALUE(RIGHT(Table15[[#This Row],[Min]],LEN(Table15[[#This Row],[Min]])-FIND("-",Table15[[#This Row],[Min]])))&gt;INDIRECT(ADDRESS(11+MATCH(LEFT(Table15[[#This Row],[Min]],FIND("-",Table15[[#This Row],[Min]])-1),Table1[Content Sku],0),16,1,1,"Entities")),"review","ok"),"ok")</f>
        <v>ok</v>
      </c>
    </row>
    <row r="1975" spans="5:25" x14ac:dyDescent="0.25">
      <c r="E1975" t="s">
        <v>254</v>
      </c>
      <c r="F1975">
        <v>0</v>
      </c>
      <c r="G1975">
        <v>0</v>
      </c>
      <c r="H1975" t="s">
        <v>8</v>
      </c>
      <c r="I1975" s="74" t="str">
        <f ca="1">IF(Table7[[#This Row],[Type]]="KILL",IF(_xlfn.NUMBERVALUE(RIGHT(Table7[[#This Row],[Min]],LEN(Table7[[#This Row],[Min]])-FIND("-",Table7[[#This Row],[Min]])))&gt;INDIRECT(ADDRESS(11+MATCH(LEFT(Table7[[#This Row],[Min]],FIND("-",Table7[[#This Row],[Min]])-1),Table1[Content Sku],0),16,1,1,"Entities")),"review","ok"),"ok")</f>
        <v>ok</v>
      </c>
      <c r="U1975" t="s">
        <v>400</v>
      </c>
      <c r="V1975">
        <v>0</v>
      </c>
      <c r="W1975">
        <v>0</v>
      </c>
      <c r="X1975" t="s">
        <v>8</v>
      </c>
      <c r="Y1975" s="74" t="str">
        <f ca="1">IF(Table15[[#This Row],[Type]]="KILL",IF(_xlfn.NUMBERVALUE(RIGHT(Table15[[#This Row],[Min]],LEN(Table15[[#This Row],[Min]])-FIND("-",Table15[[#This Row],[Min]])))&gt;INDIRECT(ADDRESS(11+MATCH(LEFT(Table15[[#This Row],[Min]],FIND("-",Table15[[#This Row],[Min]])-1),Table1[Content Sku],0),16,1,1,"Entities")),"review","ok"),"ok")</f>
        <v>ok</v>
      </c>
    </row>
    <row r="1976" spans="5:25" x14ac:dyDescent="0.25">
      <c r="E1976" t="s">
        <v>2732</v>
      </c>
      <c r="F1976">
        <v>0</v>
      </c>
      <c r="G1976">
        <v>0</v>
      </c>
      <c r="H1976" t="s">
        <v>8</v>
      </c>
      <c r="I1976" s="74" t="str">
        <f ca="1">IF(Table7[[#This Row],[Type]]="KILL",IF(_xlfn.NUMBERVALUE(RIGHT(Table7[[#This Row],[Min]],LEN(Table7[[#This Row],[Min]])-FIND("-",Table7[[#This Row],[Min]])))&gt;INDIRECT(ADDRESS(11+MATCH(LEFT(Table7[[#This Row],[Min]],FIND("-",Table7[[#This Row],[Min]])-1),Table1[Content Sku],0),16,1,1,"Entities")),"review","ok"),"ok")</f>
        <v>ok</v>
      </c>
      <c r="U1976" t="s">
        <v>393</v>
      </c>
      <c r="V1976">
        <v>0</v>
      </c>
      <c r="W1976">
        <v>0</v>
      </c>
      <c r="X1976" t="s">
        <v>8</v>
      </c>
      <c r="Y1976" s="74" t="str">
        <f ca="1">IF(Table15[[#This Row],[Type]]="KILL",IF(_xlfn.NUMBERVALUE(RIGHT(Table15[[#This Row],[Min]],LEN(Table15[[#This Row],[Min]])-FIND("-",Table15[[#This Row],[Min]])))&gt;INDIRECT(ADDRESS(11+MATCH(LEFT(Table15[[#This Row],[Min]],FIND("-",Table15[[#This Row],[Min]])-1),Table1[Content Sku],0),16,1,1,"Entities")),"review","ok"),"ok")</f>
        <v>ok</v>
      </c>
    </row>
    <row r="1977" spans="5:25" x14ac:dyDescent="0.25">
      <c r="E1977" t="s">
        <v>2741</v>
      </c>
      <c r="F1977">
        <v>0</v>
      </c>
      <c r="G1977">
        <v>0</v>
      </c>
      <c r="H1977" t="s">
        <v>8</v>
      </c>
      <c r="I1977" s="74" t="str">
        <f ca="1">IF(Table7[[#This Row],[Type]]="KILL",IF(_xlfn.NUMBERVALUE(RIGHT(Table7[[#This Row],[Min]],LEN(Table7[[#This Row],[Min]])-FIND("-",Table7[[#This Row],[Min]])))&gt;INDIRECT(ADDRESS(11+MATCH(LEFT(Table7[[#This Row],[Min]],FIND("-",Table7[[#This Row],[Min]])-1),Table1[Content Sku],0),16,1,1,"Entities")),"review","ok"),"ok")</f>
        <v>ok</v>
      </c>
      <c r="U1977" t="s">
        <v>398</v>
      </c>
      <c r="V1977">
        <v>0</v>
      </c>
      <c r="W1977">
        <v>0</v>
      </c>
      <c r="X1977" t="s">
        <v>8</v>
      </c>
      <c r="Y1977" s="74" t="str">
        <f ca="1">IF(Table15[[#This Row],[Type]]="KILL",IF(_xlfn.NUMBERVALUE(RIGHT(Table15[[#This Row],[Min]],LEN(Table15[[#This Row],[Min]])-FIND("-",Table15[[#This Row],[Min]])))&gt;INDIRECT(ADDRESS(11+MATCH(LEFT(Table15[[#This Row],[Min]],FIND("-",Table15[[#This Row],[Min]])-1),Table1[Content Sku],0),16,1,1,"Entities")),"review","ok"),"ok")</f>
        <v>ok</v>
      </c>
    </row>
    <row r="1978" spans="5:25" x14ac:dyDescent="0.25">
      <c r="E1978" t="s">
        <v>95</v>
      </c>
      <c r="F1978">
        <v>0</v>
      </c>
      <c r="G1978">
        <v>0</v>
      </c>
      <c r="H1978" t="s">
        <v>8</v>
      </c>
      <c r="I1978" s="74" t="str">
        <f ca="1">IF(Table7[[#This Row],[Type]]="KILL",IF(_xlfn.NUMBERVALUE(RIGHT(Table7[[#This Row],[Min]],LEN(Table7[[#This Row],[Min]])-FIND("-",Table7[[#This Row],[Min]])))&gt;INDIRECT(ADDRESS(11+MATCH(LEFT(Table7[[#This Row],[Min]],FIND("-",Table7[[#This Row],[Min]])-1),Table1[Content Sku],0),16,1,1,"Entities")),"review","ok"),"ok")</f>
        <v>ok</v>
      </c>
      <c r="U1978" t="s">
        <v>46</v>
      </c>
      <c r="V1978">
        <v>0</v>
      </c>
      <c r="W1978">
        <v>0</v>
      </c>
      <c r="X1978" t="s">
        <v>8</v>
      </c>
      <c r="Y1978" s="74" t="str">
        <f ca="1">IF(Table15[[#This Row],[Type]]="KILL",IF(_xlfn.NUMBERVALUE(RIGHT(Table15[[#This Row],[Min]],LEN(Table15[[#This Row],[Min]])-FIND("-",Table15[[#This Row],[Min]])))&gt;INDIRECT(ADDRESS(11+MATCH(LEFT(Table15[[#This Row],[Min]],FIND("-",Table15[[#This Row],[Min]])-1),Table1[Content Sku],0),16,1,1,"Entities")),"review","ok"),"ok")</f>
        <v>ok</v>
      </c>
    </row>
    <row r="1979" spans="5:25" x14ac:dyDescent="0.25">
      <c r="E1979" t="s">
        <v>254</v>
      </c>
      <c r="F1979">
        <v>0</v>
      </c>
      <c r="G1979">
        <v>0</v>
      </c>
      <c r="H1979" t="s">
        <v>8</v>
      </c>
      <c r="I1979" s="74" t="str">
        <f ca="1">IF(Table7[[#This Row],[Type]]="KILL",IF(_xlfn.NUMBERVALUE(RIGHT(Table7[[#This Row],[Min]],LEN(Table7[[#This Row],[Min]])-FIND("-",Table7[[#This Row],[Min]])))&gt;INDIRECT(ADDRESS(11+MATCH(LEFT(Table7[[#This Row],[Min]],FIND("-",Table7[[#This Row],[Min]])-1),Table1[Content Sku],0),16,1,1,"Entities")),"review","ok"),"ok")</f>
        <v>ok</v>
      </c>
      <c r="U1979" t="s">
        <v>457</v>
      </c>
      <c r="V1979">
        <v>0</v>
      </c>
      <c r="W1979">
        <v>0</v>
      </c>
      <c r="X1979" t="s">
        <v>8</v>
      </c>
      <c r="Y1979" s="74" t="str">
        <f ca="1">IF(Table15[[#This Row],[Type]]="KILL",IF(_xlfn.NUMBERVALUE(RIGHT(Table15[[#This Row],[Min]],LEN(Table15[[#This Row],[Min]])-FIND("-",Table15[[#This Row],[Min]])))&gt;INDIRECT(ADDRESS(11+MATCH(LEFT(Table15[[#This Row],[Min]],FIND("-",Table15[[#This Row],[Min]])-1),Table1[Content Sku],0),16,1,1,"Entities")),"review","ok"),"ok")</f>
        <v>ok</v>
      </c>
    </row>
    <row r="1980" spans="5:25" x14ac:dyDescent="0.25">
      <c r="E1980" t="s">
        <v>40</v>
      </c>
      <c r="F1980">
        <v>21000</v>
      </c>
      <c r="G1980">
        <v>0</v>
      </c>
      <c r="H1980" t="s">
        <v>205</v>
      </c>
      <c r="I1980" s="74" t="str">
        <f ca="1">IF(Table7[[#This Row],[Type]]="KILL",IF(_xlfn.NUMBERVALUE(RIGHT(Table7[[#This Row],[Min]],LEN(Table7[[#This Row],[Min]])-FIND("-",Table7[[#This Row],[Min]])))&gt;INDIRECT(ADDRESS(11+MATCH(LEFT(Table7[[#This Row],[Min]],FIND("-",Table7[[#This Row],[Min]])-1),Table1[Content Sku],0),16,1,1,"Entities")),"review","ok"),"ok")</f>
        <v>ok</v>
      </c>
      <c r="U1980" t="s">
        <v>457</v>
      </c>
      <c r="V1980">
        <v>0</v>
      </c>
      <c r="W1980">
        <v>40000</v>
      </c>
      <c r="X1980" t="s">
        <v>205</v>
      </c>
      <c r="Y1980" s="74" t="str">
        <f ca="1">IF(Table15[[#This Row],[Type]]="KILL",IF(_xlfn.NUMBERVALUE(RIGHT(Table15[[#This Row],[Min]],LEN(Table15[[#This Row],[Min]])-FIND("-",Table15[[#This Row],[Min]])))&gt;INDIRECT(ADDRESS(11+MATCH(LEFT(Table15[[#This Row],[Min]],FIND("-",Table15[[#This Row],[Min]])-1),Table1[Content Sku],0),16,1,1,"Entities")),"review","ok"),"ok")</f>
        <v>ok</v>
      </c>
    </row>
    <row r="1981" spans="5:25" x14ac:dyDescent="0.25">
      <c r="E1981" t="s">
        <v>8133</v>
      </c>
      <c r="F1981">
        <v>0</v>
      </c>
      <c r="G1981">
        <v>0</v>
      </c>
      <c r="H1981" t="s">
        <v>8</v>
      </c>
      <c r="I1981" s="74" t="str">
        <f ca="1">IF(Table7[[#This Row],[Type]]="KILL",IF(_xlfn.NUMBERVALUE(RIGHT(Table7[[#This Row],[Min]],LEN(Table7[[#This Row],[Min]])-FIND("-",Table7[[#This Row],[Min]])))&gt;INDIRECT(ADDRESS(11+MATCH(LEFT(Table7[[#This Row],[Min]],FIND("-",Table7[[#This Row],[Min]])-1),Table1[Content Sku],0),16,1,1,"Entities")),"review","ok"),"ok")</f>
        <v>ok</v>
      </c>
      <c r="U1981" t="s">
        <v>22</v>
      </c>
      <c r="V1981">
        <v>40000</v>
      </c>
      <c r="W1981">
        <v>0</v>
      </c>
      <c r="X1981" t="s">
        <v>205</v>
      </c>
      <c r="Y1981" s="74" t="str">
        <f ca="1">IF(Table15[[#This Row],[Type]]="KILL",IF(_xlfn.NUMBERVALUE(RIGHT(Table15[[#This Row],[Min]],LEN(Table15[[#This Row],[Min]])-FIND("-",Table15[[#This Row],[Min]])))&gt;INDIRECT(ADDRESS(11+MATCH(LEFT(Table15[[#This Row],[Min]],FIND("-",Table15[[#This Row],[Min]])-1),Table1[Content Sku],0),16,1,1,"Entities")),"review","ok"),"ok")</f>
        <v>ok</v>
      </c>
    </row>
    <row r="1982" spans="5:25" x14ac:dyDescent="0.25">
      <c r="E1982" t="s">
        <v>8134</v>
      </c>
      <c r="F1982">
        <v>0</v>
      </c>
      <c r="G1982">
        <v>0</v>
      </c>
      <c r="H1982" t="s">
        <v>8</v>
      </c>
      <c r="I1982" s="74" t="str">
        <f ca="1">IF(Table7[[#This Row],[Type]]="KILL",IF(_xlfn.NUMBERVALUE(RIGHT(Table7[[#This Row],[Min]],LEN(Table7[[#This Row],[Min]])-FIND("-",Table7[[#This Row],[Min]])))&gt;INDIRECT(ADDRESS(11+MATCH(LEFT(Table7[[#This Row],[Min]],FIND("-",Table7[[#This Row],[Min]])-1),Table1[Content Sku],0),16,1,1,"Entities")),"review","ok"),"ok")</f>
        <v>ok</v>
      </c>
      <c r="U1982" t="s">
        <v>289</v>
      </c>
      <c r="V1982">
        <v>0</v>
      </c>
      <c r="W1982">
        <v>0</v>
      </c>
      <c r="X1982" t="s">
        <v>8</v>
      </c>
      <c r="Y1982" s="74" t="str">
        <f ca="1">IF(Table15[[#This Row],[Type]]="KILL",IF(_xlfn.NUMBERVALUE(RIGHT(Table15[[#This Row],[Min]],LEN(Table15[[#This Row],[Min]])-FIND("-",Table15[[#This Row],[Min]])))&gt;INDIRECT(ADDRESS(11+MATCH(LEFT(Table15[[#This Row],[Min]],FIND("-",Table15[[#This Row],[Min]])-1),Table1[Content Sku],0),16,1,1,"Entities")),"review","ok"),"ok")</f>
        <v>ok</v>
      </c>
    </row>
    <row r="1983" spans="5:25" x14ac:dyDescent="0.25">
      <c r="E1983" t="s">
        <v>254</v>
      </c>
      <c r="F1983">
        <v>0</v>
      </c>
      <c r="G1983">
        <v>0</v>
      </c>
      <c r="H1983" t="s">
        <v>8</v>
      </c>
      <c r="I1983" s="74" t="str">
        <f ca="1">IF(Table7[[#This Row],[Type]]="KILL",IF(_xlfn.NUMBERVALUE(RIGHT(Table7[[#This Row],[Min]],LEN(Table7[[#This Row],[Min]])-FIND("-",Table7[[#This Row],[Min]])))&gt;INDIRECT(ADDRESS(11+MATCH(LEFT(Table7[[#This Row],[Min]],FIND("-",Table7[[#This Row],[Min]])-1),Table1[Content Sku],0),16,1,1,"Entities")),"review","ok"),"ok")</f>
        <v>ok</v>
      </c>
      <c r="U1983" t="s">
        <v>122</v>
      </c>
      <c r="V1983">
        <v>0</v>
      </c>
      <c r="W1983">
        <v>0</v>
      </c>
      <c r="X1983" t="s">
        <v>8</v>
      </c>
      <c r="Y1983" s="74" t="str">
        <f ca="1">IF(Table15[[#This Row],[Type]]="KILL",IF(_xlfn.NUMBERVALUE(RIGHT(Table15[[#This Row],[Min]],LEN(Table15[[#This Row],[Min]])-FIND("-",Table15[[#This Row],[Min]])))&gt;INDIRECT(ADDRESS(11+MATCH(LEFT(Table15[[#This Row],[Min]],FIND("-",Table15[[#This Row],[Min]])-1),Table1[Content Sku],0),16,1,1,"Entities")),"review","ok"),"ok")</f>
        <v>ok</v>
      </c>
    </row>
    <row r="1984" spans="5:25" x14ac:dyDescent="0.25">
      <c r="E1984" t="s">
        <v>45</v>
      </c>
      <c r="F1984" t="s">
        <v>8122</v>
      </c>
      <c r="G1984" t="s">
        <v>4467</v>
      </c>
      <c r="H1984" t="s">
        <v>4468</v>
      </c>
      <c r="I1984" s="74" t="str">
        <f ca="1">IF(Table7[[#This Row],[Type]]="KILL",IF(_xlfn.NUMBERVALUE(RIGHT(Table7[[#This Row],[Min]],LEN(Table7[[#This Row],[Min]])-FIND("-",Table7[[#This Row],[Min]])))&gt;INDIRECT(ADDRESS(11+MATCH(LEFT(Table7[[#This Row],[Min]],FIND("-",Table7[[#This Row],[Min]])-1),Table1[Content Sku],0),16,1,1,"Entities")),"review","ok"),"ok")</f>
        <v>review</v>
      </c>
      <c r="U1984" t="s">
        <v>273</v>
      </c>
      <c r="V1984">
        <v>35000</v>
      </c>
      <c r="W1984">
        <v>0</v>
      </c>
      <c r="X1984" t="s">
        <v>205</v>
      </c>
      <c r="Y1984" s="74" t="str">
        <f ca="1">IF(Table15[[#This Row],[Type]]="KILL",IF(_xlfn.NUMBERVALUE(RIGHT(Table15[[#This Row],[Min]],LEN(Table15[[#This Row],[Min]])-FIND("-",Table15[[#This Row],[Min]])))&gt;INDIRECT(ADDRESS(11+MATCH(LEFT(Table15[[#This Row],[Min]],FIND("-",Table15[[#This Row],[Min]])-1),Table1[Content Sku],0),16,1,1,"Entities")),"review","ok"),"ok")</f>
        <v>ok</v>
      </c>
    </row>
    <row r="1985" spans="5:25" x14ac:dyDescent="0.25">
      <c r="E1985" t="s">
        <v>256</v>
      </c>
      <c r="F1985">
        <v>25000</v>
      </c>
      <c r="G1985">
        <v>0</v>
      </c>
      <c r="H1985" t="s">
        <v>205</v>
      </c>
      <c r="I1985" s="74" t="str">
        <f ca="1">IF(Table7[[#This Row],[Type]]="KILL",IF(_xlfn.NUMBERVALUE(RIGHT(Table7[[#This Row],[Min]],LEN(Table7[[#This Row],[Min]])-FIND("-",Table7[[#This Row],[Min]])))&gt;INDIRECT(ADDRESS(11+MATCH(LEFT(Table7[[#This Row],[Min]],FIND("-",Table7[[#This Row],[Min]])-1),Table1[Content Sku],0),16,1,1,"Entities")),"review","ok"),"ok")</f>
        <v>ok</v>
      </c>
      <c r="U1985" t="s">
        <v>457</v>
      </c>
      <c r="V1985">
        <v>0</v>
      </c>
      <c r="W1985">
        <v>62000</v>
      </c>
      <c r="X1985" t="s">
        <v>205</v>
      </c>
      <c r="Y1985" s="74" t="str">
        <f ca="1">IF(Table15[[#This Row],[Type]]="KILL",IF(_xlfn.NUMBERVALUE(RIGHT(Table15[[#This Row],[Min]],LEN(Table15[[#This Row],[Min]])-FIND("-",Table15[[#This Row],[Min]])))&gt;INDIRECT(ADDRESS(11+MATCH(LEFT(Table15[[#This Row],[Min]],FIND("-",Table15[[#This Row],[Min]])-1),Table1[Content Sku],0),16,1,1,"Entities")),"review","ok"),"ok")</f>
        <v>ok</v>
      </c>
    </row>
    <row r="1986" spans="5:25" x14ac:dyDescent="0.25">
      <c r="E1986" t="s">
        <v>4</v>
      </c>
      <c r="F1986">
        <v>0</v>
      </c>
      <c r="G1986">
        <v>0</v>
      </c>
      <c r="H1986" t="s">
        <v>8</v>
      </c>
      <c r="I1986" s="74" t="str">
        <f ca="1">IF(Table7[[#This Row],[Type]]="KILL",IF(_xlfn.NUMBERVALUE(RIGHT(Table7[[#This Row],[Min]],LEN(Table7[[#This Row],[Min]])-FIND("-",Table7[[#This Row],[Min]])))&gt;INDIRECT(ADDRESS(11+MATCH(LEFT(Table7[[#This Row],[Min]],FIND("-",Table7[[#This Row],[Min]])-1),Table1[Content Sku],0),16,1,1,"Entities")),"review","ok"),"ok")</f>
        <v>ok</v>
      </c>
      <c r="U1986" t="s">
        <v>37</v>
      </c>
      <c r="V1986">
        <v>0</v>
      </c>
      <c r="W1986">
        <v>0</v>
      </c>
      <c r="X1986" t="s">
        <v>8</v>
      </c>
      <c r="Y1986" s="74" t="str">
        <f ca="1">IF(Table15[[#This Row],[Type]]="KILL",IF(_xlfn.NUMBERVALUE(RIGHT(Table15[[#This Row],[Min]],LEN(Table15[[#This Row],[Min]])-FIND("-",Table15[[#This Row],[Min]])))&gt;INDIRECT(ADDRESS(11+MATCH(LEFT(Table15[[#This Row],[Min]],FIND("-",Table15[[#This Row],[Min]])-1),Table1[Content Sku],0),16,1,1,"Entities")),"review","ok"),"ok")</f>
        <v>ok</v>
      </c>
    </row>
    <row r="1987" spans="5:25" x14ac:dyDescent="0.25">
      <c r="E1987" t="s">
        <v>295</v>
      </c>
      <c r="F1987">
        <v>0</v>
      </c>
      <c r="G1987">
        <v>0</v>
      </c>
      <c r="H1987" t="s">
        <v>8</v>
      </c>
      <c r="I1987" s="74" t="str">
        <f ca="1">IF(Table7[[#This Row],[Type]]="KILL",IF(_xlfn.NUMBERVALUE(RIGHT(Table7[[#This Row],[Min]],LEN(Table7[[#This Row],[Min]])-FIND("-",Table7[[#This Row],[Min]])))&gt;INDIRECT(ADDRESS(11+MATCH(LEFT(Table7[[#This Row],[Min]],FIND("-",Table7[[#This Row],[Min]])-1),Table1[Content Sku],0),16,1,1,"Entities")),"review","ok"),"ok")</f>
        <v>ok</v>
      </c>
      <c r="U1987" t="s">
        <v>306</v>
      </c>
      <c r="V1987">
        <v>30000</v>
      </c>
      <c r="W1987">
        <v>0</v>
      </c>
      <c r="X1987" t="s">
        <v>205</v>
      </c>
      <c r="Y1987" s="74" t="str">
        <f ca="1">IF(Table15[[#This Row],[Type]]="KILL",IF(_xlfn.NUMBERVALUE(RIGHT(Table15[[#This Row],[Min]],LEN(Table15[[#This Row],[Min]])-FIND("-",Table15[[#This Row],[Min]])))&gt;INDIRECT(ADDRESS(11+MATCH(LEFT(Table15[[#This Row],[Min]],FIND("-",Table15[[#This Row],[Min]])-1),Table1[Content Sku],0),16,1,1,"Entities")),"review","ok"),"ok")</f>
        <v>ok</v>
      </c>
    </row>
    <row r="1988" spans="5:25" x14ac:dyDescent="0.25">
      <c r="E1988" t="s">
        <v>278</v>
      </c>
      <c r="F1988">
        <v>3000</v>
      </c>
      <c r="G1988">
        <v>7000</v>
      </c>
      <c r="H1988" t="s">
        <v>205</v>
      </c>
      <c r="I1988" s="74" t="str">
        <f ca="1">IF(Table7[[#This Row],[Type]]="KILL",IF(_xlfn.NUMBERVALUE(RIGHT(Table7[[#This Row],[Min]],LEN(Table7[[#This Row],[Min]])-FIND("-",Table7[[#This Row],[Min]])))&gt;INDIRECT(ADDRESS(11+MATCH(LEFT(Table7[[#This Row],[Min]],FIND("-",Table7[[#This Row],[Min]])-1),Table1[Content Sku],0),16,1,1,"Entities")),"review","ok"),"ok")</f>
        <v>ok</v>
      </c>
      <c r="U1988" t="s">
        <v>457</v>
      </c>
      <c r="V1988">
        <v>0</v>
      </c>
      <c r="W1988">
        <v>0</v>
      </c>
      <c r="X1988" t="s">
        <v>8</v>
      </c>
      <c r="Y1988" s="74" t="str">
        <f ca="1">IF(Table15[[#This Row],[Type]]="KILL",IF(_xlfn.NUMBERVALUE(RIGHT(Table15[[#This Row],[Min]],LEN(Table15[[#This Row],[Min]])-FIND("-",Table15[[#This Row],[Min]])))&gt;INDIRECT(ADDRESS(11+MATCH(LEFT(Table15[[#This Row],[Min]],FIND("-",Table15[[#This Row],[Min]])-1),Table1[Content Sku],0),16,1,1,"Entities")),"review","ok"),"ok")</f>
        <v>ok</v>
      </c>
    </row>
    <row r="1989" spans="5:25" x14ac:dyDescent="0.25">
      <c r="E1989" t="s">
        <v>47</v>
      </c>
      <c r="F1989">
        <v>7000</v>
      </c>
      <c r="G1989">
        <v>0</v>
      </c>
      <c r="H1989" t="s">
        <v>205</v>
      </c>
      <c r="I1989" s="74" t="str">
        <f ca="1">IF(Table7[[#This Row],[Type]]="KILL",IF(_xlfn.NUMBERVALUE(RIGHT(Table7[[#This Row],[Min]],LEN(Table7[[#This Row],[Min]])-FIND("-",Table7[[#This Row],[Min]])))&gt;INDIRECT(ADDRESS(11+MATCH(LEFT(Table7[[#This Row],[Min]],FIND("-",Table7[[#This Row],[Min]])-1),Table1[Content Sku],0),16,1,1,"Entities")),"review","ok"),"ok")</f>
        <v>ok</v>
      </c>
      <c r="U1989" t="s">
        <v>2717</v>
      </c>
      <c r="V1989">
        <v>37000</v>
      </c>
      <c r="W1989">
        <v>0</v>
      </c>
      <c r="X1989" t="s">
        <v>205</v>
      </c>
      <c r="Y1989" s="74" t="str">
        <f ca="1">IF(Table15[[#This Row],[Type]]="KILL",IF(_xlfn.NUMBERVALUE(RIGHT(Table15[[#This Row],[Min]],LEN(Table15[[#This Row],[Min]])-FIND("-",Table15[[#This Row],[Min]])))&gt;INDIRECT(ADDRESS(11+MATCH(LEFT(Table15[[#This Row],[Min]],FIND("-",Table15[[#This Row],[Min]])-1),Table1[Content Sku],0),16,1,1,"Entities")),"review","ok"),"ok")</f>
        <v>ok</v>
      </c>
    </row>
    <row r="1990" spans="5:25" x14ac:dyDescent="0.25">
      <c r="E1990" t="s">
        <v>311</v>
      </c>
      <c r="F1990">
        <v>0</v>
      </c>
      <c r="G1990">
        <v>0</v>
      </c>
      <c r="H1990" t="s">
        <v>8</v>
      </c>
      <c r="I1990" s="74" t="str">
        <f ca="1">IF(Table7[[#This Row],[Type]]="KILL",IF(_xlfn.NUMBERVALUE(RIGHT(Table7[[#This Row],[Min]],LEN(Table7[[#This Row],[Min]])-FIND("-",Table7[[#This Row],[Min]])))&gt;INDIRECT(ADDRESS(11+MATCH(LEFT(Table7[[#This Row],[Min]],FIND("-",Table7[[#This Row],[Min]])-1),Table1[Content Sku],0),16,1,1,"Entities")),"review","ok"),"ok")</f>
        <v>ok</v>
      </c>
      <c r="U1990" t="s">
        <v>123</v>
      </c>
      <c r="V1990">
        <v>0</v>
      </c>
      <c r="W1990">
        <v>0</v>
      </c>
      <c r="X1990" t="s">
        <v>8</v>
      </c>
      <c r="Y1990" s="74" t="str">
        <f ca="1">IF(Table15[[#This Row],[Type]]="KILL",IF(_xlfn.NUMBERVALUE(RIGHT(Table15[[#This Row],[Min]],LEN(Table15[[#This Row],[Min]])-FIND("-",Table15[[#This Row],[Min]])))&gt;INDIRECT(ADDRESS(11+MATCH(LEFT(Table15[[#This Row],[Min]],FIND("-",Table15[[#This Row],[Min]])-1),Table1[Content Sku],0),16,1,1,"Entities")),"review","ok"),"ok")</f>
        <v>ok</v>
      </c>
    </row>
    <row r="1991" spans="5:25" x14ac:dyDescent="0.25">
      <c r="E1991" t="s">
        <v>311</v>
      </c>
      <c r="F1991">
        <v>0</v>
      </c>
      <c r="G1991">
        <v>0</v>
      </c>
      <c r="H1991" t="s">
        <v>8</v>
      </c>
      <c r="I1991" s="74" t="str">
        <f ca="1">IF(Table7[[#This Row],[Type]]="KILL",IF(_xlfn.NUMBERVALUE(RIGHT(Table7[[#This Row],[Min]],LEN(Table7[[#This Row],[Min]])-FIND("-",Table7[[#This Row],[Min]])))&gt;INDIRECT(ADDRESS(11+MATCH(LEFT(Table7[[#This Row],[Min]],FIND("-",Table7[[#This Row],[Min]])-1),Table1[Content Sku],0),16,1,1,"Entities")),"review","ok"),"ok")</f>
        <v>ok</v>
      </c>
      <c r="U1991" t="s">
        <v>4430</v>
      </c>
      <c r="V1991">
        <v>0</v>
      </c>
      <c r="W1991">
        <v>0</v>
      </c>
      <c r="X1991" t="s">
        <v>8</v>
      </c>
      <c r="Y1991" s="74" t="str">
        <f ca="1">IF(Table15[[#This Row],[Type]]="KILL",IF(_xlfn.NUMBERVALUE(RIGHT(Table15[[#This Row],[Min]],LEN(Table15[[#This Row],[Min]])-FIND("-",Table15[[#This Row],[Min]])))&gt;INDIRECT(ADDRESS(11+MATCH(LEFT(Table15[[#This Row],[Min]],FIND("-",Table15[[#This Row],[Min]])-1),Table1[Content Sku],0),16,1,1,"Entities")),"review","ok"),"ok")</f>
        <v>ok</v>
      </c>
    </row>
    <row r="1992" spans="5:25" x14ac:dyDescent="0.25">
      <c r="E1992" t="s">
        <v>406</v>
      </c>
      <c r="F1992">
        <v>6100</v>
      </c>
      <c r="G1992">
        <v>0</v>
      </c>
      <c r="H1992" t="s">
        <v>205</v>
      </c>
      <c r="I1992" s="74" t="str">
        <f ca="1">IF(Table7[[#This Row],[Type]]="KILL",IF(_xlfn.NUMBERVALUE(RIGHT(Table7[[#This Row],[Min]],LEN(Table7[[#This Row],[Min]])-FIND("-",Table7[[#This Row],[Min]])))&gt;INDIRECT(ADDRESS(11+MATCH(LEFT(Table7[[#This Row],[Min]],FIND("-",Table7[[#This Row],[Min]])-1),Table1[Content Sku],0),16,1,1,"Entities")),"review","ok"),"ok")</f>
        <v>ok</v>
      </c>
      <c r="U1992" t="s">
        <v>122</v>
      </c>
      <c r="V1992">
        <v>0</v>
      </c>
      <c r="W1992">
        <v>0</v>
      </c>
      <c r="X1992" t="s">
        <v>8</v>
      </c>
      <c r="Y1992" s="74" t="str">
        <f ca="1">IF(Table15[[#This Row],[Type]]="KILL",IF(_xlfn.NUMBERVALUE(RIGHT(Table15[[#This Row],[Min]],LEN(Table15[[#This Row],[Min]])-FIND("-",Table15[[#This Row],[Min]])))&gt;INDIRECT(ADDRESS(11+MATCH(LEFT(Table15[[#This Row],[Min]],FIND("-",Table15[[#This Row],[Min]])-1),Table1[Content Sku],0),16,1,1,"Entities")),"review","ok"),"ok")</f>
        <v>ok</v>
      </c>
    </row>
    <row r="1993" spans="5:25" x14ac:dyDescent="0.25">
      <c r="E1993" t="s">
        <v>40</v>
      </c>
      <c r="F1993">
        <v>6500</v>
      </c>
      <c r="G1993">
        <v>0</v>
      </c>
      <c r="H1993" t="s">
        <v>205</v>
      </c>
      <c r="I1993" s="74" t="str">
        <f ca="1">IF(Table7[[#This Row],[Type]]="KILL",IF(_xlfn.NUMBERVALUE(RIGHT(Table7[[#This Row],[Min]],LEN(Table7[[#This Row],[Min]])-FIND("-",Table7[[#This Row],[Min]])))&gt;INDIRECT(ADDRESS(11+MATCH(LEFT(Table7[[#This Row],[Min]],FIND("-",Table7[[#This Row],[Min]])-1),Table1[Content Sku],0),16,1,1,"Entities")),"review","ok"),"ok")</f>
        <v>ok</v>
      </c>
      <c r="U1993" t="s">
        <v>459</v>
      </c>
      <c r="V1993">
        <v>0</v>
      </c>
      <c r="W1993">
        <v>0</v>
      </c>
      <c r="X1993" t="s">
        <v>8</v>
      </c>
      <c r="Y1993" s="74" t="str">
        <f ca="1">IF(Table15[[#This Row],[Type]]="KILL",IF(_xlfn.NUMBERVALUE(RIGHT(Table15[[#This Row],[Min]],LEN(Table15[[#This Row],[Min]])-FIND("-",Table15[[#This Row],[Min]])))&gt;INDIRECT(ADDRESS(11+MATCH(LEFT(Table15[[#This Row],[Min]],FIND("-",Table15[[#This Row],[Min]])-1),Table1[Content Sku],0),16,1,1,"Entities")),"review","ok"),"ok")</f>
        <v>ok</v>
      </c>
    </row>
    <row r="1994" spans="5:25" x14ac:dyDescent="0.25">
      <c r="E1994" t="s">
        <v>257</v>
      </c>
      <c r="F1994">
        <v>0</v>
      </c>
      <c r="G1994">
        <v>0</v>
      </c>
      <c r="H1994" t="s">
        <v>8</v>
      </c>
      <c r="I1994" s="74" t="str">
        <f ca="1">IF(Table7[[#This Row],[Type]]="KILL",IF(_xlfn.NUMBERVALUE(RIGHT(Table7[[#This Row],[Min]],LEN(Table7[[#This Row],[Min]])-FIND("-",Table7[[#This Row],[Min]])))&gt;INDIRECT(ADDRESS(11+MATCH(LEFT(Table7[[#This Row],[Min]],FIND("-",Table7[[#This Row],[Min]])-1),Table1[Content Sku],0),16,1,1,"Entities")),"review","ok"),"ok")</f>
        <v>ok</v>
      </c>
      <c r="U1994" t="s">
        <v>313</v>
      </c>
      <c r="V1994">
        <v>0</v>
      </c>
      <c r="W1994">
        <v>0</v>
      </c>
      <c r="X1994" t="s">
        <v>8</v>
      </c>
      <c r="Y1994" s="74" t="str">
        <f ca="1">IF(Table15[[#This Row],[Type]]="KILL",IF(_xlfn.NUMBERVALUE(RIGHT(Table15[[#This Row],[Min]],LEN(Table15[[#This Row],[Min]])-FIND("-",Table15[[#This Row],[Min]])))&gt;INDIRECT(ADDRESS(11+MATCH(LEFT(Table15[[#This Row],[Min]],FIND("-",Table15[[#This Row],[Min]])-1),Table1[Content Sku],0),16,1,1,"Entities")),"review","ok"),"ok")</f>
        <v>ok</v>
      </c>
    </row>
    <row r="1995" spans="5:25" x14ac:dyDescent="0.25">
      <c r="E1995" t="s">
        <v>313</v>
      </c>
      <c r="F1995">
        <v>4200</v>
      </c>
      <c r="G1995">
        <v>0</v>
      </c>
      <c r="H1995" t="s">
        <v>205</v>
      </c>
      <c r="I1995" s="74" t="str">
        <f ca="1">IF(Table7[[#This Row],[Type]]="KILL",IF(_xlfn.NUMBERVALUE(RIGHT(Table7[[#This Row],[Min]],LEN(Table7[[#This Row],[Min]])-FIND("-",Table7[[#This Row],[Min]])))&gt;INDIRECT(ADDRESS(11+MATCH(LEFT(Table7[[#This Row],[Min]],FIND("-",Table7[[#This Row],[Min]])-1),Table1[Content Sku],0),16,1,1,"Entities")),"review","ok"),"ok")</f>
        <v>ok</v>
      </c>
      <c r="U1995" t="s">
        <v>2720</v>
      </c>
      <c r="V1995">
        <v>0</v>
      </c>
      <c r="W1995">
        <v>0</v>
      </c>
      <c r="X1995" t="s">
        <v>8</v>
      </c>
      <c r="Y1995" s="74" t="str">
        <f ca="1">IF(Table15[[#This Row],[Type]]="KILL",IF(_xlfn.NUMBERVALUE(RIGHT(Table15[[#This Row],[Min]],LEN(Table15[[#This Row],[Min]])-FIND("-",Table15[[#This Row],[Min]])))&gt;INDIRECT(ADDRESS(11+MATCH(LEFT(Table15[[#This Row],[Min]],FIND("-",Table15[[#This Row],[Min]])-1),Table1[Content Sku],0),16,1,1,"Entities")),"review","ok"),"ok")</f>
        <v>ok</v>
      </c>
    </row>
    <row r="1996" spans="5:25" x14ac:dyDescent="0.25">
      <c r="E1996" t="s">
        <v>313</v>
      </c>
      <c r="F1996">
        <v>0</v>
      </c>
      <c r="G1996">
        <v>0</v>
      </c>
      <c r="H1996" t="s">
        <v>8</v>
      </c>
      <c r="I1996" s="74" t="str">
        <f ca="1">IF(Table7[[#This Row],[Type]]="KILL",IF(_xlfn.NUMBERVALUE(RIGHT(Table7[[#This Row],[Min]],LEN(Table7[[#This Row],[Min]])-FIND("-",Table7[[#This Row],[Min]])))&gt;INDIRECT(ADDRESS(11+MATCH(LEFT(Table7[[#This Row],[Min]],FIND("-",Table7[[#This Row],[Min]])-1),Table1[Content Sku],0),16,1,1,"Entities")),"review","ok"),"ok")</f>
        <v>ok</v>
      </c>
      <c r="U1996" t="s">
        <v>398</v>
      </c>
      <c r="V1996">
        <v>0</v>
      </c>
      <c r="W1996">
        <v>0</v>
      </c>
      <c r="X1996" t="s">
        <v>8</v>
      </c>
      <c r="Y1996" s="74" t="str">
        <f ca="1">IF(Table15[[#This Row],[Type]]="KILL",IF(_xlfn.NUMBERVALUE(RIGHT(Table15[[#This Row],[Min]],LEN(Table15[[#This Row],[Min]])-FIND("-",Table15[[#This Row],[Min]])))&gt;INDIRECT(ADDRESS(11+MATCH(LEFT(Table15[[#This Row],[Min]],FIND("-",Table15[[#This Row],[Min]])-1),Table1[Content Sku],0),16,1,1,"Entities")),"review","ok"),"ok")</f>
        <v>ok</v>
      </c>
    </row>
    <row r="1997" spans="5:25" x14ac:dyDescent="0.25">
      <c r="E1997" t="s">
        <v>256</v>
      </c>
      <c r="F1997">
        <v>6000</v>
      </c>
      <c r="G1997">
        <v>0</v>
      </c>
      <c r="H1997" t="s">
        <v>205</v>
      </c>
      <c r="I1997" s="74" t="str">
        <f ca="1">IF(Table7[[#This Row],[Type]]="KILL",IF(_xlfn.NUMBERVALUE(RIGHT(Table7[[#This Row],[Min]],LEN(Table7[[#This Row],[Min]])-FIND("-",Table7[[#This Row],[Min]])))&gt;INDIRECT(ADDRESS(11+MATCH(LEFT(Table7[[#This Row],[Min]],FIND("-",Table7[[#This Row],[Min]])-1),Table1[Content Sku],0),16,1,1,"Entities")),"review","ok"),"ok")</f>
        <v>ok</v>
      </c>
      <c r="U1997" t="s">
        <v>548</v>
      </c>
      <c r="V1997">
        <v>0</v>
      </c>
      <c r="W1997">
        <v>0</v>
      </c>
      <c r="X1997" t="s">
        <v>8</v>
      </c>
      <c r="Y1997" s="74" t="str">
        <f ca="1">IF(Table15[[#This Row],[Type]]="KILL",IF(_xlfn.NUMBERVALUE(RIGHT(Table15[[#This Row],[Min]],LEN(Table15[[#This Row],[Min]])-FIND("-",Table15[[#This Row],[Min]])))&gt;INDIRECT(ADDRESS(11+MATCH(LEFT(Table15[[#This Row],[Min]],FIND("-",Table15[[#This Row],[Min]])-1),Table1[Content Sku],0),16,1,1,"Entities")),"review","ok"),"ok")</f>
        <v>ok</v>
      </c>
    </row>
    <row r="1998" spans="5:25" x14ac:dyDescent="0.25">
      <c r="E1998" t="s">
        <v>2741</v>
      </c>
      <c r="F1998">
        <v>0</v>
      </c>
      <c r="G1998">
        <v>0</v>
      </c>
      <c r="H1998" t="s">
        <v>8</v>
      </c>
      <c r="I1998" s="74" t="str">
        <f ca="1">IF(Table7[[#This Row],[Type]]="KILL",IF(_xlfn.NUMBERVALUE(RIGHT(Table7[[#This Row],[Min]],LEN(Table7[[#This Row],[Min]])-FIND("-",Table7[[#This Row],[Min]])))&gt;INDIRECT(ADDRESS(11+MATCH(LEFT(Table7[[#This Row],[Min]],FIND("-",Table7[[#This Row],[Min]])-1),Table1[Content Sku],0),16,1,1,"Entities")),"review","ok"),"ok")</f>
        <v>ok</v>
      </c>
      <c r="U1998" t="s">
        <v>313</v>
      </c>
      <c r="V1998">
        <v>0</v>
      </c>
      <c r="W1998">
        <v>0</v>
      </c>
      <c r="X1998" t="s">
        <v>8</v>
      </c>
      <c r="Y1998" s="74" t="str">
        <f ca="1">IF(Table15[[#This Row],[Type]]="KILL",IF(_xlfn.NUMBERVALUE(RIGHT(Table15[[#This Row],[Min]],LEN(Table15[[#This Row],[Min]])-FIND("-",Table15[[#This Row],[Min]])))&gt;INDIRECT(ADDRESS(11+MATCH(LEFT(Table15[[#This Row],[Min]],FIND("-",Table15[[#This Row],[Min]])-1),Table1[Content Sku],0),16,1,1,"Entities")),"review","ok"),"ok")</f>
        <v>ok</v>
      </c>
    </row>
    <row r="1999" spans="5:25" x14ac:dyDescent="0.25">
      <c r="E1999" t="s">
        <v>37</v>
      </c>
      <c r="F1999">
        <v>0</v>
      </c>
      <c r="G1999">
        <v>0</v>
      </c>
      <c r="H1999" t="s">
        <v>8</v>
      </c>
      <c r="I1999" s="74" t="str">
        <f ca="1">IF(Table7[[#This Row],[Type]]="KILL",IF(_xlfn.NUMBERVALUE(RIGHT(Table7[[#This Row],[Min]],LEN(Table7[[#This Row],[Min]])-FIND("-",Table7[[#This Row],[Min]])))&gt;INDIRECT(ADDRESS(11+MATCH(LEFT(Table7[[#This Row],[Min]],FIND("-",Table7[[#This Row],[Min]])-1),Table1[Content Sku],0),16,1,1,"Entities")),"review","ok"),"ok")</f>
        <v>ok</v>
      </c>
      <c r="U1999" t="s">
        <v>309</v>
      </c>
      <c r="V1999">
        <v>36000</v>
      </c>
      <c r="W1999">
        <v>0</v>
      </c>
      <c r="X1999" t="s">
        <v>205</v>
      </c>
      <c r="Y1999" s="74" t="str">
        <f ca="1">IF(Table15[[#This Row],[Type]]="KILL",IF(_xlfn.NUMBERVALUE(RIGHT(Table15[[#This Row],[Min]],LEN(Table15[[#This Row],[Min]])-FIND("-",Table15[[#This Row],[Min]])))&gt;INDIRECT(ADDRESS(11+MATCH(LEFT(Table15[[#This Row],[Min]],FIND("-",Table15[[#This Row],[Min]])-1),Table1[Content Sku],0),16,1,1,"Entities")),"review","ok"),"ok")</f>
        <v>ok</v>
      </c>
    </row>
    <row r="2000" spans="5:25" x14ac:dyDescent="0.25">
      <c r="E2000" t="s">
        <v>338</v>
      </c>
      <c r="F2000">
        <v>0</v>
      </c>
      <c r="G2000">
        <v>0</v>
      </c>
      <c r="H2000" t="s">
        <v>8</v>
      </c>
      <c r="I2000" s="74" t="str">
        <f ca="1">IF(Table7[[#This Row],[Type]]="KILL",IF(_xlfn.NUMBERVALUE(RIGHT(Table7[[#This Row],[Min]],LEN(Table7[[#This Row],[Min]])-FIND("-",Table7[[#This Row],[Min]])))&gt;INDIRECT(ADDRESS(11+MATCH(LEFT(Table7[[#This Row],[Min]],FIND("-",Table7[[#This Row],[Min]])-1),Table1[Content Sku],0),16,1,1,"Entities")),"review","ok"),"ok")</f>
        <v>ok</v>
      </c>
      <c r="U2000" t="s">
        <v>37</v>
      </c>
      <c r="V2000">
        <v>0</v>
      </c>
      <c r="W2000">
        <v>0</v>
      </c>
      <c r="X2000" t="s">
        <v>8</v>
      </c>
      <c r="Y2000" s="74" t="str">
        <f ca="1">IF(Table15[[#This Row],[Type]]="KILL",IF(_xlfn.NUMBERVALUE(RIGHT(Table15[[#This Row],[Min]],LEN(Table15[[#This Row],[Min]])-FIND("-",Table15[[#This Row],[Min]])))&gt;INDIRECT(ADDRESS(11+MATCH(LEFT(Table15[[#This Row],[Min]],FIND("-",Table15[[#This Row],[Min]])-1),Table1[Content Sku],0),16,1,1,"Entities")),"review","ok"),"ok")</f>
        <v>ok</v>
      </c>
    </row>
    <row r="2001" spans="5:25" x14ac:dyDescent="0.25">
      <c r="E2001" t="s">
        <v>0</v>
      </c>
      <c r="F2001">
        <v>14000</v>
      </c>
      <c r="G2001">
        <v>0</v>
      </c>
      <c r="H2001" t="s">
        <v>205</v>
      </c>
      <c r="I2001" s="74" t="str">
        <f ca="1">IF(Table7[[#This Row],[Type]]="KILL",IF(_xlfn.NUMBERVALUE(RIGHT(Table7[[#This Row],[Min]],LEN(Table7[[#This Row],[Min]])-FIND("-",Table7[[#This Row],[Min]])))&gt;INDIRECT(ADDRESS(11+MATCH(LEFT(Table7[[#This Row],[Min]],FIND("-",Table7[[#This Row],[Min]])-1),Table1[Content Sku],0),16,1,1,"Entities")),"review","ok"),"ok")</f>
        <v>ok</v>
      </c>
      <c r="U2001" t="s">
        <v>2717</v>
      </c>
      <c r="V2001">
        <v>0</v>
      </c>
      <c r="W2001">
        <v>0</v>
      </c>
      <c r="X2001" t="s">
        <v>8</v>
      </c>
      <c r="Y2001" s="74" t="str">
        <f ca="1">IF(Table15[[#This Row],[Type]]="KILL",IF(_xlfn.NUMBERVALUE(RIGHT(Table15[[#This Row],[Min]],LEN(Table15[[#This Row],[Min]])-FIND("-",Table15[[#This Row],[Min]])))&gt;INDIRECT(ADDRESS(11+MATCH(LEFT(Table15[[#This Row],[Min]],FIND("-",Table15[[#This Row],[Min]])-1),Table1[Content Sku],0),16,1,1,"Entities")),"review","ok"),"ok")</f>
        <v>ok</v>
      </c>
    </row>
    <row r="2002" spans="5:25" x14ac:dyDescent="0.25">
      <c r="E2002" t="s">
        <v>396</v>
      </c>
      <c r="F2002">
        <v>14000</v>
      </c>
      <c r="G2002">
        <v>0</v>
      </c>
      <c r="H2002" t="s">
        <v>205</v>
      </c>
      <c r="I2002" s="74" t="str">
        <f ca="1">IF(Table7[[#This Row],[Type]]="KILL",IF(_xlfn.NUMBERVALUE(RIGHT(Table7[[#This Row],[Min]],LEN(Table7[[#This Row],[Min]])-FIND("-",Table7[[#This Row],[Min]])))&gt;INDIRECT(ADDRESS(11+MATCH(LEFT(Table7[[#This Row],[Min]],FIND("-",Table7[[#This Row],[Min]])-1),Table1[Content Sku],0),16,1,1,"Entities")),"review","ok"),"ok")</f>
        <v>ok</v>
      </c>
      <c r="U2002" t="s">
        <v>396</v>
      </c>
      <c r="V2002">
        <v>0</v>
      </c>
      <c r="W2002">
        <v>0</v>
      </c>
      <c r="X2002" t="s">
        <v>8</v>
      </c>
      <c r="Y2002" s="74" t="str">
        <f ca="1">IF(Table15[[#This Row],[Type]]="KILL",IF(_xlfn.NUMBERVALUE(RIGHT(Table15[[#This Row],[Min]],LEN(Table15[[#This Row],[Min]])-FIND("-",Table15[[#This Row],[Min]])))&gt;INDIRECT(ADDRESS(11+MATCH(LEFT(Table15[[#This Row],[Min]],FIND("-",Table15[[#This Row],[Min]])-1),Table1[Content Sku],0),16,1,1,"Entities")),"review","ok"),"ok")</f>
        <v>ok</v>
      </c>
    </row>
    <row r="2003" spans="5:25" x14ac:dyDescent="0.25">
      <c r="E2003" t="s">
        <v>2741</v>
      </c>
      <c r="F2003">
        <v>0</v>
      </c>
      <c r="G2003">
        <v>0</v>
      </c>
      <c r="H2003" t="s">
        <v>8</v>
      </c>
      <c r="I2003" s="74" t="str">
        <f ca="1">IF(Table7[[#This Row],[Type]]="KILL",IF(_xlfn.NUMBERVALUE(RIGHT(Table7[[#This Row],[Min]],LEN(Table7[[#This Row],[Min]])-FIND("-",Table7[[#This Row],[Min]])))&gt;INDIRECT(ADDRESS(11+MATCH(LEFT(Table7[[#This Row],[Min]],FIND("-",Table7[[#This Row],[Min]])-1),Table1[Content Sku],0),16,1,1,"Entities")),"review","ok"),"ok")</f>
        <v>ok</v>
      </c>
      <c r="U2003" t="s">
        <v>548</v>
      </c>
      <c r="V2003">
        <v>0</v>
      </c>
      <c r="W2003">
        <v>0</v>
      </c>
      <c r="X2003" t="s">
        <v>8</v>
      </c>
      <c r="Y2003" s="74" t="str">
        <f ca="1">IF(Table15[[#This Row],[Type]]="KILL",IF(_xlfn.NUMBERVALUE(RIGHT(Table15[[#This Row],[Min]],LEN(Table15[[#This Row],[Min]])-FIND("-",Table15[[#This Row],[Min]])))&gt;INDIRECT(ADDRESS(11+MATCH(LEFT(Table15[[#This Row],[Min]],FIND("-",Table15[[#This Row],[Min]])-1),Table1[Content Sku],0),16,1,1,"Entities")),"review","ok"),"ok")</f>
        <v>ok</v>
      </c>
    </row>
    <row r="2004" spans="5:25" x14ac:dyDescent="0.25">
      <c r="E2004" t="s">
        <v>253</v>
      </c>
      <c r="F2004">
        <v>0</v>
      </c>
      <c r="G2004">
        <v>0</v>
      </c>
      <c r="H2004" t="s">
        <v>8</v>
      </c>
      <c r="I2004" s="74" t="str">
        <f ca="1">IF(Table7[[#This Row],[Type]]="KILL",IF(_xlfn.NUMBERVALUE(RIGHT(Table7[[#This Row],[Min]],LEN(Table7[[#This Row],[Min]])-FIND("-",Table7[[#This Row],[Min]])))&gt;INDIRECT(ADDRESS(11+MATCH(LEFT(Table7[[#This Row],[Min]],FIND("-",Table7[[#This Row],[Min]])-1),Table1[Content Sku],0),16,1,1,"Entities")),"review","ok"),"ok")</f>
        <v>ok</v>
      </c>
      <c r="U2004" t="s">
        <v>396</v>
      </c>
      <c r="V2004">
        <v>30000</v>
      </c>
      <c r="W2004">
        <v>0</v>
      </c>
      <c r="X2004" t="s">
        <v>205</v>
      </c>
      <c r="Y2004" s="74" t="str">
        <f ca="1">IF(Table15[[#This Row],[Type]]="KILL",IF(_xlfn.NUMBERVALUE(RIGHT(Table15[[#This Row],[Min]],LEN(Table15[[#This Row],[Min]])-FIND("-",Table15[[#This Row],[Min]])))&gt;INDIRECT(ADDRESS(11+MATCH(LEFT(Table15[[#This Row],[Min]],FIND("-",Table15[[#This Row],[Min]])-1),Table1[Content Sku],0),16,1,1,"Entities")),"review","ok"),"ok")</f>
        <v>ok</v>
      </c>
    </row>
    <row r="2005" spans="5:25" x14ac:dyDescent="0.25">
      <c r="E2005" t="s">
        <v>403</v>
      </c>
      <c r="F2005">
        <v>0</v>
      </c>
      <c r="G2005">
        <v>0</v>
      </c>
      <c r="H2005" t="s">
        <v>8</v>
      </c>
      <c r="I2005" s="74" t="str">
        <f ca="1">IF(Table7[[#This Row],[Type]]="KILL",IF(_xlfn.NUMBERVALUE(RIGHT(Table7[[#This Row],[Min]],LEN(Table7[[#This Row],[Min]])-FIND("-",Table7[[#This Row],[Min]])))&gt;INDIRECT(ADDRESS(11+MATCH(LEFT(Table7[[#This Row],[Min]],FIND("-",Table7[[#This Row],[Min]])-1),Table1[Content Sku],0),16,1,1,"Entities")),"review","ok"),"ok")</f>
        <v>ok</v>
      </c>
      <c r="U2005" t="s">
        <v>548</v>
      </c>
      <c r="V2005">
        <v>0</v>
      </c>
      <c r="W2005">
        <v>0</v>
      </c>
      <c r="X2005" t="s">
        <v>8</v>
      </c>
      <c r="Y2005" s="74" t="str">
        <f ca="1">IF(Table15[[#This Row],[Type]]="KILL",IF(_xlfn.NUMBERVALUE(RIGHT(Table15[[#This Row],[Min]],LEN(Table15[[#This Row],[Min]])-FIND("-",Table15[[#This Row],[Min]])))&gt;INDIRECT(ADDRESS(11+MATCH(LEFT(Table15[[#This Row],[Min]],FIND("-",Table15[[#This Row],[Min]])-1),Table1[Content Sku],0),16,1,1,"Entities")),"review","ok"),"ok")</f>
        <v>ok</v>
      </c>
    </row>
    <row r="2006" spans="5:25" x14ac:dyDescent="0.25">
      <c r="E2006" t="s">
        <v>50</v>
      </c>
      <c r="F2006">
        <v>33000</v>
      </c>
      <c r="G2006">
        <v>0</v>
      </c>
      <c r="H2006" t="s">
        <v>205</v>
      </c>
      <c r="I2006" s="74" t="str">
        <f ca="1">IF(Table7[[#This Row],[Type]]="KILL",IF(_xlfn.NUMBERVALUE(RIGHT(Table7[[#This Row],[Min]],LEN(Table7[[#This Row],[Min]])-FIND("-",Table7[[#This Row],[Min]])))&gt;INDIRECT(ADDRESS(11+MATCH(LEFT(Table7[[#This Row],[Min]],FIND("-",Table7[[#This Row],[Min]])-1),Table1[Content Sku],0),16,1,1,"Entities")),"review","ok"),"ok")</f>
        <v>ok</v>
      </c>
      <c r="U2006" t="s">
        <v>457</v>
      </c>
      <c r="V2006">
        <v>0</v>
      </c>
      <c r="W2006">
        <v>0</v>
      </c>
      <c r="X2006" t="s">
        <v>8</v>
      </c>
      <c r="Y2006" s="74" t="str">
        <f ca="1">IF(Table15[[#This Row],[Type]]="KILL",IF(_xlfn.NUMBERVALUE(RIGHT(Table15[[#This Row],[Min]],LEN(Table15[[#This Row],[Min]])-FIND("-",Table15[[#This Row],[Min]])))&gt;INDIRECT(ADDRESS(11+MATCH(LEFT(Table15[[#This Row],[Min]],FIND("-",Table15[[#This Row],[Min]])-1),Table1[Content Sku],0),16,1,1,"Entities")),"review","ok"),"ok")</f>
        <v>ok</v>
      </c>
    </row>
    <row r="2007" spans="5:25" x14ac:dyDescent="0.25">
      <c r="E2007" t="s">
        <v>351</v>
      </c>
      <c r="F2007">
        <v>0</v>
      </c>
      <c r="G2007">
        <v>0</v>
      </c>
      <c r="H2007" t="s">
        <v>8</v>
      </c>
      <c r="I2007" s="74" t="str">
        <f ca="1">IF(Table7[[#This Row],[Type]]="KILL",IF(_xlfn.NUMBERVALUE(RIGHT(Table7[[#This Row],[Min]],LEN(Table7[[#This Row],[Min]])-FIND("-",Table7[[#This Row],[Min]])))&gt;INDIRECT(ADDRESS(11+MATCH(LEFT(Table7[[#This Row],[Min]],FIND("-",Table7[[#This Row],[Min]])-1),Table1[Content Sku],0),16,1,1,"Entities")),"review","ok"),"ok")</f>
        <v>ok</v>
      </c>
      <c r="U2007" t="s">
        <v>457</v>
      </c>
      <c r="V2007">
        <v>0</v>
      </c>
      <c r="W2007">
        <v>0</v>
      </c>
      <c r="X2007" t="s">
        <v>8</v>
      </c>
      <c r="Y2007" s="74" t="str">
        <f ca="1">IF(Table15[[#This Row],[Type]]="KILL",IF(_xlfn.NUMBERVALUE(RIGHT(Table15[[#This Row],[Min]],LEN(Table15[[#This Row],[Min]])-FIND("-",Table15[[#This Row],[Min]])))&gt;INDIRECT(ADDRESS(11+MATCH(LEFT(Table15[[#This Row],[Min]],FIND("-",Table15[[#This Row],[Min]])-1),Table1[Content Sku],0),16,1,1,"Entities")),"review","ok"),"ok")</f>
        <v>ok</v>
      </c>
    </row>
    <row r="2008" spans="5:25" x14ac:dyDescent="0.25">
      <c r="E2008" t="s">
        <v>256</v>
      </c>
      <c r="F2008">
        <v>0</v>
      </c>
      <c r="G2008">
        <v>0</v>
      </c>
      <c r="H2008" t="s">
        <v>8</v>
      </c>
      <c r="I2008" s="74" t="str">
        <f ca="1">IF(Table7[[#This Row],[Type]]="KILL",IF(_xlfn.NUMBERVALUE(RIGHT(Table7[[#This Row],[Min]],LEN(Table7[[#This Row],[Min]])-FIND("-",Table7[[#This Row],[Min]])))&gt;INDIRECT(ADDRESS(11+MATCH(LEFT(Table7[[#This Row],[Min]],FIND("-",Table7[[#This Row],[Min]])-1),Table1[Content Sku],0),16,1,1,"Entities")),"review","ok"),"ok")</f>
        <v>ok</v>
      </c>
      <c r="U2008" t="s">
        <v>37</v>
      </c>
      <c r="V2008">
        <v>0</v>
      </c>
      <c r="W2008">
        <v>0</v>
      </c>
      <c r="X2008" t="s">
        <v>8</v>
      </c>
      <c r="Y2008" s="74" t="str">
        <f ca="1">IF(Table15[[#This Row],[Type]]="KILL",IF(_xlfn.NUMBERVALUE(RIGHT(Table15[[#This Row],[Min]],LEN(Table15[[#This Row],[Min]])-FIND("-",Table15[[#This Row],[Min]])))&gt;INDIRECT(ADDRESS(11+MATCH(LEFT(Table15[[#This Row],[Min]],FIND("-",Table15[[#This Row],[Min]])-1),Table1[Content Sku],0),16,1,1,"Entities")),"review","ok"),"ok")</f>
        <v>ok</v>
      </c>
    </row>
    <row r="2009" spans="5:25" x14ac:dyDescent="0.25">
      <c r="E2009" t="s">
        <v>2726</v>
      </c>
      <c r="F2009">
        <v>0</v>
      </c>
      <c r="G2009">
        <v>0</v>
      </c>
      <c r="H2009" t="s">
        <v>8</v>
      </c>
      <c r="I2009" s="74" t="str">
        <f ca="1">IF(Table7[[#This Row],[Type]]="KILL",IF(_xlfn.NUMBERVALUE(RIGHT(Table7[[#This Row],[Min]],LEN(Table7[[#This Row],[Min]])-FIND("-",Table7[[#This Row],[Min]])))&gt;INDIRECT(ADDRESS(11+MATCH(LEFT(Table7[[#This Row],[Min]],FIND("-",Table7[[#This Row],[Min]])-1),Table1[Content Sku],0),16,1,1,"Entities")),"review","ok"),"ok")</f>
        <v>ok</v>
      </c>
      <c r="U2009" t="s">
        <v>313</v>
      </c>
      <c r="V2009">
        <v>0</v>
      </c>
      <c r="W2009">
        <v>0</v>
      </c>
      <c r="X2009" t="s">
        <v>8</v>
      </c>
      <c r="Y2009" s="74" t="str">
        <f ca="1">IF(Table15[[#This Row],[Type]]="KILL",IF(_xlfn.NUMBERVALUE(RIGHT(Table15[[#This Row],[Min]],LEN(Table15[[#This Row],[Min]])-FIND("-",Table15[[#This Row],[Min]])))&gt;INDIRECT(ADDRESS(11+MATCH(LEFT(Table15[[#This Row],[Min]],FIND("-",Table15[[#This Row],[Min]])-1),Table1[Content Sku],0),16,1,1,"Entities")),"review","ok"),"ok")</f>
        <v>ok</v>
      </c>
    </row>
    <row r="2010" spans="5:25" x14ac:dyDescent="0.25">
      <c r="E2010" t="s">
        <v>403</v>
      </c>
      <c r="F2010">
        <v>0</v>
      </c>
      <c r="G2010">
        <v>0</v>
      </c>
      <c r="H2010" t="s">
        <v>8</v>
      </c>
      <c r="I2010" s="74" t="str">
        <f ca="1">IF(Table7[[#This Row],[Type]]="KILL",IF(_xlfn.NUMBERVALUE(RIGHT(Table7[[#This Row],[Min]],LEN(Table7[[#This Row],[Min]])-FIND("-",Table7[[#This Row],[Min]])))&gt;INDIRECT(ADDRESS(11+MATCH(LEFT(Table7[[#This Row],[Min]],FIND("-",Table7[[#This Row],[Min]])-1),Table1[Content Sku],0),16,1,1,"Entities")),"review","ok"),"ok")</f>
        <v>ok</v>
      </c>
      <c r="U2010" t="s">
        <v>2717</v>
      </c>
      <c r="V2010">
        <v>45000</v>
      </c>
      <c r="W2010">
        <v>0</v>
      </c>
      <c r="X2010" t="s">
        <v>205</v>
      </c>
      <c r="Y2010" s="74" t="str">
        <f ca="1">IF(Table15[[#This Row],[Type]]="KILL",IF(_xlfn.NUMBERVALUE(RIGHT(Table15[[#This Row],[Min]],LEN(Table15[[#This Row],[Min]])-FIND("-",Table15[[#This Row],[Min]])))&gt;INDIRECT(ADDRESS(11+MATCH(LEFT(Table15[[#This Row],[Min]],FIND("-",Table15[[#This Row],[Min]])-1),Table1[Content Sku],0),16,1,1,"Entities")),"review","ok"),"ok")</f>
        <v>ok</v>
      </c>
    </row>
    <row r="2011" spans="5:25" x14ac:dyDescent="0.25">
      <c r="E2011" t="s">
        <v>286</v>
      </c>
      <c r="F2011">
        <v>0</v>
      </c>
      <c r="G2011">
        <v>0</v>
      </c>
      <c r="H2011" t="s">
        <v>8</v>
      </c>
      <c r="I2011" s="74" t="str">
        <f ca="1">IF(Table7[[#This Row],[Type]]="KILL",IF(_xlfn.NUMBERVALUE(RIGHT(Table7[[#This Row],[Min]],LEN(Table7[[#This Row],[Min]])-FIND("-",Table7[[#This Row],[Min]])))&gt;INDIRECT(ADDRESS(11+MATCH(LEFT(Table7[[#This Row],[Min]],FIND("-",Table7[[#This Row],[Min]])-1),Table1[Content Sku],0),16,1,1,"Entities")),"review","ok"),"ok")</f>
        <v>ok</v>
      </c>
      <c r="U2011" t="s">
        <v>396</v>
      </c>
      <c r="V2011">
        <v>40000</v>
      </c>
      <c r="W2011">
        <v>0</v>
      </c>
      <c r="X2011" t="s">
        <v>205</v>
      </c>
      <c r="Y2011" s="74" t="str">
        <f ca="1">IF(Table15[[#This Row],[Type]]="KILL",IF(_xlfn.NUMBERVALUE(RIGHT(Table15[[#This Row],[Min]],LEN(Table15[[#This Row],[Min]])-FIND("-",Table15[[#This Row],[Min]])))&gt;INDIRECT(ADDRESS(11+MATCH(LEFT(Table15[[#This Row],[Min]],FIND("-",Table15[[#This Row],[Min]])-1),Table1[Content Sku],0),16,1,1,"Entities")),"review","ok"),"ok")</f>
        <v>ok</v>
      </c>
    </row>
    <row r="2012" spans="5:25" x14ac:dyDescent="0.25">
      <c r="E2012" t="s">
        <v>318</v>
      </c>
      <c r="F2012">
        <v>0</v>
      </c>
      <c r="G2012">
        <v>0</v>
      </c>
      <c r="H2012" t="s">
        <v>8</v>
      </c>
      <c r="I2012" s="74" t="str">
        <f ca="1">IF(Table7[[#This Row],[Type]]="KILL",IF(_xlfn.NUMBERVALUE(RIGHT(Table7[[#This Row],[Min]],LEN(Table7[[#This Row],[Min]])-FIND("-",Table7[[#This Row],[Min]])))&gt;INDIRECT(ADDRESS(11+MATCH(LEFT(Table7[[#This Row],[Min]],FIND("-",Table7[[#This Row],[Min]])-1),Table1[Content Sku],0),16,1,1,"Entities")),"review","ok"),"ok")</f>
        <v>ok</v>
      </c>
      <c r="U2012" t="s">
        <v>2720</v>
      </c>
      <c r="V2012">
        <v>0</v>
      </c>
      <c r="W2012">
        <v>0</v>
      </c>
      <c r="X2012" t="s">
        <v>8</v>
      </c>
      <c r="Y2012" s="74" t="str">
        <f ca="1">IF(Table15[[#This Row],[Type]]="KILL",IF(_xlfn.NUMBERVALUE(RIGHT(Table15[[#This Row],[Min]],LEN(Table15[[#This Row],[Min]])-FIND("-",Table15[[#This Row],[Min]])))&gt;INDIRECT(ADDRESS(11+MATCH(LEFT(Table15[[#This Row],[Min]],FIND("-",Table15[[#This Row],[Min]])-1),Table1[Content Sku],0),16,1,1,"Entities")),"review","ok"),"ok")</f>
        <v>ok</v>
      </c>
    </row>
    <row r="2013" spans="5:25" x14ac:dyDescent="0.25">
      <c r="E2013" t="s">
        <v>254</v>
      </c>
      <c r="F2013">
        <v>0</v>
      </c>
      <c r="G2013">
        <v>0</v>
      </c>
      <c r="H2013" t="s">
        <v>8</v>
      </c>
      <c r="I2013" s="74" t="str">
        <f ca="1">IF(Table7[[#This Row],[Type]]="KILL",IF(_xlfn.NUMBERVALUE(RIGHT(Table7[[#This Row],[Min]],LEN(Table7[[#This Row],[Min]])-FIND("-",Table7[[#This Row],[Min]])))&gt;INDIRECT(ADDRESS(11+MATCH(LEFT(Table7[[#This Row],[Min]],FIND("-",Table7[[#This Row],[Min]])-1),Table1[Content Sku],0),16,1,1,"Entities")),"review","ok"),"ok")</f>
        <v>ok</v>
      </c>
      <c r="U2013" t="s">
        <v>2720</v>
      </c>
      <c r="V2013">
        <v>0</v>
      </c>
      <c r="W2013">
        <v>0</v>
      </c>
      <c r="X2013" t="s">
        <v>8</v>
      </c>
      <c r="Y2013" s="74" t="str">
        <f ca="1">IF(Table15[[#This Row],[Type]]="KILL",IF(_xlfn.NUMBERVALUE(RIGHT(Table15[[#This Row],[Min]],LEN(Table15[[#This Row],[Min]])-FIND("-",Table15[[#This Row],[Min]])))&gt;INDIRECT(ADDRESS(11+MATCH(LEFT(Table15[[#This Row],[Min]],FIND("-",Table15[[#This Row],[Min]])-1),Table1[Content Sku],0),16,1,1,"Entities")),"review","ok"),"ok")</f>
        <v>ok</v>
      </c>
    </row>
    <row r="2014" spans="5:25" x14ac:dyDescent="0.25">
      <c r="E2014" t="s">
        <v>313</v>
      </c>
      <c r="F2014">
        <v>0</v>
      </c>
      <c r="G2014">
        <v>0</v>
      </c>
      <c r="H2014" t="s">
        <v>8</v>
      </c>
      <c r="I2014" s="74" t="str">
        <f ca="1">IF(Table7[[#This Row],[Type]]="KILL",IF(_xlfn.NUMBERVALUE(RIGHT(Table7[[#This Row],[Min]],LEN(Table7[[#This Row],[Min]])-FIND("-",Table7[[#This Row],[Min]])))&gt;INDIRECT(ADDRESS(11+MATCH(LEFT(Table7[[#This Row],[Min]],FIND("-",Table7[[#This Row],[Min]])-1),Table1[Content Sku],0),16,1,1,"Entities")),"review","ok"),"ok")</f>
        <v>ok</v>
      </c>
      <c r="U2014" t="s">
        <v>457</v>
      </c>
      <c r="V2014">
        <v>0</v>
      </c>
      <c r="W2014">
        <v>0</v>
      </c>
      <c r="X2014" t="s">
        <v>8</v>
      </c>
      <c r="Y2014" s="74" t="str">
        <f ca="1">IF(Table15[[#This Row],[Type]]="KILL",IF(_xlfn.NUMBERVALUE(RIGHT(Table15[[#This Row],[Min]],LEN(Table15[[#This Row],[Min]])-FIND("-",Table15[[#This Row],[Min]])))&gt;INDIRECT(ADDRESS(11+MATCH(LEFT(Table15[[#This Row],[Min]],FIND("-",Table15[[#This Row],[Min]])-1),Table1[Content Sku],0),16,1,1,"Entities")),"review","ok"),"ok")</f>
        <v>ok</v>
      </c>
    </row>
    <row r="2015" spans="5:25" x14ac:dyDescent="0.25">
      <c r="E2015" t="s">
        <v>254</v>
      </c>
      <c r="F2015">
        <v>2400</v>
      </c>
      <c r="G2015">
        <v>0</v>
      </c>
      <c r="H2015" t="s">
        <v>205</v>
      </c>
      <c r="I2015" s="74" t="str">
        <f ca="1">IF(Table7[[#This Row],[Type]]="KILL",IF(_xlfn.NUMBERVALUE(RIGHT(Table7[[#This Row],[Min]],LEN(Table7[[#This Row],[Min]])-FIND("-",Table7[[#This Row],[Min]])))&gt;INDIRECT(ADDRESS(11+MATCH(LEFT(Table7[[#This Row],[Min]],FIND("-",Table7[[#This Row],[Min]])-1),Table1[Content Sku],0),16,1,1,"Entities")),"review","ok"),"ok")</f>
        <v>ok</v>
      </c>
      <c r="U2015" t="s">
        <v>42</v>
      </c>
      <c r="V2015">
        <v>45000</v>
      </c>
      <c r="W2015">
        <v>0</v>
      </c>
      <c r="X2015" t="s">
        <v>205</v>
      </c>
      <c r="Y2015" s="74" t="str">
        <f ca="1">IF(Table15[[#This Row],[Type]]="KILL",IF(_xlfn.NUMBERVALUE(RIGHT(Table15[[#This Row],[Min]],LEN(Table15[[#This Row],[Min]])-FIND("-",Table15[[#This Row],[Min]])))&gt;INDIRECT(ADDRESS(11+MATCH(LEFT(Table15[[#This Row],[Min]],FIND("-",Table15[[#This Row],[Min]])-1),Table1[Content Sku],0),16,1,1,"Entities")),"review","ok"),"ok")</f>
        <v>ok</v>
      </c>
    </row>
    <row r="2016" spans="5:25" x14ac:dyDescent="0.25">
      <c r="E2016" t="s">
        <v>422</v>
      </c>
      <c r="F2016">
        <v>0</v>
      </c>
      <c r="G2016">
        <v>0</v>
      </c>
      <c r="H2016" t="s">
        <v>8</v>
      </c>
      <c r="I2016" s="74" t="str">
        <f ca="1">IF(Table7[[#This Row],[Type]]="KILL",IF(_xlfn.NUMBERVALUE(RIGHT(Table7[[#This Row],[Min]],LEN(Table7[[#This Row],[Min]])-FIND("-",Table7[[#This Row],[Min]])))&gt;INDIRECT(ADDRESS(11+MATCH(LEFT(Table7[[#This Row],[Min]],FIND("-",Table7[[#This Row],[Min]])-1),Table1[Content Sku],0),16,1,1,"Entities")),"review","ok"),"ok")</f>
        <v>ok</v>
      </c>
      <c r="U2016" t="s">
        <v>37</v>
      </c>
      <c r="V2016">
        <v>0</v>
      </c>
      <c r="W2016">
        <v>0</v>
      </c>
      <c r="X2016" t="s">
        <v>8</v>
      </c>
      <c r="Y2016" s="74" t="str">
        <f ca="1">IF(Table15[[#This Row],[Type]]="KILL",IF(_xlfn.NUMBERVALUE(RIGHT(Table15[[#This Row],[Min]],LEN(Table15[[#This Row],[Min]])-FIND("-",Table15[[#This Row],[Min]])))&gt;INDIRECT(ADDRESS(11+MATCH(LEFT(Table15[[#This Row],[Min]],FIND("-",Table15[[#This Row],[Min]])-1),Table1[Content Sku],0),16,1,1,"Entities")),"review","ok"),"ok")</f>
        <v>ok</v>
      </c>
    </row>
    <row r="2017" spans="5:25" x14ac:dyDescent="0.25">
      <c r="E2017" t="s">
        <v>2741</v>
      </c>
      <c r="F2017">
        <v>0</v>
      </c>
      <c r="G2017">
        <v>0</v>
      </c>
      <c r="H2017" t="s">
        <v>8</v>
      </c>
      <c r="I2017" s="74" t="str">
        <f ca="1">IF(Table7[[#This Row],[Type]]="KILL",IF(_xlfn.NUMBERVALUE(RIGHT(Table7[[#This Row],[Min]],LEN(Table7[[#This Row],[Min]])-FIND("-",Table7[[#This Row],[Min]])))&gt;INDIRECT(ADDRESS(11+MATCH(LEFT(Table7[[#This Row],[Min]],FIND("-",Table7[[#This Row],[Min]])-1),Table1[Content Sku],0),16,1,1,"Entities")),"review","ok"),"ok")</f>
        <v>ok</v>
      </c>
      <c r="U2017" t="s">
        <v>21</v>
      </c>
      <c r="V2017">
        <v>22000</v>
      </c>
      <c r="W2017">
        <v>0</v>
      </c>
      <c r="X2017" t="s">
        <v>205</v>
      </c>
      <c r="Y2017" s="74" t="str">
        <f ca="1">IF(Table15[[#This Row],[Type]]="KILL",IF(_xlfn.NUMBERVALUE(RIGHT(Table15[[#This Row],[Min]],LEN(Table15[[#This Row],[Min]])-FIND("-",Table15[[#This Row],[Min]])))&gt;INDIRECT(ADDRESS(11+MATCH(LEFT(Table15[[#This Row],[Min]],FIND("-",Table15[[#This Row],[Min]])-1),Table1[Content Sku],0),16,1,1,"Entities")),"review","ok"),"ok")</f>
        <v>ok</v>
      </c>
    </row>
    <row r="2018" spans="5:25" x14ac:dyDescent="0.25">
      <c r="E2018" t="s">
        <v>46</v>
      </c>
      <c r="F2018">
        <v>0</v>
      </c>
      <c r="G2018">
        <v>0</v>
      </c>
      <c r="H2018" t="s">
        <v>8</v>
      </c>
      <c r="I2018" s="74" t="str">
        <f ca="1">IF(Table7[[#This Row],[Type]]="KILL",IF(_xlfn.NUMBERVALUE(RIGHT(Table7[[#This Row],[Min]],LEN(Table7[[#This Row],[Min]])-FIND("-",Table7[[#This Row],[Min]])))&gt;INDIRECT(ADDRESS(11+MATCH(LEFT(Table7[[#This Row],[Min]],FIND("-",Table7[[#This Row],[Min]])-1),Table1[Content Sku],0),16,1,1,"Entities")),"review","ok"),"ok")</f>
        <v>ok</v>
      </c>
      <c r="U2018" t="s">
        <v>443</v>
      </c>
      <c r="V2018">
        <v>40000</v>
      </c>
      <c r="W2018">
        <v>0</v>
      </c>
      <c r="X2018" t="s">
        <v>205</v>
      </c>
      <c r="Y2018" s="74" t="str">
        <f ca="1">IF(Table15[[#This Row],[Type]]="KILL",IF(_xlfn.NUMBERVALUE(RIGHT(Table15[[#This Row],[Min]],LEN(Table15[[#This Row],[Min]])-FIND("-",Table15[[#This Row],[Min]])))&gt;INDIRECT(ADDRESS(11+MATCH(LEFT(Table15[[#This Row],[Min]],FIND("-",Table15[[#This Row],[Min]])-1),Table1[Content Sku],0),16,1,1,"Entities")),"review","ok"),"ok")</f>
        <v>ok</v>
      </c>
    </row>
    <row r="2019" spans="5:25" x14ac:dyDescent="0.25">
      <c r="E2019" t="s">
        <v>8106</v>
      </c>
      <c r="F2019">
        <v>0</v>
      </c>
      <c r="G2019">
        <v>0</v>
      </c>
      <c r="H2019" t="s">
        <v>8</v>
      </c>
      <c r="I2019" s="74" t="str">
        <f ca="1">IF(Table7[[#This Row],[Type]]="KILL",IF(_xlfn.NUMBERVALUE(RIGHT(Table7[[#This Row],[Min]],LEN(Table7[[#This Row],[Min]])-FIND("-",Table7[[#This Row],[Min]])))&gt;INDIRECT(ADDRESS(11+MATCH(LEFT(Table7[[#This Row],[Min]],FIND("-",Table7[[#This Row],[Min]])-1),Table1[Content Sku],0),16,1,1,"Entities")),"review","ok"),"ok")</f>
        <v>ok</v>
      </c>
      <c r="U2019" t="s">
        <v>457</v>
      </c>
      <c r="V2019">
        <v>0</v>
      </c>
      <c r="W2019">
        <v>35000</v>
      </c>
      <c r="X2019" t="s">
        <v>205</v>
      </c>
      <c r="Y2019" s="74" t="str">
        <f ca="1">IF(Table15[[#This Row],[Type]]="KILL",IF(_xlfn.NUMBERVALUE(RIGHT(Table15[[#This Row],[Min]],LEN(Table15[[#This Row],[Min]])-FIND("-",Table15[[#This Row],[Min]])))&gt;INDIRECT(ADDRESS(11+MATCH(LEFT(Table15[[#This Row],[Min]],FIND("-",Table15[[#This Row],[Min]])-1),Table1[Content Sku],0),16,1,1,"Entities")),"review","ok"),"ok")</f>
        <v>ok</v>
      </c>
    </row>
    <row r="2020" spans="5:25" x14ac:dyDescent="0.25">
      <c r="E2020" t="s">
        <v>313</v>
      </c>
      <c r="F2020">
        <v>0</v>
      </c>
      <c r="G2020">
        <v>0</v>
      </c>
      <c r="H2020" t="s">
        <v>8</v>
      </c>
      <c r="I2020" s="74" t="str">
        <f ca="1">IF(Table7[[#This Row],[Type]]="KILL",IF(_xlfn.NUMBERVALUE(RIGHT(Table7[[#This Row],[Min]],LEN(Table7[[#This Row],[Min]])-FIND("-",Table7[[#This Row],[Min]])))&gt;INDIRECT(ADDRESS(11+MATCH(LEFT(Table7[[#This Row],[Min]],FIND("-",Table7[[#This Row],[Min]])-1),Table1[Content Sku],0),16,1,1,"Entities")),"review","ok"),"ok")</f>
        <v>ok</v>
      </c>
      <c r="U2020" t="s">
        <v>37</v>
      </c>
      <c r="V2020">
        <v>0</v>
      </c>
      <c r="W2020">
        <v>0</v>
      </c>
      <c r="X2020" t="s">
        <v>8</v>
      </c>
      <c r="Y2020" s="74" t="str">
        <f ca="1">IF(Table15[[#This Row],[Type]]="KILL",IF(_xlfn.NUMBERVALUE(RIGHT(Table15[[#This Row],[Min]],LEN(Table15[[#This Row],[Min]])-FIND("-",Table15[[#This Row],[Min]])))&gt;INDIRECT(ADDRESS(11+MATCH(LEFT(Table15[[#This Row],[Min]],FIND("-",Table15[[#This Row],[Min]])-1),Table1[Content Sku],0),16,1,1,"Entities")),"review","ok"),"ok")</f>
        <v>ok</v>
      </c>
    </row>
    <row r="2021" spans="5:25" x14ac:dyDescent="0.25">
      <c r="E2021" t="s">
        <v>313</v>
      </c>
      <c r="F2021">
        <v>0</v>
      </c>
      <c r="G2021">
        <v>0</v>
      </c>
      <c r="H2021" t="s">
        <v>8</v>
      </c>
      <c r="I2021" s="74" t="str">
        <f ca="1">IF(Table7[[#This Row],[Type]]="KILL",IF(_xlfn.NUMBERVALUE(RIGHT(Table7[[#This Row],[Min]],LEN(Table7[[#This Row],[Min]])-FIND("-",Table7[[#This Row],[Min]])))&gt;INDIRECT(ADDRESS(11+MATCH(LEFT(Table7[[#This Row],[Min]],FIND("-",Table7[[#This Row],[Min]])-1),Table1[Content Sku],0),16,1,1,"Entities")),"review","ok"),"ok")</f>
        <v>ok</v>
      </c>
      <c r="U2021" t="s">
        <v>2720</v>
      </c>
      <c r="V2021">
        <v>0</v>
      </c>
      <c r="W2021">
        <v>0</v>
      </c>
      <c r="X2021" t="s">
        <v>8</v>
      </c>
      <c r="Y2021" s="74" t="str">
        <f ca="1">IF(Table15[[#This Row],[Type]]="KILL",IF(_xlfn.NUMBERVALUE(RIGHT(Table15[[#This Row],[Min]],LEN(Table15[[#This Row],[Min]])-FIND("-",Table15[[#This Row],[Min]])))&gt;INDIRECT(ADDRESS(11+MATCH(LEFT(Table15[[#This Row],[Min]],FIND("-",Table15[[#This Row],[Min]])-1),Table1[Content Sku],0),16,1,1,"Entities")),"review","ok"),"ok")</f>
        <v>ok</v>
      </c>
    </row>
    <row r="2022" spans="5:25" x14ac:dyDescent="0.25">
      <c r="E2022" t="s">
        <v>398</v>
      </c>
      <c r="F2022">
        <v>0</v>
      </c>
      <c r="G2022">
        <v>0</v>
      </c>
      <c r="H2022" t="s">
        <v>8</v>
      </c>
      <c r="I2022" s="74" t="str">
        <f ca="1">IF(Table7[[#This Row],[Type]]="KILL",IF(_xlfn.NUMBERVALUE(RIGHT(Table7[[#This Row],[Min]],LEN(Table7[[#This Row],[Min]])-FIND("-",Table7[[#This Row],[Min]])))&gt;INDIRECT(ADDRESS(11+MATCH(LEFT(Table7[[#This Row],[Min]],FIND("-",Table7[[#This Row],[Min]])-1),Table1[Content Sku],0),16,1,1,"Entities")),"review","ok"),"ok")</f>
        <v>ok</v>
      </c>
      <c r="U2022" t="s">
        <v>123</v>
      </c>
      <c r="V2022">
        <v>0</v>
      </c>
      <c r="W2022">
        <v>0</v>
      </c>
      <c r="X2022" t="s">
        <v>8</v>
      </c>
      <c r="Y2022" s="74" t="str">
        <f ca="1">IF(Table15[[#This Row],[Type]]="KILL",IF(_xlfn.NUMBERVALUE(RIGHT(Table15[[#This Row],[Min]],LEN(Table15[[#This Row],[Min]])-FIND("-",Table15[[#This Row],[Min]])))&gt;INDIRECT(ADDRESS(11+MATCH(LEFT(Table15[[#This Row],[Min]],FIND("-",Table15[[#This Row],[Min]])-1),Table1[Content Sku],0),16,1,1,"Entities")),"review","ok"),"ok")</f>
        <v>ok</v>
      </c>
    </row>
    <row r="2023" spans="5:25" x14ac:dyDescent="0.25">
      <c r="E2023" t="s">
        <v>545</v>
      </c>
      <c r="F2023">
        <v>0</v>
      </c>
      <c r="G2023">
        <v>0</v>
      </c>
      <c r="H2023" t="s">
        <v>8</v>
      </c>
      <c r="I2023" s="74" t="str">
        <f ca="1">IF(Table7[[#This Row],[Type]]="KILL",IF(_xlfn.NUMBERVALUE(RIGHT(Table7[[#This Row],[Min]],LEN(Table7[[#This Row],[Min]])-FIND("-",Table7[[#This Row],[Min]])))&gt;INDIRECT(ADDRESS(11+MATCH(LEFT(Table7[[#This Row],[Min]],FIND("-",Table7[[#This Row],[Min]])-1),Table1[Content Sku],0),16,1,1,"Entities")),"review","ok"),"ok")</f>
        <v>ok</v>
      </c>
      <c r="U2023" t="s">
        <v>123</v>
      </c>
      <c r="V2023">
        <v>0</v>
      </c>
      <c r="W2023">
        <v>0</v>
      </c>
      <c r="X2023" t="s">
        <v>8</v>
      </c>
      <c r="Y2023" s="74" t="str">
        <f ca="1">IF(Table15[[#This Row],[Type]]="KILL",IF(_xlfn.NUMBERVALUE(RIGHT(Table15[[#This Row],[Min]],LEN(Table15[[#This Row],[Min]])-FIND("-",Table15[[#This Row],[Min]])))&gt;INDIRECT(ADDRESS(11+MATCH(LEFT(Table15[[#This Row],[Min]],FIND("-",Table15[[#This Row],[Min]])-1),Table1[Content Sku],0),16,1,1,"Entities")),"review","ok"),"ok")</f>
        <v>ok</v>
      </c>
    </row>
    <row r="2024" spans="5:25" x14ac:dyDescent="0.25">
      <c r="E2024" t="s">
        <v>8155</v>
      </c>
      <c r="F2024">
        <v>0</v>
      </c>
      <c r="G2024">
        <v>0</v>
      </c>
      <c r="H2024" t="s">
        <v>8</v>
      </c>
      <c r="I2024" s="74" t="str">
        <f ca="1">IF(Table7[[#This Row],[Type]]="KILL",IF(_xlfn.NUMBERVALUE(RIGHT(Table7[[#This Row],[Min]],LEN(Table7[[#This Row],[Min]])-FIND("-",Table7[[#This Row],[Min]])))&gt;INDIRECT(ADDRESS(11+MATCH(LEFT(Table7[[#This Row],[Min]],FIND("-",Table7[[#This Row],[Min]])-1),Table1[Content Sku],0),16,1,1,"Entities")),"review","ok"),"ok")</f>
        <v>ok</v>
      </c>
      <c r="U2024" t="s">
        <v>2720</v>
      </c>
      <c r="V2024">
        <v>0</v>
      </c>
      <c r="W2024">
        <v>0</v>
      </c>
      <c r="X2024" t="s">
        <v>8</v>
      </c>
      <c r="Y2024" s="74" t="str">
        <f ca="1">IF(Table15[[#This Row],[Type]]="KILL",IF(_xlfn.NUMBERVALUE(RIGHT(Table15[[#This Row],[Min]],LEN(Table15[[#This Row],[Min]])-FIND("-",Table15[[#This Row],[Min]])))&gt;INDIRECT(ADDRESS(11+MATCH(LEFT(Table15[[#This Row],[Min]],FIND("-",Table15[[#This Row],[Min]])-1),Table1[Content Sku],0),16,1,1,"Entities")),"review","ok"),"ok")</f>
        <v>ok</v>
      </c>
    </row>
    <row r="2025" spans="5:25" x14ac:dyDescent="0.25">
      <c r="E2025" t="s">
        <v>41</v>
      </c>
      <c r="F2025">
        <v>9000</v>
      </c>
      <c r="G2025">
        <v>0</v>
      </c>
      <c r="H2025" t="s">
        <v>205</v>
      </c>
      <c r="I2025" s="74" t="str">
        <f ca="1">IF(Table7[[#This Row],[Type]]="KILL",IF(_xlfn.NUMBERVALUE(RIGHT(Table7[[#This Row],[Min]],LEN(Table7[[#This Row],[Min]])-FIND("-",Table7[[#This Row],[Min]])))&gt;INDIRECT(ADDRESS(11+MATCH(LEFT(Table7[[#This Row],[Min]],FIND("-",Table7[[#This Row],[Min]])-1),Table1[Content Sku],0),16,1,1,"Entities")),"review","ok"),"ok")</f>
        <v>ok</v>
      </c>
      <c r="U2025" t="s">
        <v>313</v>
      </c>
      <c r="V2025">
        <v>0</v>
      </c>
      <c r="W2025">
        <v>0</v>
      </c>
      <c r="X2025" t="s">
        <v>8</v>
      </c>
      <c r="Y2025" s="74" t="str">
        <f ca="1">IF(Table15[[#This Row],[Type]]="KILL",IF(_xlfn.NUMBERVALUE(RIGHT(Table15[[#This Row],[Min]],LEN(Table15[[#This Row],[Min]])-FIND("-",Table15[[#This Row],[Min]])))&gt;INDIRECT(ADDRESS(11+MATCH(LEFT(Table15[[#This Row],[Min]],FIND("-",Table15[[#This Row],[Min]])-1),Table1[Content Sku],0),16,1,1,"Entities")),"review","ok"),"ok")</f>
        <v>ok</v>
      </c>
    </row>
    <row r="2026" spans="5:25" x14ac:dyDescent="0.25">
      <c r="E2026" t="s">
        <v>278</v>
      </c>
      <c r="F2026">
        <v>2000</v>
      </c>
      <c r="G2026">
        <v>6000</v>
      </c>
      <c r="H2026" t="s">
        <v>205</v>
      </c>
      <c r="I2026" s="74" t="str">
        <f ca="1">IF(Table7[[#This Row],[Type]]="KILL",IF(_xlfn.NUMBERVALUE(RIGHT(Table7[[#This Row],[Min]],LEN(Table7[[#This Row],[Min]])-FIND("-",Table7[[#This Row],[Min]])))&gt;INDIRECT(ADDRESS(11+MATCH(LEFT(Table7[[#This Row],[Min]],FIND("-",Table7[[#This Row],[Min]])-1),Table1[Content Sku],0),16,1,1,"Entities")),"review","ok"),"ok")</f>
        <v>ok</v>
      </c>
      <c r="U2026" t="s">
        <v>37</v>
      </c>
      <c r="V2026">
        <v>0</v>
      </c>
      <c r="W2026">
        <v>0</v>
      </c>
      <c r="X2026" t="s">
        <v>8</v>
      </c>
      <c r="Y2026" s="74" t="str">
        <f ca="1">IF(Table15[[#This Row],[Type]]="KILL",IF(_xlfn.NUMBERVALUE(RIGHT(Table15[[#This Row],[Min]],LEN(Table15[[#This Row],[Min]])-FIND("-",Table15[[#This Row],[Min]])))&gt;INDIRECT(ADDRESS(11+MATCH(LEFT(Table15[[#This Row],[Min]],FIND("-",Table15[[#This Row],[Min]])-1),Table1[Content Sku],0),16,1,1,"Entities")),"review","ok"),"ok")</f>
        <v>ok</v>
      </c>
    </row>
    <row r="2027" spans="5:25" x14ac:dyDescent="0.25">
      <c r="E2027" t="s">
        <v>92</v>
      </c>
      <c r="F2027">
        <v>0</v>
      </c>
      <c r="G2027">
        <v>7000</v>
      </c>
      <c r="H2027" t="s">
        <v>205</v>
      </c>
      <c r="I2027" s="74" t="str">
        <f ca="1">IF(Table7[[#This Row],[Type]]="KILL",IF(_xlfn.NUMBERVALUE(RIGHT(Table7[[#This Row],[Min]],LEN(Table7[[#This Row],[Min]])-FIND("-",Table7[[#This Row],[Min]])))&gt;INDIRECT(ADDRESS(11+MATCH(LEFT(Table7[[#This Row],[Min]],FIND("-",Table7[[#This Row],[Min]])-1),Table1[Content Sku],0),16,1,1,"Entities")),"review","ok"),"ok")</f>
        <v>ok</v>
      </c>
      <c r="U2027" t="s">
        <v>457</v>
      </c>
      <c r="V2027">
        <v>0</v>
      </c>
      <c r="W2027">
        <v>32000</v>
      </c>
      <c r="X2027" t="s">
        <v>205</v>
      </c>
      <c r="Y2027" s="74" t="str">
        <f ca="1">IF(Table15[[#This Row],[Type]]="KILL",IF(_xlfn.NUMBERVALUE(RIGHT(Table15[[#This Row],[Min]],LEN(Table15[[#This Row],[Min]])-FIND("-",Table15[[#This Row],[Min]])))&gt;INDIRECT(ADDRESS(11+MATCH(LEFT(Table15[[#This Row],[Min]],FIND("-",Table15[[#This Row],[Min]])-1),Table1[Content Sku],0),16,1,1,"Entities")),"review","ok"),"ok")</f>
        <v>ok</v>
      </c>
    </row>
    <row r="2028" spans="5:25" x14ac:dyDescent="0.25">
      <c r="E2028" t="s">
        <v>253</v>
      </c>
      <c r="F2028">
        <v>0</v>
      </c>
      <c r="G2028">
        <v>30000</v>
      </c>
      <c r="H2028" t="s">
        <v>205</v>
      </c>
      <c r="I2028" s="74" t="str">
        <f ca="1">IF(Table7[[#This Row],[Type]]="KILL",IF(_xlfn.NUMBERVALUE(RIGHT(Table7[[#This Row],[Min]],LEN(Table7[[#This Row],[Min]])-FIND("-",Table7[[#This Row],[Min]])))&gt;INDIRECT(ADDRESS(11+MATCH(LEFT(Table7[[#This Row],[Min]],FIND("-",Table7[[#This Row],[Min]])-1),Table1[Content Sku],0),16,1,1,"Entities")),"review","ok"),"ok")</f>
        <v>ok</v>
      </c>
      <c r="U2028" t="s">
        <v>457</v>
      </c>
      <c r="V2028">
        <v>0</v>
      </c>
      <c r="W2028">
        <v>0</v>
      </c>
      <c r="X2028" t="s">
        <v>8</v>
      </c>
      <c r="Y2028" s="74" t="str">
        <f ca="1">IF(Table15[[#This Row],[Type]]="KILL",IF(_xlfn.NUMBERVALUE(RIGHT(Table15[[#This Row],[Min]],LEN(Table15[[#This Row],[Min]])-FIND("-",Table15[[#This Row],[Min]])))&gt;INDIRECT(ADDRESS(11+MATCH(LEFT(Table15[[#This Row],[Min]],FIND("-",Table15[[#This Row],[Min]])-1),Table1[Content Sku],0),16,1,1,"Entities")),"review","ok"),"ok")</f>
        <v>ok</v>
      </c>
    </row>
    <row r="2029" spans="5:25" x14ac:dyDescent="0.25">
      <c r="E2029" t="s">
        <v>313</v>
      </c>
      <c r="F2029">
        <v>5000</v>
      </c>
      <c r="G2029">
        <v>0</v>
      </c>
      <c r="H2029" t="s">
        <v>205</v>
      </c>
      <c r="I2029" s="74" t="str">
        <f ca="1">IF(Table7[[#This Row],[Type]]="KILL",IF(_xlfn.NUMBERVALUE(RIGHT(Table7[[#This Row],[Min]],LEN(Table7[[#This Row],[Min]])-FIND("-",Table7[[#This Row],[Min]])))&gt;INDIRECT(ADDRESS(11+MATCH(LEFT(Table7[[#This Row],[Min]],FIND("-",Table7[[#This Row],[Min]])-1),Table1[Content Sku],0),16,1,1,"Entities")),"review","ok"),"ok")</f>
        <v>ok</v>
      </c>
      <c r="U2029" t="s">
        <v>548</v>
      </c>
      <c r="V2029">
        <v>0</v>
      </c>
      <c r="W2029">
        <v>0</v>
      </c>
      <c r="X2029" t="s">
        <v>8</v>
      </c>
      <c r="Y2029" s="74" t="str">
        <f ca="1">IF(Table15[[#This Row],[Type]]="KILL",IF(_xlfn.NUMBERVALUE(RIGHT(Table15[[#This Row],[Min]],LEN(Table15[[#This Row],[Min]])-FIND("-",Table15[[#This Row],[Min]])))&gt;INDIRECT(ADDRESS(11+MATCH(LEFT(Table15[[#This Row],[Min]],FIND("-",Table15[[#This Row],[Min]])-1),Table1[Content Sku],0),16,1,1,"Entities")),"review","ok"),"ok")</f>
        <v>ok</v>
      </c>
    </row>
    <row r="2030" spans="5:25" x14ac:dyDescent="0.25">
      <c r="E2030" t="s">
        <v>422</v>
      </c>
      <c r="F2030">
        <v>0</v>
      </c>
      <c r="G2030">
        <v>17000</v>
      </c>
      <c r="H2030" t="s">
        <v>205</v>
      </c>
      <c r="I2030" s="74" t="str">
        <f ca="1">IF(Table7[[#This Row],[Type]]="KILL",IF(_xlfn.NUMBERVALUE(RIGHT(Table7[[#This Row],[Min]],LEN(Table7[[#This Row],[Min]])-FIND("-",Table7[[#This Row],[Min]])))&gt;INDIRECT(ADDRESS(11+MATCH(LEFT(Table7[[#This Row],[Min]],FIND("-",Table7[[#This Row],[Min]])-1),Table1[Content Sku],0),16,1,1,"Entities")),"review","ok"),"ok")</f>
        <v>ok</v>
      </c>
      <c r="U2030" t="s">
        <v>2717</v>
      </c>
      <c r="V2030">
        <v>41000</v>
      </c>
      <c r="W2030">
        <v>0</v>
      </c>
      <c r="X2030" t="s">
        <v>205</v>
      </c>
      <c r="Y2030" s="74" t="str">
        <f ca="1">IF(Table15[[#This Row],[Type]]="KILL",IF(_xlfn.NUMBERVALUE(RIGHT(Table15[[#This Row],[Min]],LEN(Table15[[#This Row],[Min]])-FIND("-",Table15[[#This Row],[Min]])))&gt;INDIRECT(ADDRESS(11+MATCH(LEFT(Table15[[#This Row],[Min]],FIND("-",Table15[[#This Row],[Min]])-1),Table1[Content Sku],0),16,1,1,"Entities")),"review","ok"),"ok")</f>
        <v>ok</v>
      </c>
    </row>
    <row r="2031" spans="5:25" x14ac:dyDescent="0.25">
      <c r="E2031" t="s">
        <v>313</v>
      </c>
      <c r="F2031">
        <v>0</v>
      </c>
      <c r="G2031">
        <v>0</v>
      </c>
      <c r="H2031" t="s">
        <v>8</v>
      </c>
      <c r="I2031" s="74" t="str">
        <f ca="1">IF(Table7[[#This Row],[Type]]="KILL",IF(_xlfn.NUMBERVALUE(RIGHT(Table7[[#This Row],[Min]],LEN(Table7[[#This Row],[Min]])-FIND("-",Table7[[#This Row],[Min]])))&gt;INDIRECT(ADDRESS(11+MATCH(LEFT(Table7[[#This Row],[Min]],FIND("-",Table7[[#This Row],[Min]])-1),Table1[Content Sku],0),16,1,1,"Entities")),"review","ok"),"ok")</f>
        <v>ok</v>
      </c>
      <c r="U2031" t="s">
        <v>457</v>
      </c>
      <c r="V2031">
        <v>0</v>
      </c>
      <c r="W2031">
        <v>0</v>
      </c>
      <c r="X2031" t="s">
        <v>8</v>
      </c>
      <c r="Y2031" s="74" t="str">
        <f ca="1">IF(Table15[[#This Row],[Type]]="KILL",IF(_xlfn.NUMBERVALUE(RIGHT(Table15[[#This Row],[Min]],LEN(Table15[[#This Row],[Min]])-FIND("-",Table15[[#This Row],[Min]])))&gt;INDIRECT(ADDRESS(11+MATCH(LEFT(Table15[[#This Row],[Min]],FIND("-",Table15[[#This Row],[Min]])-1),Table1[Content Sku],0),16,1,1,"Entities")),"review","ok"),"ok")</f>
        <v>ok</v>
      </c>
    </row>
    <row r="2032" spans="5:25" x14ac:dyDescent="0.25">
      <c r="E2032" t="s">
        <v>393</v>
      </c>
      <c r="F2032">
        <v>0</v>
      </c>
      <c r="G2032">
        <v>0</v>
      </c>
      <c r="H2032" t="s">
        <v>8</v>
      </c>
      <c r="I2032" s="74" t="str">
        <f ca="1">IF(Table7[[#This Row],[Type]]="KILL",IF(_xlfn.NUMBERVALUE(RIGHT(Table7[[#This Row],[Min]],LEN(Table7[[#This Row],[Min]])-FIND("-",Table7[[#This Row],[Min]])))&gt;INDIRECT(ADDRESS(11+MATCH(LEFT(Table7[[#This Row],[Min]],FIND("-",Table7[[#This Row],[Min]])-1),Table1[Content Sku],0),16,1,1,"Entities")),"review","ok"),"ok")</f>
        <v>ok</v>
      </c>
      <c r="U2032" t="s">
        <v>396</v>
      </c>
      <c r="V2032">
        <v>30000</v>
      </c>
      <c r="W2032">
        <v>0</v>
      </c>
      <c r="X2032" t="s">
        <v>205</v>
      </c>
      <c r="Y2032" s="74" t="str">
        <f ca="1">IF(Table15[[#This Row],[Type]]="KILL",IF(_xlfn.NUMBERVALUE(RIGHT(Table15[[#This Row],[Min]],LEN(Table15[[#This Row],[Min]])-FIND("-",Table15[[#This Row],[Min]])))&gt;INDIRECT(ADDRESS(11+MATCH(LEFT(Table15[[#This Row],[Min]],FIND("-",Table15[[#This Row],[Min]])-1),Table1[Content Sku],0),16,1,1,"Entities")),"review","ok"),"ok")</f>
        <v>ok</v>
      </c>
    </row>
    <row r="2033" spans="5:25" x14ac:dyDescent="0.25">
      <c r="E2033" t="s">
        <v>2732</v>
      </c>
      <c r="F2033">
        <v>0</v>
      </c>
      <c r="G2033">
        <v>0</v>
      </c>
      <c r="H2033" t="s">
        <v>8</v>
      </c>
      <c r="I2033" s="74" t="str">
        <f ca="1">IF(Table7[[#This Row],[Type]]="KILL",IF(_xlfn.NUMBERVALUE(RIGHT(Table7[[#This Row],[Min]],LEN(Table7[[#This Row],[Min]])-FIND("-",Table7[[#This Row],[Min]])))&gt;INDIRECT(ADDRESS(11+MATCH(LEFT(Table7[[#This Row],[Min]],FIND("-",Table7[[#This Row],[Min]])-1),Table1[Content Sku],0),16,1,1,"Entities")),"review","ok"),"ok")</f>
        <v>ok</v>
      </c>
      <c r="U2033" t="s">
        <v>457</v>
      </c>
      <c r="V2033">
        <v>0</v>
      </c>
      <c r="W2033">
        <v>28000</v>
      </c>
      <c r="X2033" t="s">
        <v>205</v>
      </c>
      <c r="Y2033" s="74" t="str">
        <f ca="1">IF(Table15[[#This Row],[Type]]="KILL",IF(_xlfn.NUMBERVALUE(RIGHT(Table15[[#This Row],[Min]],LEN(Table15[[#This Row],[Min]])-FIND("-",Table15[[#This Row],[Min]])))&gt;INDIRECT(ADDRESS(11+MATCH(LEFT(Table15[[#This Row],[Min]],FIND("-",Table15[[#This Row],[Min]])-1),Table1[Content Sku],0),16,1,1,"Entities")),"review","ok"),"ok")</f>
        <v>ok</v>
      </c>
    </row>
    <row r="2034" spans="5:25" x14ac:dyDescent="0.25">
      <c r="E2034" t="s">
        <v>318</v>
      </c>
      <c r="F2034">
        <v>8000</v>
      </c>
      <c r="G2034">
        <v>0</v>
      </c>
      <c r="H2034" t="s">
        <v>205</v>
      </c>
      <c r="I2034" s="74" t="str">
        <f ca="1">IF(Table7[[#This Row],[Type]]="KILL",IF(_xlfn.NUMBERVALUE(RIGHT(Table7[[#This Row],[Min]],LEN(Table7[[#This Row],[Min]])-FIND("-",Table7[[#This Row],[Min]])))&gt;INDIRECT(ADDRESS(11+MATCH(LEFT(Table7[[#This Row],[Min]],FIND("-",Table7[[#This Row],[Min]])-1),Table1[Content Sku],0),16,1,1,"Entities")),"review","ok"),"ok")</f>
        <v>ok</v>
      </c>
      <c r="U2034" t="s">
        <v>313</v>
      </c>
      <c r="V2034">
        <v>0</v>
      </c>
      <c r="W2034">
        <v>0</v>
      </c>
      <c r="X2034" t="s">
        <v>8</v>
      </c>
      <c r="Y2034" s="74" t="str">
        <f ca="1">IF(Table15[[#This Row],[Type]]="KILL",IF(_xlfn.NUMBERVALUE(RIGHT(Table15[[#This Row],[Min]],LEN(Table15[[#This Row],[Min]])-FIND("-",Table15[[#This Row],[Min]])))&gt;INDIRECT(ADDRESS(11+MATCH(LEFT(Table15[[#This Row],[Min]],FIND("-",Table15[[#This Row],[Min]])-1),Table1[Content Sku],0),16,1,1,"Entities")),"review","ok"),"ok")</f>
        <v>ok</v>
      </c>
    </row>
    <row r="2035" spans="5:25" x14ac:dyDescent="0.25">
      <c r="E2035" t="s">
        <v>40</v>
      </c>
      <c r="F2035">
        <v>0</v>
      </c>
      <c r="G2035">
        <v>0</v>
      </c>
      <c r="H2035" t="s">
        <v>8</v>
      </c>
      <c r="I2035" s="74" t="str">
        <f ca="1">IF(Table7[[#This Row],[Type]]="KILL",IF(_xlfn.NUMBERVALUE(RIGHT(Table7[[#This Row],[Min]],LEN(Table7[[#This Row],[Min]])-FIND("-",Table7[[#This Row],[Min]])))&gt;INDIRECT(ADDRESS(11+MATCH(LEFT(Table7[[#This Row],[Min]],FIND("-",Table7[[#This Row],[Min]])-1),Table1[Content Sku],0),16,1,1,"Entities")),"review","ok"),"ok")</f>
        <v>ok</v>
      </c>
      <c r="U2035" t="s">
        <v>457</v>
      </c>
      <c r="V2035">
        <v>0</v>
      </c>
      <c r="W2035">
        <v>0</v>
      </c>
      <c r="X2035" t="s">
        <v>8</v>
      </c>
      <c r="Y2035" s="74" t="str">
        <f ca="1">IF(Table15[[#This Row],[Type]]="KILL",IF(_xlfn.NUMBERVALUE(RIGHT(Table15[[#This Row],[Min]],LEN(Table15[[#This Row],[Min]])-FIND("-",Table15[[#This Row],[Min]])))&gt;INDIRECT(ADDRESS(11+MATCH(LEFT(Table15[[#This Row],[Min]],FIND("-",Table15[[#This Row],[Min]])-1),Table1[Content Sku],0),16,1,1,"Entities")),"review","ok"),"ok")</f>
        <v>ok</v>
      </c>
    </row>
    <row r="2036" spans="5:25" x14ac:dyDescent="0.25">
      <c r="E2036" t="s">
        <v>2734</v>
      </c>
      <c r="F2036">
        <v>0</v>
      </c>
      <c r="G2036">
        <v>0</v>
      </c>
      <c r="H2036" t="s">
        <v>8</v>
      </c>
      <c r="I2036" s="74" t="str">
        <f ca="1">IF(Table7[[#This Row],[Type]]="KILL",IF(_xlfn.NUMBERVALUE(RIGHT(Table7[[#This Row],[Min]],LEN(Table7[[#This Row],[Min]])-FIND("-",Table7[[#This Row],[Min]])))&gt;INDIRECT(ADDRESS(11+MATCH(LEFT(Table7[[#This Row],[Min]],FIND("-",Table7[[#This Row],[Min]])-1),Table1[Content Sku],0),16,1,1,"Entities")),"review","ok"),"ok")</f>
        <v>ok</v>
      </c>
      <c r="U2036" t="s">
        <v>460</v>
      </c>
      <c r="V2036">
        <v>0</v>
      </c>
      <c r="W2036">
        <v>0</v>
      </c>
      <c r="X2036" t="s">
        <v>8</v>
      </c>
      <c r="Y2036" s="74" t="str">
        <f ca="1">IF(Table15[[#This Row],[Type]]="KILL",IF(_xlfn.NUMBERVALUE(RIGHT(Table15[[#This Row],[Min]],LEN(Table15[[#This Row],[Min]])-FIND("-",Table15[[#This Row],[Min]])))&gt;INDIRECT(ADDRESS(11+MATCH(LEFT(Table15[[#This Row],[Min]],FIND("-",Table15[[#This Row],[Min]])-1),Table1[Content Sku],0),16,1,1,"Entities")),"review","ok"),"ok")</f>
        <v>ok</v>
      </c>
    </row>
    <row r="2037" spans="5:25" x14ac:dyDescent="0.25">
      <c r="E2037" t="s">
        <v>4430</v>
      </c>
      <c r="F2037">
        <v>90</v>
      </c>
      <c r="G2037">
        <v>0</v>
      </c>
      <c r="H2037" t="s">
        <v>4431</v>
      </c>
      <c r="I2037" s="74" t="str">
        <f ca="1">IF(Table7[[#This Row],[Type]]="KILL",IF(_xlfn.NUMBERVALUE(RIGHT(Table7[[#This Row],[Min]],LEN(Table7[[#This Row],[Min]])-FIND("-",Table7[[#This Row],[Min]])))&gt;INDIRECT(ADDRESS(11+MATCH(LEFT(Table7[[#This Row],[Min]],FIND("-",Table7[[#This Row],[Min]])-1),Table1[Content Sku],0),16,1,1,"Entities")),"review","ok"),"ok")</f>
        <v>ok</v>
      </c>
      <c r="U2037" t="s">
        <v>137</v>
      </c>
      <c r="V2037">
        <v>0</v>
      </c>
      <c r="W2037">
        <v>0</v>
      </c>
      <c r="X2037" t="s">
        <v>8</v>
      </c>
      <c r="Y2037" s="74" t="str">
        <f ca="1">IF(Table15[[#This Row],[Type]]="KILL",IF(_xlfn.NUMBERVALUE(RIGHT(Table15[[#This Row],[Min]],LEN(Table15[[#This Row],[Min]])-FIND("-",Table15[[#This Row],[Min]])))&gt;INDIRECT(ADDRESS(11+MATCH(LEFT(Table15[[#This Row],[Min]],FIND("-",Table15[[#This Row],[Min]])-1),Table1[Content Sku],0),16,1,1,"Entities")),"review","ok"),"ok")</f>
        <v>ok</v>
      </c>
    </row>
    <row r="2038" spans="5:25" x14ac:dyDescent="0.25">
      <c r="E2038" t="s">
        <v>253</v>
      </c>
      <c r="F2038">
        <v>0</v>
      </c>
      <c r="G2038">
        <v>25000</v>
      </c>
      <c r="H2038" t="s">
        <v>205</v>
      </c>
      <c r="I2038" s="74" t="str">
        <f ca="1">IF(Table7[[#This Row],[Type]]="KILL",IF(_xlfn.NUMBERVALUE(RIGHT(Table7[[#This Row],[Min]],LEN(Table7[[#This Row],[Min]])-FIND("-",Table7[[#This Row],[Min]])))&gt;INDIRECT(ADDRESS(11+MATCH(LEFT(Table7[[#This Row],[Min]],FIND("-",Table7[[#This Row],[Min]])-1),Table1[Content Sku],0),16,1,1,"Entities")),"review","ok"),"ok")</f>
        <v>ok</v>
      </c>
      <c r="U2038" t="s">
        <v>2720</v>
      </c>
      <c r="V2038">
        <v>0</v>
      </c>
      <c r="W2038">
        <v>320</v>
      </c>
      <c r="X2038" t="s">
        <v>4431</v>
      </c>
      <c r="Y2038" s="74" t="str">
        <f ca="1">IF(Table15[[#This Row],[Type]]="KILL",IF(_xlfn.NUMBERVALUE(RIGHT(Table15[[#This Row],[Min]],LEN(Table15[[#This Row],[Min]])-FIND("-",Table15[[#This Row],[Min]])))&gt;INDIRECT(ADDRESS(11+MATCH(LEFT(Table15[[#This Row],[Min]],FIND("-",Table15[[#This Row],[Min]])-1),Table1[Content Sku],0),16,1,1,"Entities")),"review","ok"),"ok")</f>
        <v>ok</v>
      </c>
    </row>
    <row r="2039" spans="5:25" x14ac:dyDescent="0.25">
      <c r="E2039" t="s">
        <v>8133</v>
      </c>
      <c r="F2039">
        <v>0</v>
      </c>
      <c r="G2039">
        <v>0</v>
      </c>
      <c r="H2039" t="s">
        <v>8</v>
      </c>
      <c r="I2039" s="74" t="str">
        <f ca="1">IF(Table7[[#This Row],[Type]]="KILL",IF(_xlfn.NUMBERVALUE(RIGHT(Table7[[#This Row],[Min]],LEN(Table7[[#This Row],[Min]])-FIND("-",Table7[[#This Row],[Min]])))&gt;INDIRECT(ADDRESS(11+MATCH(LEFT(Table7[[#This Row],[Min]],FIND("-",Table7[[#This Row],[Min]])-1),Table1[Content Sku],0),16,1,1,"Entities")),"review","ok"),"ok")</f>
        <v>ok</v>
      </c>
      <c r="U2039" t="s">
        <v>289</v>
      </c>
      <c r="V2039">
        <v>0</v>
      </c>
      <c r="W2039">
        <v>0</v>
      </c>
      <c r="X2039" t="s">
        <v>8</v>
      </c>
      <c r="Y2039" s="74" t="str">
        <f ca="1">IF(Table15[[#This Row],[Type]]="KILL",IF(_xlfn.NUMBERVALUE(RIGHT(Table15[[#This Row],[Min]],LEN(Table15[[#This Row],[Min]])-FIND("-",Table15[[#This Row],[Min]])))&gt;INDIRECT(ADDRESS(11+MATCH(LEFT(Table15[[#This Row],[Min]],FIND("-",Table15[[#This Row],[Min]])-1),Table1[Content Sku],0),16,1,1,"Entities")),"review","ok"),"ok")</f>
        <v>ok</v>
      </c>
    </row>
    <row r="2040" spans="5:25" x14ac:dyDescent="0.25">
      <c r="E2040" t="s">
        <v>10</v>
      </c>
      <c r="F2040">
        <v>17000</v>
      </c>
      <c r="G2040">
        <v>0</v>
      </c>
      <c r="H2040" t="s">
        <v>205</v>
      </c>
      <c r="I2040" s="74" t="str">
        <f ca="1">IF(Table7[[#This Row],[Type]]="KILL",IF(_xlfn.NUMBERVALUE(RIGHT(Table7[[#This Row],[Min]],LEN(Table7[[#This Row],[Min]])-FIND("-",Table7[[#This Row],[Min]])))&gt;INDIRECT(ADDRESS(11+MATCH(LEFT(Table7[[#This Row],[Min]],FIND("-",Table7[[#This Row],[Min]])-1),Table1[Content Sku],0),16,1,1,"Entities")),"review","ok"),"ok")</f>
        <v>ok</v>
      </c>
      <c r="U2040" t="s">
        <v>548</v>
      </c>
      <c r="V2040">
        <v>0</v>
      </c>
      <c r="W2040">
        <v>0</v>
      </c>
      <c r="X2040" t="s">
        <v>8</v>
      </c>
      <c r="Y2040" s="74" t="str">
        <f ca="1">IF(Table15[[#This Row],[Type]]="KILL",IF(_xlfn.NUMBERVALUE(RIGHT(Table15[[#This Row],[Min]],LEN(Table15[[#This Row],[Min]])-FIND("-",Table15[[#This Row],[Min]])))&gt;INDIRECT(ADDRESS(11+MATCH(LEFT(Table15[[#This Row],[Min]],FIND("-",Table15[[#This Row],[Min]])-1),Table1[Content Sku],0),16,1,1,"Entities")),"review","ok"),"ok")</f>
        <v>ok</v>
      </c>
    </row>
    <row r="2041" spans="5:25" x14ac:dyDescent="0.25">
      <c r="E2041" t="s">
        <v>257</v>
      </c>
      <c r="F2041">
        <v>7400</v>
      </c>
      <c r="G2041">
        <v>0</v>
      </c>
      <c r="H2041" t="s">
        <v>205</v>
      </c>
      <c r="I2041" s="74" t="str">
        <f ca="1">IF(Table7[[#This Row],[Type]]="KILL",IF(_xlfn.NUMBERVALUE(RIGHT(Table7[[#This Row],[Min]],LEN(Table7[[#This Row],[Min]])-FIND("-",Table7[[#This Row],[Min]])))&gt;INDIRECT(ADDRESS(11+MATCH(LEFT(Table7[[#This Row],[Min]],FIND("-",Table7[[#This Row],[Min]])-1),Table1[Content Sku],0),16,1,1,"Entities")),"review","ok"),"ok")</f>
        <v>ok</v>
      </c>
      <c r="U2041" t="s">
        <v>457</v>
      </c>
      <c r="V2041">
        <v>0</v>
      </c>
      <c r="W2041">
        <v>0</v>
      </c>
      <c r="X2041" t="s">
        <v>8</v>
      </c>
      <c r="Y2041" s="74" t="str">
        <f ca="1">IF(Table15[[#This Row],[Type]]="KILL",IF(_xlfn.NUMBERVALUE(RIGHT(Table15[[#This Row],[Min]],LEN(Table15[[#This Row],[Min]])-FIND("-",Table15[[#This Row],[Min]])))&gt;INDIRECT(ADDRESS(11+MATCH(LEFT(Table15[[#This Row],[Min]],FIND("-",Table15[[#This Row],[Min]])-1),Table1[Content Sku],0),16,1,1,"Entities")),"review","ok"),"ok")</f>
        <v>ok</v>
      </c>
    </row>
    <row r="2042" spans="5:25" x14ac:dyDescent="0.25">
      <c r="E2042" t="s">
        <v>336</v>
      </c>
      <c r="F2042">
        <v>12000</v>
      </c>
      <c r="G2042">
        <v>0</v>
      </c>
      <c r="H2042" t="s">
        <v>205</v>
      </c>
      <c r="I2042" s="74" t="str">
        <f ca="1">IF(Table7[[#This Row],[Type]]="KILL",IF(_xlfn.NUMBERVALUE(RIGHT(Table7[[#This Row],[Min]],LEN(Table7[[#This Row],[Min]])-FIND("-",Table7[[#This Row],[Min]])))&gt;INDIRECT(ADDRESS(11+MATCH(LEFT(Table7[[#This Row],[Min]],FIND("-",Table7[[#This Row],[Min]])-1),Table1[Content Sku],0),16,1,1,"Entities")),"review","ok"),"ok")</f>
        <v>ok</v>
      </c>
      <c r="U2042" t="s">
        <v>36</v>
      </c>
      <c r="V2042">
        <v>0</v>
      </c>
      <c r="W2042">
        <v>0</v>
      </c>
      <c r="X2042" t="s">
        <v>8</v>
      </c>
      <c r="Y2042" s="74" t="str">
        <f ca="1">IF(Table15[[#This Row],[Type]]="KILL",IF(_xlfn.NUMBERVALUE(RIGHT(Table15[[#This Row],[Min]],LEN(Table15[[#This Row],[Min]])-FIND("-",Table15[[#This Row],[Min]])))&gt;INDIRECT(ADDRESS(11+MATCH(LEFT(Table15[[#This Row],[Min]],FIND("-",Table15[[#This Row],[Min]])-1),Table1[Content Sku],0),16,1,1,"Entities")),"review","ok"),"ok")</f>
        <v>ok</v>
      </c>
    </row>
    <row r="2043" spans="5:25" x14ac:dyDescent="0.25">
      <c r="E2043" t="s">
        <v>95</v>
      </c>
      <c r="F2043">
        <v>0</v>
      </c>
      <c r="G2043">
        <v>23000</v>
      </c>
      <c r="H2043" t="s">
        <v>205</v>
      </c>
      <c r="I2043" s="74" t="str">
        <f ca="1">IF(Table7[[#This Row],[Type]]="KILL",IF(_xlfn.NUMBERVALUE(RIGHT(Table7[[#This Row],[Min]],LEN(Table7[[#This Row],[Min]])-FIND("-",Table7[[#This Row],[Min]])))&gt;INDIRECT(ADDRESS(11+MATCH(LEFT(Table7[[#This Row],[Min]],FIND("-",Table7[[#This Row],[Min]])-1),Table1[Content Sku],0),16,1,1,"Entities")),"review","ok"),"ok")</f>
        <v>ok</v>
      </c>
      <c r="U2043" t="s">
        <v>2717</v>
      </c>
      <c r="V2043">
        <v>51000</v>
      </c>
      <c r="W2043">
        <v>0</v>
      </c>
      <c r="X2043" t="s">
        <v>205</v>
      </c>
      <c r="Y2043" s="74" t="str">
        <f ca="1">IF(Table15[[#This Row],[Type]]="KILL",IF(_xlfn.NUMBERVALUE(RIGHT(Table15[[#This Row],[Min]],LEN(Table15[[#This Row],[Min]])-FIND("-",Table15[[#This Row],[Min]])))&gt;INDIRECT(ADDRESS(11+MATCH(LEFT(Table15[[#This Row],[Min]],FIND("-",Table15[[#This Row],[Min]])-1),Table1[Content Sku],0),16,1,1,"Entities")),"review","ok"),"ok")</f>
        <v>ok</v>
      </c>
    </row>
    <row r="2044" spans="5:25" x14ac:dyDescent="0.25">
      <c r="E2044" t="s">
        <v>2741</v>
      </c>
      <c r="F2044">
        <v>0</v>
      </c>
      <c r="G2044">
        <v>0</v>
      </c>
      <c r="H2044" t="s">
        <v>8</v>
      </c>
      <c r="I2044" s="74" t="str">
        <f ca="1">IF(Table7[[#This Row],[Type]]="KILL",IF(_xlfn.NUMBERVALUE(RIGHT(Table7[[#This Row],[Min]],LEN(Table7[[#This Row],[Min]])-FIND("-",Table7[[#This Row],[Min]])))&gt;INDIRECT(ADDRESS(11+MATCH(LEFT(Table7[[#This Row],[Min]],FIND("-",Table7[[#This Row],[Min]])-1),Table1[Content Sku],0),16,1,1,"Entities")),"review","ok"),"ok")</f>
        <v>ok</v>
      </c>
      <c r="U2044" t="s">
        <v>37</v>
      </c>
      <c r="V2044">
        <v>0</v>
      </c>
      <c r="W2044">
        <v>0</v>
      </c>
      <c r="X2044" t="s">
        <v>8</v>
      </c>
      <c r="Y2044" s="74" t="str">
        <f ca="1">IF(Table15[[#This Row],[Type]]="KILL",IF(_xlfn.NUMBERVALUE(RIGHT(Table15[[#This Row],[Min]],LEN(Table15[[#This Row],[Min]])-FIND("-",Table15[[#This Row],[Min]])))&gt;INDIRECT(ADDRESS(11+MATCH(LEFT(Table15[[#This Row],[Min]],FIND("-",Table15[[#This Row],[Min]])-1),Table1[Content Sku],0),16,1,1,"Entities")),"review","ok"),"ok")</f>
        <v>ok</v>
      </c>
    </row>
    <row r="2045" spans="5:25" x14ac:dyDescent="0.25">
      <c r="E2045" t="s">
        <v>313</v>
      </c>
      <c r="F2045">
        <v>0</v>
      </c>
      <c r="G2045">
        <v>4500</v>
      </c>
      <c r="H2045" t="s">
        <v>205</v>
      </c>
      <c r="I2045" s="74" t="str">
        <f ca="1">IF(Table7[[#This Row],[Type]]="KILL",IF(_xlfn.NUMBERVALUE(RIGHT(Table7[[#This Row],[Min]],LEN(Table7[[#This Row],[Min]])-FIND("-",Table7[[#This Row],[Min]])))&gt;INDIRECT(ADDRESS(11+MATCH(LEFT(Table7[[#This Row],[Min]],FIND("-",Table7[[#This Row],[Min]])-1),Table1[Content Sku],0),16,1,1,"Entities")),"review","ok"),"ok")</f>
        <v>ok</v>
      </c>
      <c r="U2045" t="s">
        <v>396</v>
      </c>
      <c r="V2045">
        <v>300</v>
      </c>
      <c r="W2045">
        <v>0</v>
      </c>
      <c r="X2045" t="s">
        <v>4431</v>
      </c>
      <c r="Y2045" s="74" t="str">
        <f ca="1">IF(Table15[[#This Row],[Type]]="KILL",IF(_xlfn.NUMBERVALUE(RIGHT(Table15[[#This Row],[Min]],LEN(Table15[[#This Row],[Min]])-FIND("-",Table15[[#This Row],[Min]])))&gt;INDIRECT(ADDRESS(11+MATCH(LEFT(Table15[[#This Row],[Min]],FIND("-",Table15[[#This Row],[Min]])-1),Table1[Content Sku],0),16,1,1,"Entities")),"review","ok"),"ok")</f>
        <v>ok</v>
      </c>
    </row>
    <row r="2046" spans="5:25" x14ac:dyDescent="0.25">
      <c r="E2046" t="s">
        <v>2741</v>
      </c>
      <c r="F2046">
        <v>0</v>
      </c>
      <c r="G2046">
        <v>0</v>
      </c>
      <c r="H2046" t="s">
        <v>8</v>
      </c>
      <c r="I2046" s="74" t="str">
        <f ca="1">IF(Table7[[#This Row],[Type]]="KILL",IF(_xlfn.NUMBERVALUE(RIGHT(Table7[[#This Row],[Min]],LEN(Table7[[#This Row],[Min]])-FIND("-",Table7[[#This Row],[Min]])))&gt;INDIRECT(ADDRESS(11+MATCH(LEFT(Table7[[#This Row],[Min]],FIND("-",Table7[[#This Row],[Min]])-1),Table1[Content Sku],0),16,1,1,"Entities")),"review","ok"),"ok")</f>
        <v>ok</v>
      </c>
      <c r="U2046" t="s">
        <v>123</v>
      </c>
      <c r="V2046">
        <v>0</v>
      </c>
      <c r="W2046">
        <v>50000</v>
      </c>
      <c r="X2046" t="s">
        <v>205</v>
      </c>
      <c r="Y2046" s="74" t="str">
        <f ca="1">IF(Table15[[#This Row],[Type]]="KILL",IF(_xlfn.NUMBERVALUE(RIGHT(Table15[[#This Row],[Min]],LEN(Table15[[#This Row],[Min]])-FIND("-",Table15[[#This Row],[Min]])))&gt;INDIRECT(ADDRESS(11+MATCH(LEFT(Table15[[#This Row],[Min]],FIND("-",Table15[[#This Row],[Min]])-1),Table1[Content Sku],0),16,1,1,"Entities")),"review","ok"),"ok")</f>
        <v>ok</v>
      </c>
    </row>
    <row r="2047" spans="5:25" x14ac:dyDescent="0.25">
      <c r="E2047" t="s">
        <v>8156</v>
      </c>
      <c r="F2047">
        <v>0</v>
      </c>
      <c r="G2047">
        <v>0</v>
      </c>
      <c r="H2047" t="s">
        <v>8</v>
      </c>
      <c r="I2047" s="74" t="str">
        <f ca="1">IF(Table7[[#This Row],[Type]]="KILL",IF(_xlfn.NUMBERVALUE(RIGHT(Table7[[#This Row],[Min]],LEN(Table7[[#This Row],[Min]])-FIND("-",Table7[[#This Row],[Min]])))&gt;INDIRECT(ADDRESS(11+MATCH(LEFT(Table7[[#This Row],[Min]],FIND("-",Table7[[#This Row],[Min]])-1),Table1[Content Sku],0),16,1,1,"Entities")),"review","ok"),"ok")</f>
        <v>ok</v>
      </c>
      <c r="U2047" t="s">
        <v>123</v>
      </c>
      <c r="V2047">
        <v>0</v>
      </c>
      <c r="W2047">
        <v>0</v>
      </c>
      <c r="X2047" t="s">
        <v>8</v>
      </c>
      <c r="Y2047" s="74" t="str">
        <f ca="1">IF(Table15[[#This Row],[Type]]="KILL",IF(_xlfn.NUMBERVALUE(RIGHT(Table15[[#This Row],[Min]],LEN(Table15[[#This Row],[Min]])-FIND("-",Table15[[#This Row],[Min]])))&gt;INDIRECT(ADDRESS(11+MATCH(LEFT(Table15[[#This Row],[Min]],FIND("-",Table15[[#This Row],[Min]])-1),Table1[Content Sku],0),16,1,1,"Entities")),"review","ok"),"ok")</f>
        <v>ok</v>
      </c>
    </row>
    <row r="2048" spans="5:25" x14ac:dyDescent="0.25">
      <c r="E2048" t="s">
        <v>39</v>
      </c>
      <c r="F2048">
        <v>9000</v>
      </c>
      <c r="G2048">
        <v>0</v>
      </c>
      <c r="H2048" t="s">
        <v>205</v>
      </c>
      <c r="I2048" s="74" t="str">
        <f ca="1">IF(Table7[[#This Row],[Type]]="KILL",IF(_xlfn.NUMBERVALUE(RIGHT(Table7[[#This Row],[Min]],LEN(Table7[[#This Row],[Min]])-FIND("-",Table7[[#This Row],[Min]])))&gt;INDIRECT(ADDRESS(11+MATCH(LEFT(Table7[[#This Row],[Min]],FIND("-",Table7[[#This Row],[Min]])-1),Table1[Content Sku],0),16,1,1,"Entities")),"review","ok"),"ok")</f>
        <v>ok</v>
      </c>
      <c r="U2048" t="s">
        <v>457</v>
      </c>
      <c r="V2048">
        <v>0</v>
      </c>
      <c r="W2048">
        <v>0</v>
      </c>
      <c r="X2048" t="s">
        <v>8</v>
      </c>
      <c r="Y2048" s="74" t="str">
        <f ca="1">IF(Table15[[#This Row],[Type]]="KILL",IF(_xlfn.NUMBERVALUE(RIGHT(Table15[[#This Row],[Min]],LEN(Table15[[#This Row],[Min]])-FIND("-",Table15[[#This Row],[Min]])))&gt;INDIRECT(ADDRESS(11+MATCH(LEFT(Table15[[#This Row],[Min]],FIND("-",Table15[[#This Row],[Min]])-1),Table1[Content Sku],0),16,1,1,"Entities")),"review","ok"),"ok")</f>
        <v>ok</v>
      </c>
    </row>
    <row r="2049" spans="5:25" x14ac:dyDescent="0.25">
      <c r="E2049" t="s">
        <v>2723</v>
      </c>
      <c r="F2049">
        <v>0</v>
      </c>
      <c r="G2049">
        <v>0</v>
      </c>
      <c r="H2049" t="s">
        <v>8</v>
      </c>
      <c r="I2049" s="74" t="str">
        <f ca="1">IF(Table7[[#This Row],[Type]]="KILL",IF(_xlfn.NUMBERVALUE(RIGHT(Table7[[#This Row],[Min]],LEN(Table7[[#This Row],[Min]])-FIND("-",Table7[[#This Row],[Min]])))&gt;INDIRECT(ADDRESS(11+MATCH(LEFT(Table7[[#This Row],[Min]],FIND("-",Table7[[#This Row],[Min]])-1),Table1[Content Sku],0),16,1,1,"Entities")),"review","ok"),"ok")</f>
        <v>ok</v>
      </c>
      <c r="U2049" t="s">
        <v>22</v>
      </c>
      <c r="V2049">
        <v>0</v>
      </c>
      <c r="W2049">
        <v>345</v>
      </c>
      <c r="X2049" t="s">
        <v>4431</v>
      </c>
      <c r="Y2049" s="74" t="str">
        <f ca="1">IF(Table15[[#This Row],[Type]]="KILL",IF(_xlfn.NUMBERVALUE(RIGHT(Table15[[#This Row],[Min]],LEN(Table15[[#This Row],[Min]])-FIND("-",Table15[[#This Row],[Min]])))&gt;INDIRECT(ADDRESS(11+MATCH(LEFT(Table15[[#This Row],[Min]],FIND("-",Table15[[#This Row],[Min]])-1),Table1[Content Sku],0),16,1,1,"Entities")),"review","ok"),"ok")</f>
        <v>ok</v>
      </c>
    </row>
    <row r="2050" spans="5:25" x14ac:dyDescent="0.25">
      <c r="E2050" t="s">
        <v>2723</v>
      </c>
      <c r="F2050">
        <v>0</v>
      </c>
      <c r="G2050">
        <v>0</v>
      </c>
      <c r="H2050" t="s">
        <v>8</v>
      </c>
      <c r="I2050" s="74" t="str">
        <f ca="1">IF(Table7[[#This Row],[Type]]="KILL",IF(_xlfn.NUMBERVALUE(RIGHT(Table7[[#This Row],[Min]],LEN(Table7[[#This Row],[Min]])-FIND("-",Table7[[#This Row],[Min]])))&gt;INDIRECT(ADDRESS(11+MATCH(LEFT(Table7[[#This Row],[Min]],FIND("-",Table7[[#This Row],[Min]])-1),Table1[Content Sku],0),16,1,1,"Entities")),"review","ok"),"ok")</f>
        <v>ok</v>
      </c>
      <c r="U2050" t="s">
        <v>37</v>
      </c>
      <c r="V2050">
        <v>0</v>
      </c>
      <c r="W2050">
        <v>0</v>
      </c>
      <c r="X2050" t="s">
        <v>8</v>
      </c>
      <c r="Y2050" s="74" t="str">
        <f ca="1">IF(Table15[[#This Row],[Type]]="KILL",IF(_xlfn.NUMBERVALUE(RIGHT(Table15[[#This Row],[Min]],LEN(Table15[[#This Row],[Min]])-FIND("-",Table15[[#This Row],[Min]])))&gt;INDIRECT(ADDRESS(11+MATCH(LEFT(Table15[[#This Row],[Min]],FIND("-",Table15[[#This Row],[Min]])-1),Table1[Content Sku],0),16,1,1,"Entities")),"review","ok"),"ok")</f>
        <v>ok</v>
      </c>
    </row>
    <row r="2051" spans="5:25" x14ac:dyDescent="0.25">
      <c r="E2051" t="s">
        <v>280</v>
      </c>
      <c r="F2051">
        <v>0</v>
      </c>
      <c r="G2051">
        <v>0</v>
      </c>
      <c r="H2051" t="s">
        <v>8</v>
      </c>
      <c r="I2051" s="74" t="str">
        <f ca="1">IF(Table7[[#This Row],[Type]]="KILL",IF(_xlfn.NUMBERVALUE(RIGHT(Table7[[#This Row],[Min]],LEN(Table7[[#This Row],[Min]])-FIND("-",Table7[[#This Row],[Min]])))&gt;INDIRECT(ADDRESS(11+MATCH(LEFT(Table7[[#This Row],[Min]],FIND("-",Table7[[#This Row],[Min]])-1),Table1[Content Sku],0),16,1,1,"Entities")),"review","ok"),"ok")</f>
        <v>ok</v>
      </c>
      <c r="U2051" t="s">
        <v>46</v>
      </c>
      <c r="V2051">
        <v>0</v>
      </c>
      <c r="W2051">
        <v>0</v>
      </c>
      <c r="X2051" t="s">
        <v>8</v>
      </c>
      <c r="Y2051" s="74" t="str">
        <f ca="1">IF(Table15[[#This Row],[Type]]="KILL",IF(_xlfn.NUMBERVALUE(RIGHT(Table15[[#This Row],[Min]],LEN(Table15[[#This Row],[Min]])-FIND("-",Table15[[#This Row],[Min]])))&gt;INDIRECT(ADDRESS(11+MATCH(LEFT(Table15[[#This Row],[Min]],FIND("-",Table15[[#This Row],[Min]])-1),Table1[Content Sku],0),16,1,1,"Entities")),"review","ok"),"ok")</f>
        <v>ok</v>
      </c>
    </row>
    <row r="2052" spans="5:25" x14ac:dyDescent="0.25">
      <c r="E2052" t="s">
        <v>90</v>
      </c>
      <c r="F2052">
        <v>0</v>
      </c>
      <c r="G2052">
        <v>25000</v>
      </c>
      <c r="H2052" t="s">
        <v>205</v>
      </c>
      <c r="I2052" s="74" t="str">
        <f ca="1">IF(Table7[[#This Row],[Type]]="KILL",IF(_xlfn.NUMBERVALUE(RIGHT(Table7[[#This Row],[Min]],LEN(Table7[[#This Row],[Min]])-FIND("-",Table7[[#This Row],[Min]])))&gt;INDIRECT(ADDRESS(11+MATCH(LEFT(Table7[[#This Row],[Min]],FIND("-",Table7[[#This Row],[Min]])-1),Table1[Content Sku],0),16,1,1,"Entities")),"review","ok"),"ok")</f>
        <v>ok</v>
      </c>
      <c r="U2052" t="s">
        <v>22</v>
      </c>
      <c r="V2052">
        <v>0</v>
      </c>
      <c r="W2052">
        <v>0</v>
      </c>
      <c r="X2052" t="s">
        <v>8</v>
      </c>
      <c r="Y2052" s="74" t="str">
        <f ca="1">IF(Table15[[#This Row],[Type]]="KILL",IF(_xlfn.NUMBERVALUE(RIGHT(Table15[[#This Row],[Min]],LEN(Table15[[#This Row],[Min]])-FIND("-",Table15[[#This Row],[Min]])))&gt;INDIRECT(ADDRESS(11+MATCH(LEFT(Table15[[#This Row],[Min]],FIND("-",Table15[[#This Row],[Min]])-1),Table1[Content Sku],0),16,1,1,"Entities")),"review","ok"),"ok")</f>
        <v>ok</v>
      </c>
    </row>
    <row r="2053" spans="5:25" x14ac:dyDescent="0.25">
      <c r="E2053" t="s">
        <v>278</v>
      </c>
      <c r="F2053">
        <v>0</v>
      </c>
      <c r="G2053">
        <v>0</v>
      </c>
      <c r="H2053" t="s">
        <v>8</v>
      </c>
      <c r="I2053" s="74" t="str">
        <f ca="1">IF(Table7[[#This Row],[Type]]="KILL",IF(_xlfn.NUMBERVALUE(RIGHT(Table7[[#This Row],[Min]],LEN(Table7[[#This Row],[Min]])-FIND("-",Table7[[#This Row],[Min]])))&gt;INDIRECT(ADDRESS(11+MATCH(LEFT(Table7[[#This Row],[Min]],FIND("-",Table7[[#This Row],[Min]])-1),Table1[Content Sku],0),16,1,1,"Entities")),"review","ok"),"ok")</f>
        <v>ok</v>
      </c>
      <c r="U2053" t="s">
        <v>123</v>
      </c>
      <c r="V2053">
        <v>0</v>
      </c>
      <c r="W2053">
        <v>0</v>
      </c>
      <c r="X2053" t="s">
        <v>8</v>
      </c>
      <c r="Y2053" s="74" t="str">
        <f ca="1">IF(Table15[[#This Row],[Type]]="KILL",IF(_xlfn.NUMBERVALUE(RIGHT(Table15[[#This Row],[Min]],LEN(Table15[[#This Row],[Min]])-FIND("-",Table15[[#This Row],[Min]])))&gt;INDIRECT(ADDRESS(11+MATCH(LEFT(Table15[[#This Row],[Min]],FIND("-",Table15[[#This Row],[Min]])-1),Table1[Content Sku],0),16,1,1,"Entities")),"review","ok"),"ok")</f>
        <v>ok</v>
      </c>
    </row>
    <row r="2054" spans="5:25" x14ac:dyDescent="0.25">
      <c r="E2054" t="s">
        <v>313</v>
      </c>
      <c r="F2054">
        <v>0</v>
      </c>
      <c r="G2054">
        <v>0</v>
      </c>
      <c r="H2054" t="s">
        <v>8</v>
      </c>
      <c r="I2054" s="74" t="str">
        <f ca="1">IF(Table7[[#This Row],[Type]]="KILL",IF(_xlfn.NUMBERVALUE(RIGHT(Table7[[#This Row],[Min]],LEN(Table7[[#This Row],[Min]])-FIND("-",Table7[[#This Row],[Min]])))&gt;INDIRECT(ADDRESS(11+MATCH(LEFT(Table7[[#This Row],[Min]],FIND("-",Table7[[#This Row],[Min]])-1),Table1[Content Sku],0),16,1,1,"Entities")),"review","ok"),"ok")</f>
        <v>ok</v>
      </c>
      <c r="U2054" t="s">
        <v>36</v>
      </c>
      <c r="V2054">
        <v>0</v>
      </c>
      <c r="W2054">
        <v>0</v>
      </c>
      <c r="X2054" t="s">
        <v>8</v>
      </c>
      <c r="Y2054" s="74" t="str">
        <f ca="1">IF(Table15[[#This Row],[Type]]="KILL",IF(_xlfn.NUMBERVALUE(RIGHT(Table15[[#This Row],[Min]],LEN(Table15[[#This Row],[Min]])-FIND("-",Table15[[#This Row],[Min]])))&gt;INDIRECT(ADDRESS(11+MATCH(LEFT(Table15[[#This Row],[Min]],FIND("-",Table15[[#This Row],[Min]])-1),Table1[Content Sku],0),16,1,1,"Entities")),"review","ok"),"ok")</f>
        <v>ok</v>
      </c>
    </row>
    <row r="2055" spans="5:25" x14ac:dyDescent="0.25">
      <c r="E2055" t="s">
        <v>39</v>
      </c>
      <c r="F2055">
        <v>8500</v>
      </c>
      <c r="G2055">
        <v>0</v>
      </c>
      <c r="H2055" t="s">
        <v>205</v>
      </c>
      <c r="I2055" s="74" t="str">
        <f ca="1">IF(Table7[[#This Row],[Type]]="KILL",IF(_xlfn.NUMBERVALUE(RIGHT(Table7[[#This Row],[Min]],LEN(Table7[[#This Row],[Min]])-FIND("-",Table7[[#This Row],[Min]])))&gt;INDIRECT(ADDRESS(11+MATCH(LEFT(Table7[[#This Row],[Min]],FIND("-",Table7[[#This Row],[Min]])-1),Table1[Content Sku],0),16,1,1,"Entities")),"review","ok"),"ok")</f>
        <v>ok</v>
      </c>
      <c r="U2055" t="s">
        <v>398</v>
      </c>
      <c r="V2055">
        <v>0</v>
      </c>
      <c r="W2055">
        <v>0</v>
      </c>
      <c r="X2055" t="s">
        <v>8</v>
      </c>
      <c r="Y2055" s="74" t="str">
        <f ca="1">IF(Table15[[#This Row],[Type]]="KILL",IF(_xlfn.NUMBERVALUE(RIGHT(Table15[[#This Row],[Min]],LEN(Table15[[#This Row],[Min]])-FIND("-",Table15[[#This Row],[Min]])))&gt;INDIRECT(ADDRESS(11+MATCH(LEFT(Table15[[#This Row],[Min]],FIND("-",Table15[[#This Row],[Min]])-1),Table1[Content Sku],0),16,1,1,"Entities")),"review","ok"),"ok")</f>
        <v>ok</v>
      </c>
    </row>
    <row r="2056" spans="5:25" x14ac:dyDescent="0.25">
      <c r="E2056" t="s">
        <v>392</v>
      </c>
      <c r="F2056">
        <v>0</v>
      </c>
      <c r="G2056">
        <v>4000</v>
      </c>
      <c r="H2056" t="s">
        <v>205</v>
      </c>
      <c r="I2056" s="74" t="str">
        <f ca="1">IF(Table7[[#This Row],[Type]]="KILL",IF(_xlfn.NUMBERVALUE(RIGHT(Table7[[#This Row],[Min]],LEN(Table7[[#This Row],[Min]])-FIND("-",Table7[[#This Row],[Min]])))&gt;INDIRECT(ADDRESS(11+MATCH(LEFT(Table7[[#This Row],[Min]],FIND("-",Table7[[#This Row],[Min]])-1),Table1[Content Sku],0),16,1,1,"Entities")),"review","ok"),"ok")</f>
        <v>ok</v>
      </c>
      <c r="U2056" t="s">
        <v>457</v>
      </c>
      <c r="V2056">
        <v>0</v>
      </c>
      <c r="W2056">
        <v>0</v>
      </c>
      <c r="X2056" t="s">
        <v>8</v>
      </c>
      <c r="Y2056" s="74" t="str">
        <f ca="1">IF(Table15[[#This Row],[Type]]="KILL",IF(_xlfn.NUMBERVALUE(RIGHT(Table15[[#This Row],[Min]],LEN(Table15[[#This Row],[Min]])-FIND("-",Table15[[#This Row],[Min]])))&gt;INDIRECT(ADDRESS(11+MATCH(LEFT(Table15[[#This Row],[Min]],FIND("-",Table15[[#This Row],[Min]])-1),Table1[Content Sku],0),16,1,1,"Entities")),"review","ok"),"ok")</f>
        <v>ok</v>
      </c>
    </row>
    <row r="2057" spans="5:25" x14ac:dyDescent="0.25">
      <c r="E2057" t="s">
        <v>254</v>
      </c>
      <c r="F2057">
        <v>8000</v>
      </c>
      <c r="G2057">
        <v>0</v>
      </c>
      <c r="H2057" t="s">
        <v>205</v>
      </c>
      <c r="I2057" s="74" t="str">
        <f ca="1">IF(Table7[[#This Row],[Type]]="KILL",IF(_xlfn.NUMBERVALUE(RIGHT(Table7[[#This Row],[Min]],LEN(Table7[[#This Row],[Min]])-FIND("-",Table7[[#This Row],[Min]])))&gt;INDIRECT(ADDRESS(11+MATCH(LEFT(Table7[[#This Row],[Min]],FIND("-",Table7[[#This Row],[Min]])-1),Table1[Content Sku],0),16,1,1,"Entities")),"review","ok"),"ok")</f>
        <v>ok</v>
      </c>
      <c r="U2057" t="s">
        <v>457</v>
      </c>
      <c r="V2057">
        <v>0</v>
      </c>
      <c r="W2057">
        <v>0</v>
      </c>
      <c r="X2057" t="s">
        <v>8</v>
      </c>
      <c r="Y2057" s="74" t="str">
        <f ca="1">IF(Table15[[#This Row],[Type]]="KILL",IF(_xlfn.NUMBERVALUE(RIGHT(Table15[[#This Row],[Min]],LEN(Table15[[#This Row],[Min]])-FIND("-",Table15[[#This Row],[Min]])))&gt;INDIRECT(ADDRESS(11+MATCH(LEFT(Table15[[#This Row],[Min]],FIND("-",Table15[[#This Row],[Min]])-1),Table1[Content Sku],0),16,1,1,"Entities")),"review","ok"),"ok")</f>
        <v>ok</v>
      </c>
    </row>
    <row r="2058" spans="5:25" x14ac:dyDescent="0.25">
      <c r="E2058" t="s">
        <v>122</v>
      </c>
      <c r="F2058">
        <v>0</v>
      </c>
      <c r="G2058">
        <v>0</v>
      </c>
      <c r="H2058" t="s">
        <v>8</v>
      </c>
      <c r="I2058" s="74" t="str">
        <f ca="1">IF(Table7[[#This Row],[Type]]="KILL",IF(_xlfn.NUMBERVALUE(RIGHT(Table7[[#This Row],[Min]],LEN(Table7[[#This Row],[Min]])-FIND("-",Table7[[#This Row],[Min]])))&gt;INDIRECT(ADDRESS(11+MATCH(LEFT(Table7[[#This Row],[Min]],FIND("-",Table7[[#This Row],[Min]])-1),Table1[Content Sku],0),16,1,1,"Entities")),"review","ok"),"ok")</f>
        <v>ok</v>
      </c>
      <c r="U2058" t="s">
        <v>313</v>
      </c>
      <c r="V2058">
        <v>0</v>
      </c>
      <c r="W2058">
        <v>0</v>
      </c>
      <c r="X2058" t="s">
        <v>8</v>
      </c>
      <c r="Y2058" s="74" t="str">
        <f ca="1">IF(Table15[[#This Row],[Type]]="KILL",IF(_xlfn.NUMBERVALUE(RIGHT(Table15[[#This Row],[Min]],LEN(Table15[[#This Row],[Min]])-FIND("-",Table15[[#This Row],[Min]])))&gt;INDIRECT(ADDRESS(11+MATCH(LEFT(Table15[[#This Row],[Min]],FIND("-",Table15[[#This Row],[Min]])-1),Table1[Content Sku],0),16,1,1,"Entities")),"review","ok"),"ok")</f>
        <v>ok</v>
      </c>
    </row>
    <row r="2059" spans="5:25" x14ac:dyDescent="0.25">
      <c r="E2059" t="s">
        <v>254</v>
      </c>
      <c r="F2059">
        <v>0</v>
      </c>
      <c r="G2059">
        <v>0</v>
      </c>
      <c r="H2059" t="s">
        <v>8</v>
      </c>
      <c r="I2059" s="74" t="str">
        <f ca="1">IF(Table7[[#This Row],[Type]]="KILL",IF(_xlfn.NUMBERVALUE(RIGHT(Table7[[#This Row],[Min]],LEN(Table7[[#This Row],[Min]])-FIND("-",Table7[[#This Row],[Min]])))&gt;INDIRECT(ADDRESS(11+MATCH(LEFT(Table7[[#This Row],[Min]],FIND("-",Table7[[#This Row],[Min]])-1),Table1[Content Sku],0),16,1,1,"Entities")),"review","ok"),"ok")</f>
        <v>ok</v>
      </c>
      <c r="U2059" t="s">
        <v>37</v>
      </c>
      <c r="V2059">
        <v>0</v>
      </c>
      <c r="W2059">
        <v>0</v>
      </c>
      <c r="X2059" t="s">
        <v>8</v>
      </c>
      <c r="Y2059" s="74" t="str">
        <f ca="1">IF(Table15[[#This Row],[Type]]="KILL",IF(_xlfn.NUMBERVALUE(RIGHT(Table15[[#This Row],[Min]],LEN(Table15[[#This Row],[Min]])-FIND("-",Table15[[#This Row],[Min]])))&gt;INDIRECT(ADDRESS(11+MATCH(LEFT(Table15[[#This Row],[Min]],FIND("-",Table15[[#This Row],[Min]])-1),Table1[Content Sku],0),16,1,1,"Entities")),"review","ok"),"ok")</f>
        <v>ok</v>
      </c>
    </row>
    <row r="2060" spans="5:25" x14ac:dyDescent="0.25">
      <c r="E2060" t="s">
        <v>2734</v>
      </c>
      <c r="F2060">
        <v>0</v>
      </c>
      <c r="G2060">
        <v>0</v>
      </c>
      <c r="H2060" t="s">
        <v>8</v>
      </c>
      <c r="I2060" s="74" t="str">
        <f ca="1">IF(Table7[[#This Row],[Type]]="KILL",IF(_xlfn.NUMBERVALUE(RIGHT(Table7[[#This Row],[Min]],LEN(Table7[[#This Row],[Min]])-FIND("-",Table7[[#This Row],[Min]])))&gt;INDIRECT(ADDRESS(11+MATCH(LEFT(Table7[[#This Row],[Min]],FIND("-",Table7[[#This Row],[Min]])-1),Table1[Content Sku],0),16,1,1,"Entities")),"review","ok"),"ok")</f>
        <v>ok</v>
      </c>
      <c r="U2060" t="s">
        <v>457</v>
      </c>
      <c r="V2060">
        <v>0</v>
      </c>
      <c r="W2060">
        <v>37000</v>
      </c>
      <c r="X2060" t="s">
        <v>205</v>
      </c>
      <c r="Y2060" s="74" t="str">
        <f ca="1">IF(Table15[[#This Row],[Type]]="KILL",IF(_xlfn.NUMBERVALUE(RIGHT(Table15[[#This Row],[Min]],LEN(Table15[[#This Row],[Min]])-FIND("-",Table15[[#This Row],[Min]])))&gt;INDIRECT(ADDRESS(11+MATCH(LEFT(Table15[[#This Row],[Min]],FIND("-",Table15[[#This Row],[Min]])-1),Table1[Content Sku],0),16,1,1,"Entities")),"review","ok"),"ok")</f>
        <v>ok</v>
      </c>
    </row>
    <row r="2061" spans="5:25" x14ac:dyDescent="0.25">
      <c r="E2061" t="s">
        <v>90</v>
      </c>
      <c r="F2061">
        <v>0</v>
      </c>
      <c r="G2061">
        <v>25000</v>
      </c>
      <c r="H2061" t="s">
        <v>205</v>
      </c>
      <c r="I2061" s="74" t="str">
        <f ca="1">IF(Table7[[#This Row],[Type]]="KILL",IF(_xlfn.NUMBERVALUE(RIGHT(Table7[[#This Row],[Min]],LEN(Table7[[#This Row],[Min]])-FIND("-",Table7[[#This Row],[Min]])))&gt;INDIRECT(ADDRESS(11+MATCH(LEFT(Table7[[#This Row],[Min]],FIND("-",Table7[[#This Row],[Min]])-1),Table1[Content Sku],0),16,1,1,"Entities")),"review","ok"),"ok")</f>
        <v>ok</v>
      </c>
      <c r="U2061" t="s">
        <v>457</v>
      </c>
      <c r="V2061">
        <v>0</v>
      </c>
      <c r="W2061">
        <v>0</v>
      </c>
      <c r="X2061" t="s">
        <v>8</v>
      </c>
      <c r="Y2061" s="74" t="str">
        <f ca="1">IF(Table15[[#This Row],[Type]]="KILL",IF(_xlfn.NUMBERVALUE(RIGHT(Table15[[#This Row],[Min]],LEN(Table15[[#This Row],[Min]])-FIND("-",Table15[[#This Row],[Min]])))&gt;INDIRECT(ADDRESS(11+MATCH(LEFT(Table15[[#This Row],[Min]],FIND("-",Table15[[#This Row],[Min]])-1),Table1[Content Sku],0),16,1,1,"Entities")),"review","ok"),"ok")</f>
        <v>ok</v>
      </c>
    </row>
    <row r="2062" spans="5:25" x14ac:dyDescent="0.25">
      <c r="E2062" t="s">
        <v>311</v>
      </c>
      <c r="F2062">
        <v>0</v>
      </c>
      <c r="G2062">
        <v>0</v>
      </c>
      <c r="H2062" t="s">
        <v>8</v>
      </c>
      <c r="I2062" s="74" t="str">
        <f ca="1">IF(Table7[[#This Row],[Type]]="KILL",IF(_xlfn.NUMBERVALUE(RIGHT(Table7[[#This Row],[Min]],LEN(Table7[[#This Row],[Min]])-FIND("-",Table7[[#This Row],[Min]])))&gt;INDIRECT(ADDRESS(11+MATCH(LEFT(Table7[[#This Row],[Min]],FIND("-",Table7[[#This Row],[Min]])-1),Table1[Content Sku],0),16,1,1,"Entities")),"review","ok"),"ok")</f>
        <v>ok</v>
      </c>
      <c r="U2062" t="s">
        <v>309</v>
      </c>
      <c r="V2062">
        <v>28000</v>
      </c>
      <c r="W2062">
        <v>0</v>
      </c>
      <c r="X2062" t="s">
        <v>205</v>
      </c>
      <c r="Y2062" s="74" t="str">
        <f ca="1">IF(Table15[[#This Row],[Type]]="KILL",IF(_xlfn.NUMBERVALUE(RIGHT(Table15[[#This Row],[Min]],LEN(Table15[[#This Row],[Min]])-FIND("-",Table15[[#This Row],[Min]])))&gt;INDIRECT(ADDRESS(11+MATCH(LEFT(Table15[[#This Row],[Min]],FIND("-",Table15[[#This Row],[Min]])-1),Table1[Content Sku],0),16,1,1,"Entities")),"review","ok"),"ok")</f>
        <v>ok</v>
      </c>
    </row>
    <row r="2063" spans="5:25" x14ac:dyDescent="0.25">
      <c r="E2063" t="s">
        <v>14</v>
      </c>
      <c r="F2063">
        <v>0</v>
      </c>
      <c r="G2063">
        <v>18000</v>
      </c>
      <c r="H2063" t="s">
        <v>205</v>
      </c>
      <c r="I2063" s="74" t="str">
        <f ca="1">IF(Table7[[#This Row],[Type]]="KILL",IF(_xlfn.NUMBERVALUE(RIGHT(Table7[[#This Row],[Min]],LEN(Table7[[#This Row],[Min]])-FIND("-",Table7[[#This Row],[Min]])))&gt;INDIRECT(ADDRESS(11+MATCH(LEFT(Table7[[#This Row],[Min]],FIND("-",Table7[[#This Row],[Min]])-1),Table1[Content Sku],0),16,1,1,"Entities")),"review","ok"),"ok")</f>
        <v>ok</v>
      </c>
      <c r="U2063" t="s">
        <v>2720</v>
      </c>
      <c r="V2063">
        <v>0</v>
      </c>
      <c r="W2063">
        <v>0</v>
      </c>
      <c r="X2063" t="s">
        <v>8</v>
      </c>
      <c r="Y2063" s="74" t="str">
        <f ca="1">IF(Table15[[#This Row],[Type]]="KILL",IF(_xlfn.NUMBERVALUE(RIGHT(Table15[[#This Row],[Min]],LEN(Table15[[#This Row],[Min]])-FIND("-",Table15[[#This Row],[Min]])))&gt;INDIRECT(ADDRESS(11+MATCH(LEFT(Table15[[#This Row],[Min]],FIND("-",Table15[[#This Row],[Min]])-1),Table1[Content Sku],0),16,1,1,"Entities")),"review","ok"),"ok")</f>
        <v>ok</v>
      </c>
    </row>
    <row r="2064" spans="5:25" x14ac:dyDescent="0.25">
      <c r="E2064" t="s">
        <v>254</v>
      </c>
      <c r="F2064">
        <v>0</v>
      </c>
      <c r="G2064">
        <v>0</v>
      </c>
      <c r="H2064" t="s">
        <v>8</v>
      </c>
      <c r="I2064" s="74" t="str">
        <f ca="1">IF(Table7[[#This Row],[Type]]="KILL",IF(_xlfn.NUMBERVALUE(RIGHT(Table7[[#This Row],[Min]],LEN(Table7[[#This Row],[Min]])-FIND("-",Table7[[#This Row],[Min]])))&gt;INDIRECT(ADDRESS(11+MATCH(LEFT(Table7[[#This Row],[Min]],FIND("-",Table7[[#This Row],[Min]])-1),Table1[Content Sku],0),16,1,1,"Entities")),"review","ok"),"ok")</f>
        <v>ok</v>
      </c>
      <c r="U2064" t="s">
        <v>457</v>
      </c>
      <c r="V2064">
        <v>0</v>
      </c>
      <c r="W2064">
        <v>0</v>
      </c>
      <c r="X2064" t="s">
        <v>8</v>
      </c>
      <c r="Y2064" s="74" t="str">
        <f ca="1">IF(Table15[[#This Row],[Type]]="KILL",IF(_xlfn.NUMBERVALUE(RIGHT(Table15[[#This Row],[Min]],LEN(Table15[[#This Row],[Min]])-FIND("-",Table15[[#This Row],[Min]])))&gt;INDIRECT(ADDRESS(11+MATCH(LEFT(Table15[[#This Row],[Min]],FIND("-",Table15[[#This Row],[Min]])-1),Table1[Content Sku],0),16,1,1,"Entities")),"review","ok"),"ok")</f>
        <v>ok</v>
      </c>
    </row>
    <row r="2065" spans="5:25" x14ac:dyDescent="0.25">
      <c r="E2065" t="s">
        <v>122</v>
      </c>
      <c r="F2065">
        <v>0</v>
      </c>
      <c r="G2065">
        <v>0</v>
      </c>
      <c r="H2065" t="s">
        <v>8</v>
      </c>
      <c r="I2065" s="74" t="str">
        <f ca="1">IF(Table7[[#This Row],[Type]]="KILL",IF(_xlfn.NUMBERVALUE(RIGHT(Table7[[#This Row],[Min]],LEN(Table7[[#This Row],[Min]])-FIND("-",Table7[[#This Row],[Min]])))&gt;INDIRECT(ADDRESS(11+MATCH(LEFT(Table7[[#This Row],[Min]],FIND("-",Table7[[#This Row],[Min]])-1),Table1[Content Sku],0),16,1,1,"Entities")),"review","ok"),"ok")</f>
        <v>ok</v>
      </c>
      <c r="U2065" t="s">
        <v>37</v>
      </c>
      <c r="V2065">
        <v>0</v>
      </c>
      <c r="W2065">
        <v>0</v>
      </c>
      <c r="X2065" t="s">
        <v>8</v>
      </c>
      <c r="Y2065" s="74" t="str">
        <f ca="1">IF(Table15[[#This Row],[Type]]="KILL",IF(_xlfn.NUMBERVALUE(RIGHT(Table15[[#This Row],[Min]],LEN(Table15[[#This Row],[Min]])-FIND("-",Table15[[#This Row],[Min]])))&gt;INDIRECT(ADDRESS(11+MATCH(LEFT(Table15[[#This Row],[Min]],FIND("-",Table15[[#This Row],[Min]])-1),Table1[Content Sku],0),16,1,1,"Entities")),"review","ok"),"ok")</f>
        <v>ok</v>
      </c>
    </row>
    <row r="2066" spans="5:25" x14ac:dyDescent="0.25">
      <c r="E2066" t="s">
        <v>253</v>
      </c>
      <c r="F2066">
        <v>0</v>
      </c>
      <c r="G2066">
        <v>25000</v>
      </c>
      <c r="H2066" t="s">
        <v>205</v>
      </c>
      <c r="I2066" s="74" t="str">
        <f ca="1">IF(Table7[[#This Row],[Type]]="KILL",IF(_xlfn.NUMBERVALUE(RIGHT(Table7[[#This Row],[Min]],LEN(Table7[[#This Row],[Min]])-FIND("-",Table7[[#This Row],[Min]])))&gt;INDIRECT(ADDRESS(11+MATCH(LEFT(Table7[[#This Row],[Min]],FIND("-",Table7[[#This Row],[Min]])-1),Table1[Content Sku],0),16,1,1,"Entities")),"review","ok"),"ok")</f>
        <v>ok</v>
      </c>
      <c r="U2066" t="s">
        <v>457</v>
      </c>
      <c r="V2066">
        <v>0</v>
      </c>
      <c r="W2066">
        <v>0</v>
      </c>
      <c r="X2066" t="s">
        <v>8</v>
      </c>
      <c r="Y2066" s="74" t="str">
        <f ca="1">IF(Table15[[#This Row],[Type]]="KILL",IF(_xlfn.NUMBERVALUE(RIGHT(Table15[[#This Row],[Min]],LEN(Table15[[#This Row],[Min]])-FIND("-",Table15[[#This Row],[Min]])))&gt;INDIRECT(ADDRESS(11+MATCH(LEFT(Table15[[#This Row],[Min]],FIND("-",Table15[[#This Row],[Min]])-1),Table1[Content Sku],0),16,1,1,"Entities")),"review","ok"),"ok")</f>
        <v>ok</v>
      </c>
    </row>
    <row r="2067" spans="5:25" x14ac:dyDescent="0.25">
      <c r="E2067" t="s">
        <v>336</v>
      </c>
      <c r="F2067">
        <v>45000</v>
      </c>
      <c r="G2067">
        <v>0</v>
      </c>
      <c r="H2067" t="s">
        <v>205</v>
      </c>
      <c r="I2067" s="74" t="str">
        <f ca="1">IF(Table7[[#This Row],[Type]]="KILL",IF(_xlfn.NUMBERVALUE(RIGHT(Table7[[#This Row],[Min]],LEN(Table7[[#This Row],[Min]])-FIND("-",Table7[[#This Row],[Min]])))&gt;INDIRECT(ADDRESS(11+MATCH(LEFT(Table7[[#This Row],[Min]],FIND("-",Table7[[#This Row],[Min]])-1),Table1[Content Sku],0),16,1,1,"Entities")),"review","ok"),"ok")</f>
        <v>ok</v>
      </c>
      <c r="U2067" t="s">
        <v>548</v>
      </c>
      <c r="V2067">
        <v>0</v>
      </c>
      <c r="W2067">
        <v>0</v>
      </c>
      <c r="X2067" t="s">
        <v>8</v>
      </c>
      <c r="Y2067" s="74" t="str">
        <f ca="1">IF(Table15[[#This Row],[Type]]="KILL",IF(_xlfn.NUMBERVALUE(RIGHT(Table15[[#This Row],[Min]],LEN(Table15[[#This Row],[Min]])-FIND("-",Table15[[#This Row],[Min]])))&gt;INDIRECT(ADDRESS(11+MATCH(LEFT(Table15[[#This Row],[Min]],FIND("-",Table15[[#This Row],[Min]])-1),Table1[Content Sku],0),16,1,1,"Entities")),"review","ok"),"ok")</f>
        <v>ok</v>
      </c>
    </row>
    <row r="2068" spans="5:25" x14ac:dyDescent="0.25">
      <c r="E2068" t="s">
        <v>253</v>
      </c>
      <c r="F2068">
        <v>0</v>
      </c>
      <c r="G2068">
        <v>0</v>
      </c>
      <c r="H2068" t="s">
        <v>8</v>
      </c>
      <c r="I2068" s="74" t="str">
        <f ca="1">IF(Table7[[#This Row],[Type]]="KILL",IF(_xlfn.NUMBERVALUE(RIGHT(Table7[[#This Row],[Min]],LEN(Table7[[#This Row],[Min]])-FIND("-",Table7[[#This Row],[Min]])))&gt;INDIRECT(ADDRESS(11+MATCH(LEFT(Table7[[#This Row],[Min]],FIND("-",Table7[[#This Row],[Min]])-1),Table1[Content Sku],0),16,1,1,"Entities")),"review","ok"),"ok")</f>
        <v>ok</v>
      </c>
      <c r="U2068" t="s">
        <v>2717</v>
      </c>
      <c r="V2068">
        <v>0</v>
      </c>
      <c r="W2068">
        <v>0</v>
      </c>
      <c r="X2068" t="s">
        <v>8</v>
      </c>
      <c r="Y2068" s="74" t="str">
        <f ca="1">IF(Table15[[#This Row],[Type]]="KILL",IF(_xlfn.NUMBERVALUE(RIGHT(Table15[[#This Row],[Min]],LEN(Table15[[#This Row],[Min]])-FIND("-",Table15[[#This Row],[Min]])))&gt;INDIRECT(ADDRESS(11+MATCH(LEFT(Table15[[#This Row],[Min]],FIND("-",Table15[[#This Row],[Min]])-1),Table1[Content Sku],0),16,1,1,"Entities")),"review","ok"),"ok")</f>
        <v>ok</v>
      </c>
    </row>
    <row r="2069" spans="5:25" x14ac:dyDescent="0.25">
      <c r="E2069" t="s">
        <v>2741</v>
      </c>
      <c r="F2069">
        <v>0</v>
      </c>
      <c r="G2069">
        <v>0</v>
      </c>
      <c r="H2069" t="s">
        <v>8</v>
      </c>
      <c r="I2069" s="74" t="str">
        <f ca="1">IF(Table7[[#This Row],[Type]]="KILL",IF(_xlfn.NUMBERVALUE(RIGHT(Table7[[#This Row],[Min]],LEN(Table7[[#This Row],[Min]])-FIND("-",Table7[[#This Row],[Min]])))&gt;INDIRECT(ADDRESS(11+MATCH(LEFT(Table7[[#This Row],[Min]],FIND("-",Table7[[#This Row],[Min]])-1),Table1[Content Sku],0),16,1,1,"Entities")),"review","ok"),"ok")</f>
        <v>ok</v>
      </c>
      <c r="U2069" t="s">
        <v>398</v>
      </c>
      <c r="V2069">
        <v>0</v>
      </c>
      <c r="W2069">
        <v>0</v>
      </c>
      <c r="X2069" t="s">
        <v>8</v>
      </c>
      <c r="Y2069" s="74" t="str">
        <f ca="1">IF(Table15[[#This Row],[Type]]="KILL",IF(_xlfn.NUMBERVALUE(RIGHT(Table15[[#This Row],[Min]],LEN(Table15[[#This Row],[Min]])-FIND("-",Table15[[#This Row],[Min]])))&gt;INDIRECT(ADDRESS(11+MATCH(LEFT(Table15[[#This Row],[Min]],FIND("-",Table15[[#This Row],[Min]])-1),Table1[Content Sku],0),16,1,1,"Entities")),"review","ok"),"ok")</f>
        <v>ok</v>
      </c>
    </row>
    <row r="2070" spans="5:25" x14ac:dyDescent="0.25">
      <c r="E2070" t="s">
        <v>0</v>
      </c>
      <c r="F2070">
        <v>0</v>
      </c>
      <c r="G2070">
        <v>0</v>
      </c>
      <c r="H2070" t="s">
        <v>8</v>
      </c>
      <c r="I2070" s="74" t="str">
        <f ca="1">IF(Table7[[#This Row],[Type]]="KILL",IF(_xlfn.NUMBERVALUE(RIGHT(Table7[[#This Row],[Min]],LEN(Table7[[#This Row],[Min]])-FIND("-",Table7[[#This Row],[Min]])))&gt;INDIRECT(ADDRESS(11+MATCH(LEFT(Table7[[#This Row],[Min]],FIND("-",Table7[[#This Row],[Min]])-1),Table1[Content Sku],0),16,1,1,"Entities")),"review","ok"),"ok")</f>
        <v>ok</v>
      </c>
      <c r="U2070" t="s">
        <v>37</v>
      </c>
      <c r="V2070">
        <v>0</v>
      </c>
      <c r="W2070">
        <v>0</v>
      </c>
      <c r="X2070" t="s">
        <v>8</v>
      </c>
      <c r="Y2070" s="74" t="str">
        <f ca="1">IF(Table15[[#This Row],[Type]]="KILL",IF(_xlfn.NUMBERVALUE(RIGHT(Table15[[#This Row],[Min]],LEN(Table15[[#This Row],[Min]])-FIND("-",Table15[[#This Row],[Min]])))&gt;INDIRECT(ADDRESS(11+MATCH(LEFT(Table15[[#This Row],[Min]],FIND("-",Table15[[#This Row],[Min]])-1),Table1[Content Sku],0),16,1,1,"Entities")),"review","ok"),"ok")</f>
        <v>ok</v>
      </c>
    </row>
    <row r="2071" spans="5:25" x14ac:dyDescent="0.25">
      <c r="E2071" t="s">
        <v>258</v>
      </c>
      <c r="F2071">
        <v>32500</v>
      </c>
      <c r="G2071">
        <v>0</v>
      </c>
      <c r="H2071" t="s">
        <v>205</v>
      </c>
      <c r="I2071" s="74" t="str">
        <f ca="1">IF(Table7[[#This Row],[Type]]="KILL",IF(_xlfn.NUMBERVALUE(RIGHT(Table7[[#This Row],[Min]],LEN(Table7[[#This Row],[Min]])-FIND("-",Table7[[#This Row],[Min]])))&gt;INDIRECT(ADDRESS(11+MATCH(LEFT(Table7[[#This Row],[Min]],FIND("-",Table7[[#This Row],[Min]])-1),Table1[Content Sku],0),16,1,1,"Entities")),"review","ok"),"ok")</f>
        <v>ok</v>
      </c>
      <c r="U2071" t="s">
        <v>460</v>
      </c>
      <c r="V2071">
        <v>0</v>
      </c>
      <c r="W2071">
        <v>0</v>
      </c>
      <c r="X2071" t="s">
        <v>8</v>
      </c>
      <c r="Y2071" s="74" t="str">
        <f ca="1">IF(Table15[[#This Row],[Type]]="KILL",IF(_xlfn.NUMBERVALUE(RIGHT(Table15[[#This Row],[Min]],LEN(Table15[[#This Row],[Min]])-FIND("-",Table15[[#This Row],[Min]])))&gt;INDIRECT(ADDRESS(11+MATCH(LEFT(Table15[[#This Row],[Min]],FIND("-",Table15[[#This Row],[Min]])-1),Table1[Content Sku],0),16,1,1,"Entities")),"review","ok"),"ok")</f>
        <v>ok</v>
      </c>
    </row>
    <row r="2072" spans="5:25" x14ac:dyDescent="0.25">
      <c r="E2072" t="s">
        <v>295</v>
      </c>
      <c r="F2072">
        <v>0</v>
      </c>
      <c r="G2072">
        <v>0</v>
      </c>
      <c r="H2072" t="s">
        <v>8</v>
      </c>
      <c r="I2072" s="74" t="str">
        <f ca="1">IF(Table7[[#This Row],[Type]]="KILL",IF(_xlfn.NUMBERVALUE(RIGHT(Table7[[#This Row],[Min]],LEN(Table7[[#This Row],[Min]])-FIND("-",Table7[[#This Row],[Min]])))&gt;INDIRECT(ADDRESS(11+MATCH(LEFT(Table7[[#This Row],[Min]],FIND("-",Table7[[#This Row],[Min]])-1),Table1[Content Sku],0),16,1,1,"Entities")),"review","ok"),"ok")</f>
        <v>ok</v>
      </c>
      <c r="U2072" t="s">
        <v>37</v>
      </c>
      <c r="V2072">
        <v>0</v>
      </c>
      <c r="W2072">
        <v>0</v>
      </c>
      <c r="X2072" t="s">
        <v>8</v>
      </c>
      <c r="Y2072" s="74" t="str">
        <f ca="1">IF(Table15[[#This Row],[Type]]="KILL",IF(_xlfn.NUMBERVALUE(RIGHT(Table15[[#This Row],[Min]],LEN(Table15[[#This Row],[Min]])-FIND("-",Table15[[#This Row],[Min]])))&gt;INDIRECT(ADDRESS(11+MATCH(LEFT(Table15[[#This Row],[Min]],FIND("-",Table15[[#This Row],[Min]])-1),Table1[Content Sku],0),16,1,1,"Entities")),"review","ok"),"ok")</f>
        <v>ok</v>
      </c>
    </row>
    <row r="2073" spans="5:25" x14ac:dyDescent="0.25">
      <c r="E2073" t="s">
        <v>313</v>
      </c>
      <c r="F2073">
        <v>0</v>
      </c>
      <c r="G2073">
        <v>0</v>
      </c>
      <c r="H2073" t="s">
        <v>8</v>
      </c>
      <c r="I2073" s="74" t="str">
        <f ca="1">IF(Table7[[#This Row],[Type]]="KILL",IF(_xlfn.NUMBERVALUE(RIGHT(Table7[[#This Row],[Min]],LEN(Table7[[#This Row],[Min]])-FIND("-",Table7[[#This Row],[Min]])))&gt;INDIRECT(ADDRESS(11+MATCH(LEFT(Table7[[#This Row],[Min]],FIND("-",Table7[[#This Row],[Min]])-1),Table1[Content Sku],0),16,1,1,"Entities")),"review","ok"),"ok")</f>
        <v>ok</v>
      </c>
      <c r="U2073" t="s">
        <v>2720</v>
      </c>
      <c r="V2073">
        <v>0</v>
      </c>
      <c r="W2073">
        <v>32000</v>
      </c>
      <c r="X2073" t="s">
        <v>205</v>
      </c>
      <c r="Y2073" s="74" t="str">
        <f ca="1">IF(Table15[[#This Row],[Type]]="KILL",IF(_xlfn.NUMBERVALUE(RIGHT(Table15[[#This Row],[Min]],LEN(Table15[[#This Row],[Min]])-FIND("-",Table15[[#This Row],[Min]])))&gt;INDIRECT(ADDRESS(11+MATCH(LEFT(Table15[[#This Row],[Min]],FIND("-",Table15[[#This Row],[Min]])-1),Table1[Content Sku],0),16,1,1,"Entities")),"review","ok"),"ok")</f>
        <v>ok</v>
      </c>
    </row>
    <row r="2074" spans="5:25" x14ac:dyDescent="0.25">
      <c r="E2074" t="s">
        <v>2741</v>
      </c>
      <c r="F2074">
        <v>0</v>
      </c>
      <c r="G2074">
        <v>0</v>
      </c>
      <c r="H2074" t="s">
        <v>8</v>
      </c>
      <c r="I2074" s="74" t="str">
        <f ca="1">IF(Table7[[#This Row],[Type]]="KILL",IF(_xlfn.NUMBERVALUE(RIGHT(Table7[[#This Row],[Min]],LEN(Table7[[#This Row],[Min]])-FIND("-",Table7[[#This Row],[Min]])))&gt;INDIRECT(ADDRESS(11+MATCH(LEFT(Table7[[#This Row],[Min]],FIND("-",Table7[[#This Row],[Min]])-1),Table1[Content Sku],0),16,1,1,"Entities")),"review","ok"),"ok")</f>
        <v>ok</v>
      </c>
      <c r="U2074" t="s">
        <v>37</v>
      </c>
      <c r="V2074">
        <v>0</v>
      </c>
      <c r="W2074">
        <v>0</v>
      </c>
      <c r="X2074" t="s">
        <v>8</v>
      </c>
      <c r="Y2074" s="74" t="str">
        <f ca="1">IF(Table15[[#This Row],[Type]]="KILL",IF(_xlfn.NUMBERVALUE(RIGHT(Table15[[#This Row],[Min]],LEN(Table15[[#This Row],[Min]])-FIND("-",Table15[[#This Row],[Min]])))&gt;INDIRECT(ADDRESS(11+MATCH(LEFT(Table15[[#This Row],[Min]],FIND("-",Table15[[#This Row],[Min]])-1),Table1[Content Sku],0),16,1,1,"Entities")),"review","ok"),"ok")</f>
        <v>ok</v>
      </c>
    </row>
    <row r="2075" spans="5:25" x14ac:dyDescent="0.25">
      <c r="E2075" t="s">
        <v>257</v>
      </c>
      <c r="F2075">
        <v>6000</v>
      </c>
      <c r="G2075">
        <v>0</v>
      </c>
      <c r="H2075" t="s">
        <v>205</v>
      </c>
      <c r="I2075" s="74" t="str">
        <f ca="1">IF(Table7[[#This Row],[Type]]="KILL",IF(_xlfn.NUMBERVALUE(RIGHT(Table7[[#This Row],[Min]],LEN(Table7[[#This Row],[Min]])-FIND("-",Table7[[#This Row],[Min]])))&gt;INDIRECT(ADDRESS(11+MATCH(LEFT(Table7[[#This Row],[Min]],FIND("-",Table7[[#This Row],[Min]])-1),Table1[Content Sku],0),16,1,1,"Entities")),"review","ok"),"ok")</f>
        <v>ok</v>
      </c>
      <c r="U2075" t="s">
        <v>457</v>
      </c>
      <c r="V2075">
        <v>0</v>
      </c>
      <c r="W2075">
        <v>0</v>
      </c>
      <c r="X2075" t="s">
        <v>8</v>
      </c>
      <c r="Y2075" s="74" t="str">
        <f ca="1">IF(Table15[[#This Row],[Type]]="KILL",IF(_xlfn.NUMBERVALUE(RIGHT(Table15[[#This Row],[Min]],LEN(Table15[[#This Row],[Min]])-FIND("-",Table15[[#This Row],[Min]])))&gt;INDIRECT(ADDRESS(11+MATCH(LEFT(Table15[[#This Row],[Min]],FIND("-",Table15[[#This Row],[Min]])-1),Table1[Content Sku],0),16,1,1,"Entities")),"review","ok"),"ok")</f>
        <v>ok</v>
      </c>
    </row>
    <row r="2076" spans="5:25" x14ac:dyDescent="0.25">
      <c r="E2076" t="s">
        <v>0</v>
      </c>
      <c r="F2076">
        <v>9500</v>
      </c>
      <c r="G2076">
        <v>0</v>
      </c>
      <c r="H2076" t="s">
        <v>205</v>
      </c>
      <c r="I2076" s="74" t="str">
        <f ca="1">IF(Table7[[#This Row],[Type]]="KILL",IF(_xlfn.NUMBERVALUE(RIGHT(Table7[[#This Row],[Min]],LEN(Table7[[#This Row],[Min]])-FIND("-",Table7[[#This Row],[Min]])))&gt;INDIRECT(ADDRESS(11+MATCH(LEFT(Table7[[#This Row],[Min]],FIND("-",Table7[[#This Row],[Min]])-1),Table1[Content Sku],0),16,1,1,"Entities")),"review","ok"),"ok")</f>
        <v>ok</v>
      </c>
      <c r="U2076" t="s">
        <v>548</v>
      </c>
      <c r="V2076">
        <v>0</v>
      </c>
      <c r="W2076">
        <v>0</v>
      </c>
      <c r="X2076" t="s">
        <v>8</v>
      </c>
      <c r="Y2076" s="74" t="str">
        <f ca="1">IF(Table15[[#This Row],[Type]]="KILL",IF(_xlfn.NUMBERVALUE(RIGHT(Table15[[#This Row],[Min]],LEN(Table15[[#This Row],[Min]])-FIND("-",Table15[[#This Row],[Min]])))&gt;INDIRECT(ADDRESS(11+MATCH(LEFT(Table15[[#This Row],[Min]],FIND("-",Table15[[#This Row],[Min]])-1),Table1[Content Sku],0),16,1,1,"Entities")),"review","ok"),"ok")</f>
        <v>ok</v>
      </c>
    </row>
    <row r="2077" spans="5:25" x14ac:dyDescent="0.25">
      <c r="E2077" t="s">
        <v>123</v>
      </c>
      <c r="F2077">
        <v>900</v>
      </c>
      <c r="G2077">
        <v>0</v>
      </c>
      <c r="H2077" t="s">
        <v>205</v>
      </c>
      <c r="I2077" s="74" t="str">
        <f ca="1">IF(Table7[[#This Row],[Type]]="KILL",IF(_xlfn.NUMBERVALUE(RIGHT(Table7[[#This Row],[Min]],LEN(Table7[[#This Row],[Min]])-FIND("-",Table7[[#This Row],[Min]])))&gt;INDIRECT(ADDRESS(11+MATCH(LEFT(Table7[[#This Row],[Min]],FIND("-",Table7[[#This Row],[Min]])-1),Table1[Content Sku],0),16,1,1,"Entities")),"review","ok"),"ok")</f>
        <v>ok</v>
      </c>
      <c r="U2077" t="s">
        <v>2720</v>
      </c>
      <c r="V2077">
        <v>0</v>
      </c>
      <c r="W2077">
        <v>0</v>
      </c>
      <c r="X2077" t="s">
        <v>8</v>
      </c>
      <c r="Y2077" s="74" t="str">
        <f ca="1">IF(Table15[[#This Row],[Type]]="KILL",IF(_xlfn.NUMBERVALUE(RIGHT(Table15[[#This Row],[Min]],LEN(Table15[[#This Row],[Min]])-FIND("-",Table15[[#This Row],[Min]])))&gt;INDIRECT(ADDRESS(11+MATCH(LEFT(Table15[[#This Row],[Min]],FIND("-",Table15[[#This Row],[Min]])-1),Table1[Content Sku],0),16,1,1,"Entities")),"review","ok"),"ok")</f>
        <v>ok</v>
      </c>
    </row>
    <row r="2078" spans="5:25" x14ac:dyDescent="0.25">
      <c r="E2078" t="s">
        <v>313</v>
      </c>
      <c r="F2078">
        <v>0</v>
      </c>
      <c r="G2078">
        <v>13000</v>
      </c>
      <c r="H2078" t="s">
        <v>205</v>
      </c>
      <c r="I2078" s="74" t="str">
        <f ca="1">IF(Table7[[#This Row],[Type]]="KILL",IF(_xlfn.NUMBERVALUE(RIGHT(Table7[[#This Row],[Min]],LEN(Table7[[#This Row],[Min]])-FIND("-",Table7[[#This Row],[Min]])))&gt;INDIRECT(ADDRESS(11+MATCH(LEFT(Table7[[#This Row],[Min]],FIND("-",Table7[[#This Row],[Min]])-1),Table1[Content Sku],0),16,1,1,"Entities")),"review","ok"),"ok")</f>
        <v>ok</v>
      </c>
      <c r="U2078" t="s">
        <v>37</v>
      </c>
      <c r="V2078">
        <v>0</v>
      </c>
      <c r="W2078">
        <v>0</v>
      </c>
      <c r="X2078" t="s">
        <v>8</v>
      </c>
      <c r="Y2078" s="74" t="str">
        <f ca="1">IF(Table15[[#This Row],[Type]]="KILL",IF(_xlfn.NUMBERVALUE(RIGHT(Table15[[#This Row],[Min]],LEN(Table15[[#This Row],[Min]])-FIND("-",Table15[[#This Row],[Min]])))&gt;INDIRECT(ADDRESS(11+MATCH(LEFT(Table15[[#This Row],[Min]],FIND("-",Table15[[#This Row],[Min]])-1),Table1[Content Sku],0),16,1,1,"Entities")),"review","ok"),"ok")</f>
        <v>ok</v>
      </c>
    </row>
    <row r="2079" spans="5:25" x14ac:dyDescent="0.25">
      <c r="E2079" t="s">
        <v>254</v>
      </c>
      <c r="F2079">
        <v>4500</v>
      </c>
      <c r="G2079">
        <v>0</v>
      </c>
      <c r="H2079" t="s">
        <v>205</v>
      </c>
      <c r="I2079" s="74" t="str">
        <f ca="1">IF(Table7[[#This Row],[Type]]="KILL",IF(_xlfn.NUMBERVALUE(RIGHT(Table7[[#This Row],[Min]],LEN(Table7[[#This Row],[Min]])-FIND("-",Table7[[#This Row],[Min]])))&gt;INDIRECT(ADDRESS(11+MATCH(LEFT(Table7[[#This Row],[Min]],FIND("-",Table7[[#This Row],[Min]])-1),Table1[Content Sku],0),16,1,1,"Entities")),"review","ok"),"ok")</f>
        <v>ok</v>
      </c>
      <c r="U2079" t="s">
        <v>457</v>
      </c>
      <c r="V2079">
        <v>0</v>
      </c>
      <c r="W2079">
        <v>0</v>
      </c>
      <c r="X2079" t="s">
        <v>8</v>
      </c>
      <c r="Y2079" s="74" t="str">
        <f ca="1">IF(Table15[[#This Row],[Type]]="KILL",IF(_xlfn.NUMBERVALUE(RIGHT(Table15[[#This Row],[Min]],LEN(Table15[[#This Row],[Min]])-FIND("-",Table15[[#This Row],[Min]])))&gt;INDIRECT(ADDRESS(11+MATCH(LEFT(Table15[[#This Row],[Min]],FIND("-",Table15[[#This Row],[Min]])-1),Table1[Content Sku],0),16,1,1,"Entities")),"review","ok"),"ok")</f>
        <v>ok</v>
      </c>
    </row>
    <row r="2080" spans="5:25" x14ac:dyDescent="0.25">
      <c r="E2080" t="s">
        <v>361</v>
      </c>
      <c r="F2080">
        <v>200</v>
      </c>
      <c r="G2080">
        <v>0</v>
      </c>
      <c r="H2080" t="s">
        <v>4431</v>
      </c>
      <c r="I2080" s="74" t="str">
        <f ca="1">IF(Table7[[#This Row],[Type]]="KILL",IF(_xlfn.NUMBERVALUE(RIGHT(Table7[[#This Row],[Min]],LEN(Table7[[#This Row],[Min]])-FIND("-",Table7[[#This Row],[Min]])))&gt;INDIRECT(ADDRESS(11+MATCH(LEFT(Table7[[#This Row],[Min]],FIND("-",Table7[[#This Row],[Min]])-1),Table1[Content Sku],0),16,1,1,"Entities")),"review","ok"),"ok")</f>
        <v>ok</v>
      </c>
      <c r="U2080" t="s">
        <v>2717</v>
      </c>
      <c r="V2080">
        <v>35000</v>
      </c>
      <c r="W2080">
        <v>0</v>
      </c>
      <c r="X2080" t="s">
        <v>205</v>
      </c>
      <c r="Y2080" s="74" t="str">
        <f ca="1">IF(Table15[[#This Row],[Type]]="KILL",IF(_xlfn.NUMBERVALUE(RIGHT(Table15[[#This Row],[Min]],LEN(Table15[[#This Row],[Min]])-FIND("-",Table15[[#This Row],[Min]])))&gt;INDIRECT(ADDRESS(11+MATCH(LEFT(Table15[[#This Row],[Min]],FIND("-",Table15[[#This Row],[Min]])-1),Table1[Content Sku],0),16,1,1,"Entities")),"review","ok"),"ok")</f>
        <v>ok</v>
      </c>
    </row>
    <row r="2081" spans="5:25" x14ac:dyDescent="0.25">
      <c r="E2081" t="s">
        <v>313</v>
      </c>
      <c r="F2081">
        <v>0</v>
      </c>
      <c r="G2081">
        <v>16000</v>
      </c>
      <c r="H2081" t="s">
        <v>205</v>
      </c>
      <c r="I2081" s="74" t="str">
        <f ca="1">IF(Table7[[#This Row],[Type]]="KILL",IF(_xlfn.NUMBERVALUE(RIGHT(Table7[[#This Row],[Min]],LEN(Table7[[#This Row],[Min]])-FIND("-",Table7[[#This Row],[Min]])))&gt;INDIRECT(ADDRESS(11+MATCH(LEFT(Table7[[#This Row],[Min]],FIND("-",Table7[[#This Row],[Min]])-1),Table1[Content Sku],0),16,1,1,"Entities")),"review","ok"),"ok")</f>
        <v>ok</v>
      </c>
      <c r="U2081" t="s">
        <v>22</v>
      </c>
      <c r="V2081">
        <v>0</v>
      </c>
      <c r="W2081">
        <v>0</v>
      </c>
      <c r="X2081" t="s">
        <v>8</v>
      </c>
      <c r="Y2081" s="74" t="str">
        <f ca="1">IF(Table15[[#This Row],[Type]]="KILL",IF(_xlfn.NUMBERVALUE(RIGHT(Table15[[#This Row],[Min]],LEN(Table15[[#This Row],[Min]])-FIND("-",Table15[[#This Row],[Min]])))&gt;INDIRECT(ADDRESS(11+MATCH(LEFT(Table15[[#This Row],[Min]],FIND("-",Table15[[#This Row],[Min]])-1),Table1[Content Sku],0),16,1,1,"Entities")),"review","ok"),"ok")</f>
        <v>ok</v>
      </c>
    </row>
    <row r="2082" spans="5:25" x14ac:dyDescent="0.25">
      <c r="E2082" t="s">
        <v>313</v>
      </c>
      <c r="F2082">
        <v>0</v>
      </c>
      <c r="G2082">
        <v>0</v>
      </c>
      <c r="H2082" t="s">
        <v>8</v>
      </c>
      <c r="I2082" s="74" t="str">
        <f ca="1">IF(Table7[[#This Row],[Type]]="KILL",IF(_xlfn.NUMBERVALUE(RIGHT(Table7[[#This Row],[Min]],LEN(Table7[[#This Row],[Min]])-FIND("-",Table7[[#This Row],[Min]])))&gt;INDIRECT(ADDRESS(11+MATCH(LEFT(Table7[[#This Row],[Min]],FIND("-",Table7[[#This Row],[Min]])-1),Table1[Content Sku],0),16,1,1,"Entities")),"review","ok"),"ok")</f>
        <v>ok</v>
      </c>
      <c r="U2082" t="s">
        <v>122</v>
      </c>
      <c r="V2082">
        <v>0</v>
      </c>
      <c r="W2082">
        <v>0</v>
      </c>
      <c r="X2082" t="s">
        <v>8</v>
      </c>
      <c r="Y2082" s="74" t="str">
        <f ca="1">IF(Table15[[#This Row],[Type]]="KILL",IF(_xlfn.NUMBERVALUE(RIGHT(Table15[[#This Row],[Min]],LEN(Table15[[#This Row],[Min]])-FIND("-",Table15[[#This Row],[Min]])))&gt;INDIRECT(ADDRESS(11+MATCH(LEFT(Table15[[#This Row],[Min]],FIND("-",Table15[[#This Row],[Min]])-1),Table1[Content Sku],0),16,1,1,"Entities")),"review","ok"),"ok")</f>
        <v>ok</v>
      </c>
    </row>
    <row r="2083" spans="5:25" x14ac:dyDescent="0.25">
      <c r="E2083" t="s">
        <v>8107</v>
      </c>
      <c r="F2083">
        <v>0</v>
      </c>
      <c r="G2083">
        <v>0</v>
      </c>
      <c r="H2083" t="s">
        <v>8</v>
      </c>
      <c r="I2083" s="74" t="str">
        <f ca="1">IF(Table7[[#This Row],[Type]]="KILL",IF(_xlfn.NUMBERVALUE(RIGHT(Table7[[#This Row],[Min]],LEN(Table7[[#This Row],[Min]])-FIND("-",Table7[[#This Row],[Min]])))&gt;INDIRECT(ADDRESS(11+MATCH(LEFT(Table7[[#This Row],[Min]],FIND("-",Table7[[#This Row],[Min]])-1),Table1[Content Sku],0),16,1,1,"Entities")),"review","ok"),"ok")</f>
        <v>ok</v>
      </c>
    </row>
    <row r="2084" spans="5:25" x14ac:dyDescent="0.25">
      <c r="E2084" t="s">
        <v>311</v>
      </c>
      <c r="F2084">
        <v>12100</v>
      </c>
      <c r="G2084">
        <v>0</v>
      </c>
      <c r="H2084" t="s">
        <v>205</v>
      </c>
      <c r="I2084" s="74" t="str">
        <f ca="1">IF(Table7[[#This Row],[Type]]="KILL",IF(_xlfn.NUMBERVALUE(RIGHT(Table7[[#This Row],[Min]],LEN(Table7[[#This Row],[Min]])-FIND("-",Table7[[#This Row],[Min]])))&gt;INDIRECT(ADDRESS(11+MATCH(LEFT(Table7[[#This Row],[Min]],FIND("-",Table7[[#This Row],[Min]])-1),Table1[Content Sku],0),16,1,1,"Entities")),"review","ok"),"ok")</f>
        <v>ok</v>
      </c>
    </row>
    <row r="2085" spans="5:25" x14ac:dyDescent="0.25">
      <c r="E2085" t="s">
        <v>2741</v>
      </c>
      <c r="F2085">
        <v>0</v>
      </c>
      <c r="G2085">
        <v>0</v>
      </c>
      <c r="H2085" t="s">
        <v>8</v>
      </c>
      <c r="I2085" s="74" t="str">
        <f ca="1">IF(Table7[[#This Row],[Type]]="KILL",IF(_xlfn.NUMBERVALUE(RIGHT(Table7[[#This Row],[Min]],LEN(Table7[[#This Row],[Min]])-FIND("-",Table7[[#This Row],[Min]])))&gt;INDIRECT(ADDRESS(11+MATCH(LEFT(Table7[[#This Row],[Min]],FIND("-",Table7[[#This Row],[Min]])-1),Table1[Content Sku],0),16,1,1,"Entities")),"review","ok"),"ok")</f>
        <v>ok</v>
      </c>
    </row>
    <row r="2086" spans="5:25" x14ac:dyDescent="0.25">
      <c r="E2086" t="s">
        <v>392</v>
      </c>
      <c r="F2086">
        <v>0</v>
      </c>
      <c r="G2086">
        <v>8000</v>
      </c>
      <c r="H2086" t="s">
        <v>205</v>
      </c>
      <c r="I2086" s="74" t="str">
        <f ca="1">IF(Table7[[#This Row],[Type]]="KILL",IF(_xlfn.NUMBERVALUE(RIGHT(Table7[[#This Row],[Min]],LEN(Table7[[#This Row],[Min]])-FIND("-",Table7[[#This Row],[Min]])))&gt;INDIRECT(ADDRESS(11+MATCH(LEFT(Table7[[#This Row],[Min]],FIND("-",Table7[[#This Row],[Min]])-1),Table1[Content Sku],0),16,1,1,"Entities")),"review","ok"),"ok")</f>
        <v>ok</v>
      </c>
    </row>
    <row r="2087" spans="5:25" x14ac:dyDescent="0.25">
      <c r="E2087" t="s">
        <v>2741</v>
      </c>
      <c r="F2087">
        <v>0</v>
      </c>
      <c r="G2087">
        <v>0</v>
      </c>
      <c r="H2087" t="s">
        <v>8</v>
      </c>
      <c r="I2087" s="74" t="str">
        <f ca="1">IF(Table7[[#This Row],[Type]]="KILL",IF(_xlfn.NUMBERVALUE(RIGHT(Table7[[#This Row],[Min]],LEN(Table7[[#This Row],[Min]])-FIND("-",Table7[[#This Row],[Min]])))&gt;INDIRECT(ADDRESS(11+MATCH(LEFT(Table7[[#This Row],[Min]],FIND("-",Table7[[#This Row],[Min]])-1),Table1[Content Sku],0),16,1,1,"Entities")),"review","ok"),"ok")</f>
        <v>ok</v>
      </c>
    </row>
    <row r="2088" spans="5:25" x14ac:dyDescent="0.25">
      <c r="E2088" t="s">
        <v>50</v>
      </c>
      <c r="F2088">
        <v>13000</v>
      </c>
      <c r="G2088">
        <v>0</v>
      </c>
      <c r="H2088" t="s">
        <v>205</v>
      </c>
      <c r="I2088" s="74" t="str">
        <f ca="1">IF(Table7[[#This Row],[Type]]="KILL",IF(_xlfn.NUMBERVALUE(RIGHT(Table7[[#This Row],[Min]],LEN(Table7[[#This Row],[Min]])-FIND("-",Table7[[#This Row],[Min]])))&gt;INDIRECT(ADDRESS(11+MATCH(LEFT(Table7[[#This Row],[Min]],FIND("-",Table7[[#This Row],[Min]])-1),Table1[Content Sku],0),16,1,1,"Entities")),"review","ok"),"ok")</f>
        <v>ok</v>
      </c>
    </row>
    <row r="2089" spans="5:25" x14ac:dyDescent="0.25">
      <c r="E2089" t="s">
        <v>49</v>
      </c>
      <c r="F2089">
        <v>12500</v>
      </c>
      <c r="G2089">
        <v>0</v>
      </c>
      <c r="H2089" t="s">
        <v>205</v>
      </c>
      <c r="I2089" s="74" t="str">
        <f ca="1">IF(Table7[[#This Row],[Type]]="KILL",IF(_xlfn.NUMBERVALUE(RIGHT(Table7[[#This Row],[Min]],LEN(Table7[[#This Row],[Min]])-FIND("-",Table7[[#This Row],[Min]])))&gt;INDIRECT(ADDRESS(11+MATCH(LEFT(Table7[[#This Row],[Min]],FIND("-",Table7[[#This Row],[Min]])-1),Table1[Content Sku],0),16,1,1,"Entities")),"review","ok"),"ok")</f>
        <v>ok</v>
      </c>
    </row>
    <row r="2090" spans="5:25" x14ac:dyDescent="0.25">
      <c r="E2090" t="s">
        <v>8103</v>
      </c>
      <c r="F2090">
        <v>50000</v>
      </c>
      <c r="G2090">
        <v>0</v>
      </c>
      <c r="H2090" t="s">
        <v>205</v>
      </c>
      <c r="I2090" s="74" t="str">
        <f ca="1">IF(Table7[[#This Row],[Type]]="KILL",IF(_xlfn.NUMBERVALUE(RIGHT(Table7[[#This Row],[Min]],LEN(Table7[[#This Row],[Min]])-FIND("-",Table7[[#This Row],[Min]])))&gt;INDIRECT(ADDRESS(11+MATCH(LEFT(Table7[[#This Row],[Min]],FIND("-",Table7[[#This Row],[Min]])-1),Table1[Content Sku],0),16,1,1,"Entities")),"review","ok"),"ok")</f>
        <v>ok</v>
      </c>
    </row>
    <row r="2091" spans="5:25" x14ac:dyDescent="0.25">
      <c r="E2091" t="s">
        <v>289</v>
      </c>
      <c r="F2091">
        <v>0</v>
      </c>
      <c r="G2091">
        <v>0</v>
      </c>
      <c r="H2091" t="s">
        <v>8</v>
      </c>
      <c r="I2091" s="74" t="str">
        <f ca="1">IF(Table7[[#This Row],[Type]]="KILL",IF(_xlfn.NUMBERVALUE(RIGHT(Table7[[#This Row],[Min]],LEN(Table7[[#This Row],[Min]])-FIND("-",Table7[[#This Row],[Min]])))&gt;INDIRECT(ADDRESS(11+MATCH(LEFT(Table7[[#This Row],[Min]],FIND("-",Table7[[#This Row],[Min]])-1),Table1[Content Sku],0),16,1,1,"Entities")),"review","ok"),"ok")</f>
        <v>ok</v>
      </c>
    </row>
    <row r="2092" spans="5:25" x14ac:dyDescent="0.25">
      <c r="E2092" t="s">
        <v>95</v>
      </c>
      <c r="F2092">
        <v>0</v>
      </c>
      <c r="G2092">
        <v>0</v>
      </c>
      <c r="H2092" t="s">
        <v>8</v>
      </c>
      <c r="I2092" s="74" t="str">
        <f ca="1">IF(Table7[[#This Row],[Type]]="KILL",IF(_xlfn.NUMBERVALUE(RIGHT(Table7[[#This Row],[Min]],LEN(Table7[[#This Row],[Min]])-FIND("-",Table7[[#This Row],[Min]])))&gt;INDIRECT(ADDRESS(11+MATCH(LEFT(Table7[[#This Row],[Min]],FIND("-",Table7[[#This Row],[Min]])-1),Table1[Content Sku],0),16,1,1,"Entities")),"review","ok"),"ok")</f>
        <v>ok</v>
      </c>
    </row>
    <row r="2093" spans="5:25" x14ac:dyDescent="0.25">
      <c r="E2093" t="s">
        <v>254</v>
      </c>
      <c r="F2093">
        <v>0</v>
      </c>
      <c r="G2093">
        <v>0</v>
      </c>
      <c r="H2093" t="s">
        <v>8</v>
      </c>
      <c r="I2093" s="74" t="str">
        <f ca="1">IF(Table7[[#This Row],[Type]]="KILL",IF(_xlfn.NUMBERVALUE(RIGHT(Table7[[#This Row],[Min]],LEN(Table7[[#This Row],[Min]])-FIND("-",Table7[[#This Row],[Min]])))&gt;INDIRECT(ADDRESS(11+MATCH(LEFT(Table7[[#This Row],[Min]],FIND("-",Table7[[#This Row],[Min]])-1),Table1[Content Sku],0),16,1,1,"Entities")),"review","ok"),"ok")</f>
        <v>ok</v>
      </c>
    </row>
    <row r="2094" spans="5:25" x14ac:dyDescent="0.25">
      <c r="E2094" t="s">
        <v>2766</v>
      </c>
      <c r="F2094">
        <v>0</v>
      </c>
      <c r="G2094">
        <v>0</v>
      </c>
      <c r="H2094" t="s">
        <v>8</v>
      </c>
      <c r="I2094" s="74" t="str">
        <f ca="1">IF(Table7[[#This Row],[Type]]="KILL",IF(_xlfn.NUMBERVALUE(RIGHT(Table7[[#This Row],[Min]],LEN(Table7[[#This Row],[Min]])-FIND("-",Table7[[#This Row],[Min]])))&gt;INDIRECT(ADDRESS(11+MATCH(LEFT(Table7[[#This Row],[Min]],FIND("-",Table7[[#This Row],[Min]])-1),Table1[Content Sku],0),16,1,1,"Entities")),"review","ok"),"ok")</f>
        <v>ok</v>
      </c>
    </row>
    <row r="2095" spans="5:25" x14ac:dyDescent="0.25">
      <c r="E2095" t="s">
        <v>295</v>
      </c>
      <c r="F2095">
        <v>0</v>
      </c>
      <c r="G2095">
        <v>8000</v>
      </c>
      <c r="H2095" t="s">
        <v>205</v>
      </c>
      <c r="I2095" s="74" t="str">
        <f ca="1">IF(Table7[[#This Row],[Type]]="KILL",IF(_xlfn.NUMBERVALUE(RIGHT(Table7[[#This Row],[Min]],LEN(Table7[[#This Row],[Min]])-FIND("-",Table7[[#This Row],[Min]])))&gt;INDIRECT(ADDRESS(11+MATCH(LEFT(Table7[[#This Row],[Min]],FIND("-",Table7[[#This Row],[Min]])-1),Table1[Content Sku],0),16,1,1,"Entities")),"review","ok"),"ok")</f>
        <v>ok</v>
      </c>
    </row>
    <row r="2096" spans="5:25" x14ac:dyDescent="0.25">
      <c r="E2096" t="s">
        <v>311</v>
      </c>
      <c r="F2096">
        <v>16000</v>
      </c>
      <c r="G2096">
        <v>0</v>
      </c>
      <c r="H2096" t="s">
        <v>205</v>
      </c>
      <c r="I2096" s="74" t="str">
        <f ca="1">IF(Table7[[#This Row],[Type]]="KILL",IF(_xlfn.NUMBERVALUE(RIGHT(Table7[[#This Row],[Min]],LEN(Table7[[#This Row],[Min]])-FIND("-",Table7[[#This Row],[Min]])))&gt;INDIRECT(ADDRESS(11+MATCH(LEFT(Table7[[#This Row],[Min]],FIND("-",Table7[[#This Row],[Min]])-1),Table1[Content Sku],0),16,1,1,"Entities")),"review","ok"),"ok")</f>
        <v>ok</v>
      </c>
    </row>
    <row r="2097" spans="5:9" x14ac:dyDescent="0.25">
      <c r="E2097" t="s">
        <v>2741</v>
      </c>
      <c r="F2097">
        <v>0</v>
      </c>
      <c r="G2097">
        <v>0</v>
      </c>
      <c r="H2097" t="s">
        <v>8</v>
      </c>
      <c r="I2097" s="74" t="str">
        <f ca="1">IF(Table7[[#This Row],[Type]]="KILL",IF(_xlfn.NUMBERVALUE(RIGHT(Table7[[#This Row],[Min]],LEN(Table7[[#This Row],[Min]])-FIND("-",Table7[[#This Row],[Min]])))&gt;INDIRECT(ADDRESS(11+MATCH(LEFT(Table7[[#This Row],[Min]],FIND("-",Table7[[#This Row],[Min]])-1),Table1[Content Sku],0),16,1,1,"Entities")),"review","ok"),"ok")</f>
        <v>ok</v>
      </c>
    </row>
    <row r="2098" spans="5:9" x14ac:dyDescent="0.25">
      <c r="E2098" t="s">
        <v>46</v>
      </c>
      <c r="F2098">
        <v>0</v>
      </c>
      <c r="G2098">
        <v>0</v>
      </c>
      <c r="H2098" t="s">
        <v>8</v>
      </c>
      <c r="I2098" s="74" t="str">
        <f ca="1">IF(Table7[[#This Row],[Type]]="KILL",IF(_xlfn.NUMBERVALUE(RIGHT(Table7[[#This Row],[Min]],LEN(Table7[[#This Row],[Min]])-FIND("-",Table7[[#This Row],[Min]])))&gt;INDIRECT(ADDRESS(11+MATCH(LEFT(Table7[[#This Row],[Min]],FIND("-",Table7[[#This Row],[Min]])-1),Table1[Content Sku],0),16,1,1,"Entities")),"review","ok"),"ok")</f>
        <v>ok</v>
      </c>
    </row>
    <row r="2099" spans="5:9" x14ac:dyDescent="0.25">
      <c r="E2099" t="s">
        <v>311</v>
      </c>
      <c r="F2099">
        <v>0</v>
      </c>
      <c r="G2099">
        <v>0</v>
      </c>
      <c r="H2099" t="s">
        <v>8</v>
      </c>
      <c r="I2099" s="74" t="str">
        <f ca="1">IF(Table7[[#This Row],[Type]]="KILL",IF(_xlfn.NUMBERVALUE(RIGHT(Table7[[#This Row],[Min]],LEN(Table7[[#This Row],[Min]])-FIND("-",Table7[[#This Row],[Min]])))&gt;INDIRECT(ADDRESS(11+MATCH(LEFT(Table7[[#This Row],[Min]],FIND("-",Table7[[#This Row],[Min]])-1),Table1[Content Sku],0),16,1,1,"Entities")),"review","ok"),"ok")</f>
        <v>ok</v>
      </c>
    </row>
    <row r="2100" spans="5:9" x14ac:dyDescent="0.25">
      <c r="E2100" t="s">
        <v>2738</v>
      </c>
      <c r="F2100">
        <v>0</v>
      </c>
      <c r="G2100">
        <v>0</v>
      </c>
      <c r="H2100" t="s">
        <v>8</v>
      </c>
      <c r="I2100" s="74" t="str">
        <f ca="1">IF(Table7[[#This Row],[Type]]="KILL",IF(_xlfn.NUMBERVALUE(RIGHT(Table7[[#This Row],[Min]],LEN(Table7[[#This Row],[Min]])-FIND("-",Table7[[#This Row],[Min]])))&gt;INDIRECT(ADDRESS(11+MATCH(LEFT(Table7[[#This Row],[Min]],FIND("-",Table7[[#This Row],[Min]])-1),Table1[Content Sku],0),16,1,1,"Entities")),"review","ok"),"ok")</f>
        <v>ok</v>
      </c>
    </row>
    <row r="2101" spans="5:9" x14ac:dyDescent="0.25">
      <c r="E2101" t="s">
        <v>406</v>
      </c>
      <c r="F2101">
        <v>0</v>
      </c>
      <c r="G2101">
        <v>0</v>
      </c>
      <c r="H2101" t="s">
        <v>8</v>
      </c>
      <c r="I2101" s="74" t="str">
        <f ca="1">IF(Table7[[#This Row],[Type]]="KILL",IF(_xlfn.NUMBERVALUE(RIGHT(Table7[[#This Row],[Min]],LEN(Table7[[#This Row],[Min]])-FIND("-",Table7[[#This Row],[Min]])))&gt;INDIRECT(ADDRESS(11+MATCH(LEFT(Table7[[#This Row],[Min]],FIND("-",Table7[[#This Row],[Min]])-1),Table1[Content Sku],0),16,1,1,"Entities")),"review","ok"),"ok")</f>
        <v>ok</v>
      </c>
    </row>
    <row r="2102" spans="5:9" x14ac:dyDescent="0.25">
      <c r="E2102" t="s">
        <v>49</v>
      </c>
      <c r="F2102">
        <v>10000</v>
      </c>
      <c r="G2102">
        <v>0</v>
      </c>
      <c r="H2102" t="s">
        <v>205</v>
      </c>
      <c r="I2102" s="74" t="str">
        <f ca="1">IF(Table7[[#This Row],[Type]]="KILL",IF(_xlfn.NUMBERVALUE(RIGHT(Table7[[#This Row],[Min]],LEN(Table7[[#This Row],[Min]])-FIND("-",Table7[[#This Row],[Min]])))&gt;INDIRECT(ADDRESS(11+MATCH(LEFT(Table7[[#This Row],[Min]],FIND("-",Table7[[#This Row],[Min]])-1),Table1[Content Sku],0),16,1,1,"Entities")),"review","ok"),"ok")</f>
        <v>ok</v>
      </c>
    </row>
    <row r="2103" spans="5:9" x14ac:dyDescent="0.25">
      <c r="E2103" t="s">
        <v>39</v>
      </c>
      <c r="F2103">
        <v>6000</v>
      </c>
      <c r="G2103">
        <v>17000</v>
      </c>
      <c r="H2103" t="s">
        <v>205</v>
      </c>
      <c r="I2103" s="74" t="str">
        <f ca="1">IF(Table7[[#This Row],[Type]]="KILL",IF(_xlfn.NUMBERVALUE(RIGHT(Table7[[#This Row],[Min]],LEN(Table7[[#This Row],[Min]])-FIND("-",Table7[[#This Row],[Min]])))&gt;INDIRECT(ADDRESS(11+MATCH(LEFT(Table7[[#This Row],[Min]],FIND("-",Table7[[#This Row],[Min]])-1),Table1[Content Sku],0),16,1,1,"Entities")),"review","ok"),"ok")</f>
        <v>ok</v>
      </c>
    </row>
    <row r="2104" spans="5:9" x14ac:dyDescent="0.25">
      <c r="E2104" t="s">
        <v>2741</v>
      </c>
      <c r="F2104">
        <v>0</v>
      </c>
      <c r="G2104">
        <v>0</v>
      </c>
      <c r="H2104" t="s">
        <v>8</v>
      </c>
      <c r="I2104" s="74" t="str">
        <f ca="1">IF(Table7[[#This Row],[Type]]="KILL",IF(_xlfn.NUMBERVALUE(RIGHT(Table7[[#This Row],[Min]],LEN(Table7[[#This Row],[Min]])-FIND("-",Table7[[#This Row],[Min]])))&gt;INDIRECT(ADDRESS(11+MATCH(LEFT(Table7[[#This Row],[Min]],FIND("-",Table7[[#This Row],[Min]])-1),Table1[Content Sku],0),16,1,1,"Entities")),"review","ok"),"ok")</f>
        <v>ok</v>
      </c>
    </row>
    <row r="2105" spans="5:9" x14ac:dyDescent="0.25">
      <c r="E2105" t="s">
        <v>313</v>
      </c>
      <c r="F2105">
        <v>0</v>
      </c>
      <c r="G2105">
        <v>0</v>
      </c>
      <c r="H2105" t="s">
        <v>8</v>
      </c>
      <c r="I2105" s="74" t="str">
        <f ca="1">IF(Table7[[#This Row],[Type]]="KILL",IF(_xlfn.NUMBERVALUE(RIGHT(Table7[[#This Row],[Min]],LEN(Table7[[#This Row],[Min]])-FIND("-",Table7[[#This Row],[Min]])))&gt;INDIRECT(ADDRESS(11+MATCH(LEFT(Table7[[#This Row],[Min]],FIND("-",Table7[[#This Row],[Min]])-1),Table1[Content Sku],0),16,1,1,"Entities")),"review","ok"),"ok")</f>
        <v>ok</v>
      </c>
    </row>
    <row r="2106" spans="5:9" x14ac:dyDescent="0.25">
      <c r="E2106" t="s">
        <v>254</v>
      </c>
      <c r="F2106">
        <v>0</v>
      </c>
      <c r="G2106">
        <v>0</v>
      </c>
      <c r="H2106" t="s">
        <v>8</v>
      </c>
      <c r="I2106" s="74" t="str">
        <f ca="1">IF(Table7[[#This Row],[Type]]="KILL",IF(_xlfn.NUMBERVALUE(RIGHT(Table7[[#This Row],[Min]],LEN(Table7[[#This Row],[Min]])-FIND("-",Table7[[#This Row],[Min]])))&gt;INDIRECT(ADDRESS(11+MATCH(LEFT(Table7[[#This Row],[Min]],FIND("-",Table7[[#This Row],[Min]])-1),Table1[Content Sku],0),16,1,1,"Entities")),"review","ok"),"ok")</f>
        <v>ok</v>
      </c>
    </row>
    <row r="2107" spans="5:9" x14ac:dyDescent="0.25">
      <c r="E2107" t="s">
        <v>0</v>
      </c>
      <c r="F2107">
        <v>0</v>
      </c>
      <c r="G2107">
        <v>0</v>
      </c>
      <c r="H2107" t="s">
        <v>8</v>
      </c>
      <c r="I2107" s="74" t="str">
        <f ca="1">IF(Table7[[#This Row],[Type]]="KILL",IF(_xlfn.NUMBERVALUE(RIGHT(Table7[[#This Row],[Min]],LEN(Table7[[#This Row],[Min]])-FIND("-",Table7[[#This Row],[Min]])))&gt;INDIRECT(ADDRESS(11+MATCH(LEFT(Table7[[#This Row],[Min]],FIND("-",Table7[[#This Row],[Min]])-1),Table1[Content Sku],0),16,1,1,"Entities")),"review","ok"),"ok")</f>
        <v>ok</v>
      </c>
    </row>
    <row r="2108" spans="5:9" x14ac:dyDescent="0.25">
      <c r="E2108" t="s">
        <v>40</v>
      </c>
      <c r="F2108">
        <v>0</v>
      </c>
      <c r="G2108">
        <v>0</v>
      </c>
      <c r="H2108" t="s">
        <v>8</v>
      </c>
      <c r="I2108" s="74" t="str">
        <f ca="1">IF(Table7[[#This Row],[Type]]="KILL",IF(_xlfn.NUMBERVALUE(RIGHT(Table7[[#This Row],[Min]],LEN(Table7[[#This Row],[Min]])-FIND("-",Table7[[#This Row],[Min]])))&gt;INDIRECT(ADDRESS(11+MATCH(LEFT(Table7[[#This Row],[Min]],FIND("-",Table7[[#This Row],[Min]])-1),Table1[Content Sku],0),16,1,1,"Entities")),"review","ok"),"ok")</f>
        <v>ok</v>
      </c>
    </row>
    <row r="2109" spans="5:9" x14ac:dyDescent="0.25">
      <c r="E2109" t="s">
        <v>254</v>
      </c>
      <c r="F2109">
        <v>0</v>
      </c>
      <c r="G2109">
        <v>0</v>
      </c>
      <c r="H2109" t="s">
        <v>8</v>
      </c>
      <c r="I2109" s="74" t="str">
        <f ca="1">IF(Table7[[#This Row],[Type]]="KILL",IF(_xlfn.NUMBERVALUE(RIGHT(Table7[[#This Row],[Min]],LEN(Table7[[#This Row],[Min]])-FIND("-",Table7[[#This Row],[Min]])))&gt;INDIRECT(ADDRESS(11+MATCH(LEFT(Table7[[#This Row],[Min]],FIND("-",Table7[[#This Row],[Min]])-1),Table1[Content Sku],0),16,1,1,"Entities")),"review","ok"),"ok")</f>
        <v>ok</v>
      </c>
    </row>
    <row r="2110" spans="5:9" x14ac:dyDescent="0.25">
      <c r="E2110" t="s">
        <v>396</v>
      </c>
      <c r="F2110">
        <v>20500</v>
      </c>
      <c r="G2110">
        <v>0</v>
      </c>
      <c r="H2110" t="s">
        <v>205</v>
      </c>
      <c r="I2110" s="74" t="str">
        <f ca="1">IF(Table7[[#This Row],[Type]]="KILL",IF(_xlfn.NUMBERVALUE(RIGHT(Table7[[#This Row],[Min]],LEN(Table7[[#This Row],[Min]])-FIND("-",Table7[[#This Row],[Min]])))&gt;INDIRECT(ADDRESS(11+MATCH(LEFT(Table7[[#This Row],[Min]],FIND("-",Table7[[#This Row],[Min]])-1),Table1[Content Sku],0),16,1,1,"Entities")),"review","ok"),"ok")</f>
        <v>ok</v>
      </c>
    </row>
    <row r="2111" spans="5:9" x14ac:dyDescent="0.25">
      <c r="E2111" t="s">
        <v>2766</v>
      </c>
      <c r="F2111">
        <v>0</v>
      </c>
      <c r="G2111">
        <v>0</v>
      </c>
      <c r="H2111" t="s">
        <v>8</v>
      </c>
      <c r="I2111" s="74" t="str">
        <f ca="1">IF(Table7[[#This Row],[Type]]="KILL",IF(_xlfn.NUMBERVALUE(RIGHT(Table7[[#This Row],[Min]],LEN(Table7[[#This Row],[Min]])-FIND("-",Table7[[#This Row],[Min]])))&gt;INDIRECT(ADDRESS(11+MATCH(LEFT(Table7[[#This Row],[Min]],FIND("-",Table7[[#This Row],[Min]])-1),Table1[Content Sku],0),16,1,1,"Entities")),"review","ok"),"ok")</f>
        <v>ok</v>
      </c>
    </row>
    <row r="2112" spans="5:9" x14ac:dyDescent="0.25">
      <c r="E2112" t="s">
        <v>311</v>
      </c>
      <c r="F2112">
        <v>0</v>
      </c>
      <c r="G2112">
        <v>0</v>
      </c>
      <c r="H2112" t="s">
        <v>8</v>
      </c>
      <c r="I2112" s="74" t="str">
        <f ca="1">IF(Table7[[#This Row],[Type]]="KILL",IF(_xlfn.NUMBERVALUE(RIGHT(Table7[[#This Row],[Min]],LEN(Table7[[#This Row],[Min]])-FIND("-",Table7[[#This Row],[Min]])))&gt;INDIRECT(ADDRESS(11+MATCH(LEFT(Table7[[#This Row],[Min]],FIND("-",Table7[[#This Row],[Min]])-1),Table1[Content Sku],0),16,1,1,"Entities")),"review","ok"),"ok")</f>
        <v>ok</v>
      </c>
    </row>
    <row r="2113" spans="5:9" x14ac:dyDescent="0.25">
      <c r="E2113" t="s">
        <v>253</v>
      </c>
      <c r="F2113">
        <v>0</v>
      </c>
      <c r="G2113">
        <v>35000</v>
      </c>
      <c r="H2113" t="s">
        <v>205</v>
      </c>
      <c r="I2113" s="74" t="str">
        <f ca="1">IF(Table7[[#This Row],[Type]]="KILL",IF(_xlfn.NUMBERVALUE(RIGHT(Table7[[#This Row],[Min]],LEN(Table7[[#This Row],[Min]])-FIND("-",Table7[[#This Row],[Min]])))&gt;INDIRECT(ADDRESS(11+MATCH(LEFT(Table7[[#This Row],[Min]],FIND("-",Table7[[#This Row],[Min]])-1),Table1[Content Sku],0),16,1,1,"Entities")),"review","ok"),"ok")</f>
        <v>ok</v>
      </c>
    </row>
    <row r="2114" spans="5:9" x14ac:dyDescent="0.25">
      <c r="E2114" t="s">
        <v>48</v>
      </c>
      <c r="F2114">
        <v>0</v>
      </c>
      <c r="G2114">
        <v>18000</v>
      </c>
      <c r="H2114" t="s">
        <v>205</v>
      </c>
      <c r="I2114" s="74" t="str">
        <f ca="1">IF(Table7[[#This Row],[Type]]="KILL",IF(_xlfn.NUMBERVALUE(RIGHT(Table7[[#This Row],[Min]],LEN(Table7[[#This Row],[Min]])-FIND("-",Table7[[#This Row],[Min]])))&gt;INDIRECT(ADDRESS(11+MATCH(LEFT(Table7[[#This Row],[Min]],FIND("-",Table7[[#This Row],[Min]])-1),Table1[Content Sku],0),16,1,1,"Entities")),"review","ok"),"ok")</f>
        <v>ok</v>
      </c>
    </row>
    <row r="2115" spans="5:9" x14ac:dyDescent="0.25">
      <c r="E2115" t="s">
        <v>396</v>
      </c>
      <c r="F2115">
        <v>25500</v>
      </c>
      <c r="G2115">
        <v>0</v>
      </c>
      <c r="H2115" t="s">
        <v>205</v>
      </c>
      <c r="I2115" s="74" t="str">
        <f ca="1">IF(Table7[[#This Row],[Type]]="KILL",IF(_xlfn.NUMBERVALUE(RIGHT(Table7[[#This Row],[Min]],LEN(Table7[[#This Row],[Min]])-FIND("-",Table7[[#This Row],[Min]])))&gt;INDIRECT(ADDRESS(11+MATCH(LEFT(Table7[[#This Row],[Min]],FIND("-",Table7[[#This Row],[Min]])-1),Table1[Content Sku],0),16,1,1,"Entities")),"review","ok"),"ok")</f>
        <v>ok</v>
      </c>
    </row>
    <row r="2116" spans="5:9" x14ac:dyDescent="0.25">
      <c r="E2116" t="s">
        <v>15</v>
      </c>
      <c r="F2116">
        <v>0</v>
      </c>
      <c r="G2116">
        <v>0</v>
      </c>
      <c r="H2116" t="s">
        <v>8</v>
      </c>
      <c r="I2116" s="74" t="str">
        <f ca="1">IF(Table7[[#This Row],[Type]]="KILL",IF(_xlfn.NUMBERVALUE(RIGHT(Table7[[#This Row],[Min]],LEN(Table7[[#This Row],[Min]])-FIND("-",Table7[[#This Row],[Min]])))&gt;INDIRECT(ADDRESS(11+MATCH(LEFT(Table7[[#This Row],[Min]],FIND("-",Table7[[#This Row],[Min]])-1),Table1[Content Sku],0),16,1,1,"Entities")),"review","ok"),"ok")</f>
        <v>ok</v>
      </c>
    </row>
    <row r="2117" spans="5:9" x14ac:dyDescent="0.25">
      <c r="E2117" t="s">
        <v>257</v>
      </c>
      <c r="F2117">
        <v>90</v>
      </c>
      <c r="G2117">
        <v>0</v>
      </c>
      <c r="H2117" t="s">
        <v>4431</v>
      </c>
      <c r="I2117" s="74" t="str">
        <f ca="1">IF(Table7[[#This Row],[Type]]="KILL",IF(_xlfn.NUMBERVALUE(RIGHT(Table7[[#This Row],[Min]],LEN(Table7[[#This Row],[Min]])-FIND("-",Table7[[#This Row],[Min]])))&gt;INDIRECT(ADDRESS(11+MATCH(LEFT(Table7[[#This Row],[Min]],FIND("-",Table7[[#This Row],[Min]])-1),Table1[Content Sku],0),16,1,1,"Entities")),"review","ok"),"ok")</f>
        <v>ok</v>
      </c>
    </row>
    <row r="2118" spans="5:9" x14ac:dyDescent="0.25">
      <c r="E2118" t="s">
        <v>2766</v>
      </c>
      <c r="F2118">
        <v>120</v>
      </c>
      <c r="G2118">
        <v>0</v>
      </c>
      <c r="H2118" t="s">
        <v>4431</v>
      </c>
      <c r="I2118" s="74" t="str">
        <f ca="1">IF(Table7[[#This Row],[Type]]="KILL",IF(_xlfn.NUMBERVALUE(RIGHT(Table7[[#This Row],[Min]],LEN(Table7[[#This Row],[Min]])-FIND("-",Table7[[#This Row],[Min]])))&gt;INDIRECT(ADDRESS(11+MATCH(LEFT(Table7[[#This Row],[Min]],FIND("-",Table7[[#This Row],[Min]])-1),Table1[Content Sku],0),16,1,1,"Entities")),"review","ok"),"ok")</f>
        <v>ok</v>
      </c>
    </row>
    <row r="2119" spans="5:9" x14ac:dyDescent="0.25">
      <c r="E2119" t="s">
        <v>8157</v>
      </c>
      <c r="F2119">
        <v>0</v>
      </c>
      <c r="G2119">
        <v>0</v>
      </c>
      <c r="H2119" t="s">
        <v>8</v>
      </c>
      <c r="I2119" s="74" t="str">
        <f ca="1">IF(Table7[[#This Row],[Type]]="KILL",IF(_xlfn.NUMBERVALUE(RIGHT(Table7[[#This Row],[Min]],LEN(Table7[[#This Row],[Min]])-FIND("-",Table7[[#This Row],[Min]])))&gt;INDIRECT(ADDRESS(11+MATCH(LEFT(Table7[[#This Row],[Min]],FIND("-",Table7[[#This Row],[Min]])-1),Table1[Content Sku],0),16,1,1,"Entities")),"review","ok"),"ok")</f>
        <v>ok</v>
      </c>
    </row>
    <row r="2120" spans="5:9" x14ac:dyDescent="0.25">
      <c r="E2120" t="s">
        <v>313</v>
      </c>
      <c r="F2120">
        <v>0</v>
      </c>
      <c r="G2120">
        <v>0</v>
      </c>
      <c r="H2120" t="s">
        <v>8</v>
      </c>
      <c r="I2120" s="74" t="str">
        <f ca="1">IF(Table7[[#This Row],[Type]]="KILL",IF(_xlfn.NUMBERVALUE(RIGHT(Table7[[#This Row],[Min]],LEN(Table7[[#This Row],[Min]])-FIND("-",Table7[[#This Row],[Min]])))&gt;INDIRECT(ADDRESS(11+MATCH(LEFT(Table7[[#This Row],[Min]],FIND("-",Table7[[#This Row],[Min]])-1),Table1[Content Sku],0),16,1,1,"Entities")),"review","ok"),"ok")</f>
        <v>ok</v>
      </c>
    </row>
    <row r="2121" spans="5:9" x14ac:dyDescent="0.25">
      <c r="E2121" t="s">
        <v>2741</v>
      </c>
      <c r="F2121">
        <v>0</v>
      </c>
      <c r="G2121">
        <v>0</v>
      </c>
      <c r="H2121" t="s">
        <v>8</v>
      </c>
      <c r="I2121" s="74" t="str">
        <f ca="1">IF(Table7[[#This Row],[Type]]="KILL",IF(_xlfn.NUMBERVALUE(RIGHT(Table7[[#This Row],[Min]],LEN(Table7[[#This Row],[Min]])-FIND("-",Table7[[#This Row],[Min]])))&gt;INDIRECT(ADDRESS(11+MATCH(LEFT(Table7[[#This Row],[Min]],FIND("-",Table7[[#This Row],[Min]])-1),Table1[Content Sku],0),16,1,1,"Entities")),"review","ok"),"ok")</f>
        <v>ok</v>
      </c>
    </row>
    <row r="2122" spans="5:9" x14ac:dyDescent="0.25">
      <c r="E2122" t="s">
        <v>313</v>
      </c>
      <c r="F2122">
        <v>0</v>
      </c>
      <c r="G2122">
        <v>0</v>
      </c>
      <c r="H2122" t="s">
        <v>8</v>
      </c>
      <c r="I2122" s="74" t="str">
        <f ca="1">IF(Table7[[#This Row],[Type]]="KILL",IF(_xlfn.NUMBERVALUE(RIGHT(Table7[[#This Row],[Min]],LEN(Table7[[#This Row],[Min]])-FIND("-",Table7[[#This Row],[Min]])))&gt;INDIRECT(ADDRESS(11+MATCH(LEFT(Table7[[#This Row],[Min]],FIND("-",Table7[[#This Row],[Min]])-1),Table1[Content Sku],0),16,1,1,"Entities")),"review","ok"),"ok")</f>
        <v>ok</v>
      </c>
    </row>
    <row r="2123" spans="5:9" x14ac:dyDescent="0.25">
      <c r="E2123" t="s">
        <v>39</v>
      </c>
      <c r="F2123">
        <v>0</v>
      </c>
      <c r="G2123">
        <v>0</v>
      </c>
      <c r="H2123" t="s">
        <v>8</v>
      </c>
      <c r="I2123" s="74" t="str">
        <f ca="1">IF(Table7[[#This Row],[Type]]="KILL",IF(_xlfn.NUMBERVALUE(RIGHT(Table7[[#This Row],[Min]],LEN(Table7[[#This Row],[Min]])-FIND("-",Table7[[#This Row],[Min]])))&gt;INDIRECT(ADDRESS(11+MATCH(LEFT(Table7[[#This Row],[Min]],FIND("-",Table7[[#This Row],[Min]])-1),Table1[Content Sku],0),16,1,1,"Entities")),"review","ok"),"ok")</f>
        <v>ok</v>
      </c>
    </row>
    <row r="2124" spans="5:9" x14ac:dyDescent="0.25">
      <c r="E2124" t="s">
        <v>254</v>
      </c>
      <c r="F2124">
        <v>0</v>
      </c>
      <c r="G2124">
        <v>0</v>
      </c>
      <c r="H2124" t="s">
        <v>8</v>
      </c>
      <c r="I2124" s="74" t="str">
        <f ca="1">IF(Table7[[#This Row],[Type]]="KILL",IF(_xlfn.NUMBERVALUE(RIGHT(Table7[[#This Row],[Min]],LEN(Table7[[#This Row],[Min]])-FIND("-",Table7[[#This Row],[Min]])))&gt;INDIRECT(ADDRESS(11+MATCH(LEFT(Table7[[#This Row],[Min]],FIND("-",Table7[[#This Row],[Min]])-1),Table1[Content Sku],0),16,1,1,"Entities")),"review","ok"),"ok")</f>
        <v>ok</v>
      </c>
    </row>
    <row r="2125" spans="5:9" x14ac:dyDescent="0.25">
      <c r="E2125" t="s">
        <v>2734</v>
      </c>
      <c r="F2125">
        <v>0</v>
      </c>
      <c r="G2125">
        <v>0</v>
      </c>
      <c r="H2125" t="s">
        <v>8</v>
      </c>
      <c r="I2125" s="74" t="str">
        <f ca="1">IF(Table7[[#This Row],[Type]]="KILL",IF(_xlfn.NUMBERVALUE(RIGHT(Table7[[#This Row],[Min]],LEN(Table7[[#This Row],[Min]])-FIND("-",Table7[[#This Row],[Min]])))&gt;INDIRECT(ADDRESS(11+MATCH(LEFT(Table7[[#This Row],[Min]],FIND("-",Table7[[#This Row],[Min]])-1),Table1[Content Sku],0),16,1,1,"Entities")),"review","ok"),"ok")</f>
        <v>ok</v>
      </c>
    </row>
    <row r="2126" spans="5:9" x14ac:dyDescent="0.25">
      <c r="E2126" t="s">
        <v>40</v>
      </c>
      <c r="F2126">
        <v>20000</v>
      </c>
      <c r="G2126">
        <v>0</v>
      </c>
      <c r="H2126" t="s">
        <v>205</v>
      </c>
      <c r="I2126" s="74" t="str">
        <f ca="1">IF(Table7[[#This Row],[Type]]="KILL",IF(_xlfn.NUMBERVALUE(RIGHT(Table7[[#This Row],[Min]],LEN(Table7[[#This Row],[Min]])-FIND("-",Table7[[#This Row],[Min]])))&gt;INDIRECT(ADDRESS(11+MATCH(LEFT(Table7[[#This Row],[Min]],FIND("-",Table7[[#This Row],[Min]])-1),Table1[Content Sku],0),16,1,1,"Entities")),"review","ok"),"ok")</f>
        <v>ok</v>
      </c>
    </row>
    <row r="2127" spans="5:9" x14ac:dyDescent="0.25">
      <c r="E2127" t="s">
        <v>257</v>
      </c>
      <c r="F2127">
        <v>17000</v>
      </c>
      <c r="G2127">
        <v>0</v>
      </c>
      <c r="H2127" t="s">
        <v>205</v>
      </c>
      <c r="I2127" s="74" t="str">
        <f ca="1">IF(Table7[[#This Row],[Type]]="KILL",IF(_xlfn.NUMBERVALUE(RIGHT(Table7[[#This Row],[Min]],LEN(Table7[[#This Row],[Min]])-FIND("-",Table7[[#This Row],[Min]])))&gt;INDIRECT(ADDRESS(11+MATCH(LEFT(Table7[[#This Row],[Min]],FIND("-",Table7[[#This Row],[Min]])-1),Table1[Content Sku],0),16,1,1,"Entities")),"review","ok"),"ok")</f>
        <v>ok</v>
      </c>
    </row>
    <row r="2128" spans="5:9" x14ac:dyDescent="0.25">
      <c r="E2128" t="s">
        <v>258</v>
      </c>
      <c r="F2128">
        <v>60000</v>
      </c>
      <c r="G2128">
        <v>0</v>
      </c>
      <c r="H2128" t="s">
        <v>205</v>
      </c>
      <c r="I2128" s="74" t="str">
        <f ca="1">IF(Table7[[#This Row],[Type]]="KILL",IF(_xlfn.NUMBERVALUE(RIGHT(Table7[[#This Row],[Min]],LEN(Table7[[#This Row],[Min]])-FIND("-",Table7[[#This Row],[Min]])))&gt;INDIRECT(ADDRESS(11+MATCH(LEFT(Table7[[#This Row],[Min]],FIND("-",Table7[[#This Row],[Min]])-1),Table1[Content Sku],0),16,1,1,"Entities")),"review","ok"),"ok")</f>
        <v>ok</v>
      </c>
    </row>
    <row r="2129" spans="5:9" x14ac:dyDescent="0.25">
      <c r="E2129" t="s">
        <v>254</v>
      </c>
      <c r="F2129">
        <v>0</v>
      </c>
      <c r="G2129">
        <v>0</v>
      </c>
      <c r="H2129" t="s">
        <v>8</v>
      </c>
      <c r="I2129" s="74" t="str">
        <f ca="1">IF(Table7[[#This Row],[Type]]="KILL",IF(_xlfn.NUMBERVALUE(RIGHT(Table7[[#This Row],[Min]],LEN(Table7[[#This Row],[Min]])-FIND("-",Table7[[#This Row],[Min]])))&gt;INDIRECT(ADDRESS(11+MATCH(LEFT(Table7[[#This Row],[Min]],FIND("-",Table7[[#This Row],[Min]])-1),Table1[Content Sku],0),16,1,1,"Entities")),"review","ok"),"ok")</f>
        <v>ok</v>
      </c>
    </row>
    <row r="2130" spans="5:9" x14ac:dyDescent="0.25">
      <c r="E2130" t="s">
        <v>318</v>
      </c>
      <c r="F2130">
        <v>29000</v>
      </c>
      <c r="G2130">
        <v>0</v>
      </c>
      <c r="H2130" t="s">
        <v>205</v>
      </c>
      <c r="I2130" s="74" t="str">
        <f ca="1">IF(Table7[[#This Row],[Type]]="KILL",IF(_xlfn.NUMBERVALUE(RIGHT(Table7[[#This Row],[Min]],LEN(Table7[[#This Row],[Min]])-FIND("-",Table7[[#This Row],[Min]])))&gt;INDIRECT(ADDRESS(11+MATCH(LEFT(Table7[[#This Row],[Min]],FIND("-",Table7[[#This Row],[Min]])-1),Table1[Content Sku],0),16,1,1,"Entities")),"review","ok"),"ok")</f>
        <v>ok</v>
      </c>
    </row>
    <row r="2131" spans="5:9" x14ac:dyDescent="0.25">
      <c r="E2131" t="s">
        <v>338</v>
      </c>
      <c r="F2131">
        <v>0</v>
      </c>
      <c r="G2131">
        <v>22000</v>
      </c>
      <c r="H2131" t="s">
        <v>205</v>
      </c>
      <c r="I2131" s="74" t="str">
        <f ca="1">IF(Table7[[#This Row],[Type]]="KILL",IF(_xlfn.NUMBERVALUE(RIGHT(Table7[[#This Row],[Min]],LEN(Table7[[#This Row],[Min]])-FIND("-",Table7[[#This Row],[Min]])))&gt;INDIRECT(ADDRESS(11+MATCH(LEFT(Table7[[#This Row],[Min]],FIND("-",Table7[[#This Row],[Min]])-1),Table1[Content Sku],0),16,1,1,"Entities")),"review","ok"),"ok")</f>
        <v>ok</v>
      </c>
    </row>
    <row r="2132" spans="5:9" x14ac:dyDescent="0.25">
      <c r="E2132" t="s">
        <v>257</v>
      </c>
      <c r="F2132">
        <v>30000</v>
      </c>
      <c r="G2132">
        <v>0</v>
      </c>
      <c r="H2132" t="s">
        <v>205</v>
      </c>
      <c r="I2132" s="74" t="str">
        <f ca="1">IF(Table7[[#This Row],[Type]]="KILL",IF(_xlfn.NUMBERVALUE(RIGHT(Table7[[#This Row],[Min]],LEN(Table7[[#This Row],[Min]])-FIND("-",Table7[[#This Row],[Min]])))&gt;INDIRECT(ADDRESS(11+MATCH(LEFT(Table7[[#This Row],[Min]],FIND("-",Table7[[#This Row],[Min]])-1),Table1[Content Sku],0),16,1,1,"Entities")),"review","ok"),"ok")</f>
        <v>ok</v>
      </c>
    </row>
    <row r="2133" spans="5:9" x14ac:dyDescent="0.25">
      <c r="E2133" t="s">
        <v>2741</v>
      </c>
      <c r="F2133">
        <v>0</v>
      </c>
      <c r="G2133">
        <v>0</v>
      </c>
      <c r="H2133" t="s">
        <v>8</v>
      </c>
      <c r="I2133" s="74" t="str">
        <f ca="1">IF(Table7[[#This Row],[Type]]="KILL",IF(_xlfn.NUMBERVALUE(RIGHT(Table7[[#This Row],[Min]],LEN(Table7[[#This Row],[Min]])-FIND("-",Table7[[#This Row],[Min]])))&gt;INDIRECT(ADDRESS(11+MATCH(LEFT(Table7[[#This Row],[Min]],FIND("-",Table7[[#This Row],[Min]])-1),Table1[Content Sku],0),16,1,1,"Entities")),"review","ok"),"ok")</f>
        <v>ok</v>
      </c>
    </row>
    <row r="2134" spans="5:9" x14ac:dyDescent="0.25">
      <c r="E2134" t="s">
        <v>2741</v>
      </c>
      <c r="F2134">
        <v>0</v>
      </c>
      <c r="G2134">
        <v>0</v>
      </c>
      <c r="H2134" t="s">
        <v>8</v>
      </c>
      <c r="I2134" s="74" t="str">
        <f ca="1">IF(Table7[[#This Row],[Type]]="KILL",IF(_xlfn.NUMBERVALUE(RIGHT(Table7[[#This Row],[Min]],LEN(Table7[[#This Row],[Min]])-FIND("-",Table7[[#This Row],[Min]])))&gt;INDIRECT(ADDRESS(11+MATCH(LEFT(Table7[[#This Row],[Min]],FIND("-",Table7[[#This Row],[Min]])-1),Table1[Content Sku],0),16,1,1,"Entities")),"review","ok"),"ok")</f>
        <v>ok</v>
      </c>
    </row>
    <row r="2135" spans="5:9" x14ac:dyDescent="0.25">
      <c r="E2135" t="s">
        <v>2741</v>
      </c>
      <c r="F2135">
        <v>0</v>
      </c>
      <c r="G2135">
        <v>0</v>
      </c>
      <c r="H2135" t="s">
        <v>8</v>
      </c>
      <c r="I2135" s="74" t="str">
        <f ca="1">IF(Table7[[#This Row],[Type]]="KILL",IF(_xlfn.NUMBERVALUE(RIGHT(Table7[[#This Row],[Min]],LEN(Table7[[#This Row],[Min]])-FIND("-",Table7[[#This Row],[Min]])))&gt;INDIRECT(ADDRESS(11+MATCH(LEFT(Table7[[#This Row],[Min]],FIND("-",Table7[[#This Row],[Min]])-1),Table1[Content Sku],0),16,1,1,"Entities")),"review","ok"),"ok")</f>
        <v>ok</v>
      </c>
    </row>
    <row r="2136" spans="5:9" x14ac:dyDescent="0.25">
      <c r="E2136" t="s">
        <v>2741</v>
      </c>
      <c r="F2136">
        <v>0</v>
      </c>
      <c r="G2136">
        <v>0</v>
      </c>
      <c r="H2136" t="s">
        <v>8</v>
      </c>
      <c r="I2136" s="74" t="str">
        <f ca="1">IF(Table7[[#This Row],[Type]]="KILL",IF(_xlfn.NUMBERVALUE(RIGHT(Table7[[#This Row],[Min]],LEN(Table7[[#This Row],[Min]])-FIND("-",Table7[[#This Row],[Min]])))&gt;INDIRECT(ADDRESS(11+MATCH(LEFT(Table7[[#This Row],[Min]],FIND("-",Table7[[#This Row],[Min]])-1),Table1[Content Sku],0),16,1,1,"Entities")),"review","ok"),"ok")</f>
        <v>ok</v>
      </c>
    </row>
    <row r="2137" spans="5:9" x14ac:dyDescent="0.25">
      <c r="E2137" t="s">
        <v>2738</v>
      </c>
      <c r="F2137">
        <v>0</v>
      </c>
      <c r="G2137">
        <v>0</v>
      </c>
      <c r="H2137" t="s">
        <v>8</v>
      </c>
      <c r="I2137" s="74" t="str">
        <f ca="1">IF(Table7[[#This Row],[Type]]="KILL",IF(_xlfn.NUMBERVALUE(RIGHT(Table7[[#This Row],[Min]],LEN(Table7[[#This Row],[Min]])-FIND("-",Table7[[#This Row],[Min]])))&gt;INDIRECT(ADDRESS(11+MATCH(LEFT(Table7[[#This Row],[Min]],FIND("-",Table7[[#This Row],[Min]])-1),Table1[Content Sku],0),16,1,1,"Entities")),"review","ok"),"ok")</f>
        <v>ok</v>
      </c>
    </row>
    <row r="2138" spans="5:9" x14ac:dyDescent="0.25">
      <c r="E2138" t="s">
        <v>2741</v>
      </c>
      <c r="F2138">
        <v>0</v>
      </c>
      <c r="G2138">
        <v>0</v>
      </c>
      <c r="H2138" t="s">
        <v>8</v>
      </c>
      <c r="I2138" s="74" t="str">
        <f ca="1">IF(Table7[[#This Row],[Type]]="KILL",IF(_xlfn.NUMBERVALUE(RIGHT(Table7[[#This Row],[Min]],LEN(Table7[[#This Row],[Min]])-FIND("-",Table7[[#This Row],[Min]])))&gt;INDIRECT(ADDRESS(11+MATCH(LEFT(Table7[[#This Row],[Min]],FIND("-",Table7[[#This Row],[Min]])-1),Table1[Content Sku],0),16,1,1,"Entities")),"review","ok"),"ok")</f>
        <v>ok</v>
      </c>
    </row>
    <row r="2139" spans="5:9" x14ac:dyDescent="0.25">
      <c r="E2139" t="s">
        <v>8133</v>
      </c>
      <c r="F2139">
        <v>0</v>
      </c>
      <c r="G2139">
        <v>0</v>
      </c>
      <c r="H2139" t="s">
        <v>8</v>
      </c>
      <c r="I2139" s="74" t="str">
        <f ca="1">IF(Table7[[#This Row],[Type]]="KILL",IF(_xlfn.NUMBERVALUE(RIGHT(Table7[[#This Row],[Min]],LEN(Table7[[#This Row],[Min]])-FIND("-",Table7[[#This Row],[Min]])))&gt;INDIRECT(ADDRESS(11+MATCH(LEFT(Table7[[#This Row],[Min]],FIND("-",Table7[[#This Row],[Min]])-1),Table1[Content Sku],0),16,1,1,"Entities")),"review","ok"),"ok")</f>
        <v>ok</v>
      </c>
    </row>
    <row r="2140" spans="5:9" x14ac:dyDescent="0.25">
      <c r="E2140" t="s">
        <v>51</v>
      </c>
      <c r="F2140">
        <v>30000</v>
      </c>
      <c r="G2140">
        <v>0</v>
      </c>
      <c r="H2140" t="s">
        <v>205</v>
      </c>
      <c r="I2140" s="74" t="str">
        <f ca="1">IF(Table7[[#This Row],[Type]]="KILL",IF(_xlfn.NUMBERVALUE(RIGHT(Table7[[#This Row],[Min]],LEN(Table7[[#This Row],[Min]])-FIND("-",Table7[[#This Row],[Min]])))&gt;INDIRECT(ADDRESS(11+MATCH(LEFT(Table7[[#This Row],[Min]],FIND("-",Table7[[#This Row],[Min]])-1),Table1[Content Sku],0),16,1,1,"Entities")),"review","ok"),"ok")</f>
        <v>ok</v>
      </c>
    </row>
    <row r="2141" spans="5:9" x14ac:dyDescent="0.25">
      <c r="E2141" t="s">
        <v>273</v>
      </c>
      <c r="F2141">
        <v>12000</v>
      </c>
      <c r="G2141">
        <v>0</v>
      </c>
      <c r="H2141" t="s">
        <v>205</v>
      </c>
      <c r="I2141" s="74" t="str">
        <f ca="1">IF(Table7[[#This Row],[Type]]="KILL",IF(_xlfn.NUMBERVALUE(RIGHT(Table7[[#This Row],[Min]],LEN(Table7[[#This Row],[Min]])-FIND("-",Table7[[#This Row],[Min]])))&gt;INDIRECT(ADDRESS(11+MATCH(LEFT(Table7[[#This Row],[Min]],FIND("-",Table7[[#This Row],[Min]])-1),Table1[Content Sku],0),16,1,1,"Entities")),"review","ok"),"ok")</f>
        <v>ok</v>
      </c>
    </row>
    <row r="2142" spans="5:9" x14ac:dyDescent="0.25">
      <c r="E2142" t="s">
        <v>8133</v>
      </c>
      <c r="F2142">
        <v>0</v>
      </c>
      <c r="G2142">
        <v>0</v>
      </c>
      <c r="H2142" t="s">
        <v>8</v>
      </c>
      <c r="I2142" s="74" t="str">
        <f ca="1">IF(Table7[[#This Row],[Type]]="KILL",IF(_xlfn.NUMBERVALUE(RIGHT(Table7[[#This Row],[Min]],LEN(Table7[[#This Row],[Min]])-FIND("-",Table7[[#This Row],[Min]])))&gt;INDIRECT(ADDRESS(11+MATCH(LEFT(Table7[[#This Row],[Min]],FIND("-",Table7[[#This Row],[Min]])-1),Table1[Content Sku],0),16,1,1,"Entities")),"review","ok"),"ok")</f>
        <v>ok</v>
      </c>
    </row>
    <row r="2143" spans="5:9" x14ac:dyDescent="0.25">
      <c r="E2143" t="s">
        <v>40</v>
      </c>
      <c r="F2143">
        <v>4200</v>
      </c>
      <c r="G2143">
        <v>0</v>
      </c>
      <c r="H2143" t="s">
        <v>205</v>
      </c>
      <c r="I2143" s="74" t="str">
        <f ca="1">IF(Table7[[#This Row],[Type]]="KILL",IF(_xlfn.NUMBERVALUE(RIGHT(Table7[[#This Row],[Min]],LEN(Table7[[#This Row],[Min]])-FIND("-",Table7[[#This Row],[Min]])))&gt;INDIRECT(ADDRESS(11+MATCH(LEFT(Table7[[#This Row],[Min]],FIND("-",Table7[[#This Row],[Min]])-1),Table1[Content Sku],0),16,1,1,"Entities")),"review","ok"),"ok")</f>
        <v>ok</v>
      </c>
    </row>
    <row r="2144" spans="5:9" x14ac:dyDescent="0.25">
      <c r="E2144" t="s">
        <v>47</v>
      </c>
      <c r="F2144">
        <v>2200</v>
      </c>
      <c r="G2144">
        <v>7900</v>
      </c>
      <c r="H2144" t="s">
        <v>205</v>
      </c>
      <c r="I2144" s="74" t="str">
        <f ca="1">IF(Table7[[#This Row],[Type]]="KILL",IF(_xlfn.NUMBERVALUE(RIGHT(Table7[[#This Row],[Min]],LEN(Table7[[#This Row],[Min]])-FIND("-",Table7[[#This Row],[Min]])))&gt;INDIRECT(ADDRESS(11+MATCH(LEFT(Table7[[#This Row],[Min]],FIND("-",Table7[[#This Row],[Min]])-1),Table1[Content Sku],0),16,1,1,"Entities")),"review","ok"),"ok")</f>
        <v>ok</v>
      </c>
    </row>
    <row r="2145" spans="5:9" x14ac:dyDescent="0.25">
      <c r="E2145" t="s">
        <v>318</v>
      </c>
      <c r="F2145">
        <v>0</v>
      </c>
      <c r="G2145">
        <v>0</v>
      </c>
      <c r="H2145" t="s">
        <v>8</v>
      </c>
      <c r="I2145" s="74" t="str">
        <f ca="1">IF(Table7[[#This Row],[Type]]="KILL",IF(_xlfn.NUMBERVALUE(RIGHT(Table7[[#This Row],[Min]],LEN(Table7[[#This Row],[Min]])-FIND("-",Table7[[#This Row],[Min]])))&gt;INDIRECT(ADDRESS(11+MATCH(LEFT(Table7[[#This Row],[Min]],FIND("-",Table7[[#This Row],[Min]])-1),Table1[Content Sku],0),16,1,1,"Entities")),"review","ok"),"ok")</f>
        <v>ok</v>
      </c>
    </row>
    <row r="2146" spans="5:9" x14ac:dyDescent="0.25">
      <c r="E2146" t="s">
        <v>463</v>
      </c>
      <c r="F2146">
        <v>0</v>
      </c>
      <c r="G2146">
        <v>0</v>
      </c>
      <c r="H2146" t="s">
        <v>8</v>
      </c>
      <c r="I2146" s="74" t="str">
        <f ca="1">IF(Table7[[#This Row],[Type]]="KILL",IF(_xlfn.NUMBERVALUE(RIGHT(Table7[[#This Row],[Min]],LEN(Table7[[#This Row],[Min]])-FIND("-",Table7[[#This Row],[Min]])))&gt;INDIRECT(ADDRESS(11+MATCH(LEFT(Table7[[#This Row],[Min]],FIND("-",Table7[[#This Row],[Min]])-1),Table1[Content Sku],0),16,1,1,"Entities")),"review","ok"),"ok")</f>
        <v>ok</v>
      </c>
    </row>
    <row r="2147" spans="5:9" x14ac:dyDescent="0.25">
      <c r="E2147" t="s">
        <v>257</v>
      </c>
      <c r="F2147">
        <v>16000</v>
      </c>
      <c r="G2147">
        <v>0</v>
      </c>
      <c r="H2147" t="s">
        <v>205</v>
      </c>
      <c r="I2147" s="74" t="str">
        <f ca="1">IF(Table7[[#This Row],[Type]]="KILL",IF(_xlfn.NUMBERVALUE(RIGHT(Table7[[#This Row],[Min]],LEN(Table7[[#This Row],[Min]])-FIND("-",Table7[[#This Row],[Min]])))&gt;INDIRECT(ADDRESS(11+MATCH(LEFT(Table7[[#This Row],[Min]],FIND("-",Table7[[#This Row],[Min]])-1),Table1[Content Sku],0),16,1,1,"Entities")),"review","ok"),"ok")</f>
        <v>ok</v>
      </c>
    </row>
    <row r="2148" spans="5:9" x14ac:dyDescent="0.25">
      <c r="E2148" t="s">
        <v>318</v>
      </c>
      <c r="F2148">
        <v>0</v>
      </c>
      <c r="G2148">
        <v>0</v>
      </c>
      <c r="H2148" t="s">
        <v>8</v>
      </c>
      <c r="I2148" s="74" t="str">
        <f ca="1">IF(Table7[[#This Row],[Type]]="KILL",IF(_xlfn.NUMBERVALUE(RIGHT(Table7[[#This Row],[Min]],LEN(Table7[[#This Row],[Min]])-FIND("-",Table7[[#This Row],[Min]])))&gt;INDIRECT(ADDRESS(11+MATCH(LEFT(Table7[[#This Row],[Min]],FIND("-",Table7[[#This Row],[Min]])-1),Table1[Content Sku],0),16,1,1,"Entities")),"review","ok"),"ok")</f>
        <v>ok</v>
      </c>
    </row>
    <row r="2149" spans="5:9" x14ac:dyDescent="0.25">
      <c r="E2149" t="s">
        <v>313</v>
      </c>
      <c r="F2149">
        <v>0</v>
      </c>
      <c r="G2149">
        <v>26000</v>
      </c>
      <c r="H2149" t="s">
        <v>205</v>
      </c>
      <c r="I2149" s="74" t="str">
        <f ca="1">IF(Table7[[#This Row],[Type]]="KILL",IF(_xlfn.NUMBERVALUE(RIGHT(Table7[[#This Row],[Min]],LEN(Table7[[#This Row],[Min]])-FIND("-",Table7[[#This Row],[Min]])))&gt;INDIRECT(ADDRESS(11+MATCH(LEFT(Table7[[#This Row],[Min]],FIND("-",Table7[[#This Row],[Min]])-1),Table1[Content Sku],0),16,1,1,"Entities")),"review","ok"),"ok")</f>
        <v>ok</v>
      </c>
    </row>
    <row r="2150" spans="5:9" x14ac:dyDescent="0.25">
      <c r="E2150" t="s">
        <v>333</v>
      </c>
      <c r="F2150">
        <v>0</v>
      </c>
      <c r="G2150">
        <v>0</v>
      </c>
      <c r="H2150" t="s">
        <v>8</v>
      </c>
      <c r="I2150" s="74" t="str">
        <f ca="1">IF(Table7[[#This Row],[Type]]="KILL",IF(_xlfn.NUMBERVALUE(RIGHT(Table7[[#This Row],[Min]],LEN(Table7[[#This Row],[Min]])-FIND("-",Table7[[#This Row],[Min]])))&gt;INDIRECT(ADDRESS(11+MATCH(LEFT(Table7[[#This Row],[Min]],FIND("-",Table7[[#This Row],[Min]])-1),Table1[Content Sku],0),16,1,1,"Entities")),"review","ok"),"ok")</f>
        <v>ok</v>
      </c>
    </row>
    <row r="2151" spans="5:9" x14ac:dyDescent="0.25">
      <c r="E2151" t="s">
        <v>46</v>
      </c>
      <c r="F2151">
        <v>0</v>
      </c>
      <c r="G2151">
        <v>0</v>
      </c>
      <c r="H2151" t="s">
        <v>8</v>
      </c>
      <c r="I2151" s="74" t="str">
        <f ca="1">IF(Table7[[#This Row],[Type]]="KILL",IF(_xlfn.NUMBERVALUE(RIGHT(Table7[[#This Row],[Min]],LEN(Table7[[#This Row],[Min]])-FIND("-",Table7[[#This Row],[Min]])))&gt;INDIRECT(ADDRESS(11+MATCH(LEFT(Table7[[#This Row],[Min]],FIND("-",Table7[[#This Row],[Min]])-1),Table1[Content Sku],0),16,1,1,"Entities")),"review","ok"),"ok")</f>
        <v>ok</v>
      </c>
    </row>
    <row r="2152" spans="5:9" x14ac:dyDescent="0.25">
      <c r="E2152" t="s">
        <v>313</v>
      </c>
      <c r="F2152">
        <v>5000</v>
      </c>
      <c r="G2152">
        <v>0</v>
      </c>
      <c r="H2152" t="s">
        <v>205</v>
      </c>
      <c r="I2152" s="74" t="str">
        <f ca="1">IF(Table7[[#This Row],[Type]]="KILL",IF(_xlfn.NUMBERVALUE(RIGHT(Table7[[#This Row],[Min]],LEN(Table7[[#This Row],[Min]])-FIND("-",Table7[[#This Row],[Min]])))&gt;INDIRECT(ADDRESS(11+MATCH(LEFT(Table7[[#This Row],[Min]],FIND("-",Table7[[#This Row],[Min]])-1),Table1[Content Sku],0),16,1,1,"Entities")),"review","ok"),"ok")</f>
        <v>ok</v>
      </c>
    </row>
    <row r="2153" spans="5:9" x14ac:dyDescent="0.25">
      <c r="E2153" t="s">
        <v>313</v>
      </c>
      <c r="F2153">
        <v>0</v>
      </c>
      <c r="G2153">
        <v>0</v>
      </c>
      <c r="H2153" t="s">
        <v>8</v>
      </c>
      <c r="I2153" s="74" t="str">
        <f ca="1">IF(Table7[[#This Row],[Type]]="KILL",IF(_xlfn.NUMBERVALUE(RIGHT(Table7[[#This Row],[Min]],LEN(Table7[[#This Row],[Min]])-FIND("-",Table7[[#This Row],[Min]])))&gt;INDIRECT(ADDRESS(11+MATCH(LEFT(Table7[[#This Row],[Min]],FIND("-",Table7[[#This Row],[Min]])-1),Table1[Content Sku],0),16,1,1,"Entities")),"review","ok"),"ok")</f>
        <v>ok</v>
      </c>
    </row>
    <row r="2154" spans="5:9" x14ac:dyDescent="0.25">
      <c r="E2154" t="s">
        <v>313</v>
      </c>
      <c r="F2154">
        <v>0</v>
      </c>
      <c r="G2154">
        <v>0</v>
      </c>
      <c r="H2154" t="s">
        <v>8</v>
      </c>
      <c r="I2154" s="74" t="str">
        <f ca="1">IF(Table7[[#This Row],[Type]]="KILL",IF(_xlfn.NUMBERVALUE(RIGHT(Table7[[#This Row],[Min]],LEN(Table7[[#This Row],[Min]])-FIND("-",Table7[[#This Row],[Min]])))&gt;INDIRECT(ADDRESS(11+MATCH(LEFT(Table7[[#This Row],[Min]],FIND("-",Table7[[#This Row],[Min]])-1),Table1[Content Sku],0),16,1,1,"Entities")),"review","ok"),"ok")</f>
        <v>ok</v>
      </c>
    </row>
    <row r="2155" spans="5:9" x14ac:dyDescent="0.25">
      <c r="E2155" t="s">
        <v>338</v>
      </c>
      <c r="F2155">
        <v>0</v>
      </c>
      <c r="G2155">
        <v>27000</v>
      </c>
      <c r="H2155" t="s">
        <v>205</v>
      </c>
      <c r="I2155" s="74" t="str">
        <f ca="1">IF(Table7[[#This Row],[Type]]="KILL",IF(_xlfn.NUMBERVALUE(RIGHT(Table7[[#This Row],[Min]],LEN(Table7[[#This Row],[Min]])-FIND("-",Table7[[#This Row],[Min]])))&gt;INDIRECT(ADDRESS(11+MATCH(LEFT(Table7[[#This Row],[Min]],FIND("-",Table7[[#This Row],[Min]])-1),Table1[Content Sku],0),16,1,1,"Entities")),"review","ok"),"ok")</f>
        <v>ok</v>
      </c>
    </row>
    <row r="2156" spans="5:9" x14ac:dyDescent="0.25">
      <c r="E2156" t="s">
        <v>15</v>
      </c>
      <c r="F2156">
        <v>0</v>
      </c>
      <c r="G2156">
        <v>0</v>
      </c>
      <c r="H2156" t="s">
        <v>8</v>
      </c>
      <c r="I2156" s="74" t="str">
        <f ca="1">IF(Table7[[#This Row],[Type]]="KILL",IF(_xlfn.NUMBERVALUE(RIGHT(Table7[[#This Row],[Min]],LEN(Table7[[#This Row],[Min]])-FIND("-",Table7[[#This Row],[Min]])))&gt;INDIRECT(ADDRESS(11+MATCH(LEFT(Table7[[#This Row],[Min]],FIND("-",Table7[[#This Row],[Min]])-1),Table1[Content Sku],0),16,1,1,"Entities")),"review","ok"),"ok")</f>
        <v>ok</v>
      </c>
    </row>
    <row r="2157" spans="5:9" x14ac:dyDescent="0.25">
      <c r="E2157" t="s">
        <v>8133</v>
      </c>
      <c r="F2157">
        <v>0</v>
      </c>
      <c r="G2157">
        <v>0</v>
      </c>
      <c r="H2157" t="s">
        <v>8</v>
      </c>
      <c r="I2157" s="74" t="str">
        <f ca="1">IF(Table7[[#This Row],[Type]]="KILL",IF(_xlfn.NUMBERVALUE(RIGHT(Table7[[#This Row],[Min]],LEN(Table7[[#This Row],[Min]])-FIND("-",Table7[[#This Row],[Min]])))&gt;INDIRECT(ADDRESS(11+MATCH(LEFT(Table7[[#This Row],[Min]],FIND("-",Table7[[#This Row],[Min]])-1),Table1[Content Sku],0),16,1,1,"Entities")),"review","ok"),"ok")</f>
        <v>ok</v>
      </c>
    </row>
    <row r="2158" spans="5:9" x14ac:dyDescent="0.25">
      <c r="E2158" t="s">
        <v>340</v>
      </c>
      <c r="F2158">
        <v>0</v>
      </c>
      <c r="G2158">
        <v>0</v>
      </c>
      <c r="H2158" t="s">
        <v>8</v>
      </c>
      <c r="I2158" s="74" t="str">
        <f ca="1">IF(Table7[[#This Row],[Type]]="KILL",IF(_xlfn.NUMBERVALUE(RIGHT(Table7[[#This Row],[Min]],LEN(Table7[[#This Row],[Min]])-FIND("-",Table7[[#This Row],[Min]])))&gt;INDIRECT(ADDRESS(11+MATCH(LEFT(Table7[[#This Row],[Min]],FIND("-",Table7[[#This Row],[Min]])-1),Table1[Content Sku],0),16,1,1,"Entities")),"review","ok"),"ok")</f>
        <v>ok</v>
      </c>
    </row>
    <row r="2159" spans="5:9" x14ac:dyDescent="0.25">
      <c r="E2159" t="s">
        <v>313</v>
      </c>
      <c r="F2159">
        <v>0</v>
      </c>
      <c r="G2159">
        <v>0</v>
      </c>
      <c r="H2159" t="s">
        <v>8</v>
      </c>
      <c r="I2159" s="74" t="str">
        <f ca="1">IF(Table7[[#This Row],[Type]]="KILL",IF(_xlfn.NUMBERVALUE(RIGHT(Table7[[#This Row],[Min]],LEN(Table7[[#This Row],[Min]])-FIND("-",Table7[[#This Row],[Min]])))&gt;INDIRECT(ADDRESS(11+MATCH(LEFT(Table7[[#This Row],[Min]],FIND("-",Table7[[#This Row],[Min]])-1),Table1[Content Sku],0),16,1,1,"Entities")),"review","ok"),"ok")</f>
        <v>ok</v>
      </c>
    </row>
    <row r="2160" spans="5:9" x14ac:dyDescent="0.25">
      <c r="E2160" t="s">
        <v>273</v>
      </c>
      <c r="F2160">
        <v>17000</v>
      </c>
      <c r="G2160">
        <v>0</v>
      </c>
      <c r="H2160" t="s">
        <v>205</v>
      </c>
      <c r="I2160" s="74" t="str">
        <f ca="1">IF(Table7[[#This Row],[Type]]="KILL",IF(_xlfn.NUMBERVALUE(RIGHT(Table7[[#This Row],[Min]],LEN(Table7[[#This Row],[Min]])-FIND("-",Table7[[#This Row],[Min]])))&gt;INDIRECT(ADDRESS(11+MATCH(LEFT(Table7[[#This Row],[Min]],FIND("-",Table7[[#This Row],[Min]])-1),Table1[Content Sku],0),16,1,1,"Entities")),"review","ok"),"ok")</f>
        <v>ok</v>
      </c>
    </row>
    <row r="2161" spans="5:9" x14ac:dyDescent="0.25">
      <c r="E2161" t="s">
        <v>8133</v>
      </c>
      <c r="F2161">
        <v>0</v>
      </c>
      <c r="G2161">
        <v>0</v>
      </c>
      <c r="H2161" t="s">
        <v>8</v>
      </c>
      <c r="I2161" s="74" t="str">
        <f ca="1">IF(Table7[[#This Row],[Type]]="KILL",IF(_xlfn.NUMBERVALUE(RIGHT(Table7[[#This Row],[Min]],LEN(Table7[[#This Row],[Min]])-FIND("-",Table7[[#This Row],[Min]])))&gt;INDIRECT(ADDRESS(11+MATCH(LEFT(Table7[[#This Row],[Min]],FIND("-",Table7[[#This Row],[Min]])-1),Table1[Content Sku],0),16,1,1,"Entities")),"review","ok"),"ok")</f>
        <v>ok</v>
      </c>
    </row>
    <row r="2162" spans="5:9" x14ac:dyDescent="0.25">
      <c r="E2162" t="s">
        <v>2741</v>
      </c>
      <c r="F2162">
        <v>0</v>
      </c>
      <c r="G2162">
        <v>0</v>
      </c>
      <c r="H2162" t="s">
        <v>8</v>
      </c>
      <c r="I2162" s="74" t="str">
        <f ca="1">IF(Table7[[#This Row],[Type]]="KILL",IF(_xlfn.NUMBERVALUE(RIGHT(Table7[[#This Row],[Min]],LEN(Table7[[#This Row],[Min]])-FIND("-",Table7[[#This Row],[Min]])))&gt;INDIRECT(ADDRESS(11+MATCH(LEFT(Table7[[#This Row],[Min]],FIND("-",Table7[[#This Row],[Min]])-1),Table1[Content Sku],0),16,1,1,"Entities")),"review","ok"),"ok")</f>
        <v>ok</v>
      </c>
    </row>
    <row r="2163" spans="5:9" x14ac:dyDescent="0.25">
      <c r="E2163" t="s">
        <v>340</v>
      </c>
      <c r="F2163">
        <v>0</v>
      </c>
      <c r="G2163">
        <v>3000</v>
      </c>
      <c r="H2163" t="s">
        <v>205</v>
      </c>
      <c r="I2163" s="74" t="str">
        <f ca="1">IF(Table7[[#This Row],[Type]]="KILL",IF(_xlfn.NUMBERVALUE(RIGHT(Table7[[#This Row],[Min]],LEN(Table7[[#This Row],[Min]])-FIND("-",Table7[[#This Row],[Min]])))&gt;INDIRECT(ADDRESS(11+MATCH(LEFT(Table7[[#This Row],[Min]],FIND("-",Table7[[#This Row],[Min]])-1),Table1[Content Sku],0),16,1,1,"Entities")),"review","ok"),"ok")</f>
        <v>ok</v>
      </c>
    </row>
    <row r="2164" spans="5:9" x14ac:dyDescent="0.25">
      <c r="E2164" t="s">
        <v>8103</v>
      </c>
      <c r="F2164">
        <v>50000</v>
      </c>
      <c r="G2164">
        <v>0</v>
      </c>
      <c r="H2164" t="s">
        <v>205</v>
      </c>
      <c r="I2164" s="74" t="str">
        <f ca="1">IF(Table7[[#This Row],[Type]]="KILL",IF(_xlfn.NUMBERVALUE(RIGHT(Table7[[#This Row],[Min]],LEN(Table7[[#This Row],[Min]])-FIND("-",Table7[[#This Row],[Min]])))&gt;INDIRECT(ADDRESS(11+MATCH(LEFT(Table7[[#This Row],[Min]],FIND("-",Table7[[#This Row],[Min]])-1),Table1[Content Sku],0),16,1,1,"Entities")),"review","ok"),"ok")</f>
        <v>ok</v>
      </c>
    </row>
    <row r="2165" spans="5:9" x14ac:dyDescent="0.25">
      <c r="E2165" t="s">
        <v>123</v>
      </c>
      <c r="F2165">
        <v>0</v>
      </c>
      <c r="G2165">
        <v>8500</v>
      </c>
      <c r="H2165" t="s">
        <v>205</v>
      </c>
      <c r="I2165" s="74" t="str">
        <f ca="1">IF(Table7[[#This Row],[Type]]="KILL",IF(_xlfn.NUMBERVALUE(RIGHT(Table7[[#This Row],[Min]],LEN(Table7[[#This Row],[Min]])-FIND("-",Table7[[#This Row],[Min]])))&gt;INDIRECT(ADDRESS(11+MATCH(LEFT(Table7[[#This Row],[Min]],FIND("-",Table7[[#This Row],[Min]])-1),Table1[Content Sku],0),16,1,1,"Entities")),"review","ok"),"ok")</f>
        <v>ok</v>
      </c>
    </row>
    <row r="2166" spans="5:9" x14ac:dyDescent="0.25">
      <c r="E2166" t="s">
        <v>254</v>
      </c>
      <c r="F2166">
        <v>0</v>
      </c>
      <c r="G2166">
        <v>0</v>
      </c>
      <c r="H2166" t="s">
        <v>8</v>
      </c>
      <c r="I2166" s="74" t="str">
        <f ca="1">IF(Table7[[#This Row],[Type]]="KILL",IF(_xlfn.NUMBERVALUE(RIGHT(Table7[[#This Row],[Min]],LEN(Table7[[#This Row],[Min]])-FIND("-",Table7[[#This Row],[Min]])))&gt;INDIRECT(ADDRESS(11+MATCH(LEFT(Table7[[#This Row],[Min]],FIND("-",Table7[[#This Row],[Min]])-1),Table1[Content Sku],0),16,1,1,"Entities")),"review","ok"),"ok")</f>
        <v>ok</v>
      </c>
    </row>
    <row r="2167" spans="5:9" x14ac:dyDescent="0.25">
      <c r="E2167" t="s">
        <v>548</v>
      </c>
      <c r="F2167">
        <v>0</v>
      </c>
      <c r="G2167">
        <v>0</v>
      </c>
      <c r="H2167" t="s">
        <v>8</v>
      </c>
      <c r="I2167" s="74" t="str">
        <f ca="1">IF(Table7[[#This Row],[Type]]="KILL",IF(_xlfn.NUMBERVALUE(RIGHT(Table7[[#This Row],[Min]],LEN(Table7[[#This Row],[Min]])-FIND("-",Table7[[#This Row],[Min]])))&gt;INDIRECT(ADDRESS(11+MATCH(LEFT(Table7[[#This Row],[Min]],FIND("-",Table7[[#This Row],[Min]])-1),Table1[Content Sku],0),16,1,1,"Entities")),"review","ok"),"ok")</f>
        <v>ok</v>
      </c>
    </row>
    <row r="2168" spans="5:9" x14ac:dyDescent="0.25">
      <c r="E2168" t="s">
        <v>95</v>
      </c>
      <c r="F2168">
        <v>0</v>
      </c>
      <c r="G2168">
        <v>0</v>
      </c>
      <c r="H2168" t="s">
        <v>8</v>
      </c>
      <c r="I2168" s="74" t="str">
        <f ca="1">IF(Table7[[#This Row],[Type]]="KILL",IF(_xlfn.NUMBERVALUE(RIGHT(Table7[[#This Row],[Min]],LEN(Table7[[#This Row],[Min]])-FIND("-",Table7[[#This Row],[Min]])))&gt;INDIRECT(ADDRESS(11+MATCH(LEFT(Table7[[#This Row],[Min]],FIND("-",Table7[[#This Row],[Min]])-1),Table1[Content Sku],0),16,1,1,"Entities")),"review","ok"),"ok")</f>
        <v>ok</v>
      </c>
    </row>
    <row r="2169" spans="5:9" x14ac:dyDescent="0.25">
      <c r="E2169" t="s">
        <v>392</v>
      </c>
      <c r="F2169">
        <v>0</v>
      </c>
      <c r="G2169">
        <v>8000</v>
      </c>
      <c r="H2169" t="s">
        <v>205</v>
      </c>
      <c r="I2169" s="74" t="str">
        <f ca="1">IF(Table7[[#This Row],[Type]]="KILL",IF(_xlfn.NUMBERVALUE(RIGHT(Table7[[#This Row],[Min]],LEN(Table7[[#This Row],[Min]])-FIND("-",Table7[[#This Row],[Min]])))&gt;INDIRECT(ADDRESS(11+MATCH(LEFT(Table7[[#This Row],[Min]],FIND("-",Table7[[#This Row],[Min]])-1),Table1[Content Sku],0),16,1,1,"Entities")),"review","ok"),"ok")</f>
        <v>ok</v>
      </c>
    </row>
    <row r="2170" spans="5:9" x14ac:dyDescent="0.25">
      <c r="E2170" t="s">
        <v>286</v>
      </c>
      <c r="F2170">
        <v>0</v>
      </c>
      <c r="G2170">
        <v>0</v>
      </c>
      <c r="H2170" t="s">
        <v>8</v>
      </c>
      <c r="I2170" s="74" t="str">
        <f ca="1">IF(Table7[[#This Row],[Type]]="KILL",IF(_xlfn.NUMBERVALUE(RIGHT(Table7[[#This Row],[Min]],LEN(Table7[[#This Row],[Min]])-FIND("-",Table7[[#This Row],[Min]])))&gt;INDIRECT(ADDRESS(11+MATCH(LEFT(Table7[[#This Row],[Min]],FIND("-",Table7[[#This Row],[Min]])-1),Table1[Content Sku],0),16,1,1,"Entities")),"review","ok"),"ok")</f>
        <v>ok</v>
      </c>
    </row>
    <row r="2171" spans="5:9" x14ac:dyDescent="0.25">
      <c r="E2171" t="s">
        <v>406</v>
      </c>
      <c r="F2171">
        <v>0</v>
      </c>
      <c r="G2171">
        <v>0</v>
      </c>
      <c r="H2171" t="s">
        <v>8</v>
      </c>
      <c r="I2171" s="74" t="str">
        <f ca="1">IF(Table7[[#This Row],[Type]]="KILL",IF(_xlfn.NUMBERVALUE(RIGHT(Table7[[#This Row],[Min]],LEN(Table7[[#This Row],[Min]])-FIND("-",Table7[[#This Row],[Min]])))&gt;INDIRECT(ADDRESS(11+MATCH(LEFT(Table7[[#This Row],[Min]],FIND("-",Table7[[#This Row],[Min]])-1),Table1[Content Sku],0),16,1,1,"Entities")),"review","ok"),"ok")</f>
        <v>ok</v>
      </c>
    </row>
    <row r="2172" spans="5:9" x14ac:dyDescent="0.25">
      <c r="E2172" t="s">
        <v>336</v>
      </c>
      <c r="F2172">
        <v>40000</v>
      </c>
      <c r="G2172">
        <v>0</v>
      </c>
      <c r="H2172" t="s">
        <v>205</v>
      </c>
      <c r="I2172" s="74" t="str">
        <f ca="1">IF(Table7[[#This Row],[Type]]="KILL",IF(_xlfn.NUMBERVALUE(RIGHT(Table7[[#This Row],[Min]],LEN(Table7[[#This Row],[Min]])-FIND("-",Table7[[#This Row],[Min]])))&gt;INDIRECT(ADDRESS(11+MATCH(LEFT(Table7[[#This Row],[Min]],FIND("-",Table7[[#This Row],[Min]])-1),Table1[Content Sku],0),16,1,1,"Entities")),"review","ok"),"ok")</f>
        <v>ok</v>
      </c>
    </row>
    <row r="2173" spans="5:9" x14ac:dyDescent="0.25">
      <c r="E2173" t="s">
        <v>313</v>
      </c>
      <c r="F2173">
        <v>0</v>
      </c>
      <c r="G2173">
        <v>0</v>
      </c>
      <c r="H2173" t="s">
        <v>8</v>
      </c>
      <c r="I2173" s="74" t="str">
        <f ca="1">IF(Table7[[#This Row],[Type]]="KILL",IF(_xlfn.NUMBERVALUE(RIGHT(Table7[[#This Row],[Min]],LEN(Table7[[#This Row],[Min]])-FIND("-",Table7[[#This Row],[Min]])))&gt;INDIRECT(ADDRESS(11+MATCH(LEFT(Table7[[#This Row],[Min]],FIND("-",Table7[[#This Row],[Min]])-1),Table1[Content Sku],0),16,1,1,"Entities")),"review","ok"),"ok")</f>
        <v>ok</v>
      </c>
    </row>
    <row r="2174" spans="5:9" x14ac:dyDescent="0.25">
      <c r="E2174" t="s">
        <v>123</v>
      </c>
      <c r="F2174">
        <v>0</v>
      </c>
      <c r="G2174">
        <v>0</v>
      </c>
      <c r="H2174" t="s">
        <v>8</v>
      </c>
      <c r="I2174" s="74" t="str">
        <f ca="1">IF(Table7[[#This Row],[Type]]="KILL",IF(_xlfn.NUMBERVALUE(RIGHT(Table7[[#This Row],[Min]],LEN(Table7[[#This Row],[Min]])-FIND("-",Table7[[#This Row],[Min]])))&gt;INDIRECT(ADDRESS(11+MATCH(LEFT(Table7[[#This Row],[Min]],FIND("-",Table7[[#This Row],[Min]])-1),Table1[Content Sku],0),16,1,1,"Entities")),"review","ok"),"ok")</f>
        <v>ok</v>
      </c>
    </row>
    <row r="2175" spans="5:9" x14ac:dyDescent="0.25">
      <c r="E2175" t="s">
        <v>254</v>
      </c>
      <c r="F2175">
        <v>0</v>
      </c>
      <c r="G2175">
        <v>27000</v>
      </c>
      <c r="H2175" t="s">
        <v>205</v>
      </c>
      <c r="I2175" s="74" t="str">
        <f ca="1">IF(Table7[[#This Row],[Type]]="KILL",IF(_xlfn.NUMBERVALUE(RIGHT(Table7[[#This Row],[Min]],LEN(Table7[[#This Row],[Min]])-FIND("-",Table7[[#This Row],[Min]])))&gt;INDIRECT(ADDRESS(11+MATCH(LEFT(Table7[[#This Row],[Min]],FIND("-",Table7[[#This Row],[Min]])-1),Table1[Content Sku],0),16,1,1,"Entities")),"review","ok"),"ok")</f>
        <v>ok</v>
      </c>
    </row>
    <row r="2176" spans="5:9" x14ac:dyDescent="0.25">
      <c r="E2176" t="s">
        <v>95</v>
      </c>
      <c r="F2176">
        <v>0</v>
      </c>
      <c r="G2176">
        <v>0</v>
      </c>
      <c r="H2176" t="s">
        <v>8</v>
      </c>
      <c r="I2176" s="74" t="str">
        <f ca="1">IF(Table7[[#This Row],[Type]]="KILL",IF(_xlfn.NUMBERVALUE(RIGHT(Table7[[#This Row],[Min]],LEN(Table7[[#This Row],[Min]])-FIND("-",Table7[[#This Row],[Min]])))&gt;INDIRECT(ADDRESS(11+MATCH(LEFT(Table7[[#This Row],[Min]],FIND("-",Table7[[#This Row],[Min]])-1),Table1[Content Sku],0),16,1,1,"Entities")),"review","ok"),"ok")</f>
        <v>ok</v>
      </c>
    </row>
    <row r="2177" spans="5:9" x14ac:dyDescent="0.25">
      <c r="E2177" t="s">
        <v>254</v>
      </c>
      <c r="F2177">
        <v>0</v>
      </c>
      <c r="G2177">
        <v>0</v>
      </c>
      <c r="H2177" t="s">
        <v>8</v>
      </c>
      <c r="I2177" s="74" t="str">
        <f ca="1">IF(Table7[[#This Row],[Type]]="KILL",IF(_xlfn.NUMBERVALUE(RIGHT(Table7[[#This Row],[Min]],LEN(Table7[[#This Row],[Min]])-FIND("-",Table7[[#This Row],[Min]])))&gt;INDIRECT(ADDRESS(11+MATCH(LEFT(Table7[[#This Row],[Min]],FIND("-",Table7[[#This Row],[Min]])-1),Table1[Content Sku],0),16,1,1,"Entities")),"review","ok"),"ok")</f>
        <v>ok</v>
      </c>
    </row>
    <row r="2178" spans="5:9" x14ac:dyDescent="0.25">
      <c r="E2178" t="s">
        <v>254</v>
      </c>
      <c r="F2178">
        <v>0</v>
      </c>
      <c r="G2178">
        <v>0</v>
      </c>
      <c r="H2178" t="s">
        <v>8</v>
      </c>
      <c r="I2178" s="74" t="str">
        <f ca="1">IF(Table7[[#This Row],[Type]]="KILL",IF(_xlfn.NUMBERVALUE(RIGHT(Table7[[#This Row],[Min]],LEN(Table7[[#This Row],[Min]])-FIND("-",Table7[[#This Row],[Min]])))&gt;INDIRECT(ADDRESS(11+MATCH(LEFT(Table7[[#This Row],[Min]],FIND("-",Table7[[#This Row],[Min]])-1),Table1[Content Sku],0),16,1,1,"Entities")),"review","ok"),"ok")</f>
        <v>ok</v>
      </c>
    </row>
    <row r="2179" spans="5:9" x14ac:dyDescent="0.25">
      <c r="E2179" t="s">
        <v>338</v>
      </c>
      <c r="F2179">
        <v>0</v>
      </c>
      <c r="G2179">
        <v>22000</v>
      </c>
      <c r="H2179" t="s">
        <v>205</v>
      </c>
      <c r="I2179" s="74" t="str">
        <f ca="1">IF(Table7[[#This Row],[Type]]="KILL",IF(_xlfn.NUMBERVALUE(RIGHT(Table7[[#This Row],[Min]],LEN(Table7[[#This Row],[Min]])-FIND("-",Table7[[#This Row],[Min]])))&gt;INDIRECT(ADDRESS(11+MATCH(LEFT(Table7[[#This Row],[Min]],FIND("-",Table7[[#This Row],[Min]])-1),Table1[Content Sku],0),16,1,1,"Entities")),"review","ok"),"ok")</f>
        <v>ok</v>
      </c>
    </row>
    <row r="2180" spans="5:9" x14ac:dyDescent="0.25">
      <c r="E2180" t="s">
        <v>545</v>
      </c>
      <c r="F2180">
        <v>0</v>
      </c>
      <c r="G2180">
        <v>0</v>
      </c>
      <c r="H2180" t="s">
        <v>8</v>
      </c>
      <c r="I2180" s="74" t="str">
        <f ca="1">IF(Table7[[#This Row],[Type]]="KILL",IF(_xlfn.NUMBERVALUE(RIGHT(Table7[[#This Row],[Min]],LEN(Table7[[#This Row],[Min]])-FIND("-",Table7[[#This Row],[Min]])))&gt;INDIRECT(ADDRESS(11+MATCH(LEFT(Table7[[#This Row],[Min]],FIND("-",Table7[[#This Row],[Min]])-1),Table1[Content Sku],0),16,1,1,"Entities")),"review","ok"),"ok")</f>
        <v>ok</v>
      </c>
    </row>
    <row r="2181" spans="5:9" x14ac:dyDescent="0.25">
      <c r="E2181" t="s">
        <v>8133</v>
      </c>
      <c r="F2181">
        <v>0</v>
      </c>
      <c r="G2181">
        <v>0</v>
      </c>
      <c r="H2181" t="s">
        <v>8</v>
      </c>
      <c r="I2181" s="74" t="str">
        <f ca="1">IF(Table7[[#This Row],[Type]]="KILL",IF(_xlfn.NUMBERVALUE(RIGHT(Table7[[#This Row],[Min]],LEN(Table7[[#This Row],[Min]])-FIND("-",Table7[[#This Row],[Min]])))&gt;INDIRECT(ADDRESS(11+MATCH(LEFT(Table7[[#This Row],[Min]],FIND("-",Table7[[#This Row],[Min]])-1),Table1[Content Sku],0),16,1,1,"Entities")),"review","ok"),"ok")</f>
        <v>ok</v>
      </c>
    </row>
    <row r="2182" spans="5:9" x14ac:dyDescent="0.25">
      <c r="E2182" t="s">
        <v>8133</v>
      </c>
      <c r="F2182">
        <v>0</v>
      </c>
      <c r="G2182">
        <v>0</v>
      </c>
      <c r="H2182" t="s">
        <v>8</v>
      </c>
      <c r="I2182" s="74" t="str">
        <f ca="1">IF(Table7[[#This Row],[Type]]="KILL",IF(_xlfn.NUMBERVALUE(RIGHT(Table7[[#This Row],[Min]],LEN(Table7[[#This Row],[Min]])-FIND("-",Table7[[#This Row],[Min]])))&gt;INDIRECT(ADDRESS(11+MATCH(LEFT(Table7[[#This Row],[Min]],FIND("-",Table7[[#This Row],[Min]])-1),Table1[Content Sku],0),16,1,1,"Entities")),"review","ok"),"ok")</f>
        <v>ok</v>
      </c>
    </row>
    <row r="2183" spans="5:9" x14ac:dyDescent="0.25">
      <c r="E2183" t="s">
        <v>545</v>
      </c>
      <c r="F2183">
        <v>0</v>
      </c>
      <c r="G2183">
        <v>0</v>
      </c>
      <c r="H2183" t="s">
        <v>8</v>
      </c>
      <c r="I2183" s="74" t="str">
        <f ca="1">IF(Table7[[#This Row],[Type]]="KILL",IF(_xlfn.NUMBERVALUE(RIGHT(Table7[[#This Row],[Min]],LEN(Table7[[#This Row],[Min]])-FIND("-",Table7[[#This Row],[Min]])))&gt;INDIRECT(ADDRESS(11+MATCH(LEFT(Table7[[#This Row],[Min]],FIND("-",Table7[[#This Row],[Min]])-1),Table1[Content Sku],0),16,1,1,"Entities")),"review","ok"),"ok")</f>
        <v>ok</v>
      </c>
    </row>
    <row r="2184" spans="5:9" x14ac:dyDescent="0.25">
      <c r="E2184" t="s">
        <v>39</v>
      </c>
      <c r="F2184">
        <v>9500</v>
      </c>
      <c r="G2184">
        <v>0</v>
      </c>
      <c r="H2184" t="s">
        <v>205</v>
      </c>
      <c r="I2184" s="74" t="str">
        <f ca="1">IF(Table7[[#This Row],[Type]]="KILL",IF(_xlfn.NUMBERVALUE(RIGHT(Table7[[#This Row],[Min]],LEN(Table7[[#This Row],[Min]])-FIND("-",Table7[[#This Row],[Min]])))&gt;INDIRECT(ADDRESS(11+MATCH(LEFT(Table7[[#This Row],[Min]],FIND("-",Table7[[#This Row],[Min]])-1),Table1[Content Sku],0),16,1,1,"Entities")),"review","ok"),"ok")</f>
        <v>ok</v>
      </c>
    </row>
    <row r="2185" spans="5:9" x14ac:dyDescent="0.25">
      <c r="E2185" t="s">
        <v>46</v>
      </c>
      <c r="F2185">
        <v>0</v>
      </c>
      <c r="G2185">
        <v>0</v>
      </c>
      <c r="H2185" t="s">
        <v>8</v>
      </c>
      <c r="I2185" s="74" t="str">
        <f ca="1">IF(Table7[[#This Row],[Type]]="KILL",IF(_xlfn.NUMBERVALUE(RIGHT(Table7[[#This Row],[Min]],LEN(Table7[[#This Row],[Min]])-FIND("-",Table7[[#This Row],[Min]])))&gt;INDIRECT(ADDRESS(11+MATCH(LEFT(Table7[[#This Row],[Min]],FIND("-",Table7[[#This Row],[Min]])-1),Table1[Content Sku],0),16,1,1,"Entities")),"review","ok"),"ok")</f>
        <v>ok</v>
      </c>
    </row>
    <row r="2186" spans="5:9" x14ac:dyDescent="0.25">
      <c r="E2186" t="s">
        <v>254</v>
      </c>
      <c r="F2186">
        <v>0</v>
      </c>
      <c r="G2186">
        <v>0</v>
      </c>
      <c r="H2186" t="s">
        <v>8</v>
      </c>
      <c r="I2186" s="74" t="str">
        <f ca="1">IF(Table7[[#This Row],[Type]]="KILL",IF(_xlfn.NUMBERVALUE(RIGHT(Table7[[#This Row],[Min]],LEN(Table7[[#This Row],[Min]])-FIND("-",Table7[[#This Row],[Min]])))&gt;INDIRECT(ADDRESS(11+MATCH(LEFT(Table7[[#This Row],[Min]],FIND("-",Table7[[#This Row],[Min]])-1),Table1[Content Sku],0),16,1,1,"Entities")),"review","ok"),"ok")</f>
        <v>ok</v>
      </c>
    </row>
    <row r="2187" spans="5:9" x14ac:dyDescent="0.25">
      <c r="E2187" t="s">
        <v>95</v>
      </c>
      <c r="F2187">
        <v>0</v>
      </c>
      <c r="G2187">
        <v>29000</v>
      </c>
      <c r="H2187" t="s">
        <v>205</v>
      </c>
      <c r="I2187" s="74" t="str">
        <f ca="1">IF(Table7[[#This Row],[Type]]="KILL",IF(_xlfn.NUMBERVALUE(RIGHT(Table7[[#This Row],[Min]],LEN(Table7[[#This Row],[Min]])-FIND("-",Table7[[#This Row],[Min]])))&gt;INDIRECT(ADDRESS(11+MATCH(LEFT(Table7[[#This Row],[Min]],FIND("-",Table7[[#This Row],[Min]])-1),Table1[Content Sku],0),16,1,1,"Entities")),"review","ok"),"ok")</f>
        <v>ok</v>
      </c>
    </row>
    <row r="2188" spans="5:9" x14ac:dyDescent="0.25">
      <c r="E2188" t="s">
        <v>41</v>
      </c>
      <c r="F2188">
        <v>5000</v>
      </c>
      <c r="G2188">
        <v>0</v>
      </c>
      <c r="H2188" t="s">
        <v>205</v>
      </c>
      <c r="I2188" s="74" t="str">
        <f ca="1">IF(Table7[[#This Row],[Type]]="KILL",IF(_xlfn.NUMBERVALUE(RIGHT(Table7[[#This Row],[Min]],LEN(Table7[[#This Row],[Min]])-FIND("-",Table7[[#This Row],[Min]])))&gt;INDIRECT(ADDRESS(11+MATCH(LEFT(Table7[[#This Row],[Min]],FIND("-",Table7[[#This Row],[Min]])-1),Table1[Content Sku],0),16,1,1,"Entities")),"review","ok"),"ok")</f>
        <v>ok</v>
      </c>
    </row>
    <row r="2189" spans="5:9" x14ac:dyDescent="0.25">
      <c r="E2189" t="s">
        <v>311</v>
      </c>
      <c r="F2189">
        <v>0</v>
      </c>
      <c r="G2189">
        <v>0</v>
      </c>
      <c r="H2189" t="s">
        <v>8</v>
      </c>
      <c r="I2189" s="74" t="str">
        <f ca="1">IF(Table7[[#This Row],[Type]]="KILL",IF(_xlfn.NUMBERVALUE(RIGHT(Table7[[#This Row],[Min]],LEN(Table7[[#This Row],[Min]])-FIND("-",Table7[[#This Row],[Min]])))&gt;INDIRECT(ADDRESS(11+MATCH(LEFT(Table7[[#This Row],[Min]],FIND("-",Table7[[#This Row],[Min]])-1),Table1[Content Sku],0),16,1,1,"Entities")),"review","ok"),"ok")</f>
        <v>ok</v>
      </c>
    </row>
    <row r="2190" spans="5:9" x14ac:dyDescent="0.25">
      <c r="E2190" t="s">
        <v>545</v>
      </c>
      <c r="F2190">
        <v>0</v>
      </c>
      <c r="G2190">
        <v>0</v>
      </c>
      <c r="H2190" t="s">
        <v>8</v>
      </c>
      <c r="I2190" s="74" t="str">
        <f ca="1">IF(Table7[[#This Row],[Type]]="KILL",IF(_xlfn.NUMBERVALUE(RIGHT(Table7[[#This Row],[Min]],LEN(Table7[[#This Row],[Min]])-FIND("-",Table7[[#This Row],[Min]])))&gt;INDIRECT(ADDRESS(11+MATCH(LEFT(Table7[[#This Row],[Min]],FIND("-",Table7[[#This Row],[Min]])-1),Table1[Content Sku],0),16,1,1,"Entities")),"review","ok"),"ok")</f>
        <v>ok</v>
      </c>
    </row>
    <row r="2191" spans="5:9" x14ac:dyDescent="0.25">
      <c r="E2191" t="s">
        <v>286</v>
      </c>
      <c r="F2191">
        <v>0</v>
      </c>
      <c r="G2191">
        <v>0</v>
      </c>
      <c r="H2191" t="s">
        <v>8</v>
      </c>
      <c r="I2191" s="74" t="str">
        <f ca="1">IF(Table7[[#This Row],[Type]]="KILL",IF(_xlfn.NUMBERVALUE(RIGHT(Table7[[#This Row],[Min]],LEN(Table7[[#This Row],[Min]])-FIND("-",Table7[[#This Row],[Min]])))&gt;INDIRECT(ADDRESS(11+MATCH(LEFT(Table7[[#This Row],[Min]],FIND("-",Table7[[#This Row],[Min]])-1),Table1[Content Sku],0),16,1,1,"Entities")),"review","ok"),"ok")</f>
        <v>ok</v>
      </c>
    </row>
    <row r="2192" spans="5:9" x14ac:dyDescent="0.25">
      <c r="E2192" t="s">
        <v>253</v>
      </c>
      <c r="F2192">
        <v>0</v>
      </c>
      <c r="G2192">
        <v>0</v>
      </c>
      <c r="H2192" t="s">
        <v>8</v>
      </c>
      <c r="I2192" s="74" t="str">
        <f ca="1">IF(Table7[[#This Row],[Type]]="KILL",IF(_xlfn.NUMBERVALUE(RIGHT(Table7[[#This Row],[Min]],LEN(Table7[[#This Row],[Min]])-FIND("-",Table7[[#This Row],[Min]])))&gt;INDIRECT(ADDRESS(11+MATCH(LEFT(Table7[[#This Row],[Min]],FIND("-",Table7[[#This Row],[Min]])-1),Table1[Content Sku],0),16,1,1,"Entities")),"review","ok"),"ok")</f>
        <v>ok</v>
      </c>
    </row>
    <row r="2193" spans="5:9" x14ac:dyDescent="0.25">
      <c r="E2193" t="s">
        <v>46</v>
      </c>
      <c r="F2193">
        <v>0</v>
      </c>
      <c r="G2193">
        <v>0</v>
      </c>
      <c r="H2193" t="s">
        <v>8</v>
      </c>
      <c r="I2193" s="74" t="str">
        <f ca="1">IF(Table7[[#This Row],[Type]]="KILL",IF(_xlfn.NUMBERVALUE(RIGHT(Table7[[#This Row],[Min]],LEN(Table7[[#This Row],[Min]])-FIND("-",Table7[[#This Row],[Min]])))&gt;INDIRECT(ADDRESS(11+MATCH(LEFT(Table7[[#This Row],[Min]],FIND("-",Table7[[#This Row],[Min]])-1),Table1[Content Sku],0),16,1,1,"Entities")),"review","ok"),"ok")</f>
        <v>ok</v>
      </c>
    </row>
    <row r="2194" spans="5:9" x14ac:dyDescent="0.25">
      <c r="E2194" t="s">
        <v>313</v>
      </c>
      <c r="F2194">
        <v>0</v>
      </c>
      <c r="G2194">
        <v>14000</v>
      </c>
      <c r="H2194" t="s">
        <v>205</v>
      </c>
      <c r="I2194" s="74" t="str">
        <f ca="1">IF(Table7[[#This Row],[Type]]="KILL",IF(_xlfn.NUMBERVALUE(RIGHT(Table7[[#This Row],[Min]],LEN(Table7[[#This Row],[Min]])-FIND("-",Table7[[#This Row],[Min]])))&gt;INDIRECT(ADDRESS(11+MATCH(LEFT(Table7[[#This Row],[Min]],FIND("-",Table7[[#This Row],[Min]])-1),Table1[Content Sku],0),16,1,1,"Entities")),"review","ok"),"ok")</f>
        <v>ok</v>
      </c>
    </row>
    <row r="2195" spans="5:9" x14ac:dyDescent="0.25">
      <c r="E2195" t="s">
        <v>40</v>
      </c>
      <c r="F2195">
        <v>4000</v>
      </c>
      <c r="G2195">
        <v>0</v>
      </c>
      <c r="H2195" t="s">
        <v>205</v>
      </c>
      <c r="I2195" s="74" t="str">
        <f ca="1">IF(Table7[[#This Row],[Type]]="KILL",IF(_xlfn.NUMBERVALUE(RIGHT(Table7[[#This Row],[Min]],LEN(Table7[[#This Row],[Min]])-FIND("-",Table7[[#This Row],[Min]])))&gt;INDIRECT(ADDRESS(11+MATCH(LEFT(Table7[[#This Row],[Min]],FIND("-",Table7[[#This Row],[Min]])-1),Table1[Content Sku],0),16,1,1,"Entities")),"review","ok"),"ok")</f>
        <v>ok</v>
      </c>
    </row>
    <row r="2196" spans="5:9" x14ac:dyDescent="0.25">
      <c r="E2196" t="s">
        <v>2726</v>
      </c>
      <c r="F2196">
        <v>0</v>
      </c>
      <c r="G2196">
        <v>0</v>
      </c>
      <c r="H2196" t="s">
        <v>8</v>
      </c>
      <c r="I2196" s="74" t="str">
        <f ca="1">IF(Table7[[#This Row],[Type]]="KILL",IF(_xlfn.NUMBERVALUE(RIGHT(Table7[[#This Row],[Min]],LEN(Table7[[#This Row],[Min]])-FIND("-",Table7[[#This Row],[Min]])))&gt;INDIRECT(ADDRESS(11+MATCH(LEFT(Table7[[#This Row],[Min]],FIND("-",Table7[[#This Row],[Min]])-1),Table1[Content Sku],0),16,1,1,"Entities")),"review","ok"),"ok")</f>
        <v>ok</v>
      </c>
    </row>
    <row r="2197" spans="5:9" x14ac:dyDescent="0.25">
      <c r="E2197" t="s">
        <v>45</v>
      </c>
      <c r="F2197">
        <v>0</v>
      </c>
      <c r="G2197">
        <v>0</v>
      </c>
      <c r="H2197" t="s">
        <v>8</v>
      </c>
      <c r="I2197" s="74" t="str">
        <f ca="1">IF(Table7[[#This Row],[Type]]="KILL",IF(_xlfn.NUMBERVALUE(RIGHT(Table7[[#This Row],[Min]],LEN(Table7[[#This Row],[Min]])-FIND("-",Table7[[#This Row],[Min]])))&gt;INDIRECT(ADDRESS(11+MATCH(LEFT(Table7[[#This Row],[Min]],FIND("-",Table7[[#This Row],[Min]])-1),Table1[Content Sku],0),16,1,1,"Entities")),"review","ok"),"ok")</f>
        <v>ok</v>
      </c>
    </row>
    <row r="2198" spans="5:9" x14ac:dyDescent="0.25">
      <c r="E2198" t="s">
        <v>313</v>
      </c>
      <c r="F2198">
        <v>12000</v>
      </c>
      <c r="G2198">
        <v>0</v>
      </c>
      <c r="H2198" t="s">
        <v>205</v>
      </c>
      <c r="I2198" s="74" t="str">
        <f ca="1">IF(Table7[[#This Row],[Type]]="KILL",IF(_xlfn.NUMBERVALUE(RIGHT(Table7[[#This Row],[Min]],LEN(Table7[[#This Row],[Min]])-FIND("-",Table7[[#This Row],[Min]])))&gt;INDIRECT(ADDRESS(11+MATCH(LEFT(Table7[[#This Row],[Min]],FIND("-",Table7[[#This Row],[Min]])-1),Table1[Content Sku],0),16,1,1,"Entities")),"review","ok"),"ok")</f>
        <v>ok</v>
      </c>
    </row>
    <row r="2199" spans="5:9" x14ac:dyDescent="0.25">
      <c r="E2199" t="s">
        <v>313</v>
      </c>
      <c r="F2199">
        <v>6000</v>
      </c>
      <c r="G2199">
        <v>0</v>
      </c>
      <c r="H2199" t="s">
        <v>205</v>
      </c>
      <c r="I2199" s="74" t="str">
        <f ca="1">IF(Table7[[#This Row],[Type]]="KILL",IF(_xlfn.NUMBERVALUE(RIGHT(Table7[[#This Row],[Min]],LEN(Table7[[#This Row],[Min]])-FIND("-",Table7[[#This Row],[Min]])))&gt;INDIRECT(ADDRESS(11+MATCH(LEFT(Table7[[#This Row],[Min]],FIND("-",Table7[[#This Row],[Min]])-1),Table1[Content Sku],0),16,1,1,"Entities")),"review","ok"),"ok")</f>
        <v>ok</v>
      </c>
    </row>
    <row r="2200" spans="5:9" x14ac:dyDescent="0.25">
      <c r="E2200" t="s">
        <v>4</v>
      </c>
      <c r="F2200">
        <v>0</v>
      </c>
      <c r="G2200">
        <v>0</v>
      </c>
      <c r="H2200" t="s">
        <v>8</v>
      </c>
      <c r="I2200" s="74" t="str">
        <f ca="1">IF(Table7[[#This Row],[Type]]="KILL",IF(_xlfn.NUMBERVALUE(RIGHT(Table7[[#This Row],[Min]],LEN(Table7[[#This Row],[Min]])-FIND("-",Table7[[#This Row],[Min]])))&gt;INDIRECT(ADDRESS(11+MATCH(LEFT(Table7[[#This Row],[Min]],FIND("-",Table7[[#This Row],[Min]])-1),Table1[Content Sku],0),16,1,1,"Entities")),"review","ok"),"ok")</f>
        <v>ok</v>
      </c>
    </row>
    <row r="2201" spans="5:9" x14ac:dyDescent="0.25">
      <c r="E2201" t="s">
        <v>45</v>
      </c>
      <c r="F2201">
        <v>240</v>
      </c>
      <c r="G2201">
        <v>0</v>
      </c>
      <c r="H2201" t="s">
        <v>4431</v>
      </c>
      <c r="I2201" s="74" t="str">
        <f ca="1">IF(Table7[[#This Row],[Type]]="KILL",IF(_xlfn.NUMBERVALUE(RIGHT(Table7[[#This Row],[Min]],LEN(Table7[[#This Row],[Min]])-FIND("-",Table7[[#This Row],[Min]])))&gt;INDIRECT(ADDRESS(11+MATCH(LEFT(Table7[[#This Row],[Min]],FIND("-",Table7[[#This Row],[Min]])-1),Table1[Content Sku],0),16,1,1,"Entities")),"review","ok"),"ok")</f>
        <v>ok</v>
      </c>
    </row>
    <row r="2202" spans="5:9" x14ac:dyDescent="0.25">
      <c r="E2202" t="s">
        <v>50</v>
      </c>
      <c r="F2202">
        <v>18000</v>
      </c>
      <c r="G2202">
        <v>0</v>
      </c>
      <c r="H2202" t="s">
        <v>205</v>
      </c>
      <c r="I2202" s="74" t="str">
        <f ca="1">IF(Table7[[#This Row],[Type]]="KILL",IF(_xlfn.NUMBERVALUE(RIGHT(Table7[[#This Row],[Min]],LEN(Table7[[#This Row],[Min]])-FIND("-",Table7[[#This Row],[Min]])))&gt;INDIRECT(ADDRESS(11+MATCH(LEFT(Table7[[#This Row],[Min]],FIND("-",Table7[[#This Row],[Min]])-1),Table1[Content Sku],0),16,1,1,"Entities")),"review","ok"),"ok")</f>
        <v>ok</v>
      </c>
    </row>
    <row r="2203" spans="5:9" x14ac:dyDescent="0.25">
      <c r="E2203" t="s">
        <v>463</v>
      </c>
      <c r="F2203">
        <v>0</v>
      </c>
      <c r="G2203">
        <v>0</v>
      </c>
      <c r="H2203" t="s">
        <v>8</v>
      </c>
      <c r="I2203" s="74" t="str">
        <f ca="1">IF(Table7[[#This Row],[Type]]="KILL",IF(_xlfn.NUMBERVALUE(RIGHT(Table7[[#This Row],[Min]],LEN(Table7[[#This Row],[Min]])-FIND("-",Table7[[#This Row],[Min]])))&gt;INDIRECT(ADDRESS(11+MATCH(LEFT(Table7[[#This Row],[Min]],FIND("-",Table7[[#This Row],[Min]])-1),Table1[Content Sku],0),16,1,1,"Entities")),"review","ok"),"ok")</f>
        <v>ok</v>
      </c>
    </row>
    <row r="2204" spans="5:9" x14ac:dyDescent="0.25">
      <c r="E2204" t="s">
        <v>346</v>
      </c>
      <c r="F2204">
        <v>35000</v>
      </c>
      <c r="G2204">
        <v>0</v>
      </c>
      <c r="H2204" t="s">
        <v>205</v>
      </c>
      <c r="I2204" s="74" t="str">
        <f ca="1">IF(Table7[[#This Row],[Type]]="KILL",IF(_xlfn.NUMBERVALUE(RIGHT(Table7[[#This Row],[Min]],LEN(Table7[[#This Row],[Min]])-FIND("-",Table7[[#This Row],[Min]])))&gt;INDIRECT(ADDRESS(11+MATCH(LEFT(Table7[[#This Row],[Min]],FIND("-",Table7[[#This Row],[Min]])-1),Table1[Content Sku],0),16,1,1,"Entities")),"review","ok"),"ok")</f>
        <v>ok</v>
      </c>
    </row>
    <row r="2205" spans="5:9" x14ac:dyDescent="0.25">
      <c r="E2205" t="s">
        <v>315</v>
      </c>
      <c r="F2205">
        <v>0</v>
      </c>
      <c r="G2205">
        <v>0</v>
      </c>
      <c r="H2205" t="s">
        <v>8</v>
      </c>
      <c r="I2205" s="74" t="str">
        <f ca="1">IF(Table7[[#This Row],[Type]]="KILL",IF(_xlfn.NUMBERVALUE(RIGHT(Table7[[#This Row],[Min]],LEN(Table7[[#This Row],[Min]])-FIND("-",Table7[[#This Row],[Min]])))&gt;INDIRECT(ADDRESS(11+MATCH(LEFT(Table7[[#This Row],[Min]],FIND("-",Table7[[#This Row],[Min]])-1),Table1[Content Sku],0),16,1,1,"Entities")),"review","ok"),"ok")</f>
        <v>ok</v>
      </c>
    </row>
    <row r="2206" spans="5:9" x14ac:dyDescent="0.25">
      <c r="E2206" t="s">
        <v>8133</v>
      </c>
      <c r="F2206">
        <v>0</v>
      </c>
      <c r="G2206">
        <v>0</v>
      </c>
      <c r="H2206" t="s">
        <v>8</v>
      </c>
      <c r="I2206" s="74" t="str">
        <f ca="1">IF(Table7[[#This Row],[Type]]="KILL",IF(_xlfn.NUMBERVALUE(RIGHT(Table7[[#This Row],[Min]],LEN(Table7[[#This Row],[Min]])-FIND("-",Table7[[#This Row],[Min]])))&gt;INDIRECT(ADDRESS(11+MATCH(LEFT(Table7[[#This Row],[Min]],FIND("-",Table7[[#This Row],[Min]])-1),Table1[Content Sku],0),16,1,1,"Entities")),"review","ok"),"ok")</f>
        <v>ok</v>
      </c>
    </row>
    <row r="2207" spans="5:9" x14ac:dyDescent="0.25">
      <c r="E2207" t="s">
        <v>295</v>
      </c>
      <c r="F2207">
        <v>0</v>
      </c>
      <c r="G2207">
        <v>0</v>
      </c>
      <c r="H2207" t="s">
        <v>8</v>
      </c>
      <c r="I2207" s="74" t="str">
        <f ca="1">IF(Table7[[#This Row],[Type]]="KILL",IF(_xlfn.NUMBERVALUE(RIGHT(Table7[[#This Row],[Min]],LEN(Table7[[#This Row],[Min]])-FIND("-",Table7[[#This Row],[Min]])))&gt;INDIRECT(ADDRESS(11+MATCH(LEFT(Table7[[#This Row],[Min]],FIND("-",Table7[[#This Row],[Min]])-1),Table1[Content Sku],0),16,1,1,"Entities")),"review","ok"),"ok")</f>
        <v>ok</v>
      </c>
    </row>
    <row r="2208" spans="5:9" x14ac:dyDescent="0.25">
      <c r="E2208" t="s">
        <v>545</v>
      </c>
      <c r="F2208">
        <v>0</v>
      </c>
      <c r="G2208">
        <v>0</v>
      </c>
      <c r="H2208" t="s">
        <v>8</v>
      </c>
      <c r="I2208" s="74" t="str">
        <f ca="1">IF(Table7[[#This Row],[Type]]="KILL",IF(_xlfn.NUMBERVALUE(RIGHT(Table7[[#This Row],[Min]],LEN(Table7[[#This Row],[Min]])-FIND("-",Table7[[#This Row],[Min]])))&gt;INDIRECT(ADDRESS(11+MATCH(LEFT(Table7[[#This Row],[Min]],FIND("-",Table7[[#This Row],[Min]])-1),Table1[Content Sku],0),16,1,1,"Entities")),"review","ok"),"ok")</f>
        <v>ok</v>
      </c>
    </row>
    <row r="2209" spans="5:9" x14ac:dyDescent="0.25">
      <c r="E2209" t="s">
        <v>254</v>
      </c>
      <c r="F2209">
        <v>0</v>
      </c>
      <c r="G2209">
        <v>0</v>
      </c>
      <c r="H2209" t="s">
        <v>8</v>
      </c>
      <c r="I2209" s="74" t="str">
        <f ca="1">IF(Table7[[#This Row],[Type]]="KILL",IF(_xlfn.NUMBERVALUE(RIGHT(Table7[[#This Row],[Min]],LEN(Table7[[#This Row],[Min]])-FIND("-",Table7[[#This Row],[Min]])))&gt;INDIRECT(ADDRESS(11+MATCH(LEFT(Table7[[#This Row],[Min]],FIND("-",Table7[[#This Row],[Min]])-1),Table1[Content Sku],0),16,1,1,"Entities")),"review","ok"),"ok")</f>
        <v>ok</v>
      </c>
    </row>
    <row r="2210" spans="5:9" x14ac:dyDescent="0.25">
      <c r="E2210" t="s">
        <v>340</v>
      </c>
      <c r="F2210">
        <v>0</v>
      </c>
      <c r="G2210">
        <v>1600</v>
      </c>
      <c r="H2210" t="s">
        <v>205</v>
      </c>
      <c r="I2210" s="74" t="str">
        <f ca="1">IF(Table7[[#This Row],[Type]]="KILL",IF(_xlfn.NUMBERVALUE(RIGHT(Table7[[#This Row],[Min]],LEN(Table7[[#This Row],[Min]])-FIND("-",Table7[[#This Row],[Min]])))&gt;INDIRECT(ADDRESS(11+MATCH(LEFT(Table7[[#This Row],[Min]],FIND("-",Table7[[#This Row],[Min]])-1),Table1[Content Sku],0),16,1,1,"Entities")),"review","ok"),"ok")</f>
        <v>ok</v>
      </c>
    </row>
    <row r="2211" spans="5:9" x14ac:dyDescent="0.25">
      <c r="E2211" t="s">
        <v>311</v>
      </c>
      <c r="F2211">
        <v>2800</v>
      </c>
      <c r="G2211">
        <v>0</v>
      </c>
      <c r="H2211" t="s">
        <v>205</v>
      </c>
      <c r="I2211" s="74" t="str">
        <f ca="1">IF(Table7[[#This Row],[Type]]="KILL",IF(_xlfn.NUMBERVALUE(RIGHT(Table7[[#This Row],[Min]],LEN(Table7[[#This Row],[Min]])-FIND("-",Table7[[#This Row],[Min]])))&gt;INDIRECT(ADDRESS(11+MATCH(LEFT(Table7[[#This Row],[Min]],FIND("-",Table7[[#This Row],[Min]])-1),Table1[Content Sku],0),16,1,1,"Entities")),"review","ok"),"ok")</f>
        <v>ok</v>
      </c>
    </row>
    <row r="2212" spans="5:9" x14ac:dyDescent="0.25">
      <c r="E2212" t="s">
        <v>0</v>
      </c>
      <c r="F2212">
        <v>17000</v>
      </c>
      <c r="G2212">
        <v>0</v>
      </c>
      <c r="H2212" t="s">
        <v>205</v>
      </c>
      <c r="I2212" s="74" t="str">
        <f ca="1">IF(Table7[[#This Row],[Type]]="KILL",IF(_xlfn.NUMBERVALUE(RIGHT(Table7[[#This Row],[Min]],LEN(Table7[[#This Row],[Min]])-FIND("-",Table7[[#This Row],[Min]])))&gt;INDIRECT(ADDRESS(11+MATCH(LEFT(Table7[[#This Row],[Min]],FIND("-",Table7[[#This Row],[Min]])-1),Table1[Content Sku],0),16,1,1,"Entities")),"review","ok"),"ok")</f>
        <v>ok</v>
      </c>
    </row>
    <row r="2213" spans="5:9" x14ac:dyDescent="0.25">
      <c r="E2213" t="s">
        <v>46</v>
      </c>
      <c r="F2213">
        <v>0</v>
      </c>
      <c r="G2213">
        <v>0</v>
      </c>
      <c r="H2213" t="s">
        <v>8</v>
      </c>
      <c r="I2213" s="74" t="str">
        <f ca="1">IF(Table7[[#This Row],[Type]]="KILL",IF(_xlfn.NUMBERVALUE(RIGHT(Table7[[#This Row],[Min]],LEN(Table7[[#This Row],[Min]])-FIND("-",Table7[[#This Row],[Min]])))&gt;INDIRECT(ADDRESS(11+MATCH(LEFT(Table7[[#This Row],[Min]],FIND("-",Table7[[#This Row],[Min]])-1),Table1[Content Sku],0),16,1,1,"Entities")),"review","ok"),"ok")</f>
        <v>ok</v>
      </c>
    </row>
    <row r="2214" spans="5:9" x14ac:dyDescent="0.25">
      <c r="E2214" t="s">
        <v>45</v>
      </c>
      <c r="F2214" t="s">
        <v>8123</v>
      </c>
      <c r="G2214" t="s">
        <v>4467</v>
      </c>
      <c r="H2214" t="s">
        <v>4468</v>
      </c>
      <c r="I2214" s="74" t="str">
        <f ca="1">IF(Table7[[#This Row],[Type]]="KILL",IF(_xlfn.NUMBERVALUE(RIGHT(Table7[[#This Row],[Min]],LEN(Table7[[#This Row],[Min]])-FIND("-",Table7[[#This Row],[Min]])))&gt;INDIRECT(ADDRESS(11+MATCH(LEFT(Table7[[#This Row],[Min]],FIND("-",Table7[[#This Row],[Min]])-1),Table1[Content Sku],0),16,1,1,"Entities")),"review","ok"),"ok")</f>
        <v>review</v>
      </c>
    </row>
    <row r="2215" spans="5:9" x14ac:dyDescent="0.25">
      <c r="E2215" t="s">
        <v>2741</v>
      </c>
      <c r="F2215">
        <v>0</v>
      </c>
      <c r="G2215">
        <v>0</v>
      </c>
      <c r="H2215" t="s">
        <v>8</v>
      </c>
      <c r="I2215" s="74" t="str">
        <f ca="1">IF(Table7[[#This Row],[Type]]="KILL",IF(_xlfn.NUMBERVALUE(RIGHT(Table7[[#This Row],[Min]],LEN(Table7[[#This Row],[Min]])-FIND("-",Table7[[#This Row],[Min]])))&gt;INDIRECT(ADDRESS(11+MATCH(LEFT(Table7[[#This Row],[Min]],FIND("-",Table7[[#This Row],[Min]])-1),Table1[Content Sku],0),16,1,1,"Entities")),"review","ok"),"ok")</f>
        <v>ok</v>
      </c>
    </row>
    <row r="2216" spans="5:9" x14ac:dyDescent="0.25">
      <c r="E2216" t="s">
        <v>2741</v>
      </c>
      <c r="F2216">
        <v>0</v>
      </c>
      <c r="G2216">
        <v>0</v>
      </c>
      <c r="H2216" t="s">
        <v>8</v>
      </c>
      <c r="I2216" s="74" t="str">
        <f ca="1">IF(Table7[[#This Row],[Type]]="KILL",IF(_xlfn.NUMBERVALUE(RIGHT(Table7[[#This Row],[Min]],LEN(Table7[[#This Row],[Min]])-FIND("-",Table7[[#This Row],[Min]])))&gt;INDIRECT(ADDRESS(11+MATCH(LEFT(Table7[[#This Row],[Min]],FIND("-",Table7[[#This Row],[Min]])-1),Table1[Content Sku],0),16,1,1,"Entities")),"review","ok"),"ok")</f>
        <v>ok</v>
      </c>
    </row>
    <row r="2217" spans="5:9" x14ac:dyDescent="0.25">
      <c r="E2217" t="s">
        <v>2741</v>
      </c>
      <c r="F2217">
        <v>0</v>
      </c>
      <c r="G2217">
        <v>0</v>
      </c>
      <c r="H2217" t="s">
        <v>8</v>
      </c>
      <c r="I2217" s="74" t="str">
        <f ca="1">IF(Table7[[#This Row],[Type]]="KILL",IF(_xlfn.NUMBERVALUE(RIGHT(Table7[[#This Row],[Min]],LEN(Table7[[#This Row],[Min]])-FIND("-",Table7[[#This Row],[Min]])))&gt;INDIRECT(ADDRESS(11+MATCH(LEFT(Table7[[#This Row],[Min]],FIND("-",Table7[[#This Row],[Min]])-1),Table1[Content Sku],0),16,1,1,"Entities")),"review","ok"),"ok")</f>
        <v>ok</v>
      </c>
    </row>
    <row r="2218" spans="5:9" x14ac:dyDescent="0.25">
      <c r="E2218" t="s">
        <v>92</v>
      </c>
      <c r="F2218">
        <v>0</v>
      </c>
      <c r="G2218">
        <v>0</v>
      </c>
      <c r="H2218" t="s">
        <v>8</v>
      </c>
      <c r="I2218" s="74" t="str">
        <f ca="1">IF(Table7[[#This Row],[Type]]="KILL",IF(_xlfn.NUMBERVALUE(RIGHT(Table7[[#This Row],[Min]],LEN(Table7[[#This Row],[Min]])-FIND("-",Table7[[#This Row],[Min]])))&gt;INDIRECT(ADDRESS(11+MATCH(LEFT(Table7[[#This Row],[Min]],FIND("-",Table7[[#This Row],[Min]])-1),Table1[Content Sku],0),16,1,1,"Entities")),"review","ok"),"ok")</f>
        <v>ok</v>
      </c>
    </row>
    <row r="2219" spans="5:9" x14ac:dyDescent="0.25">
      <c r="E2219" t="s">
        <v>256</v>
      </c>
      <c r="F2219">
        <v>3500</v>
      </c>
      <c r="G2219">
        <v>0</v>
      </c>
      <c r="H2219" t="s">
        <v>205</v>
      </c>
      <c r="I2219" s="74" t="str">
        <f ca="1">IF(Table7[[#This Row],[Type]]="KILL",IF(_xlfn.NUMBERVALUE(RIGHT(Table7[[#This Row],[Min]],LEN(Table7[[#This Row],[Min]])-FIND("-",Table7[[#This Row],[Min]])))&gt;INDIRECT(ADDRESS(11+MATCH(LEFT(Table7[[#This Row],[Min]],FIND("-",Table7[[#This Row],[Min]])-1),Table1[Content Sku],0),16,1,1,"Entities")),"review","ok"),"ok")</f>
        <v>ok</v>
      </c>
    </row>
    <row r="2220" spans="5:9" x14ac:dyDescent="0.25">
      <c r="E2220" t="s">
        <v>278</v>
      </c>
      <c r="F2220">
        <v>0</v>
      </c>
      <c r="G2220">
        <v>0</v>
      </c>
      <c r="H2220" t="s">
        <v>8</v>
      </c>
      <c r="I2220" s="74" t="str">
        <f ca="1">IF(Table7[[#This Row],[Type]]="KILL",IF(_xlfn.NUMBERVALUE(RIGHT(Table7[[#This Row],[Min]],LEN(Table7[[#This Row],[Min]])-FIND("-",Table7[[#This Row],[Min]])))&gt;INDIRECT(ADDRESS(11+MATCH(LEFT(Table7[[#This Row],[Min]],FIND("-",Table7[[#This Row],[Min]])-1),Table1[Content Sku],0),16,1,1,"Entities")),"review","ok"),"ok")</f>
        <v>ok</v>
      </c>
    </row>
    <row r="2221" spans="5:9" x14ac:dyDescent="0.25">
      <c r="E2221" t="s">
        <v>254</v>
      </c>
      <c r="F2221">
        <v>4000</v>
      </c>
      <c r="G2221">
        <v>0</v>
      </c>
      <c r="H2221" t="s">
        <v>205</v>
      </c>
      <c r="I2221" s="74" t="str">
        <f ca="1">IF(Table7[[#This Row],[Type]]="KILL",IF(_xlfn.NUMBERVALUE(RIGHT(Table7[[#This Row],[Min]],LEN(Table7[[#This Row],[Min]])-FIND("-",Table7[[#This Row],[Min]])))&gt;INDIRECT(ADDRESS(11+MATCH(LEFT(Table7[[#This Row],[Min]],FIND("-",Table7[[#This Row],[Min]])-1),Table1[Content Sku],0),16,1,1,"Entities")),"review","ok"),"ok")</f>
        <v>ok</v>
      </c>
    </row>
    <row r="2222" spans="5:9" x14ac:dyDescent="0.25">
      <c r="E2222" t="s">
        <v>313</v>
      </c>
      <c r="F2222">
        <v>0</v>
      </c>
      <c r="G2222">
        <v>0</v>
      </c>
      <c r="H2222" t="s">
        <v>8</v>
      </c>
      <c r="I2222" s="74" t="str">
        <f ca="1">IF(Table7[[#This Row],[Type]]="KILL",IF(_xlfn.NUMBERVALUE(RIGHT(Table7[[#This Row],[Min]],LEN(Table7[[#This Row],[Min]])-FIND("-",Table7[[#This Row],[Min]])))&gt;INDIRECT(ADDRESS(11+MATCH(LEFT(Table7[[#This Row],[Min]],FIND("-",Table7[[#This Row],[Min]])-1),Table1[Content Sku],0),16,1,1,"Entities")),"review","ok"),"ok")</f>
        <v>ok</v>
      </c>
    </row>
    <row r="2223" spans="5:9" x14ac:dyDescent="0.25">
      <c r="E2223" t="s">
        <v>37</v>
      </c>
      <c r="F2223">
        <v>0</v>
      </c>
      <c r="G2223">
        <v>0</v>
      </c>
      <c r="H2223" t="s">
        <v>8</v>
      </c>
      <c r="I2223" s="74" t="str">
        <f ca="1">IF(Table7[[#This Row],[Type]]="KILL",IF(_xlfn.NUMBERVALUE(RIGHT(Table7[[#This Row],[Min]],LEN(Table7[[#This Row],[Min]])-FIND("-",Table7[[#This Row],[Min]])))&gt;INDIRECT(ADDRESS(11+MATCH(LEFT(Table7[[#This Row],[Min]],FIND("-",Table7[[#This Row],[Min]])-1),Table1[Content Sku],0),16,1,1,"Entities")),"review","ok"),"ok")</f>
        <v>ok</v>
      </c>
    </row>
    <row r="2224" spans="5:9" x14ac:dyDescent="0.25">
      <c r="E2224" t="s">
        <v>315</v>
      </c>
      <c r="F2224">
        <v>0</v>
      </c>
      <c r="G2224">
        <v>0</v>
      </c>
      <c r="H2224" t="s">
        <v>8</v>
      </c>
      <c r="I2224" s="74" t="str">
        <f ca="1">IF(Table7[[#This Row],[Type]]="KILL",IF(_xlfn.NUMBERVALUE(RIGHT(Table7[[#This Row],[Min]],LEN(Table7[[#This Row],[Min]])-FIND("-",Table7[[#This Row],[Min]])))&gt;INDIRECT(ADDRESS(11+MATCH(LEFT(Table7[[#This Row],[Min]],FIND("-",Table7[[#This Row],[Min]])-1),Table1[Content Sku],0),16,1,1,"Entities")),"review","ok"),"ok")</f>
        <v>ok</v>
      </c>
    </row>
    <row r="2225" spans="5:9" x14ac:dyDescent="0.25">
      <c r="E2225" t="s">
        <v>313</v>
      </c>
      <c r="F2225">
        <v>0</v>
      </c>
      <c r="G2225">
        <v>0</v>
      </c>
      <c r="H2225" t="s">
        <v>8</v>
      </c>
      <c r="I2225" s="74" t="str">
        <f ca="1">IF(Table7[[#This Row],[Type]]="KILL",IF(_xlfn.NUMBERVALUE(RIGHT(Table7[[#This Row],[Min]],LEN(Table7[[#This Row],[Min]])-FIND("-",Table7[[#This Row],[Min]])))&gt;INDIRECT(ADDRESS(11+MATCH(LEFT(Table7[[#This Row],[Min]],FIND("-",Table7[[#This Row],[Min]])-1),Table1[Content Sku],0),16,1,1,"Entities")),"review","ok"),"ok")</f>
        <v>ok</v>
      </c>
    </row>
    <row r="2226" spans="5:9" x14ac:dyDescent="0.25">
      <c r="E2226" t="s">
        <v>50</v>
      </c>
      <c r="F2226">
        <v>24000</v>
      </c>
      <c r="G2226">
        <v>0</v>
      </c>
      <c r="H2226" t="s">
        <v>205</v>
      </c>
      <c r="I2226" s="74" t="str">
        <f ca="1">IF(Table7[[#This Row],[Type]]="KILL",IF(_xlfn.NUMBERVALUE(RIGHT(Table7[[#This Row],[Min]],LEN(Table7[[#This Row],[Min]])-FIND("-",Table7[[#This Row],[Min]])))&gt;INDIRECT(ADDRESS(11+MATCH(LEFT(Table7[[#This Row],[Min]],FIND("-",Table7[[#This Row],[Min]])-1),Table1[Content Sku],0),16,1,1,"Entities")),"review","ok"),"ok")</f>
        <v>ok</v>
      </c>
    </row>
    <row r="2227" spans="5:9" x14ac:dyDescent="0.25">
      <c r="E2227" t="s">
        <v>311</v>
      </c>
      <c r="F2227">
        <v>0</v>
      </c>
      <c r="G2227">
        <v>0</v>
      </c>
      <c r="H2227" t="s">
        <v>8</v>
      </c>
      <c r="I2227" s="74" t="str">
        <f ca="1">IF(Table7[[#This Row],[Type]]="KILL",IF(_xlfn.NUMBERVALUE(RIGHT(Table7[[#This Row],[Min]],LEN(Table7[[#This Row],[Min]])-FIND("-",Table7[[#This Row],[Min]])))&gt;INDIRECT(ADDRESS(11+MATCH(LEFT(Table7[[#This Row],[Min]],FIND("-",Table7[[#This Row],[Min]])-1),Table1[Content Sku],0),16,1,1,"Entities")),"review","ok"),"ok")</f>
        <v>ok</v>
      </c>
    </row>
    <row r="2228" spans="5:9" x14ac:dyDescent="0.25">
      <c r="E2228" t="s">
        <v>280</v>
      </c>
      <c r="F2228">
        <v>0</v>
      </c>
      <c r="G2228">
        <v>0</v>
      </c>
      <c r="H2228" t="s">
        <v>8</v>
      </c>
      <c r="I2228" s="74" t="str">
        <f ca="1">IF(Table7[[#This Row],[Type]]="KILL",IF(_xlfn.NUMBERVALUE(RIGHT(Table7[[#This Row],[Min]],LEN(Table7[[#This Row],[Min]])-FIND("-",Table7[[#This Row],[Min]])))&gt;INDIRECT(ADDRESS(11+MATCH(LEFT(Table7[[#This Row],[Min]],FIND("-",Table7[[#This Row],[Min]])-1),Table1[Content Sku],0),16,1,1,"Entities")),"review","ok"),"ok")</f>
        <v>ok</v>
      </c>
    </row>
    <row r="2229" spans="5:9" x14ac:dyDescent="0.25">
      <c r="E2229" t="s">
        <v>295</v>
      </c>
      <c r="F2229">
        <v>2800</v>
      </c>
      <c r="G2229">
        <v>0</v>
      </c>
      <c r="H2229" t="s">
        <v>205</v>
      </c>
      <c r="I2229" s="74" t="str">
        <f ca="1">IF(Table7[[#This Row],[Type]]="KILL",IF(_xlfn.NUMBERVALUE(RIGHT(Table7[[#This Row],[Min]],LEN(Table7[[#This Row],[Min]])-FIND("-",Table7[[#This Row],[Min]])))&gt;INDIRECT(ADDRESS(11+MATCH(LEFT(Table7[[#This Row],[Min]],FIND("-",Table7[[#This Row],[Min]])-1),Table1[Content Sku],0),16,1,1,"Entities")),"review","ok"),"ok")</f>
        <v>ok</v>
      </c>
    </row>
    <row r="2230" spans="5:9" x14ac:dyDescent="0.25">
      <c r="E2230" t="s">
        <v>254</v>
      </c>
      <c r="F2230">
        <v>0</v>
      </c>
      <c r="G2230">
        <v>0</v>
      </c>
      <c r="H2230" t="s">
        <v>8</v>
      </c>
      <c r="I2230" s="74" t="str">
        <f ca="1">IF(Table7[[#This Row],[Type]]="KILL",IF(_xlfn.NUMBERVALUE(RIGHT(Table7[[#This Row],[Min]],LEN(Table7[[#This Row],[Min]])-FIND("-",Table7[[#This Row],[Min]])))&gt;INDIRECT(ADDRESS(11+MATCH(LEFT(Table7[[#This Row],[Min]],FIND("-",Table7[[#This Row],[Min]])-1),Table1[Content Sku],0),16,1,1,"Entities")),"review","ok"),"ok")</f>
        <v>ok</v>
      </c>
    </row>
    <row r="2231" spans="5:9" x14ac:dyDescent="0.25">
      <c r="E2231" t="s">
        <v>8133</v>
      </c>
      <c r="F2231">
        <v>0</v>
      </c>
      <c r="G2231">
        <v>0</v>
      </c>
      <c r="H2231" t="s">
        <v>8</v>
      </c>
      <c r="I2231" s="74" t="str">
        <f ca="1">IF(Table7[[#This Row],[Type]]="KILL",IF(_xlfn.NUMBERVALUE(RIGHT(Table7[[#This Row],[Min]],LEN(Table7[[#This Row],[Min]])-FIND("-",Table7[[#This Row],[Min]])))&gt;INDIRECT(ADDRESS(11+MATCH(LEFT(Table7[[#This Row],[Min]],FIND("-",Table7[[#This Row],[Min]])-1),Table1[Content Sku],0),16,1,1,"Entities")),"review","ok"),"ok")</f>
        <v>ok</v>
      </c>
    </row>
    <row r="2232" spans="5:9" x14ac:dyDescent="0.25">
      <c r="E2232" t="s">
        <v>342</v>
      </c>
      <c r="F2232">
        <v>0</v>
      </c>
      <c r="G2232">
        <v>7000</v>
      </c>
      <c r="H2232" t="s">
        <v>205</v>
      </c>
      <c r="I2232" s="74" t="str">
        <f ca="1">IF(Table7[[#This Row],[Type]]="KILL",IF(_xlfn.NUMBERVALUE(RIGHT(Table7[[#This Row],[Min]],LEN(Table7[[#This Row],[Min]])-FIND("-",Table7[[#This Row],[Min]])))&gt;INDIRECT(ADDRESS(11+MATCH(LEFT(Table7[[#This Row],[Min]],FIND("-",Table7[[#This Row],[Min]])-1),Table1[Content Sku],0),16,1,1,"Entities")),"review","ok"),"ok")</f>
        <v>ok</v>
      </c>
    </row>
    <row r="2233" spans="5:9" x14ac:dyDescent="0.25">
      <c r="E2233" t="s">
        <v>257</v>
      </c>
      <c r="F2233">
        <v>0</v>
      </c>
      <c r="G2233">
        <v>0</v>
      </c>
      <c r="H2233" t="s">
        <v>8</v>
      </c>
      <c r="I2233" s="74" t="str">
        <f ca="1">IF(Table7[[#This Row],[Type]]="KILL",IF(_xlfn.NUMBERVALUE(RIGHT(Table7[[#This Row],[Min]],LEN(Table7[[#This Row],[Min]])-FIND("-",Table7[[#This Row],[Min]])))&gt;INDIRECT(ADDRESS(11+MATCH(LEFT(Table7[[#This Row],[Min]],FIND("-",Table7[[#This Row],[Min]])-1),Table1[Content Sku],0),16,1,1,"Entities")),"review","ok"),"ok")</f>
        <v>ok</v>
      </c>
    </row>
    <row r="2234" spans="5:9" x14ac:dyDescent="0.25">
      <c r="E2234" t="s">
        <v>313</v>
      </c>
      <c r="F2234">
        <v>6000</v>
      </c>
      <c r="G2234">
        <v>0</v>
      </c>
      <c r="H2234" t="s">
        <v>205</v>
      </c>
      <c r="I2234" s="74" t="str">
        <f ca="1">IF(Table7[[#This Row],[Type]]="KILL",IF(_xlfn.NUMBERVALUE(RIGHT(Table7[[#This Row],[Min]],LEN(Table7[[#This Row],[Min]])-FIND("-",Table7[[#This Row],[Min]])))&gt;INDIRECT(ADDRESS(11+MATCH(LEFT(Table7[[#This Row],[Min]],FIND("-",Table7[[#This Row],[Min]])-1),Table1[Content Sku],0),16,1,1,"Entities")),"review","ok"),"ok")</f>
        <v>ok</v>
      </c>
    </row>
    <row r="2235" spans="5:9" x14ac:dyDescent="0.25">
      <c r="E2235" t="s">
        <v>2723</v>
      </c>
      <c r="F2235">
        <v>0</v>
      </c>
      <c r="G2235">
        <v>0</v>
      </c>
      <c r="H2235" t="s">
        <v>8</v>
      </c>
      <c r="I2235" s="74" t="str">
        <f ca="1">IF(Table7[[#This Row],[Type]]="KILL",IF(_xlfn.NUMBERVALUE(RIGHT(Table7[[#This Row],[Min]],LEN(Table7[[#This Row],[Min]])-FIND("-",Table7[[#This Row],[Min]])))&gt;INDIRECT(ADDRESS(11+MATCH(LEFT(Table7[[#This Row],[Min]],FIND("-",Table7[[#This Row],[Min]])-1),Table1[Content Sku],0),16,1,1,"Entities")),"review","ok"),"ok")</f>
        <v>ok</v>
      </c>
    </row>
    <row r="2236" spans="5:9" x14ac:dyDescent="0.25">
      <c r="E2236" t="s">
        <v>2741</v>
      </c>
      <c r="F2236">
        <v>0</v>
      </c>
      <c r="G2236">
        <v>0</v>
      </c>
      <c r="H2236" t="s">
        <v>8</v>
      </c>
      <c r="I2236" s="74" t="str">
        <f ca="1">IF(Table7[[#This Row],[Type]]="KILL",IF(_xlfn.NUMBERVALUE(RIGHT(Table7[[#This Row],[Min]],LEN(Table7[[#This Row],[Min]])-FIND("-",Table7[[#This Row],[Min]])))&gt;INDIRECT(ADDRESS(11+MATCH(LEFT(Table7[[#This Row],[Min]],FIND("-",Table7[[#This Row],[Min]])-1),Table1[Content Sku],0),16,1,1,"Entities")),"review","ok"),"ok")</f>
        <v>ok</v>
      </c>
    </row>
    <row r="2237" spans="5:9" x14ac:dyDescent="0.25">
      <c r="E2237" t="s">
        <v>313</v>
      </c>
      <c r="F2237">
        <v>5000</v>
      </c>
      <c r="G2237">
        <v>0</v>
      </c>
      <c r="H2237" t="s">
        <v>205</v>
      </c>
      <c r="I2237" s="74" t="str">
        <f ca="1">IF(Table7[[#This Row],[Type]]="KILL",IF(_xlfn.NUMBERVALUE(RIGHT(Table7[[#This Row],[Min]],LEN(Table7[[#This Row],[Min]])-FIND("-",Table7[[#This Row],[Min]])))&gt;INDIRECT(ADDRESS(11+MATCH(LEFT(Table7[[#This Row],[Min]],FIND("-",Table7[[#This Row],[Min]])-1),Table1[Content Sku],0),16,1,1,"Entities")),"review","ok"),"ok")</f>
        <v>ok</v>
      </c>
    </row>
    <row r="2238" spans="5:9" x14ac:dyDescent="0.25">
      <c r="E2238" t="s">
        <v>8133</v>
      </c>
      <c r="F2238">
        <v>0</v>
      </c>
      <c r="G2238">
        <v>0</v>
      </c>
      <c r="H2238" t="s">
        <v>8</v>
      </c>
      <c r="I2238" s="74" t="str">
        <f ca="1">IF(Table7[[#This Row],[Type]]="KILL",IF(_xlfn.NUMBERVALUE(RIGHT(Table7[[#This Row],[Min]],LEN(Table7[[#This Row],[Min]])-FIND("-",Table7[[#This Row],[Min]])))&gt;INDIRECT(ADDRESS(11+MATCH(LEFT(Table7[[#This Row],[Min]],FIND("-",Table7[[#This Row],[Min]])-1),Table1[Content Sku],0),16,1,1,"Entities")),"review","ok"),"ok")</f>
        <v>ok</v>
      </c>
    </row>
    <row r="2239" spans="5:9" x14ac:dyDescent="0.25">
      <c r="E2239" t="s">
        <v>257</v>
      </c>
      <c r="F2239">
        <v>0</v>
      </c>
      <c r="G2239">
        <v>0</v>
      </c>
      <c r="H2239" t="s">
        <v>8</v>
      </c>
      <c r="I2239" s="74" t="str">
        <f ca="1">IF(Table7[[#This Row],[Type]]="KILL",IF(_xlfn.NUMBERVALUE(RIGHT(Table7[[#This Row],[Min]],LEN(Table7[[#This Row],[Min]])-FIND("-",Table7[[#This Row],[Min]])))&gt;INDIRECT(ADDRESS(11+MATCH(LEFT(Table7[[#This Row],[Min]],FIND("-",Table7[[#This Row],[Min]])-1),Table1[Content Sku],0),16,1,1,"Entities")),"review","ok"),"ok")</f>
        <v>ok</v>
      </c>
    </row>
    <row r="2240" spans="5:9" x14ac:dyDescent="0.25">
      <c r="E2240" t="s">
        <v>2738</v>
      </c>
      <c r="F2240">
        <v>0</v>
      </c>
      <c r="G2240">
        <v>0</v>
      </c>
      <c r="H2240" t="s">
        <v>8</v>
      </c>
      <c r="I2240" s="74" t="str">
        <f ca="1">IF(Table7[[#This Row],[Type]]="KILL",IF(_xlfn.NUMBERVALUE(RIGHT(Table7[[#This Row],[Min]],LEN(Table7[[#This Row],[Min]])-FIND("-",Table7[[#This Row],[Min]])))&gt;INDIRECT(ADDRESS(11+MATCH(LEFT(Table7[[#This Row],[Min]],FIND("-",Table7[[#This Row],[Min]])-1),Table1[Content Sku],0),16,1,1,"Entities")),"review","ok"),"ok")</f>
        <v>ok</v>
      </c>
    </row>
    <row r="2241" spans="5:9" x14ac:dyDescent="0.25">
      <c r="E2241" t="s">
        <v>90</v>
      </c>
      <c r="F2241">
        <v>0</v>
      </c>
      <c r="G2241">
        <v>0</v>
      </c>
      <c r="H2241" t="s">
        <v>8</v>
      </c>
      <c r="I2241" s="74" t="str">
        <f ca="1">IF(Table7[[#This Row],[Type]]="KILL",IF(_xlfn.NUMBERVALUE(RIGHT(Table7[[#This Row],[Min]],LEN(Table7[[#This Row],[Min]])-FIND("-",Table7[[#This Row],[Min]])))&gt;INDIRECT(ADDRESS(11+MATCH(LEFT(Table7[[#This Row],[Min]],FIND("-",Table7[[#This Row],[Min]])-1),Table1[Content Sku],0),16,1,1,"Entities")),"review","ok"),"ok")</f>
        <v>ok</v>
      </c>
    </row>
    <row r="2242" spans="5:9" x14ac:dyDescent="0.25">
      <c r="E2242" t="s">
        <v>90</v>
      </c>
      <c r="F2242">
        <v>0</v>
      </c>
      <c r="G2242">
        <v>15000</v>
      </c>
      <c r="H2242" t="s">
        <v>205</v>
      </c>
      <c r="I2242" s="74" t="str">
        <f ca="1">IF(Table7[[#This Row],[Type]]="KILL",IF(_xlfn.NUMBERVALUE(RIGHT(Table7[[#This Row],[Min]],LEN(Table7[[#This Row],[Min]])-FIND("-",Table7[[#This Row],[Min]])))&gt;INDIRECT(ADDRESS(11+MATCH(LEFT(Table7[[#This Row],[Min]],FIND("-",Table7[[#This Row],[Min]])-1),Table1[Content Sku],0),16,1,1,"Entities")),"review","ok"),"ok")</f>
        <v>ok</v>
      </c>
    </row>
    <row r="2243" spans="5:9" x14ac:dyDescent="0.25">
      <c r="E2243" t="s">
        <v>545</v>
      </c>
      <c r="F2243">
        <v>0</v>
      </c>
      <c r="G2243">
        <v>0</v>
      </c>
      <c r="H2243" t="s">
        <v>8</v>
      </c>
      <c r="I2243" s="74" t="str">
        <f ca="1">IF(Table7[[#This Row],[Type]]="KILL",IF(_xlfn.NUMBERVALUE(RIGHT(Table7[[#This Row],[Min]],LEN(Table7[[#This Row],[Min]])-FIND("-",Table7[[#This Row],[Min]])))&gt;INDIRECT(ADDRESS(11+MATCH(LEFT(Table7[[#This Row],[Min]],FIND("-",Table7[[#This Row],[Min]])-1),Table1[Content Sku],0),16,1,1,"Entities")),"review","ok"),"ok")</f>
        <v>ok</v>
      </c>
    </row>
    <row r="2244" spans="5:9" x14ac:dyDescent="0.25">
      <c r="E2244" t="s">
        <v>313</v>
      </c>
      <c r="F2244">
        <v>0</v>
      </c>
      <c r="G2244">
        <v>0</v>
      </c>
      <c r="H2244" t="s">
        <v>8</v>
      </c>
      <c r="I2244" s="74" t="str">
        <f ca="1">IF(Table7[[#This Row],[Type]]="KILL",IF(_xlfn.NUMBERVALUE(RIGHT(Table7[[#This Row],[Min]],LEN(Table7[[#This Row],[Min]])-FIND("-",Table7[[#This Row],[Min]])))&gt;INDIRECT(ADDRESS(11+MATCH(LEFT(Table7[[#This Row],[Min]],FIND("-",Table7[[#This Row],[Min]])-1),Table1[Content Sku],0),16,1,1,"Entities")),"review","ok"),"ok")</f>
        <v>ok</v>
      </c>
    </row>
    <row r="2245" spans="5:9" x14ac:dyDescent="0.25">
      <c r="E2245" t="s">
        <v>122</v>
      </c>
      <c r="F2245">
        <v>0</v>
      </c>
      <c r="G2245">
        <v>0</v>
      </c>
      <c r="H2245" t="s">
        <v>8</v>
      </c>
      <c r="I2245" s="74" t="str">
        <f ca="1">IF(Table7[[#This Row],[Type]]="KILL",IF(_xlfn.NUMBERVALUE(RIGHT(Table7[[#This Row],[Min]],LEN(Table7[[#This Row],[Min]])-FIND("-",Table7[[#This Row],[Min]])))&gt;INDIRECT(ADDRESS(11+MATCH(LEFT(Table7[[#This Row],[Min]],FIND("-",Table7[[#This Row],[Min]])-1),Table1[Content Sku],0),16,1,1,"Entities")),"review","ok"),"ok")</f>
        <v>ok</v>
      </c>
    </row>
    <row r="2246" spans="5:9" x14ac:dyDescent="0.25">
      <c r="E2246" t="s">
        <v>254</v>
      </c>
      <c r="F2246">
        <v>0</v>
      </c>
      <c r="G2246">
        <v>0</v>
      </c>
      <c r="H2246" t="s">
        <v>8</v>
      </c>
      <c r="I2246" s="74" t="str">
        <f ca="1">IF(Table7[[#This Row],[Type]]="KILL",IF(_xlfn.NUMBERVALUE(RIGHT(Table7[[#This Row],[Min]],LEN(Table7[[#This Row],[Min]])-FIND("-",Table7[[#This Row],[Min]])))&gt;INDIRECT(ADDRESS(11+MATCH(LEFT(Table7[[#This Row],[Min]],FIND("-",Table7[[#This Row],[Min]])-1),Table1[Content Sku],0),16,1,1,"Entities")),"review","ok"),"ok")</f>
        <v>ok</v>
      </c>
    </row>
    <row r="2247" spans="5:9" x14ac:dyDescent="0.25">
      <c r="E2247" t="s">
        <v>2741</v>
      </c>
      <c r="F2247">
        <v>0</v>
      </c>
      <c r="G2247">
        <v>0</v>
      </c>
      <c r="H2247" t="s">
        <v>8</v>
      </c>
      <c r="I2247" s="74" t="str">
        <f ca="1">IF(Table7[[#This Row],[Type]]="KILL",IF(_xlfn.NUMBERVALUE(RIGHT(Table7[[#This Row],[Min]],LEN(Table7[[#This Row],[Min]])-FIND("-",Table7[[#This Row],[Min]])))&gt;INDIRECT(ADDRESS(11+MATCH(LEFT(Table7[[#This Row],[Min]],FIND("-",Table7[[#This Row],[Min]])-1),Table1[Content Sku],0),16,1,1,"Entities")),"review","ok"),"ok")</f>
        <v>ok</v>
      </c>
    </row>
    <row r="2248" spans="5:9" x14ac:dyDescent="0.25">
      <c r="E2248" t="s">
        <v>92</v>
      </c>
      <c r="F2248">
        <v>0</v>
      </c>
      <c r="G2248">
        <v>15000</v>
      </c>
      <c r="H2248" t="s">
        <v>205</v>
      </c>
      <c r="I2248" s="74" t="str">
        <f ca="1">IF(Table7[[#This Row],[Type]]="KILL",IF(_xlfn.NUMBERVALUE(RIGHT(Table7[[#This Row],[Min]],LEN(Table7[[#This Row],[Min]])-FIND("-",Table7[[#This Row],[Min]])))&gt;INDIRECT(ADDRESS(11+MATCH(LEFT(Table7[[#This Row],[Min]],FIND("-",Table7[[#This Row],[Min]])-1),Table1[Content Sku],0),16,1,1,"Entities")),"review","ok"),"ok")</f>
        <v>ok</v>
      </c>
    </row>
    <row r="2249" spans="5:9" x14ac:dyDescent="0.25">
      <c r="E2249" t="s">
        <v>257</v>
      </c>
      <c r="F2249">
        <v>3800</v>
      </c>
      <c r="G2249">
        <v>0</v>
      </c>
      <c r="H2249" t="s">
        <v>205</v>
      </c>
      <c r="I2249" s="74" t="str">
        <f ca="1">IF(Table7[[#This Row],[Type]]="KILL",IF(_xlfn.NUMBERVALUE(RIGHT(Table7[[#This Row],[Min]],LEN(Table7[[#This Row],[Min]])-FIND("-",Table7[[#This Row],[Min]])))&gt;INDIRECT(ADDRESS(11+MATCH(LEFT(Table7[[#This Row],[Min]],FIND("-",Table7[[#This Row],[Min]])-1),Table1[Content Sku],0),16,1,1,"Entities")),"review","ok"),"ok")</f>
        <v>ok</v>
      </c>
    </row>
    <row r="2250" spans="5:9" x14ac:dyDescent="0.25">
      <c r="E2250" t="s">
        <v>90</v>
      </c>
      <c r="F2250">
        <v>0</v>
      </c>
      <c r="G2250">
        <v>15000</v>
      </c>
      <c r="H2250" t="s">
        <v>205</v>
      </c>
      <c r="I2250" s="74" t="str">
        <f ca="1">IF(Table7[[#This Row],[Type]]="KILL",IF(_xlfn.NUMBERVALUE(RIGHT(Table7[[#This Row],[Min]],LEN(Table7[[#This Row],[Min]])-FIND("-",Table7[[#This Row],[Min]])))&gt;INDIRECT(ADDRESS(11+MATCH(LEFT(Table7[[#This Row],[Min]],FIND("-",Table7[[#This Row],[Min]])-1),Table1[Content Sku],0),16,1,1,"Entities")),"review","ok"),"ok")</f>
        <v>ok</v>
      </c>
    </row>
    <row r="2251" spans="5:9" x14ac:dyDescent="0.25">
      <c r="E2251" t="s">
        <v>338</v>
      </c>
      <c r="F2251">
        <v>0</v>
      </c>
      <c r="G2251">
        <v>0</v>
      </c>
      <c r="H2251" t="s">
        <v>8</v>
      </c>
      <c r="I2251" s="74" t="str">
        <f ca="1">IF(Table7[[#This Row],[Type]]="KILL",IF(_xlfn.NUMBERVALUE(RIGHT(Table7[[#This Row],[Min]],LEN(Table7[[#This Row],[Min]])-FIND("-",Table7[[#This Row],[Min]])))&gt;INDIRECT(ADDRESS(11+MATCH(LEFT(Table7[[#This Row],[Min]],FIND("-",Table7[[#This Row],[Min]])-1),Table1[Content Sku],0),16,1,1,"Entities")),"review","ok"),"ok")</f>
        <v>ok</v>
      </c>
    </row>
    <row r="2252" spans="5:9" x14ac:dyDescent="0.25">
      <c r="E2252" t="s">
        <v>313</v>
      </c>
      <c r="F2252">
        <v>0</v>
      </c>
      <c r="G2252">
        <v>11000</v>
      </c>
      <c r="H2252" t="s">
        <v>205</v>
      </c>
      <c r="I2252" s="74" t="str">
        <f ca="1">IF(Table7[[#This Row],[Type]]="KILL",IF(_xlfn.NUMBERVALUE(RIGHT(Table7[[#This Row],[Min]],LEN(Table7[[#This Row],[Min]])-FIND("-",Table7[[#This Row],[Min]])))&gt;INDIRECT(ADDRESS(11+MATCH(LEFT(Table7[[#This Row],[Min]],FIND("-",Table7[[#This Row],[Min]])-1),Table1[Content Sku],0),16,1,1,"Entities")),"review","ok"),"ok")</f>
        <v>ok</v>
      </c>
    </row>
    <row r="2253" spans="5:9" x14ac:dyDescent="0.25">
      <c r="E2253" t="s">
        <v>338</v>
      </c>
      <c r="F2253">
        <v>0</v>
      </c>
      <c r="G2253">
        <v>0</v>
      </c>
      <c r="H2253" t="s">
        <v>8</v>
      </c>
      <c r="I2253" s="74" t="str">
        <f ca="1">IF(Table7[[#This Row],[Type]]="KILL",IF(_xlfn.NUMBERVALUE(RIGHT(Table7[[#This Row],[Min]],LEN(Table7[[#This Row],[Min]])-FIND("-",Table7[[#This Row],[Min]])))&gt;INDIRECT(ADDRESS(11+MATCH(LEFT(Table7[[#This Row],[Min]],FIND("-",Table7[[#This Row],[Min]])-1),Table1[Content Sku],0),16,1,1,"Entities")),"review","ok"),"ok")</f>
        <v>ok</v>
      </c>
    </row>
    <row r="2254" spans="5:9" x14ac:dyDescent="0.25">
      <c r="E2254" t="s">
        <v>254</v>
      </c>
      <c r="F2254">
        <v>0</v>
      </c>
      <c r="G2254">
        <v>0</v>
      </c>
      <c r="H2254" t="s">
        <v>8</v>
      </c>
      <c r="I2254" s="74" t="str">
        <f ca="1">IF(Table7[[#This Row],[Type]]="KILL",IF(_xlfn.NUMBERVALUE(RIGHT(Table7[[#This Row],[Min]],LEN(Table7[[#This Row],[Min]])-FIND("-",Table7[[#This Row],[Min]])))&gt;INDIRECT(ADDRESS(11+MATCH(LEFT(Table7[[#This Row],[Min]],FIND("-",Table7[[#This Row],[Min]])-1),Table1[Content Sku],0),16,1,1,"Entities")),"review","ok"),"ok")</f>
        <v>ok</v>
      </c>
    </row>
    <row r="2255" spans="5:9" x14ac:dyDescent="0.25">
      <c r="E2255" t="s">
        <v>92</v>
      </c>
      <c r="F2255">
        <v>0</v>
      </c>
      <c r="G2255">
        <v>0</v>
      </c>
      <c r="H2255" t="s">
        <v>8</v>
      </c>
      <c r="I2255" s="74" t="str">
        <f ca="1">IF(Table7[[#This Row],[Type]]="KILL",IF(_xlfn.NUMBERVALUE(RIGHT(Table7[[#This Row],[Min]],LEN(Table7[[#This Row],[Min]])-FIND("-",Table7[[#This Row],[Min]])))&gt;INDIRECT(ADDRESS(11+MATCH(LEFT(Table7[[#This Row],[Min]],FIND("-",Table7[[#This Row],[Min]])-1),Table1[Content Sku],0),16,1,1,"Entities")),"review","ok"),"ok")</f>
        <v>ok</v>
      </c>
    </row>
    <row r="2256" spans="5:9" x14ac:dyDescent="0.25">
      <c r="E2256" t="s">
        <v>49</v>
      </c>
      <c r="F2256">
        <v>10500</v>
      </c>
      <c r="G2256">
        <v>0</v>
      </c>
      <c r="H2256" t="s">
        <v>205</v>
      </c>
      <c r="I2256" s="74" t="str">
        <f ca="1">IF(Table7[[#This Row],[Type]]="KILL",IF(_xlfn.NUMBERVALUE(RIGHT(Table7[[#This Row],[Min]],LEN(Table7[[#This Row],[Min]])-FIND("-",Table7[[#This Row],[Min]])))&gt;INDIRECT(ADDRESS(11+MATCH(LEFT(Table7[[#This Row],[Min]],FIND("-",Table7[[#This Row],[Min]])-1),Table1[Content Sku],0),16,1,1,"Entities")),"review","ok"),"ok")</f>
        <v>ok</v>
      </c>
    </row>
    <row r="2257" spans="5:9" x14ac:dyDescent="0.25">
      <c r="E2257" t="s">
        <v>2734</v>
      </c>
      <c r="F2257">
        <v>0</v>
      </c>
      <c r="G2257">
        <v>0</v>
      </c>
      <c r="H2257" t="s">
        <v>8</v>
      </c>
      <c r="I2257" s="74" t="str">
        <f ca="1">IF(Table7[[#This Row],[Type]]="KILL",IF(_xlfn.NUMBERVALUE(RIGHT(Table7[[#This Row],[Min]],LEN(Table7[[#This Row],[Min]])-FIND("-",Table7[[#This Row],[Min]])))&gt;INDIRECT(ADDRESS(11+MATCH(LEFT(Table7[[#This Row],[Min]],FIND("-",Table7[[#This Row],[Min]])-1),Table1[Content Sku],0),16,1,1,"Entities")),"review","ok"),"ok")</f>
        <v>ok</v>
      </c>
    </row>
    <row r="2258" spans="5:9" x14ac:dyDescent="0.25">
      <c r="E2258" t="s">
        <v>2726</v>
      </c>
      <c r="F2258">
        <v>0</v>
      </c>
      <c r="G2258">
        <v>0</v>
      </c>
      <c r="H2258" t="s">
        <v>8</v>
      </c>
      <c r="I2258" s="74" t="str">
        <f ca="1">IF(Table7[[#This Row],[Type]]="KILL",IF(_xlfn.NUMBERVALUE(RIGHT(Table7[[#This Row],[Min]],LEN(Table7[[#This Row],[Min]])-FIND("-",Table7[[#This Row],[Min]])))&gt;INDIRECT(ADDRESS(11+MATCH(LEFT(Table7[[#This Row],[Min]],FIND("-",Table7[[#This Row],[Min]])-1),Table1[Content Sku],0),16,1,1,"Entities")),"review","ok"),"ok")</f>
        <v>ok</v>
      </c>
    </row>
    <row r="2259" spans="5:9" x14ac:dyDescent="0.25">
      <c r="E2259" t="s">
        <v>2741</v>
      </c>
      <c r="F2259">
        <v>0</v>
      </c>
      <c r="G2259">
        <v>0</v>
      </c>
      <c r="H2259" t="s">
        <v>8</v>
      </c>
      <c r="I2259" s="74" t="str">
        <f ca="1">IF(Table7[[#This Row],[Type]]="KILL",IF(_xlfn.NUMBERVALUE(RIGHT(Table7[[#This Row],[Min]],LEN(Table7[[#This Row],[Min]])-FIND("-",Table7[[#This Row],[Min]])))&gt;INDIRECT(ADDRESS(11+MATCH(LEFT(Table7[[#This Row],[Min]],FIND("-",Table7[[#This Row],[Min]])-1),Table1[Content Sku],0),16,1,1,"Entities")),"review","ok"),"ok")</f>
        <v>ok</v>
      </c>
    </row>
    <row r="2260" spans="5:9" x14ac:dyDescent="0.25">
      <c r="E2260" t="s">
        <v>90</v>
      </c>
      <c r="F2260">
        <v>0</v>
      </c>
      <c r="G2260">
        <v>0</v>
      </c>
      <c r="H2260" t="s">
        <v>8</v>
      </c>
      <c r="I2260" s="74" t="str">
        <f ca="1">IF(Table7[[#This Row],[Type]]="KILL",IF(_xlfn.NUMBERVALUE(RIGHT(Table7[[#This Row],[Min]],LEN(Table7[[#This Row],[Min]])-FIND("-",Table7[[#This Row],[Min]])))&gt;INDIRECT(ADDRESS(11+MATCH(LEFT(Table7[[#This Row],[Min]],FIND("-",Table7[[#This Row],[Min]])-1),Table1[Content Sku],0),16,1,1,"Entities")),"review","ok"),"ok")</f>
        <v>ok</v>
      </c>
    </row>
    <row r="2261" spans="5:9" x14ac:dyDescent="0.25">
      <c r="E2261" t="s">
        <v>313</v>
      </c>
      <c r="F2261">
        <v>0</v>
      </c>
      <c r="G2261">
        <v>0</v>
      </c>
      <c r="H2261" t="s">
        <v>8</v>
      </c>
      <c r="I2261" s="74" t="str">
        <f ca="1">IF(Table7[[#This Row],[Type]]="KILL",IF(_xlfn.NUMBERVALUE(RIGHT(Table7[[#This Row],[Min]],LEN(Table7[[#This Row],[Min]])-FIND("-",Table7[[#This Row],[Min]])))&gt;INDIRECT(ADDRESS(11+MATCH(LEFT(Table7[[#This Row],[Min]],FIND("-",Table7[[#This Row],[Min]])-1),Table1[Content Sku],0),16,1,1,"Entities")),"review","ok"),"ok")</f>
        <v>ok</v>
      </c>
    </row>
    <row r="2262" spans="5:9" x14ac:dyDescent="0.25">
      <c r="E2262" t="s">
        <v>392</v>
      </c>
      <c r="F2262">
        <v>0</v>
      </c>
      <c r="G2262">
        <v>0</v>
      </c>
      <c r="H2262" t="s">
        <v>8</v>
      </c>
      <c r="I2262" s="74" t="str">
        <f ca="1">IF(Table7[[#This Row],[Type]]="KILL",IF(_xlfn.NUMBERVALUE(RIGHT(Table7[[#This Row],[Min]],LEN(Table7[[#This Row],[Min]])-FIND("-",Table7[[#This Row],[Min]])))&gt;INDIRECT(ADDRESS(11+MATCH(LEFT(Table7[[#This Row],[Min]],FIND("-",Table7[[#This Row],[Min]])-1),Table1[Content Sku],0),16,1,1,"Entities")),"review","ok"),"ok")</f>
        <v>ok</v>
      </c>
    </row>
    <row r="2263" spans="5:9" x14ac:dyDescent="0.25">
      <c r="E2263" t="s">
        <v>346</v>
      </c>
      <c r="F2263">
        <v>20000</v>
      </c>
      <c r="G2263">
        <v>0</v>
      </c>
      <c r="H2263" t="s">
        <v>205</v>
      </c>
      <c r="I2263" s="74" t="str">
        <f ca="1">IF(Table7[[#This Row],[Type]]="KILL",IF(_xlfn.NUMBERVALUE(RIGHT(Table7[[#This Row],[Min]],LEN(Table7[[#This Row],[Min]])-FIND("-",Table7[[#This Row],[Min]])))&gt;INDIRECT(ADDRESS(11+MATCH(LEFT(Table7[[#This Row],[Min]],FIND("-",Table7[[#This Row],[Min]])-1),Table1[Content Sku],0),16,1,1,"Entities")),"review","ok"),"ok")</f>
        <v>ok</v>
      </c>
    </row>
    <row r="2264" spans="5:9" x14ac:dyDescent="0.25">
      <c r="E2264" t="s">
        <v>8133</v>
      </c>
      <c r="F2264">
        <v>0</v>
      </c>
      <c r="G2264">
        <v>0</v>
      </c>
      <c r="H2264" t="s">
        <v>8</v>
      </c>
      <c r="I2264" s="74" t="str">
        <f ca="1">IF(Table7[[#This Row],[Type]]="KILL",IF(_xlfn.NUMBERVALUE(RIGHT(Table7[[#This Row],[Min]],LEN(Table7[[#This Row],[Min]])-FIND("-",Table7[[#This Row],[Min]])))&gt;INDIRECT(ADDRESS(11+MATCH(LEFT(Table7[[#This Row],[Min]],FIND("-",Table7[[#This Row],[Min]])-1),Table1[Content Sku],0),16,1,1,"Entities")),"review","ok"),"ok")</f>
        <v>ok</v>
      </c>
    </row>
    <row r="2265" spans="5:9" x14ac:dyDescent="0.25">
      <c r="E2265" t="s">
        <v>2741</v>
      </c>
      <c r="F2265">
        <v>0</v>
      </c>
      <c r="G2265">
        <v>0</v>
      </c>
      <c r="H2265" t="s">
        <v>8</v>
      </c>
      <c r="I2265" s="74" t="str">
        <f ca="1">IF(Table7[[#This Row],[Type]]="KILL",IF(_xlfn.NUMBERVALUE(RIGHT(Table7[[#This Row],[Min]],LEN(Table7[[#This Row],[Min]])-FIND("-",Table7[[#This Row],[Min]])))&gt;INDIRECT(ADDRESS(11+MATCH(LEFT(Table7[[#This Row],[Min]],FIND("-",Table7[[#This Row],[Min]])-1),Table1[Content Sku],0),16,1,1,"Entities")),"review","ok"),"ok")</f>
        <v>ok</v>
      </c>
    </row>
    <row r="2266" spans="5:9" x14ac:dyDescent="0.25">
      <c r="E2266" t="s">
        <v>2741</v>
      </c>
      <c r="F2266">
        <v>0</v>
      </c>
      <c r="G2266">
        <v>0</v>
      </c>
      <c r="H2266" t="s">
        <v>8</v>
      </c>
      <c r="I2266" s="74" t="str">
        <f ca="1">IF(Table7[[#This Row],[Type]]="KILL",IF(_xlfn.NUMBERVALUE(RIGHT(Table7[[#This Row],[Min]],LEN(Table7[[#This Row],[Min]])-FIND("-",Table7[[#This Row],[Min]])))&gt;INDIRECT(ADDRESS(11+MATCH(LEFT(Table7[[#This Row],[Min]],FIND("-",Table7[[#This Row],[Min]])-1),Table1[Content Sku],0),16,1,1,"Entities")),"review","ok"),"ok")</f>
        <v>ok</v>
      </c>
    </row>
    <row r="2267" spans="5:9" x14ac:dyDescent="0.25">
      <c r="E2267" t="s">
        <v>2741</v>
      </c>
      <c r="F2267">
        <v>0</v>
      </c>
      <c r="G2267">
        <v>0</v>
      </c>
      <c r="H2267" t="s">
        <v>8</v>
      </c>
      <c r="I2267" s="74" t="str">
        <f ca="1">IF(Table7[[#This Row],[Type]]="KILL",IF(_xlfn.NUMBERVALUE(RIGHT(Table7[[#This Row],[Min]],LEN(Table7[[#This Row],[Min]])-FIND("-",Table7[[#This Row],[Min]])))&gt;INDIRECT(ADDRESS(11+MATCH(LEFT(Table7[[#This Row],[Min]],FIND("-",Table7[[#This Row],[Min]])-1),Table1[Content Sku],0),16,1,1,"Entities")),"review","ok"),"ok")</f>
        <v>ok</v>
      </c>
    </row>
    <row r="2268" spans="5:9" x14ac:dyDescent="0.25">
      <c r="E2268" t="s">
        <v>361</v>
      </c>
      <c r="F2268" t="s">
        <v>8124</v>
      </c>
      <c r="G2268" t="s">
        <v>4467</v>
      </c>
      <c r="H2268" t="s">
        <v>4468</v>
      </c>
      <c r="I2268" s="74" t="str">
        <f ca="1">IF(Table7[[#This Row],[Type]]="KILL",IF(_xlfn.NUMBERVALUE(RIGHT(Table7[[#This Row],[Min]],LEN(Table7[[#This Row],[Min]])-FIND("-",Table7[[#This Row],[Min]])))&gt;INDIRECT(ADDRESS(11+MATCH(LEFT(Table7[[#This Row],[Min]],FIND("-",Table7[[#This Row],[Min]])-1),Table1[Content Sku],0),16,1,1,"Entities")),"review","ok"),"ok")</f>
        <v>review</v>
      </c>
    </row>
    <row r="2269" spans="5:9" x14ac:dyDescent="0.25">
      <c r="E2269" t="s">
        <v>254</v>
      </c>
      <c r="F2269">
        <v>0</v>
      </c>
      <c r="G2269">
        <v>0</v>
      </c>
      <c r="H2269" t="s">
        <v>8</v>
      </c>
      <c r="I2269" s="74" t="str">
        <f ca="1">IF(Table7[[#This Row],[Type]]="KILL",IF(_xlfn.NUMBERVALUE(RIGHT(Table7[[#This Row],[Min]],LEN(Table7[[#This Row],[Min]])-FIND("-",Table7[[#This Row],[Min]])))&gt;INDIRECT(ADDRESS(11+MATCH(LEFT(Table7[[#This Row],[Min]],FIND("-",Table7[[#This Row],[Min]])-1),Table1[Content Sku],0),16,1,1,"Entities")),"review","ok"),"ok")</f>
        <v>ok</v>
      </c>
    </row>
    <row r="2270" spans="5:9" x14ac:dyDescent="0.25">
      <c r="E2270" t="s">
        <v>545</v>
      </c>
      <c r="F2270">
        <v>0</v>
      </c>
      <c r="G2270">
        <v>0</v>
      </c>
      <c r="H2270" t="s">
        <v>8</v>
      </c>
      <c r="I2270" s="74" t="str">
        <f ca="1">IF(Table7[[#This Row],[Type]]="KILL",IF(_xlfn.NUMBERVALUE(RIGHT(Table7[[#This Row],[Min]],LEN(Table7[[#This Row],[Min]])-FIND("-",Table7[[#This Row],[Min]])))&gt;INDIRECT(ADDRESS(11+MATCH(LEFT(Table7[[#This Row],[Min]],FIND("-",Table7[[#This Row],[Min]])-1),Table1[Content Sku],0),16,1,1,"Entities")),"review","ok"),"ok")</f>
        <v>ok</v>
      </c>
    </row>
    <row r="2271" spans="5:9" x14ac:dyDescent="0.25">
      <c r="E2271" t="s">
        <v>313</v>
      </c>
      <c r="F2271">
        <v>0</v>
      </c>
      <c r="G2271">
        <v>0</v>
      </c>
      <c r="H2271" t="s">
        <v>8</v>
      </c>
      <c r="I2271" s="74" t="str">
        <f ca="1">IF(Table7[[#This Row],[Type]]="KILL",IF(_xlfn.NUMBERVALUE(RIGHT(Table7[[#This Row],[Min]],LEN(Table7[[#This Row],[Min]])-FIND("-",Table7[[#This Row],[Min]])))&gt;INDIRECT(ADDRESS(11+MATCH(LEFT(Table7[[#This Row],[Min]],FIND("-",Table7[[#This Row],[Min]])-1),Table1[Content Sku],0),16,1,1,"Entities")),"review","ok"),"ok")</f>
        <v>ok</v>
      </c>
    </row>
    <row r="2272" spans="5:9" x14ac:dyDescent="0.25">
      <c r="E2272" t="s">
        <v>273</v>
      </c>
      <c r="F2272">
        <v>8000</v>
      </c>
      <c r="G2272">
        <v>0</v>
      </c>
      <c r="H2272" t="s">
        <v>205</v>
      </c>
      <c r="I2272" s="74" t="str">
        <f ca="1">IF(Table7[[#This Row],[Type]]="KILL",IF(_xlfn.NUMBERVALUE(RIGHT(Table7[[#This Row],[Min]],LEN(Table7[[#This Row],[Min]])-FIND("-",Table7[[#This Row],[Min]])))&gt;INDIRECT(ADDRESS(11+MATCH(LEFT(Table7[[#This Row],[Min]],FIND("-",Table7[[#This Row],[Min]])-1),Table1[Content Sku],0),16,1,1,"Entities")),"review","ok"),"ok")</f>
        <v>ok</v>
      </c>
    </row>
    <row r="2273" spans="5:9" x14ac:dyDescent="0.25">
      <c r="E2273" t="s">
        <v>545</v>
      </c>
      <c r="F2273">
        <v>0</v>
      </c>
      <c r="G2273">
        <v>0</v>
      </c>
      <c r="H2273" t="s">
        <v>8</v>
      </c>
      <c r="I2273" s="74" t="str">
        <f ca="1">IF(Table7[[#This Row],[Type]]="KILL",IF(_xlfn.NUMBERVALUE(RIGHT(Table7[[#This Row],[Min]],LEN(Table7[[#This Row],[Min]])-FIND("-",Table7[[#This Row],[Min]])))&gt;INDIRECT(ADDRESS(11+MATCH(LEFT(Table7[[#This Row],[Min]],FIND("-",Table7[[#This Row],[Min]])-1),Table1[Content Sku],0),16,1,1,"Entities")),"review","ok"),"ok")</f>
        <v>ok</v>
      </c>
    </row>
    <row r="2274" spans="5:9" x14ac:dyDescent="0.25">
      <c r="E2274" t="s">
        <v>253</v>
      </c>
      <c r="F2274">
        <v>0</v>
      </c>
      <c r="G2274">
        <v>0</v>
      </c>
      <c r="H2274" t="s">
        <v>8</v>
      </c>
      <c r="I2274" s="74" t="str">
        <f ca="1">IF(Table7[[#This Row],[Type]]="KILL",IF(_xlfn.NUMBERVALUE(RIGHT(Table7[[#This Row],[Min]],LEN(Table7[[#This Row],[Min]])-FIND("-",Table7[[#This Row],[Min]])))&gt;INDIRECT(ADDRESS(11+MATCH(LEFT(Table7[[#This Row],[Min]],FIND("-",Table7[[#This Row],[Min]])-1),Table1[Content Sku],0),16,1,1,"Entities")),"review","ok"),"ok")</f>
        <v>ok</v>
      </c>
    </row>
    <row r="2275" spans="5:9" x14ac:dyDescent="0.25">
      <c r="E2275" t="s">
        <v>2736</v>
      </c>
      <c r="F2275">
        <v>0</v>
      </c>
      <c r="G2275">
        <v>0</v>
      </c>
      <c r="H2275" t="s">
        <v>8</v>
      </c>
      <c r="I2275" s="74" t="str">
        <f ca="1">IF(Table7[[#This Row],[Type]]="KILL",IF(_xlfn.NUMBERVALUE(RIGHT(Table7[[#This Row],[Min]],LEN(Table7[[#This Row],[Min]])-FIND("-",Table7[[#This Row],[Min]])))&gt;INDIRECT(ADDRESS(11+MATCH(LEFT(Table7[[#This Row],[Min]],FIND("-",Table7[[#This Row],[Min]])-1),Table1[Content Sku],0),16,1,1,"Entities")),"review","ok"),"ok")</f>
        <v>ok</v>
      </c>
    </row>
    <row r="2276" spans="5:9" x14ac:dyDescent="0.25">
      <c r="E2276" t="s">
        <v>2741</v>
      </c>
      <c r="F2276">
        <v>0</v>
      </c>
      <c r="G2276">
        <v>0</v>
      </c>
      <c r="H2276" t="s">
        <v>8</v>
      </c>
      <c r="I2276" s="74" t="str">
        <f ca="1">IF(Table7[[#This Row],[Type]]="KILL",IF(_xlfn.NUMBERVALUE(RIGHT(Table7[[#This Row],[Min]],LEN(Table7[[#This Row],[Min]])-FIND("-",Table7[[#This Row],[Min]])))&gt;INDIRECT(ADDRESS(11+MATCH(LEFT(Table7[[#This Row],[Min]],FIND("-",Table7[[#This Row],[Min]])-1),Table1[Content Sku],0),16,1,1,"Entities")),"review","ok"),"ok")</f>
        <v>ok</v>
      </c>
    </row>
    <row r="2277" spans="5:9" x14ac:dyDescent="0.25">
      <c r="E2277" t="s">
        <v>253</v>
      </c>
      <c r="F2277">
        <v>0</v>
      </c>
      <c r="G2277">
        <v>0</v>
      </c>
      <c r="H2277" t="s">
        <v>8</v>
      </c>
      <c r="I2277" s="74" t="str">
        <f ca="1">IF(Table7[[#This Row],[Type]]="KILL",IF(_xlfn.NUMBERVALUE(RIGHT(Table7[[#This Row],[Min]],LEN(Table7[[#This Row],[Min]])-FIND("-",Table7[[#This Row],[Min]])))&gt;INDIRECT(ADDRESS(11+MATCH(LEFT(Table7[[#This Row],[Min]],FIND("-",Table7[[#This Row],[Min]])-1),Table1[Content Sku],0),16,1,1,"Entities")),"review","ok"),"ok")</f>
        <v>ok</v>
      </c>
    </row>
    <row r="2278" spans="5:9" x14ac:dyDescent="0.25">
      <c r="E2278" t="s">
        <v>311</v>
      </c>
      <c r="F2278">
        <v>0</v>
      </c>
      <c r="G2278">
        <v>0</v>
      </c>
      <c r="H2278" t="s">
        <v>8</v>
      </c>
      <c r="I2278" s="74" t="str">
        <f ca="1">IF(Table7[[#This Row],[Type]]="KILL",IF(_xlfn.NUMBERVALUE(RIGHT(Table7[[#This Row],[Min]],LEN(Table7[[#This Row],[Min]])-FIND("-",Table7[[#This Row],[Min]])))&gt;INDIRECT(ADDRESS(11+MATCH(LEFT(Table7[[#This Row],[Min]],FIND("-",Table7[[#This Row],[Min]])-1),Table1[Content Sku],0),16,1,1,"Entities")),"review","ok"),"ok")</f>
        <v>ok</v>
      </c>
    </row>
    <row r="2279" spans="5:9" x14ac:dyDescent="0.25">
      <c r="E2279" t="s">
        <v>93</v>
      </c>
      <c r="F2279">
        <v>0</v>
      </c>
      <c r="G2279">
        <v>27000</v>
      </c>
      <c r="H2279" t="s">
        <v>205</v>
      </c>
      <c r="I2279" s="74" t="str">
        <f ca="1">IF(Table7[[#This Row],[Type]]="KILL",IF(_xlfn.NUMBERVALUE(RIGHT(Table7[[#This Row],[Min]],LEN(Table7[[#This Row],[Min]])-FIND("-",Table7[[#This Row],[Min]])))&gt;INDIRECT(ADDRESS(11+MATCH(LEFT(Table7[[#This Row],[Min]],FIND("-",Table7[[#This Row],[Min]])-1),Table1[Content Sku],0),16,1,1,"Entities")),"review","ok"),"ok")</f>
        <v>ok</v>
      </c>
    </row>
    <row r="2280" spans="5:9" x14ac:dyDescent="0.25">
      <c r="E2280" t="s">
        <v>2736</v>
      </c>
      <c r="F2280">
        <v>0</v>
      </c>
      <c r="G2280">
        <v>0</v>
      </c>
      <c r="H2280" t="s">
        <v>8</v>
      </c>
      <c r="I2280" s="74" t="str">
        <f ca="1">IF(Table7[[#This Row],[Type]]="KILL",IF(_xlfn.NUMBERVALUE(RIGHT(Table7[[#This Row],[Min]],LEN(Table7[[#This Row],[Min]])-FIND("-",Table7[[#This Row],[Min]])))&gt;INDIRECT(ADDRESS(11+MATCH(LEFT(Table7[[#This Row],[Min]],FIND("-",Table7[[#This Row],[Min]])-1),Table1[Content Sku],0),16,1,1,"Entities")),"review","ok"),"ok")</f>
        <v>ok</v>
      </c>
    </row>
    <row r="2281" spans="5:9" x14ac:dyDescent="0.25">
      <c r="E2281" t="s">
        <v>311</v>
      </c>
      <c r="F2281">
        <v>0</v>
      </c>
      <c r="G2281">
        <v>0</v>
      </c>
      <c r="H2281" t="s">
        <v>8</v>
      </c>
      <c r="I2281" s="74" t="str">
        <f ca="1">IF(Table7[[#This Row],[Type]]="KILL",IF(_xlfn.NUMBERVALUE(RIGHT(Table7[[#This Row],[Min]],LEN(Table7[[#This Row],[Min]])-FIND("-",Table7[[#This Row],[Min]])))&gt;INDIRECT(ADDRESS(11+MATCH(LEFT(Table7[[#This Row],[Min]],FIND("-",Table7[[#This Row],[Min]])-1),Table1[Content Sku],0),16,1,1,"Entities")),"review","ok"),"ok")</f>
        <v>ok</v>
      </c>
    </row>
    <row r="2282" spans="5:9" x14ac:dyDescent="0.25">
      <c r="E2282" t="s">
        <v>278</v>
      </c>
      <c r="F2282">
        <v>0</v>
      </c>
      <c r="G2282">
        <v>0</v>
      </c>
      <c r="H2282" t="s">
        <v>8</v>
      </c>
      <c r="I2282" s="74" t="str">
        <f ca="1">IF(Table7[[#This Row],[Type]]="KILL",IF(_xlfn.NUMBERVALUE(RIGHT(Table7[[#This Row],[Min]],LEN(Table7[[#This Row],[Min]])-FIND("-",Table7[[#This Row],[Min]])))&gt;INDIRECT(ADDRESS(11+MATCH(LEFT(Table7[[#This Row],[Min]],FIND("-",Table7[[#This Row],[Min]])-1),Table1[Content Sku],0),16,1,1,"Entities")),"review","ok"),"ok")</f>
        <v>ok</v>
      </c>
    </row>
    <row r="2283" spans="5:9" x14ac:dyDescent="0.25">
      <c r="E2283" t="s">
        <v>254</v>
      </c>
      <c r="F2283">
        <v>3000</v>
      </c>
      <c r="G2283">
        <v>0</v>
      </c>
      <c r="H2283" t="s">
        <v>205</v>
      </c>
      <c r="I2283" s="74" t="str">
        <f ca="1">IF(Table7[[#This Row],[Type]]="KILL",IF(_xlfn.NUMBERVALUE(RIGHT(Table7[[#This Row],[Min]],LEN(Table7[[#This Row],[Min]])-FIND("-",Table7[[#This Row],[Min]])))&gt;INDIRECT(ADDRESS(11+MATCH(LEFT(Table7[[#This Row],[Min]],FIND("-",Table7[[#This Row],[Min]])-1),Table1[Content Sku],0),16,1,1,"Entities")),"review","ok"),"ok")</f>
        <v>ok</v>
      </c>
    </row>
    <row r="2284" spans="5:9" x14ac:dyDescent="0.25">
      <c r="E2284" t="s">
        <v>46</v>
      </c>
      <c r="F2284">
        <v>0</v>
      </c>
      <c r="G2284">
        <v>0</v>
      </c>
      <c r="H2284" t="s">
        <v>8</v>
      </c>
      <c r="I2284" s="74" t="str">
        <f ca="1">IF(Table7[[#This Row],[Type]]="KILL",IF(_xlfn.NUMBERVALUE(RIGHT(Table7[[#This Row],[Min]],LEN(Table7[[#This Row],[Min]])-FIND("-",Table7[[#This Row],[Min]])))&gt;INDIRECT(ADDRESS(11+MATCH(LEFT(Table7[[#This Row],[Min]],FIND("-",Table7[[#This Row],[Min]])-1),Table1[Content Sku],0),16,1,1,"Entities")),"review","ok"),"ok")</f>
        <v>ok</v>
      </c>
    </row>
    <row r="2285" spans="5:9" x14ac:dyDescent="0.25">
      <c r="E2285" t="s">
        <v>422</v>
      </c>
      <c r="F2285">
        <v>60</v>
      </c>
      <c r="G2285">
        <v>0</v>
      </c>
      <c r="H2285" t="s">
        <v>4431</v>
      </c>
      <c r="I2285" s="74" t="str">
        <f ca="1">IF(Table7[[#This Row],[Type]]="KILL",IF(_xlfn.NUMBERVALUE(RIGHT(Table7[[#This Row],[Min]],LEN(Table7[[#This Row],[Min]])-FIND("-",Table7[[#This Row],[Min]])))&gt;INDIRECT(ADDRESS(11+MATCH(LEFT(Table7[[#This Row],[Min]],FIND("-",Table7[[#This Row],[Min]])-1),Table1[Content Sku],0),16,1,1,"Entities")),"review","ok"),"ok")</f>
        <v>ok</v>
      </c>
    </row>
    <row r="2286" spans="5:9" x14ac:dyDescent="0.25">
      <c r="E2286" t="s">
        <v>403</v>
      </c>
      <c r="F2286">
        <v>0</v>
      </c>
      <c r="G2286">
        <v>0</v>
      </c>
      <c r="H2286" t="s">
        <v>8</v>
      </c>
      <c r="I2286" s="74" t="str">
        <f ca="1">IF(Table7[[#This Row],[Type]]="KILL",IF(_xlfn.NUMBERVALUE(RIGHT(Table7[[#This Row],[Min]],LEN(Table7[[#This Row],[Min]])-FIND("-",Table7[[#This Row],[Min]])))&gt;INDIRECT(ADDRESS(11+MATCH(LEFT(Table7[[#This Row],[Min]],FIND("-",Table7[[#This Row],[Min]])-1),Table1[Content Sku],0),16,1,1,"Entities")),"review","ok"),"ok")</f>
        <v>ok</v>
      </c>
    </row>
    <row r="2287" spans="5:9" x14ac:dyDescent="0.25">
      <c r="E2287" t="s">
        <v>122</v>
      </c>
      <c r="F2287">
        <v>0</v>
      </c>
      <c r="G2287">
        <v>0</v>
      </c>
      <c r="H2287" t="s">
        <v>8</v>
      </c>
      <c r="I2287" s="74" t="str">
        <f ca="1">IF(Table7[[#This Row],[Type]]="KILL",IF(_xlfn.NUMBERVALUE(RIGHT(Table7[[#This Row],[Min]],LEN(Table7[[#This Row],[Min]])-FIND("-",Table7[[#This Row],[Min]])))&gt;INDIRECT(ADDRESS(11+MATCH(LEFT(Table7[[#This Row],[Min]],FIND("-",Table7[[#This Row],[Min]])-1),Table1[Content Sku],0),16,1,1,"Entities")),"review","ok"),"ok")</f>
        <v>ok</v>
      </c>
    </row>
    <row r="2288" spans="5:9" x14ac:dyDescent="0.25">
      <c r="E2288" t="s">
        <v>2741</v>
      </c>
      <c r="F2288">
        <v>0</v>
      </c>
      <c r="G2288">
        <v>0</v>
      </c>
      <c r="H2288" t="s">
        <v>8</v>
      </c>
      <c r="I2288" s="74" t="str">
        <f ca="1">IF(Table7[[#This Row],[Type]]="KILL",IF(_xlfn.NUMBERVALUE(RIGHT(Table7[[#This Row],[Min]],LEN(Table7[[#This Row],[Min]])-FIND("-",Table7[[#This Row],[Min]])))&gt;INDIRECT(ADDRESS(11+MATCH(LEFT(Table7[[#This Row],[Min]],FIND("-",Table7[[#This Row],[Min]])-1),Table1[Content Sku],0),16,1,1,"Entities")),"review","ok"),"ok")</f>
        <v>ok</v>
      </c>
    </row>
    <row r="2289" spans="5:9" x14ac:dyDescent="0.25">
      <c r="E2289" t="s">
        <v>256</v>
      </c>
      <c r="F2289">
        <v>18000</v>
      </c>
      <c r="G2289">
        <v>0</v>
      </c>
      <c r="H2289" t="s">
        <v>205</v>
      </c>
      <c r="I2289" s="74" t="str">
        <f ca="1">IF(Table7[[#This Row],[Type]]="KILL",IF(_xlfn.NUMBERVALUE(RIGHT(Table7[[#This Row],[Min]],LEN(Table7[[#This Row],[Min]])-FIND("-",Table7[[#This Row],[Min]])))&gt;INDIRECT(ADDRESS(11+MATCH(LEFT(Table7[[#This Row],[Min]],FIND("-",Table7[[#This Row],[Min]])-1),Table1[Content Sku],0),16,1,1,"Entities")),"review","ok"),"ok")</f>
        <v>ok</v>
      </c>
    </row>
    <row r="2290" spans="5:9" x14ac:dyDescent="0.25">
      <c r="E2290" t="s">
        <v>254</v>
      </c>
      <c r="F2290">
        <v>0</v>
      </c>
      <c r="G2290">
        <v>0</v>
      </c>
      <c r="H2290" t="s">
        <v>8</v>
      </c>
      <c r="I2290" s="74" t="str">
        <f ca="1">IF(Table7[[#This Row],[Type]]="KILL",IF(_xlfn.NUMBERVALUE(RIGHT(Table7[[#This Row],[Min]],LEN(Table7[[#This Row],[Min]])-FIND("-",Table7[[#This Row],[Min]])))&gt;INDIRECT(ADDRESS(11+MATCH(LEFT(Table7[[#This Row],[Min]],FIND("-",Table7[[#This Row],[Min]])-1),Table1[Content Sku],0),16,1,1,"Entities")),"review","ok"),"ok")</f>
        <v>ok</v>
      </c>
    </row>
    <row r="2291" spans="5:9" x14ac:dyDescent="0.25">
      <c r="E2291" t="s">
        <v>548</v>
      </c>
      <c r="F2291">
        <v>0</v>
      </c>
      <c r="G2291">
        <v>0</v>
      </c>
      <c r="H2291" t="s">
        <v>8</v>
      </c>
      <c r="I2291" s="74" t="str">
        <f ca="1">IF(Table7[[#This Row],[Type]]="KILL",IF(_xlfn.NUMBERVALUE(RIGHT(Table7[[#This Row],[Min]],LEN(Table7[[#This Row],[Min]])-FIND("-",Table7[[#This Row],[Min]])))&gt;INDIRECT(ADDRESS(11+MATCH(LEFT(Table7[[#This Row],[Min]],FIND("-",Table7[[#This Row],[Min]])-1),Table1[Content Sku],0),16,1,1,"Entities")),"review","ok"),"ok")</f>
        <v>ok</v>
      </c>
    </row>
    <row r="2292" spans="5:9" x14ac:dyDescent="0.25">
      <c r="E2292" t="s">
        <v>463</v>
      </c>
      <c r="F2292">
        <v>0</v>
      </c>
      <c r="G2292">
        <v>3000</v>
      </c>
      <c r="H2292" t="s">
        <v>205</v>
      </c>
      <c r="I2292" s="74" t="str">
        <f ca="1">IF(Table7[[#This Row],[Type]]="KILL",IF(_xlfn.NUMBERVALUE(RIGHT(Table7[[#This Row],[Min]],LEN(Table7[[#This Row],[Min]])-FIND("-",Table7[[#This Row],[Min]])))&gt;INDIRECT(ADDRESS(11+MATCH(LEFT(Table7[[#This Row],[Min]],FIND("-",Table7[[#This Row],[Min]])-1),Table1[Content Sku],0),16,1,1,"Entities")),"review","ok"),"ok")</f>
        <v>ok</v>
      </c>
    </row>
    <row r="2293" spans="5:9" x14ac:dyDescent="0.25">
      <c r="E2293" t="s">
        <v>258</v>
      </c>
      <c r="F2293">
        <v>41000</v>
      </c>
      <c r="G2293">
        <v>0</v>
      </c>
      <c r="H2293" t="s">
        <v>205</v>
      </c>
      <c r="I2293" s="74" t="str">
        <f ca="1">IF(Table7[[#This Row],[Type]]="KILL",IF(_xlfn.NUMBERVALUE(RIGHT(Table7[[#This Row],[Min]],LEN(Table7[[#This Row],[Min]])-FIND("-",Table7[[#This Row],[Min]])))&gt;INDIRECT(ADDRESS(11+MATCH(LEFT(Table7[[#This Row],[Min]],FIND("-",Table7[[#This Row],[Min]])-1),Table1[Content Sku],0),16,1,1,"Entities")),"review","ok"),"ok")</f>
        <v>ok</v>
      </c>
    </row>
    <row r="2294" spans="5:9" x14ac:dyDescent="0.25">
      <c r="E2294" t="s">
        <v>545</v>
      </c>
      <c r="F2294">
        <v>0</v>
      </c>
      <c r="G2294">
        <v>0</v>
      </c>
      <c r="H2294" t="s">
        <v>8</v>
      </c>
      <c r="I2294" s="74" t="str">
        <f ca="1">IF(Table7[[#This Row],[Type]]="KILL",IF(_xlfn.NUMBERVALUE(RIGHT(Table7[[#This Row],[Min]],LEN(Table7[[#This Row],[Min]])-FIND("-",Table7[[#This Row],[Min]])))&gt;INDIRECT(ADDRESS(11+MATCH(LEFT(Table7[[#This Row],[Min]],FIND("-",Table7[[#This Row],[Min]])-1),Table1[Content Sku],0),16,1,1,"Entities")),"review","ok"),"ok")</f>
        <v>ok</v>
      </c>
    </row>
    <row r="2295" spans="5:9" x14ac:dyDescent="0.25">
      <c r="E2295" t="s">
        <v>253</v>
      </c>
      <c r="F2295">
        <v>0</v>
      </c>
      <c r="G2295">
        <v>0</v>
      </c>
      <c r="H2295" t="s">
        <v>8</v>
      </c>
      <c r="I2295" s="74" t="str">
        <f ca="1">IF(Table7[[#This Row],[Type]]="KILL",IF(_xlfn.NUMBERVALUE(RIGHT(Table7[[#This Row],[Min]],LEN(Table7[[#This Row],[Min]])-FIND("-",Table7[[#This Row],[Min]])))&gt;INDIRECT(ADDRESS(11+MATCH(LEFT(Table7[[#This Row],[Min]],FIND("-",Table7[[#This Row],[Min]])-1),Table1[Content Sku],0),16,1,1,"Entities")),"review","ok"),"ok")</f>
        <v>ok</v>
      </c>
    </row>
    <row r="2296" spans="5:9" x14ac:dyDescent="0.25">
      <c r="E2296" t="s">
        <v>2732</v>
      </c>
      <c r="F2296">
        <v>0</v>
      </c>
      <c r="G2296">
        <v>0</v>
      </c>
      <c r="H2296" t="s">
        <v>8</v>
      </c>
      <c r="I2296" s="74" t="str">
        <f ca="1">IF(Table7[[#This Row],[Type]]="KILL",IF(_xlfn.NUMBERVALUE(RIGHT(Table7[[#This Row],[Min]],LEN(Table7[[#This Row],[Min]])-FIND("-",Table7[[#This Row],[Min]])))&gt;INDIRECT(ADDRESS(11+MATCH(LEFT(Table7[[#This Row],[Min]],FIND("-",Table7[[#This Row],[Min]])-1),Table1[Content Sku],0),16,1,1,"Entities")),"review","ok"),"ok")</f>
        <v>ok</v>
      </c>
    </row>
    <row r="2297" spans="5:9" x14ac:dyDescent="0.25">
      <c r="E2297" t="s">
        <v>4430</v>
      </c>
      <c r="F2297">
        <v>0</v>
      </c>
      <c r="G2297">
        <v>0</v>
      </c>
      <c r="H2297" t="s">
        <v>8</v>
      </c>
      <c r="I2297" s="74" t="str">
        <f ca="1">IF(Table7[[#This Row],[Type]]="KILL",IF(_xlfn.NUMBERVALUE(RIGHT(Table7[[#This Row],[Min]],LEN(Table7[[#This Row],[Min]])-FIND("-",Table7[[#This Row],[Min]])))&gt;INDIRECT(ADDRESS(11+MATCH(LEFT(Table7[[#This Row],[Min]],FIND("-",Table7[[#This Row],[Min]])-1),Table1[Content Sku],0),16,1,1,"Entities")),"review","ok"),"ok")</f>
        <v>ok</v>
      </c>
    </row>
    <row r="2298" spans="5:9" x14ac:dyDescent="0.25">
      <c r="E2298" t="s">
        <v>311</v>
      </c>
      <c r="F2298">
        <v>4200</v>
      </c>
      <c r="G2298">
        <v>0</v>
      </c>
      <c r="H2298" t="s">
        <v>205</v>
      </c>
      <c r="I2298" s="74" t="str">
        <f ca="1">IF(Table7[[#This Row],[Type]]="KILL",IF(_xlfn.NUMBERVALUE(RIGHT(Table7[[#This Row],[Min]],LEN(Table7[[#This Row],[Min]])-FIND("-",Table7[[#This Row],[Min]])))&gt;INDIRECT(ADDRESS(11+MATCH(LEFT(Table7[[#This Row],[Min]],FIND("-",Table7[[#This Row],[Min]])-1),Table1[Content Sku],0),16,1,1,"Entities")),"review","ok"),"ok")</f>
        <v>ok</v>
      </c>
    </row>
    <row r="2299" spans="5:9" x14ac:dyDescent="0.25">
      <c r="E2299" t="s">
        <v>253</v>
      </c>
      <c r="F2299">
        <v>0</v>
      </c>
      <c r="G2299">
        <v>25000</v>
      </c>
      <c r="H2299" t="s">
        <v>205</v>
      </c>
      <c r="I2299" s="74" t="str">
        <f ca="1">IF(Table7[[#This Row],[Type]]="KILL",IF(_xlfn.NUMBERVALUE(RIGHT(Table7[[#This Row],[Min]],LEN(Table7[[#This Row],[Min]])-FIND("-",Table7[[#This Row],[Min]])))&gt;INDIRECT(ADDRESS(11+MATCH(LEFT(Table7[[#This Row],[Min]],FIND("-",Table7[[#This Row],[Min]])-1),Table1[Content Sku],0),16,1,1,"Entities")),"review","ok"),"ok")</f>
        <v>ok</v>
      </c>
    </row>
    <row r="2300" spans="5:9" x14ac:dyDescent="0.25">
      <c r="E2300" t="s">
        <v>2741</v>
      </c>
      <c r="F2300">
        <v>0</v>
      </c>
      <c r="G2300">
        <v>0</v>
      </c>
      <c r="H2300" t="s">
        <v>8</v>
      </c>
      <c r="I2300" s="74" t="str">
        <f ca="1">IF(Table7[[#This Row],[Type]]="KILL",IF(_xlfn.NUMBERVALUE(RIGHT(Table7[[#This Row],[Min]],LEN(Table7[[#This Row],[Min]])-FIND("-",Table7[[#This Row],[Min]])))&gt;INDIRECT(ADDRESS(11+MATCH(LEFT(Table7[[#This Row],[Min]],FIND("-",Table7[[#This Row],[Min]])-1),Table1[Content Sku],0),16,1,1,"Entities")),"review","ok"),"ok")</f>
        <v>ok</v>
      </c>
    </row>
    <row r="2301" spans="5:9" x14ac:dyDescent="0.25">
      <c r="E2301" t="s">
        <v>347</v>
      </c>
      <c r="F2301">
        <v>0</v>
      </c>
      <c r="G2301">
        <v>0</v>
      </c>
      <c r="H2301" t="s">
        <v>8</v>
      </c>
      <c r="I2301" s="74" t="str">
        <f ca="1">IF(Table7[[#This Row],[Type]]="KILL",IF(_xlfn.NUMBERVALUE(RIGHT(Table7[[#This Row],[Min]],LEN(Table7[[#This Row],[Min]])-FIND("-",Table7[[#This Row],[Min]])))&gt;INDIRECT(ADDRESS(11+MATCH(LEFT(Table7[[#This Row],[Min]],FIND("-",Table7[[#This Row],[Min]])-1),Table1[Content Sku],0),16,1,1,"Entities")),"review","ok"),"ok")</f>
        <v>ok</v>
      </c>
    </row>
    <row r="2302" spans="5:9" x14ac:dyDescent="0.25">
      <c r="E2302" t="s">
        <v>123</v>
      </c>
      <c r="F2302">
        <v>0</v>
      </c>
      <c r="G2302">
        <v>0</v>
      </c>
      <c r="H2302" t="s">
        <v>8</v>
      </c>
      <c r="I2302" s="74" t="str">
        <f ca="1">IF(Table7[[#This Row],[Type]]="KILL",IF(_xlfn.NUMBERVALUE(RIGHT(Table7[[#This Row],[Min]],LEN(Table7[[#This Row],[Min]])-FIND("-",Table7[[#This Row],[Min]])))&gt;INDIRECT(ADDRESS(11+MATCH(LEFT(Table7[[#This Row],[Min]],FIND("-",Table7[[#This Row],[Min]])-1),Table1[Content Sku],0),16,1,1,"Entities")),"review","ok"),"ok")</f>
        <v>ok</v>
      </c>
    </row>
    <row r="2303" spans="5:9" x14ac:dyDescent="0.25">
      <c r="E2303" t="s">
        <v>338</v>
      </c>
      <c r="F2303">
        <v>0</v>
      </c>
      <c r="G2303">
        <v>17000</v>
      </c>
      <c r="H2303" t="s">
        <v>205</v>
      </c>
      <c r="I2303" s="74" t="str">
        <f ca="1">IF(Table7[[#This Row],[Type]]="KILL",IF(_xlfn.NUMBERVALUE(RIGHT(Table7[[#This Row],[Min]],LEN(Table7[[#This Row],[Min]])-FIND("-",Table7[[#This Row],[Min]])))&gt;INDIRECT(ADDRESS(11+MATCH(LEFT(Table7[[#This Row],[Min]],FIND("-",Table7[[#This Row],[Min]])-1),Table1[Content Sku],0),16,1,1,"Entities")),"review","ok"),"ok")</f>
        <v>ok</v>
      </c>
    </row>
    <row r="2304" spans="5:9" x14ac:dyDescent="0.25">
      <c r="E2304" t="s">
        <v>2732</v>
      </c>
      <c r="F2304">
        <v>0</v>
      </c>
      <c r="G2304">
        <v>0</v>
      </c>
      <c r="H2304" t="s">
        <v>8</v>
      </c>
      <c r="I2304" s="74" t="str">
        <f ca="1">IF(Table7[[#This Row],[Type]]="KILL",IF(_xlfn.NUMBERVALUE(RIGHT(Table7[[#This Row],[Min]],LEN(Table7[[#This Row],[Min]])-FIND("-",Table7[[#This Row],[Min]])))&gt;INDIRECT(ADDRESS(11+MATCH(LEFT(Table7[[#This Row],[Min]],FIND("-",Table7[[#This Row],[Min]])-1),Table1[Content Sku],0),16,1,1,"Entities")),"review","ok"),"ok")</f>
        <v>ok</v>
      </c>
    </row>
    <row r="2305" spans="5:9" x14ac:dyDescent="0.25">
      <c r="E2305" t="s">
        <v>278</v>
      </c>
      <c r="F2305">
        <v>0</v>
      </c>
      <c r="G2305">
        <v>0</v>
      </c>
      <c r="H2305" t="s">
        <v>8</v>
      </c>
      <c r="I2305" s="74" t="str">
        <f ca="1">IF(Table7[[#This Row],[Type]]="KILL",IF(_xlfn.NUMBERVALUE(RIGHT(Table7[[#This Row],[Min]],LEN(Table7[[#This Row],[Min]])-FIND("-",Table7[[#This Row],[Min]])))&gt;INDIRECT(ADDRESS(11+MATCH(LEFT(Table7[[#This Row],[Min]],FIND("-",Table7[[#This Row],[Min]])-1),Table1[Content Sku],0),16,1,1,"Entities")),"review","ok"),"ok")</f>
        <v>ok</v>
      </c>
    </row>
    <row r="2306" spans="5:9" x14ac:dyDescent="0.25">
      <c r="E2306" t="s">
        <v>2741</v>
      </c>
      <c r="F2306">
        <v>0</v>
      </c>
      <c r="G2306">
        <v>0</v>
      </c>
      <c r="H2306" t="s">
        <v>8</v>
      </c>
      <c r="I2306" s="74" t="str">
        <f ca="1">IF(Table7[[#This Row],[Type]]="KILL",IF(_xlfn.NUMBERVALUE(RIGHT(Table7[[#This Row],[Min]],LEN(Table7[[#This Row],[Min]])-FIND("-",Table7[[#This Row],[Min]])))&gt;INDIRECT(ADDRESS(11+MATCH(LEFT(Table7[[#This Row],[Min]],FIND("-",Table7[[#This Row],[Min]])-1),Table1[Content Sku],0),16,1,1,"Entities")),"review","ok"),"ok")</f>
        <v>ok</v>
      </c>
    </row>
    <row r="2307" spans="5:9" x14ac:dyDescent="0.25">
      <c r="E2307" t="s">
        <v>8108</v>
      </c>
      <c r="F2307">
        <v>0</v>
      </c>
      <c r="G2307">
        <v>0</v>
      </c>
      <c r="H2307" t="s">
        <v>8</v>
      </c>
      <c r="I2307" s="74" t="str">
        <f ca="1">IF(Table7[[#This Row],[Type]]="KILL",IF(_xlfn.NUMBERVALUE(RIGHT(Table7[[#This Row],[Min]],LEN(Table7[[#This Row],[Min]])-FIND("-",Table7[[#This Row],[Min]])))&gt;INDIRECT(ADDRESS(11+MATCH(LEFT(Table7[[#This Row],[Min]],FIND("-",Table7[[#This Row],[Min]])-1),Table1[Content Sku],0),16,1,1,"Entities")),"review","ok"),"ok")</f>
        <v>ok</v>
      </c>
    </row>
    <row r="2308" spans="5:9" x14ac:dyDescent="0.25">
      <c r="E2308" t="s">
        <v>254</v>
      </c>
      <c r="F2308">
        <v>0</v>
      </c>
      <c r="G2308">
        <v>0</v>
      </c>
      <c r="H2308" t="s">
        <v>8</v>
      </c>
      <c r="I2308" s="74" t="str">
        <f ca="1">IF(Table7[[#This Row],[Type]]="KILL",IF(_xlfn.NUMBERVALUE(RIGHT(Table7[[#This Row],[Min]],LEN(Table7[[#This Row],[Min]])-FIND("-",Table7[[#This Row],[Min]])))&gt;INDIRECT(ADDRESS(11+MATCH(LEFT(Table7[[#This Row],[Min]],FIND("-",Table7[[#This Row],[Min]])-1),Table1[Content Sku],0),16,1,1,"Entities")),"review","ok"),"ok")</f>
        <v>ok</v>
      </c>
    </row>
    <row r="2309" spans="5:9" x14ac:dyDescent="0.25">
      <c r="E2309" t="s">
        <v>313</v>
      </c>
      <c r="F2309">
        <v>0</v>
      </c>
      <c r="G2309">
        <v>0</v>
      </c>
      <c r="H2309" t="s">
        <v>8</v>
      </c>
      <c r="I2309" s="74" t="str">
        <f ca="1">IF(Table7[[#This Row],[Type]]="KILL",IF(_xlfn.NUMBERVALUE(RIGHT(Table7[[#This Row],[Min]],LEN(Table7[[#This Row],[Min]])-FIND("-",Table7[[#This Row],[Min]])))&gt;INDIRECT(ADDRESS(11+MATCH(LEFT(Table7[[#This Row],[Min]],FIND("-",Table7[[#This Row],[Min]])-1),Table1[Content Sku],0),16,1,1,"Entities")),"review","ok"),"ok")</f>
        <v>ok</v>
      </c>
    </row>
    <row r="2310" spans="5:9" x14ac:dyDescent="0.25">
      <c r="E2310" t="s">
        <v>403</v>
      </c>
      <c r="F2310">
        <v>0</v>
      </c>
      <c r="G2310">
        <v>0</v>
      </c>
      <c r="H2310" t="s">
        <v>8</v>
      </c>
      <c r="I2310" s="74" t="str">
        <f ca="1">IF(Table7[[#This Row],[Type]]="KILL",IF(_xlfn.NUMBERVALUE(RIGHT(Table7[[#This Row],[Min]],LEN(Table7[[#This Row],[Min]])-FIND("-",Table7[[#This Row],[Min]])))&gt;INDIRECT(ADDRESS(11+MATCH(LEFT(Table7[[#This Row],[Min]],FIND("-",Table7[[#This Row],[Min]])-1),Table1[Content Sku],0),16,1,1,"Entities")),"review","ok"),"ok")</f>
        <v>ok</v>
      </c>
    </row>
    <row r="2311" spans="5:9" x14ac:dyDescent="0.25">
      <c r="E2311" t="s">
        <v>43</v>
      </c>
      <c r="F2311">
        <v>18000</v>
      </c>
      <c r="G2311">
        <v>0</v>
      </c>
      <c r="H2311" t="s">
        <v>205</v>
      </c>
      <c r="I2311" s="74" t="str">
        <f ca="1">IF(Table7[[#This Row],[Type]]="KILL",IF(_xlfn.NUMBERVALUE(RIGHT(Table7[[#This Row],[Min]],LEN(Table7[[#This Row],[Min]])-FIND("-",Table7[[#This Row],[Min]])))&gt;INDIRECT(ADDRESS(11+MATCH(LEFT(Table7[[#This Row],[Min]],FIND("-",Table7[[#This Row],[Min]])-1),Table1[Content Sku],0),16,1,1,"Entities")),"review","ok"),"ok")</f>
        <v>ok</v>
      </c>
    </row>
    <row r="2312" spans="5:9" x14ac:dyDescent="0.25">
      <c r="E2312" t="s">
        <v>2729</v>
      </c>
      <c r="F2312">
        <v>0</v>
      </c>
      <c r="G2312">
        <v>0</v>
      </c>
      <c r="H2312" t="s">
        <v>8</v>
      </c>
      <c r="I2312" s="74" t="str">
        <f ca="1">IF(Table7[[#This Row],[Type]]="KILL",IF(_xlfn.NUMBERVALUE(RIGHT(Table7[[#This Row],[Min]],LEN(Table7[[#This Row],[Min]])-FIND("-",Table7[[#This Row],[Min]])))&gt;INDIRECT(ADDRESS(11+MATCH(LEFT(Table7[[#This Row],[Min]],FIND("-",Table7[[#This Row],[Min]])-1),Table1[Content Sku],0),16,1,1,"Entities")),"review","ok"),"ok")</f>
        <v>ok</v>
      </c>
    </row>
    <row r="2313" spans="5:9" x14ac:dyDescent="0.25">
      <c r="E2313" t="s">
        <v>46</v>
      </c>
      <c r="F2313">
        <v>0</v>
      </c>
      <c r="G2313">
        <v>0</v>
      </c>
      <c r="H2313" t="s">
        <v>8</v>
      </c>
      <c r="I2313" s="74" t="str">
        <f ca="1">IF(Table7[[#This Row],[Type]]="KILL",IF(_xlfn.NUMBERVALUE(RIGHT(Table7[[#This Row],[Min]],LEN(Table7[[#This Row],[Min]])-FIND("-",Table7[[#This Row],[Min]])))&gt;INDIRECT(ADDRESS(11+MATCH(LEFT(Table7[[#This Row],[Min]],FIND("-",Table7[[#This Row],[Min]])-1),Table1[Content Sku],0),16,1,1,"Entities")),"review","ok"),"ok")</f>
        <v>ok</v>
      </c>
    </row>
    <row r="2314" spans="5:9" x14ac:dyDescent="0.25">
      <c r="E2314" t="s">
        <v>315</v>
      </c>
      <c r="F2314">
        <v>0</v>
      </c>
      <c r="G2314">
        <v>0</v>
      </c>
      <c r="H2314" t="s">
        <v>8</v>
      </c>
      <c r="I2314" s="74" t="str">
        <f ca="1">IF(Table7[[#This Row],[Type]]="KILL",IF(_xlfn.NUMBERVALUE(RIGHT(Table7[[#This Row],[Min]],LEN(Table7[[#This Row],[Min]])-FIND("-",Table7[[#This Row],[Min]])))&gt;INDIRECT(ADDRESS(11+MATCH(LEFT(Table7[[#This Row],[Min]],FIND("-",Table7[[#This Row],[Min]])-1),Table1[Content Sku],0),16,1,1,"Entities")),"review","ok"),"ok")</f>
        <v>ok</v>
      </c>
    </row>
    <row r="2315" spans="5:9" x14ac:dyDescent="0.25">
      <c r="E2315" t="s">
        <v>2741</v>
      </c>
      <c r="F2315">
        <v>0</v>
      </c>
      <c r="G2315">
        <v>0</v>
      </c>
      <c r="H2315" t="s">
        <v>8</v>
      </c>
      <c r="I2315" s="74" t="str">
        <f ca="1">IF(Table7[[#This Row],[Type]]="KILL",IF(_xlfn.NUMBERVALUE(RIGHT(Table7[[#This Row],[Min]],LEN(Table7[[#This Row],[Min]])-FIND("-",Table7[[#This Row],[Min]])))&gt;INDIRECT(ADDRESS(11+MATCH(LEFT(Table7[[#This Row],[Min]],FIND("-",Table7[[#This Row],[Min]])-1),Table1[Content Sku],0),16,1,1,"Entities")),"review","ok"),"ok")</f>
        <v>ok</v>
      </c>
    </row>
    <row r="2316" spans="5:9" x14ac:dyDescent="0.25">
      <c r="E2316" t="s">
        <v>51</v>
      </c>
      <c r="F2316">
        <v>43000</v>
      </c>
      <c r="G2316">
        <v>0</v>
      </c>
      <c r="H2316" t="s">
        <v>205</v>
      </c>
      <c r="I2316" s="74" t="str">
        <f ca="1">IF(Table7[[#This Row],[Type]]="KILL",IF(_xlfn.NUMBERVALUE(RIGHT(Table7[[#This Row],[Min]],LEN(Table7[[#This Row],[Min]])-FIND("-",Table7[[#This Row],[Min]])))&gt;INDIRECT(ADDRESS(11+MATCH(LEFT(Table7[[#This Row],[Min]],FIND("-",Table7[[#This Row],[Min]])-1),Table1[Content Sku],0),16,1,1,"Entities")),"review","ok"),"ok")</f>
        <v>ok</v>
      </c>
    </row>
    <row r="2317" spans="5:9" x14ac:dyDescent="0.25">
      <c r="E2317" t="s">
        <v>315</v>
      </c>
      <c r="F2317">
        <v>0</v>
      </c>
      <c r="G2317">
        <v>0</v>
      </c>
      <c r="H2317" t="s">
        <v>8</v>
      </c>
      <c r="I2317" s="74" t="str">
        <f ca="1">IF(Table7[[#This Row],[Type]]="KILL",IF(_xlfn.NUMBERVALUE(RIGHT(Table7[[#This Row],[Min]],LEN(Table7[[#This Row],[Min]])-FIND("-",Table7[[#This Row],[Min]])))&gt;INDIRECT(ADDRESS(11+MATCH(LEFT(Table7[[#This Row],[Min]],FIND("-",Table7[[#This Row],[Min]])-1),Table1[Content Sku],0),16,1,1,"Entities")),"review","ok"),"ok")</f>
        <v>ok</v>
      </c>
    </row>
    <row r="2318" spans="5:9" x14ac:dyDescent="0.25">
      <c r="E2318" t="s">
        <v>313</v>
      </c>
      <c r="F2318">
        <v>0</v>
      </c>
      <c r="G2318">
        <v>0</v>
      </c>
      <c r="H2318" t="s">
        <v>8</v>
      </c>
      <c r="I2318" s="74" t="str">
        <f ca="1">IF(Table7[[#This Row],[Type]]="KILL",IF(_xlfn.NUMBERVALUE(RIGHT(Table7[[#This Row],[Min]],LEN(Table7[[#This Row],[Min]])-FIND("-",Table7[[#This Row],[Min]])))&gt;INDIRECT(ADDRESS(11+MATCH(LEFT(Table7[[#This Row],[Min]],FIND("-",Table7[[#This Row],[Min]])-1),Table1[Content Sku],0),16,1,1,"Entities")),"review","ok"),"ok")</f>
        <v>ok</v>
      </c>
    </row>
    <row r="2319" spans="5:9" x14ac:dyDescent="0.25">
      <c r="E2319" t="s">
        <v>90</v>
      </c>
      <c r="F2319">
        <v>0</v>
      </c>
      <c r="G2319">
        <v>0</v>
      </c>
      <c r="H2319" t="s">
        <v>8</v>
      </c>
      <c r="I2319" s="74" t="str">
        <f ca="1">IF(Table7[[#This Row],[Type]]="KILL",IF(_xlfn.NUMBERVALUE(RIGHT(Table7[[#This Row],[Min]],LEN(Table7[[#This Row],[Min]])-FIND("-",Table7[[#This Row],[Min]])))&gt;INDIRECT(ADDRESS(11+MATCH(LEFT(Table7[[#This Row],[Min]],FIND("-",Table7[[#This Row],[Min]])-1),Table1[Content Sku],0),16,1,1,"Entities")),"review","ok"),"ok")</f>
        <v>ok</v>
      </c>
    </row>
    <row r="2320" spans="5:9" x14ac:dyDescent="0.25">
      <c r="E2320" t="s">
        <v>8134</v>
      </c>
      <c r="F2320">
        <v>0</v>
      </c>
      <c r="G2320">
        <v>0</v>
      </c>
      <c r="H2320" t="s">
        <v>8</v>
      </c>
      <c r="I2320" s="74" t="str">
        <f ca="1">IF(Table7[[#This Row],[Type]]="KILL",IF(_xlfn.NUMBERVALUE(RIGHT(Table7[[#This Row],[Min]],LEN(Table7[[#This Row],[Min]])-FIND("-",Table7[[#This Row],[Min]])))&gt;INDIRECT(ADDRESS(11+MATCH(LEFT(Table7[[#This Row],[Min]],FIND("-",Table7[[#This Row],[Min]])-1),Table1[Content Sku],0),16,1,1,"Entities")),"review","ok"),"ok")</f>
        <v>ok</v>
      </c>
    </row>
    <row r="2321" spans="5:9" x14ac:dyDescent="0.25">
      <c r="E2321" t="s">
        <v>295</v>
      </c>
      <c r="F2321">
        <v>0</v>
      </c>
      <c r="G2321">
        <v>0</v>
      </c>
      <c r="H2321" t="s">
        <v>8</v>
      </c>
      <c r="I2321" s="74" t="str">
        <f ca="1">IF(Table7[[#This Row],[Type]]="KILL",IF(_xlfn.NUMBERVALUE(RIGHT(Table7[[#This Row],[Min]],LEN(Table7[[#This Row],[Min]])-FIND("-",Table7[[#This Row],[Min]])))&gt;INDIRECT(ADDRESS(11+MATCH(LEFT(Table7[[#This Row],[Min]],FIND("-",Table7[[#This Row],[Min]])-1),Table1[Content Sku],0),16,1,1,"Entities")),"review","ok"),"ok")</f>
        <v>ok</v>
      </c>
    </row>
    <row r="2322" spans="5:9" x14ac:dyDescent="0.25">
      <c r="E2322" t="s">
        <v>313</v>
      </c>
      <c r="F2322">
        <v>0</v>
      </c>
      <c r="G2322">
        <v>0</v>
      </c>
      <c r="H2322" t="s">
        <v>8</v>
      </c>
      <c r="I2322" s="74" t="str">
        <f ca="1">IF(Table7[[#This Row],[Type]]="KILL",IF(_xlfn.NUMBERVALUE(RIGHT(Table7[[#This Row],[Min]],LEN(Table7[[#This Row],[Min]])-FIND("-",Table7[[#This Row],[Min]])))&gt;INDIRECT(ADDRESS(11+MATCH(LEFT(Table7[[#This Row],[Min]],FIND("-",Table7[[#This Row],[Min]])-1),Table1[Content Sku],0),16,1,1,"Entities")),"review","ok"),"ok")</f>
        <v>ok</v>
      </c>
    </row>
    <row r="2323" spans="5:9" x14ac:dyDescent="0.25">
      <c r="E2323" t="s">
        <v>8133</v>
      </c>
      <c r="F2323">
        <v>0</v>
      </c>
      <c r="G2323">
        <v>0</v>
      </c>
      <c r="H2323" t="s">
        <v>8</v>
      </c>
      <c r="I2323" s="74" t="str">
        <f ca="1">IF(Table7[[#This Row],[Type]]="KILL",IF(_xlfn.NUMBERVALUE(RIGHT(Table7[[#This Row],[Min]],LEN(Table7[[#This Row],[Min]])-FIND("-",Table7[[#This Row],[Min]])))&gt;INDIRECT(ADDRESS(11+MATCH(LEFT(Table7[[#This Row],[Min]],FIND("-",Table7[[#This Row],[Min]])-1),Table1[Content Sku],0),16,1,1,"Entities")),"review","ok"),"ok")</f>
        <v>ok</v>
      </c>
    </row>
    <row r="2324" spans="5:9" x14ac:dyDescent="0.25">
      <c r="E2324" t="s">
        <v>2741</v>
      </c>
      <c r="F2324">
        <v>0</v>
      </c>
      <c r="G2324">
        <v>0</v>
      </c>
      <c r="H2324" t="s">
        <v>8</v>
      </c>
      <c r="I2324" s="74" t="str">
        <f ca="1">IF(Table7[[#This Row],[Type]]="KILL",IF(_xlfn.NUMBERVALUE(RIGHT(Table7[[#This Row],[Min]],LEN(Table7[[#This Row],[Min]])-FIND("-",Table7[[#This Row],[Min]])))&gt;INDIRECT(ADDRESS(11+MATCH(LEFT(Table7[[#This Row],[Min]],FIND("-",Table7[[#This Row],[Min]])-1),Table1[Content Sku],0),16,1,1,"Entities")),"review","ok"),"ok")</f>
        <v>ok</v>
      </c>
    </row>
    <row r="2325" spans="5:9" x14ac:dyDescent="0.25">
      <c r="E2325" t="s">
        <v>2741</v>
      </c>
      <c r="F2325">
        <v>0</v>
      </c>
      <c r="G2325">
        <v>0</v>
      </c>
      <c r="H2325" t="s">
        <v>8</v>
      </c>
      <c r="I2325" s="74" t="str">
        <f ca="1">IF(Table7[[#This Row],[Type]]="KILL",IF(_xlfn.NUMBERVALUE(RIGHT(Table7[[#This Row],[Min]],LEN(Table7[[#This Row],[Min]])-FIND("-",Table7[[#This Row],[Min]])))&gt;INDIRECT(ADDRESS(11+MATCH(LEFT(Table7[[#This Row],[Min]],FIND("-",Table7[[#This Row],[Min]])-1),Table1[Content Sku],0),16,1,1,"Entities")),"review","ok"),"ok")</f>
        <v>ok</v>
      </c>
    </row>
    <row r="2326" spans="5:9" x14ac:dyDescent="0.25">
      <c r="E2326" t="s">
        <v>2732</v>
      </c>
      <c r="F2326">
        <v>0</v>
      </c>
      <c r="G2326">
        <v>0</v>
      </c>
      <c r="H2326" t="s">
        <v>8</v>
      </c>
      <c r="I2326" s="74" t="str">
        <f ca="1">IF(Table7[[#This Row],[Type]]="KILL",IF(_xlfn.NUMBERVALUE(RIGHT(Table7[[#This Row],[Min]],LEN(Table7[[#This Row],[Min]])-FIND("-",Table7[[#This Row],[Min]])))&gt;INDIRECT(ADDRESS(11+MATCH(LEFT(Table7[[#This Row],[Min]],FIND("-",Table7[[#This Row],[Min]])-1),Table1[Content Sku],0),16,1,1,"Entities")),"review","ok"),"ok")</f>
        <v>ok</v>
      </c>
    </row>
    <row r="2327" spans="5:9" x14ac:dyDescent="0.25">
      <c r="E2327" t="s">
        <v>2741</v>
      </c>
      <c r="F2327">
        <v>0</v>
      </c>
      <c r="G2327">
        <v>0</v>
      </c>
      <c r="H2327" t="s">
        <v>8</v>
      </c>
      <c r="I2327" s="74" t="str">
        <f ca="1">IF(Table7[[#This Row],[Type]]="KILL",IF(_xlfn.NUMBERVALUE(RIGHT(Table7[[#This Row],[Min]],LEN(Table7[[#This Row],[Min]])-FIND("-",Table7[[#This Row],[Min]])))&gt;INDIRECT(ADDRESS(11+MATCH(LEFT(Table7[[#This Row],[Min]],FIND("-",Table7[[#This Row],[Min]])-1),Table1[Content Sku],0),16,1,1,"Entities")),"review","ok"),"ok")</f>
        <v>ok</v>
      </c>
    </row>
    <row r="2328" spans="5:9" x14ac:dyDescent="0.25">
      <c r="E2328" t="s">
        <v>47</v>
      </c>
      <c r="F2328">
        <v>0</v>
      </c>
      <c r="G2328">
        <v>6900</v>
      </c>
      <c r="H2328" t="s">
        <v>205</v>
      </c>
      <c r="I2328" s="74" t="str">
        <f ca="1">IF(Table7[[#This Row],[Type]]="KILL",IF(_xlfn.NUMBERVALUE(RIGHT(Table7[[#This Row],[Min]],LEN(Table7[[#This Row],[Min]])-FIND("-",Table7[[#This Row],[Min]])))&gt;INDIRECT(ADDRESS(11+MATCH(LEFT(Table7[[#This Row],[Min]],FIND("-",Table7[[#This Row],[Min]])-1),Table1[Content Sku],0),16,1,1,"Entities")),"review","ok"),"ok")</f>
        <v>ok</v>
      </c>
    </row>
    <row r="2329" spans="5:9" x14ac:dyDescent="0.25">
      <c r="E2329" t="s">
        <v>43</v>
      </c>
      <c r="F2329">
        <v>16000</v>
      </c>
      <c r="G2329">
        <v>0</v>
      </c>
      <c r="H2329" t="s">
        <v>205</v>
      </c>
      <c r="I2329" s="74" t="str">
        <f ca="1">IF(Table7[[#This Row],[Type]]="KILL",IF(_xlfn.NUMBERVALUE(RIGHT(Table7[[#This Row],[Min]],LEN(Table7[[#This Row],[Min]])-FIND("-",Table7[[#This Row],[Min]])))&gt;INDIRECT(ADDRESS(11+MATCH(LEFT(Table7[[#This Row],[Min]],FIND("-",Table7[[#This Row],[Min]])-1),Table1[Content Sku],0),16,1,1,"Entities")),"review","ok"),"ok")</f>
        <v>ok</v>
      </c>
    </row>
    <row r="2330" spans="5:9" x14ac:dyDescent="0.25">
      <c r="E2330" t="s">
        <v>254</v>
      </c>
      <c r="F2330">
        <v>7000</v>
      </c>
      <c r="G2330">
        <v>0</v>
      </c>
      <c r="H2330" t="s">
        <v>205</v>
      </c>
      <c r="I2330" s="74" t="str">
        <f ca="1">IF(Table7[[#This Row],[Type]]="KILL",IF(_xlfn.NUMBERVALUE(RIGHT(Table7[[#This Row],[Min]],LEN(Table7[[#This Row],[Min]])-FIND("-",Table7[[#This Row],[Min]])))&gt;INDIRECT(ADDRESS(11+MATCH(LEFT(Table7[[#This Row],[Min]],FIND("-",Table7[[#This Row],[Min]])-1),Table1[Content Sku],0),16,1,1,"Entities")),"review","ok"),"ok")</f>
        <v>ok</v>
      </c>
    </row>
    <row r="2331" spans="5:9" x14ac:dyDescent="0.25">
      <c r="E2331" t="s">
        <v>2726</v>
      </c>
      <c r="F2331">
        <v>0</v>
      </c>
      <c r="G2331">
        <v>0</v>
      </c>
      <c r="H2331" t="s">
        <v>8</v>
      </c>
      <c r="I2331" s="74" t="str">
        <f ca="1">IF(Table7[[#This Row],[Type]]="KILL",IF(_xlfn.NUMBERVALUE(RIGHT(Table7[[#This Row],[Min]],LEN(Table7[[#This Row],[Min]])-FIND("-",Table7[[#This Row],[Min]])))&gt;INDIRECT(ADDRESS(11+MATCH(LEFT(Table7[[#This Row],[Min]],FIND("-",Table7[[#This Row],[Min]])-1),Table1[Content Sku],0),16,1,1,"Entities")),"review","ok"),"ok")</f>
        <v>ok</v>
      </c>
    </row>
    <row r="2332" spans="5:9" x14ac:dyDescent="0.25">
      <c r="E2332" t="s">
        <v>295</v>
      </c>
      <c r="F2332">
        <v>0</v>
      </c>
      <c r="G2332">
        <v>25000</v>
      </c>
      <c r="H2332" t="s">
        <v>205</v>
      </c>
      <c r="I2332" s="74" t="str">
        <f ca="1">IF(Table7[[#This Row],[Type]]="KILL",IF(_xlfn.NUMBERVALUE(RIGHT(Table7[[#This Row],[Min]],LEN(Table7[[#This Row],[Min]])-FIND("-",Table7[[#This Row],[Min]])))&gt;INDIRECT(ADDRESS(11+MATCH(LEFT(Table7[[#This Row],[Min]],FIND("-",Table7[[#This Row],[Min]])-1),Table1[Content Sku],0),16,1,1,"Entities")),"review","ok"),"ok")</f>
        <v>ok</v>
      </c>
    </row>
    <row r="2333" spans="5:9" x14ac:dyDescent="0.25">
      <c r="E2333" t="s">
        <v>46</v>
      </c>
      <c r="F2333">
        <v>0</v>
      </c>
      <c r="G2333">
        <v>0</v>
      </c>
      <c r="H2333" t="s">
        <v>8</v>
      </c>
      <c r="I2333" s="74" t="str">
        <f ca="1">IF(Table7[[#This Row],[Type]]="KILL",IF(_xlfn.NUMBERVALUE(RIGHT(Table7[[#This Row],[Min]],LEN(Table7[[#This Row],[Min]])-FIND("-",Table7[[#This Row],[Min]])))&gt;INDIRECT(ADDRESS(11+MATCH(LEFT(Table7[[#This Row],[Min]],FIND("-",Table7[[#This Row],[Min]])-1),Table1[Content Sku],0),16,1,1,"Entities")),"review","ok"),"ok")</f>
        <v>ok</v>
      </c>
    </row>
    <row r="2334" spans="5:9" x14ac:dyDescent="0.25">
      <c r="E2334" t="s">
        <v>313</v>
      </c>
      <c r="F2334">
        <v>0</v>
      </c>
      <c r="G2334">
        <v>0</v>
      </c>
      <c r="H2334" t="s">
        <v>8</v>
      </c>
      <c r="I2334" s="74" t="str">
        <f ca="1">IF(Table7[[#This Row],[Type]]="KILL",IF(_xlfn.NUMBERVALUE(RIGHT(Table7[[#This Row],[Min]],LEN(Table7[[#This Row],[Min]])-FIND("-",Table7[[#This Row],[Min]])))&gt;INDIRECT(ADDRESS(11+MATCH(LEFT(Table7[[#This Row],[Min]],FIND("-",Table7[[#This Row],[Min]])-1),Table1[Content Sku],0),16,1,1,"Entities")),"review","ok"),"ok")</f>
        <v>ok</v>
      </c>
    </row>
    <row r="2335" spans="5:9" x14ac:dyDescent="0.25">
      <c r="E2335" t="s">
        <v>95</v>
      </c>
      <c r="F2335">
        <v>0</v>
      </c>
      <c r="G2335">
        <v>20000</v>
      </c>
      <c r="H2335" t="s">
        <v>205</v>
      </c>
      <c r="I2335" s="74" t="str">
        <f ca="1">IF(Table7[[#This Row],[Type]]="KILL",IF(_xlfn.NUMBERVALUE(RIGHT(Table7[[#This Row],[Min]],LEN(Table7[[#This Row],[Min]])-FIND("-",Table7[[#This Row],[Min]])))&gt;INDIRECT(ADDRESS(11+MATCH(LEFT(Table7[[#This Row],[Min]],FIND("-",Table7[[#This Row],[Min]])-1),Table1[Content Sku],0),16,1,1,"Entities")),"review","ok"),"ok")</f>
        <v>ok</v>
      </c>
    </row>
    <row r="2336" spans="5:9" x14ac:dyDescent="0.25">
      <c r="E2336" t="s">
        <v>313</v>
      </c>
      <c r="F2336">
        <v>0</v>
      </c>
      <c r="G2336">
        <v>10000</v>
      </c>
      <c r="H2336" t="s">
        <v>205</v>
      </c>
      <c r="I2336" s="74" t="str">
        <f ca="1">IF(Table7[[#This Row],[Type]]="KILL",IF(_xlfn.NUMBERVALUE(RIGHT(Table7[[#This Row],[Min]],LEN(Table7[[#This Row],[Min]])-FIND("-",Table7[[#This Row],[Min]])))&gt;INDIRECT(ADDRESS(11+MATCH(LEFT(Table7[[#This Row],[Min]],FIND("-",Table7[[#This Row],[Min]])-1),Table1[Content Sku],0),16,1,1,"Entities")),"review","ok"),"ok")</f>
        <v>ok</v>
      </c>
    </row>
    <row r="2337" spans="5:9" x14ac:dyDescent="0.25">
      <c r="E2337" t="s">
        <v>0</v>
      </c>
      <c r="F2337">
        <v>4000</v>
      </c>
      <c r="G2337">
        <v>12000</v>
      </c>
      <c r="H2337" t="s">
        <v>205</v>
      </c>
      <c r="I2337" s="74" t="str">
        <f ca="1">IF(Table7[[#This Row],[Type]]="KILL",IF(_xlfn.NUMBERVALUE(RIGHT(Table7[[#This Row],[Min]],LEN(Table7[[#This Row],[Min]])-FIND("-",Table7[[#This Row],[Min]])))&gt;INDIRECT(ADDRESS(11+MATCH(LEFT(Table7[[#This Row],[Min]],FIND("-",Table7[[#This Row],[Min]])-1),Table1[Content Sku],0),16,1,1,"Entities")),"review","ok"),"ok")</f>
        <v>ok</v>
      </c>
    </row>
    <row r="2338" spans="5:9" x14ac:dyDescent="0.25">
      <c r="E2338" t="s">
        <v>39</v>
      </c>
      <c r="F2338">
        <v>20000</v>
      </c>
      <c r="G2338">
        <v>0</v>
      </c>
      <c r="H2338" t="s">
        <v>205</v>
      </c>
      <c r="I2338" s="74" t="str">
        <f ca="1">IF(Table7[[#This Row],[Type]]="KILL",IF(_xlfn.NUMBERVALUE(RIGHT(Table7[[#This Row],[Min]],LEN(Table7[[#This Row],[Min]])-FIND("-",Table7[[#This Row],[Min]])))&gt;INDIRECT(ADDRESS(11+MATCH(LEFT(Table7[[#This Row],[Min]],FIND("-",Table7[[#This Row],[Min]])-1),Table1[Content Sku],0),16,1,1,"Entities")),"review","ok"),"ok")</f>
        <v>ok</v>
      </c>
    </row>
    <row r="2339" spans="5:9" x14ac:dyDescent="0.25">
      <c r="E2339" t="s">
        <v>92</v>
      </c>
      <c r="F2339">
        <v>0</v>
      </c>
      <c r="G2339">
        <v>0</v>
      </c>
      <c r="H2339" t="s">
        <v>8</v>
      </c>
      <c r="I2339" s="74" t="str">
        <f ca="1">IF(Table7[[#This Row],[Type]]="KILL",IF(_xlfn.NUMBERVALUE(RIGHT(Table7[[#This Row],[Min]],LEN(Table7[[#This Row],[Min]])-FIND("-",Table7[[#This Row],[Min]])))&gt;INDIRECT(ADDRESS(11+MATCH(LEFT(Table7[[#This Row],[Min]],FIND("-",Table7[[#This Row],[Min]])-1),Table1[Content Sku],0),16,1,1,"Entities")),"review","ok"),"ok")</f>
        <v>ok</v>
      </c>
    </row>
    <row r="2340" spans="5:9" x14ac:dyDescent="0.25">
      <c r="E2340" t="s">
        <v>4</v>
      </c>
      <c r="F2340">
        <v>0</v>
      </c>
      <c r="G2340">
        <v>0</v>
      </c>
      <c r="H2340" t="s">
        <v>8</v>
      </c>
      <c r="I2340" s="74" t="str">
        <f ca="1">IF(Table7[[#This Row],[Type]]="KILL",IF(_xlfn.NUMBERVALUE(RIGHT(Table7[[#This Row],[Min]],LEN(Table7[[#This Row],[Min]])-FIND("-",Table7[[#This Row],[Min]])))&gt;INDIRECT(ADDRESS(11+MATCH(LEFT(Table7[[#This Row],[Min]],FIND("-",Table7[[#This Row],[Min]])-1),Table1[Content Sku],0),16,1,1,"Entities")),"review","ok"),"ok")</f>
        <v>ok</v>
      </c>
    </row>
    <row r="2341" spans="5:9" x14ac:dyDescent="0.25">
      <c r="E2341" t="s">
        <v>2732</v>
      </c>
      <c r="F2341">
        <v>0</v>
      </c>
      <c r="G2341">
        <v>0</v>
      </c>
      <c r="H2341" t="s">
        <v>8</v>
      </c>
      <c r="I2341" s="74" t="str">
        <f ca="1">IF(Table7[[#This Row],[Type]]="KILL",IF(_xlfn.NUMBERVALUE(RIGHT(Table7[[#This Row],[Min]],LEN(Table7[[#This Row],[Min]])-FIND("-",Table7[[#This Row],[Min]])))&gt;INDIRECT(ADDRESS(11+MATCH(LEFT(Table7[[#This Row],[Min]],FIND("-",Table7[[#This Row],[Min]])-1),Table1[Content Sku],0),16,1,1,"Entities")),"review","ok"),"ok")</f>
        <v>ok</v>
      </c>
    </row>
    <row r="2342" spans="5:9" x14ac:dyDescent="0.25">
      <c r="E2342" t="s">
        <v>400</v>
      </c>
      <c r="F2342">
        <v>0</v>
      </c>
      <c r="G2342">
        <v>0</v>
      </c>
      <c r="H2342" t="s">
        <v>8</v>
      </c>
      <c r="I2342" s="74" t="str">
        <f ca="1">IF(Table7[[#This Row],[Type]]="KILL",IF(_xlfn.NUMBERVALUE(RIGHT(Table7[[#This Row],[Min]],LEN(Table7[[#This Row],[Min]])-FIND("-",Table7[[#This Row],[Min]])))&gt;INDIRECT(ADDRESS(11+MATCH(LEFT(Table7[[#This Row],[Min]],FIND("-",Table7[[#This Row],[Min]])-1),Table1[Content Sku],0),16,1,1,"Entities")),"review","ok"),"ok")</f>
        <v>ok</v>
      </c>
    </row>
    <row r="2343" spans="5:9" x14ac:dyDescent="0.25">
      <c r="E2343" t="s">
        <v>254</v>
      </c>
      <c r="F2343">
        <v>0</v>
      </c>
      <c r="G2343">
        <v>0</v>
      </c>
      <c r="H2343" t="s">
        <v>8</v>
      </c>
      <c r="I2343" s="74" t="str">
        <f ca="1">IF(Table7[[#This Row],[Type]]="KILL",IF(_xlfn.NUMBERVALUE(RIGHT(Table7[[#This Row],[Min]],LEN(Table7[[#This Row],[Min]])-FIND("-",Table7[[#This Row],[Min]])))&gt;INDIRECT(ADDRESS(11+MATCH(LEFT(Table7[[#This Row],[Min]],FIND("-",Table7[[#This Row],[Min]])-1),Table1[Content Sku],0),16,1,1,"Entities")),"review","ok"),"ok")</f>
        <v>ok</v>
      </c>
    </row>
    <row r="2344" spans="5:9" x14ac:dyDescent="0.25">
      <c r="E2344" t="s">
        <v>8133</v>
      </c>
      <c r="F2344">
        <v>0</v>
      </c>
      <c r="G2344">
        <v>0</v>
      </c>
      <c r="H2344" t="s">
        <v>8</v>
      </c>
      <c r="I2344" s="74" t="str">
        <f ca="1">IF(Table7[[#This Row],[Type]]="KILL",IF(_xlfn.NUMBERVALUE(RIGHT(Table7[[#This Row],[Min]],LEN(Table7[[#This Row],[Min]])-FIND("-",Table7[[#This Row],[Min]])))&gt;INDIRECT(ADDRESS(11+MATCH(LEFT(Table7[[#This Row],[Min]],FIND("-",Table7[[#This Row],[Min]])-1),Table1[Content Sku],0),16,1,1,"Entities")),"review","ok"),"ok")</f>
        <v>ok</v>
      </c>
    </row>
    <row r="2345" spans="5:9" x14ac:dyDescent="0.25">
      <c r="E2345" t="s">
        <v>46</v>
      </c>
      <c r="F2345">
        <v>0</v>
      </c>
      <c r="G2345">
        <v>0</v>
      </c>
      <c r="H2345" t="s">
        <v>8</v>
      </c>
      <c r="I2345" s="74" t="str">
        <f ca="1">IF(Table7[[#This Row],[Type]]="KILL",IF(_xlfn.NUMBERVALUE(RIGHT(Table7[[#This Row],[Min]],LEN(Table7[[#This Row],[Min]])-FIND("-",Table7[[#This Row],[Min]])))&gt;INDIRECT(ADDRESS(11+MATCH(LEFT(Table7[[#This Row],[Min]],FIND("-",Table7[[#This Row],[Min]])-1),Table1[Content Sku],0),16,1,1,"Entities")),"review","ok"),"ok")</f>
        <v>ok</v>
      </c>
    </row>
    <row r="2346" spans="5:9" x14ac:dyDescent="0.25">
      <c r="E2346" t="s">
        <v>313</v>
      </c>
      <c r="F2346">
        <v>0</v>
      </c>
      <c r="G2346">
        <v>0</v>
      </c>
      <c r="H2346" t="s">
        <v>8</v>
      </c>
      <c r="I2346" s="74" t="str">
        <f ca="1">IF(Table7[[#This Row],[Type]]="KILL",IF(_xlfn.NUMBERVALUE(RIGHT(Table7[[#This Row],[Min]],LEN(Table7[[#This Row],[Min]])-FIND("-",Table7[[#This Row],[Min]])))&gt;INDIRECT(ADDRESS(11+MATCH(LEFT(Table7[[#This Row],[Min]],FIND("-",Table7[[#This Row],[Min]])-1),Table1[Content Sku],0),16,1,1,"Entities")),"review","ok"),"ok")</f>
        <v>ok</v>
      </c>
    </row>
    <row r="2347" spans="5:9" x14ac:dyDescent="0.25">
      <c r="E2347" t="s">
        <v>313</v>
      </c>
      <c r="F2347">
        <v>0</v>
      </c>
      <c r="G2347">
        <v>0</v>
      </c>
      <c r="H2347" t="s">
        <v>8</v>
      </c>
      <c r="I2347" s="74" t="str">
        <f ca="1">IF(Table7[[#This Row],[Type]]="KILL",IF(_xlfn.NUMBERVALUE(RIGHT(Table7[[#This Row],[Min]],LEN(Table7[[#This Row],[Min]])-FIND("-",Table7[[#This Row],[Min]])))&gt;INDIRECT(ADDRESS(11+MATCH(LEFT(Table7[[#This Row],[Min]],FIND("-",Table7[[#This Row],[Min]])-1),Table1[Content Sku],0),16,1,1,"Entities")),"review","ok"),"ok")</f>
        <v>ok</v>
      </c>
    </row>
    <row r="2348" spans="5:9" x14ac:dyDescent="0.25">
      <c r="E2348" t="s">
        <v>254</v>
      </c>
      <c r="F2348">
        <v>4000</v>
      </c>
      <c r="G2348">
        <v>0</v>
      </c>
      <c r="H2348" t="s">
        <v>205</v>
      </c>
      <c r="I2348" s="74" t="str">
        <f ca="1">IF(Table7[[#This Row],[Type]]="KILL",IF(_xlfn.NUMBERVALUE(RIGHT(Table7[[#This Row],[Min]],LEN(Table7[[#This Row],[Min]])-FIND("-",Table7[[#This Row],[Min]])))&gt;INDIRECT(ADDRESS(11+MATCH(LEFT(Table7[[#This Row],[Min]],FIND("-",Table7[[#This Row],[Min]])-1),Table1[Content Sku],0),16,1,1,"Entities")),"review","ok"),"ok")</f>
        <v>ok</v>
      </c>
    </row>
    <row r="2349" spans="5:9" x14ac:dyDescent="0.25">
      <c r="E2349" t="s">
        <v>311</v>
      </c>
      <c r="F2349">
        <v>16000</v>
      </c>
      <c r="G2349">
        <v>0</v>
      </c>
      <c r="H2349" t="s">
        <v>205</v>
      </c>
      <c r="I2349" s="74" t="str">
        <f ca="1">IF(Table7[[#This Row],[Type]]="KILL",IF(_xlfn.NUMBERVALUE(RIGHT(Table7[[#This Row],[Min]],LEN(Table7[[#This Row],[Min]])-FIND("-",Table7[[#This Row],[Min]])))&gt;INDIRECT(ADDRESS(11+MATCH(LEFT(Table7[[#This Row],[Min]],FIND("-",Table7[[#This Row],[Min]])-1),Table1[Content Sku],0),16,1,1,"Entities")),"review","ok"),"ok")</f>
        <v>ok</v>
      </c>
    </row>
    <row r="2350" spans="5:9" x14ac:dyDescent="0.25">
      <c r="E2350" t="s">
        <v>295</v>
      </c>
      <c r="F2350">
        <v>0</v>
      </c>
      <c r="G2350">
        <v>0</v>
      </c>
      <c r="H2350" t="s">
        <v>8</v>
      </c>
      <c r="I2350" s="74" t="str">
        <f ca="1">IF(Table7[[#This Row],[Type]]="KILL",IF(_xlfn.NUMBERVALUE(RIGHT(Table7[[#This Row],[Min]],LEN(Table7[[#This Row],[Min]])-FIND("-",Table7[[#This Row],[Min]])))&gt;INDIRECT(ADDRESS(11+MATCH(LEFT(Table7[[#This Row],[Min]],FIND("-",Table7[[#This Row],[Min]])-1),Table1[Content Sku],0),16,1,1,"Entities")),"review","ok"),"ok")</f>
        <v>ok</v>
      </c>
    </row>
    <row r="2351" spans="5:9" x14ac:dyDescent="0.25">
      <c r="E2351" t="s">
        <v>318</v>
      </c>
      <c r="F2351">
        <v>0</v>
      </c>
      <c r="G2351">
        <v>15000</v>
      </c>
      <c r="H2351" t="s">
        <v>205</v>
      </c>
      <c r="I2351" s="74" t="str">
        <f ca="1">IF(Table7[[#This Row],[Type]]="KILL",IF(_xlfn.NUMBERVALUE(RIGHT(Table7[[#This Row],[Min]],LEN(Table7[[#This Row],[Min]])-FIND("-",Table7[[#This Row],[Min]])))&gt;INDIRECT(ADDRESS(11+MATCH(LEFT(Table7[[#This Row],[Min]],FIND("-",Table7[[#This Row],[Min]])-1),Table1[Content Sku],0),16,1,1,"Entities")),"review","ok"),"ok")</f>
        <v>ok</v>
      </c>
    </row>
    <row r="2352" spans="5:9" x14ac:dyDescent="0.25">
      <c r="E2352" t="s">
        <v>253</v>
      </c>
      <c r="F2352">
        <v>8000</v>
      </c>
      <c r="G2352">
        <v>0</v>
      </c>
      <c r="H2352" t="s">
        <v>205</v>
      </c>
      <c r="I2352" s="74" t="str">
        <f ca="1">IF(Table7[[#This Row],[Type]]="KILL",IF(_xlfn.NUMBERVALUE(RIGHT(Table7[[#This Row],[Min]],LEN(Table7[[#This Row],[Min]])-FIND("-",Table7[[#This Row],[Min]])))&gt;INDIRECT(ADDRESS(11+MATCH(LEFT(Table7[[#This Row],[Min]],FIND("-",Table7[[#This Row],[Min]])-1),Table1[Content Sku],0),16,1,1,"Entities")),"review","ok"),"ok")</f>
        <v>ok</v>
      </c>
    </row>
    <row r="2353" spans="5:9" x14ac:dyDescent="0.25">
      <c r="E2353" t="s">
        <v>318</v>
      </c>
      <c r="F2353">
        <v>0</v>
      </c>
      <c r="G2353">
        <v>0</v>
      </c>
      <c r="H2353" t="s">
        <v>8</v>
      </c>
      <c r="I2353" s="74" t="str">
        <f ca="1">IF(Table7[[#This Row],[Type]]="KILL",IF(_xlfn.NUMBERVALUE(RIGHT(Table7[[#This Row],[Min]],LEN(Table7[[#This Row],[Min]])-FIND("-",Table7[[#This Row],[Min]])))&gt;INDIRECT(ADDRESS(11+MATCH(LEFT(Table7[[#This Row],[Min]],FIND("-",Table7[[#This Row],[Min]])-1),Table1[Content Sku],0),16,1,1,"Entities")),"review","ok"),"ok")</f>
        <v>ok</v>
      </c>
    </row>
    <row r="2354" spans="5:9" x14ac:dyDescent="0.25">
      <c r="E2354" t="s">
        <v>336</v>
      </c>
      <c r="F2354">
        <v>22000</v>
      </c>
      <c r="G2354">
        <v>0</v>
      </c>
      <c r="H2354" t="s">
        <v>205</v>
      </c>
      <c r="I2354" s="74" t="str">
        <f ca="1">IF(Table7[[#This Row],[Type]]="KILL",IF(_xlfn.NUMBERVALUE(RIGHT(Table7[[#This Row],[Min]],LEN(Table7[[#This Row],[Min]])-FIND("-",Table7[[#This Row],[Min]])))&gt;INDIRECT(ADDRESS(11+MATCH(LEFT(Table7[[#This Row],[Min]],FIND("-",Table7[[#This Row],[Min]])-1),Table1[Content Sku],0),16,1,1,"Entities")),"review","ok"),"ok")</f>
        <v>ok</v>
      </c>
    </row>
    <row r="2355" spans="5:9" x14ac:dyDescent="0.25">
      <c r="E2355" t="s">
        <v>10</v>
      </c>
      <c r="F2355">
        <v>15000</v>
      </c>
      <c r="G2355">
        <v>0</v>
      </c>
      <c r="H2355" t="s">
        <v>205</v>
      </c>
      <c r="I2355" s="74" t="str">
        <f ca="1">IF(Table7[[#This Row],[Type]]="KILL",IF(_xlfn.NUMBERVALUE(RIGHT(Table7[[#This Row],[Min]],LEN(Table7[[#This Row],[Min]])-FIND("-",Table7[[#This Row],[Min]])))&gt;INDIRECT(ADDRESS(11+MATCH(LEFT(Table7[[#This Row],[Min]],FIND("-",Table7[[#This Row],[Min]])-1),Table1[Content Sku],0),16,1,1,"Entities")),"review","ok"),"ok")</f>
        <v>ok</v>
      </c>
    </row>
    <row r="2356" spans="5:9" x14ac:dyDescent="0.25">
      <c r="E2356" t="s">
        <v>8133</v>
      </c>
      <c r="F2356">
        <v>0</v>
      </c>
      <c r="G2356">
        <v>0</v>
      </c>
      <c r="H2356" t="s">
        <v>8</v>
      </c>
      <c r="I2356" s="74" t="str">
        <f ca="1">IF(Table7[[#This Row],[Type]]="KILL",IF(_xlfn.NUMBERVALUE(RIGHT(Table7[[#This Row],[Min]],LEN(Table7[[#This Row],[Min]])-FIND("-",Table7[[#This Row],[Min]])))&gt;INDIRECT(ADDRESS(11+MATCH(LEFT(Table7[[#This Row],[Min]],FIND("-",Table7[[#This Row],[Min]])-1),Table1[Content Sku],0),16,1,1,"Entities")),"review","ok"),"ok")</f>
        <v>ok</v>
      </c>
    </row>
    <row r="2357" spans="5:9" x14ac:dyDescent="0.25">
      <c r="E2357" t="s">
        <v>313</v>
      </c>
      <c r="F2357">
        <v>0</v>
      </c>
      <c r="G2357">
        <v>0</v>
      </c>
      <c r="H2357" t="s">
        <v>8</v>
      </c>
      <c r="I2357" s="74" t="str">
        <f ca="1">IF(Table7[[#This Row],[Type]]="KILL",IF(_xlfn.NUMBERVALUE(RIGHT(Table7[[#This Row],[Min]],LEN(Table7[[#This Row],[Min]])-FIND("-",Table7[[#This Row],[Min]])))&gt;INDIRECT(ADDRESS(11+MATCH(LEFT(Table7[[#This Row],[Min]],FIND("-",Table7[[#This Row],[Min]])-1),Table1[Content Sku],0),16,1,1,"Entities")),"review","ok"),"ok")</f>
        <v>ok</v>
      </c>
    </row>
    <row r="2358" spans="5:9" x14ac:dyDescent="0.25">
      <c r="E2358" t="s">
        <v>2741</v>
      </c>
      <c r="F2358">
        <v>0</v>
      </c>
      <c r="G2358">
        <v>0</v>
      </c>
      <c r="H2358" t="s">
        <v>8</v>
      </c>
      <c r="I2358" s="74" t="str">
        <f ca="1">IF(Table7[[#This Row],[Type]]="KILL",IF(_xlfn.NUMBERVALUE(RIGHT(Table7[[#This Row],[Min]],LEN(Table7[[#This Row],[Min]])-FIND("-",Table7[[#This Row],[Min]])))&gt;INDIRECT(ADDRESS(11+MATCH(LEFT(Table7[[#This Row],[Min]],FIND("-",Table7[[#This Row],[Min]])-1),Table1[Content Sku],0),16,1,1,"Entities")),"review","ok"),"ok")</f>
        <v>ok</v>
      </c>
    </row>
    <row r="2359" spans="5:9" x14ac:dyDescent="0.25">
      <c r="E2359" t="s">
        <v>318</v>
      </c>
      <c r="F2359">
        <v>240</v>
      </c>
      <c r="G2359">
        <v>0</v>
      </c>
      <c r="H2359" t="s">
        <v>4431</v>
      </c>
      <c r="I2359" s="74" t="str">
        <f ca="1">IF(Table7[[#This Row],[Type]]="KILL",IF(_xlfn.NUMBERVALUE(RIGHT(Table7[[#This Row],[Min]],LEN(Table7[[#This Row],[Min]])-FIND("-",Table7[[#This Row],[Min]])))&gt;INDIRECT(ADDRESS(11+MATCH(LEFT(Table7[[#This Row],[Min]],FIND("-",Table7[[#This Row],[Min]])-1),Table1[Content Sku],0),16,1,1,"Entities")),"review","ok"),"ok")</f>
        <v>ok</v>
      </c>
    </row>
    <row r="2360" spans="5:9" x14ac:dyDescent="0.25">
      <c r="E2360" t="s">
        <v>2741</v>
      </c>
      <c r="F2360">
        <v>0</v>
      </c>
      <c r="G2360">
        <v>0</v>
      </c>
      <c r="H2360" t="s">
        <v>8</v>
      </c>
      <c r="I2360" s="74" t="str">
        <f ca="1">IF(Table7[[#This Row],[Type]]="KILL",IF(_xlfn.NUMBERVALUE(RIGHT(Table7[[#This Row],[Min]],LEN(Table7[[#This Row],[Min]])-FIND("-",Table7[[#This Row],[Min]])))&gt;INDIRECT(ADDRESS(11+MATCH(LEFT(Table7[[#This Row],[Min]],FIND("-",Table7[[#This Row],[Min]])-1),Table1[Content Sku],0),16,1,1,"Entities")),"review","ok"),"ok")</f>
        <v>ok</v>
      </c>
    </row>
    <row r="2361" spans="5:9" x14ac:dyDescent="0.25">
      <c r="E2361" t="s">
        <v>40</v>
      </c>
      <c r="F2361">
        <v>22000</v>
      </c>
      <c r="G2361">
        <v>0</v>
      </c>
      <c r="H2361" t="s">
        <v>205</v>
      </c>
      <c r="I2361" s="74" t="str">
        <f ca="1">IF(Table7[[#This Row],[Type]]="KILL",IF(_xlfn.NUMBERVALUE(RIGHT(Table7[[#This Row],[Min]],LEN(Table7[[#This Row],[Min]])-FIND("-",Table7[[#This Row],[Min]])))&gt;INDIRECT(ADDRESS(11+MATCH(LEFT(Table7[[#This Row],[Min]],FIND("-",Table7[[#This Row],[Min]])-1),Table1[Content Sku],0),16,1,1,"Entities")),"review","ok"),"ok")</f>
        <v>ok</v>
      </c>
    </row>
    <row r="2362" spans="5:9" x14ac:dyDescent="0.25">
      <c r="E2362" t="s">
        <v>254</v>
      </c>
      <c r="F2362">
        <v>0</v>
      </c>
      <c r="G2362">
        <v>0</v>
      </c>
      <c r="H2362" t="s">
        <v>8</v>
      </c>
      <c r="I2362" s="74" t="str">
        <f ca="1">IF(Table7[[#This Row],[Type]]="KILL",IF(_xlfn.NUMBERVALUE(RIGHT(Table7[[#This Row],[Min]],LEN(Table7[[#This Row],[Min]])-FIND("-",Table7[[#This Row],[Min]])))&gt;INDIRECT(ADDRESS(11+MATCH(LEFT(Table7[[#This Row],[Min]],FIND("-",Table7[[#This Row],[Min]])-1),Table1[Content Sku],0),16,1,1,"Entities")),"review","ok"),"ok")</f>
        <v>ok</v>
      </c>
    </row>
    <row r="2363" spans="5:9" x14ac:dyDescent="0.25">
      <c r="E2363" t="s">
        <v>39</v>
      </c>
      <c r="F2363">
        <v>13000</v>
      </c>
      <c r="G2363">
        <v>0</v>
      </c>
      <c r="H2363" t="s">
        <v>205</v>
      </c>
      <c r="I2363" s="74" t="str">
        <f ca="1">IF(Table7[[#This Row],[Type]]="KILL",IF(_xlfn.NUMBERVALUE(RIGHT(Table7[[#This Row],[Min]],LEN(Table7[[#This Row],[Min]])-FIND("-",Table7[[#This Row],[Min]])))&gt;INDIRECT(ADDRESS(11+MATCH(LEFT(Table7[[#This Row],[Min]],FIND("-",Table7[[#This Row],[Min]])-1),Table1[Content Sku],0),16,1,1,"Entities")),"review","ok"),"ok")</f>
        <v>ok</v>
      </c>
    </row>
    <row r="2364" spans="5:9" x14ac:dyDescent="0.25">
      <c r="E2364" t="s">
        <v>2741</v>
      </c>
      <c r="F2364">
        <v>0</v>
      </c>
      <c r="G2364">
        <v>0</v>
      </c>
      <c r="H2364" t="s">
        <v>8</v>
      </c>
      <c r="I2364" s="74" t="str">
        <f ca="1">IF(Table7[[#This Row],[Type]]="KILL",IF(_xlfn.NUMBERVALUE(RIGHT(Table7[[#This Row],[Min]],LEN(Table7[[#This Row],[Min]])-FIND("-",Table7[[#This Row],[Min]])))&gt;INDIRECT(ADDRESS(11+MATCH(LEFT(Table7[[#This Row],[Min]],FIND("-",Table7[[#This Row],[Min]])-1),Table1[Content Sku],0),16,1,1,"Entities")),"review","ok"),"ok")</f>
        <v>ok</v>
      </c>
    </row>
    <row r="2365" spans="5:9" x14ac:dyDescent="0.25">
      <c r="E2365" t="s">
        <v>47</v>
      </c>
      <c r="F2365">
        <v>2900</v>
      </c>
      <c r="G2365">
        <v>0</v>
      </c>
      <c r="H2365" t="s">
        <v>205</v>
      </c>
      <c r="I2365" s="74" t="str">
        <f ca="1">IF(Table7[[#This Row],[Type]]="KILL",IF(_xlfn.NUMBERVALUE(RIGHT(Table7[[#This Row],[Min]],LEN(Table7[[#This Row],[Min]])-FIND("-",Table7[[#This Row],[Min]])))&gt;INDIRECT(ADDRESS(11+MATCH(LEFT(Table7[[#This Row],[Min]],FIND("-",Table7[[#This Row],[Min]])-1),Table1[Content Sku],0),16,1,1,"Entities")),"review","ok"),"ok")</f>
        <v>ok</v>
      </c>
    </row>
    <row r="2366" spans="5:9" x14ac:dyDescent="0.25">
      <c r="E2366" t="s">
        <v>545</v>
      </c>
      <c r="F2366">
        <v>0</v>
      </c>
      <c r="G2366">
        <v>0</v>
      </c>
      <c r="H2366" t="s">
        <v>8</v>
      </c>
      <c r="I2366" s="74" t="str">
        <f ca="1">IF(Table7[[#This Row],[Type]]="KILL",IF(_xlfn.NUMBERVALUE(RIGHT(Table7[[#This Row],[Min]],LEN(Table7[[#This Row],[Min]])-FIND("-",Table7[[#This Row],[Min]])))&gt;INDIRECT(ADDRESS(11+MATCH(LEFT(Table7[[#This Row],[Min]],FIND("-",Table7[[#This Row],[Min]])-1),Table1[Content Sku],0),16,1,1,"Entities")),"review","ok"),"ok")</f>
        <v>ok</v>
      </c>
    </row>
    <row r="2367" spans="5:9" x14ac:dyDescent="0.25">
      <c r="E2367" t="s">
        <v>256</v>
      </c>
      <c r="F2367">
        <v>0</v>
      </c>
      <c r="G2367">
        <v>0</v>
      </c>
      <c r="H2367" t="s">
        <v>8</v>
      </c>
      <c r="I2367" s="74" t="str">
        <f ca="1">IF(Table7[[#This Row],[Type]]="KILL",IF(_xlfn.NUMBERVALUE(RIGHT(Table7[[#This Row],[Min]],LEN(Table7[[#This Row],[Min]])-FIND("-",Table7[[#This Row],[Min]])))&gt;INDIRECT(ADDRESS(11+MATCH(LEFT(Table7[[#This Row],[Min]],FIND("-",Table7[[#This Row],[Min]])-1),Table1[Content Sku],0),16,1,1,"Entities")),"review","ok"),"ok")</f>
        <v>ok</v>
      </c>
    </row>
    <row r="2368" spans="5:9" x14ac:dyDescent="0.25">
      <c r="E2368" t="s">
        <v>311</v>
      </c>
      <c r="F2368">
        <v>0</v>
      </c>
      <c r="G2368">
        <v>0</v>
      </c>
      <c r="H2368" t="s">
        <v>8</v>
      </c>
      <c r="I2368" s="74" t="str">
        <f ca="1">IF(Table7[[#This Row],[Type]]="KILL",IF(_xlfn.NUMBERVALUE(RIGHT(Table7[[#This Row],[Min]],LEN(Table7[[#This Row],[Min]])-FIND("-",Table7[[#This Row],[Min]])))&gt;INDIRECT(ADDRESS(11+MATCH(LEFT(Table7[[#This Row],[Min]],FIND("-",Table7[[#This Row],[Min]])-1),Table1[Content Sku],0),16,1,1,"Entities")),"review","ok"),"ok")</f>
        <v>ok</v>
      </c>
    </row>
    <row r="2369" spans="5:9" x14ac:dyDescent="0.25">
      <c r="E2369" t="s">
        <v>8133</v>
      </c>
      <c r="F2369">
        <v>0</v>
      </c>
      <c r="G2369">
        <v>0</v>
      </c>
      <c r="H2369" t="s">
        <v>8</v>
      </c>
      <c r="I2369" s="74" t="str">
        <f ca="1">IF(Table7[[#This Row],[Type]]="KILL",IF(_xlfn.NUMBERVALUE(RIGHT(Table7[[#This Row],[Min]],LEN(Table7[[#This Row],[Min]])-FIND("-",Table7[[#This Row],[Min]])))&gt;INDIRECT(ADDRESS(11+MATCH(LEFT(Table7[[#This Row],[Min]],FIND("-",Table7[[#This Row],[Min]])-1),Table1[Content Sku],0),16,1,1,"Entities")),"review","ok"),"ok")</f>
        <v>ok</v>
      </c>
    </row>
    <row r="2370" spans="5:9" x14ac:dyDescent="0.25">
      <c r="E2370" t="s">
        <v>2741</v>
      </c>
      <c r="F2370">
        <v>0</v>
      </c>
      <c r="G2370">
        <v>0</v>
      </c>
      <c r="H2370" t="s">
        <v>8</v>
      </c>
      <c r="I2370" s="74" t="str">
        <f ca="1">IF(Table7[[#This Row],[Type]]="KILL",IF(_xlfn.NUMBERVALUE(RIGHT(Table7[[#This Row],[Min]],LEN(Table7[[#This Row],[Min]])-FIND("-",Table7[[#This Row],[Min]])))&gt;INDIRECT(ADDRESS(11+MATCH(LEFT(Table7[[#This Row],[Min]],FIND("-",Table7[[#This Row],[Min]])-1),Table1[Content Sku],0),16,1,1,"Entities")),"review","ok"),"ok")</f>
        <v>ok</v>
      </c>
    </row>
    <row r="2371" spans="5:9" x14ac:dyDescent="0.25">
      <c r="E2371" t="s">
        <v>92</v>
      </c>
      <c r="F2371">
        <v>0</v>
      </c>
      <c r="G2371">
        <v>0</v>
      </c>
      <c r="H2371" t="s">
        <v>8</v>
      </c>
      <c r="I2371" s="74" t="str">
        <f ca="1">IF(Table7[[#This Row],[Type]]="KILL",IF(_xlfn.NUMBERVALUE(RIGHT(Table7[[#This Row],[Min]],LEN(Table7[[#This Row],[Min]])-FIND("-",Table7[[#This Row],[Min]])))&gt;INDIRECT(ADDRESS(11+MATCH(LEFT(Table7[[#This Row],[Min]],FIND("-",Table7[[#This Row],[Min]])-1),Table1[Content Sku],0),16,1,1,"Entities")),"review","ok"),"ok")</f>
        <v>ok</v>
      </c>
    </row>
    <row r="2372" spans="5:9" x14ac:dyDescent="0.25">
      <c r="E2372" t="s">
        <v>313</v>
      </c>
      <c r="F2372">
        <v>0</v>
      </c>
      <c r="G2372">
        <v>12000</v>
      </c>
      <c r="H2372" t="s">
        <v>205</v>
      </c>
      <c r="I2372" s="74" t="str">
        <f ca="1">IF(Table7[[#This Row],[Type]]="KILL",IF(_xlfn.NUMBERVALUE(RIGHT(Table7[[#This Row],[Min]],LEN(Table7[[#This Row],[Min]])-FIND("-",Table7[[#This Row],[Min]])))&gt;INDIRECT(ADDRESS(11+MATCH(LEFT(Table7[[#This Row],[Min]],FIND("-",Table7[[#This Row],[Min]])-1),Table1[Content Sku],0),16,1,1,"Entities")),"review","ok"),"ok")</f>
        <v>ok</v>
      </c>
    </row>
    <row r="2373" spans="5:9" x14ac:dyDescent="0.25">
      <c r="E2373" t="s">
        <v>257</v>
      </c>
      <c r="F2373">
        <v>33000</v>
      </c>
      <c r="G2373">
        <v>0</v>
      </c>
      <c r="H2373" t="s">
        <v>205</v>
      </c>
      <c r="I2373" s="74" t="str">
        <f ca="1">IF(Table7[[#This Row],[Type]]="KILL",IF(_xlfn.NUMBERVALUE(RIGHT(Table7[[#This Row],[Min]],LEN(Table7[[#This Row],[Min]])-FIND("-",Table7[[#This Row],[Min]])))&gt;INDIRECT(ADDRESS(11+MATCH(LEFT(Table7[[#This Row],[Min]],FIND("-",Table7[[#This Row],[Min]])-1),Table1[Content Sku],0),16,1,1,"Entities")),"review","ok"),"ok")</f>
        <v>ok</v>
      </c>
    </row>
    <row r="2374" spans="5:9" x14ac:dyDescent="0.25">
      <c r="E2374" t="s">
        <v>0</v>
      </c>
      <c r="F2374">
        <v>15000</v>
      </c>
      <c r="G2374">
        <v>0</v>
      </c>
      <c r="H2374" t="s">
        <v>205</v>
      </c>
      <c r="I2374" s="74" t="str">
        <f ca="1">IF(Table7[[#This Row],[Type]]="KILL",IF(_xlfn.NUMBERVALUE(RIGHT(Table7[[#This Row],[Min]],LEN(Table7[[#This Row],[Min]])-FIND("-",Table7[[#This Row],[Min]])))&gt;INDIRECT(ADDRESS(11+MATCH(LEFT(Table7[[#This Row],[Min]],FIND("-",Table7[[#This Row],[Min]])-1),Table1[Content Sku],0),16,1,1,"Entities")),"review","ok"),"ok")</f>
        <v>ok</v>
      </c>
    </row>
    <row r="2375" spans="5:9" x14ac:dyDescent="0.25">
      <c r="E2375" t="s">
        <v>2741</v>
      </c>
      <c r="F2375">
        <v>0</v>
      </c>
      <c r="G2375">
        <v>0</v>
      </c>
      <c r="H2375" t="s">
        <v>8</v>
      </c>
      <c r="I2375" s="74" t="str">
        <f ca="1">IF(Table7[[#This Row],[Type]]="KILL",IF(_xlfn.NUMBERVALUE(RIGHT(Table7[[#This Row],[Min]],LEN(Table7[[#This Row],[Min]])-FIND("-",Table7[[#This Row],[Min]])))&gt;INDIRECT(ADDRESS(11+MATCH(LEFT(Table7[[#This Row],[Min]],FIND("-",Table7[[#This Row],[Min]])-1),Table1[Content Sku],0),16,1,1,"Entities")),"review","ok"),"ok")</f>
        <v>ok</v>
      </c>
    </row>
    <row r="2376" spans="5:9" x14ac:dyDescent="0.25">
      <c r="E2376" t="s">
        <v>338</v>
      </c>
      <c r="F2376">
        <v>0</v>
      </c>
      <c r="G2376">
        <v>180</v>
      </c>
      <c r="H2376" t="s">
        <v>4431</v>
      </c>
      <c r="I2376" s="74" t="str">
        <f ca="1">IF(Table7[[#This Row],[Type]]="KILL",IF(_xlfn.NUMBERVALUE(RIGHT(Table7[[#This Row],[Min]],LEN(Table7[[#This Row],[Min]])-FIND("-",Table7[[#This Row],[Min]])))&gt;INDIRECT(ADDRESS(11+MATCH(LEFT(Table7[[#This Row],[Min]],FIND("-",Table7[[#This Row],[Min]])-1),Table1[Content Sku],0),16,1,1,"Entities")),"review","ok"),"ok")</f>
        <v>ok</v>
      </c>
    </row>
    <row r="2377" spans="5:9" x14ac:dyDescent="0.25">
      <c r="E2377" t="s">
        <v>278</v>
      </c>
      <c r="F2377">
        <v>0</v>
      </c>
      <c r="G2377">
        <v>0</v>
      </c>
      <c r="H2377" t="s">
        <v>8</v>
      </c>
      <c r="I2377" s="74" t="str">
        <f ca="1">IF(Table7[[#This Row],[Type]]="KILL",IF(_xlfn.NUMBERVALUE(RIGHT(Table7[[#This Row],[Min]],LEN(Table7[[#This Row],[Min]])-FIND("-",Table7[[#This Row],[Min]])))&gt;INDIRECT(ADDRESS(11+MATCH(LEFT(Table7[[#This Row],[Min]],FIND("-",Table7[[#This Row],[Min]])-1),Table1[Content Sku],0),16,1,1,"Entities")),"review","ok"),"ok")</f>
        <v>ok</v>
      </c>
    </row>
    <row r="2378" spans="5:9" x14ac:dyDescent="0.25">
      <c r="E2378" t="s">
        <v>253</v>
      </c>
      <c r="F2378">
        <v>0</v>
      </c>
      <c r="G2378">
        <v>0</v>
      </c>
      <c r="H2378" t="s">
        <v>8</v>
      </c>
      <c r="I2378" s="74" t="str">
        <f ca="1">IF(Table7[[#This Row],[Type]]="KILL",IF(_xlfn.NUMBERVALUE(RIGHT(Table7[[#This Row],[Min]],LEN(Table7[[#This Row],[Min]])-FIND("-",Table7[[#This Row],[Min]])))&gt;INDIRECT(ADDRESS(11+MATCH(LEFT(Table7[[#This Row],[Min]],FIND("-",Table7[[#This Row],[Min]])-1),Table1[Content Sku],0),16,1,1,"Entities")),"review","ok"),"ok")</f>
        <v>ok</v>
      </c>
    </row>
    <row r="2379" spans="5:9" x14ac:dyDescent="0.25">
      <c r="E2379" t="s">
        <v>278</v>
      </c>
      <c r="F2379">
        <v>0</v>
      </c>
      <c r="G2379">
        <v>0</v>
      </c>
      <c r="H2379" t="s">
        <v>8</v>
      </c>
      <c r="I2379" s="74" t="str">
        <f ca="1">IF(Table7[[#This Row],[Type]]="KILL",IF(_xlfn.NUMBERVALUE(RIGHT(Table7[[#This Row],[Min]],LEN(Table7[[#This Row],[Min]])-FIND("-",Table7[[#This Row],[Min]])))&gt;INDIRECT(ADDRESS(11+MATCH(LEFT(Table7[[#This Row],[Min]],FIND("-",Table7[[#This Row],[Min]])-1),Table1[Content Sku],0),16,1,1,"Entities")),"review","ok"),"ok")</f>
        <v>ok</v>
      </c>
    </row>
    <row r="2380" spans="5:9" x14ac:dyDescent="0.25">
      <c r="E2380" t="s">
        <v>318</v>
      </c>
      <c r="F2380">
        <v>0</v>
      </c>
      <c r="G2380">
        <v>6000</v>
      </c>
      <c r="H2380" t="s">
        <v>205</v>
      </c>
      <c r="I2380" s="74" t="str">
        <f ca="1">IF(Table7[[#This Row],[Type]]="KILL",IF(_xlfn.NUMBERVALUE(RIGHT(Table7[[#This Row],[Min]],LEN(Table7[[#This Row],[Min]])-FIND("-",Table7[[#This Row],[Min]])))&gt;INDIRECT(ADDRESS(11+MATCH(LEFT(Table7[[#This Row],[Min]],FIND("-",Table7[[#This Row],[Min]])-1),Table1[Content Sku],0),16,1,1,"Entities")),"review","ok"),"ok")</f>
        <v>ok</v>
      </c>
    </row>
    <row r="2381" spans="5:9" x14ac:dyDescent="0.25">
      <c r="E2381" t="s">
        <v>340</v>
      </c>
      <c r="F2381">
        <v>0</v>
      </c>
      <c r="G2381">
        <v>4000</v>
      </c>
      <c r="H2381" t="s">
        <v>205</v>
      </c>
      <c r="I2381" s="74" t="str">
        <f ca="1">IF(Table7[[#This Row],[Type]]="KILL",IF(_xlfn.NUMBERVALUE(RIGHT(Table7[[#This Row],[Min]],LEN(Table7[[#This Row],[Min]])-FIND("-",Table7[[#This Row],[Min]])))&gt;INDIRECT(ADDRESS(11+MATCH(LEFT(Table7[[#This Row],[Min]],FIND("-",Table7[[#This Row],[Min]])-1),Table1[Content Sku],0),16,1,1,"Entities")),"review","ok"),"ok")</f>
        <v>ok</v>
      </c>
    </row>
    <row r="2382" spans="5:9" x14ac:dyDescent="0.25">
      <c r="E2382" t="s">
        <v>39</v>
      </c>
      <c r="F2382">
        <v>3500</v>
      </c>
      <c r="G2382">
        <v>0</v>
      </c>
      <c r="H2382" t="s">
        <v>205</v>
      </c>
      <c r="I2382" s="74" t="str">
        <f ca="1">IF(Table7[[#This Row],[Type]]="KILL",IF(_xlfn.NUMBERVALUE(RIGHT(Table7[[#This Row],[Min]],LEN(Table7[[#This Row],[Min]])-FIND("-",Table7[[#This Row],[Min]])))&gt;INDIRECT(ADDRESS(11+MATCH(LEFT(Table7[[#This Row],[Min]],FIND("-",Table7[[#This Row],[Min]])-1),Table1[Content Sku],0),16,1,1,"Entities")),"review","ok"),"ok")</f>
        <v>ok</v>
      </c>
    </row>
    <row r="2383" spans="5:9" x14ac:dyDescent="0.25">
      <c r="E2383" t="s">
        <v>2726</v>
      </c>
      <c r="F2383">
        <v>0</v>
      </c>
      <c r="G2383">
        <v>0</v>
      </c>
      <c r="H2383" t="s">
        <v>8</v>
      </c>
      <c r="I2383" s="74" t="str">
        <f ca="1">IF(Table7[[#This Row],[Type]]="KILL",IF(_xlfn.NUMBERVALUE(RIGHT(Table7[[#This Row],[Min]],LEN(Table7[[#This Row],[Min]])-FIND("-",Table7[[#This Row],[Min]])))&gt;INDIRECT(ADDRESS(11+MATCH(LEFT(Table7[[#This Row],[Min]],FIND("-",Table7[[#This Row],[Min]])-1),Table1[Content Sku],0),16,1,1,"Entities")),"review","ok"),"ok")</f>
        <v>ok</v>
      </c>
    </row>
    <row r="2384" spans="5:9" x14ac:dyDescent="0.25">
      <c r="E2384" t="s">
        <v>2741</v>
      </c>
      <c r="F2384">
        <v>0</v>
      </c>
      <c r="G2384">
        <v>0</v>
      </c>
      <c r="H2384" t="s">
        <v>8</v>
      </c>
      <c r="I2384" s="74" t="str">
        <f ca="1">IF(Table7[[#This Row],[Type]]="KILL",IF(_xlfn.NUMBERVALUE(RIGHT(Table7[[#This Row],[Min]],LEN(Table7[[#This Row],[Min]])-FIND("-",Table7[[#This Row],[Min]])))&gt;INDIRECT(ADDRESS(11+MATCH(LEFT(Table7[[#This Row],[Min]],FIND("-",Table7[[#This Row],[Min]])-1),Table1[Content Sku],0),16,1,1,"Entities")),"review","ok"),"ok")</f>
        <v>ok</v>
      </c>
    </row>
    <row r="2385" spans="5:9" x14ac:dyDescent="0.25">
      <c r="E2385" t="s">
        <v>2741</v>
      </c>
      <c r="F2385">
        <v>0</v>
      </c>
      <c r="G2385">
        <v>0</v>
      </c>
      <c r="H2385" t="s">
        <v>8</v>
      </c>
      <c r="I2385" s="74" t="str">
        <f ca="1">IF(Table7[[#This Row],[Type]]="KILL",IF(_xlfn.NUMBERVALUE(RIGHT(Table7[[#This Row],[Min]],LEN(Table7[[#This Row],[Min]])-FIND("-",Table7[[#This Row],[Min]])))&gt;INDIRECT(ADDRESS(11+MATCH(LEFT(Table7[[#This Row],[Min]],FIND("-",Table7[[#This Row],[Min]])-1),Table1[Content Sku],0),16,1,1,"Entities")),"review","ok"),"ok")</f>
        <v>ok</v>
      </c>
    </row>
    <row r="2386" spans="5:9" x14ac:dyDescent="0.25">
      <c r="E2386" t="s">
        <v>253</v>
      </c>
      <c r="F2386">
        <v>0</v>
      </c>
      <c r="G2386">
        <v>0</v>
      </c>
      <c r="H2386" t="s">
        <v>8</v>
      </c>
      <c r="I2386" s="74" t="str">
        <f ca="1">IF(Table7[[#This Row],[Type]]="KILL",IF(_xlfn.NUMBERVALUE(RIGHT(Table7[[#This Row],[Min]],LEN(Table7[[#This Row],[Min]])-FIND("-",Table7[[#This Row],[Min]])))&gt;INDIRECT(ADDRESS(11+MATCH(LEFT(Table7[[#This Row],[Min]],FIND("-",Table7[[#This Row],[Min]])-1),Table1[Content Sku],0),16,1,1,"Entities")),"review","ok"),"ok")</f>
        <v>ok</v>
      </c>
    </row>
    <row r="2387" spans="5:9" x14ac:dyDescent="0.25">
      <c r="E2387" t="s">
        <v>50</v>
      </c>
      <c r="F2387">
        <v>23000</v>
      </c>
      <c r="G2387">
        <v>0</v>
      </c>
      <c r="H2387" t="s">
        <v>205</v>
      </c>
      <c r="I2387" s="74" t="str">
        <f ca="1">IF(Table7[[#This Row],[Type]]="KILL",IF(_xlfn.NUMBERVALUE(RIGHT(Table7[[#This Row],[Min]],LEN(Table7[[#This Row],[Min]])-FIND("-",Table7[[#This Row],[Min]])))&gt;INDIRECT(ADDRESS(11+MATCH(LEFT(Table7[[#This Row],[Min]],FIND("-",Table7[[#This Row],[Min]])-1),Table1[Content Sku],0),16,1,1,"Entities")),"review","ok"),"ok")</f>
        <v>ok</v>
      </c>
    </row>
    <row r="2388" spans="5:9" x14ac:dyDescent="0.25">
      <c r="E2388" t="s">
        <v>95</v>
      </c>
      <c r="F2388">
        <v>0</v>
      </c>
      <c r="G2388">
        <v>0</v>
      </c>
      <c r="H2388" t="s">
        <v>8</v>
      </c>
      <c r="I2388" s="74" t="str">
        <f ca="1">IF(Table7[[#This Row],[Type]]="KILL",IF(_xlfn.NUMBERVALUE(RIGHT(Table7[[#This Row],[Min]],LEN(Table7[[#This Row],[Min]])-FIND("-",Table7[[#This Row],[Min]])))&gt;INDIRECT(ADDRESS(11+MATCH(LEFT(Table7[[#This Row],[Min]],FIND("-",Table7[[#This Row],[Min]])-1),Table1[Content Sku],0),16,1,1,"Entities")),"review","ok"),"ok")</f>
        <v>ok</v>
      </c>
    </row>
    <row r="2389" spans="5:9" x14ac:dyDescent="0.25">
      <c r="E2389" t="s">
        <v>2738</v>
      </c>
      <c r="F2389">
        <v>0</v>
      </c>
      <c r="G2389">
        <v>0</v>
      </c>
      <c r="H2389" t="s">
        <v>8</v>
      </c>
      <c r="I2389" s="74" t="str">
        <f ca="1">IF(Table7[[#This Row],[Type]]="KILL",IF(_xlfn.NUMBERVALUE(RIGHT(Table7[[#This Row],[Min]],LEN(Table7[[#This Row],[Min]])-FIND("-",Table7[[#This Row],[Min]])))&gt;INDIRECT(ADDRESS(11+MATCH(LEFT(Table7[[#This Row],[Min]],FIND("-",Table7[[#This Row],[Min]])-1),Table1[Content Sku],0),16,1,1,"Entities")),"review","ok"),"ok")</f>
        <v>ok</v>
      </c>
    </row>
    <row r="2390" spans="5:9" x14ac:dyDescent="0.25">
      <c r="E2390" t="s">
        <v>253</v>
      </c>
      <c r="F2390">
        <v>0</v>
      </c>
      <c r="G2390">
        <v>0</v>
      </c>
      <c r="H2390" t="s">
        <v>8</v>
      </c>
      <c r="I2390" s="74" t="str">
        <f ca="1">IF(Table7[[#This Row],[Type]]="KILL",IF(_xlfn.NUMBERVALUE(RIGHT(Table7[[#This Row],[Min]],LEN(Table7[[#This Row],[Min]])-FIND("-",Table7[[#This Row],[Min]])))&gt;INDIRECT(ADDRESS(11+MATCH(LEFT(Table7[[#This Row],[Min]],FIND("-",Table7[[#This Row],[Min]])-1),Table1[Content Sku],0),16,1,1,"Entities")),"review","ok"),"ok")</f>
        <v>ok</v>
      </c>
    </row>
    <row r="2391" spans="5:9" x14ac:dyDescent="0.25">
      <c r="E2391" t="s">
        <v>39</v>
      </c>
      <c r="F2391">
        <v>11500</v>
      </c>
      <c r="G2391">
        <v>0</v>
      </c>
      <c r="H2391" t="s">
        <v>205</v>
      </c>
      <c r="I2391" s="74" t="str">
        <f ca="1">IF(Table7[[#This Row],[Type]]="KILL",IF(_xlfn.NUMBERVALUE(RIGHT(Table7[[#This Row],[Min]],LEN(Table7[[#This Row],[Min]])-FIND("-",Table7[[#This Row],[Min]])))&gt;INDIRECT(ADDRESS(11+MATCH(LEFT(Table7[[#This Row],[Min]],FIND("-",Table7[[#This Row],[Min]])-1),Table1[Content Sku],0),16,1,1,"Entities")),"review","ok"),"ok")</f>
        <v>ok</v>
      </c>
    </row>
    <row r="2392" spans="5:9" x14ac:dyDescent="0.25">
      <c r="E2392" t="s">
        <v>254</v>
      </c>
      <c r="F2392">
        <v>0</v>
      </c>
      <c r="G2392">
        <v>0</v>
      </c>
      <c r="H2392" t="s">
        <v>8</v>
      </c>
      <c r="I2392" s="74" t="str">
        <f ca="1">IF(Table7[[#This Row],[Type]]="KILL",IF(_xlfn.NUMBERVALUE(RIGHT(Table7[[#This Row],[Min]],LEN(Table7[[#This Row],[Min]])-FIND("-",Table7[[#This Row],[Min]])))&gt;INDIRECT(ADDRESS(11+MATCH(LEFT(Table7[[#This Row],[Min]],FIND("-",Table7[[#This Row],[Min]])-1),Table1[Content Sku],0),16,1,1,"Entities")),"review","ok"),"ok")</f>
        <v>ok</v>
      </c>
    </row>
    <row r="2393" spans="5:9" x14ac:dyDescent="0.25">
      <c r="E2393" t="s">
        <v>313</v>
      </c>
      <c r="F2393">
        <v>0</v>
      </c>
      <c r="G2393">
        <v>14000</v>
      </c>
      <c r="H2393" t="s">
        <v>205</v>
      </c>
      <c r="I2393" s="74" t="str">
        <f ca="1">IF(Table7[[#This Row],[Type]]="KILL",IF(_xlfn.NUMBERVALUE(RIGHT(Table7[[#This Row],[Min]],LEN(Table7[[#This Row],[Min]])-FIND("-",Table7[[#This Row],[Min]])))&gt;INDIRECT(ADDRESS(11+MATCH(LEFT(Table7[[#This Row],[Min]],FIND("-",Table7[[#This Row],[Min]])-1),Table1[Content Sku],0),16,1,1,"Entities")),"review","ok"),"ok")</f>
        <v>ok</v>
      </c>
    </row>
    <row r="2394" spans="5:9" x14ac:dyDescent="0.25">
      <c r="E2394" t="s">
        <v>338</v>
      </c>
      <c r="F2394">
        <v>0</v>
      </c>
      <c r="G2394">
        <v>0</v>
      </c>
      <c r="H2394" t="s">
        <v>8</v>
      </c>
      <c r="I2394" s="74" t="str">
        <f ca="1">IF(Table7[[#This Row],[Type]]="KILL",IF(_xlfn.NUMBERVALUE(RIGHT(Table7[[#This Row],[Min]],LEN(Table7[[#This Row],[Min]])-FIND("-",Table7[[#This Row],[Min]])))&gt;INDIRECT(ADDRESS(11+MATCH(LEFT(Table7[[#This Row],[Min]],FIND("-",Table7[[#This Row],[Min]])-1),Table1[Content Sku],0),16,1,1,"Entities")),"review","ok"),"ok")</f>
        <v>ok</v>
      </c>
    </row>
    <row r="2395" spans="5:9" x14ac:dyDescent="0.25">
      <c r="E2395" t="s">
        <v>95</v>
      </c>
      <c r="F2395">
        <v>0</v>
      </c>
      <c r="G2395">
        <v>0</v>
      </c>
      <c r="H2395" t="s">
        <v>8</v>
      </c>
      <c r="I2395" s="74" t="str">
        <f ca="1">IF(Table7[[#This Row],[Type]]="KILL",IF(_xlfn.NUMBERVALUE(RIGHT(Table7[[#This Row],[Min]],LEN(Table7[[#This Row],[Min]])-FIND("-",Table7[[#This Row],[Min]])))&gt;INDIRECT(ADDRESS(11+MATCH(LEFT(Table7[[#This Row],[Min]],FIND("-",Table7[[#This Row],[Min]])-1),Table1[Content Sku],0),16,1,1,"Entities")),"review","ok"),"ok")</f>
        <v>ok</v>
      </c>
    </row>
    <row r="2396" spans="5:9" x14ac:dyDescent="0.25">
      <c r="E2396" t="s">
        <v>2741</v>
      </c>
      <c r="F2396">
        <v>0</v>
      </c>
      <c r="G2396">
        <v>0</v>
      </c>
      <c r="H2396" t="s">
        <v>8</v>
      </c>
      <c r="I2396" s="74" t="str">
        <f ca="1">IF(Table7[[#This Row],[Type]]="KILL",IF(_xlfn.NUMBERVALUE(RIGHT(Table7[[#This Row],[Min]],LEN(Table7[[#This Row],[Min]])-FIND("-",Table7[[#This Row],[Min]])))&gt;INDIRECT(ADDRESS(11+MATCH(LEFT(Table7[[#This Row],[Min]],FIND("-",Table7[[#This Row],[Min]])-1),Table1[Content Sku],0),16,1,1,"Entities")),"review","ok"),"ok")</f>
        <v>ok</v>
      </c>
    </row>
    <row r="2397" spans="5:9" x14ac:dyDescent="0.25">
      <c r="E2397" t="s">
        <v>392</v>
      </c>
      <c r="F2397">
        <v>0</v>
      </c>
      <c r="G2397">
        <v>8000</v>
      </c>
      <c r="H2397" t="s">
        <v>205</v>
      </c>
      <c r="I2397" s="74" t="str">
        <f ca="1">IF(Table7[[#This Row],[Type]]="KILL",IF(_xlfn.NUMBERVALUE(RIGHT(Table7[[#This Row],[Min]],LEN(Table7[[#This Row],[Min]])-FIND("-",Table7[[#This Row],[Min]])))&gt;INDIRECT(ADDRESS(11+MATCH(LEFT(Table7[[#This Row],[Min]],FIND("-",Table7[[#This Row],[Min]])-1),Table1[Content Sku],0),16,1,1,"Entities")),"review","ok"),"ok")</f>
        <v>ok</v>
      </c>
    </row>
    <row r="2398" spans="5:9" x14ac:dyDescent="0.25">
      <c r="E2398" t="s">
        <v>43</v>
      </c>
      <c r="F2398">
        <v>45000</v>
      </c>
      <c r="G2398">
        <v>0</v>
      </c>
      <c r="H2398" t="s">
        <v>205</v>
      </c>
      <c r="I2398" s="74" t="str">
        <f ca="1">IF(Table7[[#This Row],[Type]]="KILL",IF(_xlfn.NUMBERVALUE(RIGHT(Table7[[#This Row],[Min]],LEN(Table7[[#This Row],[Min]])-FIND("-",Table7[[#This Row],[Min]])))&gt;INDIRECT(ADDRESS(11+MATCH(LEFT(Table7[[#This Row],[Min]],FIND("-",Table7[[#This Row],[Min]])-1),Table1[Content Sku],0),16,1,1,"Entities")),"review","ok"),"ok")</f>
        <v>ok</v>
      </c>
    </row>
    <row r="2399" spans="5:9" x14ac:dyDescent="0.25">
      <c r="E2399" t="s">
        <v>396</v>
      </c>
      <c r="F2399">
        <v>5500</v>
      </c>
      <c r="G2399">
        <v>0</v>
      </c>
      <c r="H2399" t="s">
        <v>205</v>
      </c>
      <c r="I2399" s="74" t="str">
        <f ca="1">IF(Table7[[#This Row],[Type]]="KILL",IF(_xlfn.NUMBERVALUE(RIGHT(Table7[[#This Row],[Min]],LEN(Table7[[#This Row],[Min]])-FIND("-",Table7[[#This Row],[Min]])))&gt;INDIRECT(ADDRESS(11+MATCH(LEFT(Table7[[#This Row],[Min]],FIND("-",Table7[[#This Row],[Min]])-1),Table1[Content Sku],0),16,1,1,"Entities")),"review","ok"),"ok")</f>
        <v>ok</v>
      </c>
    </row>
    <row r="2400" spans="5:9" x14ac:dyDescent="0.25">
      <c r="E2400" t="s">
        <v>313</v>
      </c>
      <c r="F2400">
        <v>0</v>
      </c>
      <c r="G2400">
        <v>0</v>
      </c>
      <c r="H2400" t="s">
        <v>8</v>
      </c>
      <c r="I2400" s="74" t="str">
        <f ca="1">IF(Table7[[#This Row],[Type]]="KILL",IF(_xlfn.NUMBERVALUE(RIGHT(Table7[[#This Row],[Min]],LEN(Table7[[#This Row],[Min]])-FIND("-",Table7[[#This Row],[Min]])))&gt;INDIRECT(ADDRESS(11+MATCH(LEFT(Table7[[#This Row],[Min]],FIND("-",Table7[[#This Row],[Min]])-1),Table1[Content Sku],0),16,1,1,"Entities")),"review","ok"),"ok")</f>
        <v>ok</v>
      </c>
    </row>
    <row r="2401" spans="5:9" x14ac:dyDescent="0.25">
      <c r="E2401" t="s">
        <v>91</v>
      </c>
      <c r="F2401">
        <v>0</v>
      </c>
      <c r="G2401">
        <v>15000</v>
      </c>
      <c r="H2401" t="s">
        <v>205</v>
      </c>
      <c r="I2401" s="74" t="str">
        <f ca="1">IF(Table7[[#This Row],[Type]]="KILL",IF(_xlfn.NUMBERVALUE(RIGHT(Table7[[#This Row],[Min]],LEN(Table7[[#This Row],[Min]])-FIND("-",Table7[[#This Row],[Min]])))&gt;INDIRECT(ADDRESS(11+MATCH(LEFT(Table7[[#This Row],[Min]],FIND("-",Table7[[#This Row],[Min]])-1),Table1[Content Sku],0),16,1,1,"Entities")),"review","ok"),"ok")</f>
        <v>ok</v>
      </c>
    </row>
    <row r="2402" spans="5:9" x14ac:dyDescent="0.25">
      <c r="E2402" t="s">
        <v>422</v>
      </c>
      <c r="F2402">
        <v>0</v>
      </c>
      <c r="G2402">
        <v>0</v>
      </c>
      <c r="H2402" t="s">
        <v>8</v>
      </c>
      <c r="I2402" s="74" t="str">
        <f ca="1">IF(Table7[[#This Row],[Type]]="KILL",IF(_xlfn.NUMBERVALUE(RIGHT(Table7[[#This Row],[Min]],LEN(Table7[[#This Row],[Min]])-FIND("-",Table7[[#This Row],[Min]])))&gt;INDIRECT(ADDRESS(11+MATCH(LEFT(Table7[[#This Row],[Min]],FIND("-",Table7[[#This Row],[Min]])-1),Table1[Content Sku],0),16,1,1,"Entities")),"review","ok"),"ok")</f>
        <v>ok</v>
      </c>
    </row>
    <row r="2403" spans="5:9" x14ac:dyDescent="0.25">
      <c r="E2403" t="s">
        <v>398</v>
      </c>
      <c r="F2403">
        <v>1200</v>
      </c>
      <c r="G2403">
        <v>0</v>
      </c>
      <c r="H2403" t="s">
        <v>205</v>
      </c>
      <c r="I2403" s="74" t="str">
        <f ca="1">IF(Table7[[#This Row],[Type]]="KILL",IF(_xlfn.NUMBERVALUE(RIGHT(Table7[[#This Row],[Min]],LEN(Table7[[#This Row],[Min]])-FIND("-",Table7[[#This Row],[Min]])))&gt;INDIRECT(ADDRESS(11+MATCH(LEFT(Table7[[#This Row],[Min]],FIND("-",Table7[[#This Row],[Min]])-1),Table1[Content Sku],0),16,1,1,"Entities")),"review","ok"),"ok")</f>
        <v>ok</v>
      </c>
    </row>
    <row r="2404" spans="5:9" x14ac:dyDescent="0.25">
      <c r="E2404" t="s">
        <v>2736</v>
      </c>
      <c r="F2404">
        <v>0</v>
      </c>
      <c r="G2404">
        <v>0</v>
      </c>
      <c r="H2404" t="s">
        <v>8</v>
      </c>
      <c r="I2404" s="74" t="str">
        <f ca="1">IF(Table7[[#This Row],[Type]]="KILL",IF(_xlfn.NUMBERVALUE(RIGHT(Table7[[#This Row],[Min]],LEN(Table7[[#This Row],[Min]])-FIND("-",Table7[[#This Row],[Min]])))&gt;INDIRECT(ADDRESS(11+MATCH(LEFT(Table7[[#This Row],[Min]],FIND("-",Table7[[#This Row],[Min]])-1),Table1[Content Sku],0),16,1,1,"Entities")),"review","ok"),"ok")</f>
        <v>ok</v>
      </c>
    </row>
    <row r="2405" spans="5:9" x14ac:dyDescent="0.25">
      <c r="E2405" t="s">
        <v>2741</v>
      </c>
      <c r="F2405">
        <v>0</v>
      </c>
      <c r="G2405">
        <v>0</v>
      </c>
      <c r="H2405" t="s">
        <v>8</v>
      </c>
      <c r="I2405" s="74" t="str">
        <f ca="1">IF(Table7[[#This Row],[Type]]="KILL",IF(_xlfn.NUMBERVALUE(RIGHT(Table7[[#This Row],[Min]],LEN(Table7[[#This Row],[Min]])-FIND("-",Table7[[#This Row],[Min]])))&gt;INDIRECT(ADDRESS(11+MATCH(LEFT(Table7[[#This Row],[Min]],FIND("-",Table7[[#This Row],[Min]])-1),Table1[Content Sku],0),16,1,1,"Entities")),"review","ok"),"ok")</f>
        <v>ok</v>
      </c>
    </row>
    <row r="2406" spans="5:9" x14ac:dyDescent="0.25">
      <c r="E2406" t="s">
        <v>254</v>
      </c>
      <c r="F2406">
        <v>0</v>
      </c>
      <c r="G2406">
        <v>0</v>
      </c>
      <c r="H2406" t="s">
        <v>8</v>
      </c>
      <c r="I2406" s="74" t="str">
        <f ca="1">IF(Table7[[#This Row],[Type]]="KILL",IF(_xlfn.NUMBERVALUE(RIGHT(Table7[[#This Row],[Min]],LEN(Table7[[#This Row],[Min]])-FIND("-",Table7[[#This Row],[Min]])))&gt;INDIRECT(ADDRESS(11+MATCH(LEFT(Table7[[#This Row],[Min]],FIND("-",Table7[[#This Row],[Min]])-1),Table1[Content Sku],0),16,1,1,"Entities")),"review","ok"),"ok")</f>
        <v>ok</v>
      </c>
    </row>
    <row r="2407" spans="5:9" x14ac:dyDescent="0.25">
      <c r="E2407" t="s">
        <v>545</v>
      </c>
      <c r="F2407">
        <v>0</v>
      </c>
      <c r="G2407">
        <v>0</v>
      </c>
      <c r="H2407" t="s">
        <v>8</v>
      </c>
      <c r="I2407" s="74" t="str">
        <f ca="1">IF(Table7[[#This Row],[Type]]="KILL",IF(_xlfn.NUMBERVALUE(RIGHT(Table7[[#This Row],[Min]],LEN(Table7[[#This Row],[Min]])-FIND("-",Table7[[#This Row],[Min]])))&gt;INDIRECT(ADDRESS(11+MATCH(LEFT(Table7[[#This Row],[Min]],FIND("-",Table7[[#This Row],[Min]])-1),Table1[Content Sku],0),16,1,1,"Entities")),"review","ok"),"ok")</f>
        <v>ok</v>
      </c>
    </row>
    <row r="2408" spans="5:9" x14ac:dyDescent="0.25">
      <c r="E2408" t="s">
        <v>2738</v>
      </c>
      <c r="F2408">
        <v>0</v>
      </c>
      <c r="G2408">
        <v>0</v>
      </c>
      <c r="H2408" t="s">
        <v>8</v>
      </c>
      <c r="I2408" s="74" t="str">
        <f ca="1">IF(Table7[[#This Row],[Type]]="KILL",IF(_xlfn.NUMBERVALUE(RIGHT(Table7[[#This Row],[Min]],LEN(Table7[[#This Row],[Min]])-FIND("-",Table7[[#This Row],[Min]])))&gt;INDIRECT(ADDRESS(11+MATCH(LEFT(Table7[[#This Row],[Min]],FIND("-",Table7[[#This Row],[Min]])-1),Table1[Content Sku],0),16,1,1,"Entities")),"review","ok"),"ok")</f>
        <v>ok</v>
      </c>
    </row>
    <row r="2409" spans="5:9" x14ac:dyDescent="0.25">
      <c r="E2409" t="s">
        <v>396</v>
      </c>
      <c r="F2409">
        <v>24000</v>
      </c>
      <c r="G2409">
        <v>0</v>
      </c>
      <c r="H2409" t="s">
        <v>205</v>
      </c>
      <c r="I2409" s="74" t="str">
        <f ca="1">IF(Table7[[#This Row],[Type]]="KILL",IF(_xlfn.NUMBERVALUE(RIGHT(Table7[[#This Row],[Min]],LEN(Table7[[#This Row],[Min]])-FIND("-",Table7[[#This Row],[Min]])))&gt;INDIRECT(ADDRESS(11+MATCH(LEFT(Table7[[#This Row],[Min]],FIND("-",Table7[[#This Row],[Min]])-1),Table1[Content Sku],0),16,1,1,"Entities")),"review","ok"),"ok")</f>
        <v>ok</v>
      </c>
    </row>
    <row r="2410" spans="5:9" x14ac:dyDescent="0.25">
      <c r="E2410" t="s">
        <v>313</v>
      </c>
      <c r="F2410">
        <v>0</v>
      </c>
      <c r="G2410">
        <v>27000</v>
      </c>
      <c r="H2410" t="s">
        <v>205</v>
      </c>
      <c r="I2410" s="74" t="str">
        <f ca="1">IF(Table7[[#This Row],[Type]]="KILL",IF(_xlfn.NUMBERVALUE(RIGHT(Table7[[#This Row],[Min]],LEN(Table7[[#This Row],[Min]])-FIND("-",Table7[[#This Row],[Min]])))&gt;INDIRECT(ADDRESS(11+MATCH(LEFT(Table7[[#This Row],[Min]],FIND("-",Table7[[#This Row],[Min]])-1),Table1[Content Sku],0),16,1,1,"Entities")),"review","ok"),"ok")</f>
        <v>ok</v>
      </c>
    </row>
    <row r="2411" spans="5:9" x14ac:dyDescent="0.25">
      <c r="E2411" t="s">
        <v>95</v>
      </c>
      <c r="F2411">
        <v>0</v>
      </c>
      <c r="G2411">
        <v>0</v>
      </c>
      <c r="H2411" t="s">
        <v>8</v>
      </c>
      <c r="I2411" s="74" t="str">
        <f ca="1">IF(Table7[[#This Row],[Type]]="KILL",IF(_xlfn.NUMBERVALUE(RIGHT(Table7[[#This Row],[Min]],LEN(Table7[[#This Row],[Min]])-FIND("-",Table7[[#This Row],[Min]])))&gt;INDIRECT(ADDRESS(11+MATCH(LEFT(Table7[[#This Row],[Min]],FIND("-",Table7[[#This Row],[Min]])-1),Table1[Content Sku],0),16,1,1,"Entities")),"review","ok"),"ok")</f>
        <v>ok</v>
      </c>
    </row>
    <row r="2412" spans="5:9" x14ac:dyDescent="0.25">
      <c r="E2412" t="s">
        <v>8133</v>
      </c>
      <c r="F2412">
        <v>0</v>
      </c>
      <c r="G2412">
        <v>0</v>
      </c>
      <c r="H2412" t="s">
        <v>8</v>
      </c>
      <c r="I2412" s="74" t="str">
        <f ca="1">IF(Table7[[#This Row],[Type]]="KILL",IF(_xlfn.NUMBERVALUE(RIGHT(Table7[[#This Row],[Min]],LEN(Table7[[#This Row],[Min]])-FIND("-",Table7[[#This Row],[Min]])))&gt;INDIRECT(ADDRESS(11+MATCH(LEFT(Table7[[#This Row],[Min]],FIND("-",Table7[[#This Row],[Min]])-1),Table1[Content Sku],0),16,1,1,"Entities")),"review","ok"),"ok")</f>
        <v>ok</v>
      </c>
    </row>
    <row r="2413" spans="5:9" x14ac:dyDescent="0.25">
      <c r="E2413" t="s">
        <v>295</v>
      </c>
      <c r="F2413">
        <v>0</v>
      </c>
      <c r="G2413">
        <v>20000</v>
      </c>
      <c r="H2413" t="s">
        <v>205</v>
      </c>
      <c r="I2413" s="74" t="str">
        <f ca="1">IF(Table7[[#This Row],[Type]]="KILL",IF(_xlfn.NUMBERVALUE(RIGHT(Table7[[#This Row],[Min]],LEN(Table7[[#This Row],[Min]])-FIND("-",Table7[[#This Row],[Min]])))&gt;INDIRECT(ADDRESS(11+MATCH(LEFT(Table7[[#This Row],[Min]],FIND("-",Table7[[#This Row],[Min]])-1),Table1[Content Sku],0),16,1,1,"Entities")),"review","ok"),"ok")</f>
        <v>ok</v>
      </c>
    </row>
    <row r="2414" spans="5:9" x14ac:dyDescent="0.25">
      <c r="E2414" t="s">
        <v>90</v>
      </c>
      <c r="F2414">
        <v>0</v>
      </c>
      <c r="G2414">
        <v>25000</v>
      </c>
      <c r="H2414" t="s">
        <v>205</v>
      </c>
      <c r="I2414" s="74" t="str">
        <f ca="1">IF(Table7[[#This Row],[Type]]="KILL",IF(_xlfn.NUMBERVALUE(RIGHT(Table7[[#This Row],[Min]],LEN(Table7[[#This Row],[Min]])-FIND("-",Table7[[#This Row],[Min]])))&gt;INDIRECT(ADDRESS(11+MATCH(LEFT(Table7[[#This Row],[Min]],FIND("-",Table7[[#This Row],[Min]])-1),Table1[Content Sku],0),16,1,1,"Entities")),"review","ok"),"ok")</f>
        <v>ok</v>
      </c>
    </row>
    <row r="2415" spans="5:9" x14ac:dyDescent="0.25">
      <c r="E2415" t="s">
        <v>91</v>
      </c>
      <c r="F2415">
        <v>0</v>
      </c>
      <c r="G2415">
        <v>0</v>
      </c>
      <c r="H2415" t="s">
        <v>8</v>
      </c>
      <c r="I2415" s="74" t="str">
        <f ca="1">IF(Table7[[#This Row],[Type]]="KILL",IF(_xlfn.NUMBERVALUE(RIGHT(Table7[[#This Row],[Min]],LEN(Table7[[#This Row],[Min]])-FIND("-",Table7[[#This Row],[Min]])))&gt;INDIRECT(ADDRESS(11+MATCH(LEFT(Table7[[#This Row],[Min]],FIND("-",Table7[[#This Row],[Min]])-1),Table1[Content Sku],0),16,1,1,"Entities")),"review","ok"),"ok")</f>
        <v>ok</v>
      </c>
    </row>
    <row r="2416" spans="5:9" x14ac:dyDescent="0.25">
      <c r="E2416" t="s">
        <v>273</v>
      </c>
      <c r="F2416">
        <v>11100</v>
      </c>
      <c r="G2416">
        <v>0</v>
      </c>
      <c r="H2416" t="s">
        <v>205</v>
      </c>
      <c r="I2416" s="74" t="str">
        <f ca="1">IF(Table7[[#This Row],[Type]]="KILL",IF(_xlfn.NUMBERVALUE(RIGHT(Table7[[#This Row],[Min]],LEN(Table7[[#This Row],[Min]])-FIND("-",Table7[[#This Row],[Min]])))&gt;INDIRECT(ADDRESS(11+MATCH(LEFT(Table7[[#This Row],[Min]],FIND("-",Table7[[#This Row],[Min]])-1),Table1[Content Sku],0),16,1,1,"Entities")),"review","ok"),"ok")</f>
        <v>ok</v>
      </c>
    </row>
    <row r="2417" spans="5:9" x14ac:dyDescent="0.25">
      <c r="E2417" t="s">
        <v>396</v>
      </c>
      <c r="F2417">
        <v>22000</v>
      </c>
      <c r="G2417">
        <v>0</v>
      </c>
      <c r="H2417" t="s">
        <v>205</v>
      </c>
      <c r="I2417" s="74" t="str">
        <f ca="1">IF(Table7[[#This Row],[Type]]="KILL",IF(_xlfn.NUMBERVALUE(RIGHT(Table7[[#This Row],[Min]],LEN(Table7[[#This Row],[Min]])-FIND("-",Table7[[#This Row],[Min]])))&gt;INDIRECT(ADDRESS(11+MATCH(LEFT(Table7[[#This Row],[Min]],FIND("-",Table7[[#This Row],[Min]])-1),Table1[Content Sku],0),16,1,1,"Entities")),"review","ok"),"ok")</f>
        <v>ok</v>
      </c>
    </row>
    <row r="2418" spans="5:9" x14ac:dyDescent="0.25">
      <c r="E2418" t="s">
        <v>40</v>
      </c>
      <c r="F2418">
        <v>5000</v>
      </c>
      <c r="G2418">
        <v>0</v>
      </c>
      <c r="H2418" t="s">
        <v>205</v>
      </c>
      <c r="I2418" s="74" t="str">
        <f ca="1">IF(Table7[[#This Row],[Type]]="KILL",IF(_xlfn.NUMBERVALUE(RIGHT(Table7[[#This Row],[Min]],LEN(Table7[[#This Row],[Min]])-FIND("-",Table7[[#This Row],[Min]])))&gt;INDIRECT(ADDRESS(11+MATCH(LEFT(Table7[[#This Row],[Min]],FIND("-",Table7[[#This Row],[Min]])-1),Table1[Content Sku],0),16,1,1,"Entities")),"review","ok"),"ok")</f>
        <v>ok</v>
      </c>
    </row>
    <row r="2419" spans="5:9" x14ac:dyDescent="0.25">
      <c r="E2419" t="s">
        <v>254</v>
      </c>
      <c r="F2419">
        <v>0</v>
      </c>
      <c r="G2419">
        <v>0</v>
      </c>
      <c r="H2419" t="s">
        <v>8</v>
      </c>
      <c r="I2419" s="74" t="str">
        <f ca="1">IF(Table7[[#This Row],[Type]]="KILL",IF(_xlfn.NUMBERVALUE(RIGHT(Table7[[#This Row],[Min]],LEN(Table7[[#This Row],[Min]])-FIND("-",Table7[[#This Row],[Min]])))&gt;INDIRECT(ADDRESS(11+MATCH(LEFT(Table7[[#This Row],[Min]],FIND("-",Table7[[#This Row],[Min]])-1),Table1[Content Sku],0),16,1,1,"Entities")),"review","ok"),"ok")</f>
        <v>ok</v>
      </c>
    </row>
    <row r="2420" spans="5:9" x14ac:dyDescent="0.25">
      <c r="E2420" t="s">
        <v>313</v>
      </c>
      <c r="F2420">
        <v>0</v>
      </c>
      <c r="G2420">
        <v>10000</v>
      </c>
      <c r="H2420" t="s">
        <v>205</v>
      </c>
      <c r="I2420" s="74" t="str">
        <f ca="1">IF(Table7[[#This Row],[Type]]="KILL",IF(_xlfn.NUMBERVALUE(RIGHT(Table7[[#This Row],[Min]],LEN(Table7[[#This Row],[Min]])-FIND("-",Table7[[#This Row],[Min]])))&gt;INDIRECT(ADDRESS(11+MATCH(LEFT(Table7[[#This Row],[Min]],FIND("-",Table7[[#This Row],[Min]])-1),Table1[Content Sku],0),16,1,1,"Entities")),"review","ok"),"ok")</f>
        <v>ok</v>
      </c>
    </row>
    <row r="2421" spans="5:9" x14ac:dyDescent="0.25">
      <c r="E2421" t="s">
        <v>256</v>
      </c>
      <c r="F2421">
        <v>24000</v>
      </c>
      <c r="G2421">
        <v>0</v>
      </c>
      <c r="H2421" t="s">
        <v>205</v>
      </c>
      <c r="I2421" s="74" t="str">
        <f ca="1">IF(Table7[[#This Row],[Type]]="KILL",IF(_xlfn.NUMBERVALUE(RIGHT(Table7[[#This Row],[Min]],LEN(Table7[[#This Row],[Min]])-FIND("-",Table7[[#This Row],[Min]])))&gt;INDIRECT(ADDRESS(11+MATCH(LEFT(Table7[[#This Row],[Min]],FIND("-",Table7[[#This Row],[Min]])-1),Table1[Content Sku],0),16,1,1,"Entities")),"review","ok"),"ok")</f>
        <v>ok</v>
      </c>
    </row>
    <row r="2422" spans="5:9" x14ac:dyDescent="0.25">
      <c r="E2422" t="s">
        <v>548</v>
      </c>
      <c r="F2422">
        <v>0</v>
      </c>
      <c r="G2422">
        <v>0</v>
      </c>
      <c r="H2422" t="s">
        <v>8</v>
      </c>
      <c r="I2422" s="74" t="str">
        <f ca="1">IF(Table7[[#This Row],[Type]]="KILL",IF(_xlfn.NUMBERVALUE(RIGHT(Table7[[#This Row],[Min]],LEN(Table7[[#This Row],[Min]])-FIND("-",Table7[[#This Row],[Min]])))&gt;INDIRECT(ADDRESS(11+MATCH(LEFT(Table7[[#This Row],[Min]],FIND("-",Table7[[#This Row],[Min]])-1),Table1[Content Sku],0),16,1,1,"Entities")),"review","ok"),"ok")</f>
        <v>ok</v>
      </c>
    </row>
    <row r="2423" spans="5:9" x14ac:dyDescent="0.25">
      <c r="E2423" t="s">
        <v>39</v>
      </c>
      <c r="F2423">
        <v>8000</v>
      </c>
      <c r="G2423">
        <v>0</v>
      </c>
      <c r="H2423" t="s">
        <v>205</v>
      </c>
      <c r="I2423" s="74" t="str">
        <f ca="1">IF(Table7[[#This Row],[Type]]="KILL",IF(_xlfn.NUMBERVALUE(RIGHT(Table7[[#This Row],[Min]],LEN(Table7[[#This Row],[Min]])-FIND("-",Table7[[#This Row],[Min]])))&gt;INDIRECT(ADDRESS(11+MATCH(LEFT(Table7[[#This Row],[Min]],FIND("-",Table7[[#This Row],[Min]])-1),Table1[Content Sku],0),16,1,1,"Entities")),"review","ok"),"ok")</f>
        <v>ok</v>
      </c>
    </row>
    <row r="2424" spans="5:9" x14ac:dyDescent="0.25">
      <c r="E2424" t="s">
        <v>122</v>
      </c>
      <c r="F2424">
        <v>0</v>
      </c>
      <c r="G2424">
        <v>0</v>
      </c>
      <c r="H2424" t="s">
        <v>8</v>
      </c>
      <c r="I2424" s="74" t="str">
        <f ca="1">IF(Table7[[#This Row],[Type]]="KILL",IF(_xlfn.NUMBERVALUE(RIGHT(Table7[[#This Row],[Min]],LEN(Table7[[#This Row],[Min]])-FIND("-",Table7[[#This Row],[Min]])))&gt;INDIRECT(ADDRESS(11+MATCH(LEFT(Table7[[#This Row],[Min]],FIND("-",Table7[[#This Row],[Min]])-1),Table1[Content Sku],0),16,1,1,"Entities")),"review","ok"),"ok")</f>
        <v>ok</v>
      </c>
    </row>
    <row r="2425" spans="5:9" x14ac:dyDescent="0.25">
      <c r="E2425" t="s">
        <v>2738</v>
      </c>
      <c r="F2425">
        <v>0</v>
      </c>
      <c r="G2425">
        <v>0</v>
      </c>
      <c r="H2425" t="s">
        <v>8</v>
      </c>
      <c r="I2425" s="74" t="str">
        <f ca="1">IF(Table7[[#This Row],[Type]]="KILL",IF(_xlfn.NUMBERVALUE(RIGHT(Table7[[#This Row],[Min]],LEN(Table7[[#This Row],[Min]])-FIND("-",Table7[[#This Row],[Min]])))&gt;INDIRECT(ADDRESS(11+MATCH(LEFT(Table7[[#This Row],[Min]],FIND("-",Table7[[#This Row],[Min]])-1),Table1[Content Sku],0),16,1,1,"Entities")),"review","ok"),"ok")</f>
        <v>ok</v>
      </c>
    </row>
    <row r="2426" spans="5:9" x14ac:dyDescent="0.25">
      <c r="E2426" t="s">
        <v>278</v>
      </c>
      <c r="F2426">
        <v>2000</v>
      </c>
      <c r="G2426">
        <v>0</v>
      </c>
      <c r="H2426" t="s">
        <v>205</v>
      </c>
      <c r="I2426" s="74" t="str">
        <f ca="1">IF(Table7[[#This Row],[Type]]="KILL",IF(_xlfn.NUMBERVALUE(RIGHT(Table7[[#This Row],[Min]],LEN(Table7[[#This Row],[Min]])-FIND("-",Table7[[#This Row],[Min]])))&gt;INDIRECT(ADDRESS(11+MATCH(LEFT(Table7[[#This Row],[Min]],FIND("-",Table7[[#This Row],[Min]])-1),Table1[Content Sku],0),16,1,1,"Entities")),"review","ok"),"ok")</f>
        <v>ok</v>
      </c>
    </row>
    <row r="2427" spans="5:9" x14ac:dyDescent="0.25">
      <c r="E2427" t="s">
        <v>90</v>
      </c>
      <c r="F2427">
        <v>4000</v>
      </c>
      <c r="G2427">
        <v>0</v>
      </c>
      <c r="H2427" t="s">
        <v>205</v>
      </c>
      <c r="I2427" s="74" t="str">
        <f ca="1">IF(Table7[[#This Row],[Type]]="KILL",IF(_xlfn.NUMBERVALUE(RIGHT(Table7[[#This Row],[Min]],LEN(Table7[[#This Row],[Min]])-FIND("-",Table7[[#This Row],[Min]])))&gt;INDIRECT(ADDRESS(11+MATCH(LEFT(Table7[[#This Row],[Min]],FIND("-",Table7[[#This Row],[Min]])-1),Table1[Content Sku],0),16,1,1,"Entities")),"review","ok"),"ok")</f>
        <v>ok</v>
      </c>
    </row>
    <row r="2428" spans="5:9" x14ac:dyDescent="0.25">
      <c r="E2428" t="s">
        <v>254</v>
      </c>
      <c r="F2428">
        <v>0</v>
      </c>
      <c r="G2428">
        <v>0</v>
      </c>
      <c r="H2428" t="s">
        <v>8</v>
      </c>
      <c r="I2428" s="74" t="str">
        <f ca="1">IF(Table7[[#This Row],[Type]]="KILL",IF(_xlfn.NUMBERVALUE(RIGHT(Table7[[#This Row],[Min]],LEN(Table7[[#This Row],[Min]])-FIND("-",Table7[[#This Row],[Min]])))&gt;INDIRECT(ADDRESS(11+MATCH(LEFT(Table7[[#This Row],[Min]],FIND("-",Table7[[#This Row],[Min]])-1),Table1[Content Sku],0),16,1,1,"Entities")),"review","ok"),"ok")</f>
        <v>ok</v>
      </c>
    </row>
    <row r="2429" spans="5:9" x14ac:dyDescent="0.25">
      <c r="E2429" t="s">
        <v>8103</v>
      </c>
      <c r="F2429">
        <v>450</v>
      </c>
      <c r="G2429">
        <v>0</v>
      </c>
      <c r="H2429" t="s">
        <v>4431</v>
      </c>
      <c r="I2429" s="74" t="str">
        <f ca="1">IF(Table7[[#This Row],[Type]]="KILL",IF(_xlfn.NUMBERVALUE(RIGHT(Table7[[#This Row],[Min]],LEN(Table7[[#This Row],[Min]])-FIND("-",Table7[[#This Row],[Min]])))&gt;INDIRECT(ADDRESS(11+MATCH(LEFT(Table7[[#This Row],[Min]],FIND("-",Table7[[#This Row],[Min]])-1),Table1[Content Sku],0),16,1,1,"Entities")),"review","ok"),"ok")</f>
        <v>ok</v>
      </c>
    </row>
    <row r="2430" spans="5:9" x14ac:dyDescent="0.25">
      <c r="E2430" t="s">
        <v>2741</v>
      </c>
      <c r="F2430">
        <v>0</v>
      </c>
      <c r="G2430">
        <v>0</v>
      </c>
      <c r="H2430" t="s">
        <v>8</v>
      </c>
      <c r="I2430" s="74" t="str">
        <f ca="1">IF(Table7[[#This Row],[Type]]="KILL",IF(_xlfn.NUMBERVALUE(RIGHT(Table7[[#This Row],[Min]],LEN(Table7[[#This Row],[Min]])-FIND("-",Table7[[#This Row],[Min]])))&gt;INDIRECT(ADDRESS(11+MATCH(LEFT(Table7[[#This Row],[Min]],FIND("-",Table7[[#This Row],[Min]])-1),Table1[Content Sku],0),16,1,1,"Entities")),"review","ok"),"ok")</f>
        <v>ok</v>
      </c>
    </row>
    <row r="2431" spans="5:9" x14ac:dyDescent="0.25">
      <c r="E2431" t="s">
        <v>256</v>
      </c>
      <c r="F2431">
        <v>0</v>
      </c>
      <c r="G2431">
        <v>0</v>
      </c>
      <c r="H2431" t="s">
        <v>8</v>
      </c>
      <c r="I2431" s="74" t="str">
        <f ca="1">IF(Table7[[#This Row],[Type]]="KILL",IF(_xlfn.NUMBERVALUE(RIGHT(Table7[[#This Row],[Min]],LEN(Table7[[#This Row],[Min]])-FIND("-",Table7[[#This Row],[Min]])))&gt;INDIRECT(ADDRESS(11+MATCH(LEFT(Table7[[#This Row],[Min]],FIND("-",Table7[[#This Row],[Min]])-1),Table1[Content Sku],0),16,1,1,"Entities")),"review","ok"),"ok")</f>
        <v>ok</v>
      </c>
    </row>
    <row r="2432" spans="5:9" x14ac:dyDescent="0.25">
      <c r="E2432" t="s">
        <v>318</v>
      </c>
      <c r="F2432">
        <v>0</v>
      </c>
      <c r="G2432">
        <v>0</v>
      </c>
      <c r="H2432" t="s">
        <v>8</v>
      </c>
      <c r="I2432" s="74" t="str">
        <f ca="1">IF(Table7[[#This Row],[Type]]="KILL",IF(_xlfn.NUMBERVALUE(RIGHT(Table7[[#This Row],[Min]],LEN(Table7[[#This Row],[Min]])-FIND("-",Table7[[#This Row],[Min]])))&gt;INDIRECT(ADDRESS(11+MATCH(LEFT(Table7[[#This Row],[Min]],FIND("-",Table7[[#This Row],[Min]])-1),Table1[Content Sku],0),16,1,1,"Entities")),"review","ok"),"ok")</f>
        <v>ok</v>
      </c>
    </row>
    <row r="2433" spans="5:9" x14ac:dyDescent="0.25">
      <c r="E2433" t="s">
        <v>256</v>
      </c>
      <c r="F2433">
        <v>0</v>
      </c>
      <c r="G2433">
        <v>0</v>
      </c>
      <c r="H2433" t="s">
        <v>8</v>
      </c>
      <c r="I2433" s="74" t="str">
        <f ca="1">IF(Table7[[#This Row],[Type]]="KILL",IF(_xlfn.NUMBERVALUE(RIGHT(Table7[[#This Row],[Min]],LEN(Table7[[#This Row],[Min]])-FIND("-",Table7[[#This Row],[Min]])))&gt;INDIRECT(ADDRESS(11+MATCH(LEFT(Table7[[#This Row],[Min]],FIND("-",Table7[[#This Row],[Min]])-1),Table1[Content Sku],0),16,1,1,"Entities")),"review","ok"),"ok")</f>
        <v>ok</v>
      </c>
    </row>
    <row r="2434" spans="5:9" x14ac:dyDescent="0.25">
      <c r="E2434" t="s">
        <v>256</v>
      </c>
      <c r="F2434">
        <v>16000</v>
      </c>
      <c r="G2434">
        <v>0</v>
      </c>
      <c r="H2434" t="s">
        <v>205</v>
      </c>
      <c r="I2434" s="74" t="str">
        <f ca="1">IF(Table7[[#This Row],[Type]]="KILL",IF(_xlfn.NUMBERVALUE(RIGHT(Table7[[#This Row],[Min]],LEN(Table7[[#This Row],[Min]])-FIND("-",Table7[[#This Row],[Min]])))&gt;INDIRECT(ADDRESS(11+MATCH(LEFT(Table7[[#This Row],[Min]],FIND("-",Table7[[#This Row],[Min]])-1),Table1[Content Sku],0),16,1,1,"Entities")),"review","ok"),"ok")</f>
        <v>ok</v>
      </c>
    </row>
    <row r="2435" spans="5:9" x14ac:dyDescent="0.25">
      <c r="E2435" t="s">
        <v>91</v>
      </c>
      <c r="F2435">
        <v>0</v>
      </c>
      <c r="G2435">
        <v>0</v>
      </c>
      <c r="H2435" t="s">
        <v>8</v>
      </c>
      <c r="I2435" s="74" t="str">
        <f ca="1">IF(Table7[[#This Row],[Type]]="KILL",IF(_xlfn.NUMBERVALUE(RIGHT(Table7[[#This Row],[Min]],LEN(Table7[[#This Row],[Min]])-FIND("-",Table7[[#This Row],[Min]])))&gt;INDIRECT(ADDRESS(11+MATCH(LEFT(Table7[[#This Row],[Min]],FIND("-",Table7[[#This Row],[Min]])-1),Table1[Content Sku],0),16,1,1,"Entities")),"review","ok"),"ok")</f>
        <v>ok</v>
      </c>
    </row>
    <row r="2436" spans="5:9" x14ac:dyDescent="0.25">
      <c r="E2436" t="s">
        <v>47</v>
      </c>
      <c r="F2436">
        <v>8000</v>
      </c>
      <c r="G2436">
        <v>14000</v>
      </c>
      <c r="H2436" t="s">
        <v>205</v>
      </c>
      <c r="I2436" s="74" t="str">
        <f ca="1">IF(Table7[[#This Row],[Type]]="KILL",IF(_xlfn.NUMBERVALUE(RIGHT(Table7[[#This Row],[Min]],LEN(Table7[[#This Row],[Min]])-FIND("-",Table7[[#This Row],[Min]])))&gt;INDIRECT(ADDRESS(11+MATCH(LEFT(Table7[[#This Row],[Min]],FIND("-",Table7[[#This Row],[Min]])-1),Table1[Content Sku],0),16,1,1,"Entities")),"review","ok"),"ok")</f>
        <v>ok</v>
      </c>
    </row>
    <row r="2437" spans="5:9" x14ac:dyDescent="0.25">
      <c r="E2437" t="s">
        <v>95</v>
      </c>
      <c r="F2437">
        <v>9000</v>
      </c>
      <c r="G2437">
        <v>0</v>
      </c>
      <c r="H2437" t="s">
        <v>205</v>
      </c>
      <c r="I2437" s="74" t="str">
        <f ca="1">IF(Table7[[#This Row],[Type]]="KILL",IF(_xlfn.NUMBERVALUE(RIGHT(Table7[[#This Row],[Min]],LEN(Table7[[#This Row],[Min]])-FIND("-",Table7[[#This Row],[Min]])))&gt;INDIRECT(ADDRESS(11+MATCH(LEFT(Table7[[#This Row],[Min]],FIND("-",Table7[[#This Row],[Min]])-1),Table1[Content Sku],0),16,1,1,"Entities")),"review","ok"),"ok")</f>
        <v>ok</v>
      </c>
    </row>
    <row r="2438" spans="5:9" x14ac:dyDescent="0.25">
      <c r="E2438" t="s">
        <v>39</v>
      </c>
      <c r="F2438">
        <v>0</v>
      </c>
      <c r="G2438">
        <v>0</v>
      </c>
      <c r="H2438" t="s">
        <v>8</v>
      </c>
      <c r="I2438" s="74" t="str">
        <f ca="1">IF(Table7[[#This Row],[Type]]="KILL",IF(_xlfn.NUMBERVALUE(RIGHT(Table7[[#This Row],[Min]],LEN(Table7[[#This Row],[Min]])-FIND("-",Table7[[#This Row],[Min]])))&gt;INDIRECT(ADDRESS(11+MATCH(LEFT(Table7[[#This Row],[Min]],FIND("-",Table7[[#This Row],[Min]])-1),Table1[Content Sku],0),16,1,1,"Entities")),"review","ok"),"ok")</f>
        <v>ok</v>
      </c>
    </row>
    <row r="2439" spans="5:9" x14ac:dyDescent="0.25">
      <c r="E2439" t="s">
        <v>47</v>
      </c>
      <c r="F2439">
        <v>0</v>
      </c>
      <c r="G2439">
        <v>0</v>
      </c>
      <c r="H2439" t="s">
        <v>8</v>
      </c>
      <c r="I2439" s="74" t="str">
        <f ca="1">IF(Table7[[#This Row],[Type]]="KILL",IF(_xlfn.NUMBERVALUE(RIGHT(Table7[[#This Row],[Min]],LEN(Table7[[#This Row],[Min]])-FIND("-",Table7[[#This Row],[Min]])))&gt;INDIRECT(ADDRESS(11+MATCH(LEFT(Table7[[#This Row],[Min]],FIND("-",Table7[[#This Row],[Min]])-1),Table1[Content Sku],0),16,1,1,"Entities")),"review","ok"),"ok")</f>
        <v>ok</v>
      </c>
    </row>
    <row r="2440" spans="5:9" x14ac:dyDescent="0.25">
      <c r="E2440" t="s">
        <v>276</v>
      </c>
      <c r="F2440">
        <v>0</v>
      </c>
      <c r="G2440">
        <v>0</v>
      </c>
      <c r="H2440" t="s">
        <v>8</v>
      </c>
      <c r="I2440" s="74" t="str">
        <f ca="1">IF(Table7[[#This Row],[Type]]="KILL",IF(_xlfn.NUMBERVALUE(RIGHT(Table7[[#This Row],[Min]],LEN(Table7[[#This Row],[Min]])-FIND("-",Table7[[#This Row],[Min]])))&gt;INDIRECT(ADDRESS(11+MATCH(LEFT(Table7[[#This Row],[Min]],FIND("-",Table7[[#This Row],[Min]])-1),Table1[Content Sku],0),16,1,1,"Entities")),"review","ok"),"ok")</f>
        <v>ok</v>
      </c>
    </row>
    <row r="2441" spans="5:9" x14ac:dyDescent="0.25">
      <c r="E2441" t="s">
        <v>91</v>
      </c>
      <c r="F2441">
        <v>0</v>
      </c>
      <c r="G2441">
        <v>0</v>
      </c>
      <c r="H2441" t="s">
        <v>8</v>
      </c>
      <c r="I2441" s="74" t="str">
        <f ca="1">IF(Table7[[#This Row],[Type]]="KILL",IF(_xlfn.NUMBERVALUE(RIGHT(Table7[[#This Row],[Min]],LEN(Table7[[#This Row],[Min]])-FIND("-",Table7[[#This Row],[Min]])))&gt;INDIRECT(ADDRESS(11+MATCH(LEFT(Table7[[#This Row],[Min]],FIND("-",Table7[[#This Row],[Min]])-1),Table1[Content Sku],0),16,1,1,"Entities")),"review","ok"),"ok")</f>
        <v>ok</v>
      </c>
    </row>
    <row r="2442" spans="5:9" x14ac:dyDescent="0.25">
      <c r="E2442" t="s">
        <v>2741</v>
      </c>
      <c r="F2442">
        <v>0</v>
      </c>
      <c r="G2442">
        <v>0</v>
      </c>
      <c r="H2442" t="s">
        <v>8</v>
      </c>
      <c r="I2442" s="74" t="str">
        <f ca="1">IF(Table7[[#This Row],[Type]]="KILL",IF(_xlfn.NUMBERVALUE(RIGHT(Table7[[#This Row],[Min]],LEN(Table7[[#This Row],[Min]])-FIND("-",Table7[[#This Row],[Min]])))&gt;INDIRECT(ADDRESS(11+MATCH(LEFT(Table7[[#This Row],[Min]],FIND("-",Table7[[#This Row],[Min]])-1),Table1[Content Sku],0),16,1,1,"Entities")),"review","ok"),"ok")</f>
        <v>ok</v>
      </c>
    </row>
    <row r="2443" spans="5:9" x14ac:dyDescent="0.25">
      <c r="E2443" t="s">
        <v>338</v>
      </c>
      <c r="F2443">
        <v>0</v>
      </c>
      <c r="G2443">
        <v>0</v>
      </c>
      <c r="H2443" t="s">
        <v>8</v>
      </c>
      <c r="I2443" s="74" t="str">
        <f ca="1">IF(Table7[[#This Row],[Type]]="KILL",IF(_xlfn.NUMBERVALUE(RIGHT(Table7[[#This Row],[Min]],LEN(Table7[[#This Row],[Min]])-FIND("-",Table7[[#This Row],[Min]])))&gt;INDIRECT(ADDRESS(11+MATCH(LEFT(Table7[[#This Row],[Min]],FIND("-",Table7[[#This Row],[Min]])-1),Table1[Content Sku],0),16,1,1,"Entities")),"review","ok"),"ok")</f>
        <v>ok</v>
      </c>
    </row>
    <row r="2444" spans="5:9" x14ac:dyDescent="0.25">
      <c r="E2444" t="s">
        <v>2741</v>
      </c>
      <c r="F2444">
        <v>0</v>
      </c>
      <c r="G2444">
        <v>0</v>
      </c>
      <c r="H2444" t="s">
        <v>8</v>
      </c>
      <c r="I2444" s="74" t="str">
        <f ca="1">IF(Table7[[#This Row],[Type]]="KILL",IF(_xlfn.NUMBERVALUE(RIGHT(Table7[[#This Row],[Min]],LEN(Table7[[#This Row],[Min]])-FIND("-",Table7[[#This Row],[Min]])))&gt;INDIRECT(ADDRESS(11+MATCH(LEFT(Table7[[#This Row],[Min]],FIND("-",Table7[[#This Row],[Min]])-1),Table1[Content Sku],0),16,1,1,"Entities")),"review","ok"),"ok")</f>
        <v>ok</v>
      </c>
    </row>
    <row r="2445" spans="5:9" x14ac:dyDescent="0.25">
      <c r="E2445" t="s">
        <v>396</v>
      </c>
      <c r="F2445">
        <v>20000</v>
      </c>
      <c r="G2445">
        <v>0</v>
      </c>
      <c r="H2445" t="s">
        <v>205</v>
      </c>
      <c r="I2445" s="74" t="str">
        <f ca="1">IF(Table7[[#This Row],[Type]]="KILL",IF(_xlfn.NUMBERVALUE(RIGHT(Table7[[#This Row],[Min]],LEN(Table7[[#This Row],[Min]])-FIND("-",Table7[[#This Row],[Min]])))&gt;INDIRECT(ADDRESS(11+MATCH(LEFT(Table7[[#This Row],[Min]],FIND("-",Table7[[#This Row],[Min]])-1),Table1[Content Sku],0),16,1,1,"Entities")),"review","ok"),"ok")</f>
        <v>ok</v>
      </c>
    </row>
    <row r="2446" spans="5:9" x14ac:dyDescent="0.25">
      <c r="E2446" t="s">
        <v>318</v>
      </c>
      <c r="F2446">
        <v>0</v>
      </c>
      <c r="G2446">
        <v>0</v>
      </c>
      <c r="H2446" t="s">
        <v>8</v>
      </c>
      <c r="I2446" s="74" t="str">
        <f ca="1">IF(Table7[[#This Row],[Type]]="KILL",IF(_xlfn.NUMBERVALUE(RIGHT(Table7[[#This Row],[Min]],LEN(Table7[[#This Row],[Min]])-FIND("-",Table7[[#This Row],[Min]])))&gt;INDIRECT(ADDRESS(11+MATCH(LEFT(Table7[[#This Row],[Min]],FIND("-",Table7[[#This Row],[Min]])-1),Table1[Content Sku],0),16,1,1,"Entities")),"review","ok"),"ok")</f>
        <v>ok</v>
      </c>
    </row>
    <row r="2447" spans="5:9" x14ac:dyDescent="0.25">
      <c r="E2447" t="s">
        <v>254</v>
      </c>
      <c r="F2447">
        <v>0</v>
      </c>
      <c r="G2447">
        <v>0</v>
      </c>
      <c r="H2447" t="s">
        <v>8</v>
      </c>
      <c r="I2447" s="74" t="str">
        <f ca="1">IF(Table7[[#This Row],[Type]]="KILL",IF(_xlfn.NUMBERVALUE(RIGHT(Table7[[#This Row],[Min]],LEN(Table7[[#This Row],[Min]])-FIND("-",Table7[[#This Row],[Min]])))&gt;INDIRECT(ADDRESS(11+MATCH(LEFT(Table7[[#This Row],[Min]],FIND("-",Table7[[#This Row],[Min]])-1),Table1[Content Sku],0),16,1,1,"Entities")),"review","ok"),"ok")</f>
        <v>ok</v>
      </c>
    </row>
    <row r="2448" spans="5:9" x14ac:dyDescent="0.25">
      <c r="E2448" t="s">
        <v>313</v>
      </c>
      <c r="F2448">
        <v>3100</v>
      </c>
      <c r="G2448">
        <v>0</v>
      </c>
      <c r="H2448" t="s">
        <v>205</v>
      </c>
      <c r="I2448" s="74" t="str">
        <f ca="1">IF(Table7[[#This Row],[Type]]="KILL",IF(_xlfn.NUMBERVALUE(RIGHT(Table7[[#This Row],[Min]],LEN(Table7[[#This Row],[Min]])-FIND("-",Table7[[#This Row],[Min]])))&gt;INDIRECT(ADDRESS(11+MATCH(LEFT(Table7[[#This Row],[Min]],FIND("-",Table7[[#This Row],[Min]])-1),Table1[Content Sku],0),16,1,1,"Entities")),"review","ok"),"ok")</f>
        <v>ok</v>
      </c>
    </row>
    <row r="2449" spans="5:9" x14ac:dyDescent="0.25">
      <c r="E2449" t="s">
        <v>91</v>
      </c>
      <c r="F2449">
        <v>0</v>
      </c>
      <c r="G2449">
        <v>25000</v>
      </c>
      <c r="H2449" t="s">
        <v>205</v>
      </c>
      <c r="I2449" s="74" t="str">
        <f ca="1">IF(Table7[[#This Row],[Type]]="KILL",IF(_xlfn.NUMBERVALUE(RIGHT(Table7[[#This Row],[Min]],LEN(Table7[[#This Row],[Min]])-FIND("-",Table7[[#This Row],[Min]])))&gt;INDIRECT(ADDRESS(11+MATCH(LEFT(Table7[[#This Row],[Min]],FIND("-",Table7[[#This Row],[Min]])-1),Table1[Content Sku],0),16,1,1,"Entities")),"review","ok"),"ok")</f>
        <v>ok</v>
      </c>
    </row>
    <row r="2450" spans="5:9" x14ac:dyDescent="0.25">
      <c r="E2450" t="s">
        <v>95</v>
      </c>
      <c r="F2450">
        <v>0</v>
      </c>
      <c r="G2450">
        <v>21000</v>
      </c>
      <c r="H2450" t="s">
        <v>205</v>
      </c>
      <c r="I2450" s="74" t="str">
        <f ca="1">IF(Table7[[#This Row],[Type]]="KILL",IF(_xlfn.NUMBERVALUE(RIGHT(Table7[[#This Row],[Min]],LEN(Table7[[#This Row],[Min]])-FIND("-",Table7[[#This Row],[Min]])))&gt;INDIRECT(ADDRESS(11+MATCH(LEFT(Table7[[#This Row],[Min]],FIND("-",Table7[[#This Row],[Min]])-1),Table1[Content Sku],0),16,1,1,"Entities")),"review","ok"),"ok")</f>
        <v>ok</v>
      </c>
    </row>
    <row r="2451" spans="5:9" x14ac:dyDescent="0.25">
      <c r="E2451" t="s">
        <v>313</v>
      </c>
      <c r="F2451">
        <v>0</v>
      </c>
      <c r="G2451">
        <v>0</v>
      </c>
      <c r="H2451" t="s">
        <v>8</v>
      </c>
      <c r="I2451" s="74" t="str">
        <f ca="1">IF(Table7[[#This Row],[Type]]="KILL",IF(_xlfn.NUMBERVALUE(RIGHT(Table7[[#This Row],[Min]],LEN(Table7[[#This Row],[Min]])-FIND("-",Table7[[#This Row],[Min]])))&gt;INDIRECT(ADDRESS(11+MATCH(LEFT(Table7[[#This Row],[Min]],FIND("-",Table7[[#This Row],[Min]])-1),Table1[Content Sku],0),16,1,1,"Entities")),"review","ok"),"ok")</f>
        <v>ok</v>
      </c>
    </row>
    <row r="2452" spans="5:9" x14ac:dyDescent="0.25">
      <c r="E2452" t="s">
        <v>406</v>
      </c>
      <c r="F2452">
        <v>0</v>
      </c>
      <c r="G2452">
        <v>0</v>
      </c>
      <c r="H2452" t="s">
        <v>8</v>
      </c>
      <c r="I2452" s="74" t="str">
        <f ca="1">IF(Table7[[#This Row],[Type]]="KILL",IF(_xlfn.NUMBERVALUE(RIGHT(Table7[[#This Row],[Min]],LEN(Table7[[#This Row],[Min]])-FIND("-",Table7[[#This Row],[Min]])))&gt;INDIRECT(ADDRESS(11+MATCH(LEFT(Table7[[#This Row],[Min]],FIND("-",Table7[[#This Row],[Min]])-1),Table1[Content Sku],0),16,1,1,"Entities")),"review","ok"),"ok")</f>
        <v>ok</v>
      </c>
    </row>
    <row r="2453" spans="5:9" x14ac:dyDescent="0.25">
      <c r="E2453" t="s">
        <v>123</v>
      </c>
      <c r="F2453">
        <v>0</v>
      </c>
      <c r="G2453">
        <v>9500</v>
      </c>
      <c r="H2453" t="s">
        <v>205</v>
      </c>
      <c r="I2453" s="74" t="str">
        <f ca="1">IF(Table7[[#This Row],[Type]]="KILL",IF(_xlfn.NUMBERVALUE(RIGHT(Table7[[#This Row],[Min]],LEN(Table7[[#This Row],[Min]])-FIND("-",Table7[[#This Row],[Min]])))&gt;INDIRECT(ADDRESS(11+MATCH(LEFT(Table7[[#This Row],[Min]],FIND("-",Table7[[#This Row],[Min]])-1),Table1[Content Sku],0),16,1,1,"Entities")),"review","ok"),"ok")</f>
        <v>ok</v>
      </c>
    </row>
    <row r="2454" spans="5:9" x14ac:dyDescent="0.25">
      <c r="E2454" t="s">
        <v>256</v>
      </c>
      <c r="F2454">
        <v>25000</v>
      </c>
      <c r="G2454">
        <v>0</v>
      </c>
      <c r="H2454" t="s">
        <v>205</v>
      </c>
      <c r="I2454" s="74" t="str">
        <f ca="1">IF(Table7[[#This Row],[Type]]="KILL",IF(_xlfn.NUMBERVALUE(RIGHT(Table7[[#This Row],[Min]],LEN(Table7[[#This Row],[Min]])-FIND("-",Table7[[#This Row],[Min]])))&gt;INDIRECT(ADDRESS(11+MATCH(LEFT(Table7[[#This Row],[Min]],FIND("-",Table7[[#This Row],[Min]])-1),Table1[Content Sku],0),16,1,1,"Entities")),"review","ok"),"ok")</f>
        <v>ok</v>
      </c>
    </row>
    <row r="2455" spans="5:9" x14ac:dyDescent="0.25">
      <c r="E2455" t="s">
        <v>295</v>
      </c>
      <c r="F2455">
        <v>5500</v>
      </c>
      <c r="G2455">
        <v>0</v>
      </c>
      <c r="H2455" t="s">
        <v>205</v>
      </c>
      <c r="I2455" s="74" t="str">
        <f ca="1">IF(Table7[[#This Row],[Type]]="KILL",IF(_xlfn.NUMBERVALUE(RIGHT(Table7[[#This Row],[Min]],LEN(Table7[[#This Row],[Min]])-FIND("-",Table7[[#This Row],[Min]])))&gt;INDIRECT(ADDRESS(11+MATCH(LEFT(Table7[[#This Row],[Min]],FIND("-",Table7[[#This Row],[Min]])-1),Table1[Content Sku],0),16,1,1,"Entities")),"review","ok"),"ok")</f>
        <v>ok</v>
      </c>
    </row>
    <row r="2456" spans="5:9" x14ac:dyDescent="0.25">
      <c r="E2456" t="s">
        <v>49</v>
      </c>
      <c r="F2456">
        <v>0</v>
      </c>
      <c r="G2456">
        <v>20000</v>
      </c>
      <c r="H2456" t="s">
        <v>205</v>
      </c>
      <c r="I2456" s="74" t="str">
        <f ca="1">IF(Table7[[#This Row],[Type]]="KILL",IF(_xlfn.NUMBERVALUE(RIGHT(Table7[[#This Row],[Min]],LEN(Table7[[#This Row],[Min]])-FIND("-",Table7[[#This Row],[Min]])))&gt;INDIRECT(ADDRESS(11+MATCH(LEFT(Table7[[#This Row],[Min]],FIND("-",Table7[[#This Row],[Min]])-1),Table1[Content Sku],0),16,1,1,"Entities")),"review","ok"),"ok")</f>
        <v>ok</v>
      </c>
    </row>
    <row r="2457" spans="5:9" x14ac:dyDescent="0.25">
      <c r="E2457" t="s">
        <v>46</v>
      </c>
      <c r="F2457">
        <v>0</v>
      </c>
      <c r="G2457">
        <v>0</v>
      </c>
      <c r="H2457" t="s">
        <v>8</v>
      </c>
      <c r="I2457" s="74" t="str">
        <f ca="1">IF(Table7[[#This Row],[Type]]="KILL",IF(_xlfn.NUMBERVALUE(RIGHT(Table7[[#This Row],[Min]],LEN(Table7[[#This Row],[Min]])-FIND("-",Table7[[#This Row],[Min]])))&gt;INDIRECT(ADDRESS(11+MATCH(LEFT(Table7[[#This Row],[Min]],FIND("-",Table7[[#This Row],[Min]])-1),Table1[Content Sku],0),16,1,1,"Entities")),"review","ok"),"ok")</f>
        <v>ok</v>
      </c>
    </row>
    <row r="2458" spans="5:9" x14ac:dyDescent="0.25">
      <c r="E2458" t="s">
        <v>47</v>
      </c>
      <c r="F2458">
        <v>90</v>
      </c>
      <c r="G2458">
        <v>0</v>
      </c>
      <c r="H2458" t="s">
        <v>4431</v>
      </c>
      <c r="I2458" s="74" t="str">
        <f ca="1">IF(Table7[[#This Row],[Type]]="KILL",IF(_xlfn.NUMBERVALUE(RIGHT(Table7[[#This Row],[Min]],LEN(Table7[[#This Row],[Min]])-FIND("-",Table7[[#This Row],[Min]])))&gt;INDIRECT(ADDRESS(11+MATCH(LEFT(Table7[[#This Row],[Min]],FIND("-",Table7[[#This Row],[Min]])-1),Table1[Content Sku],0),16,1,1,"Entities")),"review","ok"),"ok")</f>
        <v>ok</v>
      </c>
    </row>
    <row r="2459" spans="5:9" x14ac:dyDescent="0.25">
      <c r="E2459" t="s">
        <v>123</v>
      </c>
      <c r="F2459">
        <v>16000</v>
      </c>
      <c r="G2459">
        <v>0</v>
      </c>
      <c r="H2459" t="s">
        <v>205</v>
      </c>
      <c r="I2459" s="74" t="str">
        <f ca="1">IF(Table7[[#This Row],[Type]]="KILL",IF(_xlfn.NUMBERVALUE(RIGHT(Table7[[#This Row],[Min]],LEN(Table7[[#This Row],[Min]])-FIND("-",Table7[[#This Row],[Min]])))&gt;INDIRECT(ADDRESS(11+MATCH(LEFT(Table7[[#This Row],[Min]],FIND("-",Table7[[#This Row],[Min]])-1),Table1[Content Sku],0),16,1,1,"Entities")),"review","ok"),"ok")</f>
        <v>ok</v>
      </c>
    </row>
    <row r="2460" spans="5:9" x14ac:dyDescent="0.25">
      <c r="E2460" t="s">
        <v>392</v>
      </c>
      <c r="F2460">
        <v>0</v>
      </c>
      <c r="G2460">
        <v>0</v>
      </c>
      <c r="H2460" t="s">
        <v>8</v>
      </c>
      <c r="I2460" s="74" t="str">
        <f ca="1">IF(Table7[[#This Row],[Type]]="KILL",IF(_xlfn.NUMBERVALUE(RIGHT(Table7[[#This Row],[Min]],LEN(Table7[[#This Row],[Min]])-FIND("-",Table7[[#This Row],[Min]])))&gt;INDIRECT(ADDRESS(11+MATCH(LEFT(Table7[[#This Row],[Min]],FIND("-",Table7[[#This Row],[Min]])-1),Table1[Content Sku],0),16,1,1,"Entities")),"review","ok"),"ok")</f>
        <v>ok</v>
      </c>
    </row>
    <row r="2461" spans="5:9" x14ac:dyDescent="0.25">
      <c r="E2461" t="s">
        <v>10</v>
      </c>
      <c r="F2461">
        <v>480</v>
      </c>
      <c r="G2461">
        <v>0</v>
      </c>
      <c r="H2461" t="s">
        <v>4431</v>
      </c>
      <c r="I2461" s="74" t="str">
        <f ca="1">IF(Table7[[#This Row],[Type]]="KILL",IF(_xlfn.NUMBERVALUE(RIGHT(Table7[[#This Row],[Min]],LEN(Table7[[#This Row],[Min]])-FIND("-",Table7[[#This Row],[Min]])))&gt;INDIRECT(ADDRESS(11+MATCH(LEFT(Table7[[#This Row],[Min]],FIND("-",Table7[[#This Row],[Min]])-1),Table1[Content Sku],0),16,1,1,"Entities")),"review","ok"),"ok")</f>
        <v>ok</v>
      </c>
    </row>
    <row r="2462" spans="5:9" x14ac:dyDescent="0.25">
      <c r="E2462" t="s">
        <v>254</v>
      </c>
      <c r="F2462">
        <v>1100</v>
      </c>
      <c r="G2462">
        <v>0</v>
      </c>
      <c r="H2462" t="s">
        <v>205</v>
      </c>
      <c r="I2462" s="74" t="str">
        <f ca="1">IF(Table7[[#This Row],[Type]]="KILL",IF(_xlfn.NUMBERVALUE(RIGHT(Table7[[#This Row],[Min]],LEN(Table7[[#This Row],[Min]])-FIND("-",Table7[[#This Row],[Min]])))&gt;INDIRECT(ADDRESS(11+MATCH(LEFT(Table7[[#This Row],[Min]],FIND("-",Table7[[#This Row],[Min]])-1),Table1[Content Sku],0),16,1,1,"Entities")),"review","ok"),"ok")</f>
        <v>ok</v>
      </c>
    </row>
    <row r="2463" spans="5:9" x14ac:dyDescent="0.25">
      <c r="E2463" t="s">
        <v>10</v>
      </c>
      <c r="F2463">
        <v>2250</v>
      </c>
      <c r="G2463">
        <v>0</v>
      </c>
      <c r="H2463" t="s">
        <v>205</v>
      </c>
      <c r="I2463" s="74" t="str">
        <f ca="1">IF(Table7[[#This Row],[Type]]="KILL",IF(_xlfn.NUMBERVALUE(RIGHT(Table7[[#This Row],[Min]],LEN(Table7[[#This Row],[Min]])-FIND("-",Table7[[#This Row],[Min]])))&gt;INDIRECT(ADDRESS(11+MATCH(LEFT(Table7[[#This Row],[Min]],FIND("-",Table7[[#This Row],[Min]])-1),Table1[Content Sku],0),16,1,1,"Entities")),"review","ok"),"ok")</f>
        <v>ok</v>
      </c>
    </row>
    <row r="2464" spans="5:9" x14ac:dyDescent="0.25">
      <c r="E2464" t="s">
        <v>254</v>
      </c>
      <c r="F2464">
        <v>0</v>
      </c>
      <c r="G2464">
        <v>0</v>
      </c>
      <c r="H2464" t="s">
        <v>8</v>
      </c>
      <c r="I2464" s="74" t="str">
        <f ca="1">IF(Table7[[#This Row],[Type]]="KILL",IF(_xlfn.NUMBERVALUE(RIGHT(Table7[[#This Row],[Min]],LEN(Table7[[#This Row],[Min]])-FIND("-",Table7[[#This Row],[Min]])))&gt;INDIRECT(ADDRESS(11+MATCH(LEFT(Table7[[#This Row],[Min]],FIND("-",Table7[[#This Row],[Min]])-1),Table1[Content Sku],0),16,1,1,"Entities")),"review","ok"),"ok")</f>
        <v>ok</v>
      </c>
    </row>
    <row r="2465" spans="5:9" x14ac:dyDescent="0.25">
      <c r="E2465" t="s">
        <v>254</v>
      </c>
      <c r="F2465">
        <v>0</v>
      </c>
      <c r="G2465">
        <v>0</v>
      </c>
      <c r="H2465" t="s">
        <v>8</v>
      </c>
      <c r="I2465" s="74" t="str">
        <f ca="1">IF(Table7[[#This Row],[Type]]="KILL",IF(_xlfn.NUMBERVALUE(RIGHT(Table7[[#This Row],[Min]],LEN(Table7[[#This Row],[Min]])-FIND("-",Table7[[#This Row],[Min]])))&gt;INDIRECT(ADDRESS(11+MATCH(LEFT(Table7[[#This Row],[Min]],FIND("-",Table7[[#This Row],[Min]])-1),Table1[Content Sku],0),16,1,1,"Entities")),"review","ok"),"ok")</f>
        <v>ok</v>
      </c>
    </row>
    <row r="2466" spans="5:9" x14ac:dyDescent="0.25">
      <c r="E2466" t="s">
        <v>49</v>
      </c>
      <c r="F2466">
        <v>12000</v>
      </c>
      <c r="G2466">
        <v>0</v>
      </c>
      <c r="H2466" t="s">
        <v>205</v>
      </c>
      <c r="I2466" s="74" t="str">
        <f ca="1">IF(Table7[[#This Row],[Type]]="KILL",IF(_xlfn.NUMBERVALUE(RIGHT(Table7[[#This Row],[Min]],LEN(Table7[[#This Row],[Min]])-FIND("-",Table7[[#This Row],[Min]])))&gt;INDIRECT(ADDRESS(11+MATCH(LEFT(Table7[[#This Row],[Min]],FIND("-",Table7[[#This Row],[Min]])-1),Table1[Content Sku],0),16,1,1,"Entities")),"review","ok"),"ok")</f>
        <v>ok</v>
      </c>
    </row>
    <row r="2467" spans="5:9" x14ac:dyDescent="0.25">
      <c r="E2467" t="s">
        <v>36</v>
      </c>
      <c r="F2467">
        <v>4000</v>
      </c>
      <c r="G2467">
        <v>0</v>
      </c>
      <c r="H2467" t="s">
        <v>205</v>
      </c>
      <c r="I2467" s="74" t="str">
        <f ca="1">IF(Table7[[#This Row],[Type]]="KILL",IF(_xlfn.NUMBERVALUE(RIGHT(Table7[[#This Row],[Min]],LEN(Table7[[#This Row],[Min]])-FIND("-",Table7[[#This Row],[Min]])))&gt;INDIRECT(ADDRESS(11+MATCH(LEFT(Table7[[#This Row],[Min]],FIND("-",Table7[[#This Row],[Min]])-1),Table1[Content Sku],0),16,1,1,"Entities")),"review","ok"),"ok")</f>
        <v>ok</v>
      </c>
    </row>
    <row r="2468" spans="5:9" x14ac:dyDescent="0.25">
      <c r="E2468" t="s">
        <v>254</v>
      </c>
      <c r="F2468">
        <v>0</v>
      </c>
      <c r="G2468">
        <v>0</v>
      </c>
      <c r="H2468" t="s">
        <v>8</v>
      </c>
      <c r="I2468" s="74" t="str">
        <f ca="1">IF(Table7[[#This Row],[Type]]="KILL",IF(_xlfn.NUMBERVALUE(RIGHT(Table7[[#This Row],[Min]],LEN(Table7[[#This Row],[Min]])-FIND("-",Table7[[#This Row],[Min]])))&gt;INDIRECT(ADDRESS(11+MATCH(LEFT(Table7[[#This Row],[Min]],FIND("-",Table7[[#This Row],[Min]])-1),Table1[Content Sku],0),16,1,1,"Entities")),"review","ok"),"ok")</f>
        <v>ok</v>
      </c>
    </row>
    <row r="2469" spans="5:9" x14ac:dyDescent="0.25">
      <c r="E2469" t="s">
        <v>2723</v>
      </c>
      <c r="F2469">
        <v>0</v>
      </c>
      <c r="G2469">
        <v>0</v>
      </c>
      <c r="H2469" t="s">
        <v>8</v>
      </c>
      <c r="I2469" s="74" t="str">
        <f ca="1">IF(Table7[[#This Row],[Type]]="KILL",IF(_xlfn.NUMBERVALUE(RIGHT(Table7[[#This Row],[Min]],LEN(Table7[[#This Row],[Min]])-FIND("-",Table7[[#This Row],[Min]])))&gt;INDIRECT(ADDRESS(11+MATCH(LEFT(Table7[[#This Row],[Min]],FIND("-",Table7[[#This Row],[Min]])-1),Table1[Content Sku],0),16,1,1,"Entities")),"review","ok"),"ok")</f>
        <v>ok</v>
      </c>
    </row>
    <row r="2470" spans="5:9" x14ac:dyDescent="0.25">
      <c r="E2470" t="s">
        <v>318</v>
      </c>
      <c r="F2470">
        <v>0</v>
      </c>
      <c r="G2470">
        <v>6000</v>
      </c>
      <c r="H2470" t="s">
        <v>205</v>
      </c>
      <c r="I2470" s="74" t="str">
        <f ca="1">IF(Table7[[#This Row],[Type]]="KILL",IF(_xlfn.NUMBERVALUE(RIGHT(Table7[[#This Row],[Min]],LEN(Table7[[#This Row],[Min]])-FIND("-",Table7[[#This Row],[Min]])))&gt;INDIRECT(ADDRESS(11+MATCH(LEFT(Table7[[#This Row],[Min]],FIND("-",Table7[[#This Row],[Min]])-1),Table1[Content Sku],0),16,1,1,"Entities")),"review","ok"),"ok")</f>
        <v>ok</v>
      </c>
    </row>
    <row r="2471" spans="5:9" x14ac:dyDescent="0.25">
      <c r="E2471" t="s">
        <v>2741</v>
      </c>
      <c r="F2471">
        <v>0</v>
      </c>
      <c r="G2471">
        <v>0</v>
      </c>
      <c r="H2471" t="s">
        <v>8</v>
      </c>
      <c r="I2471" s="74" t="str">
        <f ca="1">IF(Table7[[#This Row],[Type]]="KILL",IF(_xlfn.NUMBERVALUE(RIGHT(Table7[[#This Row],[Min]],LEN(Table7[[#This Row],[Min]])-FIND("-",Table7[[#This Row],[Min]])))&gt;INDIRECT(ADDRESS(11+MATCH(LEFT(Table7[[#This Row],[Min]],FIND("-",Table7[[#This Row],[Min]])-1),Table1[Content Sku],0),16,1,1,"Entities")),"review","ok"),"ok")</f>
        <v>ok</v>
      </c>
    </row>
    <row r="2472" spans="5:9" x14ac:dyDescent="0.25">
      <c r="E2472" t="s">
        <v>278</v>
      </c>
      <c r="F2472">
        <v>3000</v>
      </c>
      <c r="G2472">
        <v>0</v>
      </c>
      <c r="H2472" t="s">
        <v>205</v>
      </c>
      <c r="I2472" s="74" t="str">
        <f ca="1">IF(Table7[[#This Row],[Type]]="KILL",IF(_xlfn.NUMBERVALUE(RIGHT(Table7[[#This Row],[Min]],LEN(Table7[[#This Row],[Min]])-FIND("-",Table7[[#This Row],[Min]])))&gt;INDIRECT(ADDRESS(11+MATCH(LEFT(Table7[[#This Row],[Min]],FIND("-",Table7[[#This Row],[Min]])-1),Table1[Content Sku],0),16,1,1,"Entities")),"review","ok"),"ok")</f>
        <v>ok</v>
      </c>
    </row>
    <row r="2473" spans="5:9" x14ac:dyDescent="0.25">
      <c r="E2473" t="s">
        <v>123</v>
      </c>
      <c r="F2473">
        <v>0</v>
      </c>
      <c r="G2473">
        <v>0</v>
      </c>
      <c r="H2473" t="s">
        <v>8</v>
      </c>
      <c r="I2473" s="74" t="str">
        <f ca="1">IF(Table7[[#This Row],[Type]]="KILL",IF(_xlfn.NUMBERVALUE(RIGHT(Table7[[#This Row],[Min]],LEN(Table7[[#This Row],[Min]])-FIND("-",Table7[[#This Row],[Min]])))&gt;INDIRECT(ADDRESS(11+MATCH(LEFT(Table7[[#This Row],[Min]],FIND("-",Table7[[#This Row],[Min]])-1),Table1[Content Sku],0),16,1,1,"Entities")),"review","ok"),"ok")</f>
        <v>ok</v>
      </c>
    </row>
    <row r="2474" spans="5:9" x14ac:dyDescent="0.25">
      <c r="E2474" t="s">
        <v>548</v>
      </c>
      <c r="F2474">
        <v>0</v>
      </c>
      <c r="G2474">
        <v>0</v>
      </c>
      <c r="H2474" t="s">
        <v>8</v>
      </c>
      <c r="I2474" s="74" t="str">
        <f ca="1">IF(Table7[[#This Row],[Type]]="KILL",IF(_xlfn.NUMBERVALUE(RIGHT(Table7[[#This Row],[Min]],LEN(Table7[[#This Row],[Min]])-FIND("-",Table7[[#This Row],[Min]])))&gt;INDIRECT(ADDRESS(11+MATCH(LEFT(Table7[[#This Row],[Min]],FIND("-",Table7[[#This Row],[Min]])-1),Table1[Content Sku],0),16,1,1,"Entities")),"review","ok"),"ok")</f>
        <v>ok</v>
      </c>
    </row>
    <row r="2475" spans="5:9" x14ac:dyDescent="0.25">
      <c r="E2475" t="s">
        <v>342</v>
      </c>
      <c r="F2475">
        <v>16000</v>
      </c>
      <c r="G2475">
        <v>0</v>
      </c>
      <c r="H2475" t="s">
        <v>205</v>
      </c>
      <c r="I2475" s="74" t="str">
        <f ca="1">IF(Table7[[#This Row],[Type]]="KILL",IF(_xlfn.NUMBERVALUE(RIGHT(Table7[[#This Row],[Min]],LEN(Table7[[#This Row],[Min]])-FIND("-",Table7[[#This Row],[Min]])))&gt;INDIRECT(ADDRESS(11+MATCH(LEFT(Table7[[#This Row],[Min]],FIND("-",Table7[[#This Row],[Min]])-1),Table1[Content Sku],0),16,1,1,"Entities")),"review","ok"),"ok")</f>
        <v>ok</v>
      </c>
    </row>
    <row r="2476" spans="5:9" x14ac:dyDescent="0.25">
      <c r="E2476" t="s">
        <v>2741</v>
      </c>
      <c r="F2476">
        <v>0</v>
      </c>
      <c r="G2476">
        <v>0</v>
      </c>
      <c r="H2476" t="s">
        <v>8</v>
      </c>
      <c r="I2476" s="74" t="str">
        <f ca="1">IF(Table7[[#This Row],[Type]]="KILL",IF(_xlfn.NUMBERVALUE(RIGHT(Table7[[#This Row],[Min]],LEN(Table7[[#This Row],[Min]])-FIND("-",Table7[[#This Row],[Min]])))&gt;INDIRECT(ADDRESS(11+MATCH(LEFT(Table7[[#This Row],[Min]],FIND("-",Table7[[#This Row],[Min]])-1),Table1[Content Sku],0),16,1,1,"Entities")),"review","ok"),"ok")</f>
        <v>ok</v>
      </c>
    </row>
    <row r="2477" spans="5:9" x14ac:dyDescent="0.25">
      <c r="E2477" t="s">
        <v>46</v>
      </c>
      <c r="F2477">
        <v>0</v>
      </c>
      <c r="G2477">
        <v>0</v>
      </c>
      <c r="H2477" t="s">
        <v>8</v>
      </c>
      <c r="I2477" s="74" t="str">
        <f ca="1">IF(Table7[[#This Row],[Type]]="KILL",IF(_xlfn.NUMBERVALUE(RIGHT(Table7[[#This Row],[Min]],LEN(Table7[[#This Row],[Min]])-FIND("-",Table7[[#This Row],[Min]])))&gt;INDIRECT(ADDRESS(11+MATCH(LEFT(Table7[[#This Row],[Min]],FIND("-",Table7[[#This Row],[Min]])-1),Table1[Content Sku],0),16,1,1,"Entities")),"review","ok"),"ok")</f>
        <v>ok</v>
      </c>
    </row>
    <row r="2478" spans="5:9" x14ac:dyDescent="0.25">
      <c r="E2478" t="s">
        <v>313</v>
      </c>
      <c r="F2478">
        <v>0</v>
      </c>
      <c r="G2478">
        <v>0</v>
      </c>
      <c r="H2478" t="s">
        <v>8</v>
      </c>
      <c r="I2478" s="74" t="str">
        <f ca="1">IF(Table7[[#This Row],[Type]]="KILL",IF(_xlfn.NUMBERVALUE(RIGHT(Table7[[#This Row],[Min]],LEN(Table7[[#This Row],[Min]])-FIND("-",Table7[[#This Row],[Min]])))&gt;INDIRECT(ADDRESS(11+MATCH(LEFT(Table7[[#This Row],[Min]],FIND("-",Table7[[#This Row],[Min]])-1),Table1[Content Sku],0),16,1,1,"Entities")),"review","ok"),"ok")</f>
        <v>ok</v>
      </c>
    </row>
    <row r="2479" spans="5:9" x14ac:dyDescent="0.25">
      <c r="E2479" t="s">
        <v>92</v>
      </c>
      <c r="F2479">
        <v>0</v>
      </c>
      <c r="G2479">
        <v>0</v>
      </c>
      <c r="H2479" t="s">
        <v>8</v>
      </c>
      <c r="I2479" s="74" t="str">
        <f ca="1">IF(Table7[[#This Row],[Type]]="KILL",IF(_xlfn.NUMBERVALUE(RIGHT(Table7[[#This Row],[Min]],LEN(Table7[[#This Row],[Min]])-FIND("-",Table7[[#This Row],[Min]])))&gt;INDIRECT(ADDRESS(11+MATCH(LEFT(Table7[[#This Row],[Min]],FIND("-",Table7[[#This Row],[Min]])-1),Table1[Content Sku],0),16,1,1,"Entities")),"review","ok"),"ok")</f>
        <v>ok</v>
      </c>
    </row>
    <row r="2480" spans="5:9" x14ac:dyDescent="0.25">
      <c r="E2480" t="s">
        <v>545</v>
      </c>
      <c r="F2480">
        <v>0</v>
      </c>
      <c r="G2480">
        <v>0</v>
      </c>
      <c r="H2480" t="s">
        <v>8</v>
      </c>
      <c r="I2480" s="74" t="str">
        <f ca="1">IF(Table7[[#This Row],[Type]]="KILL",IF(_xlfn.NUMBERVALUE(RIGHT(Table7[[#This Row],[Min]],LEN(Table7[[#This Row],[Min]])-FIND("-",Table7[[#This Row],[Min]])))&gt;INDIRECT(ADDRESS(11+MATCH(LEFT(Table7[[#This Row],[Min]],FIND("-",Table7[[#This Row],[Min]])-1),Table1[Content Sku],0),16,1,1,"Entities")),"review","ok"),"ok")</f>
        <v>ok</v>
      </c>
    </row>
    <row r="2481" spans="5:9" x14ac:dyDescent="0.25">
      <c r="E2481" t="s">
        <v>2741</v>
      </c>
      <c r="F2481">
        <v>0</v>
      </c>
      <c r="G2481">
        <v>0</v>
      </c>
      <c r="H2481" t="s">
        <v>8</v>
      </c>
      <c r="I2481" s="74" t="str">
        <f ca="1">IF(Table7[[#This Row],[Type]]="KILL",IF(_xlfn.NUMBERVALUE(RIGHT(Table7[[#This Row],[Min]],LEN(Table7[[#This Row],[Min]])-FIND("-",Table7[[#This Row],[Min]])))&gt;INDIRECT(ADDRESS(11+MATCH(LEFT(Table7[[#This Row],[Min]],FIND("-",Table7[[#This Row],[Min]])-1),Table1[Content Sku],0),16,1,1,"Entities")),"review","ok"),"ok")</f>
        <v>ok</v>
      </c>
    </row>
    <row r="2482" spans="5:9" x14ac:dyDescent="0.25">
      <c r="E2482" t="s">
        <v>2741</v>
      </c>
      <c r="F2482">
        <v>0</v>
      </c>
      <c r="G2482">
        <v>0</v>
      </c>
      <c r="H2482" t="s">
        <v>8</v>
      </c>
      <c r="I2482" s="74" t="str">
        <f ca="1">IF(Table7[[#This Row],[Type]]="KILL",IF(_xlfn.NUMBERVALUE(RIGHT(Table7[[#This Row],[Min]],LEN(Table7[[#This Row],[Min]])-FIND("-",Table7[[#This Row],[Min]])))&gt;INDIRECT(ADDRESS(11+MATCH(LEFT(Table7[[#This Row],[Min]],FIND("-",Table7[[#This Row],[Min]])-1),Table1[Content Sku],0),16,1,1,"Entities")),"review","ok"),"ok")</f>
        <v>ok</v>
      </c>
    </row>
    <row r="2483" spans="5:9" x14ac:dyDescent="0.25">
      <c r="E2483" t="s">
        <v>254</v>
      </c>
      <c r="F2483">
        <v>0</v>
      </c>
      <c r="G2483">
        <v>0</v>
      </c>
      <c r="H2483" t="s">
        <v>8</v>
      </c>
      <c r="I2483" s="74" t="str">
        <f ca="1">IF(Table7[[#This Row],[Type]]="KILL",IF(_xlfn.NUMBERVALUE(RIGHT(Table7[[#This Row],[Min]],LEN(Table7[[#This Row],[Min]])-FIND("-",Table7[[#This Row],[Min]])))&gt;INDIRECT(ADDRESS(11+MATCH(LEFT(Table7[[#This Row],[Min]],FIND("-",Table7[[#This Row],[Min]])-1),Table1[Content Sku],0),16,1,1,"Entities")),"review","ok"),"ok")</f>
        <v>ok</v>
      </c>
    </row>
    <row r="2484" spans="5:9" x14ac:dyDescent="0.25">
      <c r="E2484" t="s">
        <v>8133</v>
      </c>
      <c r="F2484">
        <v>0</v>
      </c>
      <c r="G2484">
        <v>0</v>
      </c>
      <c r="H2484" t="s">
        <v>8</v>
      </c>
      <c r="I2484" s="74" t="str">
        <f ca="1">IF(Table7[[#This Row],[Type]]="KILL",IF(_xlfn.NUMBERVALUE(RIGHT(Table7[[#This Row],[Min]],LEN(Table7[[#This Row],[Min]])-FIND("-",Table7[[#This Row],[Min]])))&gt;INDIRECT(ADDRESS(11+MATCH(LEFT(Table7[[#This Row],[Min]],FIND("-",Table7[[#This Row],[Min]])-1),Table1[Content Sku],0),16,1,1,"Entities")),"review","ok"),"ok")</f>
        <v>ok</v>
      </c>
    </row>
    <row r="2485" spans="5:9" x14ac:dyDescent="0.25">
      <c r="E2485" t="s">
        <v>14</v>
      </c>
      <c r="F2485">
        <v>2800</v>
      </c>
      <c r="G2485">
        <v>0</v>
      </c>
      <c r="H2485" t="s">
        <v>205</v>
      </c>
      <c r="I2485" s="74" t="str">
        <f ca="1">IF(Table7[[#This Row],[Type]]="KILL",IF(_xlfn.NUMBERVALUE(RIGHT(Table7[[#This Row],[Min]],LEN(Table7[[#This Row],[Min]])-FIND("-",Table7[[#This Row],[Min]])))&gt;INDIRECT(ADDRESS(11+MATCH(LEFT(Table7[[#This Row],[Min]],FIND("-",Table7[[#This Row],[Min]])-1),Table1[Content Sku],0),16,1,1,"Entities")),"review","ok"),"ok")</f>
        <v>ok</v>
      </c>
    </row>
    <row r="2486" spans="5:9" x14ac:dyDescent="0.25">
      <c r="E2486" t="s">
        <v>311</v>
      </c>
      <c r="F2486">
        <v>12100</v>
      </c>
      <c r="G2486">
        <v>0</v>
      </c>
      <c r="H2486" t="s">
        <v>205</v>
      </c>
      <c r="I2486" s="74" t="str">
        <f ca="1">IF(Table7[[#This Row],[Type]]="KILL",IF(_xlfn.NUMBERVALUE(RIGHT(Table7[[#This Row],[Min]],LEN(Table7[[#This Row],[Min]])-FIND("-",Table7[[#This Row],[Min]])))&gt;INDIRECT(ADDRESS(11+MATCH(LEFT(Table7[[#This Row],[Min]],FIND("-",Table7[[#This Row],[Min]])-1),Table1[Content Sku],0),16,1,1,"Entities")),"review","ok"),"ok")</f>
        <v>ok</v>
      </c>
    </row>
    <row r="2487" spans="5:9" x14ac:dyDescent="0.25">
      <c r="E2487" t="s">
        <v>313</v>
      </c>
      <c r="F2487">
        <v>0</v>
      </c>
      <c r="G2487">
        <v>0</v>
      </c>
      <c r="H2487" t="s">
        <v>8</v>
      </c>
      <c r="I2487" s="74" t="str">
        <f ca="1">IF(Table7[[#This Row],[Type]]="KILL",IF(_xlfn.NUMBERVALUE(RIGHT(Table7[[#This Row],[Min]],LEN(Table7[[#This Row],[Min]])-FIND("-",Table7[[#This Row],[Min]])))&gt;INDIRECT(ADDRESS(11+MATCH(LEFT(Table7[[#This Row],[Min]],FIND("-",Table7[[#This Row],[Min]])-1),Table1[Content Sku],0),16,1,1,"Entities")),"review","ok"),"ok")</f>
        <v>ok</v>
      </c>
    </row>
    <row r="2488" spans="5:9" x14ac:dyDescent="0.25">
      <c r="E2488" t="s">
        <v>295</v>
      </c>
      <c r="F2488">
        <v>0</v>
      </c>
      <c r="G2488">
        <v>8000</v>
      </c>
      <c r="H2488" t="s">
        <v>205</v>
      </c>
      <c r="I2488" s="74" t="str">
        <f ca="1">IF(Table7[[#This Row],[Type]]="KILL",IF(_xlfn.NUMBERVALUE(RIGHT(Table7[[#This Row],[Min]],LEN(Table7[[#This Row],[Min]])-FIND("-",Table7[[#This Row],[Min]])))&gt;INDIRECT(ADDRESS(11+MATCH(LEFT(Table7[[#This Row],[Min]],FIND("-",Table7[[#This Row],[Min]])-1),Table1[Content Sku],0),16,1,1,"Entities")),"review","ok"),"ok")</f>
        <v>ok</v>
      </c>
    </row>
    <row r="2489" spans="5:9" x14ac:dyDescent="0.25">
      <c r="E2489" t="s">
        <v>313</v>
      </c>
      <c r="F2489">
        <v>0</v>
      </c>
      <c r="G2489">
        <v>0</v>
      </c>
      <c r="H2489" t="s">
        <v>8</v>
      </c>
      <c r="I2489" s="74" t="str">
        <f ca="1">IF(Table7[[#This Row],[Type]]="KILL",IF(_xlfn.NUMBERVALUE(RIGHT(Table7[[#This Row],[Min]],LEN(Table7[[#This Row],[Min]])-FIND("-",Table7[[#This Row],[Min]])))&gt;INDIRECT(ADDRESS(11+MATCH(LEFT(Table7[[#This Row],[Min]],FIND("-",Table7[[#This Row],[Min]])-1),Table1[Content Sku],0),16,1,1,"Entities")),"review","ok"),"ok")</f>
        <v>ok</v>
      </c>
    </row>
    <row r="2490" spans="5:9" x14ac:dyDescent="0.25">
      <c r="E2490" t="s">
        <v>51</v>
      </c>
      <c r="F2490">
        <v>40000</v>
      </c>
      <c r="G2490">
        <v>0</v>
      </c>
      <c r="H2490" t="s">
        <v>205</v>
      </c>
      <c r="I2490" s="74" t="str">
        <f ca="1">IF(Table7[[#This Row],[Type]]="KILL",IF(_xlfn.NUMBERVALUE(RIGHT(Table7[[#This Row],[Min]],LEN(Table7[[#This Row],[Min]])-FIND("-",Table7[[#This Row],[Min]])))&gt;INDIRECT(ADDRESS(11+MATCH(LEFT(Table7[[#This Row],[Min]],FIND("-",Table7[[#This Row],[Min]])-1),Table1[Content Sku],0),16,1,1,"Entities")),"review","ok"),"ok")</f>
        <v>ok</v>
      </c>
    </row>
    <row r="2491" spans="5:9" x14ac:dyDescent="0.25">
      <c r="E2491" t="s">
        <v>2741</v>
      </c>
      <c r="F2491">
        <v>0</v>
      </c>
      <c r="G2491">
        <v>0</v>
      </c>
      <c r="H2491" t="s">
        <v>8</v>
      </c>
      <c r="I2491" s="74" t="str">
        <f ca="1">IF(Table7[[#This Row],[Type]]="KILL",IF(_xlfn.NUMBERVALUE(RIGHT(Table7[[#This Row],[Min]],LEN(Table7[[#This Row],[Min]])-FIND("-",Table7[[#This Row],[Min]])))&gt;INDIRECT(ADDRESS(11+MATCH(LEFT(Table7[[#This Row],[Min]],FIND("-",Table7[[#This Row],[Min]])-1),Table1[Content Sku],0),16,1,1,"Entities")),"review","ok"),"ok")</f>
        <v>ok</v>
      </c>
    </row>
    <row r="2492" spans="5:9" x14ac:dyDescent="0.25">
      <c r="E2492" t="s">
        <v>95</v>
      </c>
      <c r="F2492">
        <v>0</v>
      </c>
      <c r="G2492">
        <v>32000</v>
      </c>
      <c r="H2492" t="s">
        <v>205</v>
      </c>
      <c r="I2492" s="74" t="str">
        <f ca="1">IF(Table7[[#This Row],[Type]]="KILL",IF(_xlfn.NUMBERVALUE(RIGHT(Table7[[#This Row],[Min]],LEN(Table7[[#This Row],[Min]])-FIND("-",Table7[[#This Row],[Min]])))&gt;INDIRECT(ADDRESS(11+MATCH(LEFT(Table7[[#This Row],[Min]],FIND("-",Table7[[#This Row],[Min]])-1),Table1[Content Sku],0),16,1,1,"Entities")),"review","ok"),"ok")</f>
        <v>ok</v>
      </c>
    </row>
    <row r="2493" spans="5:9" x14ac:dyDescent="0.25">
      <c r="E2493" t="s">
        <v>253</v>
      </c>
      <c r="F2493">
        <v>0</v>
      </c>
      <c r="G2493">
        <v>0</v>
      </c>
      <c r="H2493" t="s">
        <v>8</v>
      </c>
      <c r="I2493" s="74" t="str">
        <f ca="1">IF(Table7[[#This Row],[Type]]="KILL",IF(_xlfn.NUMBERVALUE(RIGHT(Table7[[#This Row],[Min]],LEN(Table7[[#This Row],[Min]])-FIND("-",Table7[[#This Row],[Min]])))&gt;INDIRECT(ADDRESS(11+MATCH(LEFT(Table7[[#This Row],[Min]],FIND("-",Table7[[#This Row],[Min]])-1),Table1[Content Sku],0),16,1,1,"Entities")),"review","ok"),"ok")</f>
        <v>ok</v>
      </c>
    </row>
    <row r="2494" spans="5:9" x14ac:dyDescent="0.25">
      <c r="E2494" t="s">
        <v>2766</v>
      </c>
      <c r="F2494">
        <v>0</v>
      </c>
      <c r="G2494">
        <v>0</v>
      </c>
      <c r="H2494" t="s">
        <v>8</v>
      </c>
      <c r="I2494" s="74" t="str">
        <f ca="1">IF(Table7[[#This Row],[Type]]="KILL",IF(_xlfn.NUMBERVALUE(RIGHT(Table7[[#This Row],[Min]],LEN(Table7[[#This Row],[Min]])-FIND("-",Table7[[#This Row],[Min]])))&gt;INDIRECT(ADDRESS(11+MATCH(LEFT(Table7[[#This Row],[Min]],FIND("-",Table7[[#This Row],[Min]])-1),Table1[Content Sku],0),16,1,1,"Entities")),"review","ok"),"ok")</f>
        <v>ok</v>
      </c>
    </row>
    <row r="2495" spans="5:9" x14ac:dyDescent="0.25">
      <c r="E2495" t="s">
        <v>318</v>
      </c>
      <c r="F2495">
        <v>28000</v>
      </c>
      <c r="G2495">
        <v>38000</v>
      </c>
      <c r="H2495" t="s">
        <v>205</v>
      </c>
      <c r="I2495" s="74" t="str">
        <f ca="1">IF(Table7[[#This Row],[Type]]="KILL",IF(_xlfn.NUMBERVALUE(RIGHT(Table7[[#This Row],[Min]],LEN(Table7[[#This Row],[Min]])-FIND("-",Table7[[#This Row],[Min]])))&gt;INDIRECT(ADDRESS(11+MATCH(LEFT(Table7[[#This Row],[Min]],FIND("-",Table7[[#This Row],[Min]])-1),Table1[Content Sku],0),16,1,1,"Entities")),"review","ok"),"ok")</f>
        <v>ok</v>
      </c>
    </row>
    <row r="2496" spans="5:9" x14ac:dyDescent="0.25">
      <c r="E2496" t="s">
        <v>8133</v>
      </c>
      <c r="F2496">
        <v>0</v>
      </c>
      <c r="G2496">
        <v>0</v>
      </c>
      <c r="H2496" t="s">
        <v>8</v>
      </c>
      <c r="I2496" s="74" t="str">
        <f ca="1">IF(Table7[[#This Row],[Type]]="KILL",IF(_xlfn.NUMBERVALUE(RIGHT(Table7[[#This Row],[Min]],LEN(Table7[[#This Row],[Min]])-FIND("-",Table7[[#This Row],[Min]])))&gt;INDIRECT(ADDRESS(11+MATCH(LEFT(Table7[[#This Row],[Min]],FIND("-",Table7[[#This Row],[Min]])-1),Table1[Content Sku],0),16,1,1,"Entities")),"review","ok"),"ok")</f>
        <v>ok</v>
      </c>
    </row>
    <row r="2497" spans="5:9" x14ac:dyDescent="0.25">
      <c r="E2497" t="s">
        <v>90</v>
      </c>
      <c r="F2497">
        <v>0</v>
      </c>
      <c r="G2497">
        <v>0</v>
      </c>
      <c r="H2497" t="s">
        <v>8</v>
      </c>
      <c r="I2497" s="74" t="str">
        <f ca="1">IF(Table7[[#This Row],[Type]]="KILL",IF(_xlfn.NUMBERVALUE(RIGHT(Table7[[#This Row],[Min]],LEN(Table7[[#This Row],[Min]])-FIND("-",Table7[[#This Row],[Min]])))&gt;INDIRECT(ADDRESS(11+MATCH(LEFT(Table7[[#This Row],[Min]],FIND("-",Table7[[#This Row],[Min]])-1),Table1[Content Sku],0),16,1,1,"Entities")),"review","ok"),"ok")</f>
        <v>ok</v>
      </c>
    </row>
    <row r="2498" spans="5:9" x14ac:dyDescent="0.25">
      <c r="E2498" t="s">
        <v>39</v>
      </c>
      <c r="F2498">
        <v>0</v>
      </c>
      <c r="G2498">
        <v>0</v>
      </c>
      <c r="H2498" t="s">
        <v>8</v>
      </c>
      <c r="I2498" s="74" t="str">
        <f ca="1">IF(Table7[[#This Row],[Type]]="KILL",IF(_xlfn.NUMBERVALUE(RIGHT(Table7[[#This Row],[Min]],LEN(Table7[[#This Row],[Min]])-FIND("-",Table7[[#This Row],[Min]])))&gt;INDIRECT(ADDRESS(11+MATCH(LEFT(Table7[[#This Row],[Min]],FIND("-",Table7[[#This Row],[Min]])-1),Table1[Content Sku],0),16,1,1,"Entities")),"review","ok"),"ok")</f>
        <v>ok</v>
      </c>
    </row>
    <row r="2499" spans="5:9" x14ac:dyDescent="0.25">
      <c r="E2499" t="s">
        <v>2741</v>
      </c>
      <c r="F2499">
        <v>0</v>
      </c>
      <c r="G2499">
        <v>0</v>
      </c>
      <c r="H2499" t="s">
        <v>8</v>
      </c>
      <c r="I2499" s="74" t="str">
        <f ca="1">IF(Table7[[#This Row],[Type]]="KILL",IF(_xlfn.NUMBERVALUE(RIGHT(Table7[[#This Row],[Min]],LEN(Table7[[#This Row],[Min]])-FIND("-",Table7[[#This Row],[Min]])))&gt;INDIRECT(ADDRESS(11+MATCH(LEFT(Table7[[#This Row],[Min]],FIND("-",Table7[[#This Row],[Min]])-1),Table1[Content Sku],0),16,1,1,"Entities")),"review","ok"),"ok")</f>
        <v>ok</v>
      </c>
    </row>
    <row r="2500" spans="5:9" x14ac:dyDescent="0.25">
      <c r="E2500" t="s">
        <v>46</v>
      </c>
      <c r="F2500">
        <v>0</v>
      </c>
      <c r="G2500">
        <v>0</v>
      </c>
      <c r="H2500" t="s">
        <v>8</v>
      </c>
      <c r="I2500" s="74" t="str">
        <f ca="1">IF(Table7[[#This Row],[Type]]="KILL",IF(_xlfn.NUMBERVALUE(RIGHT(Table7[[#This Row],[Min]],LEN(Table7[[#This Row],[Min]])-FIND("-",Table7[[#This Row],[Min]])))&gt;INDIRECT(ADDRESS(11+MATCH(LEFT(Table7[[#This Row],[Min]],FIND("-",Table7[[#This Row],[Min]])-1),Table1[Content Sku],0),16,1,1,"Entities")),"review","ok"),"ok")</f>
        <v>ok</v>
      </c>
    </row>
    <row r="2501" spans="5:9" x14ac:dyDescent="0.25">
      <c r="E2501" t="s">
        <v>273</v>
      </c>
      <c r="F2501">
        <v>16100</v>
      </c>
      <c r="G2501">
        <v>0</v>
      </c>
      <c r="H2501" t="s">
        <v>205</v>
      </c>
      <c r="I2501" s="74" t="str">
        <f ca="1">IF(Table7[[#This Row],[Type]]="KILL",IF(_xlfn.NUMBERVALUE(RIGHT(Table7[[#This Row],[Min]],LEN(Table7[[#This Row],[Min]])-FIND("-",Table7[[#This Row],[Min]])))&gt;INDIRECT(ADDRESS(11+MATCH(LEFT(Table7[[#This Row],[Min]],FIND("-",Table7[[#This Row],[Min]])-1),Table1[Content Sku],0),16,1,1,"Entities")),"review","ok"),"ok")</f>
        <v>ok</v>
      </c>
    </row>
    <row r="2502" spans="5:9" x14ac:dyDescent="0.25">
      <c r="E2502" t="s">
        <v>40</v>
      </c>
      <c r="F2502">
        <v>23000</v>
      </c>
      <c r="G2502">
        <v>0</v>
      </c>
      <c r="H2502" t="s">
        <v>205</v>
      </c>
      <c r="I2502" s="74" t="str">
        <f ca="1">IF(Table7[[#This Row],[Type]]="KILL",IF(_xlfn.NUMBERVALUE(RIGHT(Table7[[#This Row],[Min]],LEN(Table7[[#This Row],[Min]])-FIND("-",Table7[[#This Row],[Min]])))&gt;INDIRECT(ADDRESS(11+MATCH(LEFT(Table7[[#This Row],[Min]],FIND("-",Table7[[#This Row],[Min]])-1),Table1[Content Sku],0),16,1,1,"Entities")),"review","ok"),"ok")</f>
        <v>ok</v>
      </c>
    </row>
    <row r="2503" spans="5:9" x14ac:dyDescent="0.25">
      <c r="E2503" t="s">
        <v>253</v>
      </c>
      <c r="F2503">
        <v>0</v>
      </c>
      <c r="G2503">
        <v>0</v>
      </c>
      <c r="H2503" t="s">
        <v>8</v>
      </c>
      <c r="I2503" s="74" t="str">
        <f ca="1">IF(Table7[[#This Row],[Type]]="KILL",IF(_xlfn.NUMBERVALUE(RIGHT(Table7[[#This Row],[Min]],LEN(Table7[[#This Row],[Min]])-FIND("-",Table7[[#This Row],[Min]])))&gt;INDIRECT(ADDRESS(11+MATCH(LEFT(Table7[[#This Row],[Min]],FIND("-",Table7[[#This Row],[Min]])-1),Table1[Content Sku],0),16,1,1,"Entities")),"review","ok"),"ok")</f>
        <v>ok</v>
      </c>
    </row>
    <row r="2504" spans="5:9" x14ac:dyDescent="0.25">
      <c r="E2504" t="s">
        <v>313</v>
      </c>
      <c r="F2504">
        <v>0</v>
      </c>
      <c r="G2504">
        <v>24000</v>
      </c>
      <c r="H2504" t="s">
        <v>205</v>
      </c>
      <c r="I2504" s="74" t="str">
        <f ca="1">IF(Table7[[#This Row],[Type]]="KILL",IF(_xlfn.NUMBERVALUE(RIGHT(Table7[[#This Row],[Min]],LEN(Table7[[#This Row],[Min]])-FIND("-",Table7[[#This Row],[Min]])))&gt;INDIRECT(ADDRESS(11+MATCH(LEFT(Table7[[#This Row],[Min]],FIND("-",Table7[[#This Row],[Min]])-1),Table1[Content Sku],0),16,1,1,"Entities")),"review","ok"),"ok")</f>
        <v>ok</v>
      </c>
    </row>
    <row r="2505" spans="5:9" x14ac:dyDescent="0.25">
      <c r="E2505" t="s">
        <v>39</v>
      </c>
      <c r="F2505">
        <v>0</v>
      </c>
      <c r="G2505">
        <v>0</v>
      </c>
      <c r="H2505" t="s">
        <v>8</v>
      </c>
      <c r="I2505" s="74" t="str">
        <f ca="1">IF(Table7[[#This Row],[Type]]="KILL",IF(_xlfn.NUMBERVALUE(RIGHT(Table7[[#This Row],[Min]],LEN(Table7[[#This Row],[Min]])-FIND("-",Table7[[#This Row],[Min]])))&gt;INDIRECT(ADDRESS(11+MATCH(LEFT(Table7[[#This Row],[Min]],FIND("-",Table7[[#This Row],[Min]])-1),Table1[Content Sku],0),16,1,1,"Entities")),"review","ok"),"ok")</f>
        <v>ok</v>
      </c>
    </row>
    <row r="2506" spans="5:9" x14ac:dyDescent="0.25">
      <c r="E2506" t="s">
        <v>2736</v>
      </c>
      <c r="F2506">
        <v>0</v>
      </c>
      <c r="G2506">
        <v>0</v>
      </c>
      <c r="H2506" t="s">
        <v>8</v>
      </c>
      <c r="I2506" s="74" t="str">
        <f ca="1">IF(Table7[[#This Row],[Type]]="KILL",IF(_xlfn.NUMBERVALUE(RIGHT(Table7[[#This Row],[Min]],LEN(Table7[[#This Row],[Min]])-FIND("-",Table7[[#This Row],[Min]])))&gt;INDIRECT(ADDRESS(11+MATCH(LEFT(Table7[[#This Row],[Min]],FIND("-",Table7[[#This Row],[Min]])-1),Table1[Content Sku],0),16,1,1,"Entities")),"review","ok"),"ok")</f>
        <v>ok</v>
      </c>
    </row>
    <row r="2507" spans="5:9" x14ac:dyDescent="0.25">
      <c r="E2507" t="s">
        <v>318</v>
      </c>
      <c r="F2507">
        <v>240</v>
      </c>
      <c r="G2507">
        <v>0</v>
      </c>
      <c r="H2507" t="s">
        <v>4431</v>
      </c>
      <c r="I2507" s="74" t="str">
        <f ca="1">IF(Table7[[#This Row],[Type]]="KILL",IF(_xlfn.NUMBERVALUE(RIGHT(Table7[[#This Row],[Min]],LEN(Table7[[#This Row],[Min]])-FIND("-",Table7[[#This Row],[Min]])))&gt;INDIRECT(ADDRESS(11+MATCH(LEFT(Table7[[#This Row],[Min]],FIND("-",Table7[[#This Row],[Min]])-1),Table1[Content Sku],0),16,1,1,"Entities")),"review","ok"),"ok")</f>
        <v>ok</v>
      </c>
    </row>
    <row r="2508" spans="5:9" x14ac:dyDescent="0.25">
      <c r="E2508" t="s">
        <v>43</v>
      </c>
      <c r="F2508">
        <v>330</v>
      </c>
      <c r="G2508">
        <v>0</v>
      </c>
      <c r="H2508" t="s">
        <v>4431</v>
      </c>
      <c r="I2508" s="74" t="str">
        <f ca="1">IF(Table7[[#This Row],[Type]]="KILL",IF(_xlfn.NUMBERVALUE(RIGHT(Table7[[#This Row],[Min]],LEN(Table7[[#This Row],[Min]])-FIND("-",Table7[[#This Row],[Min]])))&gt;INDIRECT(ADDRESS(11+MATCH(LEFT(Table7[[#This Row],[Min]],FIND("-",Table7[[#This Row],[Min]])-1),Table1[Content Sku],0),16,1,1,"Entities")),"review","ok"),"ok")</f>
        <v>ok</v>
      </c>
    </row>
    <row r="2509" spans="5:9" x14ac:dyDescent="0.25">
      <c r="E2509" t="s">
        <v>545</v>
      </c>
      <c r="F2509">
        <v>0</v>
      </c>
      <c r="G2509">
        <v>0</v>
      </c>
      <c r="H2509" t="s">
        <v>8</v>
      </c>
      <c r="I2509" s="74" t="str">
        <f ca="1">IF(Table7[[#This Row],[Type]]="KILL",IF(_xlfn.NUMBERVALUE(RIGHT(Table7[[#This Row],[Min]],LEN(Table7[[#This Row],[Min]])-FIND("-",Table7[[#This Row],[Min]])))&gt;INDIRECT(ADDRESS(11+MATCH(LEFT(Table7[[#This Row],[Min]],FIND("-",Table7[[#This Row],[Min]])-1),Table1[Content Sku],0),16,1,1,"Entities")),"review","ok"),"ok")</f>
        <v>ok</v>
      </c>
    </row>
    <row r="2510" spans="5:9" x14ac:dyDescent="0.25">
      <c r="E2510" t="s">
        <v>333</v>
      </c>
      <c r="F2510">
        <v>0</v>
      </c>
      <c r="G2510">
        <v>0</v>
      </c>
      <c r="H2510" t="s">
        <v>8</v>
      </c>
      <c r="I2510" s="74" t="str">
        <f ca="1">IF(Table7[[#This Row],[Type]]="KILL",IF(_xlfn.NUMBERVALUE(RIGHT(Table7[[#This Row],[Min]],LEN(Table7[[#This Row],[Min]])-FIND("-",Table7[[#This Row],[Min]])))&gt;INDIRECT(ADDRESS(11+MATCH(LEFT(Table7[[#This Row],[Min]],FIND("-",Table7[[#This Row],[Min]])-1),Table1[Content Sku],0),16,1,1,"Entities")),"review","ok"),"ok")</f>
        <v>ok</v>
      </c>
    </row>
    <row r="2511" spans="5:9" x14ac:dyDescent="0.25">
      <c r="E2511" t="s">
        <v>295</v>
      </c>
      <c r="F2511">
        <v>0</v>
      </c>
      <c r="G2511">
        <v>17000</v>
      </c>
      <c r="H2511" t="s">
        <v>205</v>
      </c>
      <c r="I2511" s="74" t="str">
        <f ca="1">IF(Table7[[#This Row],[Type]]="KILL",IF(_xlfn.NUMBERVALUE(RIGHT(Table7[[#This Row],[Min]],LEN(Table7[[#This Row],[Min]])-FIND("-",Table7[[#This Row],[Min]])))&gt;INDIRECT(ADDRESS(11+MATCH(LEFT(Table7[[#This Row],[Min]],FIND("-",Table7[[#This Row],[Min]])-1),Table1[Content Sku],0),16,1,1,"Entities")),"review","ok"),"ok")</f>
        <v>ok</v>
      </c>
    </row>
    <row r="2512" spans="5:9" x14ac:dyDescent="0.25">
      <c r="E2512" t="s">
        <v>313</v>
      </c>
      <c r="F2512">
        <v>0</v>
      </c>
      <c r="G2512">
        <v>0</v>
      </c>
      <c r="H2512" t="s">
        <v>8</v>
      </c>
      <c r="I2512" s="74" t="str">
        <f ca="1">IF(Table7[[#This Row],[Type]]="KILL",IF(_xlfn.NUMBERVALUE(RIGHT(Table7[[#This Row],[Min]],LEN(Table7[[#This Row],[Min]])-FIND("-",Table7[[#This Row],[Min]])))&gt;INDIRECT(ADDRESS(11+MATCH(LEFT(Table7[[#This Row],[Min]],FIND("-",Table7[[#This Row],[Min]])-1),Table1[Content Sku],0),16,1,1,"Entities")),"review","ok"),"ok")</f>
        <v>ok</v>
      </c>
    </row>
    <row r="2513" spans="5:9" x14ac:dyDescent="0.25">
      <c r="E2513" t="s">
        <v>8133</v>
      </c>
      <c r="F2513">
        <v>0</v>
      </c>
      <c r="G2513">
        <v>0</v>
      </c>
      <c r="H2513" t="s">
        <v>8</v>
      </c>
      <c r="I2513" s="74" t="str">
        <f ca="1">IF(Table7[[#This Row],[Type]]="KILL",IF(_xlfn.NUMBERVALUE(RIGHT(Table7[[#This Row],[Min]],LEN(Table7[[#This Row],[Min]])-FIND("-",Table7[[#This Row],[Min]])))&gt;INDIRECT(ADDRESS(11+MATCH(LEFT(Table7[[#This Row],[Min]],FIND("-",Table7[[#This Row],[Min]])-1),Table1[Content Sku],0),16,1,1,"Entities")),"review","ok"),"ok")</f>
        <v>ok</v>
      </c>
    </row>
    <row r="2514" spans="5:9" x14ac:dyDescent="0.25">
      <c r="E2514" t="s">
        <v>393</v>
      </c>
      <c r="F2514">
        <v>0</v>
      </c>
      <c r="G2514">
        <v>0</v>
      </c>
      <c r="H2514" t="s">
        <v>8</v>
      </c>
      <c r="I2514" s="74" t="str">
        <f ca="1">IF(Table7[[#This Row],[Type]]="KILL",IF(_xlfn.NUMBERVALUE(RIGHT(Table7[[#This Row],[Min]],LEN(Table7[[#This Row],[Min]])-FIND("-",Table7[[#This Row],[Min]])))&gt;INDIRECT(ADDRESS(11+MATCH(LEFT(Table7[[#This Row],[Min]],FIND("-",Table7[[#This Row],[Min]])-1),Table1[Content Sku],0),16,1,1,"Entities")),"review","ok"),"ok")</f>
        <v>ok</v>
      </c>
    </row>
    <row r="2515" spans="5:9" x14ac:dyDescent="0.25">
      <c r="E2515" t="s">
        <v>254</v>
      </c>
      <c r="F2515">
        <v>0</v>
      </c>
      <c r="G2515">
        <v>0</v>
      </c>
      <c r="H2515" t="s">
        <v>8</v>
      </c>
      <c r="I2515" s="74" t="str">
        <f ca="1">IF(Table7[[#This Row],[Type]]="KILL",IF(_xlfn.NUMBERVALUE(RIGHT(Table7[[#This Row],[Min]],LEN(Table7[[#This Row],[Min]])-FIND("-",Table7[[#This Row],[Min]])))&gt;INDIRECT(ADDRESS(11+MATCH(LEFT(Table7[[#This Row],[Min]],FIND("-",Table7[[#This Row],[Min]])-1),Table1[Content Sku],0),16,1,1,"Entities")),"review","ok"),"ok")</f>
        <v>ok</v>
      </c>
    </row>
    <row r="2516" spans="5:9" x14ac:dyDescent="0.25">
      <c r="E2516" t="s">
        <v>2736</v>
      </c>
      <c r="F2516">
        <v>0</v>
      </c>
      <c r="G2516">
        <v>0</v>
      </c>
      <c r="H2516" t="s">
        <v>8</v>
      </c>
      <c r="I2516" s="74" t="str">
        <f ca="1">IF(Table7[[#This Row],[Type]]="KILL",IF(_xlfn.NUMBERVALUE(RIGHT(Table7[[#This Row],[Min]],LEN(Table7[[#This Row],[Min]])-FIND("-",Table7[[#This Row],[Min]])))&gt;INDIRECT(ADDRESS(11+MATCH(LEFT(Table7[[#This Row],[Min]],FIND("-",Table7[[#This Row],[Min]])-1),Table1[Content Sku],0),16,1,1,"Entities")),"review","ok"),"ok")</f>
        <v>ok</v>
      </c>
    </row>
    <row r="2517" spans="5:9" x14ac:dyDescent="0.25">
      <c r="E2517" t="s">
        <v>2766</v>
      </c>
      <c r="F2517">
        <v>120</v>
      </c>
      <c r="G2517">
        <v>0</v>
      </c>
      <c r="H2517" t="s">
        <v>4431</v>
      </c>
      <c r="I2517" s="74" t="str">
        <f ca="1">IF(Table7[[#This Row],[Type]]="KILL",IF(_xlfn.NUMBERVALUE(RIGHT(Table7[[#This Row],[Min]],LEN(Table7[[#This Row],[Min]])-FIND("-",Table7[[#This Row],[Min]])))&gt;INDIRECT(ADDRESS(11+MATCH(LEFT(Table7[[#This Row],[Min]],FIND("-",Table7[[#This Row],[Min]])-1),Table1[Content Sku],0),16,1,1,"Entities")),"review","ok"),"ok")</f>
        <v>ok</v>
      </c>
    </row>
    <row r="2518" spans="5:9" x14ac:dyDescent="0.25">
      <c r="E2518" t="s">
        <v>254</v>
      </c>
      <c r="F2518">
        <v>0</v>
      </c>
      <c r="G2518">
        <v>0</v>
      </c>
      <c r="H2518" t="s">
        <v>8</v>
      </c>
      <c r="I2518" s="74" t="str">
        <f ca="1">IF(Table7[[#This Row],[Type]]="KILL",IF(_xlfn.NUMBERVALUE(RIGHT(Table7[[#This Row],[Min]],LEN(Table7[[#This Row],[Min]])-FIND("-",Table7[[#This Row],[Min]])))&gt;INDIRECT(ADDRESS(11+MATCH(LEFT(Table7[[#This Row],[Min]],FIND("-",Table7[[#This Row],[Min]])-1),Table1[Content Sku],0),16,1,1,"Entities")),"review","ok"),"ok")</f>
        <v>ok</v>
      </c>
    </row>
    <row r="2519" spans="5:9" x14ac:dyDescent="0.25">
      <c r="E2519" t="s">
        <v>545</v>
      </c>
      <c r="F2519">
        <v>0</v>
      </c>
      <c r="G2519">
        <v>0</v>
      </c>
      <c r="H2519" t="s">
        <v>8</v>
      </c>
      <c r="I2519" s="74" t="str">
        <f ca="1">IF(Table7[[#This Row],[Type]]="KILL",IF(_xlfn.NUMBERVALUE(RIGHT(Table7[[#This Row],[Min]],LEN(Table7[[#This Row],[Min]])-FIND("-",Table7[[#This Row],[Min]])))&gt;INDIRECT(ADDRESS(11+MATCH(LEFT(Table7[[#This Row],[Min]],FIND("-",Table7[[#This Row],[Min]])-1),Table1[Content Sku],0),16,1,1,"Entities")),"review","ok"),"ok")</f>
        <v>ok</v>
      </c>
    </row>
    <row r="2520" spans="5:9" x14ac:dyDescent="0.25">
      <c r="E2520" t="s">
        <v>313</v>
      </c>
      <c r="F2520">
        <v>4200</v>
      </c>
      <c r="G2520">
        <v>0</v>
      </c>
      <c r="H2520" t="s">
        <v>205</v>
      </c>
      <c r="I2520" s="74" t="str">
        <f ca="1">IF(Table7[[#This Row],[Type]]="KILL",IF(_xlfn.NUMBERVALUE(RIGHT(Table7[[#This Row],[Min]],LEN(Table7[[#This Row],[Min]])-FIND("-",Table7[[#This Row],[Min]])))&gt;INDIRECT(ADDRESS(11+MATCH(LEFT(Table7[[#This Row],[Min]],FIND("-",Table7[[#This Row],[Min]])-1),Table1[Content Sku],0),16,1,1,"Entities")),"review","ok"),"ok")</f>
        <v>ok</v>
      </c>
    </row>
    <row r="2521" spans="5:9" x14ac:dyDescent="0.25">
      <c r="E2521" t="s">
        <v>254</v>
      </c>
      <c r="F2521">
        <v>0</v>
      </c>
      <c r="G2521">
        <v>0</v>
      </c>
      <c r="H2521" t="s">
        <v>8</v>
      </c>
      <c r="I2521" s="74" t="str">
        <f ca="1">IF(Table7[[#This Row],[Type]]="KILL",IF(_xlfn.NUMBERVALUE(RIGHT(Table7[[#This Row],[Min]],LEN(Table7[[#This Row],[Min]])-FIND("-",Table7[[#This Row],[Min]])))&gt;INDIRECT(ADDRESS(11+MATCH(LEFT(Table7[[#This Row],[Min]],FIND("-",Table7[[#This Row],[Min]])-1),Table1[Content Sku],0),16,1,1,"Entities")),"review","ok"),"ok")</f>
        <v>ok</v>
      </c>
    </row>
    <row r="2522" spans="5:9" x14ac:dyDescent="0.25">
      <c r="E2522" t="s">
        <v>8103</v>
      </c>
      <c r="F2522">
        <v>50000</v>
      </c>
      <c r="G2522">
        <v>0</v>
      </c>
      <c r="H2522" t="s">
        <v>205</v>
      </c>
      <c r="I2522" s="74" t="str">
        <f ca="1">IF(Table7[[#This Row],[Type]]="KILL",IF(_xlfn.NUMBERVALUE(RIGHT(Table7[[#This Row],[Min]],LEN(Table7[[#This Row],[Min]])-FIND("-",Table7[[#This Row],[Min]])))&gt;INDIRECT(ADDRESS(11+MATCH(LEFT(Table7[[#This Row],[Min]],FIND("-",Table7[[#This Row],[Min]])-1),Table1[Content Sku],0),16,1,1,"Entities")),"review","ok"),"ok")</f>
        <v>ok</v>
      </c>
    </row>
    <row r="2523" spans="5:9" x14ac:dyDescent="0.25">
      <c r="E2523" t="s">
        <v>2741</v>
      </c>
      <c r="F2523">
        <v>0</v>
      </c>
      <c r="G2523">
        <v>0</v>
      </c>
      <c r="H2523" t="s">
        <v>8</v>
      </c>
      <c r="I2523" s="74" t="str">
        <f ca="1">IF(Table7[[#This Row],[Type]]="KILL",IF(_xlfn.NUMBERVALUE(RIGHT(Table7[[#This Row],[Min]],LEN(Table7[[#This Row],[Min]])-FIND("-",Table7[[#This Row],[Min]])))&gt;INDIRECT(ADDRESS(11+MATCH(LEFT(Table7[[#This Row],[Min]],FIND("-",Table7[[#This Row],[Min]])-1),Table1[Content Sku],0),16,1,1,"Entities")),"review","ok"),"ok")</f>
        <v>ok</v>
      </c>
    </row>
    <row r="2524" spans="5:9" x14ac:dyDescent="0.25">
      <c r="E2524" t="s">
        <v>2741</v>
      </c>
      <c r="F2524">
        <v>0</v>
      </c>
      <c r="G2524">
        <v>0</v>
      </c>
      <c r="H2524" t="s">
        <v>8</v>
      </c>
      <c r="I2524" s="74" t="str">
        <f ca="1">IF(Table7[[#This Row],[Type]]="KILL",IF(_xlfn.NUMBERVALUE(RIGHT(Table7[[#This Row],[Min]],LEN(Table7[[#This Row],[Min]])-FIND("-",Table7[[#This Row],[Min]])))&gt;INDIRECT(ADDRESS(11+MATCH(LEFT(Table7[[#This Row],[Min]],FIND("-",Table7[[#This Row],[Min]])-1),Table1[Content Sku],0),16,1,1,"Entities")),"review","ok"),"ok")</f>
        <v>ok</v>
      </c>
    </row>
    <row r="2525" spans="5:9" x14ac:dyDescent="0.25">
      <c r="E2525" t="s">
        <v>340</v>
      </c>
      <c r="F2525">
        <v>0</v>
      </c>
      <c r="G2525">
        <v>0</v>
      </c>
      <c r="H2525" t="s">
        <v>8</v>
      </c>
      <c r="I2525" s="74" t="str">
        <f ca="1">IF(Table7[[#This Row],[Type]]="KILL",IF(_xlfn.NUMBERVALUE(RIGHT(Table7[[#This Row],[Min]],LEN(Table7[[#This Row],[Min]])-FIND("-",Table7[[#This Row],[Min]])))&gt;INDIRECT(ADDRESS(11+MATCH(LEFT(Table7[[#This Row],[Min]],FIND("-",Table7[[#This Row],[Min]])-1),Table1[Content Sku],0),16,1,1,"Entities")),"review","ok"),"ok")</f>
        <v>ok</v>
      </c>
    </row>
    <row r="2526" spans="5:9" x14ac:dyDescent="0.25">
      <c r="E2526" t="s">
        <v>4430</v>
      </c>
      <c r="F2526">
        <v>0</v>
      </c>
      <c r="G2526">
        <v>0</v>
      </c>
      <c r="H2526" t="s">
        <v>8</v>
      </c>
      <c r="I2526" s="74" t="str">
        <f ca="1">IF(Table7[[#This Row],[Type]]="KILL",IF(_xlfn.NUMBERVALUE(RIGHT(Table7[[#This Row],[Min]],LEN(Table7[[#This Row],[Min]])-FIND("-",Table7[[#This Row],[Min]])))&gt;INDIRECT(ADDRESS(11+MATCH(LEFT(Table7[[#This Row],[Min]],FIND("-",Table7[[#This Row],[Min]])-1),Table1[Content Sku],0),16,1,1,"Entities")),"review","ok"),"ok")</f>
        <v>ok</v>
      </c>
    </row>
    <row r="2527" spans="5:9" x14ac:dyDescent="0.25">
      <c r="E2527" t="s">
        <v>344</v>
      </c>
      <c r="F2527">
        <v>0</v>
      </c>
      <c r="G2527">
        <v>8000</v>
      </c>
      <c r="H2527" t="s">
        <v>205</v>
      </c>
      <c r="I2527" s="74" t="str">
        <f ca="1">IF(Table7[[#This Row],[Type]]="KILL",IF(_xlfn.NUMBERVALUE(RIGHT(Table7[[#This Row],[Min]],LEN(Table7[[#This Row],[Min]])-FIND("-",Table7[[#This Row],[Min]])))&gt;INDIRECT(ADDRESS(11+MATCH(LEFT(Table7[[#This Row],[Min]],FIND("-",Table7[[#This Row],[Min]])-1),Table1[Content Sku],0),16,1,1,"Entities")),"review","ok"),"ok")</f>
        <v>ok</v>
      </c>
    </row>
    <row r="2528" spans="5:9" x14ac:dyDescent="0.25">
      <c r="E2528" t="s">
        <v>8133</v>
      </c>
      <c r="F2528">
        <v>0</v>
      </c>
      <c r="G2528">
        <v>0</v>
      </c>
      <c r="H2528" t="s">
        <v>8</v>
      </c>
      <c r="I2528" s="74" t="str">
        <f ca="1">IF(Table7[[#This Row],[Type]]="KILL",IF(_xlfn.NUMBERVALUE(RIGHT(Table7[[#This Row],[Min]],LEN(Table7[[#This Row],[Min]])-FIND("-",Table7[[#This Row],[Min]])))&gt;INDIRECT(ADDRESS(11+MATCH(LEFT(Table7[[#This Row],[Min]],FIND("-",Table7[[#This Row],[Min]])-1),Table1[Content Sku],0),16,1,1,"Entities")),"review","ok"),"ok")</f>
        <v>ok</v>
      </c>
    </row>
    <row r="2529" spans="5:9" x14ac:dyDescent="0.25">
      <c r="E2529" t="s">
        <v>254</v>
      </c>
      <c r="F2529">
        <v>0</v>
      </c>
      <c r="G2529">
        <v>0</v>
      </c>
      <c r="H2529" t="s">
        <v>8</v>
      </c>
      <c r="I2529" s="74" t="str">
        <f ca="1">IF(Table7[[#This Row],[Type]]="KILL",IF(_xlfn.NUMBERVALUE(RIGHT(Table7[[#This Row],[Min]],LEN(Table7[[#This Row],[Min]])-FIND("-",Table7[[#This Row],[Min]])))&gt;INDIRECT(ADDRESS(11+MATCH(LEFT(Table7[[#This Row],[Min]],FIND("-",Table7[[#This Row],[Min]])-1),Table1[Content Sku],0),16,1,1,"Entities")),"review","ok"),"ok")</f>
        <v>ok</v>
      </c>
    </row>
    <row r="2530" spans="5:9" x14ac:dyDescent="0.25">
      <c r="E2530" t="s">
        <v>295</v>
      </c>
      <c r="F2530">
        <v>0</v>
      </c>
      <c r="G2530">
        <v>0</v>
      </c>
      <c r="H2530" t="s">
        <v>8</v>
      </c>
      <c r="I2530" s="74" t="str">
        <f ca="1">IF(Table7[[#This Row],[Type]]="KILL",IF(_xlfn.NUMBERVALUE(RIGHT(Table7[[#This Row],[Min]],LEN(Table7[[#This Row],[Min]])-FIND("-",Table7[[#This Row],[Min]])))&gt;INDIRECT(ADDRESS(11+MATCH(LEFT(Table7[[#This Row],[Min]],FIND("-",Table7[[#This Row],[Min]])-1),Table1[Content Sku],0),16,1,1,"Entities")),"review","ok"),"ok")</f>
        <v>ok</v>
      </c>
    </row>
    <row r="2531" spans="5:9" x14ac:dyDescent="0.25">
      <c r="E2531" t="s">
        <v>10</v>
      </c>
      <c r="F2531">
        <v>16000</v>
      </c>
      <c r="G2531">
        <v>0</v>
      </c>
      <c r="H2531" t="s">
        <v>205</v>
      </c>
      <c r="I2531" s="74" t="str">
        <f ca="1">IF(Table7[[#This Row],[Type]]="KILL",IF(_xlfn.NUMBERVALUE(RIGHT(Table7[[#This Row],[Min]],LEN(Table7[[#This Row],[Min]])-FIND("-",Table7[[#This Row],[Min]])))&gt;INDIRECT(ADDRESS(11+MATCH(LEFT(Table7[[#This Row],[Min]],FIND("-",Table7[[#This Row],[Min]])-1),Table1[Content Sku],0),16,1,1,"Entities")),"review","ok"),"ok")</f>
        <v>ok</v>
      </c>
    </row>
    <row r="2532" spans="5:9" x14ac:dyDescent="0.25">
      <c r="E2532" t="s">
        <v>403</v>
      </c>
      <c r="F2532">
        <v>0</v>
      </c>
      <c r="G2532">
        <v>0</v>
      </c>
      <c r="H2532" t="s">
        <v>8</v>
      </c>
      <c r="I2532" s="74" t="str">
        <f ca="1">IF(Table7[[#This Row],[Type]]="KILL",IF(_xlfn.NUMBERVALUE(RIGHT(Table7[[#This Row],[Min]],LEN(Table7[[#This Row],[Min]])-FIND("-",Table7[[#This Row],[Min]])))&gt;INDIRECT(ADDRESS(11+MATCH(LEFT(Table7[[#This Row],[Min]],FIND("-",Table7[[#This Row],[Min]])-1),Table1[Content Sku],0),16,1,1,"Entities")),"review","ok"),"ok")</f>
        <v>ok</v>
      </c>
    </row>
    <row r="2533" spans="5:9" x14ac:dyDescent="0.25">
      <c r="E2533" t="s">
        <v>2766</v>
      </c>
      <c r="F2533">
        <v>0</v>
      </c>
      <c r="G2533">
        <v>0</v>
      </c>
      <c r="H2533" t="s">
        <v>8</v>
      </c>
      <c r="I2533" s="74" t="str">
        <f ca="1">IF(Table7[[#This Row],[Type]]="KILL",IF(_xlfn.NUMBERVALUE(RIGHT(Table7[[#This Row],[Min]],LEN(Table7[[#This Row],[Min]])-FIND("-",Table7[[#This Row],[Min]])))&gt;INDIRECT(ADDRESS(11+MATCH(LEFT(Table7[[#This Row],[Min]],FIND("-",Table7[[#This Row],[Min]])-1),Table1[Content Sku],0),16,1,1,"Entities")),"review","ok"),"ok")</f>
        <v>ok</v>
      </c>
    </row>
    <row r="2534" spans="5:9" x14ac:dyDescent="0.25">
      <c r="E2534" t="s">
        <v>90</v>
      </c>
      <c r="F2534">
        <v>0</v>
      </c>
      <c r="G2534">
        <v>0</v>
      </c>
      <c r="H2534" t="s">
        <v>8</v>
      </c>
      <c r="I2534" s="74" t="str">
        <f ca="1">IF(Table7[[#This Row],[Type]]="KILL",IF(_xlfn.NUMBERVALUE(RIGHT(Table7[[#This Row],[Min]],LEN(Table7[[#This Row],[Min]])-FIND("-",Table7[[#This Row],[Min]])))&gt;INDIRECT(ADDRESS(11+MATCH(LEFT(Table7[[#This Row],[Min]],FIND("-",Table7[[#This Row],[Min]])-1),Table1[Content Sku],0),16,1,1,"Entities")),"review","ok"),"ok")</f>
        <v>ok</v>
      </c>
    </row>
    <row r="2535" spans="5:9" x14ac:dyDescent="0.25">
      <c r="E2535" t="s">
        <v>0</v>
      </c>
      <c r="F2535">
        <v>5000</v>
      </c>
      <c r="G2535">
        <v>0</v>
      </c>
      <c r="H2535" t="s">
        <v>205</v>
      </c>
      <c r="I2535" s="74" t="str">
        <f ca="1">IF(Table7[[#This Row],[Type]]="KILL",IF(_xlfn.NUMBERVALUE(RIGHT(Table7[[#This Row],[Min]],LEN(Table7[[#This Row],[Min]])-FIND("-",Table7[[#This Row],[Min]])))&gt;INDIRECT(ADDRESS(11+MATCH(LEFT(Table7[[#This Row],[Min]],FIND("-",Table7[[#This Row],[Min]])-1),Table1[Content Sku],0),16,1,1,"Entities")),"review","ok"),"ok")</f>
        <v>ok</v>
      </c>
    </row>
    <row r="2536" spans="5:9" x14ac:dyDescent="0.25">
      <c r="E2536" t="s">
        <v>318</v>
      </c>
      <c r="F2536">
        <v>8000</v>
      </c>
      <c r="G2536">
        <v>0</v>
      </c>
      <c r="H2536" t="s">
        <v>205</v>
      </c>
      <c r="I2536" s="74" t="str">
        <f ca="1">IF(Table7[[#This Row],[Type]]="KILL",IF(_xlfn.NUMBERVALUE(RIGHT(Table7[[#This Row],[Min]],LEN(Table7[[#This Row],[Min]])-FIND("-",Table7[[#This Row],[Min]])))&gt;INDIRECT(ADDRESS(11+MATCH(LEFT(Table7[[#This Row],[Min]],FIND("-",Table7[[#This Row],[Min]])-1),Table1[Content Sku],0),16,1,1,"Entities")),"review","ok"),"ok")</f>
        <v>ok</v>
      </c>
    </row>
    <row r="2537" spans="5:9" x14ac:dyDescent="0.25">
      <c r="E2537" t="s">
        <v>2741</v>
      </c>
      <c r="F2537">
        <v>0</v>
      </c>
      <c r="G2537">
        <v>0</v>
      </c>
      <c r="H2537" t="s">
        <v>8</v>
      </c>
      <c r="I2537" s="74" t="str">
        <f ca="1">IF(Table7[[#This Row],[Type]]="KILL",IF(_xlfn.NUMBERVALUE(RIGHT(Table7[[#This Row],[Min]],LEN(Table7[[#This Row],[Min]])-FIND("-",Table7[[#This Row],[Min]])))&gt;INDIRECT(ADDRESS(11+MATCH(LEFT(Table7[[#This Row],[Min]],FIND("-",Table7[[#This Row],[Min]])-1),Table1[Content Sku],0),16,1,1,"Entities")),"review","ok"),"ok")</f>
        <v>ok</v>
      </c>
    </row>
    <row r="2538" spans="5:9" x14ac:dyDescent="0.25">
      <c r="E2538" t="s">
        <v>463</v>
      </c>
      <c r="F2538">
        <v>0</v>
      </c>
      <c r="G2538">
        <v>0</v>
      </c>
      <c r="H2538" t="s">
        <v>8</v>
      </c>
      <c r="I2538" s="74" t="str">
        <f ca="1">IF(Table7[[#This Row],[Type]]="KILL",IF(_xlfn.NUMBERVALUE(RIGHT(Table7[[#This Row],[Min]],LEN(Table7[[#This Row],[Min]])-FIND("-",Table7[[#This Row],[Min]])))&gt;INDIRECT(ADDRESS(11+MATCH(LEFT(Table7[[#This Row],[Min]],FIND("-",Table7[[#This Row],[Min]])-1),Table1[Content Sku],0),16,1,1,"Entities")),"review","ok"),"ok")</f>
        <v>ok</v>
      </c>
    </row>
    <row r="2539" spans="5:9" x14ac:dyDescent="0.25">
      <c r="E2539" t="s">
        <v>2741</v>
      </c>
      <c r="F2539">
        <v>0</v>
      </c>
      <c r="G2539">
        <v>0</v>
      </c>
      <c r="H2539" t="s">
        <v>8</v>
      </c>
      <c r="I2539" s="74" t="str">
        <f ca="1">IF(Table7[[#This Row],[Type]]="KILL",IF(_xlfn.NUMBERVALUE(RIGHT(Table7[[#This Row],[Min]],LEN(Table7[[#This Row],[Min]])-FIND("-",Table7[[#This Row],[Min]])))&gt;INDIRECT(ADDRESS(11+MATCH(LEFT(Table7[[#This Row],[Min]],FIND("-",Table7[[#This Row],[Min]])-1),Table1[Content Sku],0),16,1,1,"Entities")),"review","ok"),"ok")</f>
        <v>ok</v>
      </c>
    </row>
    <row r="2540" spans="5:9" x14ac:dyDescent="0.25">
      <c r="E2540" t="s">
        <v>254</v>
      </c>
      <c r="F2540">
        <v>2000</v>
      </c>
      <c r="G2540">
        <v>0</v>
      </c>
      <c r="H2540" t="s">
        <v>205</v>
      </c>
      <c r="I2540" s="74" t="str">
        <f ca="1">IF(Table7[[#This Row],[Type]]="KILL",IF(_xlfn.NUMBERVALUE(RIGHT(Table7[[#This Row],[Min]],LEN(Table7[[#This Row],[Min]])-FIND("-",Table7[[#This Row],[Min]])))&gt;INDIRECT(ADDRESS(11+MATCH(LEFT(Table7[[#This Row],[Min]],FIND("-",Table7[[#This Row],[Min]])-1),Table1[Content Sku],0),16,1,1,"Entities")),"review","ok"),"ok")</f>
        <v>ok</v>
      </c>
    </row>
    <row r="2541" spans="5:9" x14ac:dyDescent="0.25">
      <c r="E2541" t="s">
        <v>295</v>
      </c>
      <c r="F2541">
        <v>0</v>
      </c>
      <c r="G2541">
        <v>0</v>
      </c>
      <c r="H2541" t="s">
        <v>8</v>
      </c>
      <c r="I2541" s="74" t="str">
        <f ca="1">IF(Table7[[#This Row],[Type]]="KILL",IF(_xlfn.NUMBERVALUE(RIGHT(Table7[[#This Row],[Min]],LEN(Table7[[#This Row],[Min]])-FIND("-",Table7[[#This Row],[Min]])))&gt;INDIRECT(ADDRESS(11+MATCH(LEFT(Table7[[#This Row],[Min]],FIND("-",Table7[[#This Row],[Min]])-1),Table1[Content Sku],0),16,1,1,"Entities")),"review","ok"),"ok")</f>
        <v>ok</v>
      </c>
    </row>
    <row r="2542" spans="5:9" x14ac:dyDescent="0.25">
      <c r="E2542" t="s">
        <v>2741</v>
      </c>
      <c r="F2542">
        <v>0</v>
      </c>
      <c r="G2542">
        <v>0</v>
      </c>
      <c r="H2542" t="s">
        <v>8</v>
      </c>
      <c r="I2542" s="74" t="str">
        <f ca="1">IF(Table7[[#This Row],[Type]]="KILL",IF(_xlfn.NUMBERVALUE(RIGHT(Table7[[#This Row],[Min]],LEN(Table7[[#This Row],[Min]])-FIND("-",Table7[[#This Row],[Min]])))&gt;INDIRECT(ADDRESS(11+MATCH(LEFT(Table7[[#This Row],[Min]],FIND("-",Table7[[#This Row],[Min]])-1),Table1[Content Sku],0),16,1,1,"Entities")),"review","ok"),"ok")</f>
        <v>ok</v>
      </c>
    </row>
    <row r="2543" spans="5:9" x14ac:dyDescent="0.25">
      <c r="E2543" t="s">
        <v>41</v>
      </c>
      <c r="F2543">
        <v>18000</v>
      </c>
      <c r="G2543">
        <v>0</v>
      </c>
      <c r="H2543" t="s">
        <v>205</v>
      </c>
      <c r="I2543" s="74" t="str">
        <f ca="1">IF(Table7[[#This Row],[Type]]="KILL",IF(_xlfn.NUMBERVALUE(RIGHT(Table7[[#This Row],[Min]],LEN(Table7[[#This Row],[Min]])-FIND("-",Table7[[#This Row],[Min]])))&gt;INDIRECT(ADDRESS(11+MATCH(LEFT(Table7[[#This Row],[Min]],FIND("-",Table7[[#This Row],[Min]])-1),Table1[Content Sku],0),16,1,1,"Entities")),"review","ok"),"ok")</f>
        <v>ok</v>
      </c>
    </row>
    <row r="2544" spans="5:9" x14ac:dyDescent="0.25">
      <c r="E2544" t="s">
        <v>545</v>
      </c>
      <c r="F2544">
        <v>0</v>
      </c>
      <c r="G2544">
        <v>0</v>
      </c>
      <c r="H2544" t="s">
        <v>8</v>
      </c>
      <c r="I2544" s="74" t="str">
        <f ca="1">IF(Table7[[#This Row],[Type]]="KILL",IF(_xlfn.NUMBERVALUE(RIGHT(Table7[[#This Row],[Min]],LEN(Table7[[#This Row],[Min]])-FIND("-",Table7[[#This Row],[Min]])))&gt;INDIRECT(ADDRESS(11+MATCH(LEFT(Table7[[#This Row],[Min]],FIND("-",Table7[[#This Row],[Min]])-1),Table1[Content Sku],0),16,1,1,"Entities")),"review","ok"),"ok")</f>
        <v>ok</v>
      </c>
    </row>
    <row r="2545" spans="5:9" x14ac:dyDescent="0.25">
      <c r="E2545" t="s">
        <v>2738</v>
      </c>
      <c r="F2545">
        <v>0</v>
      </c>
      <c r="G2545">
        <v>0</v>
      </c>
      <c r="H2545" t="s">
        <v>8</v>
      </c>
      <c r="I2545" s="74" t="str">
        <f ca="1">IF(Table7[[#This Row],[Type]]="KILL",IF(_xlfn.NUMBERVALUE(RIGHT(Table7[[#This Row],[Min]],LEN(Table7[[#This Row],[Min]])-FIND("-",Table7[[#This Row],[Min]])))&gt;INDIRECT(ADDRESS(11+MATCH(LEFT(Table7[[#This Row],[Min]],FIND("-",Table7[[#This Row],[Min]])-1),Table1[Content Sku],0),16,1,1,"Entities")),"review","ok"),"ok")</f>
        <v>ok</v>
      </c>
    </row>
    <row r="2546" spans="5:9" x14ac:dyDescent="0.25">
      <c r="E2546" t="s">
        <v>258</v>
      </c>
      <c r="F2546">
        <v>50000</v>
      </c>
      <c r="G2546">
        <v>0</v>
      </c>
      <c r="H2546" t="s">
        <v>205</v>
      </c>
      <c r="I2546" s="74" t="str">
        <f ca="1">IF(Table7[[#This Row],[Type]]="KILL",IF(_xlfn.NUMBERVALUE(RIGHT(Table7[[#This Row],[Min]],LEN(Table7[[#This Row],[Min]])-FIND("-",Table7[[#This Row],[Min]])))&gt;INDIRECT(ADDRESS(11+MATCH(LEFT(Table7[[#This Row],[Min]],FIND("-",Table7[[#This Row],[Min]])-1),Table1[Content Sku],0),16,1,1,"Entities")),"review","ok"),"ok")</f>
        <v>ok</v>
      </c>
    </row>
    <row r="2547" spans="5:9" x14ac:dyDescent="0.25">
      <c r="E2547" t="s">
        <v>461</v>
      </c>
      <c r="F2547">
        <v>0</v>
      </c>
      <c r="G2547">
        <v>0</v>
      </c>
      <c r="H2547" t="s">
        <v>8</v>
      </c>
      <c r="I2547" s="74" t="str">
        <f ca="1">IF(Table7[[#This Row],[Type]]="KILL",IF(_xlfn.NUMBERVALUE(RIGHT(Table7[[#This Row],[Min]],LEN(Table7[[#This Row],[Min]])-FIND("-",Table7[[#This Row],[Min]])))&gt;INDIRECT(ADDRESS(11+MATCH(LEFT(Table7[[#This Row],[Min]],FIND("-",Table7[[#This Row],[Min]])-1),Table1[Content Sku],0),16,1,1,"Entities")),"review","ok"),"ok")</f>
        <v>ok</v>
      </c>
    </row>
    <row r="2548" spans="5:9" x14ac:dyDescent="0.25">
      <c r="E2548" t="s">
        <v>90</v>
      </c>
      <c r="F2548">
        <v>0</v>
      </c>
      <c r="G2548">
        <v>0</v>
      </c>
      <c r="H2548" t="s">
        <v>8</v>
      </c>
      <c r="I2548" s="74" t="str">
        <f ca="1">IF(Table7[[#This Row],[Type]]="KILL",IF(_xlfn.NUMBERVALUE(RIGHT(Table7[[#This Row],[Min]],LEN(Table7[[#This Row],[Min]])-FIND("-",Table7[[#This Row],[Min]])))&gt;INDIRECT(ADDRESS(11+MATCH(LEFT(Table7[[#This Row],[Min]],FIND("-",Table7[[#This Row],[Min]])-1),Table1[Content Sku],0),16,1,1,"Entities")),"review","ok"),"ok")</f>
        <v>ok</v>
      </c>
    </row>
    <row r="2549" spans="5:9" x14ac:dyDescent="0.25">
      <c r="E2549" t="s">
        <v>4430</v>
      </c>
      <c r="F2549">
        <v>0</v>
      </c>
      <c r="G2549">
        <v>0</v>
      </c>
      <c r="H2549" t="s">
        <v>8</v>
      </c>
      <c r="I2549" s="74" t="str">
        <f ca="1">IF(Table7[[#This Row],[Type]]="KILL",IF(_xlfn.NUMBERVALUE(RIGHT(Table7[[#This Row],[Min]],LEN(Table7[[#This Row],[Min]])-FIND("-",Table7[[#This Row],[Min]])))&gt;INDIRECT(ADDRESS(11+MATCH(LEFT(Table7[[#This Row],[Min]],FIND("-",Table7[[#This Row],[Min]])-1),Table1[Content Sku],0),16,1,1,"Entities")),"review","ok"),"ok")</f>
        <v>ok</v>
      </c>
    </row>
    <row r="2550" spans="5:9" x14ac:dyDescent="0.25">
      <c r="E2550" t="s">
        <v>253</v>
      </c>
      <c r="F2550">
        <v>8000</v>
      </c>
      <c r="G2550">
        <v>0</v>
      </c>
      <c r="H2550" t="s">
        <v>205</v>
      </c>
      <c r="I2550" s="74" t="str">
        <f ca="1">IF(Table7[[#This Row],[Type]]="KILL",IF(_xlfn.NUMBERVALUE(RIGHT(Table7[[#This Row],[Min]],LEN(Table7[[#This Row],[Min]])-FIND("-",Table7[[#This Row],[Min]])))&gt;INDIRECT(ADDRESS(11+MATCH(LEFT(Table7[[#This Row],[Min]],FIND("-",Table7[[#This Row],[Min]])-1),Table1[Content Sku],0),16,1,1,"Entities")),"review","ok"),"ok")</f>
        <v>ok</v>
      </c>
    </row>
    <row r="2551" spans="5:9" x14ac:dyDescent="0.25">
      <c r="E2551" t="s">
        <v>42</v>
      </c>
      <c r="F2551">
        <v>50000</v>
      </c>
      <c r="G2551">
        <v>0</v>
      </c>
      <c r="H2551" t="s">
        <v>205</v>
      </c>
      <c r="I2551" s="74" t="str">
        <f ca="1">IF(Table7[[#This Row],[Type]]="KILL",IF(_xlfn.NUMBERVALUE(RIGHT(Table7[[#This Row],[Min]],LEN(Table7[[#This Row],[Min]])-FIND("-",Table7[[#This Row],[Min]])))&gt;INDIRECT(ADDRESS(11+MATCH(LEFT(Table7[[#This Row],[Min]],FIND("-",Table7[[#This Row],[Min]])-1),Table1[Content Sku],0),16,1,1,"Entities")),"review","ok"),"ok")</f>
        <v>ok</v>
      </c>
    </row>
    <row r="2552" spans="5:9" x14ac:dyDescent="0.25">
      <c r="E2552" t="s">
        <v>254</v>
      </c>
      <c r="F2552">
        <v>0</v>
      </c>
      <c r="G2552">
        <v>0</v>
      </c>
      <c r="H2552" t="s">
        <v>8</v>
      </c>
      <c r="I2552" s="74" t="str">
        <f ca="1">IF(Table7[[#This Row],[Type]]="KILL",IF(_xlfn.NUMBERVALUE(RIGHT(Table7[[#This Row],[Min]],LEN(Table7[[#This Row],[Min]])-FIND("-",Table7[[#This Row],[Min]])))&gt;INDIRECT(ADDRESS(11+MATCH(LEFT(Table7[[#This Row],[Min]],FIND("-",Table7[[#This Row],[Min]])-1),Table1[Content Sku],0),16,1,1,"Entities")),"review","ok"),"ok")</f>
        <v>ok</v>
      </c>
    </row>
    <row r="2553" spans="5:9" x14ac:dyDescent="0.25">
      <c r="E2553" t="s">
        <v>47</v>
      </c>
      <c r="F2553">
        <v>5000</v>
      </c>
      <c r="G2553">
        <v>0</v>
      </c>
      <c r="H2553" t="s">
        <v>205</v>
      </c>
      <c r="I2553" s="74" t="str">
        <f ca="1">IF(Table7[[#This Row],[Type]]="KILL",IF(_xlfn.NUMBERVALUE(RIGHT(Table7[[#This Row],[Min]],LEN(Table7[[#This Row],[Min]])-FIND("-",Table7[[#This Row],[Min]])))&gt;INDIRECT(ADDRESS(11+MATCH(LEFT(Table7[[#This Row],[Min]],FIND("-",Table7[[#This Row],[Min]])-1),Table1[Content Sku],0),16,1,1,"Entities")),"review","ok"),"ok")</f>
        <v>ok</v>
      </c>
    </row>
    <row r="2554" spans="5:9" x14ac:dyDescent="0.25">
      <c r="E2554" t="s">
        <v>2766</v>
      </c>
      <c r="F2554">
        <v>0</v>
      </c>
      <c r="G2554">
        <v>0</v>
      </c>
      <c r="H2554" t="s">
        <v>8</v>
      </c>
      <c r="I2554" s="74" t="str">
        <f ca="1">IF(Table7[[#This Row],[Type]]="KILL",IF(_xlfn.NUMBERVALUE(RIGHT(Table7[[#This Row],[Min]],LEN(Table7[[#This Row],[Min]])-FIND("-",Table7[[#This Row],[Min]])))&gt;INDIRECT(ADDRESS(11+MATCH(LEFT(Table7[[#This Row],[Min]],FIND("-",Table7[[#This Row],[Min]])-1),Table1[Content Sku],0),16,1,1,"Entities")),"review","ok"),"ok")</f>
        <v>ok</v>
      </c>
    </row>
    <row r="2555" spans="5:9" x14ac:dyDescent="0.25">
      <c r="E2555" t="s">
        <v>346</v>
      </c>
      <c r="F2555">
        <v>15000</v>
      </c>
      <c r="G2555">
        <v>0</v>
      </c>
      <c r="H2555" t="s">
        <v>205</v>
      </c>
      <c r="I2555" s="74" t="str">
        <f ca="1">IF(Table7[[#This Row],[Type]]="KILL",IF(_xlfn.NUMBERVALUE(RIGHT(Table7[[#This Row],[Min]],LEN(Table7[[#This Row],[Min]])-FIND("-",Table7[[#This Row],[Min]])))&gt;INDIRECT(ADDRESS(11+MATCH(LEFT(Table7[[#This Row],[Min]],FIND("-",Table7[[#This Row],[Min]])-1),Table1[Content Sku],0),16,1,1,"Entities")),"review","ok"),"ok")</f>
        <v>ok</v>
      </c>
    </row>
    <row r="2556" spans="5:9" x14ac:dyDescent="0.25">
      <c r="E2556" t="s">
        <v>311</v>
      </c>
      <c r="F2556">
        <v>2800</v>
      </c>
      <c r="G2556">
        <v>0</v>
      </c>
      <c r="H2556" t="s">
        <v>205</v>
      </c>
      <c r="I2556" s="74" t="str">
        <f ca="1">IF(Table7[[#This Row],[Type]]="KILL",IF(_xlfn.NUMBERVALUE(RIGHT(Table7[[#This Row],[Min]],LEN(Table7[[#This Row],[Min]])-FIND("-",Table7[[#This Row],[Min]])))&gt;INDIRECT(ADDRESS(11+MATCH(LEFT(Table7[[#This Row],[Min]],FIND("-",Table7[[#This Row],[Min]])-1),Table1[Content Sku],0),16,1,1,"Entities")),"review","ok"),"ok")</f>
        <v>ok</v>
      </c>
    </row>
    <row r="2557" spans="5:9" x14ac:dyDescent="0.25">
      <c r="E2557" t="s">
        <v>8133</v>
      </c>
      <c r="F2557">
        <v>0</v>
      </c>
      <c r="G2557">
        <v>0</v>
      </c>
      <c r="H2557" t="s">
        <v>8</v>
      </c>
      <c r="I2557" s="74" t="str">
        <f ca="1">IF(Table7[[#This Row],[Type]]="KILL",IF(_xlfn.NUMBERVALUE(RIGHT(Table7[[#This Row],[Min]],LEN(Table7[[#This Row],[Min]])-FIND("-",Table7[[#This Row],[Min]])))&gt;INDIRECT(ADDRESS(11+MATCH(LEFT(Table7[[#This Row],[Min]],FIND("-",Table7[[#This Row],[Min]])-1),Table1[Content Sku],0),16,1,1,"Entities")),"review","ok"),"ok")</f>
        <v>ok</v>
      </c>
    </row>
    <row r="2558" spans="5:9" x14ac:dyDescent="0.25">
      <c r="E2558" t="s">
        <v>2741</v>
      </c>
      <c r="F2558">
        <v>0</v>
      </c>
      <c r="G2558">
        <v>0</v>
      </c>
      <c r="H2558" t="s">
        <v>8</v>
      </c>
      <c r="I2558" s="74" t="str">
        <f ca="1">IF(Table7[[#This Row],[Type]]="KILL",IF(_xlfn.NUMBERVALUE(RIGHT(Table7[[#This Row],[Min]],LEN(Table7[[#This Row],[Min]])-FIND("-",Table7[[#This Row],[Min]])))&gt;INDIRECT(ADDRESS(11+MATCH(LEFT(Table7[[#This Row],[Min]],FIND("-",Table7[[#This Row],[Min]])-1),Table1[Content Sku],0),16,1,1,"Entities")),"review","ok"),"ok")</f>
        <v>ok</v>
      </c>
    </row>
    <row r="2559" spans="5:9" x14ac:dyDescent="0.25">
      <c r="E2559" t="s">
        <v>2741</v>
      </c>
      <c r="F2559">
        <v>0</v>
      </c>
      <c r="G2559">
        <v>0</v>
      </c>
      <c r="H2559" t="s">
        <v>8</v>
      </c>
      <c r="I2559" s="74" t="str">
        <f ca="1">IF(Table7[[#This Row],[Type]]="KILL",IF(_xlfn.NUMBERVALUE(RIGHT(Table7[[#This Row],[Min]],LEN(Table7[[#This Row],[Min]])-FIND("-",Table7[[#This Row],[Min]])))&gt;INDIRECT(ADDRESS(11+MATCH(LEFT(Table7[[#This Row],[Min]],FIND("-",Table7[[#This Row],[Min]])-1),Table1[Content Sku],0),16,1,1,"Entities")),"review","ok"),"ok")</f>
        <v>ok</v>
      </c>
    </row>
    <row r="2560" spans="5:9" x14ac:dyDescent="0.25">
      <c r="E2560" t="s">
        <v>10</v>
      </c>
      <c r="F2560">
        <v>2600</v>
      </c>
      <c r="G2560">
        <v>0</v>
      </c>
      <c r="H2560" t="s">
        <v>205</v>
      </c>
      <c r="I2560" s="74" t="str">
        <f ca="1">IF(Table7[[#This Row],[Type]]="KILL",IF(_xlfn.NUMBERVALUE(RIGHT(Table7[[#This Row],[Min]],LEN(Table7[[#This Row],[Min]])-FIND("-",Table7[[#This Row],[Min]])))&gt;INDIRECT(ADDRESS(11+MATCH(LEFT(Table7[[#This Row],[Min]],FIND("-",Table7[[#This Row],[Min]])-1),Table1[Content Sku],0),16,1,1,"Entities")),"review","ok"),"ok")</f>
        <v>ok</v>
      </c>
    </row>
    <row r="2561" spans="5:9" x14ac:dyDescent="0.25">
      <c r="E2561" t="s">
        <v>254</v>
      </c>
      <c r="F2561">
        <v>4000</v>
      </c>
      <c r="G2561">
        <v>0</v>
      </c>
      <c r="H2561" t="s">
        <v>205</v>
      </c>
      <c r="I2561" s="74" t="str">
        <f ca="1">IF(Table7[[#This Row],[Type]]="KILL",IF(_xlfn.NUMBERVALUE(RIGHT(Table7[[#This Row],[Min]],LEN(Table7[[#This Row],[Min]])-FIND("-",Table7[[#This Row],[Min]])))&gt;INDIRECT(ADDRESS(11+MATCH(LEFT(Table7[[#This Row],[Min]],FIND("-",Table7[[#This Row],[Min]])-1),Table1[Content Sku],0),16,1,1,"Entities")),"review","ok"),"ok")</f>
        <v>ok</v>
      </c>
    </row>
    <row r="2562" spans="5:9" x14ac:dyDescent="0.25">
      <c r="E2562" t="s">
        <v>39</v>
      </c>
      <c r="F2562">
        <v>8250</v>
      </c>
      <c r="G2562">
        <v>0</v>
      </c>
      <c r="H2562" t="s">
        <v>205</v>
      </c>
      <c r="I2562" s="74" t="str">
        <f ca="1">IF(Table7[[#This Row],[Type]]="KILL",IF(_xlfn.NUMBERVALUE(RIGHT(Table7[[#This Row],[Min]],LEN(Table7[[#This Row],[Min]])-FIND("-",Table7[[#This Row],[Min]])))&gt;INDIRECT(ADDRESS(11+MATCH(LEFT(Table7[[#This Row],[Min]],FIND("-",Table7[[#This Row],[Min]])-1),Table1[Content Sku],0),16,1,1,"Entities")),"review","ok"),"ok")</f>
        <v>ok</v>
      </c>
    </row>
    <row r="2563" spans="5:9" x14ac:dyDescent="0.25">
      <c r="E2563" t="s">
        <v>8133</v>
      </c>
      <c r="F2563">
        <v>0</v>
      </c>
      <c r="G2563">
        <v>0</v>
      </c>
      <c r="H2563" t="s">
        <v>8</v>
      </c>
      <c r="I2563" s="74" t="str">
        <f ca="1">IF(Table7[[#This Row],[Type]]="KILL",IF(_xlfn.NUMBERVALUE(RIGHT(Table7[[#This Row],[Min]],LEN(Table7[[#This Row],[Min]])-FIND("-",Table7[[#This Row],[Min]])))&gt;INDIRECT(ADDRESS(11+MATCH(LEFT(Table7[[#This Row],[Min]],FIND("-",Table7[[#This Row],[Min]])-1),Table1[Content Sku],0),16,1,1,"Entities")),"review","ok"),"ok")</f>
        <v>ok</v>
      </c>
    </row>
    <row r="2564" spans="5:9" x14ac:dyDescent="0.25">
      <c r="E2564" t="s">
        <v>545</v>
      </c>
      <c r="F2564">
        <v>0</v>
      </c>
      <c r="G2564">
        <v>0</v>
      </c>
      <c r="H2564" t="s">
        <v>8</v>
      </c>
      <c r="I2564" s="74" t="str">
        <f ca="1">IF(Table7[[#This Row],[Type]]="KILL",IF(_xlfn.NUMBERVALUE(RIGHT(Table7[[#This Row],[Min]],LEN(Table7[[#This Row],[Min]])-FIND("-",Table7[[#This Row],[Min]])))&gt;INDIRECT(ADDRESS(11+MATCH(LEFT(Table7[[#This Row],[Min]],FIND("-",Table7[[#This Row],[Min]])-1),Table1[Content Sku],0),16,1,1,"Entities")),"review","ok"),"ok")</f>
        <v>ok</v>
      </c>
    </row>
    <row r="2565" spans="5:9" x14ac:dyDescent="0.25">
      <c r="E2565" t="s">
        <v>253</v>
      </c>
      <c r="F2565">
        <v>0</v>
      </c>
      <c r="G2565">
        <v>30000</v>
      </c>
      <c r="H2565" t="s">
        <v>205</v>
      </c>
      <c r="I2565" s="74" t="str">
        <f ca="1">IF(Table7[[#This Row],[Type]]="KILL",IF(_xlfn.NUMBERVALUE(RIGHT(Table7[[#This Row],[Min]],LEN(Table7[[#This Row],[Min]])-FIND("-",Table7[[#This Row],[Min]])))&gt;INDIRECT(ADDRESS(11+MATCH(LEFT(Table7[[#This Row],[Min]],FIND("-",Table7[[#This Row],[Min]])-1),Table1[Content Sku],0),16,1,1,"Entities")),"review","ok"),"ok")</f>
        <v>ok</v>
      </c>
    </row>
    <row r="2566" spans="5:9" x14ac:dyDescent="0.25">
      <c r="E2566" t="s">
        <v>295</v>
      </c>
      <c r="F2566">
        <v>1400</v>
      </c>
      <c r="G2566">
        <v>0</v>
      </c>
      <c r="H2566" t="s">
        <v>205</v>
      </c>
      <c r="I2566" s="74" t="str">
        <f ca="1">IF(Table7[[#This Row],[Type]]="KILL",IF(_xlfn.NUMBERVALUE(RIGHT(Table7[[#This Row],[Min]],LEN(Table7[[#This Row],[Min]])-FIND("-",Table7[[#This Row],[Min]])))&gt;INDIRECT(ADDRESS(11+MATCH(LEFT(Table7[[#This Row],[Min]],FIND("-",Table7[[#This Row],[Min]])-1),Table1[Content Sku],0),16,1,1,"Entities")),"review","ok"),"ok")</f>
        <v>ok</v>
      </c>
    </row>
    <row r="2567" spans="5:9" x14ac:dyDescent="0.25">
      <c r="E2567" t="s">
        <v>318</v>
      </c>
      <c r="F2567">
        <v>0</v>
      </c>
      <c r="G2567">
        <v>0</v>
      </c>
      <c r="H2567" t="s">
        <v>8</v>
      </c>
      <c r="I2567" s="74" t="str">
        <f ca="1">IF(Table7[[#This Row],[Type]]="KILL",IF(_xlfn.NUMBERVALUE(RIGHT(Table7[[#This Row],[Min]],LEN(Table7[[#This Row],[Min]])-FIND("-",Table7[[#This Row],[Min]])))&gt;INDIRECT(ADDRESS(11+MATCH(LEFT(Table7[[#This Row],[Min]],FIND("-",Table7[[#This Row],[Min]])-1),Table1[Content Sku],0),16,1,1,"Entities")),"review","ok"),"ok")</f>
        <v>ok</v>
      </c>
    </row>
    <row r="2568" spans="5:9" x14ac:dyDescent="0.25">
      <c r="E2568" t="s">
        <v>318</v>
      </c>
      <c r="F2568">
        <v>0</v>
      </c>
      <c r="G2568">
        <v>0</v>
      </c>
      <c r="H2568" t="s">
        <v>8</v>
      </c>
      <c r="I2568" s="74" t="str">
        <f ca="1">IF(Table7[[#This Row],[Type]]="KILL",IF(_xlfn.NUMBERVALUE(RIGHT(Table7[[#This Row],[Min]],LEN(Table7[[#This Row],[Min]])-FIND("-",Table7[[#This Row],[Min]])))&gt;INDIRECT(ADDRESS(11+MATCH(LEFT(Table7[[#This Row],[Min]],FIND("-",Table7[[#This Row],[Min]])-1),Table1[Content Sku],0),16,1,1,"Entities")),"review","ok"),"ok")</f>
        <v>ok</v>
      </c>
    </row>
    <row r="2569" spans="5:9" x14ac:dyDescent="0.25">
      <c r="E2569" t="s">
        <v>254</v>
      </c>
      <c r="F2569">
        <v>0</v>
      </c>
      <c r="G2569">
        <v>0</v>
      </c>
      <c r="H2569" t="s">
        <v>8</v>
      </c>
      <c r="I2569" s="74" t="str">
        <f ca="1">IF(Table7[[#This Row],[Type]]="KILL",IF(_xlfn.NUMBERVALUE(RIGHT(Table7[[#This Row],[Min]],LEN(Table7[[#This Row],[Min]])-FIND("-",Table7[[#This Row],[Min]])))&gt;INDIRECT(ADDRESS(11+MATCH(LEFT(Table7[[#This Row],[Min]],FIND("-",Table7[[#This Row],[Min]])-1),Table1[Content Sku],0),16,1,1,"Entities")),"review","ok"),"ok")</f>
        <v>ok</v>
      </c>
    </row>
    <row r="2570" spans="5:9" x14ac:dyDescent="0.25">
      <c r="E2570" t="s">
        <v>254</v>
      </c>
      <c r="F2570">
        <v>5000</v>
      </c>
      <c r="G2570">
        <v>0</v>
      </c>
      <c r="H2570" t="s">
        <v>205</v>
      </c>
      <c r="I2570" s="74" t="str">
        <f ca="1">IF(Table7[[#This Row],[Type]]="KILL",IF(_xlfn.NUMBERVALUE(RIGHT(Table7[[#This Row],[Min]],LEN(Table7[[#This Row],[Min]])-FIND("-",Table7[[#This Row],[Min]])))&gt;INDIRECT(ADDRESS(11+MATCH(LEFT(Table7[[#This Row],[Min]],FIND("-",Table7[[#This Row],[Min]])-1),Table1[Content Sku],0),16,1,1,"Entities")),"review","ok"),"ok")</f>
        <v>ok</v>
      </c>
    </row>
  </sheetData>
  <conditionalFormatting sqref="H8:H2570 X8:X2082 AN8:AN1162">
    <cfRule type="expression" dxfId="3" priority="25">
      <formula>AND(AND(F8=0,G8=0),H8="XP")</formula>
    </cfRule>
  </conditionalFormatting>
  <pageMargins left="0.7" right="0.7" top="0.75" bottom="0.75" header="0.3" footer="0.3"/>
  <pageSetup paperSize="9" orientation="portrait" r:id="rId1"/>
  <tableParts count="7">
    <tablePart r:id="rId2"/>
    <tablePart r:id="rId3"/>
    <tablePart r:id="rId4"/>
    <tablePart r:id="rId5"/>
    <tablePart r:id="rId6"/>
    <tablePart r:id="rId7"/>
    <tablePart r:id="rId8"/>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7" tint="0.39997558519241921"/>
  </sheetPr>
  <dimension ref="F2:M2649"/>
  <sheetViews>
    <sheetView workbookViewId="0">
      <selection activeCell="D26" sqref="D26"/>
    </sheetView>
  </sheetViews>
  <sheetFormatPr defaultRowHeight="15" x14ac:dyDescent="0.25"/>
  <cols>
    <col min="6" max="6" width="41.7109375" customWidth="1"/>
    <col min="7" max="7" width="24" customWidth="1"/>
    <col min="9" max="9" width="35.7109375" customWidth="1"/>
    <col min="10" max="10" width="30.42578125" customWidth="1"/>
    <col min="12" max="12" width="34.42578125" customWidth="1"/>
    <col min="13" max="13" width="24.7109375" customWidth="1"/>
  </cols>
  <sheetData>
    <row r="2" spans="6:13" x14ac:dyDescent="0.25">
      <c r="F2" t="s">
        <v>588</v>
      </c>
    </row>
    <row r="5" spans="6:13" x14ac:dyDescent="0.25">
      <c r="F5" s="1" t="s">
        <v>765</v>
      </c>
      <c r="I5" s="1" t="s">
        <v>766</v>
      </c>
      <c r="L5" s="1" t="s">
        <v>1643</v>
      </c>
    </row>
    <row r="6" spans="6:13" x14ac:dyDescent="0.25">
      <c r="F6" t="s">
        <v>587</v>
      </c>
      <c r="G6" t="s">
        <v>589</v>
      </c>
      <c r="I6" t="s">
        <v>587</v>
      </c>
      <c r="J6" t="s">
        <v>589</v>
      </c>
      <c r="L6" t="s">
        <v>587</v>
      </c>
      <c r="M6" t="s">
        <v>589</v>
      </c>
    </row>
    <row r="7" spans="6:13" x14ac:dyDescent="0.25">
      <c r="F7" t="s">
        <v>3884</v>
      </c>
      <c r="G7" t="s">
        <v>4390</v>
      </c>
      <c r="I7" t="s">
        <v>123</v>
      </c>
      <c r="J7" t="s">
        <v>1183</v>
      </c>
      <c r="L7" t="s">
        <v>3884</v>
      </c>
      <c r="M7" t="s">
        <v>6886</v>
      </c>
    </row>
    <row r="8" spans="6:13" x14ac:dyDescent="0.25">
      <c r="F8" t="s">
        <v>4505</v>
      </c>
      <c r="G8" t="s">
        <v>4506</v>
      </c>
      <c r="I8" t="s">
        <v>313</v>
      </c>
      <c r="J8" t="s">
        <v>1281</v>
      </c>
      <c r="L8" t="s">
        <v>3884</v>
      </c>
      <c r="M8" t="s">
        <v>6886</v>
      </c>
    </row>
    <row r="9" spans="6:13" x14ac:dyDescent="0.25">
      <c r="F9" t="s">
        <v>4509</v>
      </c>
      <c r="G9" t="s">
        <v>4863</v>
      </c>
      <c r="I9" t="s">
        <v>6498</v>
      </c>
      <c r="J9" t="s">
        <v>1450</v>
      </c>
      <c r="L9" t="s">
        <v>3884</v>
      </c>
      <c r="M9" t="s">
        <v>6886</v>
      </c>
    </row>
    <row r="10" spans="6:13" x14ac:dyDescent="0.25">
      <c r="F10" t="s">
        <v>4646</v>
      </c>
      <c r="G10" t="s">
        <v>4647</v>
      </c>
      <c r="I10" t="s">
        <v>313</v>
      </c>
      <c r="J10" t="s">
        <v>1041</v>
      </c>
      <c r="L10" t="s">
        <v>3884</v>
      </c>
      <c r="M10" t="s">
        <v>6886</v>
      </c>
    </row>
    <row r="11" spans="6:13" x14ac:dyDescent="0.25">
      <c r="F11" t="s">
        <v>4720</v>
      </c>
      <c r="G11" t="s">
        <v>3497</v>
      </c>
      <c r="I11" t="s">
        <v>95</v>
      </c>
      <c r="J11" t="s">
        <v>6386</v>
      </c>
      <c r="L11" t="s">
        <v>3884</v>
      </c>
      <c r="M11" t="s">
        <v>6886</v>
      </c>
    </row>
    <row r="12" spans="6:13" x14ac:dyDescent="0.25">
      <c r="F12" t="s">
        <v>122</v>
      </c>
      <c r="G12" t="s">
        <v>670</v>
      </c>
      <c r="I12" t="s">
        <v>278</v>
      </c>
      <c r="J12" t="s">
        <v>1542</v>
      </c>
      <c r="L12" t="s">
        <v>3884</v>
      </c>
      <c r="M12" t="s">
        <v>6886</v>
      </c>
    </row>
    <row r="13" spans="6:13" x14ac:dyDescent="0.25">
      <c r="F13" t="s">
        <v>2741</v>
      </c>
      <c r="G13" t="s">
        <v>3316</v>
      </c>
      <c r="I13" t="s">
        <v>6125</v>
      </c>
      <c r="J13" t="s">
        <v>1245</v>
      </c>
      <c r="L13" t="s">
        <v>3884</v>
      </c>
      <c r="M13" t="s">
        <v>6886</v>
      </c>
    </row>
    <row r="14" spans="6:13" x14ac:dyDescent="0.25">
      <c r="F14" t="s">
        <v>2741</v>
      </c>
      <c r="G14" t="s">
        <v>3320</v>
      </c>
      <c r="I14" t="s">
        <v>6539</v>
      </c>
      <c r="J14" t="s">
        <v>1479</v>
      </c>
      <c r="L14" t="s">
        <v>3884</v>
      </c>
      <c r="M14" t="s">
        <v>6886</v>
      </c>
    </row>
    <row r="15" spans="6:13" x14ac:dyDescent="0.25">
      <c r="F15" t="s">
        <v>2662</v>
      </c>
      <c r="G15" t="s">
        <v>3570</v>
      </c>
      <c r="I15" t="s">
        <v>256</v>
      </c>
      <c r="J15" t="s">
        <v>1083</v>
      </c>
      <c r="L15" t="s">
        <v>4157</v>
      </c>
      <c r="M15" t="s">
        <v>7171</v>
      </c>
    </row>
    <row r="16" spans="6:13" x14ac:dyDescent="0.25">
      <c r="F16" t="s">
        <v>2670</v>
      </c>
      <c r="G16" t="s">
        <v>3509</v>
      </c>
      <c r="I16" t="s">
        <v>6435</v>
      </c>
      <c r="J16" t="s">
        <v>1409</v>
      </c>
      <c r="L16" t="s">
        <v>37</v>
      </c>
      <c r="M16" t="s">
        <v>6979</v>
      </c>
    </row>
    <row r="17" spans="6:13" x14ac:dyDescent="0.25">
      <c r="F17" t="s">
        <v>5017</v>
      </c>
      <c r="G17" t="s">
        <v>4756</v>
      </c>
      <c r="I17" t="s">
        <v>545</v>
      </c>
      <c r="J17" t="s">
        <v>6851</v>
      </c>
      <c r="L17" t="s">
        <v>457</v>
      </c>
      <c r="M17" t="s">
        <v>2081</v>
      </c>
    </row>
    <row r="18" spans="6:13" x14ac:dyDescent="0.25">
      <c r="F18" t="s">
        <v>5125</v>
      </c>
      <c r="G18" t="s">
        <v>4756</v>
      </c>
      <c r="I18" t="s">
        <v>5251</v>
      </c>
      <c r="J18" t="s">
        <v>6227</v>
      </c>
      <c r="L18" t="s">
        <v>7597</v>
      </c>
      <c r="M18" t="s">
        <v>2105</v>
      </c>
    </row>
    <row r="19" spans="6:13" x14ac:dyDescent="0.25">
      <c r="F19" t="s">
        <v>256</v>
      </c>
      <c r="G19" t="s">
        <v>4972</v>
      </c>
      <c r="I19" t="s">
        <v>280</v>
      </c>
      <c r="J19" t="s">
        <v>2869</v>
      </c>
      <c r="L19" t="s">
        <v>457</v>
      </c>
      <c r="M19" t="s">
        <v>1735</v>
      </c>
    </row>
    <row r="20" spans="6:13" x14ac:dyDescent="0.25">
      <c r="F20" t="s">
        <v>36</v>
      </c>
      <c r="G20" t="s">
        <v>4674</v>
      </c>
      <c r="I20" t="s">
        <v>2741</v>
      </c>
      <c r="J20" t="s">
        <v>2953</v>
      </c>
      <c r="L20" t="s">
        <v>22</v>
      </c>
      <c r="M20" t="s">
        <v>1791</v>
      </c>
    </row>
    <row r="21" spans="6:13" x14ac:dyDescent="0.25">
      <c r="F21" t="s">
        <v>2663</v>
      </c>
      <c r="G21" t="s">
        <v>3798</v>
      </c>
      <c r="I21" t="s">
        <v>2741</v>
      </c>
      <c r="J21" t="s">
        <v>2772</v>
      </c>
      <c r="L21" t="s">
        <v>7498</v>
      </c>
      <c r="M21" t="s">
        <v>7499</v>
      </c>
    </row>
    <row r="22" spans="6:13" x14ac:dyDescent="0.25">
      <c r="F22" t="s">
        <v>4601</v>
      </c>
      <c r="G22" t="s">
        <v>4602</v>
      </c>
      <c r="I22" t="s">
        <v>276</v>
      </c>
      <c r="J22" t="s">
        <v>5585</v>
      </c>
      <c r="L22" t="s">
        <v>457</v>
      </c>
      <c r="M22" t="s">
        <v>7419</v>
      </c>
    </row>
    <row r="23" spans="6:13" x14ac:dyDescent="0.25">
      <c r="F23" t="s">
        <v>4314</v>
      </c>
      <c r="G23" t="s">
        <v>4366</v>
      </c>
      <c r="I23" t="s">
        <v>2741</v>
      </c>
      <c r="J23" t="s">
        <v>3982</v>
      </c>
      <c r="L23" t="s">
        <v>41</v>
      </c>
      <c r="M23" t="s">
        <v>2004</v>
      </c>
    </row>
    <row r="24" spans="6:13" x14ac:dyDescent="0.25">
      <c r="F24" t="s">
        <v>4942</v>
      </c>
      <c r="G24" t="s">
        <v>4943</v>
      </c>
      <c r="I24" t="s">
        <v>2741</v>
      </c>
      <c r="J24" t="s">
        <v>4108</v>
      </c>
      <c r="L24" t="s">
        <v>7761</v>
      </c>
      <c r="M24" t="s">
        <v>2230</v>
      </c>
    </row>
    <row r="25" spans="6:13" x14ac:dyDescent="0.25">
      <c r="F25" t="s">
        <v>4942</v>
      </c>
      <c r="G25" t="s">
        <v>4993</v>
      </c>
      <c r="I25" t="s">
        <v>3916</v>
      </c>
      <c r="J25" t="s">
        <v>3931</v>
      </c>
      <c r="L25" t="s">
        <v>7079</v>
      </c>
      <c r="M25" t="s">
        <v>1779</v>
      </c>
    </row>
    <row r="26" spans="6:13" x14ac:dyDescent="0.25">
      <c r="F26" t="s">
        <v>4664</v>
      </c>
      <c r="G26" t="s">
        <v>4665</v>
      </c>
      <c r="I26" t="s">
        <v>550</v>
      </c>
      <c r="J26" t="s">
        <v>6520</v>
      </c>
      <c r="L26" t="s">
        <v>6999</v>
      </c>
      <c r="M26" t="s">
        <v>7298</v>
      </c>
    </row>
    <row r="27" spans="6:13" x14ac:dyDescent="0.25">
      <c r="F27" t="s">
        <v>4509</v>
      </c>
      <c r="G27" t="s">
        <v>4913</v>
      </c>
      <c r="I27" t="s">
        <v>254</v>
      </c>
      <c r="J27" t="s">
        <v>6732</v>
      </c>
      <c r="L27" t="s">
        <v>7464</v>
      </c>
      <c r="M27" t="s">
        <v>2002</v>
      </c>
    </row>
    <row r="28" spans="6:13" x14ac:dyDescent="0.25">
      <c r="F28" t="s">
        <v>4610</v>
      </c>
      <c r="G28" t="s">
        <v>3672</v>
      </c>
      <c r="I28" t="s">
        <v>2736</v>
      </c>
      <c r="J28" t="s">
        <v>4011</v>
      </c>
      <c r="L28" t="s">
        <v>313</v>
      </c>
      <c r="M28" t="s">
        <v>2343</v>
      </c>
    </row>
    <row r="29" spans="6:13" x14ac:dyDescent="0.25">
      <c r="F29" t="s">
        <v>2745</v>
      </c>
      <c r="G29" t="s">
        <v>756</v>
      </c>
      <c r="I29" t="s">
        <v>6646</v>
      </c>
      <c r="J29" t="s">
        <v>6647</v>
      </c>
      <c r="L29" t="s">
        <v>37</v>
      </c>
      <c r="M29" t="s">
        <v>1840</v>
      </c>
    </row>
    <row r="30" spans="6:13" x14ac:dyDescent="0.25">
      <c r="F30" t="s">
        <v>5020</v>
      </c>
      <c r="G30" t="s">
        <v>3274</v>
      </c>
      <c r="I30" t="s">
        <v>313</v>
      </c>
      <c r="J30" t="s">
        <v>1427</v>
      </c>
      <c r="L30" t="s">
        <v>7672</v>
      </c>
      <c r="M30" t="s">
        <v>2163</v>
      </c>
    </row>
    <row r="31" spans="6:13" x14ac:dyDescent="0.25">
      <c r="F31" t="s">
        <v>5071</v>
      </c>
      <c r="G31" t="s">
        <v>3488</v>
      </c>
      <c r="I31" t="s">
        <v>295</v>
      </c>
      <c r="J31" t="s">
        <v>6823</v>
      </c>
      <c r="L31" t="s">
        <v>4146</v>
      </c>
      <c r="M31" t="s">
        <v>4275</v>
      </c>
    </row>
    <row r="32" spans="6:13" x14ac:dyDescent="0.25">
      <c r="F32" t="s">
        <v>5111</v>
      </c>
      <c r="G32" t="s">
        <v>3488</v>
      </c>
      <c r="I32" t="s">
        <v>2741</v>
      </c>
      <c r="J32" t="s">
        <v>2995</v>
      </c>
      <c r="L32" t="s">
        <v>4146</v>
      </c>
      <c r="M32" t="s">
        <v>4268</v>
      </c>
    </row>
    <row r="33" spans="6:13" x14ac:dyDescent="0.25">
      <c r="F33" t="s">
        <v>4775</v>
      </c>
      <c r="G33" t="s">
        <v>4776</v>
      </c>
      <c r="I33" t="s">
        <v>2741</v>
      </c>
      <c r="J33" t="s">
        <v>3054</v>
      </c>
      <c r="L33" t="s">
        <v>457</v>
      </c>
      <c r="M33" t="s">
        <v>7541</v>
      </c>
    </row>
    <row r="34" spans="6:13" x14ac:dyDescent="0.25">
      <c r="F34" t="s">
        <v>2670</v>
      </c>
      <c r="G34" t="s">
        <v>3742</v>
      </c>
      <c r="I34" t="s">
        <v>2741</v>
      </c>
      <c r="J34" t="s">
        <v>3007</v>
      </c>
      <c r="L34" t="s">
        <v>457</v>
      </c>
      <c r="M34" t="s">
        <v>1849</v>
      </c>
    </row>
    <row r="35" spans="6:13" x14ac:dyDescent="0.25">
      <c r="F35" t="s">
        <v>4751</v>
      </c>
      <c r="G35" t="s">
        <v>687</v>
      </c>
      <c r="I35" t="s">
        <v>2741</v>
      </c>
      <c r="J35" t="s">
        <v>3036</v>
      </c>
      <c r="L35" t="s">
        <v>313</v>
      </c>
      <c r="M35" t="s">
        <v>2143</v>
      </c>
    </row>
    <row r="36" spans="6:13" x14ac:dyDescent="0.25">
      <c r="F36" t="s">
        <v>2726</v>
      </c>
      <c r="G36" t="s">
        <v>3683</v>
      </c>
      <c r="I36" t="s">
        <v>37</v>
      </c>
      <c r="J36" t="s">
        <v>2536</v>
      </c>
      <c r="L36" t="s">
        <v>460</v>
      </c>
      <c r="M36" t="s">
        <v>1663</v>
      </c>
    </row>
    <row r="37" spans="6:13" x14ac:dyDescent="0.25">
      <c r="F37" t="s">
        <v>2663</v>
      </c>
      <c r="G37" t="s">
        <v>3268</v>
      </c>
      <c r="I37" t="s">
        <v>6795</v>
      </c>
      <c r="J37" t="s">
        <v>6796</v>
      </c>
      <c r="L37" t="s">
        <v>4812</v>
      </c>
      <c r="M37" t="s">
        <v>7236</v>
      </c>
    </row>
    <row r="38" spans="6:13" x14ac:dyDescent="0.25">
      <c r="F38" t="s">
        <v>4430</v>
      </c>
      <c r="G38" t="s">
        <v>4966</v>
      </c>
      <c r="I38" t="s">
        <v>5369</v>
      </c>
      <c r="J38" t="s">
        <v>5724</v>
      </c>
      <c r="L38" t="s">
        <v>457</v>
      </c>
      <c r="M38" t="s">
        <v>6916</v>
      </c>
    </row>
    <row r="39" spans="6:13" x14ac:dyDescent="0.25">
      <c r="F39" t="s">
        <v>2672</v>
      </c>
      <c r="G39" t="s">
        <v>3424</v>
      </c>
      <c r="I39" t="s">
        <v>2352</v>
      </c>
      <c r="J39" t="s">
        <v>6355</v>
      </c>
      <c r="L39" t="s">
        <v>4812</v>
      </c>
      <c r="M39" t="s">
        <v>6863</v>
      </c>
    </row>
    <row r="40" spans="6:13" x14ac:dyDescent="0.25">
      <c r="F40" t="s">
        <v>5094</v>
      </c>
      <c r="G40" t="s">
        <v>4672</v>
      </c>
      <c r="I40" t="s">
        <v>5904</v>
      </c>
      <c r="J40" t="s">
        <v>5905</v>
      </c>
      <c r="L40" t="s">
        <v>289</v>
      </c>
      <c r="M40" t="s">
        <v>7948</v>
      </c>
    </row>
    <row r="41" spans="6:13" x14ac:dyDescent="0.25">
      <c r="F41" t="s">
        <v>2671</v>
      </c>
      <c r="G41" t="s">
        <v>3573</v>
      </c>
      <c r="I41" t="s">
        <v>6699</v>
      </c>
      <c r="J41" t="s">
        <v>6700</v>
      </c>
      <c r="L41" t="s">
        <v>460</v>
      </c>
      <c r="M41" t="s">
        <v>7887</v>
      </c>
    </row>
    <row r="42" spans="6:13" x14ac:dyDescent="0.25">
      <c r="F42" t="s">
        <v>4711</v>
      </c>
      <c r="G42" t="s">
        <v>3493</v>
      </c>
      <c r="I42" t="s">
        <v>6498</v>
      </c>
      <c r="J42" t="s">
        <v>1633</v>
      </c>
      <c r="L42" t="s">
        <v>4175</v>
      </c>
      <c r="M42" t="s">
        <v>4182</v>
      </c>
    </row>
    <row r="43" spans="6:13" x14ac:dyDescent="0.25">
      <c r="F43" t="s">
        <v>95</v>
      </c>
      <c r="G43" t="s">
        <v>4634</v>
      </c>
      <c r="I43" t="s">
        <v>3916</v>
      </c>
      <c r="J43" t="s">
        <v>4134</v>
      </c>
      <c r="L43" t="s">
        <v>3908</v>
      </c>
      <c r="M43" t="s">
        <v>4238</v>
      </c>
    </row>
    <row r="44" spans="6:13" x14ac:dyDescent="0.25">
      <c r="F44" t="s">
        <v>2672</v>
      </c>
      <c r="G44" t="s">
        <v>3480</v>
      </c>
      <c r="I44" t="s">
        <v>276</v>
      </c>
      <c r="J44" t="s">
        <v>1148</v>
      </c>
      <c r="L44" t="s">
        <v>7199</v>
      </c>
      <c r="M44" t="s">
        <v>7200</v>
      </c>
    </row>
    <row r="45" spans="6:13" x14ac:dyDescent="0.25">
      <c r="F45" t="s">
        <v>4509</v>
      </c>
      <c r="G45" t="s">
        <v>4719</v>
      </c>
      <c r="I45" t="s">
        <v>5918</v>
      </c>
      <c r="J45" t="s">
        <v>1130</v>
      </c>
      <c r="L45" t="s">
        <v>7308</v>
      </c>
      <c r="M45" t="s">
        <v>7309</v>
      </c>
    </row>
    <row r="46" spans="6:13" x14ac:dyDescent="0.25">
      <c r="F46" t="s">
        <v>4509</v>
      </c>
      <c r="G46" t="s">
        <v>4675</v>
      </c>
      <c r="I46" t="s">
        <v>3916</v>
      </c>
      <c r="J46" t="s">
        <v>4076</v>
      </c>
      <c r="L46" t="s">
        <v>123</v>
      </c>
      <c r="M46" t="s">
        <v>7529</v>
      </c>
    </row>
    <row r="47" spans="6:13" x14ac:dyDescent="0.25">
      <c r="F47" t="s">
        <v>3854</v>
      </c>
      <c r="G47" t="s">
        <v>4331</v>
      </c>
      <c r="I47" t="s">
        <v>6653</v>
      </c>
      <c r="J47" t="s">
        <v>6654</v>
      </c>
      <c r="L47" t="s">
        <v>122</v>
      </c>
      <c r="M47" t="s">
        <v>1657</v>
      </c>
    </row>
    <row r="48" spans="6:13" x14ac:dyDescent="0.25">
      <c r="F48" t="s">
        <v>5021</v>
      </c>
      <c r="G48" t="s">
        <v>4521</v>
      </c>
      <c r="I48" t="s">
        <v>6117</v>
      </c>
      <c r="J48" t="s">
        <v>6343</v>
      </c>
      <c r="L48" t="s">
        <v>289</v>
      </c>
      <c r="M48" t="s">
        <v>7070</v>
      </c>
    </row>
    <row r="49" spans="6:13" x14ac:dyDescent="0.25">
      <c r="F49" t="s">
        <v>5137</v>
      </c>
      <c r="G49" t="s">
        <v>4521</v>
      </c>
      <c r="I49" t="s">
        <v>2741</v>
      </c>
      <c r="J49" t="s">
        <v>3911</v>
      </c>
      <c r="L49" t="s">
        <v>7035</v>
      </c>
      <c r="M49" t="s">
        <v>3104</v>
      </c>
    </row>
    <row r="50" spans="6:13" x14ac:dyDescent="0.25">
      <c r="F50" t="s">
        <v>4428</v>
      </c>
      <c r="G50" t="s">
        <v>4762</v>
      </c>
      <c r="I50" t="s">
        <v>2741</v>
      </c>
      <c r="J50" t="s">
        <v>4133</v>
      </c>
      <c r="L50" t="s">
        <v>315</v>
      </c>
      <c r="M50" t="s">
        <v>3188</v>
      </c>
    </row>
    <row r="51" spans="6:13" x14ac:dyDescent="0.25">
      <c r="F51" t="s">
        <v>548</v>
      </c>
      <c r="G51" t="s">
        <v>4889</v>
      </c>
      <c r="I51" t="s">
        <v>2741</v>
      </c>
      <c r="J51" t="s">
        <v>4114</v>
      </c>
      <c r="L51" t="s">
        <v>457</v>
      </c>
      <c r="M51" t="s">
        <v>2297</v>
      </c>
    </row>
    <row r="52" spans="6:13" x14ac:dyDescent="0.25">
      <c r="F52" t="s">
        <v>4621</v>
      </c>
      <c r="G52" t="s">
        <v>3391</v>
      </c>
      <c r="I52" t="s">
        <v>2741</v>
      </c>
      <c r="J52" t="s">
        <v>3956</v>
      </c>
      <c r="L52" t="s">
        <v>460</v>
      </c>
      <c r="M52" t="s">
        <v>1900</v>
      </c>
    </row>
    <row r="53" spans="6:13" x14ac:dyDescent="0.25">
      <c r="F53" t="s">
        <v>2670</v>
      </c>
      <c r="G53" t="s">
        <v>3775</v>
      </c>
      <c r="I53" t="s">
        <v>6379</v>
      </c>
      <c r="J53" t="s">
        <v>1601</v>
      </c>
      <c r="L53" t="s">
        <v>7483</v>
      </c>
      <c r="M53" t="s">
        <v>2018</v>
      </c>
    </row>
    <row r="54" spans="6:13" x14ac:dyDescent="0.25">
      <c r="F54" t="s">
        <v>3854</v>
      </c>
      <c r="G54" t="s">
        <v>4416</v>
      </c>
      <c r="I54" t="s">
        <v>5228</v>
      </c>
      <c r="J54" t="s">
        <v>780</v>
      </c>
      <c r="L54" t="s">
        <v>7436</v>
      </c>
      <c r="M54" t="s">
        <v>1981</v>
      </c>
    </row>
    <row r="55" spans="6:13" x14ac:dyDescent="0.25">
      <c r="F55" t="s">
        <v>2667</v>
      </c>
      <c r="G55" t="s">
        <v>3538</v>
      </c>
      <c r="I55" t="s">
        <v>5445</v>
      </c>
      <c r="J55" t="s">
        <v>5663</v>
      </c>
      <c r="L55" t="s">
        <v>315</v>
      </c>
      <c r="M55" t="s">
        <v>3094</v>
      </c>
    </row>
    <row r="56" spans="6:13" x14ac:dyDescent="0.25">
      <c r="F56" t="s">
        <v>5056</v>
      </c>
      <c r="G56" t="s">
        <v>3469</v>
      </c>
      <c r="I56" t="s">
        <v>313</v>
      </c>
      <c r="J56" t="s">
        <v>1493</v>
      </c>
      <c r="L56" t="s">
        <v>4146</v>
      </c>
      <c r="M56" t="s">
        <v>7244</v>
      </c>
    </row>
    <row r="57" spans="6:13" x14ac:dyDescent="0.25">
      <c r="F57" t="s">
        <v>5103</v>
      </c>
      <c r="G57" t="s">
        <v>3469</v>
      </c>
      <c r="I57" t="s">
        <v>338</v>
      </c>
      <c r="J57" t="s">
        <v>1339</v>
      </c>
      <c r="L57" t="s">
        <v>7115</v>
      </c>
      <c r="M57" t="s">
        <v>1802</v>
      </c>
    </row>
    <row r="58" spans="6:13" x14ac:dyDescent="0.25">
      <c r="F58" t="s">
        <v>398</v>
      </c>
      <c r="G58" t="s">
        <v>600</v>
      </c>
      <c r="I58" t="s">
        <v>5336</v>
      </c>
      <c r="J58" t="s">
        <v>1098</v>
      </c>
      <c r="L58" t="s">
        <v>7890</v>
      </c>
      <c r="M58" t="s">
        <v>3256</v>
      </c>
    </row>
    <row r="59" spans="6:13" x14ac:dyDescent="0.25">
      <c r="F59" t="s">
        <v>2674</v>
      </c>
      <c r="G59" t="s">
        <v>3532</v>
      </c>
      <c r="I59" t="s">
        <v>313</v>
      </c>
      <c r="J59" t="s">
        <v>6496</v>
      </c>
      <c r="L59" t="s">
        <v>7507</v>
      </c>
      <c r="M59" t="s">
        <v>2031</v>
      </c>
    </row>
    <row r="60" spans="6:13" x14ac:dyDescent="0.25">
      <c r="F60" t="s">
        <v>5057</v>
      </c>
      <c r="G60" t="s">
        <v>4920</v>
      </c>
      <c r="I60" t="s">
        <v>47</v>
      </c>
      <c r="J60" t="s">
        <v>2513</v>
      </c>
      <c r="L60" t="s">
        <v>7368</v>
      </c>
      <c r="M60" t="s">
        <v>1939</v>
      </c>
    </row>
    <row r="61" spans="6:13" x14ac:dyDescent="0.25">
      <c r="F61" t="s">
        <v>5190</v>
      </c>
      <c r="G61" t="s">
        <v>4920</v>
      </c>
      <c r="I61" t="s">
        <v>254</v>
      </c>
      <c r="J61" t="s">
        <v>5499</v>
      </c>
      <c r="L61" t="s">
        <v>7774</v>
      </c>
      <c r="M61" t="s">
        <v>7775</v>
      </c>
    </row>
    <row r="62" spans="6:13" x14ac:dyDescent="0.25">
      <c r="F62" t="s">
        <v>4727</v>
      </c>
      <c r="G62" t="s">
        <v>3501</v>
      </c>
      <c r="I62" t="s">
        <v>5948</v>
      </c>
      <c r="J62" t="s">
        <v>1143</v>
      </c>
      <c r="L62" t="s">
        <v>457</v>
      </c>
      <c r="M62" t="s">
        <v>7885</v>
      </c>
    </row>
    <row r="63" spans="6:13" x14ac:dyDescent="0.25">
      <c r="F63" t="s">
        <v>4635</v>
      </c>
      <c r="G63" t="s">
        <v>639</v>
      </c>
      <c r="I63" t="s">
        <v>90</v>
      </c>
      <c r="J63" t="s">
        <v>5472</v>
      </c>
      <c r="L63" t="s">
        <v>3854</v>
      </c>
      <c r="M63" t="s">
        <v>4228</v>
      </c>
    </row>
    <row r="64" spans="6:13" x14ac:dyDescent="0.25">
      <c r="F64" t="s">
        <v>4956</v>
      </c>
      <c r="G64" t="s">
        <v>4957</v>
      </c>
      <c r="I64" t="s">
        <v>2741</v>
      </c>
      <c r="J64" t="s">
        <v>3026</v>
      </c>
      <c r="L64" t="s">
        <v>315</v>
      </c>
      <c r="M64" t="s">
        <v>2279</v>
      </c>
    </row>
    <row r="65" spans="6:13" x14ac:dyDescent="0.25">
      <c r="F65" t="s">
        <v>5065</v>
      </c>
      <c r="G65" t="s">
        <v>3374</v>
      </c>
      <c r="I65" t="s">
        <v>2741</v>
      </c>
      <c r="J65" t="s">
        <v>3071</v>
      </c>
      <c r="L65" t="s">
        <v>7756</v>
      </c>
      <c r="M65" t="s">
        <v>2224</v>
      </c>
    </row>
    <row r="66" spans="6:13" x14ac:dyDescent="0.25">
      <c r="F66" t="s">
        <v>2667</v>
      </c>
      <c r="G66" t="s">
        <v>3644</v>
      </c>
      <c r="I66" t="s">
        <v>5773</v>
      </c>
      <c r="J66" t="s">
        <v>5774</v>
      </c>
      <c r="L66" t="s">
        <v>7771</v>
      </c>
      <c r="M66" t="s">
        <v>7772</v>
      </c>
    </row>
    <row r="67" spans="6:13" x14ac:dyDescent="0.25">
      <c r="F67" t="s">
        <v>400</v>
      </c>
      <c r="G67" t="s">
        <v>688</v>
      </c>
      <c r="I67" t="s">
        <v>313</v>
      </c>
      <c r="J67" t="s">
        <v>839</v>
      </c>
      <c r="L67" t="s">
        <v>313</v>
      </c>
      <c r="M67" t="s">
        <v>3169</v>
      </c>
    </row>
    <row r="68" spans="6:13" x14ac:dyDescent="0.25">
      <c r="F68" t="s">
        <v>3854</v>
      </c>
      <c r="G68" t="s">
        <v>4340</v>
      </c>
      <c r="I68" t="s">
        <v>278</v>
      </c>
      <c r="J68" t="s">
        <v>1002</v>
      </c>
      <c r="L68" t="s">
        <v>6895</v>
      </c>
      <c r="M68" t="s">
        <v>3080</v>
      </c>
    </row>
    <row r="69" spans="6:13" x14ac:dyDescent="0.25">
      <c r="F69" t="s">
        <v>5075</v>
      </c>
      <c r="G69" t="s">
        <v>3402</v>
      </c>
      <c r="I69" t="s">
        <v>5474</v>
      </c>
      <c r="J69" t="s">
        <v>1385</v>
      </c>
      <c r="L69" t="s">
        <v>6950</v>
      </c>
      <c r="M69" t="s">
        <v>3090</v>
      </c>
    </row>
    <row r="70" spans="6:13" x14ac:dyDescent="0.25">
      <c r="F70" t="s">
        <v>5139</v>
      </c>
      <c r="G70" t="s">
        <v>3576</v>
      </c>
      <c r="I70" t="s">
        <v>5467</v>
      </c>
      <c r="J70" t="s">
        <v>894</v>
      </c>
      <c r="L70" t="s">
        <v>356</v>
      </c>
      <c r="M70" t="s">
        <v>7027</v>
      </c>
    </row>
    <row r="71" spans="6:13" x14ac:dyDescent="0.25">
      <c r="F71" t="s">
        <v>5193</v>
      </c>
      <c r="G71" t="s">
        <v>3719</v>
      </c>
      <c r="I71" t="s">
        <v>2738</v>
      </c>
      <c r="J71" t="s">
        <v>2853</v>
      </c>
      <c r="L71" t="s">
        <v>6909</v>
      </c>
      <c r="M71" t="s">
        <v>7211</v>
      </c>
    </row>
    <row r="72" spans="6:13" x14ac:dyDescent="0.25">
      <c r="F72" t="s">
        <v>5106</v>
      </c>
      <c r="G72" t="s">
        <v>3476</v>
      </c>
      <c r="I72" t="s">
        <v>5875</v>
      </c>
      <c r="J72" t="s">
        <v>5876</v>
      </c>
      <c r="L72" t="s">
        <v>289</v>
      </c>
      <c r="M72" t="s">
        <v>7718</v>
      </c>
    </row>
    <row r="73" spans="6:13" x14ac:dyDescent="0.25">
      <c r="F73" t="s">
        <v>2667</v>
      </c>
      <c r="G73" t="s">
        <v>3347</v>
      </c>
      <c r="I73" t="s">
        <v>5790</v>
      </c>
      <c r="J73" t="s">
        <v>5791</v>
      </c>
      <c r="L73" t="s">
        <v>6883</v>
      </c>
      <c r="M73" t="s">
        <v>2289</v>
      </c>
    </row>
    <row r="74" spans="6:13" x14ac:dyDescent="0.25">
      <c r="F74" t="s">
        <v>4593</v>
      </c>
      <c r="G74" t="s">
        <v>3783</v>
      </c>
      <c r="I74" t="s">
        <v>5273</v>
      </c>
      <c r="J74" t="s">
        <v>806</v>
      </c>
      <c r="L74" t="s">
        <v>6939</v>
      </c>
      <c r="M74" t="s">
        <v>7039</v>
      </c>
    </row>
    <row r="75" spans="6:13" x14ac:dyDescent="0.25">
      <c r="F75" t="s">
        <v>4644</v>
      </c>
      <c r="G75" t="s">
        <v>3526</v>
      </c>
      <c r="I75" t="s">
        <v>5735</v>
      </c>
      <c r="J75" t="s">
        <v>5736</v>
      </c>
      <c r="L75" t="s">
        <v>37</v>
      </c>
      <c r="M75" t="s">
        <v>1956</v>
      </c>
    </row>
    <row r="76" spans="6:13" x14ac:dyDescent="0.25">
      <c r="F76" t="s">
        <v>482</v>
      </c>
      <c r="G76" t="s">
        <v>4801</v>
      </c>
      <c r="I76" t="s">
        <v>360</v>
      </c>
      <c r="J76" t="s">
        <v>4032</v>
      </c>
      <c r="L76" t="s">
        <v>7731</v>
      </c>
      <c r="M76" t="s">
        <v>2203</v>
      </c>
    </row>
    <row r="77" spans="6:13" x14ac:dyDescent="0.25">
      <c r="F77" t="s">
        <v>5201</v>
      </c>
      <c r="G77" t="s">
        <v>3765</v>
      </c>
      <c r="I77" t="s">
        <v>2726</v>
      </c>
      <c r="J77" t="s">
        <v>2930</v>
      </c>
      <c r="L77" t="s">
        <v>37</v>
      </c>
      <c r="M77" t="s">
        <v>7043</v>
      </c>
    </row>
    <row r="78" spans="6:13" x14ac:dyDescent="0.25">
      <c r="F78" t="s">
        <v>2680</v>
      </c>
      <c r="G78" t="s">
        <v>3311</v>
      </c>
      <c r="I78" t="s">
        <v>2732</v>
      </c>
      <c r="J78" t="s">
        <v>4083</v>
      </c>
      <c r="L78" t="s">
        <v>457</v>
      </c>
      <c r="M78" t="s">
        <v>7613</v>
      </c>
    </row>
    <row r="79" spans="6:13" x14ac:dyDescent="0.25">
      <c r="F79" t="s">
        <v>2677</v>
      </c>
      <c r="G79" t="s">
        <v>3760</v>
      </c>
      <c r="I79" t="s">
        <v>2741</v>
      </c>
      <c r="J79" t="s">
        <v>3061</v>
      </c>
      <c r="L79" t="s">
        <v>7235</v>
      </c>
      <c r="M79" t="s">
        <v>3217</v>
      </c>
    </row>
    <row r="80" spans="6:13" x14ac:dyDescent="0.25">
      <c r="F80" t="s">
        <v>4870</v>
      </c>
      <c r="G80" t="s">
        <v>5171</v>
      </c>
      <c r="I80" t="s">
        <v>2741</v>
      </c>
      <c r="J80" t="s">
        <v>3022</v>
      </c>
      <c r="L80" t="s">
        <v>313</v>
      </c>
      <c r="M80" t="s">
        <v>1990</v>
      </c>
    </row>
    <row r="81" spans="6:13" x14ac:dyDescent="0.25">
      <c r="F81" t="s">
        <v>548</v>
      </c>
      <c r="G81" t="s">
        <v>3502</v>
      </c>
      <c r="I81" t="s">
        <v>4430</v>
      </c>
      <c r="J81" t="s">
        <v>6811</v>
      </c>
      <c r="L81" t="s">
        <v>3160</v>
      </c>
      <c r="M81" t="s">
        <v>3161</v>
      </c>
    </row>
    <row r="82" spans="6:13" x14ac:dyDescent="0.25">
      <c r="F82" t="s">
        <v>2664</v>
      </c>
      <c r="G82" t="s">
        <v>4887</v>
      </c>
      <c r="I82" t="s">
        <v>276</v>
      </c>
      <c r="J82" t="s">
        <v>6724</v>
      </c>
      <c r="L82" t="s">
        <v>391</v>
      </c>
      <c r="M82" t="s">
        <v>3100</v>
      </c>
    </row>
    <row r="83" spans="6:13" x14ac:dyDescent="0.25">
      <c r="F83" t="s">
        <v>4724</v>
      </c>
      <c r="G83" t="s">
        <v>4725</v>
      </c>
      <c r="I83" t="s">
        <v>2723</v>
      </c>
      <c r="J83" t="s">
        <v>4055</v>
      </c>
      <c r="L83" t="s">
        <v>315</v>
      </c>
      <c r="M83" t="s">
        <v>1908</v>
      </c>
    </row>
    <row r="84" spans="6:13" x14ac:dyDescent="0.25">
      <c r="F84" t="s">
        <v>4146</v>
      </c>
      <c r="G84" t="s">
        <v>4350</v>
      </c>
      <c r="I84" t="s">
        <v>311</v>
      </c>
      <c r="J84" t="s">
        <v>796</v>
      </c>
      <c r="L84" t="s">
        <v>313</v>
      </c>
      <c r="M84" t="s">
        <v>1934</v>
      </c>
    </row>
    <row r="85" spans="6:13" x14ac:dyDescent="0.25">
      <c r="F85" t="s">
        <v>4509</v>
      </c>
      <c r="G85" t="s">
        <v>4890</v>
      </c>
      <c r="I85" t="s">
        <v>406</v>
      </c>
      <c r="J85" t="s">
        <v>6138</v>
      </c>
      <c r="L85" t="s">
        <v>4188</v>
      </c>
      <c r="M85" t="s">
        <v>4189</v>
      </c>
    </row>
    <row r="86" spans="6:13" x14ac:dyDescent="0.25">
      <c r="F86" t="s">
        <v>2664</v>
      </c>
      <c r="G86" t="s">
        <v>4507</v>
      </c>
      <c r="I86" t="s">
        <v>280</v>
      </c>
      <c r="J86" t="s">
        <v>2902</v>
      </c>
      <c r="L86" t="s">
        <v>7235</v>
      </c>
      <c r="M86" t="s">
        <v>3140</v>
      </c>
    </row>
    <row r="87" spans="6:13" x14ac:dyDescent="0.25">
      <c r="F87" t="s">
        <v>4509</v>
      </c>
      <c r="G87" t="s">
        <v>4932</v>
      </c>
      <c r="I87" t="s">
        <v>5481</v>
      </c>
      <c r="J87" t="s">
        <v>5482</v>
      </c>
      <c r="L87" t="s">
        <v>460</v>
      </c>
      <c r="M87" t="s">
        <v>2156</v>
      </c>
    </row>
    <row r="88" spans="6:13" x14ac:dyDescent="0.25">
      <c r="F88" t="s">
        <v>4509</v>
      </c>
      <c r="G88" t="s">
        <v>4782</v>
      </c>
      <c r="I88" t="s">
        <v>545</v>
      </c>
      <c r="J88" t="s">
        <v>6535</v>
      </c>
      <c r="L88" t="s">
        <v>7386</v>
      </c>
      <c r="M88" t="s">
        <v>1948</v>
      </c>
    </row>
    <row r="89" spans="6:13" x14ac:dyDescent="0.25">
      <c r="F89" t="s">
        <v>482</v>
      </c>
      <c r="G89" t="s">
        <v>3546</v>
      </c>
      <c r="I89" t="s">
        <v>313</v>
      </c>
      <c r="J89" t="s">
        <v>2800</v>
      </c>
      <c r="L89" t="s">
        <v>4146</v>
      </c>
      <c r="M89" t="s">
        <v>7927</v>
      </c>
    </row>
    <row r="90" spans="6:13" x14ac:dyDescent="0.25">
      <c r="F90" t="s">
        <v>2667</v>
      </c>
      <c r="G90" t="s">
        <v>3301</v>
      </c>
      <c r="I90" t="s">
        <v>46</v>
      </c>
      <c r="J90" t="s">
        <v>1416</v>
      </c>
      <c r="L90" t="s">
        <v>309</v>
      </c>
      <c r="M90" t="s">
        <v>1651</v>
      </c>
    </row>
    <row r="91" spans="6:13" x14ac:dyDescent="0.25">
      <c r="F91" t="s">
        <v>4780</v>
      </c>
      <c r="G91" t="s">
        <v>3562</v>
      </c>
      <c r="I91" t="s">
        <v>2741</v>
      </c>
      <c r="J91" t="s">
        <v>3028</v>
      </c>
      <c r="L91" t="s">
        <v>457</v>
      </c>
      <c r="M91" t="s">
        <v>7477</v>
      </c>
    </row>
    <row r="92" spans="6:13" x14ac:dyDescent="0.25">
      <c r="F92" t="s">
        <v>2675</v>
      </c>
      <c r="G92" t="s">
        <v>3403</v>
      </c>
      <c r="I92" t="s">
        <v>2741</v>
      </c>
      <c r="J92" t="s">
        <v>2998</v>
      </c>
      <c r="L92" t="s">
        <v>311</v>
      </c>
      <c r="M92" t="s">
        <v>3215</v>
      </c>
    </row>
    <row r="93" spans="6:13" x14ac:dyDescent="0.25">
      <c r="F93" t="s">
        <v>2664</v>
      </c>
      <c r="G93" t="s">
        <v>4811</v>
      </c>
      <c r="I93" t="s">
        <v>91</v>
      </c>
      <c r="J93" t="s">
        <v>1146</v>
      </c>
      <c r="L93" t="s">
        <v>391</v>
      </c>
      <c r="M93" t="s">
        <v>3183</v>
      </c>
    </row>
    <row r="94" spans="6:13" x14ac:dyDescent="0.25">
      <c r="F94" t="s">
        <v>4509</v>
      </c>
      <c r="G94" t="s">
        <v>4568</v>
      </c>
      <c r="I94" t="s">
        <v>3937</v>
      </c>
      <c r="J94" t="s">
        <v>4093</v>
      </c>
      <c r="L94" t="s">
        <v>7595</v>
      </c>
      <c r="M94" t="s">
        <v>2103</v>
      </c>
    </row>
    <row r="95" spans="6:13" x14ac:dyDescent="0.25">
      <c r="F95" t="s">
        <v>4617</v>
      </c>
      <c r="G95" t="s">
        <v>3631</v>
      </c>
      <c r="I95" t="s">
        <v>318</v>
      </c>
      <c r="J95" t="s">
        <v>6439</v>
      </c>
      <c r="L95" t="s">
        <v>391</v>
      </c>
      <c r="M95" t="s">
        <v>2596</v>
      </c>
    </row>
    <row r="96" spans="6:13" x14ac:dyDescent="0.25">
      <c r="F96" t="s">
        <v>5029</v>
      </c>
      <c r="G96" t="s">
        <v>3304</v>
      </c>
      <c r="I96" t="s">
        <v>545</v>
      </c>
      <c r="J96" t="s">
        <v>1616</v>
      </c>
      <c r="L96" t="s">
        <v>315</v>
      </c>
      <c r="M96" t="s">
        <v>1993</v>
      </c>
    </row>
    <row r="97" spans="6:13" x14ac:dyDescent="0.25">
      <c r="F97" t="s">
        <v>2667</v>
      </c>
      <c r="G97" t="s">
        <v>5143</v>
      </c>
      <c r="I97" t="s">
        <v>3854</v>
      </c>
      <c r="J97" t="s">
        <v>4131</v>
      </c>
      <c r="L97" t="s">
        <v>21</v>
      </c>
      <c r="M97" t="s">
        <v>6931</v>
      </c>
    </row>
    <row r="98" spans="6:13" x14ac:dyDescent="0.25">
      <c r="F98" t="s">
        <v>398</v>
      </c>
      <c r="G98" t="s">
        <v>3461</v>
      </c>
      <c r="I98" t="s">
        <v>313</v>
      </c>
      <c r="J98" t="s">
        <v>1475</v>
      </c>
      <c r="L98" t="s">
        <v>4188</v>
      </c>
      <c r="M98" t="s">
        <v>4233</v>
      </c>
    </row>
    <row r="99" spans="6:13" x14ac:dyDescent="0.25">
      <c r="F99" t="s">
        <v>5068</v>
      </c>
      <c r="G99" t="s">
        <v>3390</v>
      </c>
      <c r="I99" t="s">
        <v>6305</v>
      </c>
      <c r="J99" t="s">
        <v>6306</v>
      </c>
      <c r="L99" t="s">
        <v>3854</v>
      </c>
      <c r="M99" t="s">
        <v>4163</v>
      </c>
    </row>
    <row r="100" spans="6:13" x14ac:dyDescent="0.25">
      <c r="F100" t="s">
        <v>4509</v>
      </c>
      <c r="G100" t="s">
        <v>4931</v>
      </c>
      <c r="I100" t="s">
        <v>313</v>
      </c>
      <c r="J100" t="s">
        <v>1604</v>
      </c>
      <c r="L100" t="s">
        <v>315</v>
      </c>
      <c r="M100" t="s">
        <v>1746</v>
      </c>
    </row>
    <row r="101" spans="6:13" x14ac:dyDescent="0.25">
      <c r="F101" t="s">
        <v>4740</v>
      </c>
      <c r="G101" t="s">
        <v>3513</v>
      </c>
      <c r="I101" t="s">
        <v>5387</v>
      </c>
      <c r="J101" t="s">
        <v>5573</v>
      </c>
      <c r="L101" t="s">
        <v>313</v>
      </c>
      <c r="M101" t="s">
        <v>3179</v>
      </c>
    </row>
    <row r="102" spans="6:13" x14ac:dyDescent="0.25">
      <c r="F102" t="s">
        <v>482</v>
      </c>
      <c r="G102" t="s">
        <v>4539</v>
      </c>
      <c r="I102" t="s">
        <v>545</v>
      </c>
      <c r="J102" t="s">
        <v>5519</v>
      </c>
      <c r="L102" t="s">
        <v>7915</v>
      </c>
      <c r="M102" t="s">
        <v>7916</v>
      </c>
    </row>
    <row r="103" spans="6:13" x14ac:dyDescent="0.25">
      <c r="F103" t="s">
        <v>482</v>
      </c>
      <c r="G103" t="s">
        <v>3475</v>
      </c>
      <c r="I103" t="s">
        <v>6771</v>
      </c>
      <c r="J103" t="s">
        <v>6772</v>
      </c>
      <c r="L103" t="s">
        <v>4175</v>
      </c>
      <c r="M103" t="s">
        <v>4203</v>
      </c>
    </row>
    <row r="104" spans="6:13" x14ac:dyDescent="0.25">
      <c r="F104" t="s">
        <v>4781</v>
      </c>
      <c r="G104" t="s">
        <v>3563</v>
      </c>
      <c r="I104" t="s">
        <v>6677</v>
      </c>
      <c r="J104" t="s">
        <v>6678</v>
      </c>
      <c r="L104" t="s">
        <v>7089</v>
      </c>
      <c r="M104" t="s">
        <v>4278</v>
      </c>
    </row>
    <row r="105" spans="6:13" x14ac:dyDescent="0.25">
      <c r="F105" t="s">
        <v>46</v>
      </c>
      <c r="G105" t="s">
        <v>3481</v>
      </c>
      <c r="I105" t="s">
        <v>5534</v>
      </c>
      <c r="J105" t="s">
        <v>1423</v>
      </c>
      <c r="L105" t="s">
        <v>457</v>
      </c>
      <c r="M105" t="s">
        <v>7821</v>
      </c>
    </row>
    <row r="106" spans="6:13" x14ac:dyDescent="0.25">
      <c r="F106" t="s">
        <v>2664</v>
      </c>
      <c r="G106" t="s">
        <v>4835</v>
      </c>
      <c r="I106" t="s">
        <v>313</v>
      </c>
      <c r="J106" t="s">
        <v>911</v>
      </c>
      <c r="L106" t="s">
        <v>315</v>
      </c>
      <c r="M106" t="s">
        <v>1941</v>
      </c>
    </row>
    <row r="107" spans="6:13" x14ac:dyDescent="0.25">
      <c r="F107" t="s">
        <v>4146</v>
      </c>
      <c r="G107" t="s">
        <v>4425</v>
      </c>
      <c r="I107" t="s">
        <v>313</v>
      </c>
      <c r="J107" t="s">
        <v>1357</v>
      </c>
      <c r="L107" t="s">
        <v>3854</v>
      </c>
      <c r="M107" t="s">
        <v>4247</v>
      </c>
    </row>
    <row r="108" spans="6:13" x14ac:dyDescent="0.25">
      <c r="F108" t="s">
        <v>4146</v>
      </c>
      <c r="G108" t="s">
        <v>4351</v>
      </c>
      <c r="I108" t="s">
        <v>313</v>
      </c>
      <c r="J108" t="s">
        <v>1419</v>
      </c>
      <c r="L108" t="s">
        <v>457</v>
      </c>
      <c r="M108" t="s">
        <v>7109</v>
      </c>
    </row>
    <row r="109" spans="6:13" x14ac:dyDescent="0.25">
      <c r="F109" t="s">
        <v>2677</v>
      </c>
      <c r="G109" t="s">
        <v>3271</v>
      </c>
      <c r="I109" t="s">
        <v>5955</v>
      </c>
      <c r="J109" t="s">
        <v>2963</v>
      </c>
      <c r="L109" t="s">
        <v>7459</v>
      </c>
      <c r="M109" t="s">
        <v>1997</v>
      </c>
    </row>
    <row r="110" spans="6:13" x14ac:dyDescent="0.25">
      <c r="F110" t="s">
        <v>3854</v>
      </c>
      <c r="G110" t="s">
        <v>4379</v>
      </c>
      <c r="I110" t="s">
        <v>11</v>
      </c>
      <c r="J110" t="s">
        <v>5673</v>
      </c>
      <c r="L110" t="s">
        <v>7046</v>
      </c>
      <c r="M110" t="s">
        <v>2268</v>
      </c>
    </row>
    <row r="111" spans="6:13" x14ac:dyDescent="0.25">
      <c r="F111" t="s">
        <v>2664</v>
      </c>
      <c r="G111" t="s">
        <v>3545</v>
      </c>
      <c r="I111" t="s">
        <v>278</v>
      </c>
      <c r="J111" t="s">
        <v>5597</v>
      </c>
      <c r="L111" t="s">
        <v>315</v>
      </c>
      <c r="M111" t="s">
        <v>1958</v>
      </c>
    </row>
    <row r="112" spans="6:13" x14ac:dyDescent="0.25">
      <c r="F112" t="s">
        <v>2662</v>
      </c>
      <c r="G112" t="s">
        <v>5129</v>
      </c>
      <c r="I112" t="s">
        <v>2741</v>
      </c>
      <c r="J112" t="s">
        <v>4057</v>
      </c>
      <c r="L112" t="s">
        <v>122</v>
      </c>
      <c r="M112" t="s">
        <v>7589</v>
      </c>
    </row>
    <row r="113" spans="6:13" x14ac:dyDescent="0.25">
      <c r="F113" t="s">
        <v>2664</v>
      </c>
      <c r="G113" t="s">
        <v>4631</v>
      </c>
      <c r="I113" t="s">
        <v>2741</v>
      </c>
      <c r="J113" t="s">
        <v>3976</v>
      </c>
      <c r="L113" t="s">
        <v>315</v>
      </c>
      <c r="M113" t="s">
        <v>1770</v>
      </c>
    </row>
    <row r="114" spans="6:13" x14ac:dyDescent="0.25">
      <c r="F114" t="s">
        <v>4727</v>
      </c>
      <c r="G114" t="s">
        <v>3621</v>
      </c>
      <c r="I114" t="s">
        <v>5559</v>
      </c>
      <c r="J114" t="s">
        <v>939</v>
      </c>
      <c r="L114" t="s">
        <v>457</v>
      </c>
      <c r="M114" t="s">
        <v>6995</v>
      </c>
    </row>
    <row r="115" spans="6:13" x14ac:dyDescent="0.25">
      <c r="F115" t="s">
        <v>122</v>
      </c>
      <c r="G115" t="s">
        <v>3751</v>
      </c>
      <c r="I115" t="s">
        <v>5769</v>
      </c>
      <c r="J115" t="s">
        <v>1059</v>
      </c>
      <c r="L115" t="s">
        <v>309</v>
      </c>
      <c r="M115" t="s">
        <v>1855</v>
      </c>
    </row>
    <row r="116" spans="6:13" x14ac:dyDescent="0.25">
      <c r="F116" t="s">
        <v>2664</v>
      </c>
      <c r="G116" t="s">
        <v>3565</v>
      </c>
      <c r="I116" t="s">
        <v>6192</v>
      </c>
      <c r="J116" t="s">
        <v>2874</v>
      </c>
      <c r="L116" t="s">
        <v>7110</v>
      </c>
      <c r="M116" t="s">
        <v>1800</v>
      </c>
    </row>
    <row r="117" spans="6:13" x14ac:dyDescent="0.25">
      <c r="F117" t="s">
        <v>2667</v>
      </c>
      <c r="G117" t="s">
        <v>3517</v>
      </c>
      <c r="I117" t="s">
        <v>311</v>
      </c>
      <c r="J117" t="s">
        <v>2883</v>
      </c>
      <c r="L117" t="s">
        <v>7939</v>
      </c>
      <c r="M117" t="s">
        <v>2333</v>
      </c>
    </row>
    <row r="118" spans="6:13" x14ac:dyDescent="0.25">
      <c r="F118" t="s">
        <v>4615</v>
      </c>
      <c r="G118" t="s">
        <v>3381</v>
      </c>
      <c r="I118" t="s">
        <v>6473</v>
      </c>
      <c r="J118" t="s">
        <v>6474</v>
      </c>
      <c r="L118" t="s">
        <v>7308</v>
      </c>
      <c r="M118" t="s">
        <v>7379</v>
      </c>
    </row>
    <row r="119" spans="6:13" x14ac:dyDescent="0.25">
      <c r="F119" t="s">
        <v>482</v>
      </c>
      <c r="G119" t="s">
        <v>3807</v>
      </c>
      <c r="I119" t="s">
        <v>6849</v>
      </c>
      <c r="J119" t="s">
        <v>6850</v>
      </c>
      <c r="L119" t="s">
        <v>7446</v>
      </c>
      <c r="M119" t="s">
        <v>7447</v>
      </c>
    </row>
    <row r="120" spans="6:13" x14ac:dyDescent="0.25">
      <c r="F120" t="s">
        <v>3854</v>
      </c>
      <c r="G120" t="s">
        <v>4401</v>
      </c>
      <c r="I120" t="s">
        <v>6078</v>
      </c>
      <c r="J120" t="s">
        <v>6079</v>
      </c>
      <c r="L120" t="s">
        <v>457</v>
      </c>
      <c r="M120" t="s">
        <v>2060</v>
      </c>
    </row>
    <row r="121" spans="6:13" x14ac:dyDescent="0.25">
      <c r="F121" t="s">
        <v>2680</v>
      </c>
      <c r="G121" t="s">
        <v>3676</v>
      </c>
      <c r="I121" t="s">
        <v>313</v>
      </c>
      <c r="J121" t="s">
        <v>1268</v>
      </c>
      <c r="L121" t="s">
        <v>459</v>
      </c>
      <c r="M121" t="s">
        <v>1962</v>
      </c>
    </row>
    <row r="122" spans="6:13" x14ac:dyDescent="0.25">
      <c r="F122" t="s">
        <v>2664</v>
      </c>
      <c r="G122" t="s">
        <v>4950</v>
      </c>
      <c r="I122" t="s">
        <v>254</v>
      </c>
      <c r="J122" t="s">
        <v>4017</v>
      </c>
      <c r="L122" t="s">
        <v>457</v>
      </c>
      <c r="M122" t="s">
        <v>7142</v>
      </c>
    </row>
    <row r="123" spans="6:13" x14ac:dyDescent="0.25">
      <c r="F123" t="s">
        <v>122</v>
      </c>
      <c r="G123" t="s">
        <v>3342</v>
      </c>
      <c r="I123" t="s">
        <v>5465</v>
      </c>
      <c r="J123" t="s">
        <v>5466</v>
      </c>
      <c r="L123" t="s">
        <v>313</v>
      </c>
      <c r="M123" t="s">
        <v>3213</v>
      </c>
    </row>
    <row r="124" spans="6:13" x14ac:dyDescent="0.25">
      <c r="F124" t="s">
        <v>5026</v>
      </c>
      <c r="G124" t="s">
        <v>3294</v>
      </c>
      <c r="I124" t="s">
        <v>3854</v>
      </c>
      <c r="J124" t="s">
        <v>4045</v>
      </c>
      <c r="L124" t="s">
        <v>391</v>
      </c>
      <c r="M124" t="s">
        <v>3092</v>
      </c>
    </row>
    <row r="125" spans="6:13" x14ac:dyDescent="0.25">
      <c r="F125" t="s">
        <v>2667</v>
      </c>
      <c r="G125" t="s">
        <v>3599</v>
      </c>
      <c r="I125" t="s">
        <v>280</v>
      </c>
      <c r="J125" t="s">
        <v>7984</v>
      </c>
      <c r="L125" t="s">
        <v>289</v>
      </c>
      <c r="M125" t="s">
        <v>6981</v>
      </c>
    </row>
    <row r="126" spans="6:13" x14ac:dyDescent="0.25">
      <c r="F126" t="s">
        <v>4146</v>
      </c>
      <c r="G126" t="s">
        <v>4368</v>
      </c>
      <c r="I126" t="s">
        <v>0</v>
      </c>
      <c r="J126" t="s">
        <v>1400</v>
      </c>
      <c r="L126" t="s">
        <v>313</v>
      </c>
      <c r="M126" t="s">
        <v>2304</v>
      </c>
    </row>
    <row r="127" spans="6:13" x14ac:dyDescent="0.25">
      <c r="F127" t="s">
        <v>4953</v>
      </c>
      <c r="G127" t="s">
        <v>3769</v>
      </c>
      <c r="I127" t="s">
        <v>6016</v>
      </c>
      <c r="J127" t="s">
        <v>1180</v>
      </c>
      <c r="L127" t="s">
        <v>391</v>
      </c>
      <c r="M127" t="s">
        <v>3117</v>
      </c>
    </row>
    <row r="128" spans="6:13" x14ac:dyDescent="0.25">
      <c r="F128" t="s">
        <v>5095</v>
      </c>
      <c r="G128" t="s">
        <v>3443</v>
      </c>
      <c r="I128" t="s">
        <v>2741</v>
      </c>
      <c r="J128" t="s">
        <v>4062</v>
      </c>
      <c r="L128" t="s">
        <v>313</v>
      </c>
      <c r="M128" t="s">
        <v>1894</v>
      </c>
    </row>
    <row r="129" spans="6:13" x14ac:dyDescent="0.25">
      <c r="F129" t="s">
        <v>4531</v>
      </c>
      <c r="G129" t="s">
        <v>3287</v>
      </c>
      <c r="I129" t="s">
        <v>2741</v>
      </c>
      <c r="J129" t="s">
        <v>3878</v>
      </c>
      <c r="L129" t="s">
        <v>22</v>
      </c>
      <c r="M129" t="s">
        <v>7903</v>
      </c>
    </row>
    <row r="130" spans="6:13" x14ac:dyDescent="0.25">
      <c r="F130" t="s">
        <v>4509</v>
      </c>
      <c r="G130" t="s">
        <v>4694</v>
      </c>
      <c r="I130" t="s">
        <v>313</v>
      </c>
      <c r="J130" t="s">
        <v>5623</v>
      </c>
      <c r="L130" t="s">
        <v>3854</v>
      </c>
      <c r="M130" t="s">
        <v>4169</v>
      </c>
    </row>
    <row r="131" spans="6:13" x14ac:dyDescent="0.25">
      <c r="F131" t="s">
        <v>4627</v>
      </c>
      <c r="G131" t="s">
        <v>3395</v>
      </c>
      <c r="I131" t="s">
        <v>318</v>
      </c>
      <c r="J131" t="s">
        <v>6301</v>
      </c>
      <c r="L131" t="s">
        <v>391</v>
      </c>
      <c r="M131" t="s">
        <v>1797</v>
      </c>
    </row>
    <row r="132" spans="6:13" x14ac:dyDescent="0.25">
      <c r="F132" t="s">
        <v>4509</v>
      </c>
      <c r="G132" t="s">
        <v>4681</v>
      </c>
      <c r="I132" t="s">
        <v>3879</v>
      </c>
      <c r="J132" t="s">
        <v>6550</v>
      </c>
      <c r="L132" t="s">
        <v>3854</v>
      </c>
      <c r="M132" t="s">
        <v>4202</v>
      </c>
    </row>
    <row r="133" spans="6:13" x14ac:dyDescent="0.25">
      <c r="F133" t="s">
        <v>4509</v>
      </c>
      <c r="G133" t="s">
        <v>4944</v>
      </c>
      <c r="I133" t="s">
        <v>545</v>
      </c>
      <c r="J133" t="s">
        <v>936</v>
      </c>
      <c r="L133" t="s">
        <v>457</v>
      </c>
      <c r="M133" t="s">
        <v>1748</v>
      </c>
    </row>
    <row r="134" spans="6:13" x14ac:dyDescent="0.25">
      <c r="F134" t="s">
        <v>4430</v>
      </c>
      <c r="G134" t="s">
        <v>4533</v>
      </c>
      <c r="I134" t="s">
        <v>4850</v>
      </c>
      <c r="J134" t="s">
        <v>891</v>
      </c>
      <c r="L134" t="s">
        <v>3854</v>
      </c>
      <c r="M134" t="s">
        <v>4179</v>
      </c>
    </row>
    <row r="135" spans="6:13" x14ac:dyDescent="0.25">
      <c r="F135" t="s">
        <v>2676</v>
      </c>
      <c r="G135" t="s">
        <v>3383</v>
      </c>
      <c r="I135" t="s">
        <v>5937</v>
      </c>
      <c r="J135" t="s">
        <v>6292</v>
      </c>
      <c r="L135" t="s">
        <v>311</v>
      </c>
      <c r="M135" t="s">
        <v>1976</v>
      </c>
    </row>
    <row r="136" spans="6:13" x14ac:dyDescent="0.25">
      <c r="F136" t="s">
        <v>4549</v>
      </c>
      <c r="G136" t="s">
        <v>3799</v>
      </c>
      <c r="I136" t="s">
        <v>6749</v>
      </c>
      <c r="J136" t="s">
        <v>1578</v>
      </c>
      <c r="L136" t="s">
        <v>38</v>
      </c>
      <c r="M136" t="s">
        <v>1843</v>
      </c>
    </row>
    <row r="137" spans="6:13" x14ac:dyDescent="0.25">
      <c r="F137" t="s">
        <v>4509</v>
      </c>
      <c r="G137" t="s">
        <v>4880</v>
      </c>
      <c r="I137" t="s">
        <v>3879</v>
      </c>
      <c r="J137" t="s">
        <v>5644</v>
      </c>
      <c r="L137" t="s">
        <v>6904</v>
      </c>
      <c r="M137" t="s">
        <v>1971</v>
      </c>
    </row>
    <row r="138" spans="6:13" x14ac:dyDescent="0.25">
      <c r="F138" t="s">
        <v>548</v>
      </c>
      <c r="G138" t="s">
        <v>3378</v>
      </c>
      <c r="I138" t="s">
        <v>5369</v>
      </c>
      <c r="J138" t="s">
        <v>5370</v>
      </c>
      <c r="L138" t="s">
        <v>36</v>
      </c>
      <c r="M138" t="s">
        <v>2124</v>
      </c>
    </row>
    <row r="139" spans="6:13" x14ac:dyDescent="0.25">
      <c r="F139" t="s">
        <v>2662</v>
      </c>
      <c r="G139" t="s">
        <v>5072</v>
      </c>
      <c r="I139" t="s">
        <v>2741</v>
      </c>
      <c r="J139" t="s">
        <v>4037</v>
      </c>
      <c r="L139" t="s">
        <v>391</v>
      </c>
      <c r="M139" t="s">
        <v>2591</v>
      </c>
    </row>
    <row r="140" spans="6:13" x14ac:dyDescent="0.25">
      <c r="F140" t="s">
        <v>2662</v>
      </c>
      <c r="G140" t="s">
        <v>5074</v>
      </c>
      <c r="I140" t="s">
        <v>2741</v>
      </c>
      <c r="J140" t="s">
        <v>3949</v>
      </c>
      <c r="L140" t="s">
        <v>7049</v>
      </c>
      <c r="M140" t="s">
        <v>1758</v>
      </c>
    </row>
    <row r="141" spans="6:13" x14ac:dyDescent="0.25">
      <c r="F141" t="s">
        <v>4509</v>
      </c>
      <c r="G141" t="s">
        <v>4510</v>
      </c>
      <c r="I141" t="s">
        <v>2741</v>
      </c>
      <c r="J141" t="s">
        <v>3018</v>
      </c>
      <c r="L141" t="s">
        <v>36</v>
      </c>
      <c r="M141" t="s">
        <v>1856</v>
      </c>
    </row>
    <row r="142" spans="6:13" x14ac:dyDescent="0.25">
      <c r="F142" t="s">
        <v>2676</v>
      </c>
      <c r="G142" t="s">
        <v>3387</v>
      </c>
      <c r="I142" t="s">
        <v>2741</v>
      </c>
      <c r="J142" t="s">
        <v>3023</v>
      </c>
      <c r="L142" t="s">
        <v>38</v>
      </c>
      <c r="M142" t="s">
        <v>1774</v>
      </c>
    </row>
    <row r="143" spans="6:13" x14ac:dyDescent="0.25">
      <c r="F143" t="s">
        <v>2674</v>
      </c>
      <c r="G143" t="s">
        <v>5100</v>
      </c>
      <c r="I143" t="s">
        <v>2741</v>
      </c>
      <c r="J143" t="s">
        <v>3035</v>
      </c>
      <c r="L143" t="s">
        <v>4561</v>
      </c>
      <c r="M143" t="s">
        <v>3255</v>
      </c>
    </row>
    <row r="144" spans="6:13" x14ac:dyDescent="0.25">
      <c r="F144" t="s">
        <v>2662</v>
      </c>
      <c r="G144" t="s">
        <v>5069</v>
      </c>
      <c r="I144" t="s">
        <v>2741</v>
      </c>
      <c r="J144" t="s">
        <v>3004</v>
      </c>
      <c r="L144" t="s">
        <v>7403</v>
      </c>
      <c r="M144" t="s">
        <v>2586</v>
      </c>
    </row>
    <row r="145" spans="6:13" x14ac:dyDescent="0.25">
      <c r="F145" t="s">
        <v>2679</v>
      </c>
      <c r="G145" t="s">
        <v>3586</v>
      </c>
      <c r="I145" t="s">
        <v>313</v>
      </c>
      <c r="J145" t="s">
        <v>854</v>
      </c>
      <c r="L145" t="s">
        <v>457</v>
      </c>
      <c r="M145" t="s">
        <v>1786</v>
      </c>
    </row>
    <row r="146" spans="6:13" x14ac:dyDescent="0.25">
      <c r="F146" t="s">
        <v>4613</v>
      </c>
      <c r="G146" t="s">
        <v>3375</v>
      </c>
      <c r="I146" t="s">
        <v>47</v>
      </c>
      <c r="J146" t="s">
        <v>954</v>
      </c>
      <c r="L146" t="s">
        <v>289</v>
      </c>
      <c r="M146" t="s">
        <v>2038</v>
      </c>
    </row>
    <row r="147" spans="6:13" x14ac:dyDescent="0.25">
      <c r="F147" t="s">
        <v>46</v>
      </c>
      <c r="G147" t="s">
        <v>3297</v>
      </c>
      <c r="I147" t="s">
        <v>254</v>
      </c>
      <c r="J147" t="s">
        <v>6264</v>
      </c>
      <c r="L147" t="s">
        <v>7304</v>
      </c>
      <c r="M147" t="s">
        <v>1898</v>
      </c>
    </row>
    <row r="148" spans="6:13" x14ac:dyDescent="0.25">
      <c r="F148" t="s">
        <v>46</v>
      </c>
      <c r="G148" t="s">
        <v>3467</v>
      </c>
      <c r="I148" t="s">
        <v>548</v>
      </c>
      <c r="J148" t="s">
        <v>1594</v>
      </c>
      <c r="L148" t="s">
        <v>7049</v>
      </c>
      <c r="M148" t="s">
        <v>1822</v>
      </c>
    </row>
    <row r="149" spans="6:13" x14ac:dyDescent="0.25">
      <c r="F149" t="s">
        <v>4855</v>
      </c>
      <c r="G149" t="s">
        <v>3636</v>
      </c>
      <c r="I149" t="s">
        <v>3854</v>
      </c>
      <c r="J149" t="s">
        <v>4023</v>
      </c>
      <c r="L149" t="s">
        <v>289</v>
      </c>
      <c r="M149" t="s">
        <v>7440</v>
      </c>
    </row>
    <row r="150" spans="6:13" x14ac:dyDescent="0.25">
      <c r="F150" t="s">
        <v>4636</v>
      </c>
      <c r="G150" t="s">
        <v>3408</v>
      </c>
      <c r="I150" t="s">
        <v>4334</v>
      </c>
      <c r="J150" t="s">
        <v>6108</v>
      </c>
      <c r="L150" t="s">
        <v>7208</v>
      </c>
      <c r="M150" t="s">
        <v>2233</v>
      </c>
    </row>
    <row r="151" spans="6:13" x14ac:dyDescent="0.25">
      <c r="F151" t="s">
        <v>2664</v>
      </c>
      <c r="G151" t="s">
        <v>3433</v>
      </c>
      <c r="I151" t="s">
        <v>6447</v>
      </c>
      <c r="J151" t="s">
        <v>2524</v>
      </c>
      <c r="L151" t="s">
        <v>7308</v>
      </c>
      <c r="M151" t="s">
        <v>7581</v>
      </c>
    </row>
    <row r="152" spans="6:13" x14ac:dyDescent="0.25">
      <c r="F152" t="s">
        <v>398</v>
      </c>
      <c r="G152" t="s">
        <v>3384</v>
      </c>
      <c r="I152" t="s">
        <v>295</v>
      </c>
      <c r="J152" t="s">
        <v>1383</v>
      </c>
      <c r="L152" t="s">
        <v>311</v>
      </c>
      <c r="M152" t="s">
        <v>2167</v>
      </c>
    </row>
    <row r="153" spans="6:13" x14ac:dyDescent="0.25">
      <c r="F153" t="s">
        <v>4781</v>
      </c>
      <c r="G153" t="s">
        <v>3728</v>
      </c>
      <c r="I153" t="s">
        <v>280</v>
      </c>
      <c r="J153" t="s">
        <v>7980</v>
      </c>
      <c r="L153" t="s">
        <v>123</v>
      </c>
      <c r="M153" t="s">
        <v>7757</v>
      </c>
    </row>
    <row r="154" spans="6:13" x14ac:dyDescent="0.25">
      <c r="F154" t="s">
        <v>2679</v>
      </c>
      <c r="G154" t="s">
        <v>3419</v>
      </c>
      <c r="I154" t="s">
        <v>254</v>
      </c>
      <c r="J154" t="s">
        <v>5822</v>
      </c>
      <c r="L154" t="s">
        <v>7113</v>
      </c>
      <c r="M154" t="s">
        <v>3116</v>
      </c>
    </row>
    <row r="155" spans="6:13" x14ac:dyDescent="0.25">
      <c r="F155" t="s">
        <v>2667</v>
      </c>
      <c r="G155" t="s">
        <v>3735</v>
      </c>
      <c r="I155" t="s">
        <v>313</v>
      </c>
      <c r="J155" t="s">
        <v>2926</v>
      </c>
      <c r="L155" t="s">
        <v>457</v>
      </c>
      <c r="M155" t="s">
        <v>2222</v>
      </c>
    </row>
    <row r="156" spans="6:13" x14ac:dyDescent="0.25">
      <c r="F156" t="s">
        <v>2662</v>
      </c>
      <c r="G156" t="s">
        <v>4558</v>
      </c>
      <c r="I156" t="s">
        <v>313</v>
      </c>
      <c r="J156" t="s">
        <v>966</v>
      </c>
      <c r="L156" t="s">
        <v>311</v>
      </c>
      <c r="M156" t="s">
        <v>2197</v>
      </c>
    </row>
    <row r="157" spans="6:13" x14ac:dyDescent="0.25">
      <c r="F157" t="s">
        <v>2664</v>
      </c>
      <c r="G157" t="s">
        <v>3796</v>
      </c>
      <c r="I157" t="s">
        <v>90</v>
      </c>
      <c r="J157" t="s">
        <v>5913</v>
      </c>
      <c r="L157" t="s">
        <v>7249</v>
      </c>
      <c r="M157" t="s">
        <v>3263</v>
      </c>
    </row>
    <row r="158" spans="6:13" x14ac:dyDescent="0.25">
      <c r="F158" t="s">
        <v>2662</v>
      </c>
      <c r="G158" t="s">
        <v>5087</v>
      </c>
      <c r="I158" t="s">
        <v>2352</v>
      </c>
      <c r="J158" t="s">
        <v>3875</v>
      </c>
      <c r="L158" t="s">
        <v>123</v>
      </c>
      <c r="M158" t="s">
        <v>7505</v>
      </c>
    </row>
    <row r="159" spans="6:13" x14ac:dyDescent="0.25">
      <c r="F159" t="s">
        <v>4540</v>
      </c>
      <c r="G159" t="s">
        <v>3624</v>
      </c>
      <c r="I159" t="s">
        <v>545</v>
      </c>
      <c r="J159" t="s">
        <v>5924</v>
      </c>
      <c r="L159" t="s">
        <v>21</v>
      </c>
      <c r="M159" t="s">
        <v>2037</v>
      </c>
    </row>
    <row r="160" spans="6:13" x14ac:dyDescent="0.25">
      <c r="F160" t="s">
        <v>4146</v>
      </c>
      <c r="G160" t="s">
        <v>4375</v>
      </c>
      <c r="I160" t="s">
        <v>2766</v>
      </c>
      <c r="J160" t="s">
        <v>4127</v>
      </c>
      <c r="L160" t="s">
        <v>548</v>
      </c>
      <c r="M160" t="s">
        <v>2202</v>
      </c>
    </row>
    <row r="161" spans="6:13" x14ac:dyDescent="0.25">
      <c r="F161" t="s">
        <v>5178</v>
      </c>
      <c r="G161" t="s">
        <v>3675</v>
      </c>
      <c r="I161" t="s">
        <v>47</v>
      </c>
      <c r="J161" t="s">
        <v>5340</v>
      </c>
      <c r="L161" t="s">
        <v>391</v>
      </c>
      <c r="M161" t="s">
        <v>3231</v>
      </c>
    </row>
    <row r="162" spans="6:13" x14ac:dyDescent="0.25">
      <c r="F162" t="s">
        <v>2680</v>
      </c>
      <c r="G162" t="s">
        <v>3802</v>
      </c>
      <c r="I162" t="s">
        <v>6060</v>
      </c>
      <c r="J162" t="s">
        <v>6363</v>
      </c>
      <c r="L162" t="s">
        <v>7651</v>
      </c>
      <c r="M162" t="s">
        <v>3211</v>
      </c>
    </row>
    <row r="163" spans="6:13" x14ac:dyDescent="0.25">
      <c r="F163" t="s">
        <v>2667</v>
      </c>
      <c r="G163" t="s">
        <v>3583</v>
      </c>
      <c r="I163" t="s">
        <v>90</v>
      </c>
      <c r="J163" t="s">
        <v>6791</v>
      </c>
      <c r="L163" t="s">
        <v>7679</v>
      </c>
      <c r="M163" t="s">
        <v>2168</v>
      </c>
    </row>
    <row r="164" spans="6:13" x14ac:dyDescent="0.25">
      <c r="F164" t="s">
        <v>3854</v>
      </c>
      <c r="G164" t="s">
        <v>4330</v>
      </c>
      <c r="I164" t="s">
        <v>256</v>
      </c>
      <c r="J164" t="s">
        <v>5396</v>
      </c>
      <c r="L164" t="s">
        <v>7127</v>
      </c>
      <c r="M164" t="s">
        <v>1809</v>
      </c>
    </row>
    <row r="165" spans="6:13" x14ac:dyDescent="0.25">
      <c r="F165" t="s">
        <v>5126</v>
      </c>
      <c r="G165" t="s">
        <v>3540</v>
      </c>
      <c r="I165" t="s">
        <v>2741</v>
      </c>
      <c r="J165" t="s">
        <v>4010</v>
      </c>
      <c r="L165" t="s">
        <v>37</v>
      </c>
      <c r="M165" t="s">
        <v>1985</v>
      </c>
    </row>
    <row r="166" spans="6:13" x14ac:dyDescent="0.25">
      <c r="F166" t="s">
        <v>4509</v>
      </c>
      <c r="G166" t="s">
        <v>4620</v>
      </c>
      <c r="I166" t="s">
        <v>2741</v>
      </c>
      <c r="J166" t="s">
        <v>4116</v>
      </c>
      <c r="L166" t="s">
        <v>356</v>
      </c>
      <c r="M166" t="s">
        <v>7624</v>
      </c>
    </row>
    <row r="167" spans="6:13" x14ac:dyDescent="0.25">
      <c r="F167" t="s">
        <v>2667</v>
      </c>
      <c r="G167" t="s">
        <v>3414</v>
      </c>
      <c r="I167" t="s">
        <v>2741</v>
      </c>
      <c r="J167" t="s">
        <v>3940</v>
      </c>
      <c r="L167" t="s">
        <v>37</v>
      </c>
      <c r="M167" t="s">
        <v>2312</v>
      </c>
    </row>
    <row r="168" spans="6:13" x14ac:dyDescent="0.25">
      <c r="F168" t="s">
        <v>4509</v>
      </c>
      <c r="G168" t="s">
        <v>4755</v>
      </c>
      <c r="I168" t="s">
        <v>2741</v>
      </c>
      <c r="J168" t="s">
        <v>3994</v>
      </c>
      <c r="L168" t="s">
        <v>37</v>
      </c>
      <c r="M168" t="s">
        <v>2329</v>
      </c>
    </row>
    <row r="169" spans="6:13" x14ac:dyDescent="0.25">
      <c r="F169" t="s">
        <v>3854</v>
      </c>
      <c r="G169" t="s">
        <v>4410</v>
      </c>
      <c r="I169" t="s">
        <v>2741</v>
      </c>
      <c r="J169" t="s">
        <v>3050</v>
      </c>
      <c r="L169" t="s">
        <v>3854</v>
      </c>
      <c r="M169" t="s">
        <v>4152</v>
      </c>
    </row>
    <row r="170" spans="6:13" x14ac:dyDescent="0.25">
      <c r="F170" t="s">
        <v>4430</v>
      </c>
      <c r="G170" t="s">
        <v>4919</v>
      </c>
      <c r="I170" t="s">
        <v>2741</v>
      </c>
      <c r="J170" t="s">
        <v>2999</v>
      </c>
      <c r="L170" t="s">
        <v>7914</v>
      </c>
      <c r="M170" t="s">
        <v>2630</v>
      </c>
    </row>
    <row r="171" spans="6:13" x14ac:dyDescent="0.25">
      <c r="F171" t="s">
        <v>2662</v>
      </c>
      <c r="G171" t="s">
        <v>5090</v>
      </c>
      <c r="I171" t="s">
        <v>90</v>
      </c>
      <c r="J171" t="s">
        <v>931</v>
      </c>
      <c r="L171" t="s">
        <v>6877</v>
      </c>
      <c r="M171" t="s">
        <v>3075</v>
      </c>
    </row>
    <row r="172" spans="6:13" x14ac:dyDescent="0.25">
      <c r="F172" t="s">
        <v>5114</v>
      </c>
      <c r="G172" t="s">
        <v>4716</v>
      </c>
      <c r="I172" t="s">
        <v>338</v>
      </c>
      <c r="J172" t="s">
        <v>772</v>
      </c>
      <c r="L172" t="s">
        <v>5787</v>
      </c>
      <c r="M172" t="s">
        <v>3075</v>
      </c>
    </row>
    <row r="173" spans="6:13" x14ac:dyDescent="0.25">
      <c r="F173" t="s">
        <v>5031</v>
      </c>
      <c r="G173" t="s">
        <v>4550</v>
      </c>
      <c r="I173" t="s">
        <v>256</v>
      </c>
      <c r="J173" t="s">
        <v>5752</v>
      </c>
      <c r="L173" t="s">
        <v>306</v>
      </c>
      <c r="M173" t="s">
        <v>7193</v>
      </c>
    </row>
    <row r="174" spans="6:13" x14ac:dyDescent="0.25">
      <c r="F174" t="s">
        <v>5128</v>
      </c>
      <c r="G174" t="s">
        <v>4763</v>
      </c>
      <c r="I174" t="s">
        <v>90</v>
      </c>
      <c r="J174" t="s">
        <v>6532</v>
      </c>
      <c r="L174" t="s">
        <v>391</v>
      </c>
      <c r="M174" t="s">
        <v>3266</v>
      </c>
    </row>
    <row r="175" spans="6:13" x14ac:dyDescent="0.25">
      <c r="F175" t="s">
        <v>46</v>
      </c>
      <c r="G175" t="s">
        <v>3657</v>
      </c>
      <c r="I175" t="s">
        <v>406</v>
      </c>
      <c r="J175" t="s">
        <v>6395</v>
      </c>
      <c r="L175" t="s">
        <v>7668</v>
      </c>
      <c r="M175" t="s">
        <v>2161</v>
      </c>
    </row>
    <row r="176" spans="6:13" x14ac:dyDescent="0.25">
      <c r="F176" t="s">
        <v>5053</v>
      </c>
      <c r="G176" t="s">
        <v>3360</v>
      </c>
      <c r="I176" t="s">
        <v>6056</v>
      </c>
      <c r="J176" t="s">
        <v>1198</v>
      </c>
      <c r="L176" t="s">
        <v>398</v>
      </c>
      <c r="M176" t="s">
        <v>7829</v>
      </c>
    </row>
    <row r="177" spans="6:13" x14ac:dyDescent="0.25">
      <c r="F177" t="s">
        <v>2662</v>
      </c>
      <c r="G177" t="s">
        <v>3771</v>
      </c>
      <c r="I177" t="s">
        <v>2723</v>
      </c>
      <c r="J177" t="s">
        <v>4054</v>
      </c>
      <c r="L177" t="s">
        <v>7472</v>
      </c>
      <c r="M177" t="s">
        <v>2592</v>
      </c>
    </row>
    <row r="178" spans="6:13" x14ac:dyDescent="0.25">
      <c r="F178" t="s">
        <v>548</v>
      </c>
      <c r="G178" t="s">
        <v>4523</v>
      </c>
      <c r="I178" t="s">
        <v>2352</v>
      </c>
      <c r="J178" t="s">
        <v>3895</v>
      </c>
      <c r="L178" t="s">
        <v>313</v>
      </c>
      <c r="M178" t="s">
        <v>2183</v>
      </c>
    </row>
    <row r="179" spans="6:13" x14ac:dyDescent="0.25">
      <c r="F179" t="s">
        <v>548</v>
      </c>
      <c r="G179" t="s">
        <v>4523</v>
      </c>
      <c r="I179" t="s">
        <v>257</v>
      </c>
      <c r="J179" t="s">
        <v>6531</v>
      </c>
      <c r="L179" t="s">
        <v>457</v>
      </c>
      <c r="M179" t="s">
        <v>1923</v>
      </c>
    </row>
    <row r="180" spans="6:13" x14ac:dyDescent="0.25">
      <c r="F180" t="s">
        <v>548</v>
      </c>
      <c r="G180" t="s">
        <v>4852</v>
      </c>
      <c r="I180" t="s">
        <v>6165</v>
      </c>
      <c r="J180" t="s">
        <v>6166</v>
      </c>
      <c r="L180" t="s">
        <v>391</v>
      </c>
      <c r="M180" t="s">
        <v>3208</v>
      </c>
    </row>
    <row r="181" spans="6:13" x14ac:dyDescent="0.25">
      <c r="F181" t="s">
        <v>4717</v>
      </c>
      <c r="G181" t="s">
        <v>3496</v>
      </c>
      <c r="I181" t="s">
        <v>398</v>
      </c>
      <c r="J181" t="s">
        <v>6005</v>
      </c>
      <c r="L181" t="s">
        <v>7069</v>
      </c>
      <c r="M181" t="s">
        <v>2566</v>
      </c>
    </row>
    <row r="182" spans="6:13" x14ac:dyDescent="0.25">
      <c r="F182" t="s">
        <v>2667</v>
      </c>
      <c r="G182" t="s">
        <v>3704</v>
      </c>
      <c r="I182" t="s">
        <v>461</v>
      </c>
      <c r="J182" t="s">
        <v>6832</v>
      </c>
      <c r="L182" t="s">
        <v>46</v>
      </c>
      <c r="M182" t="s">
        <v>1655</v>
      </c>
    </row>
    <row r="183" spans="6:13" x14ac:dyDescent="0.25">
      <c r="F183" t="s">
        <v>2667</v>
      </c>
      <c r="G183" t="s">
        <v>3581</v>
      </c>
      <c r="I183" t="s">
        <v>257</v>
      </c>
      <c r="J183" t="s">
        <v>5326</v>
      </c>
      <c r="L183" t="s">
        <v>6418</v>
      </c>
      <c r="M183" t="s">
        <v>1870</v>
      </c>
    </row>
    <row r="184" spans="6:13" x14ac:dyDescent="0.25">
      <c r="F184" t="s">
        <v>2667</v>
      </c>
      <c r="G184" t="s">
        <v>3368</v>
      </c>
      <c r="I184" t="s">
        <v>2741</v>
      </c>
      <c r="J184" t="s">
        <v>3011</v>
      </c>
      <c r="L184" t="s">
        <v>313</v>
      </c>
      <c r="M184" t="s">
        <v>2294</v>
      </c>
    </row>
    <row r="185" spans="6:13" x14ac:dyDescent="0.25">
      <c r="F185" t="s">
        <v>3854</v>
      </c>
      <c r="G185" t="s">
        <v>4342</v>
      </c>
      <c r="I185" t="s">
        <v>5355</v>
      </c>
      <c r="J185" t="s">
        <v>1117</v>
      </c>
      <c r="L185" t="s">
        <v>7496</v>
      </c>
      <c r="M185" t="s">
        <v>7497</v>
      </c>
    </row>
    <row r="186" spans="6:13" x14ac:dyDescent="0.25">
      <c r="F186" t="s">
        <v>2662</v>
      </c>
      <c r="G186" t="s">
        <v>3671</v>
      </c>
      <c r="I186" t="s">
        <v>2726</v>
      </c>
      <c r="J186" t="s">
        <v>5630</v>
      </c>
      <c r="L186" t="s">
        <v>398</v>
      </c>
      <c r="M186" t="s">
        <v>2255</v>
      </c>
    </row>
    <row r="187" spans="6:13" x14ac:dyDescent="0.25">
      <c r="F187" t="s">
        <v>4923</v>
      </c>
      <c r="G187" t="s">
        <v>3718</v>
      </c>
      <c r="I187" t="s">
        <v>313</v>
      </c>
      <c r="J187" t="s">
        <v>1399</v>
      </c>
      <c r="L187" t="s">
        <v>398</v>
      </c>
      <c r="M187" t="s">
        <v>7559</v>
      </c>
    </row>
    <row r="188" spans="6:13" x14ac:dyDescent="0.25">
      <c r="F188" t="s">
        <v>2680</v>
      </c>
      <c r="G188" t="s">
        <v>3523</v>
      </c>
      <c r="I188" t="s">
        <v>313</v>
      </c>
      <c r="J188" t="s">
        <v>7968</v>
      </c>
      <c r="L188" t="s">
        <v>457</v>
      </c>
      <c r="M188" t="s">
        <v>1720</v>
      </c>
    </row>
    <row r="189" spans="6:13" x14ac:dyDescent="0.25">
      <c r="F189" t="s">
        <v>398</v>
      </c>
      <c r="G189" t="s">
        <v>3407</v>
      </c>
      <c r="I189" t="s">
        <v>5844</v>
      </c>
      <c r="J189" t="s">
        <v>5845</v>
      </c>
      <c r="L189" t="s">
        <v>7134</v>
      </c>
      <c r="M189" t="s">
        <v>7135</v>
      </c>
    </row>
    <row r="190" spans="6:13" x14ac:dyDescent="0.25">
      <c r="F190" t="s">
        <v>2674</v>
      </c>
      <c r="G190" t="s">
        <v>5200</v>
      </c>
      <c r="I190" t="s">
        <v>2741</v>
      </c>
      <c r="J190" t="s">
        <v>3012</v>
      </c>
      <c r="L190" t="s">
        <v>6917</v>
      </c>
      <c r="M190" t="s">
        <v>1679</v>
      </c>
    </row>
    <row r="191" spans="6:13" x14ac:dyDescent="0.25">
      <c r="F191" t="s">
        <v>2667</v>
      </c>
      <c r="G191" t="s">
        <v>3528</v>
      </c>
      <c r="I191" t="s">
        <v>2741</v>
      </c>
      <c r="J191" t="s">
        <v>3070</v>
      </c>
      <c r="L191" t="s">
        <v>123</v>
      </c>
      <c r="M191" t="s">
        <v>7714</v>
      </c>
    </row>
    <row r="192" spans="6:13" x14ac:dyDescent="0.25">
      <c r="F192" t="s">
        <v>4783</v>
      </c>
      <c r="G192" t="s">
        <v>3567</v>
      </c>
      <c r="I192" t="s">
        <v>5617</v>
      </c>
      <c r="J192" t="s">
        <v>5618</v>
      </c>
      <c r="L192" t="s">
        <v>123</v>
      </c>
      <c r="M192" t="s">
        <v>7001</v>
      </c>
    </row>
    <row r="193" spans="6:13" x14ac:dyDescent="0.25">
      <c r="F193" t="s">
        <v>122</v>
      </c>
      <c r="G193" t="s">
        <v>685</v>
      </c>
      <c r="I193" t="s">
        <v>5574</v>
      </c>
      <c r="J193" t="s">
        <v>5575</v>
      </c>
      <c r="L193" t="s">
        <v>37</v>
      </c>
      <c r="M193" t="s">
        <v>3265</v>
      </c>
    </row>
    <row r="194" spans="6:13" x14ac:dyDescent="0.25">
      <c r="F194" t="s">
        <v>4882</v>
      </c>
      <c r="G194" t="s">
        <v>3677</v>
      </c>
      <c r="I194" t="s">
        <v>48</v>
      </c>
      <c r="J194" t="s">
        <v>6256</v>
      </c>
      <c r="L194" t="s">
        <v>7459</v>
      </c>
      <c r="M194" t="s">
        <v>7688</v>
      </c>
    </row>
    <row r="195" spans="6:13" x14ac:dyDescent="0.25">
      <c r="F195" t="s">
        <v>4509</v>
      </c>
      <c r="G195" t="s">
        <v>4847</v>
      </c>
      <c r="I195" t="s">
        <v>5586</v>
      </c>
      <c r="J195" t="s">
        <v>957</v>
      </c>
      <c r="L195" t="s">
        <v>7312</v>
      </c>
      <c r="M195" t="s">
        <v>7313</v>
      </c>
    </row>
    <row r="196" spans="6:13" x14ac:dyDescent="0.25">
      <c r="F196" t="s">
        <v>95</v>
      </c>
      <c r="G196" t="s">
        <v>755</v>
      </c>
      <c r="I196" t="s">
        <v>333</v>
      </c>
      <c r="J196" t="s">
        <v>6446</v>
      </c>
      <c r="L196" t="s">
        <v>37</v>
      </c>
      <c r="M196" t="s">
        <v>6982</v>
      </c>
    </row>
    <row r="197" spans="6:13" x14ac:dyDescent="0.25">
      <c r="F197" t="s">
        <v>4509</v>
      </c>
      <c r="G197" t="s">
        <v>4569</v>
      </c>
      <c r="I197" t="s">
        <v>3879</v>
      </c>
      <c r="J197" t="s">
        <v>6445</v>
      </c>
      <c r="L197" t="s">
        <v>457</v>
      </c>
      <c r="M197" t="s">
        <v>1869</v>
      </c>
    </row>
    <row r="198" spans="6:13" x14ac:dyDescent="0.25">
      <c r="F198" t="s">
        <v>4509</v>
      </c>
      <c r="G198" t="s">
        <v>4881</v>
      </c>
      <c r="I198" t="s">
        <v>4430</v>
      </c>
      <c r="J198" t="s">
        <v>5760</v>
      </c>
      <c r="L198" t="s">
        <v>7625</v>
      </c>
      <c r="M198" t="s">
        <v>2134</v>
      </c>
    </row>
    <row r="199" spans="6:13" x14ac:dyDescent="0.25">
      <c r="F199" t="s">
        <v>4428</v>
      </c>
      <c r="G199" t="s">
        <v>4985</v>
      </c>
      <c r="I199" t="s">
        <v>5453</v>
      </c>
      <c r="J199" t="s">
        <v>5454</v>
      </c>
      <c r="L199" t="s">
        <v>311</v>
      </c>
      <c r="M199" t="s">
        <v>2240</v>
      </c>
    </row>
    <row r="200" spans="6:13" x14ac:dyDescent="0.25">
      <c r="F200" t="s">
        <v>2667</v>
      </c>
      <c r="G200" t="s">
        <v>3541</v>
      </c>
      <c r="I200" t="s">
        <v>391</v>
      </c>
      <c r="J200" t="s">
        <v>2529</v>
      </c>
      <c r="L200" t="s">
        <v>4146</v>
      </c>
      <c r="M200" t="s">
        <v>4249</v>
      </c>
    </row>
    <row r="201" spans="6:13" x14ac:dyDescent="0.25">
      <c r="F201" t="s">
        <v>2747</v>
      </c>
      <c r="G201" t="s">
        <v>3441</v>
      </c>
      <c r="I201" t="s">
        <v>313</v>
      </c>
      <c r="J201" t="s">
        <v>770</v>
      </c>
      <c r="L201" t="s">
        <v>4146</v>
      </c>
      <c r="M201" t="s">
        <v>4245</v>
      </c>
    </row>
    <row r="202" spans="6:13" x14ac:dyDescent="0.25">
      <c r="F202" t="s">
        <v>4509</v>
      </c>
      <c r="G202" t="s">
        <v>4830</v>
      </c>
      <c r="I202" t="s">
        <v>2352</v>
      </c>
      <c r="J202" t="s">
        <v>3980</v>
      </c>
      <c r="L202" t="s">
        <v>289</v>
      </c>
      <c r="M202" t="s">
        <v>7105</v>
      </c>
    </row>
    <row r="203" spans="6:13" x14ac:dyDescent="0.25">
      <c r="F203" t="s">
        <v>2669</v>
      </c>
      <c r="G203" t="s">
        <v>3291</v>
      </c>
      <c r="I203" t="s">
        <v>5411</v>
      </c>
      <c r="J203" t="s">
        <v>5412</v>
      </c>
      <c r="L203" t="s">
        <v>95</v>
      </c>
      <c r="M203" t="s">
        <v>2098</v>
      </c>
    </row>
    <row r="204" spans="6:13" x14ac:dyDescent="0.25">
      <c r="F204" t="s">
        <v>2676</v>
      </c>
      <c r="G204" t="s">
        <v>3542</v>
      </c>
      <c r="I204" t="s">
        <v>5521</v>
      </c>
      <c r="J204" t="s">
        <v>919</v>
      </c>
      <c r="L204" t="s">
        <v>457</v>
      </c>
      <c r="M204" t="s">
        <v>6997</v>
      </c>
    </row>
    <row r="205" spans="6:13" x14ac:dyDescent="0.25">
      <c r="F205" t="s">
        <v>482</v>
      </c>
      <c r="G205" t="s">
        <v>3362</v>
      </c>
      <c r="I205" t="s">
        <v>2741</v>
      </c>
      <c r="J205" t="s">
        <v>3027</v>
      </c>
      <c r="L205" t="s">
        <v>37</v>
      </c>
      <c r="M205" t="s">
        <v>2094</v>
      </c>
    </row>
    <row r="206" spans="6:13" x14ac:dyDescent="0.25">
      <c r="F206" t="s">
        <v>4509</v>
      </c>
      <c r="G206" t="s">
        <v>4997</v>
      </c>
      <c r="I206" t="s">
        <v>254</v>
      </c>
      <c r="J206" t="s">
        <v>1288</v>
      </c>
      <c r="L206" t="s">
        <v>123</v>
      </c>
      <c r="M206" t="s">
        <v>7648</v>
      </c>
    </row>
    <row r="207" spans="6:13" x14ac:dyDescent="0.25">
      <c r="F207" t="s">
        <v>4509</v>
      </c>
      <c r="G207" t="s">
        <v>4524</v>
      </c>
      <c r="I207" t="s">
        <v>5848</v>
      </c>
      <c r="J207" t="s">
        <v>5849</v>
      </c>
      <c r="L207" t="s">
        <v>7805</v>
      </c>
      <c r="M207" t="s">
        <v>7806</v>
      </c>
    </row>
    <row r="208" spans="6:13" x14ac:dyDescent="0.25">
      <c r="F208" t="s">
        <v>37</v>
      </c>
      <c r="G208" t="s">
        <v>5195</v>
      </c>
      <c r="I208" t="s">
        <v>2741</v>
      </c>
      <c r="J208" t="s">
        <v>3059</v>
      </c>
      <c r="L208" t="s">
        <v>289</v>
      </c>
      <c r="M208" t="s">
        <v>6894</v>
      </c>
    </row>
    <row r="209" spans="6:13" x14ac:dyDescent="0.25">
      <c r="F209" t="s">
        <v>95</v>
      </c>
      <c r="G209" t="s">
        <v>5096</v>
      </c>
      <c r="I209" t="s">
        <v>2741</v>
      </c>
      <c r="J209" t="s">
        <v>3031</v>
      </c>
      <c r="L209" t="s">
        <v>6918</v>
      </c>
      <c r="M209" t="s">
        <v>2557</v>
      </c>
    </row>
    <row r="210" spans="6:13" x14ac:dyDescent="0.25">
      <c r="F210" t="s">
        <v>5197</v>
      </c>
      <c r="G210" t="s">
        <v>3755</v>
      </c>
      <c r="I210" t="s">
        <v>253</v>
      </c>
      <c r="J210" t="s">
        <v>4082</v>
      </c>
      <c r="L210" t="s">
        <v>313</v>
      </c>
      <c r="M210" t="s">
        <v>1677</v>
      </c>
    </row>
    <row r="211" spans="6:13" x14ac:dyDescent="0.25">
      <c r="F211" t="s">
        <v>4509</v>
      </c>
      <c r="G211" t="s">
        <v>4721</v>
      </c>
      <c r="I211" t="s">
        <v>5264</v>
      </c>
      <c r="J211" t="s">
        <v>6821</v>
      </c>
      <c r="L211" t="s">
        <v>457</v>
      </c>
      <c r="M211" t="s">
        <v>7187</v>
      </c>
    </row>
    <row r="212" spans="6:13" x14ac:dyDescent="0.25">
      <c r="F212" t="s">
        <v>548</v>
      </c>
      <c r="G212" t="s">
        <v>3324</v>
      </c>
      <c r="I212" t="s">
        <v>5219</v>
      </c>
      <c r="J212" t="s">
        <v>774</v>
      </c>
      <c r="L212" t="s">
        <v>313</v>
      </c>
      <c r="M212" t="s">
        <v>7603</v>
      </c>
    </row>
    <row r="213" spans="6:13" x14ac:dyDescent="0.25">
      <c r="F213" t="s">
        <v>122</v>
      </c>
      <c r="G213" t="s">
        <v>4389</v>
      </c>
      <c r="I213" t="s">
        <v>0</v>
      </c>
      <c r="J213" t="s">
        <v>5468</v>
      </c>
      <c r="L213" t="s">
        <v>391</v>
      </c>
      <c r="M213" t="s">
        <v>2323</v>
      </c>
    </row>
    <row r="214" spans="6:13" x14ac:dyDescent="0.25">
      <c r="F214" t="s">
        <v>37</v>
      </c>
      <c r="G214" t="s">
        <v>5208</v>
      </c>
      <c r="I214" t="s">
        <v>254</v>
      </c>
      <c r="J214" t="s">
        <v>6858</v>
      </c>
      <c r="L214" t="s">
        <v>3854</v>
      </c>
      <c r="M214" t="s">
        <v>4192</v>
      </c>
    </row>
    <row r="215" spans="6:13" x14ac:dyDescent="0.25">
      <c r="F215" t="s">
        <v>548</v>
      </c>
      <c r="G215" t="s">
        <v>602</v>
      </c>
      <c r="I215" t="s">
        <v>6180</v>
      </c>
      <c r="J215" t="s">
        <v>1272</v>
      </c>
      <c r="L215" t="s">
        <v>95</v>
      </c>
      <c r="M215" t="s">
        <v>2087</v>
      </c>
    </row>
    <row r="216" spans="6:13" x14ac:dyDescent="0.25">
      <c r="F216" t="s">
        <v>5148</v>
      </c>
      <c r="G216" t="s">
        <v>4924</v>
      </c>
      <c r="I216" t="s">
        <v>90</v>
      </c>
      <c r="J216" t="s">
        <v>6231</v>
      </c>
      <c r="L216" t="s">
        <v>7401</v>
      </c>
      <c r="M216" t="s">
        <v>1960</v>
      </c>
    </row>
    <row r="217" spans="6:13" x14ac:dyDescent="0.25">
      <c r="F217" t="s">
        <v>5194</v>
      </c>
      <c r="G217" t="s">
        <v>4924</v>
      </c>
      <c r="I217" t="s">
        <v>15</v>
      </c>
      <c r="J217" t="s">
        <v>2927</v>
      </c>
      <c r="L217" t="s">
        <v>4146</v>
      </c>
      <c r="M217" t="s">
        <v>4226</v>
      </c>
    </row>
    <row r="218" spans="6:13" x14ac:dyDescent="0.25">
      <c r="F218" t="s">
        <v>37</v>
      </c>
      <c r="G218" t="s">
        <v>5064</v>
      </c>
      <c r="I218" t="s">
        <v>313</v>
      </c>
      <c r="J218" t="s">
        <v>980</v>
      </c>
      <c r="L218" t="s">
        <v>391</v>
      </c>
      <c r="M218" t="s">
        <v>1803</v>
      </c>
    </row>
    <row r="219" spans="6:13" x14ac:dyDescent="0.25">
      <c r="F219" t="s">
        <v>548</v>
      </c>
      <c r="G219" t="s">
        <v>610</v>
      </c>
      <c r="I219" t="s">
        <v>313</v>
      </c>
      <c r="J219" t="s">
        <v>1404</v>
      </c>
      <c r="L219" t="s">
        <v>548</v>
      </c>
      <c r="M219" t="s">
        <v>2241</v>
      </c>
    </row>
    <row r="220" spans="6:13" x14ac:dyDescent="0.25">
      <c r="F220" t="s">
        <v>2674</v>
      </c>
      <c r="G220" t="s">
        <v>5173</v>
      </c>
      <c r="I220" t="s">
        <v>6448</v>
      </c>
      <c r="J220" t="s">
        <v>6449</v>
      </c>
      <c r="L220" t="s">
        <v>391</v>
      </c>
      <c r="M220" t="s">
        <v>3155</v>
      </c>
    </row>
    <row r="221" spans="6:13" x14ac:dyDescent="0.25">
      <c r="F221" t="s">
        <v>3854</v>
      </c>
      <c r="G221" t="s">
        <v>4338</v>
      </c>
      <c r="I221" t="s">
        <v>5487</v>
      </c>
      <c r="J221" t="s">
        <v>900</v>
      </c>
      <c r="L221" t="s">
        <v>443</v>
      </c>
      <c r="M221" t="s">
        <v>7530</v>
      </c>
    </row>
    <row r="222" spans="6:13" x14ac:dyDescent="0.25">
      <c r="F222" t="s">
        <v>4683</v>
      </c>
      <c r="G222" t="s">
        <v>4684</v>
      </c>
      <c r="I222" t="s">
        <v>5785</v>
      </c>
      <c r="J222" t="s">
        <v>900</v>
      </c>
      <c r="L222" t="s">
        <v>311</v>
      </c>
      <c r="M222" t="s">
        <v>2101</v>
      </c>
    </row>
    <row r="223" spans="6:13" x14ac:dyDescent="0.25">
      <c r="F223" t="s">
        <v>548</v>
      </c>
      <c r="G223" t="s">
        <v>726</v>
      </c>
      <c r="I223" t="s">
        <v>6135</v>
      </c>
      <c r="J223" t="s">
        <v>6136</v>
      </c>
      <c r="L223" t="s">
        <v>289</v>
      </c>
      <c r="M223" t="s">
        <v>2615</v>
      </c>
    </row>
    <row r="224" spans="6:13" x14ac:dyDescent="0.25">
      <c r="F224" t="s">
        <v>398</v>
      </c>
      <c r="G224" t="s">
        <v>753</v>
      </c>
      <c r="I224" t="s">
        <v>313</v>
      </c>
      <c r="J224" t="s">
        <v>6021</v>
      </c>
      <c r="L224" t="s">
        <v>313</v>
      </c>
      <c r="M224" t="s">
        <v>7832</v>
      </c>
    </row>
    <row r="225" spans="6:13" x14ac:dyDescent="0.25">
      <c r="F225" t="s">
        <v>548</v>
      </c>
      <c r="G225" t="s">
        <v>644</v>
      </c>
      <c r="I225" t="s">
        <v>313</v>
      </c>
      <c r="J225" t="s">
        <v>1465</v>
      </c>
      <c r="L225" t="s">
        <v>391</v>
      </c>
      <c r="M225" t="s">
        <v>3258</v>
      </c>
    </row>
    <row r="226" spans="6:13" x14ac:dyDescent="0.25">
      <c r="F226" t="s">
        <v>2667</v>
      </c>
      <c r="G226" t="s">
        <v>3349</v>
      </c>
      <c r="I226" t="s">
        <v>545</v>
      </c>
      <c r="J226" t="s">
        <v>6317</v>
      </c>
      <c r="L226" t="s">
        <v>7807</v>
      </c>
      <c r="M226" t="s">
        <v>7808</v>
      </c>
    </row>
    <row r="227" spans="6:13" x14ac:dyDescent="0.25">
      <c r="F227" t="s">
        <v>4842</v>
      </c>
      <c r="G227" t="s">
        <v>4843</v>
      </c>
      <c r="I227" t="s">
        <v>311</v>
      </c>
      <c r="J227" t="s">
        <v>1396</v>
      </c>
      <c r="L227" t="s">
        <v>313</v>
      </c>
      <c r="M227" t="s">
        <v>7850</v>
      </c>
    </row>
    <row r="228" spans="6:13" x14ac:dyDescent="0.25">
      <c r="F228" t="s">
        <v>482</v>
      </c>
      <c r="G228" t="s">
        <v>4769</v>
      </c>
      <c r="I228" t="s">
        <v>5364</v>
      </c>
      <c r="J228" t="s">
        <v>850</v>
      </c>
      <c r="L228" t="s">
        <v>356</v>
      </c>
      <c r="M228" t="s">
        <v>7037</v>
      </c>
    </row>
    <row r="229" spans="6:13" x14ac:dyDescent="0.25">
      <c r="F229" t="s">
        <v>4509</v>
      </c>
      <c r="G229" t="s">
        <v>4914</v>
      </c>
      <c r="I229" t="s">
        <v>545</v>
      </c>
      <c r="J229" t="s">
        <v>6214</v>
      </c>
      <c r="L229" t="s">
        <v>443</v>
      </c>
      <c r="M229" t="s">
        <v>1964</v>
      </c>
    </row>
    <row r="230" spans="6:13" x14ac:dyDescent="0.25">
      <c r="F230" t="s">
        <v>545</v>
      </c>
      <c r="G230" t="s">
        <v>4673</v>
      </c>
      <c r="I230" t="s">
        <v>5447</v>
      </c>
      <c r="J230" t="s">
        <v>5448</v>
      </c>
      <c r="L230" t="s">
        <v>7068</v>
      </c>
      <c r="M230" t="s">
        <v>2027</v>
      </c>
    </row>
    <row r="231" spans="6:13" x14ac:dyDescent="0.25">
      <c r="F231" t="s">
        <v>545</v>
      </c>
      <c r="G231" t="s">
        <v>4938</v>
      </c>
      <c r="I231" t="s">
        <v>5476</v>
      </c>
      <c r="J231" t="s">
        <v>5477</v>
      </c>
      <c r="L231" t="s">
        <v>95</v>
      </c>
      <c r="M231" t="s">
        <v>1889</v>
      </c>
    </row>
    <row r="232" spans="6:13" x14ac:dyDescent="0.25">
      <c r="F232" t="s">
        <v>5186</v>
      </c>
      <c r="G232" t="s">
        <v>3693</v>
      </c>
      <c r="I232" t="s">
        <v>3854</v>
      </c>
      <c r="J232" t="s">
        <v>3901</v>
      </c>
      <c r="L232" t="s">
        <v>289</v>
      </c>
      <c r="M232" t="s">
        <v>2136</v>
      </c>
    </row>
    <row r="233" spans="6:13" x14ac:dyDescent="0.25">
      <c r="F233" t="s">
        <v>3854</v>
      </c>
      <c r="G233" t="s">
        <v>4385</v>
      </c>
      <c r="I233" t="s">
        <v>4548</v>
      </c>
      <c r="J233" t="s">
        <v>6293</v>
      </c>
      <c r="L233" t="s">
        <v>548</v>
      </c>
      <c r="M233" t="s">
        <v>2306</v>
      </c>
    </row>
    <row r="234" spans="6:13" x14ac:dyDescent="0.25">
      <c r="F234" t="s">
        <v>2767</v>
      </c>
      <c r="G234" t="s">
        <v>3666</v>
      </c>
      <c r="I234" t="s">
        <v>253</v>
      </c>
      <c r="J234" t="s">
        <v>890</v>
      </c>
      <c r="L234" t="s">
        <v>289</v>
      </c>
      <c r="M234" t="s">
        <v>7892</v>
      </c>
    </row>
    <row r="235" spans="6:13" x14ac:dyDescent="0.25">
      <c r="F235" t="s">
        <v>2767</v>
      </c>
      <c r="G235" t="s">
        <v>3452</v>
      </c>
      <c r="I235" t="s">
        <v>6058</v>
      </c>
      <c r="J235" t="s">
        <v>2935</v>
      </c>
      <c r="L235" t="s">
        <v>37</v>
      </c>
      <c r="M235" t="s">
        <v>2114</v>
      </c>
    </row>
    <row r="236" spans="6:13" x14ac:dyDescent="0.25">
      <c r="F236" t="s">
        <v>2767</v>
      </c>
      <c r="G236" t="s">
        <v>3477</v>
      </c>
      <c r="I236" t="s">
        <v>545</v>
      </c>
      <c r="J236" t="s">
        <v>2928</v>
      </c>
      <c r="L236" t="s">
        <v>400</v>
      </c>
      <c r="M236" t="s">
        <v>2293</v>
      </c>
    </row>
    <row r="237" spans="6:13" x14ac:dyDescent="0.25">
      <c r="F237" t="s">
        <v>4597</v>
      </c>
      <c r="G237" t="s">
        <v>734</v>
      </c>
      <c r="I237" t="s">
        <v>548</v>
      </c>
      <c r="J237" t="s">
        <v>5682</v>
      </c>
      <c r="L237" t="s">
        <v>7789</v>
      </c>
      <c r="M237" t="s">
        <v>2246</v>
      </c>
    </row>
    <row r="238" spans="6:13" x14ac:dyDescent="0.25">
      <c r="F238" t="s">
        <v>4509</v>
      </c>
      <c r="G238" t="s">
        <v>4805</v>
      </c>
      <c r="I238" t="s">
        <v>313</v>
      </c>
      <c r="J238" t="s">
        <v>1522</v>
      </c>
      <c r="L238" t="s">
        <v>391</v>
      </c>
      <c r="M238" t="s">
        <v>2116</v>
      </c>
    </row>
    <row r="239" spans="6:13" x14ac:dyDescent="0.25">
      <c r="F239" t="s">
        <v>4941</v>
      </c>
      <c r="G239" t="s">
        <v>746</v>
      </c>
      <c r="I239" t="s">
        <v>5684</v>
      </c>
      <c r="J239" t="s">
        <v>6224</v>
      </c>
      <c r="L239" t="s">
        <v>313</v>
      </c>
      <c r="M239" t="s">
        <v>7268</v>
      </c>
    </row>
    <row r="240" spans="6:13" x14ac:dyDescent="0.25">
      <c r="F240" t="s">
        <v>3854</v>
      </c>
      <c r="G240" t="s">
        <v>4408</v>
      </c>
      <c r="I240" t="s">
        <v>3900</v>
      </c>
      <c r="J240" t="s">
        <v>6729</v>
      </c>
      <c r="L240" t="s">
        <v>7620</v>
      </c>
      <c r="M240" t="s">
        <v>3206</v>
      </c>
    </row>
    <row r="241" spans="6:13" x14ac:dyDescent="0.25">
      <c r="F241" t="s">
        <v>37</v>
      </c>
      <c r="G241" t="s">
        <v>5109</v>
      </c>
      <c r="I241" t="s">
        <v>6617</v>
      </c>
      <c r="J241" t="s">
        <v>6618</v>
      </c>
      <c r="L241" t="s">
        <v>450</v>
      </c>
      <c r="M241" t="s">
        <v>3141</v>
      </c>
    </row>
    <row r="242" spans="6:13" x14ac:dyDescent="0.25">
      <c r="F242" t="s">
        <v>2767</v>
      </c>
      <c r="G242" t="s">
        <v>3377</v>
      </c>
      <c r="I242" t="s">
        <v>313</v>
      </c>
      <c r="J242" t="s">
        <v>6633</v>
      </c>
      <c r="L242" t="s">
        <v>6561</v>
      </c>
      <c r="M242" t="s">
        <v>7533</v>
      </c>
    </row>
    <row r="243" spans="6:13" x14ac:dyDescent="0.25">
      <c r="F243" t="s">
        <v>482</v>
      </c>
      <c r="G243" t="s">
        <v>5135</v>
      </c>
      <c r="I243" t="s">
        <v>2732</v>
      </c>
      <c r="J243" t="s">
        <v>4040</v>
      </c>
      <c r="L243" t="s">
        <v>391</v>
      </c>
      <c r="M243" t="s">
        <v>3084</v>
      </c>
    </row>
    <row r="244" spans="6:13" x14ac:dyDescent="0.25">
      <c r="F244" t="s">
        <v>482</v>
      </c>
      <c r="G244" t="s">
        <v>3505</v>
      </c>
      <c r="I244" t="s">
        <v>2741</v>
      </c>
      <c r="J244" t="s">
        <v>4098</v>
      </c>
      <c r="L244" t="s">
        <v>457</v>
      </c>
      <c r="M244" t="s">
        <v>7154</v>
      </c>
    </row>
    <row r="245" spans="6:13" x14ac:dyDescent="0.25">
      <c r="F245" t="s">
        <v>4509</v>
      </c>
      <c r="G245" t="s">
        <v>4779</v>
      </c>
      <c r="I245" t="s">
        <v>2741</v>
      </c>
      <c r="J245" t="s">
        <v>3948</v>
      </c>
      <c r="L245" t="s">
        <v>46</v>
      </c>
      <c r="M245" t="s">
        <v>2025</v>
      </c>
    </row>
    <row r="246" spans="6:13" x14ac:dyDescent="0.25">
      <c r="F246" t="s">
        <v>2667</v>
      </c>
      <c r="G246" t="s">
        <v>3744</v>
      </c>
      <c r="I246" t="s">
        <v>2741</v>
      </c>
      <c r="J246" t="s">
        <v>4095</v>
      </c>
      <c r="L246" t="s">
        <v>7814</v>
      </c>
      <c r="M246" t="s">
        <v>2259</v>
      </c>
    </row>
    <row r="247" spans="6:13" x14ac:dyDescent="0.25">
      <c r="F247" t="s">
        <v>2726</v>
      </c>
      <c r="G247" t="s">
        <v>3572</v>
      </c>
      <c r="I247" t="s">
        <v>2741</v>
      </c>
      <c r="J247" t="s">
        <v>3946</v>
      </c>
      <c r="L247" t="s">
        <v>4146</v>
      </c>
      <c r="M247" t="s">
        <v>4277</v>
      </c>
    </row>
    <row r="248" spans="6:13" x14ac:dyDescent="0.25">
      <c r="F248" t="s">
        <v>4509</v>
      </c>
      <c r="G248" t="s">
        <v>4844</v>
      </c>
      <c r="I248" t="s">
        <v>313</v>
      </c>
      <c r="J248" t="s">
        <v>935</v>
      </c>
      <c r="L248" t="s">
        <v>460</v>
      </c>
      <c r="M248" t="s">
        <v>2144</v>
      </c>
    </row>
    <row r="249" spans="6:13" x14ac:dyDescent="0.25">
      <c r="F249" t="s">
        <v>95</v>
      </c>
      <c r="G249" t="s">
        <v>5046</v>
      </c>
      <c r="I249" t="s">
        <v>11</v>
      </c>
      <c r="J249" t="s">
        <v>6585</v>
      </c>
      <c r="L249" t="s">
        <v>313</v>
      </c>
      <c r="M249" t="s">
        <v>4276</v>
      </c>
    </row>
    <row r="250" spans="6:13" x14ac:dyDescent="0.25">
      <c r="F250" t="s">
        <v>4659</v>
      </c>
      <c r="G250" t="s">
        <v>4660</v>
      </c>
      <c r="I250" t="s">
        <v>5629</v>
      </c>
      <c r="J250" t="s">
        <v>976</v>
      </c>
      <c r="L250" t="s">
        <v>37</v>
      </c>
      <c r="M250" t="s">
        <v>1732</v>
      </c>
    </row>
    <row r="251" spans="6:13" x14ac:dyDescent="0.25">
      <c r="F251" t="s">
        <v>482</v>
      </c>
      <c r="G251" t="s">
        <v>3637</v>
      </c>
      <c r="I251" t="s">
        <v>5886</v>
      </c>
      <c r="J251" t="s">
        <v>2834</v>
      </c>
      <c r="L251" t="s">
        <v>2720</v>
      </c>
      <c r="M251" t="s">
        <v>7944</v>
      </c>
    </row>
    <row r="252" spans="6:13" x14ac:dyDescent="0.25">
      <c r="F252" t="s">
        <v>46</v>
      </c>
      <c r="G252" t="s">
        <v>3714</v>
      </c>
      <c r="I252" t="s">
        <v>63</v>
      </c>
      <c r="J252" t="s">
        <v>2450</v>
      </c>
      <c r="L252" t="s">
        <v>37</v>
      </c>
      <c r="M252" t="s">
        <v>7740</v>
      </c>
    </row>
    <row r="253" spans="6:13" x14ac:dyDescent="0.25">
      <c r="F253" t="s">
        <v>37</v>
      </c>
      <c r="G253" t="s">
        <v>4963</v>
      </c>
      <c r="I253" t="s">
        <v>5904</v>
      </c>
      <c r="J253" t="s">
        <v>6255</v>
      </c>
      <c r="L253" t="s">
        <v>7858</v>
      </c>
      <c r="M253" t="s">
        <v>2286</v>
      </c>
    </row>
    <row r="254" spans="6:13" x14ac:dyDescent="0.25">
      <c r="F254" t="s">
        <v>2767</v>
      </c>
      <c r="G254" t="s">
        <v>3543</v>
      </c>
      <c r="I254" t="s">
        <v>340</v>
      </c>
      <c r="J254" t="s">
        <v>5852</v>
      </c>
      <c r="L254" t="s">
        <v>548</v>
      </c>
      <c r="M254" t="s">
        <v>2282</v>
      </c>
    </row>
    <row r="255" spans="6:13" x14ac:dyDescent="0.25">
      <c r="F255" t="s">
        <v>548</v>
      </c>
      <c r="G255" t="s">
        <v>3619</v>
      </c>
      <c r="I255" t="s">
        <v>257</v>
      </c>
      <c r="J255" t="s">
        <v>6202</v>
      </c>
      <c r="L255" t="s">
        <v>7364</v>
      </c>
      <c r="M255" t="s">
        <v>3164</v>
      </c>
    </row>
    <row r="256" spans="6:13" x14ac:dyDescent="0.25">
      <c r="F256" t="s">
        <v>4795</v>
      </c>
      <c r="G256" t="s">
        <v>3590</v>
      </c>
      <c r="I256" t="s">
        <v>5469</v>
      </c>
      <c r="J256" t="s">
        <v>1247</v>
      </c>
      <c r="L256" t="s">
        <v>4146</v>
      </c>
      <c r="M256" t="s">
        <v>4265</v>
      </c>
    </row>
    <row r="257" spans="6:13" x14ac:dyDescent="0.25">
      <c r="F257" t="s">
        <v>4899</v>
      </c>
      <c r="G257" t="s">
        <v>4900</v>
      </c>
      <c r="I257" t="s">
        <v>256</v>
      </c>
      <c r="J257" t="s">
        <v>6716</v>
      </c>
      <c r="L257" t="s">
        <v>3854</v>
      </c>
      <c r="M257" t="s">
        <v>4219</v>
      </c>
    </row>
    <row r="258" spans="6:13" x14ac:dyDescent="0.25">
      <c r="F258" t="s">
        <v>4509</v>
      </c>
      <c r="G258" t="s">
        <v>4936</v>
      </c>
      <c r="I258" t="s">
        <v>5321</v>
      </c>
      <c r="J258" t="s">
        <v>5322</v>
      </c>
      <c r="L258" t="s">
        <v>39</v>
      </c>
      <c r="M258" t="s">
        <v>3178</v>
      </c>
    </row>
    <row r="259" spans="6:13" x14ac:dyDescent="0.25">
      <c r="F259" t="s">
        <v>37</v>
      </c>
      <c r="G259" t="s">
        <v>5083</v>
      </c>
      <c r="I259" t="s">
        <v>3854</v>
      </c>
      <c r="J259" t="s">
        <v>3966</v>
      </c>
      <c r="L259" t="s">
        <v>4146</v>
      </c>
      <c r="M259" t="s">
        <v>7486</v>
      </c>
    </row>
    <row r="260" spans="6:13" x14ac:dyDescent="0.25">
      <c r="F260" t="s">
        <v>4571</v>
      </c>
      <c r="G260" t="s">
        <v>4962</v>
      </c>
      <c r="I260" t="s">
        <v>4334</v>
      </c>
      <c r="J260" t="s">
        <v>5294</v>
      </c>
      <c r="L260" t="s">
        <v>450</v>
      </c>
      <c r="M260" t="s">
        <v>7277</v>
      </c>
    </row>
    <row r="261" spans="6:13" x14ac:dyDescent="0.25">
      <c r="F261" t="s">
        <v>37</v>
      </c>
      <c r="G261" t="s">
        <v>5202</v>
      </c>
      <c r="I261" t="s">
        <v>2741</v>
      </c>
      <c r="J261" t="s">
        <v>4009</v>
      </c>
      <c r="L261" t="s">
        <v>37</v>
      </c>
      <c r="M261" t="s">
        <v>7018</v>
      </c>
    </row>
    <row r="262" spans="6:13" x14ac:dyDescent="0.25">
      <c r="F262" t="s">
        <v>4562</v>
      </c>
      <c r="G262" t="s">
        <v>4563</v>
      </c>
      <c r="I262" t="s">
        <v>545</v>
      </c>
      <c r="J262" t="s">
        <v>6497</v>
      </c>
      <c r="L262" t="s">
        <v>6879</v>
      </c>
      <c r="M262" t="s">
        <v>6880</v>
      </c>
    </row>
    <row r="263" spans="6:13" x14ac:dyDescent="0.25">
      <c r="F263" t="s">
        <v>122</v>
      </c>
      <c r="G263" t="s">
        <v>744</v>
      </c>
      <c r="I263" t="s">
        <v>3937</v>
      </c>
      <c r="J263" t="s">
        <v>4088</v>
      </c>
      <c r="L263" t="s">
        <v>548</v>
      </c>
      <c r="M263" t="s">
        <v>7170</v>
      </c>
    </row>
    <row r="264" spans="6:13" x14ac:dyDescent="0.25">
      <c r="F264" t="s">
        <v>4571</v>
      </c>
      <c r="G264" t="s">
        <v>4641</v>
      </c>
      <c r="I264" t="s">
        <v>3854</v>
      </c>
      <c r="J264" t="s">
        <v>4059</v>
      </c>
      <c r="L264" t="s">
        <v>3854</v>
      </c>
      <c r="M264" t="s">
        <v>4196</v>
      </c>
    </row>
    <row r="265" spans="6:13" x14ac:dyDescent="0.25">
      <c r="F265" t="s">
        <v>37</v>
      </c>
      <c r="G265" t="s">
        <v>4764</v>
      </c>
      <c r="I265" t="s">
        <v>545</v>
      </c>
      <c r="J265" t="s">
        <v>6774</v>
      </c>
      <c r="L265" t="s">
        <v>356</v>
      </c>
      <c r="M265" t="s">
        <v>7165</v>
      </c>
    </row>
    <row r="266" spans="6:13" x14ac:dyDescent="0.25">
      <c r="F266" t="s">
        <v>4831</v>
      </c>
      <c r="G266" t="s">
        <v>4832</v>
      </c>
      <c r="I266" t="s">
        <v>253</v>
      </c>
      <c r="J266" t="s">
        <v>1606</v>
      </c>
      <c r="L266" t="s">
        <v>7093</v>
      </c>
      <c r="M266" t="s">
        <v>4168</v>
      </c>
    </row>
    <row r="267" spans="6:13" x14ac:dyDescent="0.25">
      <c r="F267" t="s">
        <v>46</v>
      </c>
      <c r="G267" t="s">
        <v>3440</v>
      </c>
      <c r="I267" t="s">
        <v>5387</v>
      </c>
      <c r="J267" t="s">
        <v>5388</v>
      </c>
      <c r="L267" t="s">
        <v>400</v>
      </c>
      <c r="M267" t="s">
        <v>1928</v>
      </c>
    </row>
    <row r="268" spans="6:13" x14ac:dyDescent="0.25">
      <c r="F268" t="s">
        <v>4534</v>
      </c>
      <c r="G268" t="s">
        <v>4535</v>
      </c>
      <c r="I268" t="s">
        <v>318</v>
      </c>
      <c r="J268" t="s">
        <v>6022</v>
      </c>
      <c r="L268" t="s">
        <v>36</v>
      </c>
      <c r="M268" t="s">
        <v>1771</v>
      </c>
    </row>
    <row r="269" spans="6:13" x14ac:dyDescent="0.25">
      <c r="F269" t="s">
        <v>122</v>
      </c>
      <c r="G269" t="s">
        <v>3515</v>
      </c>
      <c r="I269" t="s">
        <v>548</v>
      </c>
      <c r="J269" t="s">
        <v>2944</v>
      </c>
      <c r="L269" t="s">
        <v>4146</v>
      </c>
      <c r="M269" t="s">
        <v>4231</v>
      </c>
    </row>
    <row r="270" spans="6:13" x14ac:dyDescent="0.25">
      <c r="F270" t="s">
        <v>4509</v>
      </c>
      <c r="G270" t="s">
        <v>4574</v>
      </c>
      <c r="I270" t="s">
        <v>2741</v>
      </c>
      <c r="J270" t="s">
        <v>4019</v>
      </c>
      <c r="L270" t="s">
        <v>37</v>
      </c>
      <c r="M270" t="s">
        <v>3198</v>
      </c>
    </row>
    <row r="271" spans="6:13" x14ac:dyDescent="0.25">
      <c r="F271" t="s">
        <v>4509</v>
      </c>
      <c r="G271" t="s">
        <v>4709</v>
      </c>
      <c r="I271" t="s">
        <v>11</v>
      </c>
      <c r="J271" t="s">
        <v>5814</v>
      </c>
      <c r="L271" t="s">
        <v>4146</v>
      </c>
      <c r="M271" t="s">
        <v>4213</v>
      </c>
    </row>
    <row r="272" spans="6:13" x14ac:dyDescent="0.25">
      <c r="F272" t="s">
        <v>5102</v>
      </c>
      <c r="G272" t="s">
        <v>4692</v>
      </c>
      <c r="I272" t="s">
        <v>2741</v>
      </c>
      <c r="J272" t="s">
        <v>3048</v>
      </c>
      <c r="L272" t="s">
        <v>7504</v>
      </c>
      <c r="M272" t="s">
        <v>3185</v>
      </c>
    </row>
    <row r="273" spans="6:13" x14ac:dyDescent="0.25">
      <c r="F273" t="s">
        <v>5191</v>
      </c>
      <c r="G273" t="s">
        <v>4692</v>
      </c>
      <c r="I273" t="s">
        <v>2741</v>
      </c>
      <c r="J273" t="s">
        <v>3040</v>
      </c>
      <c r="L273" t="s">
        <v>95</v>
      </c>
      <c r="M273" t="s">
        <v>3257</v>
      </c>
    </row>
    <row r="274" spans="6:13" x14ac:dyDescent="0.25">
      <c r="F274" t="s">
        <v>4915</v>
      </c>
      <c r="G274" t="s">
        <v>5181</v>
      </c>
      <c r="I274" t="s">
        <v>2741</v>
      </c>
      <c r="J274" t="s">
        <v>3056</v>
      </c>
      <c r="L274" t="s">
        <v>391</v>
      </c>
      <c r="M274" t="s">
        <v>2619</v>
      </c>
    </row>
    <row r="275" spans="6:13" x14ac:dyDescent="0.25">
      <c r="F275" t="s">
        <v>2674</v>
      </c>
      <c r="G275" t="s">
        <v>3782</v>
      </c>
      <c r="I275" t="s">
        <v>2741</v>
      </c>
      <c r="J275" t="s">
        <v>3063</v>
      </c>
      <c r="L275" t="s">
        <v>289</v>
      </c>
      <c r="M275" t="s">
        <v>7121</v>
      </c>
    </row>
    <row r="276" spans="6:13" x14ac:dyDescent="0.25">
      <c r="F276" t="s">
        <v>37</v>
      </c>
      <c r="G276" t="s">
        <v>4983</v>
      </c>
      <c r="I276" t="s">
        <v>6372</v>
      </c>
      <c r="J276" t="s">
        <v>1384</v>
      </c>
      <c r="L276" t="s">
        <v>391</v>
      </c>
      <c r="M276" t="s">
        <v>3088</v>
      </c>
    </row>
    <row r="277" spans="6:13" x14ac:dyDescent="0.25">
      <c r="F277" t="s">
        <v>2767</v>
      </c>
      <c r="G277" t="s">
        <v>3369</v>
      </c>
      <c r="I277" t="s">
        <v>6438</v>
      </c>
      <c r="J277" t="s">
        <v>1413</v>
      </c>
      <c r="L277" t="s">
        <v>391</v>
      </c>
      <c r="M277" t="s">
        <v>2578</v>
      </c>
    </row>
    <row r="278" spans="6:13" x14ac:dyDescent="0.25">
      <c r="F278" t="s">
        <v>4509</v>
      </c>
      <c r="G278" t="s">
        <v>4826</v>
      </c>
      <c r="I278" t="s">
        <v>1</v>
      </c>
      <c r="J278" t="s">
        <v>6557</v>
      </c>
      <c r="L278" t="s">
        <v>4564</v>
      </c>
      <c r="M278" t="s">
        <v>2021</v>
      </c>
    </row>
    <row r="279" spans="6:13" x14ac:dyDescent="0.25">
      <c r="F279" t="s">
        <v>256</v>
      </c>
      <c r="G279" t="s">
        <v>5165</v>
      </c>
      <c r="I279" t="s">
        <v>5485</v>
      </c>
      <c r="J279" t="s">
        <v>5486</v>
      </c>
      <c r="L279" t="s">
        <v>7612</v>
      </c>
      <c r="M279" t="s">
        <v>2119</v>
      </c>
    </row>
    <row r="280" spans="6:13" x14ac:dyDescent="0.25">
      <c r="F280" t="s">
        <v>2736</v>
      </c>
      <c r="G280" t="s">
        <v>3332</v>
      </c>
      <c r="I280" t="s">
        <v>3854</v>
      </c>
      <c r="J280" t="s">
        <v>4099</v>
      </c>
      <c r="L280" t="s">
        <v>7945</v>
      </c>
      <c r="M280" t="s">
        <v>2339</v>
      </c>
    </row>
    <row r="281" spans="6:13" x14ac:dyDescent="0.25">
      <c r="F281" t="s">
        <v>2738</v>
      </c>
      <c r="G281" t="s">
        <v>3585</v>
      </c>
      <c r="I281" t="s">
        <v>63</v>
      </c>
      <c r="J281" t="s">
        <v>2475</v>
      </c>
      <c r="L281" t="s">
        <v>4146</v>
      </c>
      <c r="M281" t="s">
        <v>4262</v>
      </c>
    </row>
    <row r="282" spans="6:13" x14ac:dyDescent="0.25">
      <c r="F282" t="s">
        <v>2736</v>
      </c>
      <c r="G282" t="s">
        <v>3507</v>
      </c>
      <c r="I282" t="s">
        <v>5574</v>
      </c>
      <c r="J282" t="s">
        <v>6527</v>
      </c>
      <c r="L282" t="s">
        <v>7689</v>
      </c>
      <c r="M282" t="s">
        <v>2170</v>
      </c>
    </row>
    <row r="283" spans="6:13" x14ac:dyDescent="0.25">
      <c r="F283" t="s">
        <v>2736</v>
      </c>
      <c r="G283" t="s">
        <v>3393</v>
      </c>
      <c r="I283" t="s">
        <v>254</v>
      </c>
      <c r="J283" t="s">
        <v>6704</v>
      </c>
      <c r="L283" t="s">
        <v>36</v>
      </c>
      <c r="M283" t="s">
        <v>1926</v>
      </c>
    </row>
    <row r="284" spans="6:13" x14ac:dyDescent="0.25">
      <c r="F284" t="s">
        <v>2734</v>
      </c>
      <c r="G284" t="s">
        <v>3688</v>
      </c>
      <c r="I284" t="s">
        <v>254</v>
      </c>
      <c r="J284" t="s">
        <v>1292</v>
      </c>
      <c r="L284" t="s">
        <v>6929</v>
      </c>
      <c r="M284" t="s">
        <v>1689</v>
      </c>
    </row>
    <row r="285" spans="6:13" x14ac:dyDescent="0.25">
      <c r="F285" t="s">
        <v>2738</v>
      </c>
      <c r="G285" t="s">
        <v>3293</v>
      </c>
      <c r="I285" t="s">
        <v>40</v>
      </c>
      <c r="J285" t="s">
        <v>6327</v>
      </c>
      <c r="L285" t="s">
        <v>5652</v>
      </c>
      <c r="M285" t="s">
        <v>3105</v>
      </c>
    </row>
    <row r="286" spans="6:13" x14ac:dyDescent="0.25">
      <c r="F286" t="s">
        <v>2736</v>
      </c>
      <c r="G286" t="s">
        <v>3269</v>
      </c>
      <c r="I286" t="s">
        <v>5323</v>
      </c>
      <c r="J286" t="s">
        <v>824</v>
      </c>
      <c r="L286" t="s">
        <v>457</v>
      </c>
      <c r="M286" t="s">
        <v>7665</v>
      </c>
    </row>
    <row r="287" spans="6:13" x14ac:dyDescent="0.25">
      <c r="F287" t="s">
        <v>4509</v>
      </c>
      <c r="G287" t="s">
        <v>4715</v>
      </c>
      <c r="I287" t="s">
        <v>254</v>
      </c>
      <c r="J287" t="s">
        <v>6267</v>
      </c>
      <c r="L287" t="s">
        <v>37</v>
      </c>
      <c r="M287" t="s">
        <v>7835</v>
      </c>
    </row>
    <row r="288" spans="6:13" x14ac:dyDescent="0.25">
      <c r="F288" t="s">
        <v>3854</v>
      </c>
      <c r="G288" t="s">
        <v>4374</v>
      </c>
      <c r="I288" t="s">
        <v>2741</v>
      </c>
      <c r="J288" t="s">
        <v>3972</v>
      </c>
      <c r="L288" t="s">
        <v>7212</v>
      </c>
      <c r="M288" t="s">
        <v>3136</v>
      </c>
    </row>
    <row r="289" spans="6:13" x14ac:dyDescent="0.25">
      <c r="F289" t="s">
        <v>537</v>
      </c>
      <c r="G289" t="s">
        <v>3552</v>
      </c>
      <c r="I289" t="s">
        <v>2741</v>
      </c>
      <c r="J289" t="s">
        <v>4132</v>
      </c>
      <c r="L289" t="s">
        <v>7136</v>
      </c>
      <c r="M289" t="s">
        <v>3130</v>
      </c>
    </row>
    <row r="290" spans="6:13" x14ac:dyDescent="0.25">
      <c r="F290" t="s">
        <v>5052</v>
      </c>
      <c r="G290" t="s">
        <v>4871</v>
      </c>
      <c r="I290" t="s">
        <v>2741</v>
      </c>
      <c r="J290" t="s">
        <v>3887</v>
      </c>
      <c r="L290" t="s">
        <v>7056</v>
      </c>
      <c r="M290" t="s">
        <v>1766</v>
      </c>
    </row>
    <row r="291" spans="6:13" x14ac:dyDescent="0.25">
      <c r="F291" t="s">
        <v>5174</v>
      </c>
      <c r="G291" t="s">
        <v>4871</v>
      </c>
      <c r="I291" t="s">
        <v>2741</v>
      </c>
      <c r="J291" t="s">
        <v>3989</v>
      </c>
      <c r="L291" t="s">
        <v>391</v>
      </c>
      <c r="M291" t="s">
        <v>2584</v>
      </c>
    </row>
    <row r="292" spans="6:13" x14ac:dyDescent="0.25">
      <c r="F292" t="s">
        <v>4509</v>
      </c>
      <c r="G292" t="s">
        <v>4979</v>
      </c>
      <c r="I292" t="s">
        <v>40</v>
      </c>
      <c r="J292" t="s">
        <v>6403</v>
      </c>
      <c r="L292" t="s">
        <v>289</v>
      </c>
      <c r="M292" t="s">
        <v>7487</v>
      </c>
    </row>
    <row r="293" spans="6:13" x14ac:dyDescent="0.25">
      <c r="F293" t="s">
        <v>37</v>
      </c>
      <c r="G293" t="s">
        <v>4809</v>
      </c>
      <c r="I293" t="s">
        <v>254</v>
      </c>
      <c r="J293" t="s">
        <v>5270</v>
      </c>
      <c r="L293" t="s">
        <v>457</v>
      </c>
      <c r="M293" t="s">
        <v>1751</v>
      </c>
    </row>
    <row r="294" spans="6:13" x14ac:dyDescent="0.25">
      <c r="F294" t="s">
        <v>256</v>
      </c>
      <c r="G294" t="s">
        <v>5048</v>
      </c>
      <c r="I294" t="s">
        <v>2741</v>
      </c>
      <c r="J294" t="s">
        <v>3057</v>
      </c>
      <c r="L294" t="s">
        <v>21</v>
      </c>
      <c r="M294" t="s">
        <v>2080</v>
      </c>
    </row>
    <row r="295" spans="6:13" x14ac:dyDescent="0.25">
      <c r="F295" t="s">
        <v>4547</v>
      </c>
      <c r="G295" t="s">
        <v>4753</v>
      </c>
      <c r="I295" t="s">
        <v>2741</v>
      </c>
      <c r="J295" t="s">
        <v>3006</v>
      </c>
      <c r="L295" t="s">
        <v>37</v>
      </c>
      <c r="M295" t="s">
        <v>6925</v>
      </c>
    </row>
    <row r="296" spans="6:13" x14ac:dyDescent="0.25">
      <c r="F296" t="s">
        <v>46</v>
      </c>
      <c r="G296" t="s">
        <v>636</v>
      </c>
      <c r="I296" t="s">
        <v>2738</v>
      </c>
      <c r="J296" t="s">
        <v>2923</v>
      </c>
      <c r="L296" t="s">
        <v>7068</v>
      </c>
      <c r="M296" t="s">
        <v>1772</v>
      </c>
    </row>
    <row r="297" spans="6:13" x14ac:dyDescent="0.25">
      <c r="F297" t="s">
        <v>95</v>
      </c>
      <c r="G297" t="s">
        <v>5049</v>
      </c>
      <c r="I297" t="s">
        <v>313</v>
      </c>
      <c r="J297" t="s">
        <v>7965</v>
      </c>
      <c r="L297" t="s">
        <v>283</v>
      </c>
      <c r="M297" t="s">
        <v>1819</v>
      </c>
    </row>
    <row r="298" spans="6:13" x14ac:dyDescent="0.25">
      <c r="F298" t="s">
        <v>37</v>
      </c>
      <c r="G298" t="s">
        <v>4976</v>
      </c>
      <c r="I298" t="s">
        <v>5511</v>
      </c>
      <c r="J298" t="s">
        <v>917</v>
      </c>
      <c r="L298" t="s">
        <v>4812</v>
      </c>
      <c r="M298" t="s">
        <v>7650</v>
      </c>
    </row>
    <row r="299" spans="6:13" x14ac:dyDescent="0.25">
      <c r="F299" t="s">
        <v>4509</v>
      </c>
      <c r="G299" t="s">
        <v>4802</v>
      </c>
      <c r="I299" t="s">
        <v>3879</v>
      </c>
      <c r="J299" t="s">
        <v>6308</v>
      </c>
      <c r="L299" t="s">
        <v>4146</v>
      </c>
      <c r="M299" t="s">
        <v>4165</v>
      </c>
    </row>
    <row r="300" spans="6:13" x14ac:dyDescent="0.25">
      <c r="F300" t="s">
        <v>2767</v>
      </c>
      <c r="G300" t="s">
        <v>3763</v>
      </c>
      <c r="I300" t="s">
        <v>283</v>
      </c>
      <c r="J300" t="s">
        <v>2525</v>
      </c>
      <c r="L300" t="s">
        <v>7141</v>
      </c>
      <c r="M300" t="s">
        <v>3122</v>
      </c>
    </row>
    <row r="301" spans="6:13" x14ac:dyDescent="0.25">
      <c r="F301" t="s">
        <v>2667</v>
      </c>
      <c r="G301" t="s">
        <v>3587</v>
      </c>
      <c r="I301" t="s">
        <v>95</v>
      </c>
      <c r="J301" t="s">
        <v>5607</v>
      </c>
      <c r="L301" t="s">
        <v>457</v>
      </c>
      <c r="M301" t="s">
        <v>7950</v>
      </c>
    </row>
    <row r="302" spans="6:13" x14ac:dyDescent="0.25">
      <c r="F302" t="s">
        <v>398</v>
      </c>
      <c r="G302" t="s">
        <v>728</v>
      </c>
      <c r="I302" t="s">
        <v>5680</v>
      </c>
      <c r="J302" t="s">
        <v>1008</v>
      </c>
      <c r="L302" t="s">
        <v>37</v>
      </c>
      <c r="M302" t="s">
        <v>7709</v>
      </c>
    </row>
    <row r="303" spans="6:13" x14ac:dyDescent="0.25">
      <c r="F303" t="s">
        <v>4430</v>
      </c>
      <c r="G303" t="s">
        <v>4731</v>
      </c>
      <c r="I303" t="s">
        <v>254</v>
      </c>
      <c r="J303" t="s">
        <v>5746</v>
      </c>
      <c r="L303" t="s">
        <v>7954</v>
      </c>
      <c r="M303" t="s">
        <v>2345</v>
      </c>
    </row>
    <row r="304" spans="6:13" x14ac:dyDescent="0.25">
      <c r="F304" t="s">
        <v>46</v>
      </c>
      <c r="G304" t="s">
        <v>3459</v>
      </c>
      <c r="I304" t="s">
        <v>5914</v>
      </c>
      <c r="J304" t="s">
        <v>5915</v>
      </c>
      <c r="L304" t="s">
        <v>7594</v>
      </c>
      <c r="M304" t="s">
        <v>3200</v>
      </c>
    </row>
    <row r="305" spans="6:13" x14ac:dyDescent="0.25">
      <c r="F305" t="s">
        <v>2667</v>
      </c>
      <c r="G305" t="s">
        <v>3554</v>
      </c>
      <c r="I305" t="s">
        <v>280</v>
      </c>
      <c r="J305" t="s">
        <v>7985</v>
      </c>
      <c r="L305" t="s">
        <v>7212</v>
      </c>
      <c r="M305" t="s">
        <v>3254</v>
      </c>
    </row>
    <row r="306" spans="6:13" x14ac:dyDescent="0.25">
      <c r="F306" t="s">
        <v>315</v>
      </c>
      <c r="G306" t="s">
        <v>4994</v>
      </c>
      <c r="I306" t="s">
        <v>403</v>
      </c>
      <c r="J306" t="s">
        <v>1464</v>
      </c>
      <c r="L306" t="s">
        <v>7136</v>
      </c>
      <c r="M306" t="s">
        <v>3120</v>
      </c>
    </row>
    <row r="307" spans="6:13" x14ac:dyDescent="0.25">
      <c r="F307" t="s">
        <v>356</v>
      </c>
      <c r="G307" t="s">
        <v>4396</v>
      </c>
      <c r="I307" t="s">
        <v>2741</v>
      </c>
      <c r="J307" t="s">
        <v>3005</v>
      </c>
      <c r="L307" t="s">
        <v>548</v>
      </c>
      <c r="M307" t="s">
        <v>2281</v>
      </c>
    </row>
    <row r="308" spans="6:13" x14ac:dyDescent="0.25">
      <c r="F308" t="s">
        <v>2675</v>
      </c>
      <c r="G308" t="s">
        <v>3376</v>
      </c>
      <c r="I308" t="s">
        <v>2741</v>
      </c>
      <c r="J308" t="s">
        <v>3055</v>
      </c>
      <c r="L308" t="s">
        <v>4812</v>
      </c>
      <c r="M308" t="s">
        <v>7654</v>
      </c>
    </row>
    <row r="309" spans="6:13" x14ac:dyDescent="0.25">
      <c r="F309" t="s">
        <v>4146</v>
      </c>
      <c r="G309" t="s">
        <v>4400</v>
      </c>
      <c r="I309" t="s">
        <v>286</v>
      </c>
      <c r="J309" t="s">
        <v>1110</v>
      </c>
      <c r="L309" t="s">
        <v>548</v>
      </c>
      <c r="M309" t="s">
        <v>7207</v>
      </c>
    </row>
    <row r="310" spans="6:13" x14ac:dyDescent="0.25">
      <c r="F310" t="s">
        <v>2767</v>
      </c>
      <c r="G310" t="s">
        <v>3365</v>
      </c>
      <c r="I310" t="s">
        <v>2736</v>
      </c>
      <c r="J310" t="s">
        <v>4021</v>
      </c>
      <c r="L310" t="s">
        <v>4146</v>
      </c>
      <c r="M310" t="s">
        <v>4199</v>
      </c>
    </row>
    <row r="311" spans="6:13" x14ac:dyDescent="0.25">
      <c r="F311" t="s">
        <v>37</v>
      </c>
      <c r="G311" t="s">
        <v>4643</v>
      </c>
      <c r="I311" t="s">
        <v>313</v>
      </c>
      <c r="J311" t="s">
        <v>1049</v>
      </c>
      <c r="L311" t="s">
        <v>7389</v>
      </c>
      <c r="M311" t="s">
        <v>1954</v>
      </c>
    </row>
    <row r="312" spans="6:13" x14ac:dyDescent="0.25">
      <c r="F312" t="s">
        <v>37</v>
      </c>
      <c r="G312" t="s">
        <v>4653</v>
      </c>
      <c r="I312" t="s">
        <v>5437</v>
      </c>
      <c r="J312" t="s">
        <v>888</v>
      </c>
      <c r="L312" t="s">
        <v>548</v>
      </c>
      <c r="M312" t="s">
        <v>1699</v>
      </c>
    </row>
    <row r="313" spans="6:13" x14ac:dyDescent="0.25">
      <c r="F313" t="s">
        <v>4509</v>
      </c>
      <c r="G313" t="s">
        <v>4616</v>
      </c>
      <c r="I313" t="s">
        <v>254</v>
      </c>
      <c r="J313" t="s">
        <v>1012</v>
      </c>
      <c r="L313" t="s">
        <v>7002</v>
      </c>
      <c r="M313" t="s">
        <v>1728</v>
      </c>
    </row>
    <row r="314" spans="6:13" x14ac:dyDescent="0.25">
      <c r="F314" t="s">
        <v>4509</v>
      </c>
      <c r="G314" t="s">
        <v>4868</v>
      </c>
      <c r="I314" t="s">
        <v>5487</v>
      </c>
      <c r="J314" t="s">
        <v>1052</v>
      </c>
      <c r="L314" t="s">
        <v>4430</v>
      </c>
      <c r="M314" t="s">
        <v>7830</v>
      </c>
    </row>
    <row r="315" spans="6:13" x14ac:dyDescent="0.25">
      <c r="F315" t="s">
        <v>4430</v>
      </c>
      <c r="G315" t="s">
        <v>4980</v>
      </c>
      <c r="I315" t="s">
        <v>5830</v>
      </c>
      <c r="J315" t="s">
        <v>1052</v>
      </c>
      <c r="L315" t="s">
        <v>6897</v>
      </c>
      <c r="M315" t="s">
        <v>3083</v>
      </c>
    </row>
    <row r="316" spans="6:13" x14ac:dyDescent="0.25">
      <c r="F316" t="s">
        <v>398</v>
      </c>
      <c r="G316" t="s">
        <v>3725</v>
      </c>
      <c r="I316" t="s">
        <v>5375</v>
      </c>
      <c r="J316" t="s">
        <v>5376</v>
      </c>
      <c r="L316" t="s">
        <v>391</v>
      </c>
      <c r="M316" t="s">
        <v>3146</v>
      </c>
    </row>
    <row r="317" spans="6:13" x14ac:dyDescent="0.25">
      <c r="F317" t="s">
        <v>548</v>
      </c>
      <c r="G317" t="s">
        <v>3487</v>
      </c>
      <c r="I317" t="s">
        <v>398</v>
      </c>
      <c r="J317" t="s">
        <v>1013</v>
      </c>
      <c r="L317" t="s">
        <v>313</v>
      </c>
      <c r="M317" t="s">
        <v>7692</v>
      </c>
    </row>
    <row r="318" spans="6:13" x14ac:dyDescent="0.25">
      <c r="F318" t="s">
        <v>4713</v>
      </c>
      <c r="G318" t="s">
        <v>674</v>
      </c>
      <c r="I318" t="s">
        <v>6094</v>
      </c>
      <c r="J318" t="s">
        <v>6095</v>
      </c>
      <c r="L318" t="s">
        <v>6869</v>
      </c>
      <c r="M318" t="s">
        <v>6870</v>
      </c>
    </row>
    <row r="319" spans="6:13" x14ac:dyDescent="0.25">
      <c r="F319" t="s">
        <v>2663</v>
      </c>
      <c r="G319" t="s">
        <v>4693</v>
      </c>
      <c r="I319" t="s">
        <v>254</v>
      </c>
      <c r="J319" t="s">
        <v>1016</v>
      </c>
      <c r="L319" t="s">
        <v>4812</v>
      </c>
      <c r="M319" t="s">
        <v>4224</v>
      </c>
    </row>
    <row r="320" spans="6:13" x14ac:dyDescent="0.25">
      <c r="F320" t="s">
        <v>2667</v>
      </c>
      <c r="G320" t="s">
        <v>5050</v>
      </c>
      <c r="I320" t="s">
        <v>5369</v>
      </c>
      <c r="J320" t="s">
        <v>3933</v>
      </c>
      <c r="L320" t="s">
        <v>3854</v>
      </c>
      <c r="M320" t="s">
        <v>4197</v>
      </c>
    </row>
    <row r="321" spans="6:13" x14ac:dyDescent="0.25">
      <c r="F321" t="s">
        <v>5124</v>
      </c>
      <c r="G321" t="s">
        <v>4754</v>
      </c>
      <c r="I321" t="s">
        <v>95</v>
      </c>
      <c r="J321" t="s">
        <v>6213</v>
      </c>
      <c r="L321" t="s">
        <v>39</v>
      </c>
      <c r="M321" t="s">
        <v>3253</v>
      </c>
    </row>
    <row r="322" spans="6:13" x14ac:dyDescent="0.25">
      <c r="F322" t="s">
        <v>122</v>
      </c>
      <c r="G322" t="s">
        <v>666</v>
      </c>
      <c r="I322" t="s">
        <v>6195</v>
      </c>
      <c r="J322" t="s">
        <v>6196</v>
      </c>
      <c r="L322" t="s">
        <v>313</v>
      </c>
      <c r="M322" t="s">
        <v>2029</v>
      </c>
    </row>
    <row r="323" spans="6:13" x14ac:dyDescent="0.25">
      <c r="F323" t="s">
        <v>2767</v>
      </c>
      <c r="G323" t="s">
        <v>3335</v>
      </c>
      <c r="I323" t="s">
        <v>5447</v>
      </c>
      <c r="J323" t="s">
        <v>5687</v>
      </c>
      <c r="L323" t="s">
        <v>7590</v>
      </c>
      <c r="M323" t="s">
        <v>7591</v>
      </c>
    </row>
    <row r="324" spans="6:13" x14ac:dyDescent="0.25">
      <c r="F324" t="s">
        <v>3854</v>
      </c>
      <c r="G324" t="s">
        <v>4381</v>
      </c>
      <c r="I324" t="s">
        <v>2741</v>
      </c>
      <c r="J324" t="s">
        <v>3030</v>
      </c>
      <c r="L324" t="s">
        <v>356</v>
      </c>
      <c r="M324" t="s">
        <v>4207</v>
      </c>
    </row>
    <row r="325" spans="6:13" x14ac:dyDescent="0.25">
      <c r="F325" t="s">
        <v>41</v>
      </c>
      <c r="G325" t="s">
        <v>4736</v>
      </c>
      <c r="I325" t="s">
        <v>2741</v>
      </c>
      <c r="J325" t="s">
        <v>3019</v>
      </c>
      <c r="L325" t="s">
        <v>283</v>
      </c>
      <c r="M325" t="s">
        <v>3186</v>
      </c>
    </row>
    <row r="326" spans="6:13" x14ac:dyDescent="0.25">
      <c r="F326" t="s">
        <v>2767</v>
      </c>
      <c r="G326" t="s">
        <v>3649</v>
      </c>
      <c r="I326" t="s">
        <v>2741</v>
      </c>
      <c r="J326" t="s">
        <v>3058</v>
      </c>
      <c r="L326" t="s">
        <v>548</v>
      </c>
      <c r="M326" t="s">
        <v>7928</v>
      </c>
    </row>
    <row r="327" spans="6:13" x14ac:dyDescent="0.25">
      <c r="F327" t="s">
        <v>39</v>
      </c>
      <c r="G327" t="s">
        <v>4752</v>
      </c>
      <c r="I327" t="s">
        <v>2741</v>
      </c>
      <c r="J327" t="s">
        <v>3068</v>
      </c>
      <c r="L327" t="s">
        <v>289</v>
      </c>
      <c r="M327" t="s">
        <v>7634</v>
      </c>
    </row>
    <row r="328" spans="6:13" x14ac:dyDescent="0.25">
      <c r="F328" t="s">
        <v>95</v>
      </c>
      <c r="G328" t="s">
        <v>3732</v>
      </c>
      <c r="I328" t="s">
        <v>92</v>
      </c>
      <c r="J328" t="s">
        <v>6545</v>
      </c>
      <c r="L328" t="s">
        <v>7185</v>
      </c>
      <c r="M328" t="s">
        <v>7186</v>
      </c>
    </row>
    <row r="329" spans="6:13" x14ac:dyDescent="0.25">
      <c r="F329" t="s">
        <v>553</v>
      </c>
      <c r="G329" t="s">
        <v>599</v>
      </c>
      <c r="I329" t="s">
        <v>5745</v>
      </c>
      <c r="J329" t="s">
        <v>1299</v>
      </c>
      <c r="L329" t="s">
        <v>396</v>
      </c>
      <c r="M329" t="s">
        <v>2588</v>
      </c>
    </row>
    <row r="330" spans="6:13" x14ac:dyDescent="0.25">
      <c r="F330" t="s">
        <v>39</v>
      </c>
      <c r="G330" t="s">
        <v>4639</v>
      </c>
      <c r="I330" t="s">
        <v>391</v>
      </c>
      <c r="J330" t="s">
        <v>2502</v>
      </c>
      <c r="L330" t="s">
        <v>315</v>
      </c>
      <c r="M330" t="s">
        <v>6941</v>
      </c>
    </row>
    <row r="331" spans="6:13" x14ac:dyDescent="0.25">
      <c r="F331" t="s">
        <v>2767</v>
      </c>
      <c r="G331" t="s">
        <v>3780</v>
      </c>
      <c r="I331" t="s">
        <v>46</v>
      </c>
      <c r="J331" t="s">
        <v>815</v>
      </c>
      <c r="L331" t="s">
        <v>7594</v>
      </c>
      <c r="M331" t="s">
        <v>2237</v>
      </c>
    </row>
    <row r="332" spans="6:13" x14ac:dyDescent="0.25">
      <c r="F332" t="s">
        <v>4656</v>
      </c>
      <c r="G332" t="s">
        <v>656</v>
      </c>
      <c r="I332" t="s">
        <v>545</v>
      </c>
      <c r="J332" t="s">
        <v>6054</v>
      </c>
      <c r="L332" t="s">
        <v>122</v>
      </c>
      <c r="M332" t="s">
        <v>1734</v>
      </c>
    </row>
    <row r="333" spans="6:13" x14ac:dyDescent="0.25">
      <c r="F333" t="s">
        <v>5097</v>
      </c>
      <c r="G333" t="s">
        <v>4682</v>
      </c>
      <c r="I333" t="s">
        <v>391</v>
      </c>
      <c r="J333" t="s">
        <v>2499</v>
      </c>
      <c r="L333" t="s">
        <v>7136</v>
      </c>
      <c r="M333" t="s">
        <v>3180</v>
      </c>
    </row>
    <row r="334" spans="6:13" x14ac:dyDescent="0.25">
      <c r="F334" t="s">
        <v>4915</v>
      </c>
      <c r="G334" t="s">
        <v>5189</v>
      </c>
      <c r="I334" t="s">
        <v>311</v>
      </c>
      <c r="J334" t="s">
        <v>995</v>
      </c>
      <c r="L334" t="s">
        <v>283</v>
      </c>
      <c r="M334" t="s">
        <v>3163</v>
      </c>
    </row>
    <row r="335" spans="6:13" x14ac:dyDescent="0.25">
      <c r="F335" t="s">
        <v>4571</v>
      </c>
      <c r="G335" t="s">
        <v>4572</v>
      </c>
      <c r="I335" t="s">
        <v>5619</v>
      </c>
      <c r="J335" t="s">
        <v>1626</v>
      </c>
      <c r="L335" t="s">
        <v>7918</v>
      </c>
      <c r="M335" t="s">
        <v>7919</v>
      </c>
    </row>
    <row r="336" spans="6:13" x14ac:dyDescent="0.25">
      <c r="F336" t="s">
        <v>540</v>
      </c>
      <c r="G336" t="s">
        <v>627</v>
      </c>
      <c r="I336" t="s">
        <v>5576</v>
      </c>
      <c r="J336" t="s">
        <v>1519</v>
      </c>
      <c r="L336" t="s">
        <v>391</v>
      </c>
      <c r="M336" t="s">
        <v>3216</v>
      </c>
    </row>
    <row r="337" spans="6:13" x14ac:dyDescent="0.25">
      <c r="F337" t="s">
        <v>2767</v>
      </c>
      <c r="G337" t="s">
        <v>3758</v>
      </c>
      <c r="I337" t="s">
        <v>2726</v>
      </c>
      <c r="J337" t="s">
        <v>5416</v>
      </c>
      <c r="L337" t="s">
        <v>311</v>
      </c>
      <c r="M337" t="s">
        <v>3197</v>
      </c>
    </row>
    <row r="338" spans="6:13" x14ac:dyDescent="0.25">
      <c r="F338" t="s">
        <v>2732</v>
      </c>
      <c r="G338" t="s">
        <v>3439</v>
      </c>
      <c r="I338" t="s">
        <v>257</v>
      </c>
      <c r="J338" t="s">
        <v>6286</v>
      </c>
      <c r="L338" t="s">
        <v>315</v>
      </c>
      <c r="M338" t="s">
        <v>3089</v>
      </c>
    </row>
    <row r="339" spans="6:13" x14ac:dyDescent="0.25">
      <c r="F339" t="s">
        <v>4509</v>
      </c>
      <c r="G339" t="s">
        <v>4688</v>
      </c>
      <c r="I339" t="s">
        <v>4430</v>
      </c>
      <c r="J339" t="s">
        <v>6168</v>
      </c>
      <c r="L339" t="s">
        <v>4146</v>
      </c>
      <c r="M339" t="s">
        <v>6902</v>
      </c>
    </row>
    <row r="340" spans="6:13" x14ac:dyDescent="0.25">
      <c r="F340" t="s">
        <v>5051</v>
      </c>
      <c r="G340" t="s">
        <v>4671</v>
      </c>
      <c r="I340" t="s">
        <v>254</v>
      </c>
      <c r="J340" t="s">
        <v>5589</v>
      </c>
      <c r="L340" t="s">
        <v>7295</v>
      </c>
      <c r="M340" t="s">
        <v>3147</v>
      </c>
    </row>
    <row r="341" spans="6:13" x14ac:dyDescent="0.25">
      <c r="F341" t="s">
        <v>5093</v>
      </c>
      <c r="G341" t="s">
        <v>4671</v>
      </c>
      <c r="I341" t="s">
        <v>400</v>
      </c>
      <c r="J341" t="s">
        <v>6038</v>
      </c>
      <c r="L341" t="s">
        <v>315</v>
      </c>
      <c r="M341" t="s">
        <v>3234</v>
      </c>
    </row>
    <row r="342" spans="6:13" x14ac:dyDescent="0.25">
      <c r="F342" t="s">
        <v>2767</v>
      </c>
      <c r="G342" t="s">
        <v>3616</v>
      </c>
      <c r="I342" t="s">
        <v>276</v>
      </c>
      <c r="J342" t="s">
        <v>1194</v>
      </c>
      <c r="L342" t="s">
        <v>315</v>
      </c>
      <c r="M342" t="s">
        <v>7112</v>
      </c>
    </row>
    <row r="343" spans="6:13" x14ac:dyDescent="0.25">
      <c r="F343" t="s">
        <v>537</v>
      </c>
      <c r="G343" t="s">
        <v>5156</v>
      </c>
      <c r="I343" t="s">
        <v>6639</v>
      </c>
      <c r="J343" t="s">
        <v>6640</v>
      </c>
      <c r="L343" t="s">
        <v>7784</v>
      </c>
      <c r="M343" t="s">
        <v>3239</v>
      </c>
    </row>
    <row r="344" spans="6:13" x14ac:dyDescent="0.25">
      <c r="F344" t="s">
        <v>4583</v>
      </c>
      <c r="G344" t="s">
        <v>617</v>
      </c>
      <c r="I344" t="s">
        <v>45</v>
      </c>
      <c r="J344" t="s">
        <v>5810</v>
      </c>
      <c r="L344" t="s">
        <v>315</v>
      </c>
      <c r="M344" t="s">
        <v>6991</v>
      </c>
    </row>
    <row r="345" spans="6:13" x14ac:dyDescent="0.25">
      <c r="F345" t="s">
        <v>2767</v>
      </c>
      <c r="G345" t="s">
        <v>3504</v>
      </c>
      <c r="I345" t="s">
        <v>254</v>
      </c>
      <c r="J345" t="s">
        <v>1570</v>
      </c>
      <c r="L345" t="s">
        <v>7833</v>
      </c>
      <c r="M345" t="s">
        <v>7834</v>
      </c>
    </row>
    <row r="346" spans="6:13" x14ac:dyDescent="0.25">
      <c r="F346" t="s">
        <v>4977</v>
      </c>
      <c r="G346" t="s">
        <v>4978</v>
      </c>
      <c r="I346" t="s">
        <v>313</v>
      </c>
      <c r="J346" t="s">
        <v>1182</v>
      </c>
      <c r="L346" t="s">
        <v>37</v>
      </c>
      <c r="M346" t="s">
        <v>7421</v>
      </c>
    </row>
    <row r="347" spans="6:13" x14ac:dyDescent="0.25">
      <c r="F347" t="s">
        <v>482</v>
      </c>
      <c r="G347" t="s">
        <v>4528</v>
      </c>
      <c r="I347" t="s">
        <v>313</v>
      </c>
      <c r="J347" t="s">
        <v>996</v>
      </c>
      <c r="L347" t="s">
        <v>7386</v>
      </c>
      <c r="M347" t="s">
        <v>3170</v>
      </c>
    </row>
    <row r="348" spans="6:13" x14ac:dyDescent="0.25">
      <c r="F348" t="s">
        <v>400</v>
      </c>
      <c r="G348" t="s">
        <v>640</v>
      </c>
      <c r="I348" t="s">
        <v>313</v>
      </c>
      <c r="J348" t="s">
        <v>2503</v>
      </c>
      <c r="L348" t="s">
        <v>309</v>
      </c>
      <c r="M348" t="s">
        <v>3250</v>
      </c>
    </row>
    <row r="349" spans="6:13" x14ac:dyDescent="0.25">
      <c r="F349" t="s">
        <v>4623</v>
      </c>
      <c r="G349" t="s">
        <v>4624</v>
      </c>
      <c r="I349" t="s">
        <v>408</v>
      </c>
      <c r="J349" t="s">
        <v>5874</v>
      </c>
      <c r="L349" t="s">
        <v>313</v>
      </c>
      <c r="M349" t="s">
        <v>1854</v>
      </c>
    </row>
    <row r="350" spans="6:13" x14ac:dyDescent="0.25">
      <c r="F350" t="s">
        <v>137</v>
      </c>
      <c r="G350" t="s">
        <v>630</v>
      </c>
      <c r="I350" t="s">
        <v>5318</v>
      </c>
      <c r="J350" t="s">
        <v>5649</v>
      </c>
      <c r="L350" t="s">
        <v>313</v>
      </c>
      <c r="M350" t="s">
        <v>3199</v>
      </c>
    </row>
    <row r="351" spans="6:13" x14ac:dyDescent="0.25">
      <c r="F351" t="s">
        <v>4310</v>
      </c>
      <c r="G351" t="s">
        <v>4412</v>
      </c>
      <c r="I351" t="s">
        <v>2741</v>
      </c>
      <c r="J351" t="s">
        <v>4000</v>
      </c>
      <c r="L351" t="s">
        <v>391</v>
      </c>
      <c r="M351" t="s">
        <v>2330</v>
      </c>
    </row>
    <row r="352" spans="6:13" x14ac:dyDescent="0.25">
      <c r="F352" t="s">
        <v>4509</v>
      </c>
      <c r="G352" t="s">
        <v>4638</v>
      </c>
      <c r="I352" t="s">
        <v>2741</v>
      </c>
      <c r="J352" t="s">
        <v>4096</v>
      </c>
      <c r="L352" t="s">
        <v>37</v>
      </c>
      <c r="M352" t="s">
        <v>7893</v>
      </c>
    </row>
    <row r="353" spans="6:13" x14ac:dyDescent="0.25">
      <c r="F353" t="s">
        <v>2667</v>
      </c>
      <c r="G353" t="s">
        <v>3473</v>
      </c>
      <c r="I353" t="s">
        <v>2741</v>
      </c>
      <c r="J353" t="s">
        <v>4056</v>
      </c>
      <c r="L353" t="s">
        <v>315</v>
      </c>
      <c r="M353" t="s">
        <v>7082</v>
      </c>
    </row>
    <row r="354" spans="6:13" x14ac:dyDescent="0.25">
      <c r="F354" t="s">
        <v>4310</v>
      </c>
      <c r="G354" t="s">
        <v>4417</v>
      </c>
      <c r="I354" t="s">
        <v>2741</v>
      </c>
      <c r="J354" t="s">
        <v>4102</v>
      </c>
      <c r="L354" t="s">
        <v>315</v>
      </c>
      <c r="M354" t="s">
        <v>7090</v>
      </c>
    </row>
    <row r="355" spans="6:13" x14ac:dyDescent="0.25">
      <c r="F355" t="s">
        <v>540</v>
      </c>
      <c r="G355" t="s">
        <v>745</v>
      </c>
      <c r="I355" t="s">
        <v>5700</v>
      </c>
      <c r="J355" t="s">
        <v>1244</v>
      </c>
      <c r="L355" t="s">
        <v>3854</v>
      </c>
      <c r="M355" t="s">
        <v>7290</v>
      </c>
    </row>
    <row r="356" spans="6:13" x14ac:dyDescent="0.25">
      <c r="F356" t="s">
        <v>2767</v>
      </c>
      <c r="G356" t="s">
        <v>3285</v>
      </c>
      <c r="I356" t="s">
        <v>2766</v>
      </c>
      <c r="J356" t="s">
        <v>2990</v>
      </c>
      <c r="L356" t="s">
        <v>7655</v>
      </c>
      <c r="M356" t="s">
        <v>3214</v>
      </c>
    </row>
    <row r="357" spans="6:13" x14ac:dyDescent="0.25">
      <c r="F357" t="s">
        <v>2663</v>
      </c>
      <c r="G357" t="s">
        <v>3392</v>
      </c>
      <c r="I357" t="s">
        <v>2766</v>
      </c>
      <c r="J357" t="s">
        <v>2886</v>
      </c>
      <c r="L357" t="s">
        <v>391</v>
      </c>
      <c r="M357" t="s">
        <v>3237</v>
      </c>
    </row>
    <row r="358" spans="6:13" x14ac:dyDescent="0.25">
      <c r="F358" t="s">
        <v>2767</v>
      </c>
      <c r="G358" t="s">
        <v>3729</v>
      </c>
      <c r="I358" t="s">
        <v>123</v>
      </c>
      <c r="J358" t="s">
        <v>807</v>
      </c>
      <c r="L358" t="s">
        <v>6945</v>
      </c>
      <c r="M358" t="s">
        <v>2558</v>
      </c>
    </row>
    <row r="359" spans="6:13" x14ac:dyDescent="0.25">
      <c r="F359" t="s">
        <v>122</v>
      </c>
      <c r="G359" t="s">
        <v>3422</v>
      </c>
      <c r="I359" t="s">
        <v>5485</v>
      </c>
      <c r="J359" t="s">
        <v>6734</v>
      </c>
      <c r="L359" t="s">
        <v>315</v>
      </c>
      <c r="M359" t="s">
        <v>4284</v>
      </c>
    </row>
    <row r="360" spans="6:13" x14ac:dyDescent="0.25">
      <c r="F360" t="s">
        <v>357</v>
      </c>
      <c r="G360" t="s">
        <v>4320</v>
      </c>
      <c r="I360" t="s">
        <v>286</v>
      </c>
      <c r="J360" t="s">
        <v>1030</v>
      </c>
      <c r="L360" t="s">
        <v>313</v>
      </c>
      <c r="M360" t="s">
        <v>4167</v>
      </c>
    </row>
    <row r="361" spans="6:13" x14ac:dyDescent="0.25">
      <c r="F361" t="s">
        <v>3854</v>
      </c>
      <c r="G361" t="s">
        <v>4326</v>
      </c>
      <c r="I361" t="s">
        <v>257</v>
      </c>
      <c r="J361" t="s">
        <v>6528</v>
      </c>
      <c r="L361" t="s">
        <v>460</v>
      </c>
      <c r="M361" t="s">
        <v>7557</v>
      </c>
    </row>
    <row r="362" spans="6:13" x14ac:dyDescent="0.25">
      <c r="F362" t="s">
        <v>412</v>
      </c>
      <c r="G362" t="s">
        <v>628</v>
      </c>
      <c r="I362" t="s">
        <v>5478</v>
      </c>
      <c r="J362" t="s">
        <v>897</v>
      </c>
      <c r="L362" t="s">
        <v>7607</v>
      </c>
      <c r="M362" t="s">
        <v>3203</v>
      </c>
    </row>
    <row r="363" spans="6:13" x14ac:dyDescent="0.25">
      <c r="F363" t="s">
        <v>540</v>
      </c>
      <c r="G363" t="s">
        <v>3406</v>
      </c>
      <c r="I363" t="s">
        <v>6683</v>
      </c>
      <c r="J363" t="s">
        <v>6684</v>
      </c>
      <c r="L363" t="s">
        <v>4812</v>
      </c>
      <c r="M363" t="s">
        <v>7742</v>
      </c>
    </row>
    <row r="364" spans="6:13" x14ac:dyDescent="0.25">
      <c r="F364" t="s">
        <v>37</v>
      </c>
      <c r="G364" t="s">
        <v>5210</v>
      </c>
      <c r="I364" t="s">
        <v>313</v>
      </c>
      <c r="J364" t="s">
        <v>1526</v>
      </c>
      <c r="L364" t="s">
        <v>21</v>
      </c>
      <c r="M364" t="s">
        <v>7045</v>
      </c>
    </row>
    <row r="365" spans="6:13" x14ac:dyDescent="0.25">
      <c r="F365" t="s">
        <v>4310</v>
      </c>
      <c r="G365" t="s">
        <v>4393</v>
      </c>
      <c r="I365" t="s">
        <v>122</v>
      </c>
      <c r="J365" t="s">
        <v>5987</v>
      </c>
      <c r="L365" t="s">
        <v>122</v>
      </c>
      <c r="M365" t="s">
        <v>3074</v>
      </c>
    </row>
    <row r="366" spans="6:13" x14ac:dyDescent="0.25">
      <c r="F366" t="s">
        <v>4314</v>
      </c>
      <c r="G366" t="s">
        <v>4315</v>
      </c>
      <c r="I366" t="s">
        <v>391</v>
      </c>
      <c r="J366" t="s">
        <v>2526</v>
      </c>
      <c r="L366" t="s">
        <v>315</v>
      </c>
      <c r="M366" t="s">
        <v>3195</v>
      </c>
    </row>
    <row r="367" spans="6:13" x14ac:dyDescent="0.25">
      <c r="F367" t="s">
        <v>37</v>
      </c>
      <c r="G367" t="s">
        <v>646</v>
      </c>
      <c r="I367" t="s">
        <v>2741</v>
      </c>
      <c r="J367" t="s">
        <v>3893</v>
      </c>
      <c r="L367" t="s">
        <v>289</v>
      </c>
      <c r="M367" t="s">
        <v>7011</v>
      </c>
    </row>
    <row r="368" spans="6:13" x14ac:dyDescent="0.25">
      <c r="F368" t="s">
        <v>37</v>
      </c>
      <c r="G368" t="s">
        <v>5081</v>
      </c>
      <c r="I368" t="s">
        <v>311</v>
      </c>
      <c r="J368" t="s">
        <v>5970</v>
      </c>
      <c r="L368" t="s">
        <v>391</v>
      </c>
      <c r="M368" t="s">
        <v>2609</v>
      </c>
    </row>
    <row r="369" spans="6:13" x14ac:dyDescent="0.25">
      <c r="F369" t="s">
        <v>4585</v>
      </c>
      <c r="G369" t="s">
        <v>618</v>
      </c>
      <c r="I369" t="s">
        <v>123</v>
      </c>
      <c r="J369" t="s">
        <v>909</v>
      </c>
      <c r="L369" t="s">
        <v>4812</v>
      </c>
      <c r="M369" t="s">
        <v>7719</v>
      </c>
    </row>
    <row r="370" spans="6:13" x14ac:dyDescent="0.25">
      <c r="F370" t="s">
        <v>5158</v>
      </c>
      <c r="G370" t="s">
        <v>4875</v>
      </c>
      <c r="I370" t="s">
        <v>5432</v>
      </c>
      <c r="J370" t="s">
        <v>2807</v>
      </c>
      <c r="L370" t="s">
        <v>4991</v>
      </c>
      <c r="M370" t="s">
        <v>3131</v>
      </c>
    </row>
    <row r="371" spans="6:13" x14ac:dyDescent="0.25">
      <c r="F371" t="s">
        <v>5176</v>
      </c>
      <c r="G371" t="s">
        <v>4875</v>
      </c>
      <c r="I371" t="s">
        <v>7969</v>
      </c>
      <c r="J371" t="s">
        <v>5931</v>
      </c>
      <c r="L371" t="s">
        <v>315</v>
      </c>
      <c r="M371" t="s">
        <v>7566</v>
      </c>
    </row>
    <row r="372" spans="6:13" x14ac:dyDescent="0.25">
      <c r="F372" t="s">
        <v>2679</v>
      </c>
      <c r="G372" t="s">
        <v>3635</v>
      </c>
      <c r="I372" t="s">
        <v>403</v>
      </c>
      <c r="J372" t="s">
        <v>1364</v>
      </c>
      <c r="L372" t="s">
        <v>313</v>
      </c>
      <c r="M372" t="s">
        <v>2011</v>
      </c>
    </row>
    <row r="373" spans="6:13" x14ac:dyDescent="0.25">
      <c r="F373" t="s">
        <v>256</v>
      </c>
      <c r="G373" t="s">
        <v>5040</v>
      </c>
      <c r="I373" t="s">
        <v>313</v>
      </c>
      <c r="J373" t="s">
        <v>1107</v>
      </c>
      <c r="L373" t="s">
        <v>548</v>
      </c>
      <c r="M373" t="s">
        <v>1810</v>
      </c>
    </row>
    <row r="374" spans="6:13" x14ac:dyDescent="0.25">
      <c r="F374" t="s">
        <v>95</v>
      </c>
      <c r="G374" t="s">
        <v>686</v>
      </c>
      <c r="I374" t="s">
        <v>2732</v>
      </c>
      <c r="J374" t="s">
        <v>3965</v>
      </c>
      <c r="L374" t="s">
        <v>122</v>
      </c>
      <c r="M374" t="s">
        <v>1834</v>
      </c>
    </row>
    <row r="375" spans="6:13" x14ac:dyDescent="0.25">
      <c r="F375" t="s">
        <v>5144</v>
      </c>
      <c r="G375" t="s">
        <v>4869</v>
      </c>
      <c r="I375" t="s">
        <v>6450</v>
      </c>
      <c r="J375" t="s">
        <v>1420</v>
      </c>
      <c r="L375" t="s">
        <v>37</v>
      </c>
      <c r="M375" t="s">
        <v>7699</v>
      </c>
    </row>
    <row r="376" spans="6:13" x14ac:dyDescent="0.25">
      <c r="F376" t="s">
        <v>5169</v>
      </c>
      <c r="G376" t="s">
        <v>4869</v>
      </c>
      <c r="I376" t="s">
        <v>5432</v>
      </c>
      <c r="J376" t="s">
        <v>1337</v>
      </c>
      <c r="L376" t="s">
        <v>315</v>
      </c>
      <c r="M376" t="s">
        <v>7426</v>
      </c>
    </row>
    <row r="377" spans="6:13" x14ac:dyDescent="0.25">
      <c r="F377" t="s">
        <v>2747</v>
      </c>
      <c r="G377" t="s">
        <v>3531</v>
      </c>
      <c r="I377" t="s">
        <v>5700</v>
      </c>
      <c r="J377" t="s">
        <v>1025</v>
      </c>
      <c r="L377" t="s">
        <v>7100</v>
      </c>
      <c r="M377" t="s">
        <v>7101</v>
      </c>
    </row>
    <row r="378" spans="6:13" x14ac:dyDescent="0.25">
      <c r="F378" t="s">
        <v>346</v>
      </c>
      <c r="G378" t="s">
        <v>708</v>
      </c>
      <c r="I378" t="s">
        <v>46</v>
      </c>
      <c r="J378" t="s">
        <v>1608</v>
      </c>
      <c r="L378" t="s">
        <v>443</v>
      </c>
      <c r="M378" t="s">
        <v>7344</v>
      </c>
    </row>
    <row r="379" spans="6:13" x14ac:dyDescent="0.25">
      <c r="F379" t="s">
        <v>2767</v>
      </c>
      <c r="G379" t="s">
        <v>3645</v>
      </c>
      <c r="I379" t="s">
        <v>3854</v>
      </c>
      <c r="J379" t="s">
        <v>4026</v>
      </c>
      <c r="L379" t="s">
        <v>6871</v>
      </c>
      <c r="M379" t="s">
        <v>6872</v>
      </c>
    </row>
    <row r="380" spans="6:13" x14ac:dyDescent="0.25">
      <c r="F380" t="s">
        <v>416</v>
      </c>
      <c r="G380" t="s">
        <v>751</v>
      </c>
      <c r="I380" t="s">
        <v>46</v>
      </c>
      <c r="J380" t="s">
        <v>6748</v>
      </c>
      <c r="L380" t="s">
        <v>313</v>
      </c>
      <c r="M380" t="s">
        <v>2319</v>
      </c>
    </row>
    <row r="381" spans="6:13" x14ac:dyDescent="0.25">
      <c r="F381" t="s">
        <v>4948</v>
      </c>
      <c r="G381" t="s">
        <v>754</v>
      </c>
      <c r="I381" t="s">
        <v>5732</v>
      </c>
      <c r="J381" t="s">
        <v>1039</v>
      </c>
      <c r="L381" t="s">
        <v>122</v>
      </c>
      <c r="M381" t="s">
        <v>2045</v>
      </c>
    </row>
    <row r="382" spans="6:13" x14ac:dyDescent="0.25">
      <c r="F382" t="s">
        <v>4508</v>
      </c>
      <c r="G382" t="s">
        <v>5016</v>
      </c>
      <c r="I382" t="s">
        <v>5214</v>
      </c>
      <c r="J382" t="s">
        <v>1243</v>
      </c>
      <c r="L382" t="s">
        <v>315</v>
      </c>
      <c r="M382" t="s">
        <v>7177</v>
      </c>
    </row>
    <row r="383" spans="6:13" x14ac:dyDescent="0.25">
      <c r="F383" t="s">
        <v>356</v>
      </c>
      <c r="G383" t="s">
        <v>4403</v>
      </c>
      <c r="I383" t="s">
        <v>5331</v>
      </c>
      <c r="J383" t="s">
        <v>5527</v>
      </c>
      <c r="L383" t="s">
        <v>7502</v>
      </c>
      <c r="M383" t="s">
        <v>7503</v>
      </c>
    </row>
    <row r="384" spans="6:13" x14ac:dyDescent="0.25">
      <c r="F384" t="s">
        <v>4828</v>
      </c>
      <c r="G384" t="s">
        <v>707</v>
      </c>
      <c r="I384" t="s">
        <v>2741</v>
      </c>
      <c r="J384" t="s">
        <v>4136</v>
      </c>
      <c r="L384" t="s">
        <v>313</v>
      </c>
      <c r="M384" t="s">
        <v>1897</v>
      </c>
    </row>
    <row r="385" spans="6:13" x14ac:dyDescent="0.25">
      <c r="F385" t="s">
        <v>37</v>
      </c>
      <c r="G385" t="s">
        <v>4632</v>
      </c>
      <c r="I385" t="s">
        <v>403</v>
      </c>
      <c r="J385" t="s">
        <v>1298</v>
      </c>
      <c r="L385" t="s">
        <v>315</v>
      </c>
      <c r="M385" t="s">
        <v>7738</v>
      </c>
    </row>
    <row r="386" spans="6:13" x14ac:dyDescent="0.25">
      <c r="F386" t="s">
        <v>2663</v>
      </c>
      <c r="G386" t="s">
        <v>3806</v>
      </c>
      <c r="I386" t="s">
        <v>5276</v>
      </c>
      <c r="J386" t="s">
        <v>6053</v>
      </c>
      <c r="L386" t="s">
        <v>3908</v>
      </c>
      <c r="M386" t="s">
        <v>4184</v>
      </c>
    </row>
    <row r="387" spans="6:13" x14ac:dyDescent="0.25">
      <c r="F387" t="s">
        <v>2736</v>
      </c>
      <c r="G387" t="s">
        <v>3491</v>
      </c>
      <c r="I387" t="s">
        <v>92</v>
      </c>
      <c r="J387" t="s">
        <v>1062</v>
      </c>
      <c r="L387" t="s">
        <v>7737</v>
      </c>
      <c r="M387" t="s">
        <v>2205</v>
      </c>
    </row>
    <row r="388" spans="6:13" x14ac:dyDescent="0.25">
      <c r="F388" t="s">
        <v>2736</v>
      </c>
      <c r="G388" t="s">
        <v>3548</v>
      </c>
      <c r="I388" t="s">
        <v>90</v>
      </c>
      <c r="J388" t="s">
        <v>5347</v>
      </c>
      <c r="L388" t="s">
        <v>457</v>
      </c>
      <c r="M388" t="s">
        <v>7750</v>
      </c>
    </row>
    <row r="389" spans="6:13" x14ac:dyDescent="0.25">
      <c r="F389" t="s">
        <v>2738</v>
      </c>
      <c r="G389" t="s">
        <v>3754</v>
      </c>
      <c r="I389" t="s">
        <v>6073</v>
      </c>
      <c r="J389" t="s">
        <v>1211</v>
      </c>
      <c r="L389" t="s">
        <v>391</v>
      </c>
      <c r="M389" t="s">
        <v>2005</v>
      </c>
    </row>
    <row r="390" spans="6:13" x14ac:dyDescent="0.25">
      <c r="F390" t="s">
        <v>2736</v>
      </c>
      <c r="G390" t="s">
        <v>3479</v>
      </c>
      <c r="I390" t="s">
        <v>5745</v>
      </c>
      <c r="J390" t="s">
        <v>6589</v>
      </c>
      <c r="L390" t="s">
        <v>313</v>
      </c>
      <c r="M390" t="s">
        <v>1862</v>
      </c>
    </row>
    <row r="391" spans="6:13" x14ac:dyDescent="0.25">
      <c r="F391" t="s">
        <v>2736</v>
      </c>
      <c r="G391" t="s">
        <v>3429</v>
      </c>
      <c r="I391" t="s">
        <v>5355</v>
      </c>
      <c r="J391" t="s">
        <v>5356</v>
      </c>
      <c r="L391" t="s">
        <v>3854</v>
      </c>
      <c r="M391" t="s">
        <v>4264</v>
      </c>
    </row>
    <row r="392" spans="6:13" x14ac:dyDescent="0.25">
      <c r="F392" t="s">
        <v>2738</v>
      </c>
      <c r="G392" t="s">
        <v>3286</v>
      </c>
      <c r="I392" t="s">
        <v>2741</v>
      </c>
      <c r="J392" t="s">
        <v>3064</v>
      </c>
      <c r="L392" t="s">
        <v>6987</v>
      </c>
      <c r="M392" t="s">
        <v>6988</v>
      </c>
    </row>
    <row r="393" spans="6:13" x14ac:dyDescent="0.25">
      <c r="F393" t="s">
        <v>2736</v>
      </c>
      <c r="G393" t="s">
        <v>3555</v>
      </c>
      <c r="I393" t="s">
        <v>2741</v>
      </c>
      <c r="J393" t="s">
        <v>3043</v>
      </c>
      <c r="L393" t="s">
        <v>37</v>
      </c>
      <c r="M393" t="s">
        <v>6942</v>
      </c>
    </row>
    <row r="394" spans="6:13" x14ac:dyDescent="0.25">
      <c r="F394" t="s">
        <v>2736</v>
      </c>
      <c r="G394" t="s">
        <v>3720</v>
      </c>
      <c r="I394" t="s">
        <v>2741</v>
      </c>
      <c r="J394" t="s">
        <v>3067</v>
      </c>
      <c r="L394" t="s">
        <v>391</v>
      </c>
      <c r="M394" t="s">
        <v>3196</v>
      </c>
    </row>
    <row r="395" spans="6:13" x14ac:dyDescent="0.25">
      <c r="F395" t="s">
        <v>4314</v>
      </c>
      <c r="G395" t="s">
        <v>4365</v>
      </c>
      <c r="I395" t="s">
        <v>2741</v>
      </c>
      <c r="J395" t="s">
        <v>3038</v>
      </c>
      <c r="L395" t="s">
        <v>7315</v>
      </c>
      <c r="M395" t="s">
        <v>7316</v>
      </c>
    </row>
    <row r="396" spans="6:13" x14ac:dyDescent="0.25">
      <c r="F396" t="s">
        <v>4428</v>
      </c>
      <c r="G396" t="s">
        <v>4603</v>
      </c>
      <c r="I396" t="s">
        <v>311</v>
      </c>
      <c r="J396" t="s">
        <v>868</v>
      </c>
      <c r="L396" t="s">
        <v>313</v>
      </c>
      <c r="M396" t="s">
        <v>2106</v>
      </c>
    </row>
    <row r="397" spans="6:13" x14ac:dyDescent="0.25">
      <c r="F397" t="s">
        <v>4428</v>
      </c>
      <c r="G397" t="s">
        <v>4580</v>
      </c>
      <c r="I397" t="s">
        <v>90</v>
      </c>
      <c r="J397" t="s">
        <v>6607</v>
      </c>
      <c r="L397" t="s">
        <v>122</v>
      </c>
      <c r="M397" t="s">
        <v>1795</v>
      </c>
    </row>
    <row r="398" spans="6:13" x14ac:dyDescent="0.25">
      <c r="F398" t="s">
        <v>37</v>
      </c>
      <c r="G398" t="s">
        <v>5185</v>
      </c>
      <c r="I398" t="s">
        <v>63</v>
      </c>
      <c r="J398" t="s">
        <v>2510</v>
      </c>
      <c r="L398" t="s">
        <v>313</v>
      </c>
      <c r="M398" t="s">
        <v>2271</v>
      </c>
    </row>
    <row r="399" spans="6:13" x14ac:dyDescent="0.25">
      <c r="F399" t="s">
        <v>4509</v>
      </c>
      <c r="G399" t="s">
        <v>4916</v>
      </c>
      <c r="I399" t="s">
        <v>92</v>
      </c>
      <c r="J399" t="s">
        <v>1275</v>
      </c>
      <c r="L399" t="s">
        <v>391</v>
      </c>
      <c r="M399" t="s">
        <v>2053</v>
      </c>
    </row>
    <row r="400" spans="6:13" x14ac:dyDescent="0.25">
      <c r="F400" t="s">
        <v>2767</v>
      </c>
      <c r="G400" t="s">
        <v>3705</v>
      </c>
      <c r="I400" t="s">
        <v>254</v>
      </c>
      <c r="J400" t="s">
        <v>1323</v>
      </c>
      <c r="L400" t="s">
        <v>313</v>
      </c>
      <c r="M400" t="s">
        <v>1693</v>
      </c>
    </row>
    <row r="401" spans="6:13" x14ac:dyDescent="0.25">
      <c r="F401" t="s">
        <v>3854</v>
      </c>
      <c r="G401" t="s">
        <v>4383</v>
      </c>
      <c r="I401" t="s">
        <v>5716</v>
      </c>
      <c r="J401" t="s">
        <v>1031</v>
      </c>
      <c r="L401" t="s">
        <v>122</v>
      </c>
      <c r="M401" t="s">
        <v>1665</v>
      </c>
    </row>
    <row r="402" spans="6:13" x14ac:dyDescent="0.25">
      <c r="F402" t="s">
        <v>4990</v>
      </c>
      <c r="G402" t="s">
        <v>3804</v>
      </c>
      <c r="I402" t="s">
        <v>5439</v>
      </c>
      <c r="J402" t="s">
        <v>5440</v>
      </c>
      <c r="L402" t="s">
        <v>391</v>
      </c>
      <c r="M402" t="s">
        <v>3171</v>
      </c>
    </row>
    <row r="403" spans="6:13" x14ac:dyDescent="0.25">
      <c r="F403" t="s">
        <v>356</v>
      </c>
      <c r="G403" t="s">
        <v>4332</v>
      </c>
      <c r="I403" t="s">
        <v>313</v>
      </c>
      <c r="J403" t="s">
        <v>1533</v>
      </c>
      <c r="L403" t="s">
        <v>313</v>
      </c>
      <c r="M403" t="s">
        <v>2064</v>
      </c>
    </row>
    <row r="404" spans="6:13" x14ac:dyDescent="0.25">
      <c r="F404" t="s">
        <v>4509</v>
      </c>
      <c r="G404" t="s">
        <v>4867</v>
      </c>
      <c r="I404" t="s">
        <v>5318</v>
      </c>
      <c r="J404" t="s">
        <v>5319</v>
      </c>
      <c r="L404" t="s">
        <v>122</v>
      </c>
      <c r="M404" t="s">
        <v>2213</v>
      </c>
    </row>
    <row r="405" spans="6:13" x14ac:dyDescent="0.25">
      <c r="F405" t="s">
        <v>313</v>
      </c>
      <c r="G405" t="s">
        <v>4908</v>
      </c>
      <c r="I405" t="s">
        <v>6106</v>
      </c>
      <c r="J405" t="s">
        <v>1527</v>
      </c>
      <c r="L405" t="s">
        <v>313</v>
      </c>
      <c r="M405" t="s">
        <v>2227</v>
      </c>
    </row>
    <row r="406" spans="6:13" x14ac:dyDescent="0.25">
      <c r="F406" t="s">
        <v>4509</v>
      </c>
      <c r="G406" t="s">
        <v>4592</v>
      </c>
      <c r="I406" t="s">
        <v>2741</v>
      </c>
      <c r="J406" t="s">
        <v>3962</v>
      </c>
      <c r="L406" t="s">
        <v>21</v>
      </c>
      <c r="M406" t="s">
        <v>1697</v>
      </c>
    </row>
    <row r="407" spans="6:13" x14ac:dyDescent="0.25">
      <c r="F407" t="s">
        <v>37</v>
      </c>
      <c r="G407" t="s">
        <v>5078</v>
      </c>
      <c r="I407" t="s">
        <v>2741</v>
      </c>
      <c r="J407" t="s">
        <v>3904</v>
      </c>
      <c r="L407" t="s">
        <v>289</v>
      </c>
      <c r="M407" t="s">
        <v>7767</v>
      </c>
    </row>
    <row r="408" spans="6:13" x14ac:dyDescent="0.25">
      <c r="F408" t="s">
        <v>137</v>
      </c>
      <c r="G408" t="s">
        <v>742</v>
      </c>
      <c r="I408" t="s">
        <v>2741</v>
      </c>
      <c r="J408" t="s">
        <v>3880</v>
      </c>
      <c r="L408" t="s">
        <v>4927</v>
      </c>
      <c r="M408" t="s">
        <v>7310</v>
      </c>
    </row>
    <row r="409" spans="6:13" x14ac:dyDescent="0.25">
      <c r="F409" t="s">
        <v>49</v>
      </c>
      <c r="G409" t="s">
        <v>4906</v>
      </c>
      <c r="I409" t="s">
        <v>2741</v>
      </c>
      <c r="J409" t="s">
        <v>4129</v>
      </c>
      <c r="L409" t="s">
        <v>313</v>
      </c>
      <c r="M409" t="s">
        <v>1984</v>
      </c>
    </row>
    <row r="410" spans="6:13" x14ac:dyDescent="0.25">
      <c r="F410" t="s">
        <v>4314</v>
      </c>
      <c r="G410" t="s">
        <v>4399</v>
      </c>
      <c r="I410" t="s">
        <v>311</v>
      </c>
      <c r="J410" t="s">
        <v>6568</v>
      </c>
      <c r="L410" t="s">
        <v>313</v>
      </c>
      <c r="M410" t="s">
        <v>1916</v>
      </c>
    </row>
    <row r="411" spans="6:13" x14ac:dyDescent="0.25">
      <c r="F411" t="s">
        <v>4666</v>
      </c>
      <c r="G411" t="s">
        <v>657</v>
      </c>
      <c r="I411" t="s">
        <v>6259</v>
      </c>
      <c r="J411" t="s">
        <v>1322</v>
      </c>
      <c r="L411" t="s">
        <v>7949</v>
      </c>
      <c r="M411" t="s">
        <v>2340</v>
      </c>
    </row>
    <row r="412" spans="6:13" x14ac:dyDescent="0.25">
      <c r="F412" t="s">
        <v>2670</v>
      </c>
      <c r="G412" t="s">
        <v>3680</v>
      </c>
      <c r="I412" t="s">
        <v>6436</v>
      </c>
      <c r="J412" t="s">
        <v>1322</v>
      </c>
      <c r="L412" t="s">
        <v>313</v>
      </c>
      <c r="M412" t="s">
        <v>2012</v>
      </c>
    </row>
    <row r="413" spans="6:13" x14ac:dyDescent="0.25">
      <c r="F413" t="s">
        <v>4310</v>
      </c>
      <c r="G413" t="s">
        <v>4360</v>
      </c>
      <c r="I413" t="s">
        <v>545</v>
      </c>
      <c r="J413" t="s">
        <v>5954</v>
      </c>
      <c r="L413" t="s">
        <v>4812</v>
      </c>
      <c r="M413" t="s">
        <v>4256</v>
      </c>
    </row>
    <row r="414" spans="6:13" x14ac:dyDescent="0.25">
      <c r="F414" t="s">
        <v>2767</v>
      </c>
      <c r="G414" t="s">
        <v>3551</v>
      </c>
      <c r="I414" t="s">
        <v>2741</v>
      </c>
      <c r="J414" t="s">
        <v>3016</v>
      </c>
      <c r="L414" t="s">
        <v>311</v>
      </c>
      <c r="M414" t="s">
        <v>1718</v>
      </c>
    </row>
    <row r="415" spans="6:13" x14ac:dyDescent="0.25">
      <c r="F415" t="s">
        <v>5196</v>
      </c>
      <c r="G415" t="s">
        <v>3752</v>
      </c>
      <c r="I415" t="s">
        <v>2741</v>
      </c>
      <c r="J415" t="s">
        <v>3014</v>
      </c>
      <c r="L415" t="s">
        <v>7417</v>
      </c>
      <c r="M415" t="s">
        <v>7418</v>
      </c>
    </row>
    <row r="416" spans="6:13" x14ac:dyDescent="0.25">
      <c r="F416" t="s">
        <v>356</v>
      </c>
      <c r="G416" t="s">
        <v>4414</v>
      </c>
      <c r="I416" t="s">
        <v>5562</v>
      </c>
      <c r="J416" t="s">
        <v>943</v>
      </c>
      <c r="L416" t="s">
        <v>37</v>
      </c>
      <c r="M416" t="s">
        <v>2270</v>
      </c>
    </row>
    <row r="417" spans="6:13" x14ac:dyDescent="0.25">
      <c r="F417" t="s">
        <v>2667</v>
      </c>
      <c r="G417" t="s">
        <v>3270</v>
      </c>
      <c r="I417" t="s">
        <v>7969</v>
      </c>
      <c r="J417" t="s">
        <v>5713</v>
      </c>
      <c r="L417" t="s">
        <v>391</v>
      </c>
      <c r="M417" t="s">
        <v>3264</v>
      </c>
    </row>
    <row r="418" spans="6:13" x14ac:dyDescent="0.25">
      <c r="F418" t="s">
        <v>2680</v>
      </c>
      <c r="G418" t="s">
        <v>3629</v>
      </c>
      <c r="I418" t="s">
        <v>5637</v>
      </c>
      <c r="J418" t="s">
        <v>1007</v>
      </c>
      <c r="L418" t="s">
        <v>4812</v>
      </c>
      <c r="M418" t="s">
        <v>7675</v>
      </c>
    </row>
    <row r="419" spans="6:13" x14ac:dyDescent="0.25">
      <c r="F419" t="s">
        <v>37</v>
      </c>
      <c r="G419" t="s">
        <v>5015</v>
      </c>
      <c r="I419" t="s">
        <v>5345</v>
      </c>
      <c r="J419" t="s">
        <v>2368</v>
      </c>
      <c r="L419" t="s">
        <v>61</v>
      </c>
      <c r="M419" t="s">
        <v>2046</v>
      </c>
    </row>
    <row r="420" spans="6:13" x14ac:dyDescent="0.25">
      <c r="F420" t="s">
        <v>2662</v>
      </c>
      <c r="G420" t="s">
        <v>3764</v>
      </c>
      <c r="I420" t="s">
        <v>5815</v>
      </c>
      <c r="J420" t="s">
        <v>2479</v>
      </c>
      <c r="L420" t="s">
        <v>7180</v>
      </c>
      <c r="M420" t="s">
        <v>7181</v>
      </c>
    </row>
    <row r="421" spans="6:13" x14ac:dyDescent="0.25">
      <c r="F421" t="s">
        <v>4517</v>
      </c>
      <c r="G421" t="s">
        <v>595</v>
      </c>
      <c r="I421" t="s">
        <v>313</v>
      </c>
      <c r="J421" t="s">
        <v>777</v>
      </c>
      <c r="L421" t="s">
        <v>313</v>
      </c>
      <c r="M421" t="s">
        <v>1798</v>
      </c>
    </row>
    <row r="422" spans="6:13" x14ac:dyDescent="0.25">
      <c r="F422" t="s">
        <v>3854</v>
      </c>
      <c r="G422" t="s">
        <v>4355</v>
      </c>
      <c r="I422" t="s">
        <v>2723</v>
      </c>
      <c r="J422" t="s">
        <v>6765</v>
      </c>
      <c r="L422" t="s">
        <v>396</v>
      </c>
      <c r="M422" t="s">
        <v>7845</v>
      </c>
    </row>
    <row r="423" spans="6:13" x14ac:dyDescent="0.25">
      <c r="F423" t="s">
        <v>313</v>
      </c>
      <c r="G423" t="s">
        <v>4760</v>
      </c>
      <c r="I423" t="s">
        <v>253</v>
      </c>
      <c r="J423" t="s">
        <v>874</v>
      </c>
      <c r="L423" t="s">
        <v>283</v>
      </c>
      <c r="M423" t="s">
        <v>2607</v>
      </c>
    </row>
    <row r="424" spans="6:13" x14ac:dyDescent="0.25">
      <c r="F424" t="s">
        <v>2662</v>
      </c>
      <c r="G424" t="s">
        <v>4845</v>
      </c>
      <c r="I424" t="s">
        <v>3854</v>
      </c>
      <c r="J424" t="s">
        <v>3968</v>
      </c>
      <c r="L424" t="s">
        <v>38</v>
      </c>
      <c r="M424" t="s">
        <v>1977</v>
      </c>
    </row>
    <row r="425" spans="6:13" x14ac:dyDescent="0.25">
      <c r="F425" t="s">
        <v>2663</v>
      </c>
      <c r="G425" t="s">
        <v>3791</v>
      </c>
      <c r="I425" t="s">
        <v>5318</v>
      </c>
      <c r="J425" t="s">
        <v>5820</v>
      </c>
      <c r="L425" t="s">
        <v>38</v>
      </c>
      <c r="M425" t="s">
        <v>2070</v>
      </c>
    </row>
    <row r="426" spans="6:13" x14ac:dyDescent="0.25">
      <c r="F426" t="s">
        <v>4509</v>
      </c>
      <c r="G426" t="s">
        <v>4971</v>
      </c>
      <c r="I426" t="s">
        <v>6039</v>
      </c>
      <c r="J426" t="s">
        <v>1188</v>
      </c>
      <c r="L426" t="s">
        <v>391</v>
      </c>
      <c r="M426" t="s">
        <v>1739</v>
      </c>
    </row>
    <row r="427" spans="6:13" x14ac:dyDescent="0.25">
      <c r="F427" t="s">
        <v>4314</v>
      </c>
      <c r="G427" t="s">
        <v>4382</v>
      </c>
      <c r="I427" t="s">
        <v>6484</v>
      </c>
      <c r="J427" t="s">
        <v>6548</v>
      </c>
      <c r="L427" t="s">
        <v>315</v>
      </c>
      <c r="M427" t="s">
        <v>7314</v>
      </c>
    </row>
    <row r="428" spans="6:13" x14ac:dyDescent="0.25">
      <c r="F428" t="s">
        <v>4561</v>
      </c>
      <c r="G428" t="s">
        <v>5164</v>
      </c>
      <c r="I428" t="s">
        <v>254</v>
      </c>
      <c r="J428" t="s">
        <v>2379</v>
      </c>
      <c r="L428" t="s">
        <v>122</v>
      </c>
      <c r="M428" t="s">
        <v>2349</v>
      </c>
    </row>
    <row r="429" spans="6:13" x14ac:dyDescent="0.25">
      <c r="F429" t="s">
        <v>4310</v>
      </c>
      <c r="G429" t="s">
        <v>4402</v>
      </c>
      <c r="I429" t="s">
        <v>391</v>
      </c>
      <c r="J429" t="s">
        <v>2550</v>
      </c>
      <c r="L429" t="s">
        <v>38</v>
      </c>
      <c r="M429" t="s">
        <v>2335</v>
      </c>
    </row>
    <row r="430" spans="6:13" x14ac:dyDescent="0.25">
      <c r="F430" t="s">
        <v>37</v>
      </c>
      <c r="G430" t="s">
        <v>5132</v>
      </c>
      <c r="I430" t="s">
        <v>2741</v>
      </c>
      <c r="J430" t="s">
        <v>2997</v>
      </c>
      <c r="L430" t="s">
        <v>315</v>
      </c>
      <c r="M430" t="s">
        <v>7182</v>
      </c>
    </row>
    <row r="431" spans="6:13" x14ac:dyDescent="0.25">
      <c r="F431" t="s">
        <v>3854</v>
      </c>
      <c r="G431" t="s">
        <v>4352</v>
      </c>
      <c r="I431" t="s">
        <v>2741</v>
      </c>
      <c r="J431" t="s">
        <v>3033</v>
      </c>
      <c r="L431" t="s">
        <v>123</v>
      </c>
      <c r="M431" t="s">
        <v>7357</v>
      </c>
    </row>
    <row r="432" spans="6:13" x14ac:dyDescent="0.25">
      <c r="F432" t="s">
        <v>2767</v>
      </c>
      <c r="G432" t="s">
        <v>3762</v>
      </c>
      <c r="I432" t="s">
        <v>3879</v>
      </c>
      <c r="J432" t="s">
        <v>6295</v>
      </c>
      <c r="L432" t="s">
        <v>3854</v>
      </c>
      <c r="M432" t="s">
        <v>7194</v>
      </c>
    </row>
    <row r="433" spans="6:13" x14ac:dyDescent="0.25">
      <c r="F433" t="s">
        <v>2767</v>
      </c>
      <c r="G433" t="s">
        <v>3612</v>
      </c>
      <c r="I433" t="s">
        <v>3854</v>
      </c>
      <c r="J433" t="s">
        <v>3973</v>
      </c>
      <c r="L433" t="s">
        <v>38</v>
      </c>
      <c r="M433" t="s">
        <v>1769</v>
      </c>
    </row>
    <row r="434" spans="6:13" x14ac:dyDescent="0.25">
      <c r="F434" t="s">
        <v>3854</v>
      </c>
      <c r="G434" t="s">
        <v>4409</v>
      </c>
      <c r="I434" t="s">
        <v>313</v>
      </c>
      <c r="J434" t="s">
        <v>984</v>
      </c>
      <c r="L434" t="s">
        <v>306</v>
      </c>
      <c r="M434" t="s">
        <v>1670</v>
      </c>
    </row>
    <row r="435" spans="6:13" x14ac:dyDescent="0.25">
      <c r="F435" t="s">
        <v>2662</v>
      </c>
      <c r="G435" t="s">
        <v>4969</v>
      </c>
      <c r="I435" t="s">
        <v>548</v>
      </c>
      <c r="J435" t="s">
        <v>2968</v>
      </c>
      <c r="L435" t="s">
        <v>4561</v>
      </c>
      <c r="M435" t="s">
        <v>2220</v>
      </c>
    </row>
    <row r="436" spans="6:13" x14ac:dyDescent="0.25">
      <c r="F436" t="s">
        <v>122</v>
      </c>
      <c r="G436" t="s">
        <v>3668</v>
      </c>
      <c r="I436" t="s">
        <v>311</v>
      </c>
      <c r="J436" t="s">
        <v>6082</v>
      </c>
      <c r="L436" t="s">
        <v>38</v>
      </c>
      <c r="M436" t="s">
        <v>2148</v>
      </c>
    </row>
    <row r="437" spans="6:13" x14ac:dyDescent="0.25">
      <c r="F437" t="s">
        <v>95</v>
      </c>
      <c r="G437" t="s">
        <v>4885</v>
      </c>
      <c r="I437" t="s">
        <v>6813</v>
      </c>
      <c r="J437" t="s">
        <v>6814</v>
      </c>
      <c r="L437" t="s">
        <v>313</v>
      </c>
      <c r="M437" t="s">
        <v>1654</v>
      </c>
    </row>
    <row r="438" spans="6:13" x14ac:dyDescent="0.25">
      <c r="F438" t="s">
        <v>4509</v>
      </c>
      <c r="G438" t="s">
        <v>4759</v>
      </c>
      <c r="I438" t="s">
        <v>548</v>
      </c>
      <c r="J438" t="s">
        <v>1425</v>
      </c>
      <c r="L438" t="s">
        <v>391</v>
      </c>
      <c r="M438" t="s">
        <v>2553</v>
      </c>
    </row>
    <row r="439" spans="6:13" x14ac:dyDescent="0.25">
      <c r="F439" t="s">
        <v>4310</v>
      </c>
      <c r="G439" t="s">
        <v>4376</v>
      </c>
      <c r="I439" t="s">
        <v>338</v>
      </c>
      <c r="J439" t="s">
        <v>1480</v>
      </c>
      <c r="L439" t="s">
        <v>289</v>
      </c>
      <c r="M439" t="s">
        <v>7812</v>
      </c>
    </row>
    <row r="440" spans="6:13" x14ac:dyDescent="0.25">
      <c r="F440" t="s">
        <v>37</v>
      </c>
      <c r="G440" t="s">
        <v>4770</v>
      </c>
      <c r="I440" t="s">
        <v>313</v>
      </c>
      <c r="J440" t="s">
        <v>1089</v>
      </c>
      <c r="L440" t="s">
        <v>37</v>
      </c>
      <c r="M440" t="s">
        <v>7240</v>
      </c>
    </row>
    <row r="441" spans="6:13" x14ac:dyDescent="0.25">
      <c r="F441" t="s">
        <v>2663</v>
      </c>
      <c r="G441" t="s">
        <v>3741</v>
      </c>
      <c r="I441" t="s">
        <v>5653</v>
      </c>
      <c r="J441" t="s">
        <v>6127</v>
      </c>
      <c r="L441" t="s">
        <v>37</v>
      </c>
      <c r="M441" t="s">
        <v>7778</v>
      </c>
    </row>
    <row r="442" spans="6:13" x14ac:dyDescent="0.25">
      <c r="F442" t="s">
        <v>4310</v>
      </c>
      <c r="G442" t="s">
        <v>4311</v>
      </c>
      <c r="I442" t="s">
        <v>403</v>
      </c>
      <c r="J442" t="s">
        <v>5801</v>
      </c>
      <c r="L442" t="s">
        <v>37</v>
      </c>
      <c r="M442" t="s">
        <v>7865</v>
      </c>
    </row>
    <row r="443" spans="6:13" x14ac:dyDescent="0.25">
      <c r="F443" t="s">
        <v>37</v>
      </c>
      <c r="G443" t="s">
        <v>698</v>
      </c>
      <c r="I443" t="s">
        <v>5392</v>
      </c>
      <c r="J443" t="s">
        <v>6044</v>
      </c>
      <c r="L443" t="s">
        <v>313</v>
      </c>
      <c r="M443" t="s">
        <v>1707</v>
      </c>
    </row>
    <row r="444" spans="6:13" x14ac:dyDescent="0.25">
      <c r="F444" t="s">
        <v>4680</v>
      </c>
      <c r="G444" t="s">
        <v>3451</v>
      </c>
      <c r="I444" t="s">
        <v>5777</v>
      </c>
      <c r="J444" t="s">
        <v>1061</v>
      </c>
      <c r="L444" t="s">
        <v>289</v>
      </c>
      <c r="M444" t="s">
        <v>7521</v>
      </c>
    </row>
    <row r="445" spans="6:13" x14ac:dyDescent="0.25">
      <c r="F445" t="s">
        <v>2767</v>
      </c>
      <c r="G445" t="s">
        <v>3622</v>
      </c>
      <c r="I445" t="s">
        <v>253</v>
      </c>
      <c r="J445" t="s">
        <v>4079</v>
      </c>
      <c r="L445" t="s">
        <v>37</v>
      </c>
      <c r="M445" t="s">
        <v>7583</v>
      </c>
    </row>
    <row r="446" spans="6:13" x14ac:dyDescent="0.25">
      <c r="F446" t="s">
        <v>4509</v>
      </c>
      <c r="G446" t="s">
        <v>4556</v>
      </c>
      <c r="I446" t="s">
        <v>545</v>
      </c>
      <c r="J446" t="s">
        <v>6086</v>
      </c>
      <c r="L446" t="s">
        <v>7891</v>
      </c>
      <c r="M446" t="s">
        <v>2303</v>
      </c>
    </row>
    <row r="447" spans="6:13" x14ac:dyDescent="0.25">
      <c r="F447" t="s">
        <v>4724</v>
      </c>
      <c r="G447" t="s">
        <v>3550</v>
      </c>
      <c r="I447" t="s">
        <v>5859</v>
      </c>
      <c r="J447" t="s">
        <v>5860</v>
      </c>
      <c r="L447" t="s">
        <v>398</v>
      </c>
      <c r="M447" t="s">
        <v>7741</v>
      </c>
    </row>
    <row r="448" spans="6:13" x14ac:dyDescent="0.25">
      <c r="F448" t="s">
        <v>4310</v>
      </c>
      <c r="G448" t="s">
        <v>4426</v>
      </c>
      <c r="I448" t="s">
        <v>6665</v>
      </c>
      <c r="J448" t="s">
        <v>6666</v>
      </c>
      <c r="L448" t="s">
        <v>400</v>
      </c>
      <c r="M448" t="s">
        <v>7029</v>
      </c>
    </row>
    <row r="449" spans="6:13" x14ac:dyDescent="0.25">
      <c r="F449" t="s">
        <v>2767</v>
      </c>
      <c r="G449" t="s">
        <v>3724</v>
      </c>
      <c r="I449" t="s">
        <v>311</v>
      </c>
      <c r="J449" t="s">
        <v>1235</v>
      </c>
      <c r="L449" t="s">
        <v>7389</v>
      </c>
      <c r="M449" t="s">
        <v>1951</v>
      </c>
    </row>
    <row r="450" spans="6:13" x14ac:dyDescent="0.25">
      <c r="F450" t="s">
        <v>2674</v>
      </c>
      <c r="G450" t="s">
        <v>4998</v>
      </c>
      <c r="I450" t="s">
        <v>3937</v>
      </c>
      <c r="J450" t="s">
        <v>5493</v>
      </c>
      <c r="L450" t="s">
        <v>37</v>
      </c>
      <c r="M450" t="s">
        <v>3240</v>
      </c>
    </row>
    <row r="451" spans="6:13" x14ac:dyDescent="0.25">
      <c r="F451" t="s">
        <v>95</v>
      </c>
      <c r="G451" t="s">
        <v>4626</v>
      </c>
      <c r="I451" t="s">
        <v>6083</v>
      </c>
      <c r="J451" t="s">
        <v>6084</v>
      </c>
      <c r="L451" t="s">
        <v>7385</v>
      </c>
      <c r="M451" t="s">
        <v>1947</v>
      </c>
    </row>
    <row r="452" spans="6:13" x14ac:dyDescent="0.25">
      <c r="F452" t="s">
        <v>37</v>
      </c>
      <c r="G452" t="s">
        <v>594</v>
      </c>
      <c r="I452" t="s">
        <v>2741</v>
      </c>
      <c r="J452" t="s">
        <v>3029</v>
      </c>
      <c r="L452" t="s">
        <v>289</v>
      </c>
      <c r="M452" t="s">
        <v>6964</v>
      </c>
    </row>
    <row r="453" spans="6:13" x14ac:dyDescent="0.25">
      <c r="F453" t="s">
        <v>122</v>
      </c>
      <c r="G453" t="s">
        <v>591</v>
      </c>
      <c r="I453" t="s">
        <v>2741</v>
      </c>
      <c r="J453" t="s">
        <v>3032</v>
      </c>
      <c r="L453" t="s">
        <v>313</v>
      </c>
      <c r="M453" t="s">
        <v>2245</v>
      </c>
    </row>
    <row r="454" spans="6:13" x14ac:dyDescent="0.25">
      <c r="F454" t="s">
        <v>95</v>
      </c>
      <c r="G454" t="s">
        <v>5122</v>
      </c>
      <c r="I454" t="s">
        <v>6396</v>
      </c>
      <c r="J454" t="s">
        <v>1397</v>
      </c>
      <c r="L454" t="s">
        <v>459</v>
      </c>
      <c r="M454" t="s">
        <v>1648</v>
      </c>
    </row>
    <row r="455" spans="6:13" x14ac:dyDescent="0.25">
      <c r="F455" t="s">
        <v>4509</v>
      </c>
      <c r="G455" t="s">
        <v>4967</v>
      </c>
      <c r="I455" t="s">
        <v>5469</v>
      </c>
      <c r="J455" t="s">
        <v>895</v>
      </c>
      <c r="L455" t="s">
        <v>311</v>
      </c>
      <c r="M455" t="s">
        <v>4297</v>
      </c>
    </row>
    <row r="456" spans="6:13" x14ac:dyDescent="0.25">
      <c r="F456" t="s">
        <v>2670</v>
      </c>
      <c r="G456" t="s">
        <v>3628</v>
      </c>
      <c r="I456" t="s">
        <v>5401</v>
      </c>
      <c r="J456" t="s">
        <v>2455</v>
      </c>
      <c r="L456" t="s">
        <v>21</v>
      </c>
      <c r="M456" t="s">
        <v>2567</v>
      </c>
    </row>
    <row r="457" spans="6:13" x14ac:dyDescent="0.25">
      <c r="F457" t="s">
        <v>95</v>
      </c>
      <c r="G457" t="s">
        <v>732</v>
      </c>
      <c r="I457" t="s">
        <v>37</v>
      </c>
      <c r="J457" t="s">
        <v>959</v>
      </c>
      <c r="L457" t="s">
        <v>7517</v>
      </c>
      <c r="M457" t="s">
        <v>4232</v>
      </c>
    </row>
    <row r="458" spans="6:13" x14ac:dyDescent="0.25">
      <c r="F458" t="s">
        <v>95</v>
      </c>
      <c r="G458" t="s">
        <v>4676</v>
      </c>
      <c r="I458" t="s">
        <v>391</v>
      </c>
      <c r="J458" t="s">
        <v>4090</v>
      </c>
      <c r="L458" t="s">
        <v>50</v>
      </c>
      <c r="M458" t="s">
        <v>2321</v>
      </c>
    </row>
    <row r="459" spans="6:13" x14ac:dyDescent="0.25">
      <c r="F459" t="s">
        <v>4561</v>
      </c>
      <c r="G459" t="s">
        <v>5037</v>
      </c>
      <c r="I459" t="s">
        <v>254</v>
      </c>
      <c r="J459" t="s">
        <v>6758</v>
      </c>
      <c r="L459" t="s">
        <v>61</v>
      </c>
      <c r="M459" t="s">
        <v>1767</v>
      </c>
    </row>
    <row r="460" spans="6:13" x14ac:dyDescent="0.25">
      <c r="F460" t="s">
        <v>4767</v>
      </c>
      <c r="G460" t="s">
        <v>3549</v>
      </c>
      <c r="I460" t="s">
        <v>7978</v>
      </c>
      <c r="J460" t="s">
        <v>4033</v>
      </c>
      <c r="L460" t="s">
        <v>289</v>
      </c>
      <c r="M460" t="s">
        <v>6961</v>
      </c>
    </row>
    <row r="461" spans="6:13" x14ac:dyDescent="0.25">
      <c r="F461" t="s">
        <v>548</v>
      </c>
      <c r="G461" t="s">
        <v>3746</v>
      </c>
      <c r="I461" t="s">
        <v>286</v>
      </c>
      <c r="J461" t="s">
        <v>1426</v>
      </c>
      <c r="L461" t="s">
        <v>123</v>
      </c>
      <c r="M461" t="s">
        <v>7218</v>
      </c>
    </row>
    <row r="462" spans="6:13" x14ac:dyDescent="0.25">
      <c r="F462" t="s">
        <v>49</v>
      </c>
      <c r="G462" t="s">
        <v>709</v>
      </c>
      <c r="I462" t="s">
        <v>5387</v>
      </c>
      <c r="J462" t="s">
        <v>5695</v>
      </c>
      <c r="L462" t="s">
        <v>391</v>
      </c>
      <c r="M462" t="s">
        <v>2606</v>
      </c>
    </row>
    <row r="463" spans="6:13" x14ac:dyDescent="0.25">
      <c r="F463" t="s">
        <v>2662</v>
      </c>
      <c r="G463" t="s">
        <v>3448</v>
      </c>
      <c r="I463" t="s">
        <v>548</v>
      </c>
      <c r="J463" t="s">
        <v>7972</v>
      </c>
      <c r="L463" t="s">
        <v>391</v>
      </c>
      <c r="M463" t="s">
        <v>1750</v>
      </c>
    </row>
    <row r="464" spans="6:13" x14ac:dyDescent="0.25">
      <c r="F464" t="s">
        <v>2676</v>
      </c>
      <c r="G464" t="s">
        <v>4902</v>
      </c>
      <c r="I464" t="s">
        <v>548</v>
      </c>
      <c r="J464" t="s">
        <v>5792</v>
      </c>
      <c r="L464" t="s">
        <v>396</v>
      </c>
      <c r="M464" t="s">
        <v>6992</v>
      </c>
    </row>
    <row r="465" spans="6:13" x14ac:dyDescent="0.25">
      <c r="F465" t="s">
        <v>2767</v>
      </c>
      <c r="G465" t="s">
        <v>3485</v>
      </c>
      <c r="I465" t="s">
        <v>37</v>
      </c>
      <c r="J465" t="s">
        <v>1338</v>
      </c>
      <c r="L465" t="s">
        <v>7417</v>
      </c>
      <c r="M465" t="s">
        <v>7558</v>
      </c>
    </row>
    <row r="466" spans="6:13" x14ac:dyDescent="0.25">
      <c r="F466" t="s">
        <v>545</v>
      </c>
      <c r="G466" t="s">
        <v>3468</v>
      </c>
      <c r="I466" t="s">
        <v>5779</v>
      </c>
      <c r="J466" t="s">
        <v>6533</v>
      </c>
      <c r="L466" t="s">
        <v>289</v>
      </c>
      <c r="M466" t="s">
        <v>6960</v>
      </c>
    </row>
    <row r="467" spans="6:13" x14ac:dyDescent="0.25">
      <c r="F467" t="s">
        <v>2680</v>
      </c>
      <c r="G467" t="s">
        <v>3739</v>
      </c>
      <c r="I467" t="s">
        <v>122</v>
      </c>
      <c r="J467" t="s">
        <v>6536</v>
      </c>
      <c r="L467" t="s">
        <v>311</v>
      </c>
      <c r="M467" t="s">
        <v>2215</v>
      </c>
    </row>
    <row r="468" spans="6:13" x14ac:dyDescent="0.25">
      <c r="F468" t="s">
        <v>37</v>
      </c>
      <c r="G468" t="s">
        <v>637</v>
      </c>
      <c r="I468" t="s">
        <v>3879</v>
      </c>
      <c r="J468" t="s">
        <v>6725</v>
      </c>
      <c r="L468" t="s">
        <v>7347</v>
      </c>
      <c r="M468" t="s">
        <v>1922</v>
      </c>
    </row>
    <row r="469" spans="6:13" x14ac:dyDescent="0.25">
      <c r="F469" t="s">
        <v>2767</v>
      </c>
      <c r="G469" t="s">
        <v>3794</v>
      </c>
      <c r="I469" t="s">
        <v>545</v>
      </c>
      <c r="J469" t="s">
        <v>2777</v>
      </c>
      <c r="L469" t="s">
        <v>3854</v>
      </c>
      <c r="M469" t="s">
        <v>4154</v>
      </c>
    </row>
    <row r="470" spans="6:13" x14ac:dyDescent="0.25">
      <c r="F470" t="s">
        <v>2667</v>
      </c>
      <c r="G470" t="s">
        <v>5079</v>
      </c>
      <c r="I470" t="s">
        <v>338</v>
      </c>
      <c r="J470" t="s">
        <v>2533</v>
      </c>
      <c r="L470" t="s">
        <v>306</v>
      </c>
      <c r="M470" t="s">
        <v>2570</v>
      </c>
    </row>
    <row r="471" spans="6:13" x14ac:dyDescent="0.25">
      <c r="F471" t="s">
        <v>4644</v>
      </c>
      <c r="G471" t="s">
        <v>4645</v>
      </c>
      <c r="I471" t="s">
        <v>6600</v>
      </c>
      <c r="J471" t="s">
        <v>2376</v>
      </c>
      <c r="L471" t="s">
        <v>64</v>
      </c>
      <c r="M471" t="s">
        <v>2559</v>
      </c>
    </row>
    <row r="472" spans="6:13" x14ac:dyDescent="0.25">
      <c r="F472" t="s">
        <v>2767</v>
      </c>
      <c r="G472" t="s">
        <v>3669</v>
      </c>
      <c r="I472" t="s">
        <v>286</v>
      </c>
      <c r="J472" t="s">
        <v>1063</v>
      </c>
      <c r="L472" t="s">
        <v>313</v>
      </c>
      <c r="M472" t="s">
        <v>2102</v>
      </c>
    </row>
    <row r="473" spans="6:13" x14ac:dyDescent="0.25">
      <c r="F473" t="s">
        <v>5116</v>
      </c>
      <c r="G473" t="s">
        <v>3597</v>
      </c>
      <c r="I473" t="s">
        <v>548</v>
      </c>
      <c r="J473" t="s">
        <v>988</v>
      </c>
      <c r="L473" t="s">
        <v>313</v>
      </c>
      <c r="M473" t="s">
        <v>2276</v>
      </c>
    </row>
    <row r="474" spans="6:13" x14ac:dyDescent="0.25">
      <c r="F474" t="s">
        <v>5152</v>
      </c>
      <c r="G474" t="s">
        <v>3597</v>
      </c>
      <c r="I474" t="s">
        <v>3937</v>
      </c>
      <c r="J474" t="s">
        <v>6051</v>
      </c>
      <c r="L474" t="s">
        <v>289</v>
      </c>
      <c r="M474" t="s">
        <v>7465</v>
      </c>
    </row>
    <row r="475" spans="6:13" x14ac:dyDescent="0.25">
      <c r="F475" t="s">
        <v>540</v>
      </c>
      <c r="G475" t="s">
        <v>752</v>
      </c>
      <c r="I475" t="s">
        <v>6049</v>
      </c>
      <c r="J475" t="s">
        <v>6050</v>
      </c>
      <c r="L475" t="s">
        <v>37</v>
      </c>
      <c r="M475" t="s">
        <v>7638</v>
      </c>
    </row>
    <row r="476" spans="6:13" x14ac:dyDescent="0.25">
      <c r="F476" t="s">
        <v>4559</v>
      </c>
      <c r="G476" t="s">
        <v>4560</v>
      </c>
      <c r="I476" t="s">
        <v>2741</v>
      </c>
      <c r="J476" t="s">
        <v>4007</v>
      </c>
      <c r="L476" t="s">
        <v>3854</v>
      </c>
      <c r="M476" t="s">
        <v>7119</v>
      </c>
    </row>
    <row r="477" spans="6:13" x14ac:dyDescent="0.25">
      <c r="F477" t="s">
        <v>95</v>
      </c>
      <c r="G477" t="s">
        <v>4821</v>
      </c>
      <c r="I477" t="s">
        <v>2741</v>
      </c>
      <c r="J477" t="s">
        <v>4112</v>
      </c>
      <c r="L477" t="s">
        <v>7695</v>
      </c>
      <c r="M477" t="s">
        <v>2174</v>
      </c>
    </row>
    <row r="478" spans="6:13" x14ac:dyDescent="0.25">
      <c r="F478" t="s">
        <v>2669</v>
      </c>
      <c r="G478" t="s">
        <v>3787</v>
      </c>
      <c r="I478" t="s">
        <v>2741</v>
      </c>
      <c r="J478" t="s">
        <v>4046</v>
      </c>
      <c r="L478" t="s">
        <v>457</v>
      </c>
      <c r="M478" t="s">
        <v>7095</v>
      </c>
    </row>
    <row r="479" spans="6:13" x14ac:dyDescent="0.25">
      <c r="F479" t="s">
        <v>2766</v>
      </c>
      <c r="G479" t="s">
        <v>3706</v>
      </c>
      <c r="I479" t="s">
        <v>2741</v>
      </c>
      <c r="J479" t="s">
        <v>4028</v>
      </c>
      <c r="L479" t="s">
        <v>356</v>
      </c>
      <c r="M479" t="s">
        <v>6866</v>
      </c>
    </row>
    <row r="480" spans="6:13" x14ac:dyDescent="0.25">
      <c r="F480" t="s">
        <v>4946</v>
      </c>
      <c r="G480" t="s">
        <v>2361</v>
      </c>
      <c r="I480" t="s">
        <v>5441</v>
      </c>
      <c r="J480" t="s">
        <v>5442</v>
      </c>
      <c r="L480" t="s">
        <v>457</v>
      </c>
      <c r="M480" t="s">
        <v>7475</v>
      </c>
    </row>
    <row r="481" spans="6:13" x14ac:dyDescent="0.25">
      <c r="F481" t="s">
        <v>2670</v>
      </c>
      <c r="G481" t="s">
        <v>3641</v>
      </c>
      <c r="I481" t="s">
        <v>5369</v>
      </c>
      <c r="J481" t="s">
        <v>2976</v>
      </c>
      <c r="L481" t="s">
        <v>122</v>
      </c>
      <c r="M481" t="s">
        <v>1876</v>
      </c>
    </row>
    <row r="482" spans="6:13" x14ac:dyDescent="0.25">
      <c r="F482" t="s">
        <v>4310</v>
      </c>
      <c r="G482" t="s">
        <v>4372</v>
      </c>
      <c r="I482" t="s">
        <v>5846</v>
      </c>
      <c r="J482" t="s">
        <v>2483</v>
      </c>
      <c r="L482" t="s">
        <v>459</v>
      </c>
      <c r="M482" t="s">
        <v>7085</v>
      </c>
    </row>
    <row r="483" spans="6:13" x14ac:dyDescent="0.25">
      <c r="F483" t="s">
        <v>3854</v>
      </c>
      <c r="G483" t="s">
        <v>4325</v>
      </c>
      <c r="I483" t="s">
        <v>254</v>
      </c>
      <c r="J483" t="s">
        <v>6578</v>
      </c>
      <c r="L483" t="s">
        <v>459</v>
      </c>
      <c r="M483" t="s">
        <v>1865</v>
      </c>
    </row>
    <row r="484" spans="6:13" x14ac:dyDescent="0.25">
      <c r="F484" t="s">
        <v>540</v>
      </c>
      <c r="G484" t="s">
        <v>615</v>
      </c>
      <c r="I484" t="s">
        <v>6840</v>
      </c>
      <c r="J484" t="s">
        <v>1632</v>
      </c>
      <c r="L484" t="s">
        <v>311</v>
      </c>
      <c r="M484" t="s">
        <v>1995</v>
      </c>
    </row>
    <row r="485" spans="6:13" x14ac:dyDescent="0.25">
      <c r="F485" t="s">
        <v>5038</v>
      </c>
      <c r="G485" t="s">
        <v>3329</v>
      </c>
      <c r="I485" t="s">
        <v>5432</v>
      </c>
      <c r="J485" t="s">
        <v>885</v>
      </c>
      <c r="L485" t="s">
        <v>37</v>
      </c>
      <c r="M485" t="s">
        <v>1692</v>
      </c>
    </row>
    <row r="486" spans="6:13" x14ac:dyDescent="0.25">
      <c r="F486" t="s">
        <v>356</v>
      </c>
      <c r="G486" t="s">
        <v>4362</v>
      </c>
      <c r="I486" t="s">
        <v>6330</v>
      </c>
      <c r="J486" t="s">
        <v>6331</v>
      </c>
      <c r="L486" t="s">
        <v>37</v>
      </c>
      <c r="M486" t="s">
        <v>7630</v>
      </c>
    </row>
    <row r="487" spans="6:13" x14ac:dyDescent="0.25">
      <c r="F487" t="s">
        <v>578</v>
      </c>
      <c r="G487" t="s">
        <v>3661</v>
      </c>
      <c r="I487" t="s">
        <v>403</v>
      </c>
      <c r="J487" t="s">
        <v>6063</v>
      </c>
      <c r="L487" t="s">
        <v>313</v>
      </c>
      <c r="M487" t="s">
        <v>2125</v>
      </c>
    </row>
    <row r="488" spans="6:13" x14ac:dyDescent="0.25">
      <c r="F488" t="s">
        <v>95</v>
      </c>
      <c r="G488" t="s">
        <v>623</v>
      </c>
      <c r="I488" t="s">
        <v>5653</v>
      </c>
      <c r="J488" t="s">
        <v>5842</v>
      </c>
      <c r="L488" t="s">
        <v>313</v>
      </c>
      <c r="M488" t="s">
        <v>1668</v>
      </c>
    </row>
    <row r="489" spans="6:13" x14ac:dyDescent="0.25">
      <c r="F489" t="s">
        <v>46</v>
      </c>
      <c r="G489" t="s">
        <v>660</v>
      </c>
      <c r="I489" t="s">
        <v>3900</v>
      </c>
      <c r="J489" t="s">
        <v>5456</v>
      </c>
      <c r="L489" t="s">
        <v>3854</v>
      </c>
      <c r="M489" t="s">
        <v>4280</v>
      </c>
    </row>
    <row r="490" spans="6:13" x14ac:dyDescent="0.25">
      <c r="F490" t="s">
        <v>4768</v>
      </c>
      <c r="G490" t="s">
        <v>693</v>
      </c>
      <c r="I490" t="s">
        <v>5580</v>
      </c>
      <c r="J490" t="s">
        <v>5581</v>
      </c>
      <c r="L490" t="s">
        <v>391</v>
      </c>
      <c r="M490" t="s">
        <v>2627</v>
      </c>
    </row>
    <row r="491" spans="6:13" x14ac:dyDescent="0.25">
      <c r="F491" t="s">
        <v>482</v>
      </c>
      <c r="G491" t="s">
        <v>652</v>
      </c>
      <c r="I491" t="s">
        <v>5565</v>
      </c>
      <c r="J491" t="s">
        <v>944</v>
      </c>
      <c r="L491" t="s">
        <v>7051</v>
      </c>
      <c r="M491" t="s">
        <v>1760</v>
      </c>
    </row>
    <row r="492" spans="6:13" x14ac:dyDescent="0.25">
      <c r="F492" t="s">
        <v>5131</v>
      </c>
      <c r="G492" t="s">
        <v>3556</v>
      </c>
      <c r="I492" t="s">
        <v>5290</v>
      </c>
      <c r="J492" t="s">
        <v>6077</v>
      </c>
      <c r="L492" t="s">
        <v>37</v>
      </c>
      <c r="M492" t="s">
        <v>7433</v>
      </c>
    </row>
    <row r="493" spans="6:13" x14ac:dyDescent="0.25">
      <c r="F493" t="s">
        <v>3854</v>
      </c>
      <c r="G493" t="s">
        <v>4415</v>
      </c>
      <c r="I493" t="s">
        <v>5221</v>
      </c>
      <c r="J493" t="s">
        <v>5738</v>
      </c>
      <c r="L493" t="s">
        <v>313</v>
      </c>
      <c r="M493" t="s">
        <v>2128</v>
      </c>
    </row>
    <row r="494" spans="6:13" x14ac:dyDescent="0.25">
      <c r="F494" t="s">
        <v>3854</v>
      </c>
      <c r="G494" t="s">
        <v>4327</v>
      </c>
      <c r="I494" t="s">
        <v>5447</v>
      </c>
      <c r="J494" t="s">
        <v>6464</v>
      </c>
      <c r="L494" t="s">
        <v>4611</v>
      </c>
      <c r="M494" t="s">
        <v>2226</v>
      </c>
    </row>
    <row r="495" spans="6:13" x14ac:dyDescent="0.25">
      <c r="F495" t="s">
        <v>4537</v>
      </c>
      <c r="G495" t="s">
        <v>3292</v>
      </c>
      <c r="I495" t="s">
        <v>5542</v>
      </c>
      <c r="J495" t="s">
        <v>5543</v>
      </c>
      <c r="L495" t="s">
        <v>37</v>
      </c>
      <c r="M495" t="s">
        <v>2239</v>
      </c>
    </row>
    <row r="496" spans="6:13" x14ac:dyDescent="0.25">
      <c r="F496" t="s">
        <v>574</v>
      </c>
      <c r="G496" t="s">
        <v>3730</v>
      </c>
      <c r="I496" t="s">
        <v>5544</v>
      </c>
      <c r="J496" t="s">
        <v>929</v>
      </c>
      <c r="L496" t="s">
        <v>313</v>
      </c>
      <c r="M496" t="s">
        <v>1792</v>
      </c>
    </row>
    <row r="497" spans="6:13" x14ac:dyDescent="0.25">
      <c r="F497" t="s">
        <v>2662</v>
      </c>
      <c r="G497" t="s">
        <v>3326</v>
      </c>
      <c r="I497" t="s">
        <v>2741</v>
      </c>
      <c r="J497" t="s">
        <v>4048</v>
      </c>
      <c r="L497" t="s">
        <v>391</v>
      </c>
      <c r="M497" t="s">
        <v>3093</v>
      </c>
    </row>
    <row r="498" spans="6:13" x14ac:dyDescent="0.25">
      <c r="F498" t="s">
        <v>2676</v>
      </c>
      <c r="G498" t="s">
        <v>3530</v>
      </c>
      <c r="I498" t="s">
        <v>253</v>
      </c>
      <c r="J498" t="s">
        <v>3914</v>
      </c>
      <c r="L498" t="s">
        <v>37</v>
      </c>
      <c r="M498" t="s">
        <v>6900</v>
      </c>
    </row>
    <row r="499" spans="6:13" x14ac:dyDescent="0.25">
      <c r="F499" t="s">
        <v>4314</v>
      </c>
      <c r="G499" t="s">
        <v>4404</v>
      </c>
      <c r="I499" t="s">
        <v>313</v>
      </c>
      <c r="J499" t="s">
        <v>1555</v>
      </c>
      <c r="L499" t="s">
        <v>313</v>
      </c>
      <c r="M499" t="s">
        <v>1906</v>
      </c>
    </row>
    <row r="500" spans="6:13" x14ac:dyDescent="0.25">
      <c r="F500" t="s">
        <v>4310</v>
      </c>
      <c r="G500" t="s">
        <v>4405</v>
      </c>
      <c r="I500" t="s">
        <v>393</v>
      </c>
      <c r="J500" t="s">
        <v>6137</v>
      </c>
      <c r="L500" t="s">
        <v>289</v>
      </c>
      <c r="M500" t="s">
        <v>4185</v>
      </c>
    </row>
    <row r="501" spans="6:13" x14ac:dyDescent="0.25">
      <c r="F501" t="s">
        <v>37</v>
      </c>
      <c r="G501" t="s">
        <v>758</v>
      </c>
      <c r="I501" t="s">
        <v>5691</v>
      </c>
      <c r="J501" t="s">
        <v>6440</v>
      </c>
      <c r="L501" t="s">
        <v>457</v>
      </c>
      <c r="M501" t="s">
        <v>1839</v>
      </c>
    </row>
    <row r="502" spans="6:13" x14ac:dyDescent="0.25">
      <c r="F502" t="s">
        <v>2767</v>
      </c>
      <c r="G502" t="s">
        <v>3512</v>
      </c>
      <c r="I502" t="s">
        <v>3854</v>
      </c>
      <c r="J502" t="s">
        <v>4001</v>
      </c>
      <c r="L502" t="s">
        <v>3908</v>
      </c>
      <c r="M502" t="s">
        <v>4285</v>
      </c>
    </row>
    <row r="503" spans="6:13" x14ac:dyDescent="0.25">
      <c r="F503" t="s">
        <v>400</v>
      </c>
      <c r="G503" t="s">
        <v>681</v>
      </c>
      <c r="I503" t="s">
        <v>90</v>
      </c>
      <c r="J503" t="s">
        <v>1072</v>
      </c>
      <c r="L503" t="s">
        <v>46</v>
      </c>
      <c r="M503" t="s">
        <v>7169</v>
      </c>
    </row>
    <row r="504" spans="6:13" x14ac:dyDescent="0.25">
      <c r="F504" t="s">
        <v>2662</v>
      </c>
      <c r="G504" t="s">
        <v>4530</v>
      </c>
      <c r="I504" t="s">
        <v>311</v>
      </c>
      <c r="J504" t="s">
        <v>5827</v>
      </c>
      <c r="L504" t="s">
        <v>391</v>
      </c>
      <c r="M504" t="s">
        <v>2565</v>
      </c>
    </row>
    <row r="505" spans="6:13" x14ac:dyDescent="0.25">
      <c r="F505" t="s">
        <v>578</v>
      </c>
      <c r="G505" t="s">
        <v>3352</v>
      </c>
      <c r="I505" t="s">
        <v>6382</v>
      </c>
      <c r="J505" t="s">
        <v>1388</v>
      </c>
      <c r="L505" t="s">
        <v>403</v>
      </c>
      <c r="M505" t="s">
        <v>2628</v>
      </c>
    </row>
    <row r="506" spans="6:13" x14ac:dyDescent="0.25">
      <c r="F506" t="s">
        <v>5099</v>
      </c>
      <c r="G506" t="s">
        <v>3458</v>
      </c>
      <c r="I506" t="s">
        <v>3854</v>
      </c>
      <c r="J506" t="s">
        <v>3929</v>
      </c>
      <c r="L506" t="s">
        <v>391</v>
      </c>
      <c r="M506" t="s">
        <v>3115</v>
      </c>
    </row>
    <row r="507" spans="6:13" x14ac:dyDescent="0.25">
      <c r="F507" t="s">
        <v>543</v>
      </c>
      <c r="G507" t="s">
        <v>631</v>
      </c>
      <c r="I507" t="s">
        <v>6032</v>
      </c>
      <c r="J507" t="s">
        <v>6033</v>
      </c>
      <c r="L507" t="s">
        <v>37</v>
      </c>
      <c r="M507" t="s">
        <v>7777</v>
      </c>
    </row>
    <row r="508" spans="6:13" x14ac:dyDescent="0.25">
      <c r="F508" t="s">
        <v>400</v>
      </c>
      <c r="G508" t="s">
        <v>739</v>
      </c>
      <c r="I508" t="s">
        <v>254</v>
      </c>
      <c r="J508" t="s">
        <v>6778</v>
      </c>
      <c r="L508" t="s">
        <v>396</v>
      </c>
      <c r="M508" t="s">
        <v>7057</v>
      </c>
    </row>
    <row r="509" spans="6:13" x14ac:dyDescent="0.25">
      <c r="F509" t="s">
        <v>398</v>
      </c>
      <c r="G509" t="s">
        <v>3309</v>
      </c>
      <c r="I509" t="s">
        <v>2741</v>
      </c>
      <c r="J509" t="s">
        <v>3060</v>
      </c>
      <c r="L509" t="s">
        <v>311</v>
      </c>
      <c r="M509" t="s">
        <v>2153</v>
      </c>
    </row>
    <row r="510" spans="6:13" x14ac:dyDescent="0.25">
      <c r="F510" t="s">
        <v>4617</v>
      </c>
      <c r="G510" t="s">
        <v>3388</v>
      </c>
      <c r="I510" t="s">
        <v>2741</v>
      </c>
      <c r="J510" t="s">
        <v>3066</v>
      </c>
      <c r="L510" t="s">
        <v>39</v>
      </c>
      <c r="M510" t="s">
        <v>2179</v>
      </c>
    </row>
    <row r="511" spans="6:13" x14ac:dyDescent="0.25">
      <c r="F511" t="s">
        <v>37</v>
      </c>
      <c r="G511" t="s">
        <v>5146</v>
      </c>
      <c r="I511" t="s">
        <v>2741</v>
      </c>
      <c r="J511" t="s">
        <v>3051</v>
      </c>
      <c r="L511" t="s">
        <v>396</v>
      </c>
      <c r="M511" t="s">
        <v>6957</v>
      </c>
    </row>
    <row r="512" spans="6:13" x14ac:dyDescent="0.25">
      <c r="F512" t="s">
        <v>4732</v>
      </c>
      <c r="G512" t="s">
        <v>680</v>
      </c>
      <c r="I512" t="s">
        <v>2741</v>
      </c>
      <c r="J512" t="s">
        <v>3034</v>
      </c>
      <c r="L512" t="s">
        <v>457</v>
      </c>
      <c r="M512" t="s">
        <v>7292</v>
      </c>
    </row>
    <row r="513" spans="6:13" x14ac:dyDescent="0.25">
      <c r="F513" t="s">
        <v>4771</v>
      </c>
      <c r="G513" t="s">
        <v>695</v>
      </c>
      <c r="I513" t="s">
        <v>391</v>
      </c>
      <c r="J513" t="s">
        <v>3975</v>
      </c>
      <c r="L513" t="s">
        <v>123</v>
      </c>
      <c r="M513" t="s">
        <v>7098</v>
      </c>
    </row>
    <row r="514" spans="6:13" x14ac:dyDescent="0.25">
      <c r="F514" t="s">
        <v>2766</v>
      </c>
      <c r="G514" t="s">
        <v>3710</v>
      </c>
      <c r="I514" t="s">
        <v>311</v>
      </c>
      <c r="J514" t="s">
        <v>6564</v>
      </c>
      <c r="L514" t="s">
        <v>311</v>
      </c>
      <c r="M514" t="s">
        <v>1940</v>
      </c>
    </row>
    <row r="515" spans="6:13" x14ac:dyDescent="0.25">
      <c r="F515" t="s">
        <v>2767</v>
      </c>
      <c r="G515" t="s">
        <v>3736</v>
      </c>
      <c r="I515" t="s">
        <v>5545</v>
      </c>
      <c r="J515" t="s">
        <v>1386</v>
      </c>
      <c r="L515" t="s">
        <v>3854</v>
      </c>
      <c r="M515" t="s">
        <v>7491</v>
      </c>
    </row>
    <row r="516" spans="6:13" x14ac:dyDescent="0.25">
      <c r="F516" t="s">
        <v>4314</v>
      </c>
      <c r="G516" t="s">
        <v>4341</v>
      </c>
      <c r="I516" t="s">
        <v>5293</v>
      </c>
      <c r="J516" t="s">
        <v>2827</v>
      </c>
      <c r="L516" t="s">
        <v>37</v>
      </c>
      <c r="M516" t="s">
        <v>7190</v>
      </c>
    </row>
    <row r="517" spans="6:13" x14ac:dyDescent="0.25">
      <c r="F517" t="s">
        <v>5080</v>
      </c>
      <c r="G517" t="s">
        <v>3416</v>
      </c>
      <c r="I517" t="s">
        <v>6828</v>
      </c>
      <c r="J517" t="s">
        <v>6829</v>
      </c>
      <c r="L517" t="s">
        <v>391</v>
      </c>
      <c r="M517" t="s">
        <v>2582</v>
      </c>
    </row>
    <row r="518" spans="6:13" x14ac:dyDescent="0.25">
      <c r="F518" t="s">
        <v>2680</v>
      </c>
      <c r="G518" t="s">
        <v>3328</v>
      </c>
      <c r="I518" t="s">
        <v>5445</v>
      </c>
      <c r="J518" t="s">
        <v>5446</v>
      </c>
      <c r="L518" t="s">
        <v>391</v>
      </c>
      <c r="M518" t="s">
        <v>3153</v>
      </c>
    </row>
    <row r="519" spans="6:13" x14ac:dyDescent="0.25">
      <c r="F519" t="s">
        <v>540</v>
      </c>
      <c r="G519" t="s">
        <v>613</v>
      </c>
      <c r="I519" t="s">
        <v>5653</v>
      </c>
      <c r="J519" t="s">
        <v>6492</v>
      </c>
      <c r="L519" t="s">
        <v>400</v>
      </c>
      <c r="M519" t="s">
        <v>7273</v>
      </c>
    </row>
    <row r="520" spans="6:13" x14ac:dyDescent="0.25">
      <c r="F520" t="s">
        <v>4921</v>
      </c>
      <c r="G520" t="s">
        <v>3712</v>
      </c>
      <c r="I520" t="s">
        <v>6080</v>
      </c>
      <c r="J520" t="s">
        <v>6081</v>
      </c>
      <c r="L520" t="s">
        <v>391</v>
      </c>
      <c r="M520" t="s">
        <v>3194</v>
      </c>
    </row>
    <row r="521" spans="6:13" x14ac:dyDescent="0.25">
      <c r="F521" t="s">
        <v>46</v>
      </c>
      <c r="G521" t="s">
        <v>3713</v>
      </c>
      <c r="I521" t="s">
        <v>2741</v>
      </c>
      <c r="J521" t="s">
        <v>4111</v>
      </c>
      <c r="L521" t="s">
        <v>37</v>
      </c>
      <c r="M521" t="s">
        <v>4271</v>
      </c>
    </row>
    <row r="522" spans="6:13" x14ac:dyDescent="0.25">
      <c r="F522" t="s">
        <v>2667</v>
      </c>
      <c r="G522" t="s">
        <v>3457</v>
      </c>
      <c r="I522" t="s">
        <v>338</v>
      </c>
      <c r="J522" t="s">
        <v>6679</v>
      </c>
      <c r="L522" t="s">
        <v>37</v>
      </c>
      <c r="M522" t="s">
        <v>7345</v>
      </c>
    </row>
    <row r="523" spans="6:13" x14ac:dyDescent="0.25">
      <c r="F523" t="s">
        <v>2767</v>
      </c>
      <c r="G523" t="s">
        <v>3308</v>
      </c>
      <c r="I523" t="s">
        <v>6717</v>
      </c>
      <c r="J523" t="s">
        <v>6718</v>
      </c>
      <c r="L523" t="s">
        <v>37</v>
      </c>
      <c r="M523" t="s">
        <v>7543</v>
      </c>
    </row>
    <row r="524" spans="6:13" x14ac:dyDescent="0.25">
      <c r="F524" t="s">
        <v>553</v>
      </c>
      <c r="G524" t="s">
        <v>684</v>
      </c>
      <c r="I524" t="s">
        <v>6123</v>
      </c>
      <c r="J524" t="s">
        <v>2495</v>
      </c>
      <c r="L524" t="s">
        <v>391</v>
      </c>
      <c r="M524" t="s">
        <v>2589</v>
      </c>
    </row>
    <row r="525" spans="6:13" x14ac:dyDescent="0.25">
      <c r="F525" t="s">
        <v>2670</v>
      </c>
      <c r="G525" t="s">
        <v>3397</v>
      </c>
      <c r="I525" t="s">
        <v>253</v>
      </c>
      <c r="J525" t="s">
        <v>814</v>
      </c>
      <c r="L525" t="s">
        <v>123</v>
      </c>
      <c r="M525" t="s">
        <v>7044</v>
      </c>
    </row>
    <row r="526" spans="6:13" x14ac:dyDescent="0.25">
      <c r="F526" t="s">
        <v>313</v>
      </c>
      <c r="G526" t="s">
        <v>4546</v>
      </c>
      <c r="I526" t="s">
        <v>6284</v>
      </c>
      <c r="J526" t="s">
        <v>2895</v>
      </c>
      <c r="L526" t="s">
        <v>37</v>
      </c>
      <c r="M526" t="s">
        <v>7192</v>
      </c>
    </row>
    <row r="527" spans="6:13" x14ac:dyDescent="0.25">
      <c r="F527" t="s">
        <v>4654</v>
      </c>
      <c r="G527" t="s">
        <v>649</v>
      </c>
      <c r="I527" t="s">
        <v>47</v>
      </c>
      <c r="J527" t="s">
        <v>767</v>
      </c>
      <c r="L527" t="s">
        <v>123</v>
      </c>
      <c r="M527" t="s">
        <v>7241</v>
      </c>
    </row>
    <row r="528" spans="6:13" x14ac:dyDescent="0.25">
      <c r="F528" t="s">
        <v>313</v>
      </c>
      <c r="G528" t="s">
        <v>4594</v>
      </c>
      <c r="I528" t="s">
        <v>6373</v>
      </c>
      <c r="J528" t="s">
        <v>2520</v>
      </c>
      <c r="L528" t="s">
        <v>37</v>
      </c>
      <c r="M528" t="s">
        <v>7009</v>
      </c>
    </row>
    <row r="529" spans="6:13" x14ac:dyDescent="0.25">
      <c r="F529" t="s">
        <v>4650</v>
      </c>
      <c r="G529" t="s">
        <v>645</v>
      </c>
      <c r="I529" t="s">
        <v>1</v>
      </c>
      <c r="J529" t="s">
        <v>5460</v>
      </c>
      <c r="L529" t="s">
        <v>457</v>
      </c>
      <c r="M529" t="s">
        <v>2193</v>
      </c>
    </row>
    <row r="530" spans="6:13" x14ac:dyDescent="0.25">
      <c r="F530" t="s">
        <v>2667</v>
      </c>
      <c r="G530" t="s">
        <v>3364</v>
      </c>
      <c r="I530" t="s">
        <v>5653</v>
      </c>
      <c r="J530" t="s">
        <v>6505</v>
      </c>
      <c r="L530" t="s">
        <v>391</v>
      </c>
      <c r="M530" t="s">
        <v>2574</v>
      </c>
    </row>
    <row r="531" spans="6:13" x14ac:dyDescent="0.25">
      <c r="F531" t="s">
        <v>3854</v>
      </c>
      <c r="G531" t="s">
        <v>4387</v>
      </c>
      <c r="I531" t="s">
        <v>545</v>
      </c>
      <c r="J531" t="s">
        <v>2984</v>
      </c>
      <c r="L531" t="s">
        <v>6978</v>
      </c>
      <c r="M531" t="s">
        <v>1714</v>
      </c>
    </row>
    <row r="532" spans="6:13" x14ac:dyDescent="0.25">
      <c r="F532" t="s">
        <v>3854</v>
      </c>
      <c r="G532" t="s">
        <v>4422</v>
      </c>
      <c r="I532" t="s">
        <v>3937</v>
      </c>
      <c r="J532" t="s">
        <v>5879</v>
      </c>
      <c r="L532" t="s">
        <v>39</v>
      </c>
      <c r="M532" t="s">
        <v>2275</v>
      </c>
    </row>
    <row r="533" spans="6:13" x14ac:dyDescent="0.25">
      <c r="F533" t="s">
        <v>2663</v>
      </c>
      <c r="G533" t="s">
        <v>3748</v>
      </c>
      <c r="I533" t="s">
        <v>2736</v>
      </c>
      <c r="J533" t="s">
        <v>4122</v>
      </c>
      <c r="L533" t="s">
        <v>400</v>
      </c>
      <c r="M533" t="s">
        <v>7202</v>
      </c>
    </row>
    <row r="534" spans="6:13" x14ac:dyDescent="0.25">
      <c r="F534" t="s">
        <v>5080</v>
      </c>
      <c r="G534" t="s">
        <v>3605</v>
      </c>
      <c r="I534" t="s">
        <v>2352</v>
      </c>
      <c r="J534" t="s">
        <v>6775</v>
      </c>
      <c r="L534" t="s">
        <v>2352</v>
      </c>
      <c r="M534" t="s">
        <v>4138</v>
      </c>
    </row>
    <row r="535" spans="6:13" x14ac:dyDescent="0.25">
      <c r="F535" t="s">
        <v>356</v>
      </c>
      <c r="G535" t="s">
        <v>4346</v>
      </c>
      <c r="I535" t="s">
        <v>2741</v>
      </c>
      <c r="J535" t="s">
        <v>3010</v>
      </c>
      <c r="L535" t="s">
        <v>7608</v>
      </c>
      <c r="M535" t="s">
        <v>2115</v>
      </c>
    </row>
    <row r="536" spans="6:13" x14ac:dyDescent="0.25">
      <c r="F536" t="s">
        <v>5032</v>
      </c>
      <c r="G536" t="s">
        <v>4557</v>
      </c>
      <c r="I536" t="s">
        <v>2741</v>
      </c>
      <c r="J536" t="s">
        <v>3053</v>
      </c>
      <c r="L536" t="s">
        <v>37</v>
      </c>
      <c r="M536" t="s">
        <v>7489</v>
      </c>
    </row>
    <row r="537" spans="6:13" x14ac:dyDescent="0.25">
      <c r="F537" t="s">
        <v>4618</v>
      </c>
      <c r="G537" t="s">
        <v>634</v>
      </c>
      <c r="I537" t="s">
        <v>91</v>
      </c>
      <c r="J537" t="s">
        <v>876</v>
      </c>
      <c r="L537" t="s">
        <v>21</v>
      </c>
      <c r="M537" t="s">
        <v>2127</v>
      </c>
    </row>
    <row r="538" spans="6:13" x14ac:dyDescent="0.25">
      <c r="F538" t="s">
        <v>2662</v>
      </c>
      <c r="G538" t="s">
        <v>3333</v>
      </c>
      <c r="I538" t="s">
        <v>6420</v>
      </c>
      <c r="J538" t="s">
        <v>6421</v>
      </c>
      <c r="L538" t="s">
        <v>457</v>
      </c>
      <c r="M538" t="s">
        <v>6885</v>
      </c>
    </row>
    <row r="539" spans="6:13" x14ac:dyDescent="0.25">
      <c r="F539" t="s">
        <v>540</v>
      </c>
      <c r="G539" t="s">
        <v>712</v>
      </c>
      <c r="I539" t="s">
        <v>253</v>
      </c>
      <c r="J539" t="s">
        <v>1035</v>
      </c>
      <c r="L539" t="s">
        <v>39</v>
      </c>
      <c r="M539" t="s">
        <v>2039</v>
      </c>
    </row>
    <row r="540" spans="6:13" x14ac:dyDescent="0.25">
      <c r="F540" t="s">
        <v>2668</v>
      </c>
      <c r="G540" t="s">
        <v>3664</v>
      </c>
      <c r="I540" t="s">
        <v>5382</v>
      </c>
      <c r="J540" t="s">
        <v>5383</v>
      </c>
      <c r="L540" t="s">
        <v>396</v>
      </c>
      <c r="M540" t="s">
        <v>7437</v>
      </c>
    </row>
    <row r="541" spans="6:13" x14ac:dyDescent="0.25">
      <c r="F541" t="s">
        <v>122</v>
      </c>
      <c r="G541" t="s">
        <v>4581</v>
      </c>
      <c r="I541" t="s">
        <v>295</v>
      </c>
      <c r="J541" t="s">
        <v>2521</v>
      </c>
      <c r="L541" t="s">
        <v>37</v>
      </c>
      <c r="M541" t="s">
        <v>7828</v>
      </c>
    </row>
    <row r="542" spans="6:13" x14ac:dyDescent="0.25">
      <c r="F542" t="s">
        <v>400</v>
      </c>
      <c r="G542" t="s">
        <v>619</v>
      </c>
      <c r="I542" t="s">
        <v>3854</v>
      </c>
      <c r="J542" t="s">
        <v>4078</v>
      </c>
      <c r="L542" t="s">
        <v>391</v>
      </c>
      <c r="M542" t="s">
        <v>2560</v>
      </c>
    </row>
    <row r="543" spans="6:13" x14ac:dyDescent="0.25">
      <c r="F543" t="s">
        <v>574</v>
      </c>
      <c r="G543" t="s">
        <v>3767</v>
      </c>
      <c r="I543" t="s">
        <v>313</v>
      </c>
      <c r="J543" t="s">
        <v>2880</v>
      </c>
      <c r="L543" t="s">
        <v>396</v>
      </c>
      <c r="M543" t="s">
        <v>7576</v>
      </c>
    </row>
    <row r="544" spans="6:13" x14ac:dyDescent="0.25">
      <c r="F544" t="s">
        <v>137</v>
      </c>
      <c r="G544" t="s">
        <v>3789</v>
      </c>
      <c r="I544" t="s">
        <v>3879</v>
      </c>
      <c r="J544" t="s">
        <v>5479</v>
      </c>
      <c r="L544" t="s">
        <v>39</v>
      </c>
      <c r="M544" t="s">
        <v>1978</v>
      </c>
    </row>
    <row r="545" spans="6:13" x14ac:dyDescent="0.25">
      <c r="F545" t="s">
        <v>5142</v>
      </c>
      <c r="G545" t="s">
        <v>3578</v>
      </c>
      <c r="I545" t="s">
        <v>2741</v>
      </c>
      <c r="J545" t="s">
        <v>3874</v>
      </c>
      <c r="L545" t="s">
        <v>7050</v>
      </c>
      <c r="M545" t="s">
        <v>1759</v>
      </c>
    </row>
    <row r="546" spans="6:13" x14ac:dyDescent="0.25">
      <c r="F546" t="s">
        <v>543</v>
      </c>
      <c r="G546" t="s">
        <v>3620</v>
      </c>
      <c r="I546" t="s">
        <v>2741</v>
      </c>
      <c r="J546" t="s">
        <v>3957</v>
      </c>
      <c r="L546" t="s">
        <v>123</v>
      </c>
      <c r="M546" t="s">
        <v>6956</v>
      </c>
    </row>
    <row r="547" spans="6:13" x14ac:dyDescent="0.25">
      <c r="F547" t="s">
        <v>540</v>
      </c>
      <c r="G547" t="s">
        <v>673</v>
      </c>
      <c r="I547" t="s">
        <v>2741</v>
      </c>
      <c r="J547" t="s">
        <v>4024</v>
      </c>
      <c r="L547" t="s">
        <v>457</v>
      </c>
      <c r="M547" t="s">
        <v>7441</v>
      </c>
    </row>
    <row r="548" spans="6:13" x14ac:dyDescent="0.25">
      <c r="F548" t="s">
        <v>95</v>
      </c>
      <c r="G548" t="s">
        <v>4745</v>
      </c>
      <c r="I548" t="s">
        <v>2741</v>
      </c>
      <c r="J548" t="s">
        <v>3988</v>
      </c>
      <c r="L548" t="s">
        <v>457</v>
      </c>
      <c r="M548" t="s">
        <v>7456</v>
      </c>
    </row>
    <row r="549" spans="6:13" x14ac:dyDescent="0.25">
      <c r="F549" t="s">
        <v>122</v>
      </c>
      <c r="G549" t="s">
        <v>3558</v>
      </c>
      <c r="I549" t="s">
        <v>2741</v>
      </c>
      <c r="J549" t="s">
        <v>3047</v>
      </c>
      <c r="L549" t="s">
        <v>289</v>
      </c>
      <c r="M549" t="s">
        <v>7372</v>
      </c>
    </row>
    <row r="550" spans="6:13" x14ac:dyDescent="0.25">
      <c r="F550" t="s">
        <v>2667</v>
      </c>
      <c r="G550" t="s">
        <v>3411</v>
      </c>
      <c r="I550" t="s">
        <v>254</v>
      </c>
      <c r="J550" t="s">
        <v>2857</v>
      </c>
      <c r="L550" t="s">
        <v>7862</v>
      </c>
      <c r="M550" t="s">
        <v>7863</v>
      </c>
    </row>
    <row r="551" spans="6:13" x14ac:dyDescent="0.25">
      <c r="F551" t="s">
        <v>5105</v>
      </c>
      <c r="G551" t="s">
        <v>3474</v>
      </c>
      <c r="I551" t="s">
        <v>63</v>
      </c>
      <c r="J551" t="s">
        <v>2459</v>
      </c>
      <c r="L551" t="s">
        <v>64</v>
      </c>
      <c r="M551" t="s">
        <v>2604</v>
      </c>
    </row>
    <row r="552" spans="6:13" x14ac:dyDescent="0.25">
      <c r="F552" t="s">
        <v>578</v>
      </c>
      <c r="G552" t="s">
        <v>3568</v>
      </c>
      <c r="I552" t="s">
        <v>6279</v>
      </c>
      <c r="J552" t="s">
        <v>1334</v>
      </c>
      <c r="L552" t="s">
        <v>6976</v>
      </c>
      <c r="M552" t="s">
        <v>1709</v>
      </c>
    </row>
    <row r="553" spans="6:13" x14ac:dyDescent="0.25">
      <c r="F553" t="s">
        <v>2723</v>
      </c>
      <c r="G553" t="s">
        <v>3761</v>
      </c>
      <c r="I553" t="s">
        <v>2352</v>
      </c>
      <c r="J553" t="s">
        <v>3881</v>
      </c>
      <c r="L553" t="s">
        <v>6897</v>
      </c>
      <c r="M553" t="s">
        <v>1738</v>
      </c>
    </row>
    <row r="554" spans="6:13" x14ac:dyDescent="0.25">
      <c r="F554" t="s">
        <v>4879</v>
      </c>
      <c r="G554" t="s">
        <v>725</v>
      </c>
      <c r="I554" t="s">
        <v>5288</v>
      </c>
      <c r="J554" t="s">
        <v>5289</v>
      </c>
      <c r="L554" t="s">
        <v>37</v>
      </c>
      <c r="M554" t="s">
        <v>2311</v>
      </c>
    </row>
    <row r="555" spans="6:13" x14ac:dyDescent="0.25">
      <c r="F555" t="s">
        <v>5080</v>
      </c>
      <c r="G555" t="s">
        <v>3535</v>
      </c>
      <c r="I555" t="s">
        <v>2741</v>
      </c>
      <c r="J555" t="s">
        <v>3039</v>
      </c>
      <c r="L555" t="s">
        <v>391</v>
      </c>
      <c r="M555" t="s">
        <v>2626</v>
      </c>
    </row>
    <row r="556" spans="6:13" x14ac:dyDescent="0.25">
      <c r="F556" t="s">
        <v>356</v>
      </c>
      <c r="G556" t="s">
        <v>4358</v>
      </c>
      <c r="I556" t="s">
        <v>2741</v>
      </c>
      <c r="J556" t="s">
        <v>3025</v>
      </c>
      <c r="L556" t="s">
        <v>7454</v>
      </c>
      <c r="M556" t="s">
        <v>2152</v>
      </c>
    </row>
    <row r="557" spans="6:13" x14ac:dyDescent="0.25">
      <c r="F557" t="s">
        <v>4597</v>
      </c>
      <c r="G557" t="s">
        <v>704</v>
      </c>
      <c r="I557" t="s">
        <v>6755</v>
      </c>
      <c r="J557" t="s">
        <v>2543</v>
      </c>
      <c r="L557" t="s">
        <v>6943</v>
      </c>
      <c r="M557" t="s">
        <v>1973</v>
      </c>
    </row>
    <row r="558" spans="6:13" x14ac:dyDescent="0.25">
      <c r="F558" t="s">
        <v>2745</v>
      </c>
      <c r="G558" t="s">
        <v>737</v>
      </c>
      <c r="I558" t="s">
        <v>92</v>
      </c>
      <c r="J558" t="s">
        <v>1539</v>
      </c>
      <c r="L558" t="s">
        <v>391</v>
      </c>
      <c r="M558" t="s">
        <v>2576</v>
      </c>
    </row>
    <row r="559" spans="6:13" x14ac:dyDescent="0.25">
      <c r="F559" t="s">
        <v>578</v>
      </c>
      <c r="G559" t="s">
        <v>3537</v>
      </c>
      <c r="I559" t="s">
        <v>3937</v>
      </c>
      <c r="J559" t="s">
        <v>5306</v>
      </c>
      <c r="L559" t="s">
        <v>65</v>
      </c>
      <c r="M559" t="s">
        <v>2573</v>
      </c>
    </row>
    <row r="560" spans="6:13" x14ac:dyDescent="0.25">
      <c r="F560" t="s">
        <v>2726</v>
      </c>
      <c r="G560" t="s">
        <v>3731</v>
      </c>
      <c r="I560" t="s">
        <v>2741</v>
      </c>
      <c r="J560" t="s">
        <v>3003</v>
      </c>
      <c r="L560" t="s">
        <v>123</v>
      </c>
      <c r="M560" t="s">
        <v>7674</v>
      </c>
    </row>
    <row r="561" spans="6:13" x14ac:dyDescent="0.25">
      <c r="F561" t="s">
        <v>313</v>
      </c>
      <c r="G561" t="s">
        <v>4702</v>
      </c>
      <c r="I561" t="s">
        <v>2741</v>
      </c>
      <c r="J561" t="s">
        <v>3049</v>
      </c>
      <c r="L561" t="s">
        <v>36</v>
      </c>
      <c r="M561" t="s">
        <v>1675</v>
      </c>
    </row>
    <row r="562" spans="6:13" x14ac:dyDescent="0.25">
      <c r="F562" t="s">
        <v>5182</v>
      </c>
      <c r="G562" t="s">
        <v>3778</v>
      </c>
      <c r="I562" t="s">
        <v>6797</v>
      </c>
      <c r="J562" t="s">
        <v>6798</v>
      </c>
      <c r="L562" t="s">
        <v>37</v>
      </c>
      <c r="M562" t="s">
        <v>7560</v>
      </c>
    </row>
    <row r="563" spans="6:13" x14ac:dyDescent="0.25">
      <c r="F563" t="s">
        <v>5203</v>
      </c>
      <c r="G563" t="s">
        <v>3778</v>
      </c>
      <c r="I563" t="s">
        <v>2723</v>
      </c>
      <c r="J563" t="s">
        <v>2933</v>
      </c>
      <c r="L563" t="s">
        <v>457</v>
      </c>
      <c r="M563" t="s">
        <v>7599</v>
      </c>
    </row>
    <row r="564" spans="6:13" x14ac:dyDescent="0.25">
      <c r="F564" t="s">
        <v>4699</v>
      </c>
      <c r="G564" t="s">
        <v>4700</v>
      </c>
      <c r="I564" t="s">
        <v>6099</v>
      </c>
      <c r="J564" t="s">
        <v>1223</v>
      </c>
      <c r="L564" t="s">
        <v>4190</v>
      </c>
      <c r="M564" t="s">
        <v>4307</v>
      </c>
    </row>
    <row r="565" spans="6:13" x14ac:dyDescent="0.25">
      <c r="F565" t="s">
        <v>2670</v>
      </c>
      <c r="G565" t="s">
        <v>3772</v>
      </c>
      <c r="I565" t="s">
        <v>5764</v>
      </c>
      <c r="J565" t="s">
        <v>1058</v>
      </c>
      <c r="L565" t="s">
        <v>398</v>
      </c>
      <c r="M565" t="s">
        <v>7266</v>
      </c>
    </row>
    <row r="566" spans="6:13" x14ac:dyDescent="0.25">
      <c r="F566" t="s">
        <v>4310</v>
      </c>
      <c r="G566" t="s">
        <v>4398</v>
      </c>
      <c r="I566" t="s">
        <v>548</v>
      </c>
      <c r="J566" t="s">
        <v>2795</v>
      </c>
      <c r="L566" t="s">
        <v>3854</v>
      </c>
      <c r="M566" t="s">
        <v>4162</v>
      </c>
    </row>
    <row r="567" spans="6:13" x14ac:dyDescent="0.25">
      <c r="F567" t="s">
        <v>137</v>
      </c>
      <c r="G567" t="s">
        <v>748</v>
      </c>
      <c r="I567" t="s">
        <v>5392</v>
      </c>
      <c r="J567" t="s">
        <v>6579</v>
      </c>
      <c r="L567" t="s">
        <v>289</v>
      </c>
      <c r="M567" t="s">
        <v>4250</v>
      </c>
    </row>
    <row r="568" spans="6:13" x14ac:dyDescent="0.25">
      <c r="F568" t="s">
        <v>313</v>
      </c>
      <c r="G568" t="s">
        <v>4579</v>
      </c>
      <c r="I568" t="s">
        <v>315</v>
      </c>
      <c r="J568" t="s">
        <v>1517</v>
      </c>
      <c r="L568" t="s">
        <v>459</v>
      </c>
      <c r="M568" t="s">
        <v>1813</v>
      </c>
    </row>
    <row r="569" spans="6:13" x14ac:dyDescent="0.25">
      <c r="F569" t="s">
        <v>4310</v>
      </c>
      <c r="G569" t="s">
        <v>4384</v>
      </c>
      <c r="I569" t="s">
        <v>2736</v>
      </c>
      <c r="J569" t="s">
        <v>6220</v>
      </c>
      <c r="L569" t="s">
        <v>457</v>
      </c>
      <c r="M569" t="s">
        <v>7237</v>
      </c>
    </row>
    <row r="570" spans="6:13" x14ac:dyDescent="0.25">
      <c r="F570" t="s">
        <v>356</v>
      </c>
      <c r="G570" t="s">
        <v>4369</v>
      </c>
      <c r="I570" t="s">
        <v>2736</v>
      </c>
      <c r="J570" t="s">
        <v>6567</v>
      </c>
      <c r="L570" t="s">
        <v>457</v>
      </c>
      <c r="M570" t="s">
        <v>7084</v>
      </c>
    </row>
    <row r="571" spans="6:13" x14ac:dyDescent="0.25">
      <c r="F571" t="s">
        <v>4865</v>
      </c>
      <c r="G571" t="s">
        <v>4866</v>
      </c>
      <c r="I571" t="s">
        <v>2736</v>
      </c>
      <c r="J571" t="s">
        <v>5935</v>
      </c>
      <c r="L571" t="s">
        <v>6476</v>
      </c>
      <c r="M571" t="s">
        <v>7549</v>
      </c>
    </row>
    <row r="572" spans="6:13" x14ac:dyDescent="0.25">
      <c r="F572" t="s">
        <v>4428</v>
      </c>
      <c r="G572" t="s">
        <v>4829</v>
      </c>
      <c r="I572" t="s">
        <v>6695</v>
      </c>
      <c r="J572" t="s">
        <v>1565</v>
      </c>
      <c r="L572" t="s">
        <v>37</v>
      </c>
      <c r="M572" t="s">
        <v>3119</v>
      </c>
    </row>
    <row r="573" spans="6:13" x14ac:dyDescent="0.25">
      <c r="F573" t="s">
        <v>3854</v>
      </c>
      <c r="G573" t="s">
        <v>4333</v>
      </c>
      <c r="I573" t="s">
        <v>254</v>
      </c>
      <c r="J573" t="s">
        <v>4128</v>
      </c>
      <c r="L573" t="s">
        <v>37</v>
      </c>
      <c r="M573" t="s">
        <v>7337</v>
      </c>
    </row>
    <row r="574" spans="6:13" x14ac:dyDescent="0.25">
      <c r="F574" t="s">
        <v>356</v>
      </c>
      <c r="G574" t="s">
        <v>4361</v>
      </c>
      <c r="I574" t="s">
        <v>22</v>
      </c>
      <c r="J574" t="s">
        <v>6233</v>
      </c>
      <c r="L574" t="s">
        <v>7306</v>
      </c>
      <c r="M574" t="s">
        <v>1901</v>
      </c>
    </row>
    <row r="575" spans="6:13" x14ac:dyDescent="0.25">
      <c r="F575" t="s">
        <v>4812</v>
      </c>
      <c r="G575" t="s">
        <v>4813</v>
      </c>
      <c r="I575" t="s">
        <v>318</v>
      </c>
      <c r="J575" t="s">
        <v>5407</v>
      </c>
      <c r="L575" t="s">
        <v>398</v>
      </c>
      <c r="M575" t="s">
        <v>7803</v>
      </c>
    </row>
    <row r="576" spans="6:13" x14ac:dyDescent="0.25">
      <c r="F576" t="s">
        <v>2662</v>
      </c>
      <c r="G576" t="s">
        <v>4808</v>
      </c>
      <c r="I576" t="s">
        <v>393</v>
      </c>
      <c r="J576" t="s">
        <v>6807</v>
      </c>
      <c r="L576" t="s">
        <v>6476</v>
      </c>
      <c r="M576" t="s">
        <v>2189</v>
      </c>
    </row>
    <row r="577" spans="6:13" x14ac:dyDescent="0.25">
      <c r="F577" t="s">
        <v>2672</v>
      </c>
      <c r="G577" t="s">
        <v>3559</v>
      </c>
      <c r="I577" t="s">
        <v>5797</v>
      </c>
      <c r="J577" t="s">
        <v>3959</v>
      </c>
      <c r="L577" t="s">
        <v>3916</v>
      </c>
      <c r="M577" t="s">
        <v>4254</v>
      </c>
    </row>
    <row r="578" spans="6:13" x14ac:dyDescent="0.25">
      <c r="F578" t="s">
        <v>2663</v>
      </c>
      <c r="G578" t="s">
        <v>3423</v>
      </c>
      <c r="I578" t="s">
        <v>360</v>
      </c>
      <c r="J578" t="s">
        <v>4105</v>
      </c>
      <c r="L578" t="s">
        <v>122</v>
      </c>
      <c r="M578" t="s">
        <v>3107</v>
      </c>
    </row>
    <row r="579" spans="6:13" x14ac:dyDescent="0.25">
      <c r="F579" t="s">
        <v>95</v>
      </c>
      <c r="G579" t="s">
        <v>609</v>
      </c>
      <c r="I579" t="s">
        <v>45</v>
      </c>
      <c r="J579" t="s">
        <v>5946</v>
      </c>
      <c r="L579" t="s">
        <v>37</v>
      </c>
      <c r="M579" t="s">
        <v>3145</v>
      </c>
    </row>
    <row r="580" spans="6:13" x14ac:dyDescent="0.25">
      <c r="F580" t="s">
        <v>2670</v>
      </c>
      <c r="G580" t="s">
        <v>3436</v>
      </c>
      <c r="I580" t="s">
        <v>5781</v>
      </c>
      <c r="J580" t="s">
        <v>1064</v>
      </c>
      <c r="L580" t="s">
        <v>3916</v>
      </c>
      <c r="M580" t="s">
        <v>4208</v>
      </c>
    </row>
    <row r="581" spans="6:13" x14ac:dyDescent="0.25">
      <c r="F581" t="s">
        <v>5175</v>
      </c>
      <c r="G581" t="s">
        <v>3667</v>
      </c>
      <c r="I581" t="s">
        <v>3879</v>
      </c>
      <c r="J581" t="s">
        <v>5328</v>
      </c>
      <c r="L581" t="s">
        <v>122</v>
      </c>
      <c r="M581" t="s">
        <v>3158</v>
      </c>
    </row>
    <row r="582" spans="6:13" x14ac:dyDescent="0.25">
      <c r="F582" t="s">
        <v>574</v>
      </c>
      <c r="G582" t="s">
        <v>3625</v>
      </c>
      <c r="I582" t="s">
        <v>92</v>
      </c>
      <c r="J582" t="s">
        <v>2500</v>
      </c>
      <c r="L582" t="s">
        <v>7387</v>
      </c>
      <c r="M582" t="s">
        <v>3175</v>
      </c>
    </row>
    <row r="583" spans="6:13" x14ac:dyDescent="0.25">
      <c r="F583" t="s">
        <v>3854</v>
      </c>
      <c r="G583" t="s">
        <v>4392</v>
      </c>
      <c r="I583" t="s">
        <v>2741</v>
      </c>
      <c r="J583" t="s">
        <v>3000</v>
      </c>
      <c r="L583" t="s">
        <v>37</v>
      </c>
      <c r="M583" t="s">
        <v>3242</v>
      </c>
    </row>
    <row r="584" spans="6:13" x14ac:dyDescent="0.25">
      <c r="F584" t="s">
        <v>37</v>
      </c>
      <c r="G584" t="s">
        <v>4614</v>
      </c>
      <c r="I584" t="s">
        <v>2741</v>
      </c>
      <c r="J584" t="s">
        <v>3008</v>
      </c>
      <c r="L584" t="s">
        <v>548</v>
      </c>
      <c r="M584" t="s">
        <v>4260</v>
      </c>
    </row>
    <row r="585" spans="6:13" x14ac:dyDescent="0.25">
      <c r="F585" t="s">
        <v>122</v>
      </c>
      <c r="G585" t="s">
        <v>4633</v>
      </c>
      <c r="I585" t="s">
        <v>2741</v>
      </c>
      <c r="J585" t="s">
        <v>3037</v>
      </c>
      <c r="L585" t="s">
        <v>548</v>
      </c>
      <c r="M585" t="s">
        <v>4260</v>
      </c>
    </row>
    <row r="586" spans="6:13" x14ac:dyDescent="0.25">
      <c r="F586" t="s">
        <v>37</v>
      </c>
      <c r="G586" t="s">
        <v>5018</v>
      </c>
      <c r="I586" t="s">
        <v>2741</v>
      </c>
      <c r="J586" t="s">
        <v>3052</v>
      </c>
      <c r="L586" t="s">
        <v>3916</v>
      </c>
      <c r="M586" t="s">
        <v>4259</v>
      </c>
    </row>
    <row r="587" spans="6:13" x14ac:dyDescent="0.25">
      <c r="F587" t="s">
        <v>4310</v>
      </c>
      <c r="G587" t="s">
        <v>4394</v>
      </c>
      <c r="I587" t="s">
        <v>2741</v>
      </c>
      <c r="J587" t="s">
        <v>3021</v>
      </c>
      <c r="L587" t="s">
        <v>37</v>
      </c>
      <c r="M587" t="s">
        <v>7242</v>
      </c>
    </row>
    <row r="588" spans="6:13" x14ac:dyDescent="0.25">
      <c r="F588" t="s">
        <v>553</v>
      </c>
      <c r="G588" t="s">
        <v>596</v>
      </c>
      <c r="I588" t="s">
        <v>2741</v>
      </c>
      <c r="J588" t="s">
        <v>3009</v>
      </c>
      <c r="L588" t="s">
        <v>7375</v>
      </c>
      <c r="M588" t="s">
        <v>7376</v>
      </c>
    </row>
    <row r="589" spans="6:13" x14ac:dyDescent="0.25">
      <c r="F589" t="s">
        <v>4526</v>
      </c>
      <c r="G589" t="s">
        <v>3280</v>
      </c>
      <c r="I589" t="s">
        <v>313</v>
      </c>
      <c r="J589" t="s">
        <v>2840</v>
      </c>
      <c r="L589" t="s">
        <v>37</v>
      </c>
      <c r="M589" t="s">
        <v>3152</v>
      </c>
    </row>
    <row r="590" spans="6:13" x14ac:dyDescent="0.25">
      <c r="F590" t="s">
        <v>576</v>
      </c>
      <c r="G590" t="s">
        <v>3413</v>
      </c>
      <c r="I590" t="s">
        <v>5582</v>
      </c>
      <c r="J590" t="s">
        <v>955</v>
      </c>
      <c r="L590" t="s">
        <v>457</v>
      </c>
      <c r="M590" t="s">
        <v>7145</v>
      </c>
    </row>
    <row r="591" spans="6:13" x14ac:dyDescent="0.25">
      <c r="F591" t="s">
        <v>2662</v>
      </c>
      <c r="G591" t="s">
        <v>4918</v>
      </c>
      <c r="I591" t="s">
        <v>122</v>
      </c>
      <c r="J591" t="s">
        <v>1254</v>
      </c>
      <c r="L591" t="s">
        <v>457</v>
      </c>
      <c r="M591" t="s">
        <v>7462</v>
      </c>
    </row>
    <row r="592" spans="6:13" x14ac:dyDescent="0.25">
      <c r="F592" t="s">
        <v>2662</v>
      </c>
      <c r="G592" t="s">
        <v>3679</v>
      </c>
      <c r="I592" t="s">
        <v>254</v>
      </c>
      <c r="J592" t="s">
        <v>1129</v>
      </c>
      <c r="L592" t="s">
        <v>4190</v>
      </c>
      <c r="M592" t="s">
        <v>4263</v>
      </c>
    </row>
    <row r="593" spans="6:13" x14ac:dyDescent="0.25">
      <c r="F593" t="s">
        <v>46</v>
      </c>
      <c r="G593" t="s">
        <v>3415</v>
      </c>
      <c r="I593" t="s">
        <v>309</v>
      </c>
      <c r="J593" t="s">
        <v>997</v>
      </c>
      <c r="L593" t="s">
        <v>6983</v>
      </c>
      <c r="M593" t="s">
        <v>6984</v>
      </c>
    </row>
    <row r="594" spans="6:13" x14ac:dyDescent="0.25">
      <c r="F594" t="s">
        <v>46</v>
      </c>
      <c r="G594" t="s">
        <v>663</v>
      </c>
      <c r="I594" t="s">
        <v>313</v>
      </c>
      <c r="J594" t="s">
        <v>2898</v>
      </c>
      <c r="L594" t="s">
        <v>4659</v>
      </c>
      <c r="M594" t="s">
        <v>3176</v>
      </c>
    </row>
    <row r="595" spans="6:13" x14ac:dyDescent="0.25">
      <c r="F595" t="s">
        <v>2674</v>
      </c>
      <c r="G595" t="s">
        <v>3689</v>
      </c>
      <c r="I595" t="s">
        <v>253</v>
      </c>
      <c r="J595" t="s">
        <v>4104</v>
      </c>
      <c r="L595" t="s">
        <v>3916</v>
      </c>
      <c r="M595" t="s">
        <v>4251</v>
      </c>
    </row>
    <row r="596" spans="6:13" x14ac:dyDescent="0.25">
      <c r="F596" t="s">
        <v>4310</v>
      </c>
      <c r="G596" t="s">
        <v>4378</v>
      </c>
      <c r="I596" t="s">
        <v>5355</v>
      </c>
      <c r="J596" t="s">
        <v>2551</v>
      </c>
      <c r="L596" t="s">
        <v>3854</v>
      </c>
      <c r="M596" t="s">
        <v>4217</v>
      </c>
    </row>
    <row r="597" spans="6:13" x14ac:dyDescent="0.25">
      <c r="F597" t="s">
        <v>37</v>
      </c>
      <c r="G597" t="s">
        <v>4513</v>
      </c>
      <c r="I597" t="s">
        <v>3879</v>
      </c>
      <c r="J597" t="s">
        <v>6671</v>
      </c>
      <c r="L597" t="s">
        <v>21</v>
      </c>
      <c r="M597" t="s">
        <v>2150</v>
      </c>
    </row>
    <row r="598" spans="6:13" x14ac:dyDescent="0.25">
      <c r="F598" t="s">
        <v>3854</v>
      </c>
      <c r="G598" t="s">
        <v>4370</v>
      </c>
      <c r="I598" t="s">
        <v>313</v>
      </c>
      <c r="J598" t="s">
        <v>2783</v>
      </c>
      <c r="L598" t="s">
        <v>122</v>
      </c>
      <c r="M598" t="s">
        <v>3193</v>
      </c>
    </row>
    <row r="599" spans="6:13" x14ac:dyDescent="0.25">
      <c r="F599" t="s">
        <v>545</v>
      </c>
      <c r="G599" t="s">
        <v>4793</v>
      </c>
      <c r="I599" t="s">
        <v>10</v>
      </c>
      <c r="J599" t="s">
        <v>5583</v>
      </c>
      <c r="L599" t="s">
        <v>37</v>
      </c>
      <c r="M599" t="s">
        <v>7924</v>
      </c>
    </row>
    <row r="600" spans="6:13" x14ac:dyDescent="0.25">
      <c r="F600" t="s">
        <v>578</v>
      </c>
      <c r="G600" t="s">
        <v>3673</v>
      </c>
      <c r="I600" t="s">
        <v>6615</v>
      </c>
      <c r="J600" t="s">
        <v>1520</v>
      </c>
      <c r="L600" t="s">
        <v>7063</v>
      </c>
      <c r="M600" t="s">
        <v>2154</v>
      </c>
    </row>
    <row r="601" spans="6:13" x14ac:dyDescent="0.25">
      <c r="F601" t="s">
        <v>2668</v>
      </c>
      <c r="G601" t="s">
        <v>3281</v>
      </c>
      <c r="I601" t="s">
        <v>6490</v>
      </c>
      <c r="J601" t="s">
        <v>1445</v>
      </c>
      <c r="L601" t="s">
        <v>4430</v>
      </c>
      <c r="M601" t="s">
        <v>7131</v>
      </c>
    </row>
    <row r="602" spans="6:13" x14ac:dyDescent="0.25">
      <c r="F602" t="s">
        <v>4853</v>
      </c>
      <c r="G602" t="s">
        <v>4854</v>
      </c>
      <c r="I602" t="s">
        <v>5787</v>
      </c>
      <c r="J602" t="s">
        <v>5788</v>
      </c>
      <c r="L602" t="s">
        <v>37</v>
      </c>
      <c r="M602" t="s">
        <v>7303</v>
      </c>
    </row>
    <row r="603" spans="6:13" x14ac:dyDescent="0.25">
      <c r="F603" t="s">
        <v>313</v>
      </c>
      <c r="G603" t="s">
        <v>4937</v>
      </c>
      <c r="I603" t="s">
        <v>6418</v>
      </c>
      <c r="J603" t="s">
        <v>6419</v>
      </c>
      <c r="L603" t="s">
        <v>457</v>
      </c>
      <c r="M603" t="s">
        <v>7016</v>
      </c>
    </row>
    <row r="604" spans="6:13" x14ac:dyDescent="0.25">
      <c r="F604" t="s">
        <v>578</v>
      </c>
      <c r="G604" t="s">
        <v>3447</v>
      </c>
      <c r="I604" t="s">
        <v>315</v>
      </c>
      <c r="J604" t="s">
        <v>1306</v>
      </c>
      <c r="L604" t="s">
        <v>7168</v>
      </c>
      <c r="M604" t="s">
        <v>1863</v>
      </c>
    </row>
    <row r="605" spans="6:13" x14ac:dyDescent="0.25">
      <c r="F605" t="s">
        <v>3854</v>
      </c>
      <c r="G605" t="s">
        <v>5039</v>
      </c>
      <c r="I605" t="s">
        <v>254</v>
      </c>
      <c r="J605" t="s">
        <v>2539</v>
      </c>
      <c r="L605" t="s">
        <v>37</v>
      </c>
      <c r="M605" t="s">
        <v>3085</v>
      </c>
    </row>
    <row r="606" spans="6:13" x14ac:dyDescent="0.25">
      <c r="F606" t="s">
        <v>50</v>
      </c>
      <c r="G606" t="s">
        <v>743</v>
      </c>
      <c r="I606" t="s">
        <v>311</v>
      </c>
      <c r="J606" t="s">
        <v>2796</v>
      </c>
      <c r="L606" t="s">
        <v>7168</v>
      </c>
      <c r="M606" t="s">
        <v>2120</v>
      </c>
    </row>
    <row r="607" spans="6:13" x14ac:dyDescent="0.25">
      <c r="F607" t="s">
        <v>578</v>
      </c>
      <c r="G607" t="s">
        <v>3307</v>
      </c>
      <c r="I607" t="s">
        <v>6121</v>
      </c>
      <c r="J607" t="s">
        <v>6122</v>
      </c>
      <c r="L607" t="s">
        <v>457</v>
      </c>
      <c r="M607" t="s">
        <v>7758</v>
      </c>
    </row>
    <row r="608" spans="6:13" x14ac:dyDescent="0.25">
      <c r="F608" t="s">
        <v>2674</v>
      </c>
      <c r="G608" t="s">
        <v>4718</v>
      </c>
      <c r="I608" t="s">
        <v>1</v>
      </c>
      <c r="J608" t="s">
        <v>5358</v>
      </c>
      <c r="L608" t="s">
        <v>7745</v>
      </c>
      <c r="M608" t="s">
        <v>1991</v>
      </c>
    </row>
    <row r="609" spans="6:13" x14ac:dyDescent="0.25">
      <c r="F609" t="s">
        <v>137</v>
      </c>
      <c r="G609" t="s">
        <v>692</v>
      </c>
      <c r="I609" t="s">
        <v>3900</v>
      </c>
      <c r="J609" t="s">
        <v>5953</v>
      </c>
      <c r="L609" t="s">
        <v>7390</v>
      </c>
      <c r="M609" t="s">
        <v>1953</v>
      </c>
    </row>
    <row r="610" spans="6:13" x14ac:dyDescent="0.25">
      <c r="F610" t="s">
        <v>37</v>
      </c>
      <c r="G610" t="s">
        <v>4860</v>
      </c>
      <c r="I610" t="s">
        <v>315</v>
      </c>
      <c r="J610" t="s">
        <v>3919</v>
      </c>
      <c r="L610" t="s">
        <v>4659</v>
      </c>
      <c r="M610" t="s">
        <v>3134</v>
      </c>
    </row>
    <row r="611" spans="6:13" x14ac:dyDescent="0.25">
      <c r="F611" t="s">
        <v>5059</v>
      </c>
      <c r="G611" t="s">
        <v>3511</v>
      </c>
      <c r="I611" t="s">
        <v>6045</v>
      </c>
      <c r="J611" t="s">
        <v>1240</v>
      </c>
      <c r="L611" t="s">
        <v>37</v>
      </c>
      <c r="M611" t="s">
        <v>7340</v>
      </c>
    </row>
    <row r="612" spans="6:13" x14ac:dyDescent="0.25">
      <c r="F612" t="s">
        <v>5121</v>
      </c>
      <c r="G612" t="s">
        <v>3511</v>
      </c>
      <c r="I612" t="s">
        <v>90</v>
      </c>
      <c r="J612" t="s">
        <v>2890</v>
      </c>
      <c r="L612" t="s">
        <v>457</v>
      </c>
      <c r="M612" t="s">
        <v>7451</v>
      </c>
    </row>
    <row r="613" spans="6:13" x14ac:dyDescent="0.25">
      <c r="F613" t="s">
        <v>4511</v>
      </c>
      <c r="G613" t="s">
        <v>4512</v>
      </c>
      <c r="I613" t="s">
        <v>393</v>
      </c>
      <c r="J613" t="s">
        <v>5530</v>
      </c>
      <c r="L613" t="s">
        <v>302</v>
      </c>
      <c r="M613" t="s">
        <v>7494</v>
      </c>
    </row>
    <row r="614" spans="6:13" x14ac:dyDescent="0.25">
      <c r="F614" t="s">
        <v>5038</v>
      </c>
      <c r="G614" t="s">
        <v>3560</v>
      </c>
      <c r="I614" t="s">
        <v>254</v>
      </c>
      <c r="J614" t="s">
        <v>6817</v>
      </c>
      <c r="L614" t="s">
        <v>7168</v>
      </c>
      <c r="M614" t="s">
        <v>1831</v>
      </c>
    </row>
    <row r="615" spans="6:13" x14ac:dyDescent="0.25">
      <c r="F615" t="s">
        <v>311</v>
      </c>
      <c r="G615" t="s">
        <v>4527</v>
      </c>
      <c r="I615" t="s">
        <v>4584</v>
      </c>
      <c r="J615" t="s">
        <v>6460</v>
      </c>
      <c r="L615" t="s">
        <v>7804</v>
      </c>
      <c r="M615" t="s">
        <v>3243</v>
      </c>
    </row>
    <row r="616" spans="6:13" x14ac:dyDescent="0.25">
      <c r="F616" t="s">
        <v>4312</v>
      </c>
      <c r="G616" t="s">
        <v>4323</v>
      </c>
      <c r="I616" t="s">
        <v>391</v>
      </c>
      <c r="J616" t="s">
        <v>2497</v>
      </c>
      <c r="L616" t="s">
        <v>548</v>
      </c>
      <c r="M616" t="s">
        <v>1933</v>
      </c>
    </row>
    <row r="617" spans="6:13" x14ac:dyDescent="0.25">
      <c r="F617" t="s">
        <v>4597</v>
      </c>
      <c r="G617" t="s">
        <v>625</v>
      </c>
      <c r="I617" t="s">
        <v>318</v>
      </c>
      <c r="J617" t="s">
        <v>5734</v>
      </c>
      <c r="L617" t="s">
        <v>5708</v>
      </c>
      <c r="M617" t="s">
        <v>1740</v>
      </c>
    </row>
    <row r="618" spans="6:13" x14ac:dyDescent="0.25">
      <c r="F618" t="s">
        <v>396</v>
      </c>
      <c r="G618" t="s">
        <v>4800</v>
      </c>
      <c r="I618" t="s">
        <v>6161</v>
      </c>
      <c r="J618" t="s">
        <v>6162</v>
      </c>
      <c r="L618" t="s">
        <v>457</v>
      </c>
      <c r="M618" t="s">
        <v>7445</v>
      </c>
    </row>
    <row r="619" spans="6:13" x14ac:dyDescent="0.25">
      <c r="F619" t="s">
        <v>122</v>
      </c>
      <c r="G619" t="s">
        <v>4714</v>
      </c>
      <c r="I619" t="s">
        <v>5753</v>
      </c>
      <c r="J619" t="s">
        <v>5754</v>
      </c>
      <c r="L619" t="s">
        <v>137</v>
      </c>
      <c r="M619" t="s">
        <v>7281</v>
      </c>
    </row>
    <row r="620" spans="6:13" x14ac:dyDescent="0.25">
      <c r="F620" t="s">
        <v>5036</v>
      </c>
      <c r="G620" t="s">
        <v>3385</v>
      </c>
      <c r="I620" t="s">
        <v>6338</v>
      </c>
      <c r="J620" t="s">
        <v>6339</v>
      </c>
      <c r="L620" t="s">
        <v>7397</v>
      </c>
      <c r="M620" t="s">
        <v>7749</v>
      </c>
    </row>
    <row r="621" spans="6:13" x14ac:dyDescent="0.25">
      <c r="F621" t="s">
        <v>5067</v>
      </c>
      <c r="G621" t="s">
        <v>3385</v>
      </c>
      <c r="I621" t="s">
        <v>6192</v>
      </c>
      <c r="J621" t="s">
        <v>2956</v>
      </c>
      <c r="L621" t="s">
        <v>457</v>
      </c>
      <c r="M621" t="s">
        <v>1966</v>
      </c>
    </row>
    <row r="622" spans="6:13" x14ac:dyDescent="0.25">
      <c r="F622" t="s">
        <v>37</v>
      </c>
      <c r="G622" t="s">
        <v>4917</v>
      </c>
      <c r="I622" t="s">
        <v>5492</v>
      </c>
      <c r="J622" t="s">
        <v>903</v>
      </c>
      <c r="L622" t="s">
        <v>4683</v>
      </c>
      <c r="M622" t="s">
        <v>2073</v>
      </c>
    </row>
    <row r="623" spans="6:13" x14ac:dyDescent="0.25">
      <c r="F623" t="s">
        <v>46</v>
      </c>
      <c r="G623" t="s">
        <v>3426</v>
      </c>
      <c r="I623" t="s">
        <v>6178</v>
      </c>
      <c r="J623" t="s">
        <v>1271</v>
      </c>
      <c r="L623" t="s">
        <v>7152</v>
      </c>
      <c r="M623" t="s">
        <v>7153</v>
      </c>
    </row>
    <row r="624" spans="6:13" x14ac:dyDescent="0.25">
      <c r="F624" t="s">
        <v>578</v>
      </c>
      <c r="G624" t="s">
        <v>3359</v>
      </c>
      <c r="I624" t="s">
        <v>5336</v>
      </c>
      <c r="J624" t="s">
        <v>1449</v>
      </c>
      <c r="L624" t="s">
        <v>457</v>
      </c>
      <c r="M624" t="s">
        <v>7064</v>
      </c>
    </row>
    <row r="625" spans="6:13" x14ac:dyDescent="0.25">
      <c r="F625" t="s">
        <v>2675</v>
      </c>
      <c r="G625" t="s">
        <v>3490</v>
      </c>
      <c r="I625" t="s">
        <v>5403</v>
      </c>
      <c r="J625" t="s">
        <v>1303</v>
      </c>
      <c r="L625" t="s">
        <v>391</v>
      </c>
      <c r="M625" t="s">
        <v>2571</v>
      </c>
    </row>
    <row r="626" spans="6:13" x14ac:dyDescent="0.25">
      <c r="F626" t="s">
        <v>540</v>
      </c>
      <c r="G626" t="s">
        <v>675</v>
      </c>
      <c r="I626" t="s">
        <v>295</v>
      </c>
      <c r="J626" t="s">
        <v>2508</v>
      </c>
      <c r="L626" t="s">
        <v>37</v>
      </c>
      <c r="M626" t="s">
        <v>7780</v>
      </c>
    </row>
    <row r="627" spans="6:13" x14ac:dyDescent="0.25">
      <c r="F627" t="s">
        <v>5043</v>
      </c>
      <c r="G627" t="s">
        <v>4576</v>
      </c>
      <c r="I627" t="s">
        <v>3854</v>
      </c>
      <c r="J627" t="s">
        <v>4008</v>
      </c>
      <c r="L627" t="s">
        <v>7745</v>
      </c>
      <c r="M627" t="s">
        <v>2244</v>
      </c>
    </row>
    <row r="628" spans="6:13" x14ac:dyDescent="0.25">
      <c r="F628" t="s">
        <v>5136</v>
      </c>
      <c r="G628" t="s">
        <v>4576</v>
      </c>
      <c r="I628" t="s">
        <v>6387</v>
      </c>
      <c r="J628" t="s">
        <v>1390</v>
      </c>
      <c r="L628" t="s">
        <v>37</v>
      </c>
      <c r="M628" t="s">
        <v>7404</v>
      </c>
    </row>
    <row r="629" spans="6:13" x14ac:dyDescent="0.25">
      <c r="F629" t="s">
        <v>540</v>
      </c>
      <c r="G629" t="s">
        <v>715</v>
      </c>
      <c r="I629" t="s">
        <v>338</v>
      </c>
      <c r="J629" t="s">
        <v>1297</v>
      </c>
      <c r="L629" t="s">
        <v>7708</v>
      </c>
      <c r="M629" t="s">
        <v>2175</v>
      </c>
    </row>
    <row r="630" spans="6:13" x14ac:dyDescent="0.25">
      <c r="F630" t="s">
        <v>543</v>
      </c>
      <c r="G630" t="s">
        <v>622</v>
      </c>
      <c r="I630" t="s">
        <v>3854</v>
      </c>
      <c r="J630" t="s">
        <v>3939</v>
      </c>
      <c r="L630" t="s">
        <v>457</v>
      </c>
      <c r="M630" t="s">
        <v>7860</v>
      </c>
    </row>
    <row r="631" spans="6:13" x14ac:dyDescent="0.25">
      <c r="F631" t="s">
        <v>398</v>
      </c>
      <c r="G631" t="s">
        <v>3275</v>
      </c>
      <c r="I631" t="s">
        <v>90</v>
      </c>
      <c r="J631" t="s">
        <v>2993</v>
      </c>
      <c r="L631" t="s">
        <v>37</v>
      </c>
      <c r="M631" t="s">
        <v>7794</v>
      </c>
    </row>
    <row r="632" spans="6:13" x14ac:dyDescent="0.25">
      <c r="F632" t="s">
        <v>258</v>
      </c>
      <c r="G632" t="s">
        <v>729</v>
      </c>
      <c r="I632" t="s">
        <v>6313</v>
      </c>
      <c r="J632" t="s">
        <v>6314</v>
      </c>
      <c r="L632" t="s">
        <v>286</v>
      </c>
      <c r="M632" t="s">
        <v>2338</v>
      </c>
    </row>
    <row r="633" spans="6:13" x14ac:dyDescent="0.25">
      <c r="F633" t="s">
        <v>2667</v>
      </c>
      <c r="G633" t="s">
        <v>3278</v>
      </c>
      <c r="I633" t="s">
        <v>3879</v>
      </c>
      <c r="J633" t="s">
        <v>6282</v>
      </c>
      <c r="L633" t="s">
        <v>7911</v>
      </c>
      <c r="M633" t="s">
        <v>2314</v>
      </c>
    </row>
    <row r="634" spans="6:13" x14ac:dyDescent="0.25">
      <c r="F634" t="s">
        <v>4578</v>
      </c>
      <c r="G634" t="s">
        <v>5211</v>
      </c>
      <c r="I634" t="s">
        <v>5545</v>
      </c>
      <c r="J634" t="s">
        <v>2870</v>
      </c>
      <c r="L634" t="s">
        <v>7716</v>
      </c>
      <c r="M634" t="s">
        <v>3227</v>
      </c>
    </row>
    <row r="635" spans="6:13" x14ac:dyDescent="0.25">
      <c r="F635" t="s">
        <v>257</v>
      </c>
      <c r="G635" t="s">
        <v>605</v>
      </c>
      <c r="I635" t="s">
        <v>6650</v>
      </c>
      <c r="J635" t="s">
        <v>6651</v>
      </c>
      <c r="L635" t="s">
        <v>2352</v>
      </c>
      <c r="M635" t="s">
        <v>4150</v>
      </c>
    </row>
    <row r="636" spans="6:13" x14ac:dyDescent="0.25">
      <c r="F636" t="s">
        <v>2665</v>
      </c>
      <c r="G636" t="s">
        <v>3522</v>
      </c>
      <c r="I636" t="s">
        <v>253</v>
      </c>
      <c r="J636" t="s">
        <v>5672</v>
      </c>
      <c r="L636" t="s">
        <v>457</v>
      </c>
      <c r="M636" t="s">
        <v>7139</v>
      </c>
    </row>
    <row r="637" spans="6:13" x14ac:dyDescent="0.25">
      <c r="F637" t="s">
        <v>46</v>
      </c>
      <c r="G637" t="s">
        <v>3800</v>
      </c>
      <c r="I637" t="s">
        <v>2736</v>
      </c>
      <c r="J637" t="s">
        <v>3925</v>
      </c>
      <c r="L637" t="s">
        <v>289</v>
      </c>
      <c r="M637" t="s">
        <v>7116</v>
      </c>
    </row>
    <row r="638" spans="6:13" x14ac:dyDescent="0.25">
      <c r="F638" t="s">
        <v>2672</v>
      </c>
      <c r="G638" t="s">
        <v>3524</v>
      </c>
      <c r="I638" t="s">
        <v>400</v>
      </c>
      <c r="J638" t="s">
        <v>5683</v>
      </c>
      <c r="L638" t="s">
        <v>6977</v>
      </c>
      <c r="M638" t="s">
        <v>1711</v>
      </c>
    </row>
    <row r="639" spans="6:13" x14ac:dyDescent="0.25">
      <c r="F639" t="s">
        <v>313</v>
      </c>
      <c r="G639" t="s">
        <v>4536</v>
      </c>
      <c r="I639" t="s">
        <v>254</v>
      </c>
      <c r="J639" t="s">
        <v>2548</v>
      </c>
      <c r="L639" t="s">
        <v>283</v>
      </c>
      <c r="M639" t="s">
        <v>1676</v>
      </c>
    </row>
    <row r="640" spans="6:13" x14ac:dyDescent="0.25">
      <c r="F640" t="s">
        <v>4406</v>
      </c>
      <c r="G640" t="s">
        <v>4407</v>
      </c>
      <c r="I640" t="s">
        <v>5667</v>
      </c>
      <c r="J640" t="s">
        <v>1611</v>
      </c>
      <c r="L640" t="s">
        <v>313</v>
      </c>
      <c r="M640" t="s">
        <v>1969</v>
      </c>
    </row>
    <row r="641" spans="6:13" x14ac:dyDescent="0.25">
      <c r="F641" t="s">
        <v>4312</v>
      </c>
      <c r="G641" t="s">
        <v>4418</v>
      </c>
      <c r="I641" t="s">
        <v>5293</v>
      </c>
      <c r="J641" t="s">
        <v>849</v>
      </c>
      <c r="L641" t="s">
        <v>289</v>
      </c>
      <c r="M641" t="s">
        <v>1860</v>
      </c>
    </row>
    <row r="642" spans="6:13" x14ac:dyDescent="0.25">
      <c r="F642" t="s">
        <v>37</v>
      </c>
      <c r="G642" t="s">
        <v>4565</v>
      </c>
      <c r="I642" t="s">
        <v>2741</v>
      </c>
      <c r="J642" t="s">
        <v>3041</v>
      </c>
      <c r="L642" t="s">
        <v>37</v>
      </c>
      <c r="M642" t="s">
        <v>7664</v>
      </c>
    </row>
    <row r="643" spans="6:13" x14ac:dyDescent="0.25">
      <c r="F643" t="s">
        <v>548</v>
      </c>
      <c r="G643" t="s">
        <v>5022</v>
      </c>
      <c r="I643" t="s">
        <v>2741</v>
      </c>
      <c r="J643" t="s">
        <v>2994</v>
      </c>
      <c r="L643" t="s">
        <v>3854</v>
      </c>
      <c r="M643" t="s">
        <v>4294</v>
      </c>
    </row>
    <row r="644" spans="6:13" x14ac:dyDescent="0.25">
      <c r="F644" t="s">
        <v>3854</v>
      </c>
      <c r="G644" t="s">
        <v>4397</v>
      </c>
      <c r="I644" t="s">
        <v>2741</v>
      </c>
      <c r="J644" t="s">
        <v>2996</v>
      </c>
      <c r="L644" t="s">
        <v>7336</v>
      </c>
      <c r="M644" t="s">
        <v>3156</v>
      </c>
    </row>
    <row r="645" spans="6:13" x14ac:dyDescent="0.25">
      <c r="F645" t="s">
        <v>4657</v>
      </c>
      <c r="G645" t="s">
        <v>4799</v>
      </c>
      <c r="I645" t="s">
        <v>2741</v>
      </c>
      <c r="J645" t="s">
        <v>3002</v>
      </c>
      <c r="L645" t="s">
        <v>4190</v>
      </c>
      <c r="M645" t="s">
        <v>4191</v>
      </c>
    </row>
    <row r="646" spans="6:13" x14ac:dyDescent="0.25">
      <c r="F646" t="s">
        <v>2667</v>
      </c>
      <c r="G646" t="s">
        <v>3733</v>
      </c>
      <c r="I646" t="s">
        <v>123</v>
      </c>
      <c r="J646" t="s">
        <v>6130</v>
      </c>
      <c r="L646" t="s">
        <v>457</v>
      </c>
      <c r="M646" t="s">
        <v>2337</v>
      </c>
    </row>
    <row r="647" spans="6:13" x14ac:dyDescent="0.25">
      <c r="F647" t="s">
        <v>137</v>
      </c>
      <c r="G647" t="s">
        <v>647</v>
      </c>
      <c r="I647" t="s">
        <v>2741</v>
      </c>
      <c r="J647" t="s">
        <v>3045</v>
      </c>
      <c r="L647" t="s">
        <v>2747</v>
      </c>
      <c r="M647" t="s">
        <v>7717</v>
      </c>
    </row>
    <row r="648" spans="6:13" x14ac:dyDescent="0.25">
      <c r="F648" t="s">
        <v>2670</v>
      </c>
      <c r="G648" t="s">
        <v>3634</v>
      </c>
      <c r="I648" t="s">
        <v>2741</v>
      </c>
      <c r="J648" t="s">
        <v>3024</v>
      </c>
      <c r="L648" t="s">
        <v>283</v>
      </c>
      <c r="M648" t="s">
        <v>3097</v>
      </c>
    </row>
    <row r="649" spans="6:13" x14ac:dyDescent="0.25">
      <c r="F649" t="s">
        <v>2670</v>
      </c>
      <c r="G649" t="s">
        <v>3533</v>
      </c>
      <c r="I649" t="s">
        <v>391</v>
      </c>
      <c r="J649" t="s">
        <v>2462</v>
      </c>
      <c r="L649" t="s">
        <v>289</v>
      </c>
      <c r="M649" t="s">
        <v>2047</v>
      </c>
    </row>
    <row r="650" spans="6:13" x14ac:dyDescent="0.25">
      <c r="F650" t="s">
        <v>37</v>
      </c>
      <c r="G650" t="s">
        <v>690</v>
      </c>
      <c r="I650" t="s">
        <v>4650</v>
      </c>
      <c r="J650" t="s">
        <v>6364</v>
      </c>
      <c r="L650" t="s">
        <v>311</v>
      </c>
      <c r="M650" t="s">
        <v>1796</v>
      </c>
    </row>
    <row r="651" spans="6:13" x14ac:dyDescent="0.25">
      <c r="F651" t="s">
        <v>4657</v>
      </c>
      <c r="G651" t="s">
        <v>5084</v>
      </c>
      <c r="I651" t="s">
        <v>315</v>
      </c>
      <c r="J651" t="s">
        <v>3942</v>
      </c>
      <c r="L651" t="s">
        <v>7375</v>
      </c>
      <c r="M651" t="s">
        <v>7697</v>
      </c>
    </row>
    <row r="652" spans="6:13" x14ac:dyDescent="0.25">
      <c r="F652" t="s">
        <v>2745</v>
      </c>
      <c r="G652" t="s">
        <v>3482</v>
      </c>
      <c r="I652" t="s">
        <v>318</v>
      </c>
      <c r="J652" t="s">
        <v>5247</v>
      </c>
      <c r="L652" t="s">
        <v>286</v>
      </c>
      <c r="M652" t="s">
        <v>1880</v>
      </c>
    </row>
    <row r="653" spans="6:13" x14ac:dyDescent="0.25">
      <c r="F653" t="s">
        <v>4789</v>
      </c>
      <c r="G653" t="s">
        <v>702</v>
      </c>
      <c r="I653" t="s">
        <v>6228</v>
      </c>
      <c r="J653" t="s">
        <v>6229</v>
      </c>
      <c r="L653" t="s">
        <v>313</v>
      </c>
      <c r="M653" t="s">
        <v>2242</v>
      </c>
    </row>
    <row r="654" spans="6:13" x14ac:dyDescent="0.25">
      <c r="F654" t="s">
        <v>2666</v>
      </c>
      <c r="G654" t="s">
        <v>3580</v>
      </c>
      <c r="I654" t="s">
        <v>95</v>
      </c>
      <c r="J654" t="s">
        <v>5354</v>
      </c>
      <c r="L654" t="s">
        <v>63</v>
      </c>
      <c r="M654" t="s">
        <v>3129</v>
      </c>
    </row>
    <row r="655" spans="6:13" x14ac:dyDescent="0.25">
      <c r="F655" t="s">
        <v>5076</v>
      </c>
      <c r="G655" t="s">
        <v>3593</v>
      </c>
      <c r="I655" t="s">
        <v>40</v>
      </c>
      <c r="J655" t="s">
        <v>5504</v>
      </c>
      <c r="L655" t="s">
        <v>283</v>
      </c>
      <c r="M655" t="s">
        <v>3182</v>
      </c>
    </row>
    <row r="656" spans="6:13" x14ac:dyDescent="0.25">
      <c r="F656" t="s">
        <v>5150</v>
      </c>
      <c r="G656" t="s">
        <v>3593</v>
      </c>
      <c r="I656" t="s">
        <v>313</v>
      </c>
      <c r="J656" t="s">
        <v>2879</v>
      </c>
      <c r="L656" t="s">
        <v>7910</v>
      </c>
      <c r="M656" t="s">
        <v>3259</v>
      </c>
    </row>
    <row r="657" spans="6:13" x14ac:dyDescent="0.25">
      <c r="F657" t="s">
        <v>4578</v>
      </c>
      <c r="G657" t="s">
        <v>5055</v>
      </c>
      <c r="I657" t="s">
        <v>39</v>
      </c>
      <c r="J657" t="s">
        <v>3995</v>
      </c>
      <c r="L657" t="s">
        <v>286</v>
      </c>
      <c r="M657" t="s">
        <v>2320</v>
      </c>
    </row>
    <row r="658" spans="6:13" x14ac:dyDescent="0.25">
      <c r="F658" t="s">
        <v>4549</v>
      </c>
      <c r="G658" t="s">
        <v>608</v>
      </c>
      <c r="I658" t="s">
        <v>254</v>
      </c>
      <c r="J658" t="s">
        <v>6215</v>
      </c>
      <c r="L658" t="s">
        <v>289</v>
      </c>
      <c r="M658" t="s">
        <v>1937</v>
      </c>
    </row>
    <row r="659" spans="6:13" x14ac:dyDescent="0.25">
      <c r="F659" t="s">
        <v>540</v>
      </c>
      <c r="G659" t="s">
        <v>689</v>
      </c>
      <c r="I659" t="s">
        <v>256</v>
      </c>
      <c r="J659" t="s">
        <v>1201</v>
      </c>
      <c r="L659" t="s">
        <v>289</v>
      </c>
      <c r="M659" t="s">
        <v>6887</v>
      </c>
    </row>
    <row r="660" spans="6:13" x14ac:dyDescent="0.25">
      <c r="F660" t="s">
        <v>5045</v>
      </c>
      <c r="G660" t="s">
        <v>4897</v>
      </c>
      <c r="I660" t="s">
        <v>5823</v>
      </c>
      <c r="J660" t="s">
        <v>1080</v>
      </c>
      <c r="L660" t="s">
        <v>4175</v>
      </c>
      <c r="M660" t="s">
        <v>4305</v>
      </c>
    </row>
    <row r="661" spans="6:13" x14ac:dyDescent="0.25">
      <c r="F661" t="s">
        <v>5184</v>
      </c>
      <c r="G661" t="s">
        <v>4897</v>
      </c>
      <c r="I661" t="s">
        <v>258</v>
      </c>
      <c r="J661" t="s">
        <v>1161</v>
      </c>
      <c r="L661" t="s">
        <v>7694</v>
      </c>
      <c r="M661" t="s">
        <v>4261</v>
      </c>
    </row>
    <row r="662" spans="6:13" x14ac:dyDescent="0.25">
      <c r="F662" t="s">
        <v>540</v>
      </c>
      <c r="G662" t="s">
        <v>667</v>
      </c>
      <c r="I662" t="s">
        <v>256</v>
      </c>
      <c r="J662" t="s">
        <v>832</v>
      </c>
      <c r="L662" t="s">
        <v>457</v>
      </c>
      <c r="M662" t="s">
        <v>7013</v>
      </c>
    </row>
    <row r="663" spans="6:13" x14ac:dyDescent="0.25">
      <c r="F663" t="s">
        <v>2662</v>
      </c>
      <c r="G663" t="s">
        <v>3694</v>
      </c>
      <c r="I663" t="s">
        <v>6379</v>
      </c>
      <c r="J663" t="s">
        <v>1387</v>
      </c>
      <c r="L663" t="s">
        <v>459</v>
      </c>
      <c r="M663" t="s">
        <v>1669</v>
      </c>
    </row>
    <row r="664" spans="6:13" x14ac:dyDescent="0.25">
      <c r="F664" t="s">
        <v>4749</v>
      </c>
      <c r="G664" t="s">
        <v>4750</v>
      </c>
      <c r="I664" t="s">
        <v>313</v>
      </c>
      <c r="J664" t="s">
        <v>6085</v>
      </c>
      <c r="L664" t="s">
        <v>7094</v>
      </c>
      <c r="M664" t="s">
        <v>2267</v>
      </c>
    </row>
    <row r="665" spans="6:13" x14ac:dyDescent="0.25">
      <c r="F665" t="s">
        <v>356</v>
      </c>
      <c r="G665" t="s">
        <v>4413</v>
      </c>
      <c r="I665" t="s">
        <v>6733</v>
      </c>
      <c r="J665" t="s">
        <v>1576</v>
      </c>
      <c r="L665" t="s">
        <v>7195</v>
      </c>
      <c r="M665" t="s">
        <v>1851</v>
      </c>
    </row>
    <row r="666" spans="6:13" x14ac:dyDescent="0.25">
      <c r="F666" t="s">
        <v>122</v>
      </c>
      <c r="G666" t="s">
        <v>4649</v>
      </c>
      <c r="I666" t="s">
        <v>257</v>
      </c>
      <c r="J666" t="s">
        <v>5470</v>
      </c>
      <c r="L666" t="s">
        <v>7094</v>
      </c>
      <c r="M666" t="s">
        <v>1787</v>
      </c>
    </row>
    <row r="667" spans="6:13" x14ac:dyDescent="0.25">
      <c r="F667" t="s">
        <v>540</v>
      </c>
      <c r="G667" t="s">
        <v>655</v>
      </c>
      <c r="I667" t="s">
        <v>6155</v>
      </c>
      <c r="J667" t="s">
        <v>1257</v>
      </c>
      <c r="L667" t="s">
        <v>4430</v>
      </c>
      <c r="M667" t="s">
        <v>7198</v>
      </c>
    </row>
    <row r="668" spans="6:13" x14ac:dyDescent="0.25">
      <c r="F668" t="s">
        <v>2678</v>
      </c>
      <c r="G668" t="s">
        <v>3638</v>
      </c>
      <c r="I668" t="s">
        <v>253</v>
      </c>
      <c r="J668" t="s">
        <v>773</v>
      </c>
      <c r="L668" t="s">
        <v>37</v>
      </c>
      <c r="M668" t="s">
        <v>7711</v>
      </c>
    </row>
    <row r="669" spans="6:13" x14ac:dyDescent="0.25">
      <c r="F669" t="s">
        <v>313</v>
      </c>
      <c r="G669" t="s">
        <v>4981</v>
      </c>
      <c r="I669" t="s">
        <v>5836</v>
      </c>
      <c r="J669" t="s">
        <v>1389</v>
      </c>
      <c r="L669" t="s">
        <v>391</v>
      </c>
      <c r="M669" t="s">
        <v>2622</v>
      </c>
    </row>
    <row r="670" spans="6:13" x14ac:dyDescent="0.25">
      <c r="F670" t="s">
        <v>4786</v>
      </c>
      <c r="G670" t="s">
        <v>697</v>
      </c>
      <c r="I670" t="s">
        <v>2741</v>
      </c>
      <c r="J670" t="s">
        <v>2851</v>
      </c>
      <c r="L670" t="s">
        <v>391</v>
      </c>
      <c r="M670" t="s">
        <v>2629</v>
      </c>
    </row>
    <row r="671" spans="6:13" x14ac:dyDescent="0.25">
      <c r="F671" t="s">
        <v>540</v>
      </c>
      <c r="G671" t="s">
        <v>614</v>
      </c>
      <c r="I671" t="s">
        <v>2741</v>
      </c>
      <c r="J671" t="s">
        <v>3873</v>
      </c>
      <c r="L671" t="s">
        <v>63</v>
      </c>
      <c r="M671" t="s">
        <v>3241</v>
      </c>
    </row>
    <row r="672" spans="6:13" x14ac:dyDescent="0.25">
      <c r="F672" t="s">
        <v>4505</v>
      </c>
      <c r="G672" t="s">
        <v>696</v>
      </c>
      <c r="I672" t="s">
        <v>2741</v>
      </c>
      <c r="J672" t="s">
        <v>2877</v>
      </c>
      <c r="L672" t="s">
        <v>7249</v>
      </c>
      <c r="M672" t="s">
        <v>2022</v>
      </c>
    </row>
    <row r="673" spans="6:13" x14ac:dyDescent="0.25">
      <c r="F673" t="s">
        <v>95</v>
      </c>
      <c r="G673" t="s">
        <v>4629</v>
      </c>
      <c r="I673" t="s">
        <v>2741</v>
      </c>
      <c r="J673" t="s">
        <v>3069</v>
      </c>
      <c r="L673" t="s">
        <v>457</v>
      </c>
      <c r="M673" t="s">
        <v>7000</v>
      </c>
    </row>
    <row r="674" spans="6:13" x14ac:dyDescent="0.25">
      <c r="F674" t="s">
        <v>540</v>
      </c>
      <c r="G674" t="s">
        <v>601</v>
      </c>
      <c r="I674" t="s">
        <v>313</v>
      </c>
      <c r="J674" t="s">
        <v>818</v>
      </c>
      <c r="L674" t="s">
        <v>37</v>
      </c>
      <c r="M674" t="s">
        <v>7158</v>
      </c>
    </row>
    <row r="675" spans="6:13" x14ac:dyDescent="0.25">
      <c r="F675" t="s">
        <v>2670</v>
      </c>
      <c r="G675" t="s">
        <v>3648</v>
      </c>
      <c r="I675" t="s">
        <v>5843</v>
      </c>
      <c r="J675" t="s">
        <v>1096</v>
      </c>
      <c r="L675" t="s">
        <v>37</v>
      </c>
      <c r="M675" t="s">
        <v>7362</v>
      </c>
    </row>
    <row r="676" spans="6:13" x14ac:dyDescent="0.25">
      <c r="F676" t="s">
        <v>37</v>
      </c>
      <c r="G676" t="s">
        <v>717</v>
      </c>
      <c r="I676" t="s">
        <v>254</v>
      </c>
      <c r="J676" t="s">
        <v>2803</v>
      </c>
      <c r="L676" t="s">
        <v>61</v>
      </c>
      <c r="M676" t="s">
        <v>1917</v>
      </c>
    </row>
    <row r="677" spans="6:13" x14ac:dyDescent="0.25">
      <c r="F677" t="s">
        <v>548</v>
      </c>
      <c r="G677" t="s">
        <v>662</v>
      </c>
      <c r="I677" t="s">
        <v>37</v>
      </c>
      <c r="J677" t="s">
        <v>2864</v>
      </c>
      <c r="L677" t="s">
        <v>457</v>
      </c>
      <c r="M677" t="s">
        <v>7348</v>
      </c>
    </row>
    <row r="678" spans="6:13" x14ac:dyDescent="0.25">
      <c r="F678" t="s">
        <v>4520</v>
      </c>
      <c r="G678" t="s">
        <v>598</v>
      </c>
      <c r="I678" t="s">
        <v>254</v>
      </c>
      <c r="J678" t="s">
        <v>6524</v>
      </c>
      <c r="L678" t="s">
        <v>37</v>
      </c>
      <c r="M678" t="s">
        <v>7663</v>
      </c>
    </row>
    <row r="679" spans="6:13" x14ac:dyDescent="0.25">
      <c r="F679" t="s">
        <v>4608</v>
      </c>
      <c r="G679" t="s">
        <v>633</v>
      </c>
      <c r="I679" t="s">
        <v>3937</v>
      </c>
      <c r="J679" t="s">
        <v>6324</v>
      </c>
      <c r="L679" t="s">
        <v>7508</v>
      </c>
      <c r="M679" t="s">
        <v>7509</v>
      </c>
    </row>
    <row r="680" spans="6:13" x14ac:dyDescent="0.25">
      <c r="F680" t="s">
        <v>578</v>
      </c>
      <c r="G680" t="s">
        <v>3334</v>
      </c>
      <c r="I680" t="s">
        <v>253</v>
      </c>
      <c r="J680" t="s">
        <v>923</v>
      </c>
      <c r="L680" t="s">
        <v>457</v>
      </c>
      <c r="M680" t="s">
        <v>7917</v>
      </c>
    </row>
    <row r="681" spans="6:13" x14ac:dyDescent="0.25">
      <c r="F681" t="s">
        <v>2667</v>
      </c>
      <c r="G681" t="s">
        <v>3723</v>
      </c>
      <c r="I681" t="s">
        <v>393</v>
      </c>
      <c r="J681" t="s">
        <v>5449</v>
      </c>
      <c r="L681" t="s">
        <v>123</v>
      </c>
      <c r="M681" t="s">
        <v>7400</v>
      </c>
    </row>
    <row r="682" spans="6:13" x14ac:dyDescent="0.25">
      <c r="F682" t="s">
        <v>540</v>
      </c>
      <c r="G682" t="s">
        <v>661</v>
      </c>
      <c r="I682" t="s">
        <v>338</v>
      </c>
      <c r="J682" t="s">
        <v>2494</v>
      </c>
      <c r="L682" t="s">
        <v>457</v>
      </c>
      <c r="M682" t="s">
        <v>7848</v>
      </c>
    </row>
    <row r="683" spans="6:13" x14ac:dyDescent="0.25">
      <c r="F683" t="s">
        <v>4310</v>
      </c>
      <c r="G683" t="s">
        <v>4347</v>
      </c>
      <c r="I683" t="s">
        <v>391</v>
      </c>
      <c r="J683" t="s">
        <v>2476</v>
      </c>
      <c r="L683" t="s">
        <v>457</v>
      </c>
      <c r="M683" t="s">
        <v>7176</v>
      </c>
    </row>
    <row r="684" spans="6:13" x14ac:dyDescent="0.25">
      <c r="F684" t="s">
        <v>5091</v>
      </c>
      <c r="G684" t="s">
        <v>658</v>
      </c>
      <c r="I684" t="s">
        <v>5299</v>
      </c>
      <c r="J684" t="s">
        <v>5300</v>
      </c>
      <c r="L684" t="s">
        <v>313</v>
      </c>
      <c r="M684" t="s">
        <v>1811</v>
      </c>
    </row>
    <row r="685" spans="6:13" x14ac:dyDescent="0.25">
      <c r="F685" t="s">
        <v>5209</v>
      </c>
      <c r="G685" t="s">
        <v>658</v>
      </c>
      <c r="I685" t="s">
        <v>278</v>
      </c>
      <c r="J685" t="s">
        <v>1543</v>
      </c>
      <c r="L685" t="s">
        <v>311</v>
      </c>
      <c r="M685" t="s">
        <v>2182</v>
      </c>
    </row>
    <row r="686" spans="6:13" x14ac:dyDescent="0.25">
      <c r="F686" t="s">
        <v>2676</v>
      </c>
      <c r="G686" t="s">
        <v>3609</v>
      </c>
      <c r="I686" t="s">
        <v>278</v>
      </c>
      <c r="J686" t="s">
        <v>1511</v>
      </c>
      <c r="L686" t="s">
        <v>3854</v>
      </c>
      <c r="M686" t="s">
        <v>7255</v>
      </c>
    </row>
    <row r="687" spans="6:13" x14ac:dyDescent="0.25">
      <c r="F687" t="s">
        <v>4567</v>
      </c>
      <c r="G687" t="s">
        <v>612</v>
      </c>
      <c r="I687" t="s">
        <v>2741</v>
      </c>
      <c r="J687" t="s">
        <v>3046</v>
      </c>
      <c r="L687" t="s">
        <v>289</v>
      </c>
      <c r="M687" t="s">
        <v>2188</v>
      </c>
    </row>
    <row r="688" spans="6:13" x14ac:dyDescent="0.25">
      <c r="F688" t="s">
        <v>40</v>
      </c>
      <c r="G688" t="s">
        <v>747</v>
      </c>
      <c r="I688" t="s">
        <v>3854</v>
      </c>
      <c r="J688" t="s">
        <v>3999</v>
      </c>
      <c r="L688" t="s">
        <v>548</v>
      </c>
      <c r="M688" t="s">
        <v>2258</v>
      </c>
    </row>
    <row r="689" spans="6:13" x14ac:dyDescent="0.25">
      <c r="F689" t="s">
        <v>3854</v>
      </c>
      <c r="G689" t="s">
        <v>4316</v>
      </c>
      <c r="I689" t="s">
        <v>5437</v>
      </c>
      <c r="J689" t="s">
        <v>899</v>
      </c>
      <c r="L689" t="s">
        <v>4157</v>
      </c>
      <c r="M689" t="s">
        <v>7038</v>
      </c>
    </row>
    <row r="690" spans="6:13" x14ac:dyDescent="0.25">
      <c r="F690" t="s">
        <v>4430</v>
      </c>
      <c r="G690" t="s">
        <v>4701</v>
      </c>
      <c r="I690" t="s">
        <v>318</v>
      </c>
      <c r="J690" t="s">
        <v>6856</v>
      </c>
      <c r="L690" t="s">
        <v>313</v>
      </c>
      <c r="M690" t="s">
        <v>1884</v>
      </c>
    </row>
    <row r="691" spans="6:13" x14ac:dyDescent="0.25">
      <c r="F691" t="s">
        <v>4927</v>
      </c>
      <c r="G691" t="s">
        <v>4928</v>
      </c>
      <c r="I691" t="s">
        <v>95</v>
      </c>
      <c r="J691" t="s">
        <v>6266</v>
      </c>
      <c r="L691" t="s">
        <v>7227</v>
      </c>
      <c r="M691" t="s">
        <v>1857</v>
      </c>
    </row>
    <row r="692" spans="6:13" x14ac:dyDescent="0.25">
      <c r="F692" t="s">
        <v>540</v>
      </c>
      <c r="G692" t="s">
        <v>727</v>
      </c>
      <c r="I692" t="s">
        <v>313</v>
      </c>
      <c r="J692" t="s">
        <v>1355</v>
      </c>
      <c r="L692" t="s">
        <v>391</v>
      </c>
      <c r="M692" t="s">
        <v>3123</v>
      </c>
    </row>
    <row r="693" spans="6:13" x14ac:dyDescent="0.25">
      <c r="F693" t="s">
        <v>37</v>
      </c>
      <c r="G693" t="s">
        <v>5062</v>
      </c>
      <c r="I693" t="s">
        <v>95</v>
      </c>
      <c r="J693" t="s">
        <v>6690</v>
      </c>
      <c r="L693" t="s">
        <v>123</v>
      </c>
      <c r="M693" t="s">
        <v>7856</v>
      </c>
    </row>
    <row r="694" spans="6:13" x14ac:dyDescent="0.25">
      <c r="F694" t="s">
        <v>37</v>
      </c>
      <c r="G694" t="s">
        <v>5183</v>
      </c>
      <c r="I694" t="s">
        <v>6318</v>
      </c>
      <c r="J694" t="s">
        <v>1358</v>
      </c>
      <c r="L694" t="s">
        <v>123</v>
      </c>
      <c r="M694" t="s">
        <v>7838</v>
      </c>
    </row>
    <row r="695" spans="6:13" x14ac:dyDescent="0.25">
      <c r="F695" t="s">
        <v>4564</v>
      </c>
      <c r="G695" t="s">
        <v>611</v>
      </c>
      <c r="I695" t="s">
        <v>5293</v>
      </c>
      <c r="J695" t="s">
        <v>2925</v>
      </c>
      <c r="L695" t="s">
        <v>137</v>
      </c>
      <c r="M695" t="s">
        <v>7534</v>
      </c>
    </row>
    <row r="696" spans="6:13" x14ac:dyDescent="0.25">
      <c r="F696" t="s">
        <v>4328</v>
      </c>
      <c r="G696" t="s">
        <v>4329</v>
      </c>
      <c r="I696" t="s">
        <v>6269</v>
      </c>
      <c r="J696" t="s">
        <v>1330</v>
      </c>
      <c r="L696" t="s">
        <v>457</v>
      </c>
      <c r="M696" t="s">
        <v>7539</v>
      </c>
    </row>
    <row r="697" spans="6:13" x14ac:dyDescent="0.25">
      <c r="F697" t="s">
        <v>2680</v>
      </c>
      <c r="G697" t="s">
        <v>3460</v>
      </c>
      <c r="I697" t="s">
        <v>283</v>
      </c>
      <c r="J697" t="s">
        <v>6310</v>
      </c>
      <c r="L697" t="s">
        <v>457</v>
      </c>
      <c r="M697" t="s">
        <v>7138</v>
      </c>
    </row>
    <row r="698" spans="6:13" x14ac:dyDescent="0.25">
      <c r="F698" t="s">
        <v>548</v>
      </c>
      <c r="G698" t="s">
        <v>4514</v>
      </c>
      <c r="I698" t="s">
        <v>6715</v>
      </c>
      <c r="J698" t="s">
        <v>2541</v>
      </c>
      <c r="L698" t="s">
        <v>6904</v>
      </c>
      <c r="M698" t="s">
        <v>7685</v>
      </c>
    </row>
    <row r="699" spans="6:13" x14ac:dyDescent="0.25">
      <c r="F699" t="s">
        <v>548</v>
      </c>
      <c r="G699" t="s">
        <v>4514</v>
      </c>
      <c r="I699" t="s">
        <v>6106</v>
      </c>
      <c r="J699" t="s">
        <v>2932</v>
      </c>
      <c r="L699" t="s">
        <v>457</v>
      </c>
      <c r="M699" t="s">
        <v>7769</v>
      </c>
    </row>
    <row r="700" spans="6:13" x14ac:dyDescent="0.25">
      <c r="F700" t="s">
        <v>548</v>
      </c>
      <c r="G700" t="s">
        <v>4514</v>
      </c>
      <c r="I700" t="s">
        <v>313</v>
      </c>
      <c r="J700" t="s">
        <v>1274</v>
      </c>
      <c r="L700" t="s">
        <v>391</v>
      </c>
      <c r="M700" t="s">
        <v>2587</v>
      </c>
    </row>
    <row r="701" spans="6:13" x14ac:dyDescent="0.25">
      <c r="F701" t="s">
        <v>548</v>
      </c>
      <c r="G701" t="s">
        <v>4514</v>
      </c>
      <c r="I701" t="s">
        <v>545</v>
      </c>
      <c r="J701" t="s">
        <v>5333</v>
      </c>
      <c r="L701" t="s">
        <v>313</v>
      </c>
      <c r="M701" t="s">
        <v>1899</v>
      </c>
    </row>
    <row r="702" spans="6:13" x14ac:dyDescent="0.25">
      <c r="F702" t="s">
        <v>4516</v>
      </c>
      <c r="G702" t="s">
        <v>593</v>
      </c>
      <c r="I702" t="s">
        <v>5387</v>
      </c>
      <c r="J702" t="s">
        <v>6260</v>
      </c>
      <c r="L702" t="s">
        <v>278</v>
      </c>
      <c r="M702" t="s">
        <v>1712</v>
      </c>
    </row>
    <row r="703" spans="6:13" x14ac:dyDescent="0.25">
      <c r="F703" t="s">
        <v>313</v>
      </c>
      <c r="G703" t="s">
        <v>4538</v>
      </c>
      <c r="I703" t="s">
        <v>6787</v>
      </c>
      <c r="J703" t="s">
        <v>6788</v>
      </c>
      <c r="L703" t="s">
        <v>6937</v>
      </c>
      <c r="M703" t="s">
        <v>1844</v>
      </c>
    </row>
    <row r="704" spans="6:13" x14ac:dyDescent="0.25">
      <c r="F704" t="s">
        <v>548</v>
      </c>
      <c r="G704" t="s">
        <v>624</v>
      </c>
      <c r="I704" t="s">
        <v>5602</v>
      </c>
      <c r="J704" t="s">
        <v>2469</v>
      </c>
      <c r="L704" t="s">
        <v>123</v>
      </c>
      <c r="M704" t="s">
        <v>6958</v>
      </c>
    </row>
    <row r="705" spans="6:13" x14ac:dyDescent="0.25">
      <c r="F705" t="s">
        <v>2664</v>
      </c>
      <c r="G705" t="s">
        <v>3410</v>
      </c>
      <c r="I705" t="s">
        <v>5910</v>
      </c>
      <c r="J705" t="s">
        <v>1126</v>
      </c>
      <c r="L705" t="s">
        <v>450</v>
      </c>
      <c r="M705" t="s">
        <v>7226</v>
      </c>
    </row>
    <row r="706" spans="6:13" x14ac:dyDescent="0.25">
      <c r="F706" t="s">
        <v>4430</v>
      </c>
      <c r="G706" t="s">
        <v>4864</v>
      </c>
      <c r="I706" t="s">
        <v>46</v>
      </c>
      <c r="J706" t="s">
        <v>962</v>
      </c>
      <c r="L706" t="s">
        <v>403</v>
      </c>
      <c r="M706" t="s">
        <v>7324</v>
      </c>
    </row>
    <row r="707" spans="6:13" x14ac:dyDescent="0.25">
      <c r="F707" t="s">
        <v>37</v>
      </c>
      <c r="G707" t="s">
        <v>664</v>
      </c>
      <c r="I707" t="s">
        <v>2741</v>
      </c>
      <c r="J707" t="s">
        <v>3044</v>
      </c>
      <c r="L707" t="s">
        <v>7792</v>
      </c>
      <c r="M707" t="s">
        <v>7793</v>
      </c>
    </row>
    <row r="708" spans="6:13" x14ac:dyDescent="0.25">
      <c r="F708" t="s">
        <v>540</v>
      </c>
      <c r="G708" t="s">
        <v>621</v>
      </c>
      <c r="I708" t="s">
        <v>2741</v>
      </c>
      <c r="J708" t="s">
        <v>3017</v>
      </c>
      <c r="L708" t="s">
        <v>123</v>
      </c>
      <c r="M708" t="s">
        <v>7481</v>
      </c>
    </row>
    <row r="709" spans="6:13" x14ac:dyDescent="0.25">
      <c r="F709" t="s">
        <v>540</v>
      </c>
      <c r="G709" t="s">
        <v>4651</v>
      </c>
      <c r="I709" t="s">
        <v>2741</v>
      </c>
      <c r="J709" t="s">
        <v>3013</v>
      </c>
      <c r="L709" t="s">
        <v>7492</v>
      </c>
      <c r="M709" t="s">
        <v>7876</v>
      </c>
    </row>
    <row r="710" spans="6:13" x14ac:dyDescent="0.25">
      <c r="F710" t="s">
        <v>2670</v>
      </c>
      <c r="G710" t="s">
        <v>3747</v>
      </c>
      <c r="I710" t="s">
        <v>2741</v>
      </c>
      <c r="J710" t="s">
        <v>3015</v>
      </c>
      <c r="L710" t="s">
        <v>37</v>
      </c>
      <c r="M710" t="s">
        <v>7955</v>
      </c>
    </row>
    <row r="711" spans="6:13" x14ac:dyDescent="0.25">
      <c r="F711" t="s">
        <v>2668</v>
      </c>
      <c r="G711" t="s">
        <v>3503</v>
      </c>
      <c r="I711" t="s">
        <v>5642</v>
      </c>
      <c r="J711" t="s">
        <v>1566</v>
      </c>
      <c r="L711" t="s">
        <v>313</v>
      </c>
      <c r="M711" t="s">
        <v>2346</v>
      </c>
    </row>
    <row r="712" spans="6:13" x14ac:dyDescent="0.25">
      <c r="F712" t="s">
        <v>37</v>
      </c>
      <c r="G712" t="s">
        <v>5098</v>
      </c>
      <c r="I712" t="s">
        <v>5525</v>
      </c>
      <c r="J712" t="s">
        <v>5526</v>
      </c>
      <c r="L712" t="s">
        <v>391</v>
      </c>
      <c r="M712" t="s">
        <v>2562</v>
      </c>
    </row>
    <row r="713" spans="6:13" x14ac:dyDescent="0.25">
      <c r="F713" t="s">
        <v>4564</v>
      </c>
      <c r="G713" t="s">
        <v>4648</v>
      </c>
      <c r="I713" t="s">
        <v>338</v>
      </c>
      <c r="J713" t="s">
        <v>820</v>
      </c>
      <c r="L713" t="s">
        <v>293</v>
      </c>
      <c r="M713" t="s">
        <v>7819</v>
      </c>
    </row>
    <row r="714" spans="6:13" x14ac:dyDescent="0.25">
      <c r="F714" t="s">
        <v>2680</v>
      </c>
      <c r="G714" t="s">
        <v>3561</v>
      </c>
      <c r="I714" t="s">
        <v>295</v>
      </c>
      <c r="J714" t="s">
        <v>816</v>
      </c>
      <c r="L714" t="s">
        <v>123</v>
      </c>
      <c r="M714" t="s">
        <v>7542</v>
      </c>
    </row>
    <row r="715" spans="6:13" x14ac:dyDescent="0.25">
      <c r="F715" t="s">
        <v>36</v>
      </c>
      <c r="G715" t="s">
        <v>597</v>
      </c>
      <c r="I715" t="s">
        <v>5288</v>
      </c>
      <c r="J715" t="s">
        <v>6031</v>
      </c>
      <c r="L715" t="s">
        <v>123</v>
      </c>
      <c r="M715" t="s">
        <v>7130</v>
      </c>
    </row>
    <row r="716" spans="6:13" x14ac:dyDescent="0.25">
      <c r="F716" t="s">
        <v>2665</v>
      </c>
      <c r="G716" t="s">
        <v>4996</v>
      </c>
      <c r="I716" t="s">
        <v>5967</v>
      </c>
      <c r="J716" t="s">
        <v>1151</v>
      </c>
      <c r="L716" t="s">
        <v>356</v>
      </c>
      <c r="M716" t="s">
        <v>6899</v>
      </c>
    </row>
    <row r="717" spans="6:13" x14ac:dyDescent="0.25">
      <c r="F717" t="s">
        <v>4310</v>
      </c>
      <c r="G717" t="s">
        <v>4354</v>
      </c>
      <c r="I717" t="s">
        <v>254</v>
      </c>
      <c r="J717" t="s">
        <v>5564</v>
      </c>
      <c r="L717" t="s">
        <v>356</v>
      </c>
      <c r="M717" t="s">
        <v>7836</v>
      </c>
    </row>
    <row r="718" spans="6:13" x14ac:dyDescent="0.25">
      <c r="F718" t="s">
        <v>4586</v>
      </c>
      <c r="G718" t="s">
        <v>4587</v>
      </c>
      <c r="I718" t="s">
        <v>254</v>
      </c>
      <c r="J718" t="s">
        <v>2490</v>
      </c>
      <c r="L718" t="s">
        <v>7183</v>
      </c>
      <c r="M718" t="s">
        <v>2208</v>
      </c>
    </row>
    <row r="719" spans="6:13" x14ac:dyDescent="0.25">
      <c r="F719" t="s">
        <v>37</v>
      </c>
      <c r="G719" t="s">
        <v>4552</v>
      </c>
      <c r="I719" t="s">
        <v>14</v>
      </c>
      <c r="J719" t="s">
        <v>1191</v>
      </c>
      <c r="L719" t="s">
        <v>457</v>
      </c>
      <c r="M719" t="s">
        <v>2265</v>
      </c>
    </row>
    <row r="720" spans="6:13" x14ac:dyDescent="0.25">
      <c r="F720" t="s">
        <v>2741</v>
      </c>
      <c r="G720" t="s">
        <v>3394</v>
      </c>
      <c r="I720" t="s">
        <v>3888</v>
      </c>
      <c r="J720" t="s">
        <v>3955</v>
      </c>
      <c r="L720" t="s">
        <v>391</v>
      </c>
      <c r="M720" t="s">
        <v>2625</v>
      </c>
    </row>
    <row r="721" spans="6:13" x14ac:dyDescent="0.25">
      <c r="F721" t="s">
        <v>37</v>
      </c>
      <c r="G721" t="s">
        <v>763</v>
      </c>
      <c r="I721" t="s">
        <v>5284</v>
      </c>
      <c r="J721" t="s">
        <v>808</v>
      </c>
      <c r="L721" t="s">
        <v>37</v>
      </c>
      <c r="M721" t="s">
        <v>2133</v>
      </c>
    </row>
    <row r="722" spans="6:13" x14ac:dyDescent="0.25">
      <c r="F722" t="s">
        <v>313</v>
      </c>
      <c r="G722" t="s">
        <v>4922</v>
      </c>
      <c r="I722" t="s">
        <v>5264</v>
      </c>
      <c r="J722" t="s">
        <v>6326</v>
      </c>
      <c r="L722" t="s">
        <v>3854</v>
      </c>
      <c r="M722" t="s">
        <v>4187</v>
      </c>
    </row>
    <row r="723" spans="6:13" x14ac:dyDescent="0.25">
      <c r="F723" t="s">
        <v>4995</v>
      </c>
      <c r="G723" t="s">
        <v>3808</v>
      </c>
      <c r="I723" t="s">
        <v>295</v>
      </c>
      <c r="J723" t="s">
        <v>5870</v>
      </c>
      <c r="L723" t="s">
        <v>457</v>
      </c>
      <c r="M723" t="s">
        <v>7468</v>
      </c>
    </row>
    <row r="724" spans="6:13" x14ac:dyDescent="0.25">
      <c r="F724" t="s">
        <v>313</v>
      </c>
      <c r="G724" t="s">
        <v>4872</v>
      </c>
      <c r="I724" t="s">
        <v>2741</v>
      </c>
      <c r="J724" t="s">
        <v>3001</v>
      </c>
      <c r="L724" t="s">
        <v>254</v>
      </c>
      <c r="M724" t="s">
        <v>2028</v>
      </c>
    </row>
    <row r="725" spans="6:13" x14ac:dyDescent="0.25">
      <c r="F725" t="s">
        <v>540</v>
      </c>
      <c r="G725" t="s">
        <v>4798</v>
      </c>
      <c r="I725" t="s">
        <v>2741</v>
      </c>
      <c r="J725" t="s">
        <v>3042</v>
      </c>
      <c r="L725" t="s">
        <v>61</v>
      </c>
      <c r="M725" t="s">
        <v>1754</v>
      </c>
    </row>
    <row r="726" spans="6:13" x14ac:dyDescent="0.25">
      <c r="F726" t="s">
        <v>37</v>
      </c>
      <c r="G726" t="s">
        <v>5154</v>
      </c>
      <c r="I726" t="s">
        <v>313</v>
      </c>
      <c r="J726" t="s">
        <v>2844</v>
      </c>
      <c r="L726" t="s">
        <v>123</v>
      </c>
      <c r="M726" t="s">
        <v>6862</v>
      </c>
    </row>
    <row r="727" spans="6:13" x14ac:dyDescent="0.25">
      <c r="F727" t="s">
        <v>4857</v>
      </c>
      <c r="G727" t="s">
        <v>749</v>
      </c>
      <c r="I727" t="s">
        <v>5782</v>
      </c>
      <c r="J727" t="s">
        <v>5869</v>
      </c>
      <c r="L727" t="s">
        <v>457</v>
      </c>
      <c r="M727" t="s">
        <v>6970</v>
      </c>
    </row>
    <row r="728" spans="6:13" x14ac:dyDescent="0.25">
      <c r="F728" t="s">
        <v>4146</v>
      </c>
      <c r="G728" t="s">
        <v>4336</v>
      </c>
      <c r="I728" t="s">
        <v>3854</v>
      </c>
      <c r="J728" t="s">
        <v>4053</v>
      </c>
      <c r="L728" t="s">
        <v>457</v>
      </c>
      <c r="M728" t="s">
        <v>7382</v>
      </c>
    </row>
    <row r="729" spans="6:13" x14ac:dyDescent="0.25">
      <c r="F729" t="s">
        <v>540</v>
      </c>
      <c r="G729" t="s">
        <v>659</v>
      </c>
      <c r="I729" t="s">
        <v>254</v>
      </c>
      <c r="J729" t="s">
        <v>2466</v>
      </c>
      <c r="L729" t="s">
        <v>280</v>
      </c>
      <c r="M729" t="s">
        <v>6930</v>
      </c>
    </row>
    <row r="730" spans="6:13" x14ac:dyDescent="0.25">
      <c r="F730" t="s">
        <v>545</v>
      </c>
      <c r="G730" t="s">
        <v>703</v>
      </c>
      <c r="I730" t="s">
        <v>3902</v>
      </c>
      <c r="J730" t="s">
        <v>5430</v>
      </c>
      <c r="L730" t="s">
        <v>302</v>
      </c>
      <c r="M730" t="s">
        <v>6980</v>
      </c>
    </row>
    <row r="731" spans="6:13" x14ac:dyDescent="0.25">
      <c r="F731" t="s">
        <v>2666</v>
      </c>
      <c r="G731" t="s">
        <v>3379</v>
      </c>
      <c r="I731" t="s">
        <v>6008</v>
      </c>
      <c r="J731" t="s">
        <v>2489</v>
      </c>
      <c r="L731" t="s">
        <v>391</v>
      </c>
      <c r="M731" t="s">
        <v>2610</v>
      </c>
    </row>
    <row r="732" spans="6:13" x14ac:dyDescent="0.25">
      <c r="F732" t="s">
        <v>313</v>
      </c>
      <c r="G732" t="s">
        <v>3534</v>
      </c>
      <c r="I732" t="s">
        <v>297</v>
      </c>
      <c r="J732" t="s">
        <v>2552</v>
      </c>
      <c r="L732" t="s">
        <v>122</v>
      </c>
      <c r="M732" t="s">
        <v>2006</v>
      </c>
    </row>
    <row r="733" spans="6:13" x14ac:dyDescent="0.25">
      <c r="F733" t="s">
        <v>4737</v>
      </c>
      <c r="G733" t="s">
        <v>5119</v>
      </c>
      <c r="I733" t="s">
        <v>5234</v>
      </c>
      <c r="J733" t="s">
        <v>784</v>
      </c>
      <c r="L733" t="s">
        <v>306</v>
      </c>
      <c r="M733" t="s">
        <v>7092</v>
      </c>
    </row>
    <row r="734" spans="6:13" x14ac:dyDescent="0.25">
      <c r="F734" t="s">
        <v>37</v>
      </c>
      <c r="G734" t="s">
        <v>4848</v>
      </c>
      <c r="I734" t="s">
        <v>3854</v>
      </c>
      <c r="J734" t="s">
        <v>4051</v>
      </c>
      <c r="L734" t="s">
        <v>7063</v>
      </c>
      <c r="M734" t="s">
        <v>1823</v>
      </c>
    </row>
    <row r="735" spans="6:13" x14ac:dyDescent="0.25">
      <c r="F735" t="s">
        <v>3854</v>
      </c>
      <c r="G735" t="s">
        <v>4778</v>
      </c>
      <c r="I735" t="s">
        <v>5675</v>
      </c>
      <c r="J735" t="s">
        <v>1006</v>
      </c>
      <c r="L735" t="s">
        <v>315</v>
      </c>
      <c r="M735" t="s">
        <v>7878</v>
      </c>
    </row>
    <row r="736" spans="6:13" x14ac:dyDescent="0.25">
      <c r="F736" t="s">
        <v>412</v>
      </c>
      <c r="G736" t="s">
        <v>3654</v>
      </c>
      <c r="I736" t="s">
        <v>3854</v>
      </c>
      <c r="J736" t="s">
        <v>3954</v>
      </c>
      <c r="L736" t="s">
        <v>7696</v>
      </c>
      <c r="M736" t="s">
        <v>3204</v>
      </c>
    </row>
    <row r="737" spans="6:13" x14ac:dyDescent="0.25">
      <c r="F737" t="s">
        <v>122</v>
      </c>
      <c r="G737" t="s">
        <v>738</v>
      </c>
      <c r="I737" t="s">
        <v>46</v>
      </c>
      <c r="J737" t="s">
        <v>5398</v>
      </c>
      <c r="L737" t="s">
        <v>457</v>
      </c>
      <c r="M737" t="s">
        <v>7901</v>
      </c>
    </row>
    <row r="738" spans="6:13" x14ac:dyDescent="0.25">
      <c r="F738" t="s">
        <v>2662</v>
      </c>
      <c r="G738" t="s">
        <v>3267</v>
      </c>
      <c r="I738" t="s">
        <v>5994</v>
      </c>
      <c r="J738" t="s">
        <v>1169</v>
      </c>
      <c r="L738" t="s">
        <v>7492</v>
      </c>
      <c r="M738" t="s">
        <v>7493</v>
      </c>
    </row>
    <row r="739" spans="6:13" x14ac:dyDescent="0.25">
      <c r="F739" t="s">
        <v>4430</v>
      </c>
      <c r="G739" t="s">
        <v>4642</v>
      </c>
      <c r="I739" t="s">
        <v>396</v>
      </c>
      <c r="J739" t="s">
        <v>3979</v>
      </c>
      <c r="L739" t="s">
        <v>4892</v>
      </c>
      <c r="M739" t="s">
        <v>2069</v>
      </c>
    </row>
    <row r="740" spans="6:13" x14ac:dyDescent="0.25">
      <c r="F740" t="s">
        <v>122</v>
      </c>
      <c r="G740" t="s">
        <v>4987</v>
      </c>
      <c r="I740" t="s">
        <v>5369</v>
      </c>
      <c r="J740" t="s">
        <v>2498</v>
      </c>
      <c r="L740" t="s">
        <v>315</v>
      </c>
      <c r="M740" t="s">
        <v>7036</v>
      </c>
    </row>
    <row r="741" spans="6:13" x14ac:dyDescent="0.25">
      <c r="F741" t="s">
        <v>357</v>
      </c>
      <c r="G741" t="s">
        <v>4348</v>
      </c>
      <c r="I741" t="s">
        <v>2766</v>
      </c>
      <c r="J741" t="s">
        <v>2804</v>
      </c>
      <c r="L741" t="s">
        <v>6165</v>
      </c>
      <c r="M741" t="s">
        <v>7325</v>
      </c>
    </row>
    <row r="742" spans="6:13" x14ac:dyDescent="0.25">
      <c r="F742" t="s">
        <v>4597</v>
      </c>
      <c r="G742" t="s">
        <v>638</v>
      </c>
      <c r="I742" t="s">
        <v>3854</v>
      </c>
      <c r="J742" t="s">
        <v>3924</v>
      </c>
      <c r="L742" t="s">
        <v>6561</v>
      </c>
      <c r="M742" t="s">
        <v>7635</v>
      </c>
    </row>
    <row r="743" spans="6:13" x14ac:dyDescent="0.25">
      <c r="F743" t="s">
        <v>95</v>
      </c>
      <c r="G743" t="s">
        <v>757</v>
      </c>
      <c r="I743" t="s">
        <v>2726</v>
      </c>
      <c r="J743" t="s">
        <v>2822</v>
      </c>
      <c r="L743" t="s">
        <v>7580</v>
      </c>
      <c r="M743" t="s">
        <v>1782</v>
      </c>
    </row>
    <row r="744" spans="6:13" x14ac:dyDescent="0.25">
      <c r="F744" t="s">
        <v>576</v>
      </c>
      <c r="G744" t="s">
        <v>3405</v>
      </c>
      <c r="I744" t="s">
        <v>318</v>
      </c>
      <c r="J744" t="s">
        <v>6643</v>
      </c>
      <c r="L744" t="s">
        <v>309</v>
      </c>
      <c r="M744" t="s">
        <v>7326</v>
      </c>
    </row>
    <row r="745" spans="6:13" x14ac:dyDescent="0.25">
      <c r="F745" t="s">
        <v>2675</v>
      </c>
      <c r="G745" t="s">
        <v>3279</v>
      </c>
      <c r="I745" t="s">
        <v>40</v>
      </c>
      <c r="J745" t="s">
        <v>5528</v>
      </c>
      <c r="L745" t="s">
        <v>7008</v>
      </c>
      <c r="M745" t="s">
        <v>1845</v>
      </c>
    </row>
    <row r="746" spans="6:13" x14ac:dyDescent="0.25">
      <c r="F746" t="s">
        <v>2680</v>
      </c>
      <c r="G746" t="s">
        <v>3660</v>
      </c>
      <c r="I746" t="s">
        <v>5834</v>
      </c>
      <c r="J746" t="s">
        <v>2931</v>
      </c>
      <c r="L746" t="s">
        <v>254</v>
      </c>
      <c r="M746" t="s">
        <v>1867</v>
      </c>
    </row>
    <row r="747" spans="6:13" x14ac:dyDescent="0.25">
      <c r="F747" t="s">
        <v>2664</v>
      </c>
      <c r="G747" t="s">
        <v>3633</v>
      </c>
      <c r="I747" t="s">
        <v>254</v>
      </c>
      <c r="J747" t="s">
        <v>2484</v>
      </c>
      <c r="L747" t="s">
        <v>457</v>
      </c>
      <c r="M747" t="s">
        <v>2217</v>
      </c>
    </row>
    <row r="748" spans="6:13" x14ac:dyDescent="0.25">
      <c r="F748" t="s">
        <v>4910</v>
      </c>
      <c r="G748" t="s">
        <v>3703</v>
      </c>
      <c r="I748" t="s">
        <v>90</v>
      </c>
      <c r="J748" t="s">
        <v>1486</v>
      </c>
      <c r="L748" t="s">
        <v>7691</v>
      </c>
      <c r="M748" t="s">
        <v>2171</v>
      </c>
    </row>
    <row r="749" spans="6:13" x14ac:dyDescent="0.25">
      <c r="F749" t="s">
        <v>37</v>
      </c>
      <c r="G749" t="s">
        <v>5141</v>
      </c>
      <c r="I749" t="s">
        <v>6805</v>
      </c>
      <c r="J749" t="s">
        <v>6806</v>
      </c>
      <c r="L749" t="s">
        <v>391</v>
      </c>
      <c r="M749" t="s">
        <v>2195</v>
      </c>
    </row>
    <row r="750" spans="6:13" x14ac:dyDescent="0.25">
      <c r="F750" t="s">
        <v>5019</v>
      </c>
      <c r="G750" t="s">
        <v>4518</v>
      </c>
      <c r="I750" t="s">
        <v>5779</v>
      </c>
      <c r="J750" t="s">
        <v>1094</v>
      </c>
      <c r="L750" t="s">
        <v>7323</v>
      </c>
      <c r="M750" t="s">
        <v>2613</v>
      </c>
    </row>
    <row r="751" spans="6:13" x14ac:dyDescent="0.25">
      <c r="F751" t="s">
        <v>5206</v>
      </c>
      <c r="G751" t="s">
        <v>4518</v>
      </c>
      <c r="I751" t="s">
        <v>3937</v>
      </c>
      <c r="J751" t="s">
        <v>4085</v>
      </c>
      <c r="L751" t="s">
        <v>7516</v>
      </c>
      <c r="M751" t="s">
        <v>2137</v>
      </c>
    </row>
    <row r="752" spans="6:13" x14ac:dyDescent="0.25">
      <c r="F752" t="s">
        <v>545</v>
      </c>
      <c r="G752" t="s">
        <v>3640</v>
      </c>
      <c r="I752" t="s">
        <v>318</v>
      </c>
      <c r="J752" t="s">
        <v>5838</v>
      </c>
      <c r="L752" t="s">
        <v>7219</v>
      </c>
      <c r="M752" t="s">
        <v>1814</v>
      </c>
    </row>
    <row r="753" spans="6:13" x14ac:dyDescent="0.25">
      <c r="F753" t="s">
        <v>4428</v>
      </c>
      <c r="G753" t="s">
        <v>4926</v>
      </c>
      <c r="I753" t="s">
        <v>2741</v>
      </c>
      <c r="J753" t="s">
        <v>3065</v>
      </c>
      <c r="L753" t="s">
        <v>289</v>
      </c>
      <c r="M753" t="s">
        <v>4140</v>
      </c>
    </row>
    <row r="754" spans="6:13" x14ac:dyDescent="0.25">
      <c r="F754" t="s">
        <v>37</v>
      </c>
      <c r="G754" t="s">
        <v>5082</v>
      </c>
      <c r="I754" t="s">
        <v>2741</v>
      </c>
      <c r="J754" t="s">
        <v>3020</v>
      </c>
      <c r="L754" t="s">
        <v>5350</v>
      </c>
      <c r="M754" t="s">
        <v>2555</v>
      </c>
    </row>
    <row r="755" spans="6:13" x14ac:dyDescent="0.25">
      <c r="F755" t="s">
        <v>356</v>
      </c>
      <c r="G755" t="s">
        <v>4386</v>
      </c>
      <c r="I755" t="s">
        <v>5619</v>
      </c>
      <c r="J755" t="s">
        <v>5620</v>
      </c>
      <c r="L755" t="s">
        <v>7690</v>
      </c>
      <c r="M755" t="s">
        <v>1702</v>
      </c>
    </row>
    <row r="756" spans="6:13" x14ac:dyDescent="0.25">
      <c r="F756" t="s">
        <v>4591</v>
      </c>
      <c r="G756" t="s">
        <v>620</v>
      </c>
      <c r="I756" t="s">
        <v>396</v>
      </c>
      <c r="J756" t="s">
        <v>2372</v>
      </c>
      <c r="L756" t="s">
        <v>7728</v>
      </c>
      <c r="M756" t="s">
        <v>2065</v>
      </c>
    </row>
    <row r="757" spans="6:13" x14ac:dyDescent="0.25">
      <c r="F757" t="s">
        <v>4428</v>
      </c>
      <c r="G757" t="s">
        <v>4628</v>
      </c>
      <c r="I757" t="s">
        <v>295</v>
      </c>
      <c r="J757" t="s">
        <v>1181</v>
      </c>
      <c r="L757" t="s">
        <v>289</v>
      </c>
      <c r="M757" t="s">
        <v>7657</v>
      </c>
    </row>
    <row r="758" spans="6:13" x14ac:dyDescent="0.25">
      <c r="F758" t="s">
        <v>4662</v>
      </c>
      <c r="G758" t="s">
        <v>654</v>
      </c>
      <c r="I758" t="s">
        <v>2741</v>
      </c>
      <c r="J758" t="s">
        <v>3062</v>
      </c>
      <c r="L758" t="s">
        <v>123</v>
      </c>
      <c r="M758" t="s">
        <v>7906</v>
      </c>
    </row>
    <row r="759" spans="6:13" x14ac:dyDescent="0.25">
      <c r="F759" t="s">
        <v>313</v>
      </c>
      <c r="G759" t="s">
        <v>4970</v>
      </c>
      <c r="I759" t="s">
        <v>6199</v>
      </c>
      <c r="J759" t="s">
        <v>1283</v>
      </c>
      <c r="L759" t="s">
        <v>315</v>
      </c>
      <c r="M759" t="s">
        <v>7577</v>
      </c>
    </row>
    <row r="760" spans="6:13" x14ac:dyDescent="0.25">
      <c r="F760" t="s">
        <v>122</v>
      </c>
      <c r="G760" t="s">
        <v>4640</v>
      </c>
      <c r="I760" t="s">
        <v>95</v>
      </c>
      <c r="J760" t="s">
        <v>6465</v>
      </c>
      <c r="L760" t="s">
        <v>7513</v>
      </c>
      <c r="M760" t="s">
        <v>7514</v>
      </c>
    </row>
    <row r="761" spans="6:13" x14ac:dyDescent="0.25">
      <c r="F761" t="s">
        <v>400</v>
      </c>
      <c r="G761" t="s">
        <v>3656</v>
      </c>
      <c r="I761" t="s">
        <v>6161</v>
      </c>
      <c r="J761" t="s">
        <v>6268</v>
      </c>
      <c r="L761" t="s">
        <v>286</v>
      </c>
      <c r="M761" t="s">
        <v>2181</v>
      </c>
    </row>
    <row r="762" spans="6:13" x14ac:dyDescent="0.25">
      <c r="F762" t="s">
        <v>4892</v>
      </c>
      <c r="G762" t="s">
        <v>4974</v>
      </c>
      <c r="I762" t="s">
        <v>5534</v>
      </c>
      <c r="J762" t="s">
        <v>925</v>
      </c>
      <c r="L762" t="s">
        <v>6875</v>
      </c>
      <c r="M762" t="s">
        <v>7883</v>
      </c>
    </row>
    <row r="763" spans="6:13" x14ac:dyDescent="0.25">
      <c r="F763" t="s">
        <v>95</v>
      </c>
      <c r="G763" t="s">
        <v>701</v>
      </c>
      <c r="I763" t="s">
        <v>254</v>
      </c>
      <c r="J763" t="s">
        <v>6041</v>
      </c>
      <c r="L763" t="s">
        <v>254</v>
      </c>
      <c r="M763" t="s">
        <v>1881</v>
      </c>
    </row>
    <row r="764" spans="6:13" x14ac:dyDescent="0.25">
      <c r="F764" t="s">
        <v>2747</v>
      </c>
      <c r="G764" t="s">
        <v>3288</v>
      </c>
      <c r="I764" t="s">
        <v>6779</v>
      </c>
      <c r="J764" t="s">
        <v>1600</v>
      </c>
      <c r="L764" t="s">
        <v>457</v>
      </c>
      <c r="M764" t="s">
        <v>7548</v>
      </c>
    </row>
    <row r="765" spans="6:13" x14ac:dyDescent="0.25">
      <c r="F765" t="s">
        <v>4803</v>
      </c>
      <c r="G765" t="s">
        <v>4804</v>
      </c>
      <c r="I765" t="s">
        <v>2723</v>
      </c>
      <c r="J765" t="s">
        <v>2820</v>
      </c>
      <c r="L765" t="s">
        <v>315</v>
      </c>
      <c r="M765" t="s">
        <v>7877</v>
      </c>
    </row>
    <row r="766" spans="6:13" x14ac:dyDescent="0.25">
      <c r="F766" t="s">
        <v>95</v>
      </c>
      <c r="G766" t="s">
        <v>740</v>
      </c>
      <c r="I766" t="s">
        <v>280</v>
      </c>
      <c r="J766" t="s">
        <v>2798</v>
      </c>
      <c r="L766" t="s">
        <v>313</v>
      </c>
      <c r="M766" t="s">
        <v>7346</v>
      </c>
    </row>
    <row r="767" spans="6:13" x14ac:dyDescent="0.25">
      <c r="F767" t="s">
        <v>416</v>
      </c>
      <c r="G767" t="s">
        <v>643</v>
      </c>
      <c r="I767" t="s">
        <v>5787</v>
      </c>
      <c r="J767" t="s">
        <v>6623</v>
      </c>
      <c r="L767" t="s">
        <v>313</v>
      </c>
      <c r="M767" t="s">
        <v>7621</v>
      </c>
    </row>
    <row r="768" spans="6:13" x14ac:dyDescent="0.25">
      <c r="F768" t="s">
        <v>356</v>
      </c>
      <c r="G768" t="s">
        <v>4337</v>
      </c>
      <c r="I768" t="s">
        <v>5386</v>
      </c>
      <c r="J768" t="s">
        <v>2787</v>
      </c>
      <c r="L768" t="s">
        <v>3854</v>
      </c>
      <c r="M768" t="s">
        <v>4155</v>
      </c>
    </row>
    <row r="769" spans="6:13" x14ac:dyDescent="0.25">
      <c r="F769" t="s">
        <v>313</v>
      </c>
      <c r="G769" t="s">
        <v>4577</v>
      </c>
      <c r="I769" t="s">
        <v>315</v>
      </c>
      <c r="J769" t="s">
        <v>3896</v>
      </c>
      <c r="L769" t="s">
        <v>7293</v>
      </c>
      <c r="M769" t="s">
        <v>2058</v>
      </c>
    </row>
    <row r="770" spans="6:13" x14ac:dyDescent="0.25">
      <c r="F770" t="s">
        <v>398</v>
      </c>
      <c r="G770" t="s">
        <v>3658</v>
      </c>
      <c r="I770" t="s">
        <v>2732</v>
      </c>
      <c r="J770" t="s">
        <v>4038</v>
      </c>
      <c r="L770" t="s">
        <v>391</v>
      </c>
      <c r="M770" t="s">
        <v>3172</v>
      </c>
    </row>
    <row r="771" spans="6:13" x14ac:dyDescent="0.25">
      <c r="F771" t="s">
        <v>2662</v>
      </c>
      <c r="G771" t="s">
        <v>5168</v>
      </c>
      <c r="I771" t="s">
        <v>313</v>
      </c>
      <c r="J771" t="s">
        <v>1613</v>
      </c>
      <c r="L771" t="s">
        <v>122</v>
      </c>
      <c r="M771" t="s">
        <v>1691</v>
      </c>
    </row>
    <row r="772" spans="6:13" x14ac:dyDescent="0.25">
      <c r="F772" t="s">
        <v>4741</v>
      </c>
      <c r="G772" t="s">
        <v>3516</v>
      </c>
      <c r="I772" t="s">
        <v>313</v>
      </c>
      <c r="J772" t="s">
        <v>952</v>
      </c>
      <c r="L772" t="s">
        <v>396</v>
      </c>
      <c r="M772" t="s">
        <v>7311</v>
      </c>
    </row>
    <row r="773" spans="6:13" x14ac:dyDescent="0.25">
      <c r="F773" t="s">
        <v>37</v>
      </c>
      <c r="G773" t="s">
        <v>5041</v>
      </c>
      <c r="I773" t="s">
        <v>295</v>
      </c>
      <c r="J773" t="s">
        <v>2451</v>
      </c>
      <c r="L773" t="s">
        <v>396</v>
      </c>
      <c r="M773" t="s">
        <v>7687</v>
      </c>
    </row>
    <row r="774" spans="6:13" x14ac:dyDescent="0.25">
      <c r="F774" t="s">
        <v>37</v>
      </c>
      <c r="G774" t="s">
        <v>5117</v>
      </c>
      <c r="I774" t="s">
        <v>6274</v>
      </c>
      <c r="J774" t="s">
        <v>6275</v>
      </c>
      <c r="L774" t="s">
        <v>7113</v>
      </c>
      <c r="M774" t="s">
        <v>3118</v>
      </c>
    </row>
    <row r="775" spans="6:13" x14ac:dyDescent="0.25">
      <c r="F775" t="s">
        <v>553</v>
      </c>
      <c r="G775" t="s">
        <v>3674</v>
      </c>
      <c r="I775" t="s">
        <v>311</v>
      </c>
      <c r="J775" t="s">
        <v>2914</v>
      </c>
      <c r="L775" t="s">
        <v>315</v>
      </c>
      <c r="M775" t="s">
        <v>7317</v>
      </c>
    </row>
    <row r="776" spans="6:13" x14ac:dyDescent="0.25">
      <c r="F776" t="s">
        <v>37</v>
      </c>
      <c r="G776" t="s">
        <v>5092</v>
      </c>
      <c r="I776" t="s">
        <v>315</v>
      </c>
      <c r="J776" t="s">
        <v>3978</v>
      </c>
      <c r="L776" t="s">
        <v>315</v>
      </c>
      <c r="M776" t="s">
        <v>6973</v>
      </c>
    </row>
    <row r="777" spans="6:13" x14ac:dyDescent="0.25">
      <c r="F777" t="s">
        <v>400</v>
      </c>
      <c r="G777" t="s">
        <v>682</v>
      </c>
      <c r="I777" t="s">
        <v>95</v>
      </c>
      <c r="J777" t="s">
        <v>5718</v>
      </c>
      <c r="L777" t="s">
        <v>315</v>
      </c>
      <c r="M777" t="s">
        <v>7140</v>
      </c>
    </row>
    <row r="778" spans="6:13" x14ac:dyDescent="0.25">
      <c r="F778" t="s">
        <v>3854</v>
      </c>
      <c r="G778" t="s">
        <v>4670</v>
      </c>
      <c r="I778" t="s">
        <v>2741</v>
      </c>
      <c r="J778" t="s">
        <v>5471</v>
      </c>
      <c r="L778" t="s">
        <v>457</v>
      </c>
      <c r="M778" t="s">
        <v>1662</v>
      </c>
    </row>
    <row r="779" spans="6:13" x14ac:dyDescent="0.25">
      <c r="F779" t="s">
        <v>4907</v>
      </c>
      <c r="G779" t="s">
        <v>3699</v>
      </c>
      <c r="I779" t="s">
        <v>283</v>
      </c>
      <c r="J779" t="s">
        <v>2457</v>
      </c>
      <c r="L779" t="s">
        <v>3854</v>
      </c>
      <c r="M779" t="s">
        <v>4205</v>
      </c>
    </row>
    <row r="780" spans="6:13" x14ac:dyDescent="0.25">
      <c r="F780" t="s">
        <v>4584</v>
      </c>
      <c r="G780" t="s">
        <v>3353</v>
      </c>
      <c r="I780" t="s">
        <v>315</v>
      </c>
      <c r="J780" t="s">
        <v>4073</v>
      </c>
      <c r="L780" t="s">
        <v>6946</v>
      </c>
      <c r="M780" t="s">
        <v>2212</v>
      </c>
    </row>
    <row r="781" spans="6:13" x14ac:dyDescent="0.25">
      <c r="F781" t="s">
        <v>313</v>
      </c>
      <c r="G781" t="s">
        <v>4658</v>
      </c>
      <c r="I781" t="s">
        <v>313</v>
      </c>
      <c r="J781" t="s">
        <v>1214</v>
      </c>
      <c r="L781" t="s">
        <v>3854</v>
      </c>
      <c r="M781" t="s">
        <v>4156</v>
      </c>
    </row>
    <row r="782" spans="6:13" x14ac:dyDescent="0.25">
      <c r="F782" t="s">
        <v>37</v>
      </c>
      <c r="G782" t="s">
        <v>4553</v>
      </c>
      <c r="I782" t="s">
        <v>283</v>
      </c>
      <c r="J782" t="s">
        <v>6584</v>
      </c>
      <c r="L782" t="s">
        <v>7161</v>
      </c>
      <c r="M782" t="s">
        <v>7162</v>
      </c>
    </row>
    <row r="783" spans="6:13" x14ac:dyDescent="0.25">
      <c r="F783" t="s">
        <v>37</v>
      </c>
      <c r="G783" t="s">
        <v>4663</v>
      </c>
      <c r="I783" t="s">
        <v>5670</v>
      </c>
      <c r="J783" t="s">
        <v>6694</v>
      </c>
      <c r="L783" t="s">
        <v>286</v>
      </c>
      <c r="M783" t="s">
        <v>2066</v>
      </c>
    </row>
    <row r="784" spans="6:13" x14ac:dyDescent="0.25">
      <c r="F784" t="s">
        <v>4810</v>
      </c>
      <c r="G784" t="s">
        <v>5155</v>
      </c>
      <c r="I784" t="s">
        <v>5432</v>
      </c>
      <c r="J784" t="s">
        <v>1615</v>
      </c>
      <c r="L784" t="s">
        <v>457</v>
      </c>
      <c r="M784" t="s">
        <v>6986</v>
      </c>
    </row>
    <row r="785" spans="6:13" x14ac:dyDescent="0.25">
      <c r="F785" t="s">
        <v>4604</v>
      </c>
      <c r="G785" t="s">
        <v>3367</v>
      </c>
      <c r="I785" t="s">
        <v>5445</v>
      </c>
      <c r="J785" t="s">
        <v>6240</v>
      </c>
      <c r="L785" t="s">
        <v>95</v>
      </c>
      <c r="M785" t="s">
        <v>7272</v>
      </c>
    </row>
    <row r="786" spans="6:13" x14ac:dyDescent="0.25">
      <c r="F786" t="s">
        <v>2767</v>
      </c>
      <c r="G786" t="s">
        <v>3709</v>
      </c>
      <c r="I786" t="s">
        <v>5706</v>
      </c>
      <c r="J786" t="s">
        <v>5707</v>
      </c>
      <c r="L786" t="s">
        <v>37</v>
      </c>
      <c r="M786" t="s">
        <v>7872</v>
      </c>
    </row>
    <row r="787" spans="6:13" x14ac:dyDescent="0.25">
      <c r="F787" t="s">
        <v>3854</v>
      </c>
      <c r="G787" t="s">
        <v>4357</v>
      </c>
      <c r="I787" t="s">
        <v>123</v>
      </c>
      <c r="J787" t="s">
        <v>6689</v>
      </c>
      <c r="L787" t="s">
        <v>5995</v>
      </c>
      <c r="M787" t="s">
        <v>1701</v>
      </c>
    </row>
    <row r="788" spans="6:13" x14ac:dyDescent="0.25">
      <c r="F788" t="s">
        <v>356</v>
      </c>
      <c r="G788" t="s">
        <v>4419</v>
      </c>
      <c r="I788" t="s">
        <v>315</v>
      </c>
      <c r="J788" t="s">
        <v>4029</v>
      </c>
      <c r="L788" t="s">
        <v>6919</v>
      </c>
      <c r="M788" t="s">
        <v>2075</v>
      </c>
    </row>
    <row r="789" spans="6:13" x14ac:dyDescent="0.25">
      <c r="F789" t="s">
        <v>400</v>
      </c>
      <c r="G789" t="s">
        <v>735</v>
      </c>
      <c r="I789" t="s">
        <v>6437</v>
      </c>
      <c r="J789" t="s">
        <v>2523</v>
      </c>
      <c r="L789" t="s">
        <v>7861</v>
      </c>
      <c r="M789" t="s">
        <v>2288</v>
      </c>
    </row>
    <row r="790" spans="6:13" x14ac:dyDescent="0.25">
      <c r="F790" t="s">
        <v>2767</v>
      </c>
      <c r="G790" t="s">
        <v>3662</v>
      </c>
      <c r="I790" t="s">
        <v>5775</v>
      </c>
      <c r="J790" t="s">
        <v>5776</v>
      </c>
      <c r="L790" t="s">
        <v>400</v>
      </c>
      <c r="M790" t="s">
        <v>2041</v>
      </c>
    </row>
    <row r="791" spans="6:13" x14ac:dyDescent="0.25">
      <c r="F791" t="s">
        <v>2674</v>
      </c>
      <c r="G791" t="s">
        <v>3695</v>
      </c>
      <c r="I791" t="s">
        <v>315</v>
      </c>
      <c r="J791" t="s">
        <v>4075</v>
      </c>
      <c r="L791" t="s">
        <v>393</v>
      </c>
      <c r="M791" t="s">
        <v>7703</v>
      </c>
    </row>
    <row r="792" spans="6:13" x14ac:dyDescent="0.25">
      <c r="F792" t="s">
        <v>2680</v>
      </c>
      <c r="G792" t="s">
        <v>3614</v>
      </c>
      <c r="I792" t="s">
        <v>5691</v>
      </c>
      <c r="J792" t="s">
        <v>5692</v>
      </c>
      <c r="L792" t="s">
        <v>39</v>
      </c>
      <c r="M792" t="s">
        <v>1902</v>
      </c>
    </row>
    <row r="793" spans="6:13" x14ac:dyDescent="0.25">
      <c r="F793" t="s">
        <v>356</v>
      </c>
      <c r="G793" t="s">
        <v>4353</v>
      </c>
      <c r="I793" t="s">
        <v>6387</v>
      </c>
      <c r="J793" t="s">
        <v>6572</v>
      </c>
      <c r="L793" t="s">
        <v>313</v>
      </c>
      <c r="M793" t="s">
        <v>7725</v>
      </c>
    </row>
    <row r="794" spans="6:13" x14ac:dyDescent="0.25">
      <c r="F794" t="s">
        <v>400</v>
      </c>
      <c r="G794" t="s">
        <v>721</v>
      </c>
      <c r="I794" t="s">
        <v>253</v>
      </c>
      <c r="J794" t="s">
        <v>1412</v>
      </c>
      <c r="L794" t="s">
        <v>313</v>
      </c>
      <c r="M794" t="s">
        <v>6923</v>
      </c>
    </row>
    <row r="795" spans="6:13" x14ac:dyDescent="0.25">
      <c r="F795" t="s">
        <v>37</v>
      </c>
      <c r="G795" t="s">
        <v>5198</v>
      </c>
      <c r="I795" t="s">
        <v>37</v>
      </c>
      <c r="J795" t="s">
        <v>2859</v>
      </c>
      <c r="L795" t="s">
        <v>254</v>
      </c>
      <c r="M795" t="s">
        <v>1885</v>
      </c>
    </row>
    <row r="796" spans="6:13" x14ac:dyDescent="0.25">
      <c r="F796" t="s">
        <v>400</v>
      </c>
      <c r="G796" t="s">
        <v>5066</v>
      </c>
      <c r="I796" t="s">
        <v>2741</v>
      </c>
      <c r="J796" t="s">
        <v>2974</v>
      </c>
      <c r="L796" t="s">
        <v>95</v>
      </c>
      <c r="M796" t="s">
        <v>7359</v>
      </c>
    </row>
    <row r="797" spans="6:13" x14ac:dyDescent="0.25">
      <c r="F797" t="s">
        <v>4878</v>
      </c>
      <c r="G797" t="s">
        <v>724</v>
      </c>
      <c r="I797" t="s">
        <v>9</v>
      </c>
      <c r="J797" t="s">
        <v>2971</v>
      </c>
      <c r="L797" t="s">
        <v>289</v>
      </c>
      <c r="M797" t="s">
        <v>1972</v>
      </c>
    </row>
    <row r="798" spans="6:13" x14ac:dyDescent="0.25">
      <c r="F798" t="s">
        <v>2767</v>
      </c>
      <c r="G798" t="s">
        <v>3425</v>
      </c>
      <c r="I798" t="s">
        <v>5921</v>
      </c>
      <c r="J798" t="s">
        <v>6784</v>
      </c>
      <c r="L798" t="s">
        <v>254</v>
      </c>
      <c r="M798" t="s">
        <v>1793</v>
      </c>
    </row>
    <row r="799" spans="6:13" x14ac:dyDescent="0.25">
      <c r="F799" t="s">
        <v>553</v>
      </c>
      <c r="G799" t="s">
        <v>632</v>
      </c>
      <c r="I799" t="s">
        <v>278</v>
      </c>
      <c r="J799" t="s">
        <v>3947</v>
      </c>
      <c r="L799" t="s">
        <v>47</v>
      </c>
      <c r="M799" t="s">
        <v>2008</v>
      </c>
    </row>
    <row r="800" spans="6:13" x14ac:dyDescent="0.25">
      <c r="F800" t="s">
        <v>4742</v>
      </c>
      <c r="G800" t="s">
        <v>683</v>
      </c>
      <c r="I800" t="s">
        <v>6340</v>
      </c>
      <c r="J800" t="s">
        <v>1366</v>
      </c>
      <c r="L800" t="s">
        <v>398</v>
      </c>
      <c r="M800" t="s">
        <v>7172</v>
      </c>
    </row>
    <row r="801" spans="6:13" x14ac:dyDescent="0.25">
      <c r="F801" t="s">
        <v>37</v>
      </c>
      <c r="G801" t="s">
        <v>4707</v>
      </c>
      <c r="I801" t="s">
        <v>403</v>
      </c>
      <c r="J801" t="s">
        <v>2480</v>
      </c>
      <c r="L801" t="s">
        <v>398</v>
      </c>
      <c r="M801" t="s">
        <v>7201</v>
      </c>
    </row>
    <row r="802" spans="6:13" x14ac:dyDescent="0.25">
      <c r="F802" t="s">
        <v>4430</v>
      </c>
      <c r="G802" t="s">
        <v>4820</v>
      </c>
      <c r="I802" t="s">
        <v>5336</v>
      </c>
      <c r="J802" t="s">
        <v>833</v>
      </c>
      <c r="L802" t="s">
        <v>283</v>
      </c>
      <c r="M802" t="s">
        <v>3112</v>
      </c>
    </row>
    <row r="803" spans="6:13" x14ac:dyDescent="0.25">
      <c r="F803" t="s">
        <v>2741</v>
      </c>
      <c r="G803" t="s">
        <v>3446</v>
      </c>
      <c r="I803" t="s">
        <v>3937</v>
      </c>
      <c r="J803" t="s">
        <v>3938</v>
      </c>
      <c r="L803" t="s">
        <v>403</v>
      </c>
      <c r="M803" t="s">
        <v>2597</v>
      </c>
    </row>
    <row r="804" spans="6:13" x14ac:dyDescent="0.25">
      <c r="F804" t="s">
        <v>37</v>
      </c>
      <c r="G804" t="s">
        <v>5207</v>
      </c>
      <c r="I804" t="s">
        <v>6111</v>
      </c>
      <c r="J804" t="s">
        <v>1229</v>
      </c>
      <c r="L804" t="s">
        <v>457</v>
      </c>
      <c r="M804" t="s">
        <v>7617</v>
      </c>
    </row>
    <row r="805" spans="6:13" x14ac:dyDescent="0.25">
      <c r="F805" t="s">
        <v>578</v>
      </c>
      <c r="G805" t="s">
        <v>3700</v>
      </c>
      <c r="I805" t="s">
        <v>256</v>
      </c>
      <c r="J805" t="s">
        <v>3927</v>
      </c>
      <c r="L805" t="s">
        <v>315</v>
      </c>
      <c r="M805" t="s">
        <v>1775</v>
      </c>
    </row>
    <row r="806" spans="6:13" x14ac:dyDescent="0.25">
      <c r="F806" t="s">
        <v>2738</v>
      </c>
      <c r="G806" t="s">
        <v>3722</v>
      </c>
      <c r="I806" t="s">
        <v>5299</v>
      </c>
      <c r="J806" t="s">
        <v>6345</v>
      </c>
      <c r="L806" t="s">
        <v>315</v>
      </c>
      <c r="M806" t="s">
        <v>2198</v>
      </c>
    </row>
    <row r="807" spans="6:13" x14ac:dyDescent="0.25">
      <c r="F807" t="s">
        <v>356</v>
      </c>
      <c r="G807" t="s">
        <v>4710</v>
      </c>
      <c r="I807" t="s">
        <v>315</v>
      </c>
      <c r="J807" t="s">
        <v>4031</v>
      </c>
      <c r="L807" t="s">
        <v>6875</v>
      </c>
      <c r="M807" t="s">
        <v>7254</v>
      </c>
    </row>
    <row r="808" spans="6:13" x14ac:dyDescent="0.25">
      <c r="F808" t="s">
        <v>416</v>
      </c>
      <c r="G808" t="s">
        <v>759</v>
      </c>
      <c r="I808" t="s">
        <v>2749</v>
      </c>
      <c r="J808" t="s">
        <v>2828</v>
      </c>
      <c r="L808" t="s">
        <v>7149</v>
      </c>
      <c r="M808" t="s">
        <v>2300</v>
      </c>
    </row>
    <row r="809" spans="6:13" x14ac:dyDescent="0.25">
      <c r="F809" t="s">
        <v>313</v>
      </c>
      <c r="G809" t="s">
        <v>3456</v>
      </c>
      <c r="I809" t="s">
        <v>6760</v>
      </c>
      <c r="J809" t="s">
        <v>6761</v>
      </c>
      <c r="L809" t="s">
        <v>280</v>
      </c>
      <c r="M809" t="s">
        <v>1915</v>
      </c>
    </row>
    <row r="810" spans="6:13" x14ac:dyDescent="0.25">
      <c r="F810" t="s">
        <v>37</v>
      </c>
      <c r="G810" t="s">
        <v>5212</v>
      </c>
      <c r="I810" t="s">
        <v>5419</v>
      </c>
      <c r="J810" t="s">
        <v>2456</v>
      </c>
      <c r="L810" t="s">
        <v>137</v>
      </c>
      <c r="M810" t="s">
        <v>6951</v>
      </c>
    </row>
    <row r="811" spans="6:13" x14ac:dyDescent="0.25">
      <c r="F811" t="s">
        <v>4561</v>
      </c>
      <c r="G811" t="s">
        <v>5167</v>
      </c>
      <c r="I811" t="s">
        <v>5381</v>
      </c>
      <c r="J811" t="s">
        <v>863</v>
      </c>
      <c r="L811" t="s">
        <v>3854</v>
      </c>
      <c r="M811" t="s">
        <v>4306</v>
      </c>
    </row>
    <row r="812" spans="6:13" x14ac:dyDescent="0.25">
      <c r="F812" t="s">
        <v>412</v>
      </c>
      <c r="G812" t="s">
        <v>3630</v>
      </c>
      <c r="I812" t="s">
        <v>95</v>
      </c>
      <c r="J812" t="s">
        <v>6252</v>
      </c>
      <c r="L812" t="s">
        <v>400</v>
      </c>
      <c r="M812" t="s">
        <v>2151</v>
      </c>
    </row>
    <row r="813" spans="6:13" x14ac:dyDescent="0.25">
      <c r="F813" t="s">
        <v>2741</v>
      </c>
      <c r="G813" t="s">
        <v>3697</v>
      </c>
      <c r="I813" t="s">
        <v>45</v>
      </c>
      <c r="J813" t="s">
        <v>6487</v>
      </c>
      <c r="L813" t="s">
        <v>457</v>
      </c>
      <c r="M813" t="s">
        <v>7652</v>
      </c>
    </row>
    <row r="814" spans="6:13" x14ac:dyDescent="0.25">
      <c r="F814" t="s">
        <v>2741</v>
      </c>
      <c r="G814" t="s">
        <v>3483</v>
      </c>
      <c r="I814" t="s">
        <v>122</v>
      </c>
      <c r="J814" t="s">
        <v>2811</v>
      </c>
      <c r="L814" t="s">
        <v>309</v>
      </c>
      <c r="M814" t="s">
        <v>2059</v>
      </c>
    </row>
    <row r="815" spans="6:13" x14ac:dyDescent="0.25">
      <c r="F815" t="s">
        <v>2741</v>
      </c>
      <c r="G815" t="s">
        <v>3431</v>
      </c>
      <c r="I815" t="s">
        <v>5463</v>
      </c>
      <c r="J815" t="s">
        <v>5464</v>
      </c>
      <c r="L815" t="s">
        <v>7427</v>
      </c>
      <c r="M815" t="s">
        <v>1710</v>
      </c>
    </row>
    <row r="816" spans="6:13" x14ac:dyDescent="0.25">
      <c r="F816" t="s">
        <v>2741</v>
      </c>
      <c r="G816" t="s">
        <v>3606</v>
      </c>
      <c r="I816" t="s">
        <v>5359</v>
      </c>
      <c r="J816" t="s">
        <v>5360</v>
      </c>
      <c r="L816" t="s">
        <v>47</v>
      </c>
      <c r="M816" t="s">
        <v>2117</v>
      </c>
    </row>
    <row r="817" spans="6:13" x14ac:dyDescent="0.25">
      <c r="F817" t="s">
        <v>2741</v>
      </c>
      <c r="G817" t="s">
        <v>3727</v>
      </c>
      <c r="I817" t="s">
        <v>283</v>
      </c>
      <c r="J817" t="s">
        <v>2545</v>
      </c>
      <c r="L817" t="s">
        <v>457</v>
      </c>
      <c r="M817" t="s">
        <v>7647</v>
      </c>
    </row>
    <row r="818" spans="6:13" x14ac:dyDescent="0.25">
      <c r="F818" t="s">
        <v>2741</v>
      </c>
      <c r="G818" t="s">
        <v>3773</v>
      </c>
      <c r="I818" t="s">
        <v>391</v>
      </c>
      <c r="J818" t="s">
        <v>2549</v>
      </c>
      <c r="L818" t="s">
        <v>309</v>
      </c>
      <c r="M818" t="s">
        <v>1818</v>
      </c>
    </row>
    <row r="819" spans="6:13" x14ac:dyDescent="0.25">
      <c r="F819" t="s">
        <v>2741</v>
      </c>
      <c r="G819" t="s">
        <v>3356</v>
      </c>
      <c r="I819" t="s">
        <v>391</v>
      </c>
      <c r="J819" t="s">
        <v>4061</v>
      </c>
      <c r="L819" t="s">
        <v>46</v>
      </c>
      <c r="M819" t="s">
        <v>1764</v>
      </c>
    </row>
    <row r="820" spans="6:13" x14ac:dyDescent="0.25">
      <c r="F820" t="s">
        <v>2741</v>
      </c>
      <c r="G820" t="s">
        <v>3553</v>
      </c>
      <c r="I820" t="s">
        <v>6398</v>
      </c>
      <c r="J820" t="s">
        <v>1411</v>
      </c>
      <c r="L820" t="s">
        <v>548</v>
      </c>
      <c r="M820" t="s">
        <v>7460</v>
      </c>
    </row>
    <row r="821" spans="6:13" x14ac:dyDescent="0.25">
      <c r="F821" t="s">
        <v>2741</v>
      </c>
      <c r="G821" t="s">
        <v>3518</v>
      </c>
      <c r="I821" t="s">
        <v>6069</v>
      </c>
      <c r="J821" t="s">
        <v>1207</v>
      </c>
      <c r="L821" t="s">
        <v>548</v>
      </c>
      <c r="M821" t="s">
        <v>7525</v>
      </c>
    </row>
    <row r="822" spans="6:13" x14ac:dyDescent="0.25">
      <c r="F822" t="s">
        <v>2741</v>
      </c>
      <c r="G822" t="s">
        <v>3489</v>
      </c>
      <c r="I822" t="s">
        <v>253</v>
      </c>
      <c r="J822" t="s">
        <v>1380</v>
      </c>
      <c r="L822" t="s">
        <v>2720</v>
      </c>
      <c r="M822" t="s">
        <v>1667</v>
      </c>
    </row>
    <row r="823" spans="6:13" x14ac:dyDescent="0.25">
      <c r="F823" t="s">
        <v>2741</v>
      </c>
      <c r="G823" t="s">
        <v>3464</v>
      </c>
      <c r="I823" t="s">
        <v>46</v>
      </c>
      <c r="J823" t="s">
        <v>6394</v>
      </c>
      <c r="L823" t="s">
        <v>283</v>
      </c>
      <c r="M823" t="s">
        <v>3109</v>
      </c>
    </row>
    <row r="824" spans="6:13" x14ac:dyDescent="0.25">
      <c r="F824" t="s">
        <v>313</v>
      </c>
      <c r="G824" t="s">
        <v>4984</v>
      </c>
      <c r="I824" t="s">
        <v>5634</v>
      </c>
      <c r="J824" t="s">
        <v>5635</v>
      </c>
      <c r="L824" t="s">
        <v>7428</v>
      </c>
      <c r="M824" t="s">
        <v>7429</v>
      </c>
    </row>
    <row r="825" spans="6:13" x14ac:dyDescent="0.25">
      <c r="F825" t="s">
        <v>4428</v>
      </c>
      <c r="G825" t="s">
        <v>4886</v>
      </c>
      <c r="I825" t="s">
        <v>286</v>
      </c>
      <c r="J825" t="s">
        <v>828</v>
      </c>
      <c r="L825" t="s">
        <v>7293</v>
      </c>
      <c r="M825" t="s">
        <v>7294</v>
      </c>
    </row>
    <row r="826" spans="6:13" x14ac:dyDescent="0.25">
      <c r="F826" t="s">
        <v>2767</v>
      </c>
      <c r="G826" t="s">
        <v>3716</v>
      </c>
      <c r="I826" t="s">
        <v>5554</v>
      </c>
      <c r="J826" t="s">
        <v>5555</v>
      </c>
      <c r="L826" t="s">
        <v>37</v>
      </c>
      <c r="M826" t="s">
        <v>7586</v>
      </c>
    </row>
    <row r="827" spans="6:13" x14ac:dyDescent="0.25">
      <c r="F827" t="s">
        <v>4509</v>
      </c>
      <c r="G827" t="s">
        <v>4625</v>
      </c>
      <c r="I827" t="s">
        <v>4430</v>
      </c>
      <c r="J827" t="s">
        <v>6588</v>
      </c>
      <c r="L827" t="s">
        <v>7391</v>
      </c>
      <c r="M827" t="s">
        <v>7393</v>
      </c>
    </row>
    <row r="828" spans="6:13" x14ac:dyDescent="0.25">
      <c r="F828" t="s">
        <v>482</v>
      </c>
      <c r="G828" t="s">
        <v>3803</v>
      </c>
      <c r="I828" t="s">
        <v>313</v>
      </c>
      <c r="J828" t="s">
        <v>1266</v>
      </c>
      <c r="L828" t="s">
        <v>313</v>
      </c>
      <c r="M828" t="s">
        <v>7260</v>
      </c>
    </row>
    <row r="829" spans="6:13" x14ac:dyDescent="0.25">
      <c r="F829" t="s">
        <v>37</v>
      </c>
      <c r="G829" t="s">
        <v>4679</v>
      </c>
      <c r="I829" t="s">
        <v>313</v>
      </c>
      <c r="J829" t="s">
        <v>1004</v>
      </c>
      <c r="L829" t="s">
        <v>313</v>
      </c>
      <c r="M829" t="s">
        <v>6890</v>
      </c>
    </row>
    <row r="830" spans="6:13" x14ac:dyDescent="0.25">
      <c r="F830" t="s">
        <v>4525</v>
      </c>
      <c r="G830" t="s">
        <v>5023</v>
      </c>
      <c r="I830" t="s">
        <v>545</v>
      </c>
      <c r="J830" t="s">
        <v>1036</v>
      </c>
      <c r="L830" t="s">
        <v>3854</v>
      </c>
      <c r="M830" t="s">
        <v>7609</v>
      </c>
    </row>
    <row r="831" spans="6:13" x14ac:dyDescent="0.25">
      <c r="F831" t="s">
        <v>346</v>
      </c>
      <c r="G831" t="s">
        <v>676</v>
      </c>
      <c r="I831" t="s">
        <v>5675</v>
      </c>
      <c r="J831" t="s">
        <v>1217</v>
      </c>
      <c r="L831" t="s">
        <v>254</v>
      </c>
      <c r="M831" t="s">
        <v>1886</v>
      </c>
    </row>
    <row r="832" spans="6:13" x14ac:dyDescent="0.25">
      <c r="F832" t="s">
        <v>2767</v>
      </c>
      <c r="G832" t="s">
        <v>3750</v>
      </c>
      <c r="I832" t="s">
        <v>6335</v>
      </c>
      <c r="J832" t="s">
        <v>6336</v>
      </c>
      <c r="L832" t="s">
        <v>283</v>
      </c>
      <c r="M832" t="s">
        <v>3168</v>
      </c>
    </row>
    <row r="833" spans="6:13" x14ac:dyDescent="0.25">
      <c r="F833" t="s">
        <v>2741</v>
      </c>
      <c r="G833" t="s">
        <v>3346</v>
      </c>
      <c r="I833" t="s">
        <v>315</v>
      </c>
      <c r="J833" t="s">
        <v>4086</v>
      </c>
      <c r="L833" t="s">
        <v>3854</v>
      </c>
      <c r="M833" t="s">
        <v>4177</v>
      </c>
    </row>
    <row r="834" spans="6:13" x14ac:dyDescent="0.25">
      <c r="F834" t="s">
        <v>2741</v>
      </c>
      <c r="G834" t="s">
        <v>3527</v>
      </c>
      <c r="I834" t="s">
        <v>315</v>
      </c>
      <c r="J834" t="s">
        <v>3960</v>
      </c>
      <c r="L834" t="s">
        <v>391</v>
      </c>
      <c r="M834" t="s">
        <v>3228</v>
      </c>
    </row>
    <row r="835" spans="6:13" x14ac:dyDescent="0.25">
      <c r="F835" t="s">
        <v>2741</v>
      </c>
      <c r="G835" t="s">
        <v>3420</v>
      </c>
      <c r="I835" t="s">
        <v>5943</v>
      </c>
      <c r="J835" t="s">
        <v>5944</v>
      </c>
      <c r="L835" t="s">
        <v>39</v>
      </c>
      <c r="M835" t="s">
        <v>1805</v>
      </c>
    </row>
    <row r="836" spans="6:13" x14ac:dyDescent="0.25">
      <c r="F836" t="s">
        <v>2741</v>
      </c>
      <c r="G836" t="s">
        <v>3721</v>
      </c>
      <c r="I836" t="s">
        <v>315</v>
      </c>
      <c r="J836" t="s">
        <v>3935</v>
      </c>
      <c r="L836" t="s">
        <v>313</v>
      </c>
      <c r="M836" t="s">
        <v>1688</v>
      </c>
    </row>
    <row r="837" spans="6:13" x14ac:dyDescent="0.25">
      <c r="F837" t="s">
        <v>2741</v>
      </c>
      <c r="G837" t="s">
        <v>3544</v>
      </c>
      <c r="I837" t="s">
        <v>313</v>
      </c>
      <c r="J837" t="s">
        <v>2950</v>
      </c>
      <c r="L837" t="s">
        <v>459</v>
      </c>
      <c r="M837" t="s">
        <v>2250</v>
      </c>
    </row>
    <row r="838" spans="6:13" x14ac:dyDescent="0.25">
      <c r="F838" t="s">
        <v>2741</v>
      </c>
      <c r="G838" t="s">
        <v>3366</v>
      </c>
      <c r="I838" t="s">
        <v>313</v>
      </c>
      <c r="J838" t="s">
        <v>2781</v>
      </c>
      <c r="L838" t="s">
        <v>3854</v>
      </c>
      <c r="M838" t="s">
        <v>4288</v>
      </c>
    </row>
    <row r="839" spans="6:13" x14ac:dyDescent="0.25">
      <c r="F839" t="s">
        <v>2741</v>
      </c>
      <c r="G839" t="s">
        <v>3521</v>
      </c>
      <c r="I839" t="s">
        <v>5514</v>
      </c>
      <c r="J839" t="s">
        <v>5515</v>
      </c>
      <c r="L839" t="s">
        <v>460</v>
      </c>
      <c r="M839" t="s">
        <v>7938</v>
      </c>
    </row>
    <row r="840" spans="6:13" x14ac:dyDescent="0.25">
      <c r="F840" t="s">
        <v>2741</v>
      </c>
      <c r="G840" t="s">
        <v>3273</v>
      </c>
      <c r="I840" t="s">
        <v>5705</v>
      </c>
      <c r="J840" t="s">
        <v>3944</v>
      </c>
      <c r="L840" t="s">
        <v>7526</v>
      </c>
      <c r="M840" t="s">
        <v>2050</v>
      </c>
    </row>
    <row r="841" spans="6:13" x14ac:dyDescent="0.25">
      <c r="F841" t="s">
        <v>2741</v>
      </c>
      <c r="G841" t="s">
        <v>3646</v>
      </c>
      <c r="I841" t="s">
        <v>311</v>
      </c>
      <c r="J841" t="s">
        <v>6283</v>
      </c>
      <c r="L841" t="s">
        <v>6889</v>
      </c>
      <c r="M841" t="s">
        <v>3079</v>
      </c>
    </row>
    <row r="842" spans="6:13" x14ac:dyDescent="0.25">
      <c r="F842" t="s">
        <v>5147</v>
      </c>
      <c r="G842" t="s">
        <v>3591</v>
      </c>
      <c r="I842" t="s">
        <v>5384</v>
      </c>
      <c r="J842" t="s">
        <v>2786</v>
      </c>
      <c r="L842" t="s">
        <v>356</v>
      </c>
      <c r="M842" t="s">
        <v>7343</v>
      </c>
    </row>
    <row r="843" spans="6:13" x14ac:dyDescent="0.25">
      <c r="F843" t="s">
        <v>4836</v>
      </c>
      <c r="G843" t="s">
        <v>4837</v>
      </c>
      <c r="I843" t="s">
        <v>313</v>
      </c>
      <c r="J843" t="s">
        <v>1176</v>
      </c>
      <c r="L843" t="s">
        <v>254</v>
      </c>
      <c r="M843" t="s">
        <v>1878</v>
      </c>
    </row>
    <row r="844" spans="6:13" x14ac:dyDescent="0.25">
      <c r="F844" t="s">
        <v>4509</v>
      </c>
      <c r="G844" t="s">
        <v>4862</v>
      </c>
      <c r="I844" t="s">
        <v>63</v>
      </c>
      <c r="J844" t="s">
        <v>2527</v>
      </c>
      <c r="L844" t="s">
        <v>289</v>
      </c>
      <c r="M844" t="s">
        <v>7107</v>
      </c>
    </row>
    <row r="845" spans="6:13" x14ac:dyDescent="0.25">
      <c r="F845" t="s">
        <v>2767</v>
      </c>
      <c r="G845" t="s">
        <v>3749</v>
      </c>
      <c r="I845" t="s">
        <v>254</v>
      </c>
      <c r="J845" t="s">
        <v>6477</v>
      </c>
      <c r="L845" t="s">
        <v>3854</v>
      </c>
      <c r="M845" t="s">
        <v>4257</v>
      </c>
    </row>
    <row r="846" spans="6:13" x14ac:dyDescent="0.25">
      <c r="F846" t="s">
        <v>46</v>
      </c>
      <c r="G846" t="s">
        <v>3427</v>
      </c>
      <c r="I846" t="s">
        <v>122</v>
      </c>
      <c r="J846" t="s">
        <v>6359</v>
      </c>
      <c r="L846" t="s">
        <v>315</v>
      </c>
      <c r="M846" t="s">
        <v>7157</v>
      </c>
    </row>
    <row r="847" spans="6:13" x14ac:dyDescent="0.25">
      <c r="F847" t="s">
        <v>2767</v>
      </c>
      <c r="G847" t="s">
        <v>3314</v>
      </c>
      <c r="I847" t="s">
        <v>5975</v>
      </c>
      <c r="J847" t="s">
        <v>3987</v>
      </c>
      <c r="L847" t="s">
        <v>315</v>
      </c>
      <c r="M847" t="s">
        <v>7442</v>
      </c>
    </row>
    <row r="848" spans="6:13" x14ac:dyDescent="0.25">
      <c r="F848" t="s">
        <v>2745</v>
      </c>
      <c r="G848" t="s">
        <v>5060</v>
      </c>
      <c r="I848" t="s">
        <v>311</v>
      </c>
      <c r="J848" t="s">
        <v>2955</v>
      </c>
      <c r="L848" t="s">
        <v>6875</v>
      </c>
      <c r="M848" t="s">
        <v>7361</v>
      </c>
    </row>
    <row r="849" spans="6:13" x14ac:dyDescent="0.25">
      <c r="F849" t="s">
        <v>482</v>
      </c>
      <c r="G849" t="s">
        <v>603</v>
      </c>
      <c r="I849" t="s">
        <v>253</v>
      </c>
      <c r="J849" t="s">
        <v>1372</v>
      </c>
      <c r="L849" t="s">
        <v>123</v>
      </c>
      <c r="M849" t="s">
        <v>6861</v>
      </c>
    </row>
    <row r="850" spans="6:13" x14ac:dyDescent="0.25">
      <c r="F850" t="s">
        <v>4730</v>
      </c>
      <c r="G850" t="s">
        <v>678</v>
      </c>
      <c r="I850" t="s">
        <v>3854</v>
      </c>
      <c r="J850" t="s">
        <v>3930</v>
      </c>
      <c r="L850" t="s">
        <v>315</v>
      </c>
      <c r="M850" t="s">
        <v>7466</v>
      </c>
    </row>
    <row r="851" spans="6:13" x14ac:dyDescent="0.25">
      <c r="F851" t="s">
        <v>37</v>
      </c>
      <c r="G851" t="s">
        <v>4975</v>
      </c>
      <c r="I851" t="s">
        <v>6261</v>
      </c>
      <c r="J851" t="s">
        <v>4039</v>
      </c>
      <c r="L851" t="s">
        <v>7686</v>
      </c>
      <c r="M851" t="s">
        <v>2579</v>
      </c>
    </row>
    <row r="852" spans="6:13" x14ac:dyDescent="0.25">
      <c r="F852" t="s">
        <v>95</v>
      </c>
      <c r="G852" t="s">
        <v>5028</v>
      </c>
      <c r="I852" t="s">
        <v>5288</v>
      </c>
      <c r="J852" t="s">
        <v>6381</v>
      </c>
      <c r="L852" t="s">
        <v>46</v>
      </c>
      <c r="M852" t="s">
        <v>7518</v>
      </c>
    </row>
    <row r="853" spans="6:13" x14ac:dyDescent="0.25">
      <c r="F853" t="s">
        <v>3854</v>
      </c>
      <c r="G853" t="s">
        <v>4427</v>
      </c>
      <c r="I853" t="s">
        <v>278</v>
      </c>
      <c r="J853" t="s">
        <v>1164</v>
      </c>
      <c r="L853" t="s">
        <v>254</v>
      </c>
      <c r="M853" t="s">
        <v>1952</v>
      </c>
    </row>
    <row r="854" spans="6:13" x14ac:dyDescent="0.25">
      <c r="F854" t="s">
        <v>576</v>
      </c>
      <c r="G854" t="s">
        <v>3770</v>
      </c>
      <c r="I854" t="s">
        <v>5921</v>
      </c>
      <c r="J854" t="s">
        <v>5922</v>
      </c>
      <c r="L854" t="s">
        <v>122</v>
      </c>
      <c r="M854" t="s">
        <v>1724</v>
      </c>
    </row>
    <row r="855" spans="6:13" x14ac:dyDescent="0.25">
      <c r="F855" t="s">
        <v>2667</v>
      </c>
      <c r="G855" t="s">
        <v>3315</v>
      </c>
      <c r="I855" t="s">
        <v>5214</v>
      </c>
      <c r="J855" t="s">
        <v>768</v>
      </c>
      <c r="L855" t="s">
        <v>7257</v>
      </c>
      <c r="M855" t="s">
        <v>2594</v>
      </c>
    </row>
    <row r="856" spans="6:13" x14ac:dyDescent="0.25">
      <c r="F856" t="s">
        <v>2667</v>
      </c>
      <c r="G856" t="s">
        <v>3323</v>
      </c>
      <c r="I856" t="s">
        <v>254</v>
      </c>
      <c r="J856" t="s">
        <v>1331</v>
      </c>
      <c r="L856" t="s">
        <v>2720</v>
      </c>
      <c r="M856" t="s">
        <v>7137</v>
      </c>
    </row>
    <row r="857" spans="6:13" x14ac:dyDescent="0.25">
      <c r="F857" t="s">
        <v>416</v>
      </c>
      <c r="G857" t="s">
        <v>3500</v>
      </c>
      <c r="I857" t="s">
        <v>313</v>
      </c>
      <c r="J857" t="s">
        <v>2903</v>
      </c>
      <c r="L857" t="s">
        <v>7223</v>
      </c>
      <c r="M857" t="s">
        <v>1955</v>
      </c>
    </row>
    <row r="858" spans="6:13" x14ac:dyDescent="0.25">
      <c r="F858" t="s">
        <v>2741</v>
      </c>
      <c r="G858" t="s">
        <v>3437</v>
      </c>
      <c r="I858" t="s">
        <v>6263</v>
      </c>
      <c r="J858" t="s">
        <v>1325</v>
      </c>
      <c r="L858" t="s">
        <v>457</v>
      </c>
      <c r="M858" t="s">
        <v>7956</v>
      </c>
    </row>
    <row r="859" spans="6:13" x14ac:dyDescent="0.25">
      <c r="F859" t="s">
        <v>2741</v>
      </c>
      <c r="G859" t="s">
        <v>3380</v>
      </c>
      <c r="I859" t="s">
        <v>545</v>
      </c>
      <c r="J859" t="s">
        <v>975</v>
      </c>
      <c r="L859" t="s">
        <v>7178</v>
      </c>
      <c r="M859" t="s">
        <v>7179</v>
      </c>
    </row>
    <row r="860" spans="6:13" x14ac:dyDescent="0.25">
      <c r="F860" t="s">
        <v>2741</v>
      </c>
      <c r="G860" t="s">
        <v>3361</v>
      </c>
      <c r="I860" t="s">
        <v>5642</v>
      </c>
      <c r="J860" t="s">
        <v>989</v>
      </c>
      <c r="L860" t="s">
        <v>6904</v>
      </c>
      <c r="M860" t="s">
        <v>1968</v>
      </c>
    </row>
    <row r="861" spans="6:13" x14ac:dyDescent="0.25">
      <c r="F861" t="s">
        <v>2741</v>
      </c>
      <c r="G861" t="s">
        <v>3598</v>
      </c>
      <c r="I861" t="s">
        <v>545</v>
      </c>
      <c r="J861" t="s">
        <v>6200</v>
      </c>
      <c r="L861" t="s">
        <v>396</v>
      </c>
      <c r="M861" t="s">
        <v>2602</v>
      </c>
    </row>
    <row r="862" spans="6:13" x14ac:dyDescent="0.25">
      <c r="F862" t="s">
        <v>2741</v>
      </c>
      <c r="G862" t="s">
        <v>3627</v>
      </c>
      <c r="I862" t="s">
        <v>5627</v>
      </c>
      <c r="J862" t="s">
        <v>3928</v>
      </c>
      <c r="L862" t="s">
        <v>6875</v>
      </c>
      <c r="M862" t="s">
        <v>7553</v>
      </c>
    </row>
    <row r="863" spans="6:13" x14ac:dyDescent="0.25">
      <c r="F863" t="s">
        <v>2741</v>
      </c>
      <c r="G863" t="s">
        <v>3740</v>
      </c>
      <c r="I863" t="s">
        <v>5293</v>
      </c>
      <c r="J863" t="s">
        <v>812</v>
      </c>
      <c r="L863" t="s">
        <v>6999</v>
      </c>
      <c r="M863" t="s">
        <v>7327</v>
      </c>
    </row>
    <row r="864" spans="6:13" x14ac:dyDescent="0.25">
      <c r="F864" t="s">
        <v>2741</v>
      </c>
      <c r="G864" t="s">
        <v>3793</v>
      </c>
      <c r="I864" t="s">
        <v>391</v>
      </c>
      <c r="J864" t="s">
        <v>4117</v>
      </c>
      <c r="L864" t="s">
        <v>313</v>
      </c>
      <c r="M864" t="s">
        <v>7596</v>
      </c>
    </row>
    <row r="865" spans="6:13" x14ac:dyDescent="0.25">
      <c r="F865" t="s">
        <v>553</v>
      </c>
      <c r="G865" t="s">
        <v>699</v>
      </c>
      <c r="I865" t="s">
        <v>37</v>
      </c>
      <c r="J865" t="s">
        <v>6515</v>
      </c>
      <c r="L865" t="s">
        <v>457</v>
      </c>
      <c r="M865" t="s">
        <v>7370</v>
      </c>
    </row>
    <row r="866" spans="6:13" x14ac:dyDescent="0.25">
      <c r="F866" t="s">
        <v>2767</v>
      </c>
      <c r="G866" t="s">
        <v>3450</v>
      </c>
      <c r="I866" t="s">
        <v>122</v>
      </c>
      <c r="J866" t="s">
        <v>5593</v>
      </c>
      <c r="L866" t="s">
        <v>7631</v>
      </c>
      <c r="M866" t="s">
        <v>7710</v>
      </c>
    </row>
    <row r="867" spans="6:13" x14ac:dyDescent="0.25">
      <c r="F867" t="s">
        <v>578</v>
      </c>
      <c r="G867" t="s">
        <v>3797</v>
      </c>
      <c r="I867" t="s">
        <v>3900</v>
      </c>
      <c r="J867" t="s">
        <v>6675</v>
      </c>
      <c r="L867" t="s">
        <v>2352</v>
      </c>
      <c r="M867" t="s">
        <v>4292</v>
      </c>
    </row>
    <row r="868" spans="6:13" x14ac:dyDescent="0.25">
      <c r="F868" t="s">
        <v>313</v>
      </c>
      <c r="G868" t="s">
        <v>4819</v>
      </c>
      <c r="I868" t="s">
        <v>5244</v>
      </c>
      <c r="J868" t="s">
        <v>5245</v>
      </c>
      <c r="L868" t="s">
        <v>313</v>
      </c>
      <c r="M868" t="s">
        <v>7270</v>
      </c>
    </row>
    <row r="869" spans="6:13" x14ac:dyDescent="0.25">
      <c r="F869" t="s">
        <v>37</v>
      </c>
      <c r="G869" t="s">
        <v>4746</v>
      </c>
      <c r="I869" t="s">
        <v>295</v>
      </c>
      <c r="J869" t="s">
        <v>6637</v>
      </c>
      <c r="L869" t="s">
        <v>450</v>
      </c>
      <c r="M869" t="s">
        <v>7432</v>
      </c>
    </row>
    <row r="870" spans="6:13" x14ac:dyDescent="0.25">
      <c r="F870" t="s">
        <v>4705</v>
      </c>
      <c r="G870" t="s">
        <v>4706</v>
      </c>
      <c r="I870" t="s">
        <v>5223</v>
      </c>
      <c r="J870" t="s">
        <v>5224</v>
      </c>
      <c r="L870" t="s">
        <v>313</v>
      </c>
      <c r="M870" t="s">
        <v>7743</v>
      </c>
    </row>
    <row r="871" spans="6:13" x14ac:dyDescent="0.25">
      <c r="F871" t="s">
        <v>2767</v>
      </c>
      <c r="G871" t="s">
        <v>3575</v>
      </c>
      <c r="I871" t="s">
        <v>318</v>
      </c>
      <c r="J871" t="s">
        <v>5858</v>
      </c>
      <c r="L871" t="s">
        <v>95</v>
      </c>
      <c r="M871" t="s">
        <v>7334</v>
      </c>
    </row>
    <row r="872" spans="6:13" x14ac:dyDescent="0.25">
      <c r="F872" t="s">
        <v>4873</v>
      </c>
      <c r="G872" t="s">
        <v>723</v>
      </c>
      <c r="I872" t="s">
        <v>391</v>
      </c>
      <c r="J872" t="s">
        <v>2468</v>
      </c>
      <c r="L872" t="s">
        <v>7524</v>
      </c>
      <c r="M872" t="s">
        <v>2561</v>
      </c>
    </row>
    <row r="873" spans="6:13" x14ac:dyDescent="0.25">
      <c r="F873" t="s">
        <v>95</v>
      </c>
      <c r="G873" t="s">
        <v>3809</v>
      </c>
      <c r="I873" t="s">
        <v>6320</v>
      </c>
      <c r="J873" t="s">
        <v>2515</v>
      </c>
      <c r="L873" t="s">
        <v>289</v>
      </c>
      <c r="M873" t="s">
        <v>7722</v>
      </c>
    </row>
    <row r="874" spans="6:13" x14ac:dyDescent="0.25">
      <c r="F874" t="s">
        <v>313</v>
      </c>
      <c r="G874" t="s">
        <v>4573</v>
      </c>
      <c r="I874" t="s">
        <v>5653</v>
      </c>
      <c r="J874" t="s">
        <v>6816</v>
      </c>
      <c r="L874" t="s">
        <v>7024</v>
      </c>
      <c r="M874" t="s">
        <v>7025</v>
      </c>
    </row>
    <row r="875" spans="6:13" x14ac:dyDescent="0.25">
      <c r="F875" t="s">
        <v>4838</v>
      </c>
      <c r="G875" t="s">
        <v>711</v>
      </c>
      <c r="I875" t="s">
        <v>2741</v>
      </c>
      <c r="J875" t="s">
        <v>5808</v>
      </c>
      <c r="L875" t="s">
        <v>545</v>
      </c>
      <c r="M875" t="s">
        <v>7646</v>
      </c>
    </row>
    <row r="876" spans="6:13" x14ac:dyDescent="0.25">
      <c r="F876" t="s">
        <v>578</v>
      </c>
      <c r="G876" t="s">
        <v>3777</v>
      </c>
      <c r="I876" t="s">
        <v>2741</v>
      </c>
      <c r="J876" t="s">
        <v>2899</v>
      </c>
      <c r="L876" t="s">
        <v>286</v>
      </c>
      <c r="M876" t="s">
        <v>7377</v>
      </c>
    </row>
    <row r="877" spans="6:13" x14ac:dyDescent="0.25">
      <c r="F877" t="s">
        <v>553</v>
      </c>
      <c r="G877" t="s">
        <v>3665</v>
      </c>
      <c r="I877" t="s">
        <v>2726</v>
      </c>
      <c r="J877" t="s">
        <v>2775</v>
      </c>
      <c r="L877" t="s">
        <v>396</v>
      </c>
      <c r="M877" t="s">
        <v>2598</v>
      </c>
    </row>
    <row r="878" spans="6:13" x14ac:dyDescent="0.25">
      <c r="F878" t="s">
        <v>2741</v>
      </c>
      <c r="G878" t="s">
        <v>3715</v>
      </c>
      <c r="I878" t="s">
        <v>2741</v>
      </c>
      <c r="J878" t="s">
        <v>2900</v>
      </c>
      <c r="L878" t="s">
        <v>6966</v>
      </c>
      <c r="M878" t="s">
        <v>2556</v>
      </c>
    </row>
    <row r="879" spans="6:13" x14ac:dyDescent="0.25">
      <c r="F879" t="s">
        <v>2741</v>
      </c>
      <c r="G879" t="s">
        <v>3603</v>
      </c>
      <c r="I879" t="s">
        <v>5341</v>
      </c>
      <c r="J879" t="s">
        <v>838</v>
      </c>
      <c r="L879" t="s">
        <v>37</v>
      </c>
      <c r="M879" t="s">
        <v>7232</v>
      </c>
    </row>
    <row r="880" spans="6:13" x14ac:dyDescent="0.25">
      <c r="F880" t="s">
        <v>2741</v>
      </c>
      <c r="G880" t="s">
        <v>3564</v>
      </c>
      <c r="I880" t="s">
        <v>548</v>
      </c>
      <c r="J880" t="s">
        <v>973</v>
      </c>
      <c r="L880" t="s">
        <v>123</v>
      </c>
      <c r="M880" t="s">
        <v>7732</v>
      </c>
    </row>
    <row r="881" spans="6:13" x14ac:dyDescent="0.25">
      <c r="F881" t="s">
        <v>2741</v>
      </c>
      <c r="G881" t="s">
        <v>3341</v>
      </c>
      <c r="I881" t="s">
        <v>6502</v>
      </c>
      <c r="J881" t="s">
        <v>1454</v>
      </c>
      <c r="L881" t="s">
        <v>313</v>
      </c>
      <c r="M881" t="s">
        <v>2020</v>
      </c>
    </row>
    <row r="882" spans="6:13" x14ac:dyDescent="0.25">
      <c r="F882" t="s">
        <v>2741</v>
      </c>
      <c r="G882" t="s">
        <v>3277</v>
      </c>
      <c r="I882" t="s">
        <v>6285</v>
      </c>
      <c r="J882" t="s">
        <v>4043</v>
      </c>
      <c r="L882" t="s">
        <v>457</v>
      </c>
      <c r="M882" t="s">
        <v>7800</v>
      </c>
    </row>
    <row r="883" spans="6:13" x14ac:dyDescent="0.25">
      <c r="F883" t="s">
        <v>2741</v>
      </c>
      <c r="G883" t="s">
        <v>3438</v>
      </c>
      <c r="I883" t="s">
        <v>5260</v>
      </c>
      <c r="J883" t="s">
        <v>5261</v>
      </c>
      <c r="L883" t="s">
        <v>2717</v>
      </c>
      <c r="M883" t="s">
        <v>7258</v>
      </c>
    </row>
    <row r="884" spans="6:13" x14ac:dyDescent="0.25">
      <c r="F884" t="s">
        <v>2741</v>
      </c>
      <c r="G884" t="s">
        <v>3492</v>
      </c>
      <c r="I884" t="s">
        <v>5246</v>
      </c>
      <c r="J884" t="s">
        <v>789</v>
      </c>
      <c r="L884" t="s">
        <v>7907</v>
      </c>
      <c r="M884" t="s">
        <v>2354</v>
      </c>
    </row>
    <row r="885" spans="6:13" x14ac:dyDescent="0.25">
      <c r="F885" t="s">
        <v>313</v>
      </c>
      <c r="G885" t="s">
        <v>4774</v>
      </c>
      <c r="I885" t="s">
        <v>95</v>
      </c>
      <c r="J885" t="s">
        <v>2847</v>
      </c>
      <c r="L885" t="s">
        <v>457</v>
      </c>
      <c r="M885" t="s">
        <v>7233</v>
      </c>
    </row>
    <row r="886" spans="6:13" x14ac:dyDescent="0.25">
      <c r="F886" t="s">
        <v>574</v>
      </c>
      <c r="G886" t="s">
        <v>3339</v>
      </c>
      <c r="I886" t="s">
        <v>92</v>
      </c>
      <c r="J886" t="s">
        <v>1458</v>
      </c>
      <c r="L886" t="s">
        <v>7125</v>
      </c>
      <c r="M886" t="s">
        <v>7126</v>
      </c>
    </row>
    <row r="887" spans="6:13" x14ac:dyDescent="0.25">
      <c r="F887" t="s">
        <v>4504</v>
      </c>
      <c r="G887" t="s">
        <v>590</v>
      </c>
      <c r="I887" t="s">
        <v>5355</v>
      </c>
      <c r="J887" t="s">
        <v>5578</v>
      </c>
      <c r="L887" t="s">
        <v>123</v>
      </c>
      <c r="M887" t="s">
        <v>7937</v>
      </c>
    </row>
    <row r="888" spans="6:13" x14ac:dyDescent="0.25">
      <c r="F888" t="s">
        <v>482</v>
      </c>
      <c r="G888" t="s">
        <v>3444</v>
      </c>
      <c r="I888" t="s">
        <v>39</v>
      </c>
      <c r="J888" t="s">
        <v>1612</v>
      </c>
      <c r="L888" t="s">
        <v>313</v>
      </c>
      <c r="M888" t="s">
        <v>2003</v>
      </c>
    </row>
    <row r="889" spans="6:13" x14ac:dyDescent="0.25">
      <c r="F889" t="s">
        <v>5192</v>
      </c>
      <c r="G889" t="s">
        <v>3717</v>
      </c>
      <c r="I889" t="s">
        <v>6721</v>
      </c>
      <c r="J889" t="s">
        <v>6722</v>
      </c>
      <c r="L889" t="s">
        <v>6934</v>
      </c>
      <c r="M889" t="s">
        <v>1681</v>
      </c>
    </row>
    <row r="890" spans="6:13" x14ac:dyDescent="0.25">
      <c r="F890" t="s">
        <v>482</v>
      </c>
      <c r="G890" t="s">
        <v>4940</v>
      </c>
      <c r="I890" t="s">
        <v>2726</v>
      </c>
      <c r="J890" t="s">
        <v>2897</v>
      </c>
      <c r="L890" t="s">
        <v>3854</v>
      </c>
      <c r="M890" t="s">
        <v>4255</v>
      </c>
    </row>
    <row r="891" spans="6:13" x14ac:dyDescent="0.25">
      <c r="F891" t="s">
        <v>4430</v>
      </c>
      <c r="G891" t="s">
        <v>4570</v>
      </c>
      <c r="I891" t="s">
        <v>3854</v>
      </c>
      <c r="J891" t="s">
        <v>3936</v>
      </c>
      <c r="L891" t="s">
        <v>457</v>
      </c>
      <c r="M891" t="s">
        <v>7349</v>
      </c>
    </row>
    <row r="892" spans="6:13" x14ac:dyDescent="0.25">
      <c r="F892" t="s">
        <v>4861</v>
      </c>
      <c r="G892" t="s">
        <v>719</v>
      </c>
      <c r="I892" t="s">
        <v>253</v>
      </c>
      <c r="J892" t="s">
        <v>6672</v>
      </c>
      <c r="L892" t="s">
        <v>4175</v>
      </c>
      <c r="M892" t="s">
        <v>4176</v>
      </c>
    </row>
    <row r="893" spans="6:13" x14ac:dyDescent="0.25">
      <c r="F893" t="s">
        <v>2674</v>
      </c>
      <c r="G893" t="s">
        <v>4619</v>
      </c>
      <c r="I893" t="s">
        <v>4430</v>
      </c>
      <c r="J893" t="s">
        <v>6836</v>
      </c>
      <c r="L893" t="s">
        <v>457</v>
      </c>
      <c r="M893" t="s">
        <v>2283</v>
      </c>
    </row>
    <row r="894" spans="6:13" x14ac:dyDescent="0.25">
      <c r="F894" t="s">
        <v>2767</v>
      </c>
      <c r="G894" t="s">
        <v>3351</v>
      </c>
      <c r="I894" t="s">
        <v>5968</v>
      </c>
      <c r="J894" t="s">
        <v>5969</v>
      </c>
      <c r="L894" t="s">
        <v>356</v>
      </c>
      <c r="M894" t="s">
        <v>4221</v>
      </c>
    </row>
    <row r="895" spans="6:13" x14ac:dyDescent="0.25">
      <c r="F895" t="s">
        <v>2767</v>
      </c>
      <c r="G895" t="s">
        <v>3801</v>
      </c>
      <c r="I895" t="s">
        <v>391</v>
      </c>
      <c r="J895" t="s">
        <v>2482</v>
      </c>
      <c r="L895" t="s">
        <v>39</v>
      </c>
      <c r="M895" t="s">
        <v>2351</v>
      </c>
    </row>
    <row r="896" spans="6:13" x14ac:dyDescent="0.25">
      <c r="F896" t="s">
        <v>4850</v>
      </c>
      <c r="G896" t="s">
        <v>4851</v>
      </c>
      <c r="I896" t="s">
        <v>254</v>
      </c>
      <c r="J896" t="s">
        <v>5666</v>
      </c>
      <c r="L896" t="s">
        <v>286</v>
      </c>
      <c r="M896" t="s">
        <v>7721</v>
      </c>
    </row>
    <row r="897" spans="6:13" x14ac:dyDescent="0.25">
      <c r="F897" t="s">
        <v>2680</v>
      </c>
      <c r="G897" t="s">
        <v>3465</v>
      </c>
      <c r="I897" t="s">
        <v>254</v>
      </c>
      <c r="J897" t="s">
        <v>5248</v>
      </c>
      <c r="L897" t="s">
        <v>2720</v>
      </c>
      <c r="M897" t="s">
        <v>7799</v>
      </c>
    </row>
    <row r="898" spans="6:13" x14ac:dyDescent="0.25">
      <c r="F898" t="s">
        <v>2767</v>
      </c>
      <c r="G898" t="s">
        <v>3472</v>
      </c>
      <c r="I898" t="s">
        <v>46</v>
      </c>
      <c r="J898" t="s">
        <v>1440</v>
      </c>
      <c r="L898" t="s">
        <v>123</v>
      </c>
      <c r="M898" t="s">
        <v>7012</v>
      </c>
    </row>
    <row r="899" spans="6:13" x14ac:dyDescent="0.25">
      <c r="F899" t="s">
        <v>46</v>
      </c>
      <c r="G899" t="s">
        <v>606</v>
      </c>
      <c r="I899" t="s">
        <v>3854</v>
      </c>
      <c r="J899" t="s">
        <v>3882</v>
      </c>
      <c r="L899" t="s">
        <v>398</v>
      </c>
      <c r="M899" t="s">
        <v>7097</v>
      </c>
    </row>
    <row r="900" spans="6:13" x14ac:dyDescent="0.25">
      <c r="F900" t="s">
        <v>4543</v>
      </c>
      <c r="G900" t="s">
        <v>604</v>
      </c>
      <c r="I900" t="s">
        <v>400</v>
      </c>
      <c r="J900" t="s">
        <v>779</v>
      </c>
      <c r="L900" t="s">
        <v>457</v>
      </c>
      <c r="M900" t="s">
        <v>7575</v>
      </c>
    </row>
    <row r="901" spans="6:13" x14ac:dyDescent="0.25">
      <c r="F901" t="s">
        <v>4561</v>
      </c>
      <c r="G901" t="s">
        <v>4790</v>
      </c>
      <c r="I901" t="s">
        <v>5806</v>
      </c>
      <c r="J901" t="s">
        <v>5807</v>
      </c>
      <c r="L901" t="s">
        <v>123</v>
      </c>
      <c r="M901" t="s">
        <v>6901</v>
      </c>
    </row>
    <row r="902" spans="6:13" x14ac:dyDescent="0.25">
      <c r="F902" t="s">
        <v>37</v>
      </c>
      <c r="G902" t="s">
        <v>5089</v>
      </c>
      <c r="I902" t="s">
        <v>6808</v>
      </c>
      <c r="J902" t="s">
        <v>2547</v>
      </c>
      <c r="L902" t="s">
        <v>123</v>
      </c>
      <c r="M902" t="s">
        <v>7570</v>
      </c>
    </row>
    <row r="903" spans="6:13" x14ac:dyDescent="0.25">
      <c r="F903" t="s">
        <v>2741</v>
      </c>
      <c r="G903" t="s">
        <v>3651</v>
      </c>
      <c r="I903" t="s">
        <v>6047</v>
      </c>
      <c r="J903" t="s">
        <v>2491</v>
      </c>
      <c r="L903" t="s">
        <v>253</v>
      </c>
      <c r="M903" t="s">
        <v>2234</v>
      </c>
    </row>
    <row r="904" spans="6:13" x14ac:dyDescent="0.25">
      <c r="F904" t="s">
        <v>2741</v>
      </c>
      <c r="G904" t="s">
        <v>3655</v>
      </c>
      <c r="I904" t="s">
        <v>393</v>
      </c>
      <c r="J904" t="s">
        <v>5310</v>
      </c>
      <c r="L904" t="s">
        <v>6875</v>
      </c>
      <c r="M904" t="s">
        <v>6876</v>
      </c>
    </row>
    <row r="905" spans="6:13" x14ac:dyDescent="0.25">
      <c r="F905" t="s">
        <v>2741</v>
      </c>
      <c r="G905" t="s">
        <v>3412</v>
      </c>
      <c r="I905" t="s">
        <v>5469</v>
      </c>
      <c r="J905" t="s">
        <v>6203</v>
      </c>
      <c r="L905" t="s">
        <v>457</v>
      </c>
      <c r="M905" t="s">
        <v>7284</v>
      </c>
    </row>
    <row r="906" spans="6:13" x14ac:dyDescent="0.25">
      <c r="F906" t="s">
        <v>2741</v>
      </c>
      <c r="G906" t="s">
        <v>3325</v>
      </c>
      <c r="I906" t="s">
        <v>6414</v>
      </c>
      <c r="J906" t="s">
        <v>1402</v>
      </c>
      <c r="L906" t="s">
        <v>457</v>
      </c>
      <c r="M906" t="s">
        <v>7248</v>
      </c>
    </row>
    <row r="907" spans="6:13" x14ac:dyDescent="0.25">
      <c r="F907" t="s">
        <v>2741</v>
      </c>
      <c r="G907" t="s">
        <v>3608</v>
      </c>
      <c r="I907" t="s">
        <v>6443</v>
      </c>
      <c r="J907" t="s">
        <v>1415</v>
      </c>
      <c r="L907" t="s">
        <v>48</v>
      </c>
      <c r="M907" t="s">
        <v>7798</v>
      </c>
    </row>
    <row r="908" spans="6:13" x14ac:dyDescent="0.25">
      <c r="F908" t="s">
        <v>2741</v>
      </c>
      <c r="G908" t="s">
        <v>3303</v>
      </c>
      <c r="I908" t="s">
        <v>5214</v>
      </c>
      <c r="J908" t="s">
        <v>924</v>
      </c>
      <c r="L908" t="s">
        <v>254</v>
      </c>
      <c r="M908" t="s">
        <v>3077</v>
      </c>
    </row>
    <row r="909" spans="6:13" x14ac:dyDescent="0.25">
      <c r="F909" t="s">
        <v>2741</v>
      </c>
      <c r="G909" t="s">
        <v>3691</v>
      </c>
      <c r="I909" t="s">
        <v>5485</v>
      </c>
      <c r="J909" t="s">
        <v>5688</v>
      </c>
      <c r="L909" t="s">
        <v>39</v>
      </c>
      <c r="M909" t="s">
        <v>1661</v>
      </c>
    </row>
    <row r="910" spans="6:13" x14ac:dyDescent="0.25">
      <c r="F910" t="s">
        <v>2741</v>
      </c>
      <c r="G910" t="s">
        <v>3653</v>
      </c>
      <c r="I910" t="s">
        <v>393</v>
      </c>
      <c r="J910" t="s">
        <v>5579</v>
      </c>
      <c r="L910" t="s">
        <v>457</v>
      </c>
      <c r="M910" t="s">
        <v>7671</v>
      </c>
    </row>
    <row r="911" spans="6:13" x14ac:dyDescent="0.25">
      <c r="F911" t="s">
        <v>482</v>
      </c>
      <c r="G911" t="s">
        <v>3571</v>
      </c>
      <c r="I911" t="s">
        <v>5771</v>
      </c>
      <c r="J911" t="s">
        <v>5772</v>
      </c>
      <c r="L911" t="s">
        <v>6904</v>
      </c>
      <c r="M911" t="s">
        <v>6905</v>
      </c>
    </row>
    <row r="912" spans="6:13" x14ac:dyDescent="0.25">
      <c r="F912" t="s">
        <v>4933</v>
      </c>
      <c r="G912" t="s">
        <v>3734</v>
      </c>
      <c r="I912" t="s">
        <v>92</v>
      </c>
      <c r="J912" t="s">
        <v>1017</v>
      </c>
      <c r="L912" t="s">
        <v>7820</v>
      </c>
      <c r="M912" t="s">
        <v>1820</v>
      </c>
    </row>
    <row r="913" spans="6:13" x14ac:dyDescent="0.25">
      <c r="F913" t="s">
        <v>357</v>
      </c>
      <c r="G913" t="s">
        <v>4309</v>
      </c>
      <c r="I913" t="s">
        <v>295</v>
      </c>
      <c r="J913" t="s">
        <v>1103</v>
      </c>
      <c r="L913" t="s">
        <v>280</v>
      </c>
      <c r="M913" t="s">
        <v>2199</v>
      </c>
    </row>
    <row r="914" spans="6:13" x14ac:dyDescent="0.25">
      <c r="F914" t="s">
        <v>4582</v>
      </c>
      <c r="G914" t="s">
        <v>616</v>
      </c>
      <c r="I914" t="s">
        <v>5881</v>
      </c>
      <c r="J914" t="s">
        <v>1108</v>
      </c>
      <c r="L914" t="s">
        <v>315</v>
      </c>
      <c r="M914" t="s">
        <v>1806</v>
      </c>
    </row>
    <row r="915" spans="6:13" x14ac:dyDescent="0.25">
      <c r="F915" t="s">
        <v>4784</v>
      </c>
      <c r="G915" t="s">
        <v>4785</v>
      </c>
      <c r="I915" t="s">
        <v>403</v>
      </c>
      <c r="J915" t="s">
        <v>6599</v>
      </c>
      <c r="L915" t="s">
        <v>7707</v>
      </c>
      <c r="M915" t="s">
        <v>2305</v>
      </c>
    </row>
    <row r="916" spans="6:13" x14ac:dyDescent="0.25">
      <c r="F916" t="s">
        <v>4951</v>
      </c>
      <c r="G916" t="s">
        <v>4952</v>
      </c>
      <c r="I916" t="s">
        <v>5251</v>
      </c>
      <c r="J916" t="s">
        <v>5324</v>
      </c>
      <c r="L916" t="s">
        <v>95</v>
      </c>
      <c r="M916" t="s">
        <v>7302</v>
      </c>
    </row>
    <row r="917" spans="6:13" x14ac:dyDescent="0.25">
      <c r="F917" t="s">
        <v>578</v>
      </c>
      <c r="G917" t="s">
        <v>3626</v>
      </c>
      <c r="I917" t="s">
        <v>6667</v>
      </c>
      <c r="J917" t="s">
        <v>1547</v>
      </c>
      <c r="L917" t="s">
        <v>123</v>
      </c>
      <c r="M917" t="s">
        <v>7019</v>
      </c>
    </row>
    <row r="918" spans="6:13" x14ac:dyDescent="0.25">
      <c r="F918" t="s">
        <v>315</v>
      </c>
      <c r="G918" t="s">
        <v>4503</v>
      </c>
      <c r="I918" t="s">
        <v>254</v>
      </c>
      <c r="J918" t="s">
        <v>5655</v>
      </c>
      <c r="L918" t="s">
        <v>39</v>
      </c>
      <c r="M918" t="s">
        <v>1763</v>
      </c>
    </row>
    <row r="919" spans="6:13" x14ac:dyDescent="0.25">
      <c r="F919" t="s">
        <v>2741</v>
      </c>
      <c r="G919" t="s">
        <v>3702</v>
      </c>
      <c r="I919" t="s">
        <v>403</v>
      </c>
      <c r="J919" t="s">
        <v>1342</v>
      </c>
      <c r="L919" t="s">
        <v>39</v>
      </c>
      <c r="M919" t="s">
        <v>1983</v>
      </c>
    </row>
    <row r="920" spans="6:13" x14ac:dyDescent="0.25">
      <c r="F920" t="s">
        <v>2741</v>
      </c>
      <c r="G920" t="s">
        <v>3478</v>
      </c>
      <c r="I920" t="s">
        <v>295</v>
      </c>
      <c r="J920" t="s">
        <v>2505</v>
      </c>
      <c r="L920" t="s">
        <v>54</v>
      </c>
      <c r="M920" t="s">
        <v>2616</v>
      </c>
    </row>
    <row r="921" spans="6:13" x14ac:dyDescent="0.25">
      <c r="F921" t="s">
        <v>2741</v>
      </c>
      <c r="G921" t="s">
        <v>3757</v>
      </c>
      <c r="I921" t="s">
        <v>5921</v>
      </c>
      <c r="J921" t="s">
        <v>6389</v>
      </c>
      <c r="L921" t="s">
        <v>443</v>
      </c>
      <c r="M921" t="s">
        <v>7682</v>
      </c>
    </row>
    <row r="922" spans="6:13" x14ac:dyDescent="0.25">
      <c r="F922" t="s">
        <v>2741</v>
      </c>
      <c r="G922" t="s">
        <v>3726</v>
      </c>
      <c r="I922" t="s">
        <v>5327</v>
      </c>
      <c r="J922" t="s">
        <v>830</v>
      </c>
      <c r="L922" t="s">
        <v>289</v>
      </c>
      <c r="M922" t="s">
        <v>7604</v>
      </c>
    </row>
    <row r="923" spans="6:13" x14ac:dyDescent="0.25">
      <c r="F923" t="s">
        <v>2741</v>
      </c>
      <c r="G923" t="s">
        <v>3373</v>
      </c>
      <c r="I923" t="s">
        <v>6786</v>
      </c>
      <c r="J923" t="s">
        <v>1605</v>
      </c>
      <c r="L923" t="s">
        <v>313</v>
      </c>
      <c r="M923" t="s">
        <v>1891</v>
      </c>
    </row>
    <row r="924" spans="6:13" x14ac:dyDescent="0.25">
      <c r="F924" t="s">
        <v>2741</v>
      </c>
      <c r="G924" t="s">
        <v>3607</v>
      </c>
      <c r="I924" t="s">
        <v>6648</v>
      </c>
      <c r="J924" t="s">
        <v>6649</v>
      </c>
      <c r="L924" t="s">
        <v>2352</v>
      </c>
      <c r="M924" t="s">
        <v>4227</v>
      </c>
    </row>
    <row r="925" spans="6:13" x14ac:dyDescent="0.25">
      <c r="F925" t="s">
        <v>2741</v>
      </c>
      <c r="G925" t="s">
        <v>3588</v>
      </c>
      <c r="I925" t="s">
        <v>391</v>
      </c>
      <c r="J925" t="s">
        <v>2537</v>
      </c>
      <c r="L925" t="s">
        <v>254</v>
      </c>
      <c r="M925" t="s">
        <v>1963</v>
      </c>
    </row>
    <row r="926" spans="6:13" x14ac:dyDescent="0.25">
      <c r="F926" t="s">
        <v>4876</v>
      </c>
      <c r="G926" t="s">
        <v>760</v>
      </c>
      <c r="I926" t="s">
        <v>5566</v>
      </c>
      <c r="J926" t="s">
        <v>947</v>
      </c>
      <c r="L926" t="s">
        <v>457</v>
      </c>
      <c r="M926" t="s">
        <v>7601</v>
      </c>
    </row>
    <row r="927" spans="6:13" x14ac:dyDescent="0.25">
      <c r="F927" t="s">
        <v>37</v>
      </c>
      <c r="G927" t="s">
        <v>5133</v>
      </c>
      <c r="I927" t="s">
        <v>3854</v>
      </c>
      <c r="J927" t="s">
        <v>4101</v>
      </c>
      <c r="L927" t="s">
        <v>123</v>
      </c>
      <c r="M927" t="s">
        <v>7108</v>
      </c>
    </row>
    <row r="928" spans="6:13" x14ac:dyDescent="0.25">
      <c r="F928" t="s">
        <v>416</v>
      </c>
      <c r="G928" t="s">
        <v>2360</v>
      </c>
      <c r="I928" t="s">
        <v>5661</v>
      </c>
      <c r="J928" t="s">
        <v>999</v>
      </c>
      <c r="L928" t="s">
        <v>457</v>
      </c>
      <c r="M928" t="s">
        <v>7250</v>
      </c>
    </row>
    <row r="929" spans="6:13" x14ac:dyDescent="0.25">
      <c r="F929" t="s">
        <v>4146</v>
      </c>
      <c r="G929" t="s">
        <v>4356</v>
      </c>
      <c r="I929" t="s">
        <v>90</v>
      </c>
      <c r="J929" t="s">
        <v>1320</v>
      </c>
      <c r="L929" t="s">
        <v>403</v>
      </c>
      <c r="M929" t="s">
        <v>2581</v>
      </c>
    </row>
    <row r="930" spans="6:13" x14ac:dyDescent="0.25">
      <c r="F930" t="s">
        <v>3854</v>
      </c>
      <c r="G930" t="s">
        <v>4424</v>
      </c>
      <c r="I930" t="s">
        <v>5264</v>
      </c>
      <c r="J930" t="s">
        <v>5265</v>
      </c>
      <c r="L930" t="s">
        <v>7041</v>
      </c>
      <c r="M930" t="s">
        <v>7042</v>
      </c>
    </row>
    <row r="931" spans="6:13" x14ac:dyDescent="0.25">
      <c r="F931" t="s">
        <v>548</v>
      </c>
      <c r="G931" t="s">
        <v>4687</v>
      </c>
      <c r="I931" t="s">
        <v>5653</v>
      </c>
      <c r="J931" t="s">
        <v>6833</v>
      </c>
      <c r="L931" t="s">
        <v>457</v>
      </c>
      <c r="M931" t="s">
        <v>7373</v>
      </c>
    </row>
    <row r="932" spans="6:13" x14ac:dyDescent="0.25">
      <c r="F932" t="s">
        <v>311</v>
      </c>
      <c r="G932" t="s">
        <v>4655</v>
      </c>
      <c r="I932" t="s">
        <v>39</v>
      </c>
      <c r="J932" t="s">
        <v>1607</v>
      </c>
      <c r="L932" t="s">
        <v>6934</v>
      </c>
      <c r="M932" t="s">
        <v>2210</v>
      </c>
    </row>
    <row r="933" spans="6:13" x14ac:dyDescent="0.25">
      <c r="F933" t="s">
        <v>3854</v>
      </c>
      <c r="G933" t="s">
        <v>4318</v>
      </c>
      <c r="I933" t="s">
        <v>2732</v>
      </c>
      <c r="J933" t="s">
        <v>4027</v>
      </c>
      <c r="L933" t="s">
        <v>39</v>
      </c>
      <c r="M933" t="s">
        <v>2185</v>
      </c>
    </row>
    <row r="934" spans="6:13" x14ac:dyDescent="0.25">
      <c r="F934" t="s">
        <v>548</v>
      </c>
      <c r="G934" t="s">
        <v>4728</v>
      </c>
      <c r="I934" t="s">
        <v>6676</v>
      </c>
      <c r="J934" t="s">
        <v>1551</v>
      </c>
      <c r="L934" t="s">
        <v>4160</v>
      </c>
      <c r="M934" t="s">
        <v>4223</v>
      </c>
    </row>
    <row r="935" spans="6:13" x14ac:dyDescent="0.25">
      <c r="F935" t="s">
        <v>2741</v>
      </c>
      <c r="G935" t="s">
        <v>3604</v>
      </c>
      <c r="I935" t="s">
        <v>6763</v>
      </c>
      <c r="J935" t="s">
        <v>2544</v>
      </c>
      <c r="L935" t="s">
        <v>54</v>
      </c>
      <c r="M935" t="s">
        <v>2554</v>
      </c>
    </row>
    <row r="936" spans="6:13" x14ac:dyDescent="0.25">
      <c r="F936" t="s">
        <v>2741</v>
      </c>
      <c r="G936" t="s">
        <v>3684</v>
      </c>
      <c r="I936" t="s">
        <v>295</v>
      </c>
      <c r="J936" t="s">
        <v>6608</v>
      </c>
      <c r="L936" t="s">
        <v>123</v>
      </c>
      <c r="M936" t="s">
        <v>7660</v>
      </c>
    </row>
    <row r="937" spans="6:13" x14ac:dyDescent="0.25">
      <c r="F937" t="s">
        <v>2741</v>
      </c>
      <c r="G937" t="s">
        <v>3389</v>
      </c>
      <c r="I937" t="s">
        <v>6645</v>
      </c>
      <c r="J937" t="s">
        <v>1531</v>
      </c>
      <c r="L937" t="s">
        <v>137</v>
      </c>
      <c r="M937" t="s">
        <v>2277</v>
      </c>
    </row>
    <row r="938" spans="6:13" x14ac:dyDescent="0.25">
      <c r="F938" t="s">
        <v>2741</v>
      </c>
      <c r="G938" t="s">
        <v>3745</v>
      </c>
      <c r="I938" t="s">
        <v>393</v>
      </c>
      <c r="J938" t="s">
        <v>2831</v>
      </c>
      <c r="L938" t="s">
        <v>313</v>
      </c>
      <c r="M938" t="s">
        <v>2299</v>
      </c>
    </row>
    <row r="939" spans="6:13" x14ac:dyDescent="0.25">
      <c r="F939" t="s">
        <v>2741</v>
      </c>
      <c r="G939" t="s">
        <v>3547</v>
      </c>
      <c r="I939" t="s">
        <v>5908</v>
      </c>
      <c r="J939" t="s">
        <v>1122</v>
      </c>
      <c r="L939" t="s">
        <v>313</v>
      </c>
      <c r="M939" t="s">
        <v>2061</v>
      </c>
    </row>
    <row r="940" spans="6:13" x14ac:dyDescent="0.25">
      <c r="F940" t="s">
        <v>2741</v>
      </c>
      <c r="G940" t="s">
        <v>3350</v>
      </c>
      <c r="I940" t="s">
        <v>5796</v>
      </c>
      <c r="J940" t="s">
        <v>1069</v>
      </c>
      <c r="L940" t="s">
        <v>254</v>
      </c>
      <c r="M940" t="s">
        <v>7866</v>
      </c>
    </row>
    <row r="941" spans="6:13" x14ac:dyDescent="0.25">
      <c r="F941" t="s">
        <v>2741</v>
      </c>
      <c r="G941" t="s">
        <v>3602</v>
      </c>
      <c r="I941" t="s">
        <v>5629</v>
      </c>
      <c r="J941" t="s">
        <v>7973</v>
      </c>
      <c r="L941" t="s">
        <v>123</v>
      </c>
      <c r="M941" t="s">
        <v>7224</v>
      </c>
    </row>
    <row r="942" spans="6:13" x14ac:dyDescent="0.25">
      <c r="F942" t="s">
        <v>2741</v>
      </c>
      <c r="G942" t="s">
        <v>3600</v>
      </c>
      <c r="I942" t="s">
        <v>6860</v>
      </c>
      <c r="J942" t="s">
        <v>1642</v>
      </c>
      <c r="L942" t="s">
        <v>289</v>
      </c>
      <c r="M942" t="s">
        <v>7894</v>
      </c>
    </row>
    <row r="943" spans="6:13" x14ac:dyDescent="0.25">
      <c r="F943" t="s">
        <v>37</v>
      </c>
      <c r="G943" t="s">
        <v>5044</v>
      </c>
      <c r="I943" t="s">
        <v>2741</v>
      </c>
      <c r="J943" t="s">
        <v>3922</v>
      </c>
      <c r="L943" t="s">
        <v>253</v>
      </c>
      <c r="M943" t="s">
        <v>2180</v>
      </c>
    </row>
    <row r="944" spans="6:13" x14ac:dyDescent="0.25">
      <c r="F944" t="s">
        <v>4656</v>
      </c>
      <c r="G944" t="s">
        <v>651</v>
      </c>
      <c r="I944" t="s">
        <v>6217</v>
      </c>
      <c r="J944" t="s">
        <v>6218</v>
      </c>
      <c r="L944" t="s">
        <v>7299</v>
      </c>
      <c r="M944" t="s">
        <v>2191</v>
      </c>
    </row>
    <row r="945" spans="6:13" x14ac:dyDescent="0.25">
      <c r="F945" t="s">
        <v>315</v>
      </c>
      <c r="G945" t="s">
        <v>4532</v>
      </c>
      <c r="I945" t="s">
        <v>548</v>
      </c>
      <c r="J945" t="s">
        <v>2878</v>
      </c>
      <c r="L945" t="s">
        <v>48</v>
      </c>
      <c r="M945" t="s">
        <v>7929</v>
      </c>
    </row>
    <row r="946" spans="6:13" x14ac:dyDescent="0.25">
      <c r="F946" t="s">
        <v>4529</v>
      </c>
      <c r="G946" t="s">
        <v>3284</v>
      </c>
      <c r="I946" t="s">
        <v>5719</v>
      </c>
      <c r="J946" t="s">
        <v>5720</v>
      </c>
      <c r="L946" t="s">
        <v>49</v>
      </c>
      <c r="M946" t="s">
        <v>7143</v>
      </c>
    </row>
    <row r="947" spans="6:13" x14ac:dyDescent="0.25">
      <c r="F947" t="s">
        <v>309</v>
      </c>
      <c r="G947" t="s">
        <v>4905</v>
      </c>
      <c r="I947" t="s">
        <v>3854</v>
      </c>
      <c r="J947" t="s">
        <v>4025</v>
      </c>
      <c r="L947" t="s">
        <v>4430</v>
      </c>
      <c r="M947" t="s">
        <v>6932</v>
      </c>
    </row>
    <row r="948" spans="6:13" x14ac:dyDescent="0.25">
      <c r="F948" t="s">
        <v>2662</v>
      </c>
      <c r="G948" t="s">
        <v>5073</v>
      </c>
      <c r="I948" t="s">
        <v>2741</v>
      </c>
      <c r="J948" t="s">
        <v>2896</v>
      </c>
      <c r="L948" t="s">
        <v>253</v>
      </c>
      <c r="M948" t="s">
        <v>2291</v>
      </c>
    </row>
    <row r="949" spans="6:13" x14ac:dyDescent="0.25">
      <c r="F949" t="s">
        <v>482</v>
      </c>
      <c r="G949" t="s">
        <v>691</v>
      </c>
      <c r="I949" t="s">
        <v>393</v>
      </c>
      <c r="J949" t="s">
        <v>836</v>
      </c>
      <c r="L949" t="s">
        <v>37</v>
      </c>
      <c r="M949" t="s">
        <v>7213</v>
      </c>
    </row>
    <row r="950" spans="6:13" x14ac:dyDescent="0.25">
      <c r="F950" t="s">
        <v>578</v>
      </c>
      <c r="G950" t="s">
        <v>3499</v>
      </c>
      <c r="I950" t="s">
        <v>6333</v>
      </c>
      <c r="J950" t="s">
        <v>6334</v>
      </c>
      <c r="L950" t="s">
        <v>7545</v>
      </c>
      <c r="M950" t="s">
        <v>1994</v>
      </c>
    </row>
    <row r="951" spans="6:13" x14ac:dyDescent="0.25">
      <c r="F951" t="s">
        <v>4903</v>
      </c>
      <c r="G951" t="s">
        <v>4904</v>
      </c>
      <c r="I951" t="s">
        <v>122</v>
      </c>
      <c r="J951" t="s">
        <v>1504</v>
      </c>
      <c r="L951" t="s">
        <v>122</v>
      </c>
      <c r="M951" t="s">
        <v>7184</v>
      </c>
    </row>
    <row r="952" spans="6:13" x14ac:dyDescent="0.25">
      <c r="F952" t="s">
        <v>2741</v>
      </c>
      <c r="G952" t="s">
        <v>3400</v>
      </c>
      <c r="I952" t="s">
        <v>5609</v>
      </c>
      <c r="J952" t="s">
        <v>5610</v>
      </c>
      <c r="L952" t="s">
        <v>6952</v>
      </c>
      <c r="M952" t="s">
        <v>6953</v>
      </c>
    </row>
    <row r="953" spans="6:13" x14ac:dyDescent="0.25">
      <c r="F953" t="s">
        <v>2767</v>
      </c>
      <c r="G953" t="s">
        <v>3774</v>
      </c>
      <c r="I953" t="s">
        <v>5432</v>
      </c>
      <c r="J953" t="s">
        <v>1184</v>
      </c>
      <c r="L953" t="s">
        <v>7214</v>
      </c>
      <c r="M953" t="s">
        <v>1927</v>
      </c>
    </row>
    <row r="954" spans="6:13" x14ac:dyDescent="0.25">
      <c r="F954" t="s">
        <v>2741</v>
      </c>
      <c r="G954" t="s">
        <v>3632</v>
      </c>
      <c r="I954" t="s">
        <v>6047</v>
      </c>
      <c r="J954" t="s">
        <v>2535</v>
      </c>
      <c r="L954" t="s">
        <v>7751</v>
      </c>
      <c r="M954" t="s">
        <v>7752</v>
      </c>
    </row>
    <row r="955" spans="6:13" x14ac:dyDescent="0.25">
      <c r="F955" t="s">
        <v>2741</v>
      </c>
      <c r="G955" t="s">
        <v>3574</v>
      </c>
      <c r="I955" t="s">
        <v>5940</v>
      </c>
      <c r="J955" t="s">
        <v>5941</v>
      </c>
      <c r="L955" t="s">
        <v>49</v>
      </c>
      <c r="M955" t="s">
        <v>2042</v>
      </c>
    </row>
    <row r="956" spans="6:13" x14ac:dyDescent="0.25">
      <c r="F956" t="s">
        <v>2741</v>
      </c>
      <c r="G956" t="s">
        <v>3779</v>
      </c>
      <c r="I956" t="s">
        <v>5288</v>
      </c>
      <c r="J956" t="s">
        <v>6148</v>
      </c>
      <c r="L956" t="s">
        <v>253</v>
      </c>
      <c r="M956" t="s">
        <v>1850</v>
      </c>
    </row>
    <row r="957" spans="6:13" x14ac:dyDescent="0.25">
      <c r="F957" t="s">
        <v>2741</v>
      </c>
      <c r="G957" t="s">
        <v>3652</v>
      </c>
      <c r="I957" t="s">
        <v>5809</v>
      </c>
      <c r="J957" t="s">
        <v>1075</v>
      </c>
      <c r="L957" t="s">
        <v>460</v>
      </c>
      <c r="M957" t="s">
        <v>1773</v>
      </c>
    </row>
    <row r="958" spans="6:13" x14ac:dyDescent="0.25">
      <c r="F958" t="s">
        <v>2741</v>
      </c>
      <c r="G958" t="s">
        <v>3650</v>
      </c>
      <c r="I958" t="s">
        <v>37</v>
      </c>
      <c r="J958" t="s">
        <v>6109</v>
      </c>
      <c r="L958" t="s">
        <v>254</v>
      </c>
      <c r="M958" t="s">
        <v>7088</v>
      </c>
    </row>
    <row r="959" spans="6:13" x14ac:dyDescent="0.25">
      <c r="F959" t="s">
        <v>2741</v>
      </c>
      <c r="G959" t="s">
        <v>3462</v>
      </c>
      <c r="I959" t="s">
        <v>5816</v>
      </c>
      <c r="J959" t="s">
        <v>5817</v>
      </c>
      <c r="L959" t="s">
        <v>7214</v>
      </c>
      <c r="M959" t="s">
        <v>1730</v>
      </c>
    </row>
    <row r="960" spans="6:13" x14ac:dyDescent="0.25">
      <c r="F960" t="s">
        <v>2741</v>
      </c>
      <c r="G960" t="s">
        <v>3766</v>
      </c>
      <c r="I960" t="s">
        <v>5702</v>
      </c>
      <c r="J960" t="s">
        <v>1026</v>
      </c>
      <c r="L960" t="s">
        <v>37</v>
      </c>
      <c r="M960" t="s">
        <v>7099</v>
      </c>
    </row>
    <row r="961" spans="6:13" x14ac:dyDescent="0.25">
      <c r="F961" t="s">
        <v>400</v>
      </c>
      <c r="G961" t="s">
        <v>650</v>
      </c>
      <c r="I961" t="s">
        <v>545</v>
      </c>
      <c r="J961" t="s">
        <v>2802</v>
      </c>
      <c r="L961" t="s">
        <v>37</v>
      </c>
      <c r="M961" t="s">
        <v>3126</v>
      </c>
    </row>
    <row r="962" spans="6:13" x14ac:dyDescent="0.25">
      <c r="F962" t="s">
        <v>398</v>
      </c>
      <c r="G962" t="s">
        <v>3428</v>
      </c>
      <c r="I962" t="s">
        <v>6061</v>
      </c>
      <c r="J962" t="s">
        <v>6062</v>
      </c>
      <c r="L962" t="s">
        <v>7134</v>
      </c>
      <c r="M962" t="s">
        <v>2083</v>
      </c>
    </row>
    <row r="963" spans="6:13" x14ac:dyDescent="0.25">
      <c r="F963" t="s">
        <v>418</v>
      </c>
      <c r="G963" t="s">
        <v>736</v>
      </c>
      <c r="I963" t="s">
        <v>5643</v>
      </c>
      <c r="J963" t="s">
        <v>2473</v>
      </c>
      <c r="L963" t="s">
        <v>356</v>
      </c>
      <c r="M963" t="s">
        <v>7423</v>
      </c>
    </row>
    <row r="964" spans="6:13" x14ac:dyDescent="0.25">
      <c r="F964" t="s">
        <v>3854</v>
      </c>
      <c r="G964" t="s">
        <v>4380</v>
      </c>
      <c r="I964" t="s">
        <v>313</v>
      </c>
      <c r="J964" t="s">
        <v>1095</v>
      </c>
      <c r="L964" t="s">
        <v>254</v>
      </c>
      <c r="M964" t="s">
        <v>2235</v>
      </c>
    </row>
    <row r="965" spans="6:13" x14ac:dyDescent="0.25">
      <c r="F965" t="s">
        <v>482</v>
      </c>
      <c r="G965" t="s">
        <v>3321</v>
      </c>
      <c r="I965" t="s">
        <v>6348</v>
      </c>
      <c r="J965" t="s">
        <v>6349</v>
      </c>
      <c r="L965" t="s">
        <v>280</v>
      </c>
      <c r="M965" t="s">
        <v>1821</v>
      </c>
    </row>
    <row r="966" spans="6:13" x14ac:dyDescent="0.25">
      <c r="F966" t="s">
        <v>3854</v>
      </c>
      <c r="G966" t="s">
        <v>4319</v>
      </c>
      <c r="I966" t="s">
        <v>47</v>
      </c>
      <c r="J966" t="s">
        <v>5956</v>
      </c>
      <c r="L966" t="s">
        <v>313</v>
      </c>
      <c r="M966" t="s">
        <v>7959</v>
      </c>
    </row>
    <row r="967" spans="6:13" x14ac:dyDescent="0.25">
      <c r="F967" t="s">
        <v>4858</v>
      </c>
      <c r="G967" t="s">
        <v>4859</v>
      </c>
      <c r="I967" t="s">
        <v>400</v>
      </c>
      <c r="J967" t="s">
        <v>5348</v>
      </c>
      <c r="L967" t="s">
        <v>49</v>
      </c>
      <c r="M967" t="s">
        <v>7384</v>
      </c>
    </row>
    <row r="968" spans="6:13" x14ac:dyDescent="0.25">
      <c r="F968" t="s">
        <v>578</v>
      </c>
      <c r="G968" t="s">
        <v>720</v>
      </c>
      <c r="I968" t="s">
        <v>5501</v>
      </c>
      <c r="J968" t="s">
        <v>2460</v>
      </c>
      <c r="L968" t="s">
        <v>254</v>
      </c>
      <c r="M968" t="s">
        <v>2247</v>
      </c>
    </row>
    <row r="969" spans="6:13" x14ac:dyDescent="0.25">
      <c r="F969" t="s">
        <v>4541</v>
      </c>
      <c r="G969" t="s">
        <v>3295</v>
      </c>
      <c r="I969" t="s">
        <v>391</v>
      </c>
      <c r="J969" t="s">
        <v>2481</v>
      </c>
      <c r="L969" t="s">
        <v>7540</v>
      </c>
      <c r="M969" t="s">
        <v>2260</v>
      </c>
    </row>
    <row r="970" spans="6:13" x14ac:dyDescent="0.25">
      <c r="F970" t="s">
        <v>37</v>
      </c>
      <c r="G970" t="s">
        <v>5034</v>
      </c>
      <c r="I970" t="s">
        <v>4334</v>
      </c>
      <c r="J970" t="s">
        <v>5520</v>
      </c>
      <c r="L970" t="s">
        <v>313</v>
      </c>
      <c r="M970" t="s">
        <v>2121</v>
      </c>
    </row>
    <row r="971" spans="6:13" x14ac:dyDescent="0.25">
      <c r="F971" t="s">
        <v>356</v>
      </c>
      <c r="G971" t="s">
        <v>4364</v>
      </c>
      <c r="I971" t="s">
        <v>400</v>
      </c>
      <c r="J971" t="s">
        <v>6630</v>
      </c>
      <c r="L971" t="s">
        <v>254</v>
      </c>
      <c r="M971" t="s">
        <v>2298</v>
      </c>
    </row>
    <row r="972" spans="6:13" x14ac:dyDescent="0.25">
      <c r="F972" t="s">
        <v>2741</v>
      </c>
      <c r="G972" t="s">
        <v>3399</v>
      </c>
      <c r="I972" t="s">
        <v>5793</v>
      </c>
      <c r="J972" t="s">
        <v>5794</v>
      </c>
      <c r="L972" t="s">
        <v>286</v>
      </c>
      <c r="M972" t="s">
        <v>2187</v>
      </c>
    </row>
    <row r="973" spans="6:13" x14ac:dyDescent="0.25">
      <c r="F973" t="s">
        <v>2741</v>
      </c>
      <c r="G973" t="s">
        <v>3686</v>
      </c>
      <c r="I973" t="s">
        <v>254</v>
      </c>
      <c r="J973" t="s">
        <v>5751</v>
      </c>
      <c r="L973" t="s">
        <v>37</v>
      </c>
      <c r="M973" t="s">
        <v>6963</v>
      </c>
    </row>
    <row r="974" spans="6:13" x14ac:dyDescent="0.25">
      <c r="F974" t="s">
        <v>2741</v>
      </c>
      <c r="G974" t="s">
        <v>3382</v>
      </c>
      <c r="I974" t="s">
        <v>6425</v>
      </c>
      <c r="J974" t="s">
        <v>6426</v>
      </c>
      <c r="L974" t="s">
        <v>254</v>
      </c>
      <c r="M974" t="s">
        <v>7204</v>
      </c>
    </row>
    <row r="975" spans="6:13" x14ac:dyDescent="0.25">
      <c r="F975" t="s">
        <v>2741</v>
      </c>
      <c r="G975" t="s">
        <v>3698</v>
      </c>
      <c r="I975" t="s">
        <v>313</v>
      </c>
      <c r="J975" t="s">
        <v>1160</v>
      </c>
      <c r="L975" t="s">
        <v>313</v>
      </c>
      <c r="M975" t="s">
        <v>7269</v>
      </c>
    </row>
    <row r="976" spans="6:13" x14ac:dyDescent="0.25">
      <c r="F976" t="s">
        <v>2741</v>
      </c>
      <c r="G976" t="s">
        <v>3305</v>
      </c>
      <c r="I976" t="s">
        <v>6423</v>
      </c>
      <c r="J976" t="s">
        <v>6424</v>
      </c>
      <c r="L976" t="s">
        <v>396</v>
      </c>
      <c r="M976" t="s">
        <v>7280</v>
      </c>
    </row>
    <row r="977" spans="6:13" x14ac:dyDescent="0.25">
      <c r="F977" t="s">
        <v>2741</v>
      </c>
      <c r="G977" t="s">
        <v>3737</v>
      </c>
      <c r="I977" t="s">
        <v>2741</v>
      </c>
      <c r="J977" t="s">
        <v>5281</v>
      </c>
      <c r="L977" t="s">
        <v>48</v>
      </c>
      <c r="M977" t="s">
        <v>2139</v>
      </c>
    </row>
    <row r="978" spans="6:13" x14ac:dyDescent="0.25">
      <c r="F978" t="s">
        <v>2741</v>
      </c>
      <c r="G978" t="s">
        <v>3617</v>
      </c>
      <c r="I978" t="s">
        <v>2741</v>
      </c>
      <c r="J978" t="s">
        <v>2888</v>
      </c>
      <c r="L978" t="s">
        <v>396</v>
      </c>
      <c r="M978" t="s">
        <v>7021</v>
      </c>
    </row>
    <row r="979" spans="6:13" x14ac:dyDescent="0.25">
      <c r="F979" t="s">
        <v>356</v>
      </c>
      <c r="G979" t="s">
        <v>4377</v>
      </c>
      <c r="I979" t="s">
        <v>2734</v>
      </c>
      <c r="J979" t="s">
        <v>2936</v>
      </c>
      <c r="L979" t="s">
        <v>2352</v>
      </c>
      <c r="M979" t="s">
        <v>4282</v>
      </c>
    </row>
    <row r="980" spans="6:13" x14ac:dyDescent="0.25">
      <c r="F980" t="s">
        <v>2667</v>
      </c>
      <c r="G980" t="s">
        <v>3345</v>
      </c>
      <c r="I980" t="s">
        <v>2741</v>
      </c>
      <c r="J980" t="s">
        <v>2982</v>
      </c>
      <c r="L980" t="s">
        <v>548</v>
      </c>
      <c r="M980" t="s">
        <v>7744</v>
      </c>
    </row>
    <row r="981" spans="6:13" x14ac:dyDescent="0.25">
      <c r="F981" t="s">
        <v>4544</v>
      </c>
      <c r="G981" t="s">
        <v>4545</v>
      </c>
      <c r="I981" t="s">
        <v>6484</v>
      </c>
      <c r="J981" t="s">
        <v>6485</v>
      </c>
      <c r="L981" t="s">
        <v>548</v>
      </c>
      <c r="M981" t="s">
        <v>7215</v>
      </c>
    </row>
    <row r="982" spans="6:13" x14ac:dyDescent="0.25">
      <c r="F982" t="s">
        <v>4988</v>
      </c>
      <c r="G982" t="s">
        <v>4989</v>
      </c>
      <c r="I982" t="s">
        <v>393</v>
      </c>
      <c r="J982" t="s">
        <v>1113</v>
      </c>
      <c r="L982" t="s">
        <v>548</v>
      </c>
      <c r="M982" t="s">
        <v>7222</v>
      </c>
    </row>
    <row r="983" spans="6:13" x14ac:dyDescent="0.25">
      <c r="F983" t="s">
        <v>4903</v>
      </c>
      <c r="G983" t="s">
        <v>4964</v>
      </c>
      <c r="I983" t="s">
        <v>253</v>
      </c>
      <c r="J983" t="s">
        <v>6171</v>
      </c>
      <c r="L983" t="s">
        <v>286</v>
      </c>
      <c r="M983" t="s">
        <v>2204</v>
      </c>
    </row>
    <row r="984" spans="6:13" x14ac:dyDescent="0.25">
      <c r="F984" t="s">
        <v>578</v>
      </c>
      <c r="G984" t="s">
        <v>3298</v>
      </c>
      <c r="I984" t="s">
        <v>6638</v>
      </c>
      <c r="J984" t="s">
        <v>1529</v>
      </c>
      <c r="L984" t="s">
        <v>313</v>
      </c>
      <c r="M984" t="s">
        <v>2274</v>
      </c>
    </row>
    <row r="985" spans="6:13" x14ac:dyDescent="0.25">
      <c r="F985" t="s">
        <v>4816</v>
      </c>
      <c r="G985" t="s">
        <v>4817</v>
      </c>
      <c r="I985" t="s">
        <v>289</v>
      </c>
      <c r="J985" t="s">
        <v>6350</v>
      </c>
      <c r="L985" t="s">
        <v>545</v>
      </c>
      <c r="M985" t="s">
        <v>1755</v>
      </c>
    </row>
    <row r="986" spans="6:13" x14ac:dyDescent="0.25">
      <c r="F986" t="s">
        <v>4722</v>
      </c>
      <c r="G986" t="s">
        <v>4723</v>
      </c>
      <c r="I986" t="s">
        <v>5571</v>
      </c>
      <c r="J986" t="s">
        <v>949</v>
      </c>
      <c r="L986" t="s">
        <v>548</v>
      </c>
      <c r="M986" t="s">
        <v>7065</v>
      </c>
    </row>
    <row r="987" spans="6:13" x14ac:dyDescent="0.25">
      <c r="F987" t="s">
        <v>4566</v>
      </c>
      <c r="G987" t="s">
        <v>3330</v>
      </c>
      <c r="I987" t="s">
        <v>5925</v>
      </c>
      <c r="J987" t="s">
        <v>5926</v>
      </c>
      <c r="L987" t="s">
        <v>3854</v>
      </c>
      <c r="M987" t="s">
        <v>4142</v>
      </c>
    </row>
    <row r="988" spans="6:13" x14ac:dyDescent="0.25">
      <c r="F988" t="s">
        <v>37</v>
      </c>
      <c r="G988" t="s">
        <v>5047</v>
      </c>
      <c r="I988" t="s">
        <v>6237</v>
      </c>
      <c r="J988" t="s">
        <v>6238</v>
      </c>
      <c r="L988" t="s">
        <v>254</v>
      </c>
      <c r="M988" t="s">
        <v>2331</v>
      </c>
    </row>
    <row r="989" spans="6:13" x14ac:dyDescent="0.25">
      <c r="F989" t="s">
        <v>4794</v>
      </c>
      <c r="G989" t="s">
        <v>3589</v>
      </c>
      <c r="I989" t="s">
        <v>311</v>
      </c>
      <c r="J989" t="s">
        <v>1468</v>
      </c>
      <c r="L989" t="s">
        <v>7041</v>
      </c>
      <c r="M989" t="s">
        <v>7353</v>
      </c>
    </row>
    <row r="990" spans="6:13" x14ac:dyDescent="0.25">
      <c r="F990" t="s">
        <v>2741</v>
      </c>
      <c r="G990" t="s">
        <v>3753</v>
      </c>
      <c r="I990" t="s">
        <v>6657</v>
      </c>
      <c r="J990" t="s">
        <v>1536</v>
      </c>
      <c r="L990" t="s">
        <v>286</v>
      </c>
      <c r="M990" t="s">
        <v>2200</v>
      </c>
    </row>
    <row r="991" spans="6:13" x14ac:dyDescent="0.25">
      <c r="F991" t="s">
        <v>2741</v>
      </c>
      <c r="G991" t="s">
        <v>3643</v>
      </c>
      <c r="I991" t="s">
        <v>280</v>
      </c>
      <c r="J991" t="s">
        <v>2817</v>
      </c>
      <c r="L991" t="s">
        <v>7957</v>
      </c>
      <c r="M991" t="s">
        <v>2000</v>
      </c>
    </row>
    <row r="992" spans="6:13" x14ac:dyDescent="0.25">
      <c r="F992" t="s">
        <v>2741</v>
      </c>
      <c r="G992" t="s">
        <v>3357</v>
      </c>
      <c r="I992" t="s">
        <v>3854</v>
      </c>
      <c r="J992" t="s">
        <v>3869</v>
      </c>
      <c r="L992" t="s">
        <v>359</v>
      </c>
      <c r="M992" t="s">
        <v>4193</v>
      </c>
    </row>
    <row r="993" spans="6:13" x14ac:dyDescent="0.25">
      <c r="F993" t="s">
        <v>2741</v>
      </c>
      <c r="G993" t="s">
        <v>3781</v>
      </c>
      <c r="I993" t="s">
        <v>253</v>
      </c>
      <c r="J993" t="s">
        <v>6257</v>
      </c>
      <c r="L993" t="s">
        <v>545</v>
      </c>
      <c r="M993" t="s">
        <v>2353</v>
      </c>
    </row>
    <row r="994" spans="6:13" x14ac:dyDescent="0.25">
      <c r="F994" t="s">
        <v>2741</v>
      </c>
      <c r="G994" t="s">
        <v>3418</v>
      </c>
      <c r="I994" t="s">
        <v>315</v>
      </c>
      <c r="J994" t="s">
        <v>1144</v>
      </c>
      <c r="L994" t="s">
        <v>315</v>
      </c>
      <c r="M994" t="s">
        <v>1935</v>
      </c>
    </row>
    <row r="995" spans="6:13" x14ac:dyDescent="0.25">
      <c r="F995" t="s">
        <v>2741</v>
      </c>
      <c r="G995" t="s">
        <v>3663</v>
      </c>
      <c r="I995" t="s">
        <v>6221</v>
      </c>
      <c r="J995" t="s">
        <v>6222</v>
      </c>
      <c r="L995" t="s">
        <v>7129</v>
      </c>
      <c r="M995" t="s">
        <v>2575</v>
      </c>
    </row>
    <row r="996" spans="6:13" x14ac:dyDescent="0.25">
      <c r="F996" t="s">
        <v>2741</v>
      </c>
      <c r="G996" t="s">
        <v>3319</v>
      </c>
      <c r="I996" t="s">
        <v>6648</v>
      </c>
      <c r="J996" t="s">
        <v>6800</v>
      </c>
      <c r="L996" t="s">
        <v>37</v>
      </c>
      <c r="M996" t="s">
        <v>7644</v>
      </c>
    </row>
    <row r="997" spans="6:13" x14ac:dyDescent="0.25">
      <c r="F997" t="s">
        <v>2741</v>
      </c>
      <c r="G997" t="s">
        <v>3708</v>
      </c>
      <c r="I997" t="s">
        <v>47</v>
      </c>
      <c r="J997" t="s">
        <v>5531</v>
      </c>
      <c r="L997" t="s">
        <v>37</v>
      </c>
      <c r="M997" t="s">
        <v>7073</v>
      </c>
    </row>
    <row r="998" spans="6:13" x14ac:dyDescent="0.25">
      <c r="F998" t="s">
        <v>2741</v>
      </c>
      <c r="G998" t="s">
        <v>3363</v>
      </c>
      <c r="I998" t="s">
        <v>5779</v>
      </c>
      <c r="J998" t="s">
        <v>6541</v>
      </c>
      <c r="L998" t="s">
        <v>311</v>
      </c>
      <c r="M998" t="s">
        <v>2016</v>
      </c>
    </row>
    <row r="999" spans="6:13" x14ac:dyDescent="0.25">
      <c r="F999" t="s">
        <v>5054</v>
      </c>
      <c r="G999" t="s">
        <v>4596</v>
      </c>
      <c r="I999" t="s">
        <v>315</v>
      </c>
      <c r="J999" t="s">
        <v>823</v>
      </c>
      <c r="L999" t="s">
        <v>391</v>
      </c>
      <c r="M999" t="s">
        <v>1672</v>
      </c>
    </row>
    <row r="1000" spans="6:13" x14ac:dyDescent="0.25">
      <c r="F1000" t="s">
        <v>2680</v>
      </c>
      <c r="G1000" t="s">
        <v>3495</v>
      </c>
      <c r="I1000" t="s">
        <v>5251</v>
      </c>
      <c r="J1000" t="s">
        <v>5252</v>
      </c>
      <c r="L1000" t="s">
        <v>7374</v>
      </c>
      <c r="M1000" t="s">
        <v>2072</v>
      </c>
    </row>
    <row r="1001" spans="6:13" x14ac:dyDescent="0.25">
      <c r="F1001" t="s">
        <v>482</v>
      </c>
      <c r="G1001" t="s">
        <v>3296</v>
      </c>
      <c r="I1001" t="s">
        <v>5288</v>
      </c>
      <c r="J1001" t="s">
        <v>6681</v>
      </c>
      <c r="L1001" t="s">
        <v>7712</v>
      </c>
      <c r="M1001" t="s">
        <v>7713</v>
      </c>
    </row>
    <row r="1002" spans="6:13" x14ac:dyDescent="0.25">
      <c r="F1002" t="s">
        <v>5104</v>
      </c>
      <c r="G1002" t="s">
        <v>4698</v>
      </c>
      <c r="I1002" t="s">
        <v>92</v>
      </c>
      <c r="J1002" t="s">
        <v>5278</v>
      </c>
      <c r="L1002" t="s">
        <v>396</v>
      </c>
      <c r="M1002" t="s">
        <v>7935</v>
      </c>
    </row>
    <row r="1003" spans="6:13" x14ac:dyDescent="0.25">
      <c r="F1003" t="s">
        <v>5138</v>
      </c>
      <c r="G1003" t="s">
        <v>4698</v>
      </c>
      <c r="I1003" t="s">
        <v>3854</v>
      </c>
      <c r="J1003" t="s">
        <v>4066</v>
      </c>
      <c r="L1003" t="s">
        <v>7746</v>
      </c>
      <c r="M1003" t="s">
        <v>1783</v>
      </c>
    </row>
    <row r="1004" spans="6:13" x14ac:dyDescent="0.25">
      <c r="F1004" t="s">
        <v>356</v>
      </c>
      <c r="G1004" t="s">
        <v>4345</v>
      </c>
      <c r="I1004" t="s">
        <v>5295</v>
      </c>
      <c r="J1004" t="s">
        <v>813</v>
      </c>
      <c r="L1004" t="s">
        <v>3854</v>
      </c>
      <c r="M1004" t="s">
        <v>4148</v>
      </c>
    </row>
    <row r="1005" spans="6:13" x14ac:dyDescent="0.25">
      <c r="F1005" t="s">
        <v>4788</v>
      </c>
      <c r="G1005" t="s">
        <v>5140</v>
      </c>
      <c r="I1005" t="s">
        <v>5339</v>
      </c>
      <c r="J1005" t="s">
        <v>834</v>
      </c>
      <c r="L1005" t="s">
        <v>396</v>
      </c>
      <c r="M1005" t="s">
        <v>7030</v>
      </c>
    </row>
    <row r="1006" spans="6:13" x14ac:dyDescent="0.25">
      <c r="F1006" t="s">
        <v>418</v>
      </c>
      <c r="G1006" t="s">
        <v>635</v>
      </c>
      <c r="I1006" t="s">
        <v>6493</v>
      </c>
      <c r="J1006" t="s">
        <v>6494</v>
      </c>
      <c r="L1006" t="s">
        <v>44</v>
      </c>
      <c r="M1006" t="s">
        <v>7480</v>
      </c>
    </row>
    <row r="1007" spans="6:13" x14ac:dyDescent="0.25">
      <c r="F1007" t="s">
        <v>315</v>
      </c>
      <c r="G1007" t="s">
        <v>4739</v>
      </c>
      <c r="I1007" t="s">
        <v>2741</v>
      </c>
      <c r="J1007" t="s">
        <v>2905</v>
      </c>
      <c r="L1007" t="s">
        <v>95</v>
      </c>
      <c r="M1007" t="s">
        <v>3244</v>
      </c>
    </row>
    <row r="1008" spans="6:13" x14ac:dyDescent="0.25">
      <c r="F1008" t="s">
        <v>39</v>
      </c>
      <c r="G1008" t="s">
        <v>4773</v>
      </c>
      <c r="I1008" t="s">
        <v>95</v>
      </c>
      <c r="J1008" t="s">
        <v>6680</v>
      </c>
      <c r="L1008" t="s">
        <v>254</v>
      </c>
      <c r="M1008" t="s">
        <v>2336</v>
      </c>
    </row>
    <row r="1009" spans="6:13" x14ac:dyDescent="0.25">
      <c r="F1009" t="s">
        <v>2741</v>
      </c>
      <c r="G1009" t="s">
        <v>3790</v>
      </c>
      <c r="I1009" t="s">
        <v>315</v>
      </c>
      <c r="J1009" t="s">
        <v>1187</v>
      </c>
      <c r="L1009" t="s">
        <v>545</v>
      </c>
      <c r="M1009" t="s">
        <v>7388</v>
      </c>
    </row>
    <row r="1010" spans="6:13" x14ac:dyDescent="0.25">
      <c r="F1010" t="s">
        <v>2741</v>
      </c>
      <c r="G1010" t="s">
        <v>3647</v>
      </c>
      <c r="I1010" t="s">
        <v>5345</v>
      </c>
      <c r="J1010" t="s">
        <v>5346</v>
      </c>
      <c r="L1010" t="s">
        <v>6906</v>
      </c>
      <c r="M1010" t="s">
        <v>6907</v>
      </c>
    </row>
    <row r="1011" spans="6:13" x14ac:dyDescent="0.25">
      <c r="F1011" t="s">
        <v>2741</v>
      </c>
      <c r="G1011" t="s">
        <v>3670</v>
      </c>
      <c r="I1011" t="s">
        <v>3902</v>
      </c>
      <c r="J1011" t="s">
        <v>6399</v>
      </c>
      <c r="L1011" t="s">
        <v>315</v>
      </c>
      <c r="M1011" t="s">
        <v>6949</v>
      </c>
    </row>
    <row r="1012" spans="6:13" x14ac:dyDescent="0.25">
      <c r="F1012" t="s">
        <v>2741</v>
      </c>
      <c r="G1012" t="s">
        <v>3795</v>
      </c>
      <c r="I1012" t="s">
        <v>6452</v>
      </c>
      <c r="J1012" t="s">
        <v>1421</v>
      </c>
      <c r="L1012" t="s">
        <v>7895</v>
      </c>
      <c r="M1012" t="s">
        <v>7896</v>
      </c>
    </row>
    <row r="1013" spans="6:13" x14ac:dyDescent="0.25">
      <c r="F1013" t="s">
        <v>2741</v>
      </c>
      <c r="G1013" t="s">
        <v>3470</v>
      </c>
      <c r="I1013" t="s">
        <v>5587</v>
      </c>
      <c r="J1013" t="s">
        <v>5588</v>
      </c>
      <c r="L1013" t="s">
        <v>254</v>
      </c>
      <c r="M1013" t="s">
        <v>2223</v>
      </c>
    </row>
    <row r="1014" spans="6:13" x14ac:dyDescent="0.25">
      <c r="F1014" t="s">
        <v>2741</v>
      </c>
      <c r="G1014" t="s">
        <v>3313</v>
      </c>
      <c r="I1014" t="s">
        <v>122</v>
      </c>
      <c r="J1014" t="s">
        <v>6352</v>
      </c>
      <c r="L1014" t="s">
        <v>3854</v>
      </c>
      <c r="M1014" t="s">
        <v>4267</v>
      </c>
    </row>
    <row r="1015" spans="6:13" x14ac:dyDescent="0.25">
      <c r="F1015" t="s">
        <v>2741</v>
      </c>
      <c r="G1015" t="s">
        <v>3594</v>
      </c>
      <c r="I1015" t="s">
        <v>5334</v>
      </c>
      <c r="J1015" t="s">
        <v>5335</v>
      </c>
      <c r="L1015" t="s">
        <v>313</v>
      </c>
      <c r="M1015" t="s">
        <v>1986</v>
      </c>
    </row>
    <row r="1016" spans="6:13" x14ac:dyDescent="0.25">
      <c r="F1016" t="s">
        <v>2741</v>
      </c>
      <c r="G1016" t="s">
        <v>3486</v>
      </c>
      <c r="I1016" t="s">
        <v>37</v>
      </c>
      <c r="J1016" t="s">
        <v>1258</v>
      </c>
      <c r="L1016" t="s">
        <v>2723</v>
      </c>
      <c r="M1016" t="s">
        <v>3137</v>
      </c>
    </row>
    <row r="1017" spans="6:13" x14ac:dyDescent="0.25">
      <c r="F1017" t="s">
        <v>2741</v>
      </c>
      <c r="G1017" t="s">
        <v>3338</v>
      </c>
      <c r="I1017" t="s">
        <v>5595</v>
      </c>
      <c r="J1017" t="s">
        <v>5596</v>
      </c>
      <c r="L1017" t="s">
        <v>398</v>
      </c>
      <c r="M1017" t="s">
        <v>7762</v>
      </c>
    </row>
    <row r="1018" spans="6:13" x14ac:dyDescent="0.25">
      <c r="F1018" t="s">
        <v>2741</v>
      </c>
      <c r="G1018" t="s">
        <v>3317</v>
      </c>
      <c r="I1018" t="s">
        <v>4623</v>
      </c>
      <c r="J1018" t="s">
        <v>6555</v>
      </c>
      <c r="L1018" t="s">
        <v>315</v>
      </c>
      <c r="M1018" t="s">
        <v>7755</v>
      </c>
    </row>
    <row r="1019" spans="6:13" x14ac:dyDescent="0.25">
      <c r="F1019" t="s">
        <v>2741</v>
      </c>
      <c r="G1019" t="s">
        <v>3343</v>
      </c>
      <c r="I1019" t="s">
        <v>45</v>
      </c>
      <c r="J1019" t="s">
        <v>5325</v>
      </c>
      <c r="L1019" t="s">
        <v>2720</v>
      </c>
      <c r="M1019" t="s">
        <v>7827</v>
      </c>
    </row>
    <row r="1020" spans="6:13" x14ac:dyDescent="0.25">
      <c r="F1020" t="s">
        <v>4796</v>
      </c>
      <c r="G1020" t="s">
        <v>4797</v>
      </c>
      <c r="I1020" t="s">
        <v>40</v>
      </c>
      <c r="J1020" t="s">
        <v>4018</v>
      </c>
      <c r="L1020" t="s">
        <v>5764</v>
      </c>
      <c r="M1020" t="s">
        <v>1877</v>
      </c>
    </row>
    <row r="1021" spans="6:13" x14ac:dyDescent="0.25">
      <c r="F1021" t="s">
        <v>313</v>
      </c>
      <c r="G1021" t="s">
        <v>4958</v>
      </c>
      <c r="I1021" t="s">
        <v>5433</v>
      </c>
      <c r="J1021" t="s">
        <v>886</v>
      </c>
      <c r="L1021" t="s">
        <v>7930</v>
      </c>
      <c r="M1021" t="s">
        <v>7931</v>
      </c>
    </row>
    <row r="1022" spans="6:13" x14ac:dyDescent="0.25">
      <c r="F1022" t="s">
        <v>576</v>
      </c>
      <c r="G1022" t="s">
        <v>3701</v>
      </c>
      <c r="I1022" t="s">
        <v>6163</v>
      </c>
      <c r="J1022" t="s">
        <v>6164</v>
      </c>
      <c r="L1022" t="s">
        <v>7500</v>
      </c>
      <c r="M1022" t="s">
        <v>7501</v>
      </c>
    </row>
    <row r="1023" spans="6:13" x14ac:dyDescent="0.25">
      <c r="F1023" t="s">
        <v>4146</v>
      </c>
      <c r="G1023" t="s">
        <v>4421</v>
      </c>
      <c r="I1023" t="s">
        <v>6034</v>
      </c>
      <c r="J1023" t="s">
        <v>6035</v>
      </c>
      <c r="L1023" t="s">
        <v>6906</v>
      </c>
      <c r="M1023" t="s">
        <v>2285</v>
      </c>
    </row>
    <row r="1024" spans="6:13" x14ac:dyDescent="0.25">
      <c r="F1024" t="s">
        <v>313</v>
      </c>
      <c r="G1024" t="s">
        <v>4909</v>
      </c>
      <c r="I1024" t="s">
        <v>400</v>
      </c>
      <c r="J1024" t="s">
        <v>1259</v>
      </c>
      <c r="L1024" t="s">
        <v>21</v>
      </c>
      <c r="M1024" t="s">
        <v>7396</v>
      </c>
    </row>
    <row r="1025" spans="6:13" x14ac:dyDescent="0.25">
      <c r="F1025" t="s">
        <v>4611</v>
      </c>
      <c r="G1025" t="s">
        <v>4612</v>
      </c>
      <c r="I1025" t="s">
        <v>5616</v>
      </c>
      <c r="J1025" t="s">
        <v>967</v>
      </c>
      <c r="L1025" t="s">
        <v>7897</v>
      </c>
      <c r="M1025" t="s">
        <v>2310</v>
      </c>
    </row>
    <row r="1026" spans="6:13" x14ac:dyDescent="0.25">
      <c r="F1026" t="s">
        <v>4991</v>
      </c>
      <c r="G1026" t="s">
        <v>4992</v>
      </c>
      <c r="I1026" t="s">
        <v>5378</v>
      </c>
      <c r="J1026" t="s">
        <v>861</v>
      </c>
      <c r="L1026" t="s">
        <v>37</v>
      </c>
      <c r="M1026" t="s">
        <v>1680</v>
      </c>
    </row>
    <row r="1027" spans="6:13" x14ac:dyDescent="0.25">
      <c r="F1027" t="s">
        <v>418</v>
      </c>
      <c r="G1027" t="s">
        <v>641</v>
      </c>
      <c r="I1027" t="s">
        <v>46</v>
      </c>
      <c r="J1027" t="s">
        <v>1233</v>
      </c>
      <c r="L1027" t="s">
        <v>7341</v>
      </c>
      <c r="M1027" t="s">
        <v>1918</v>
      </c>
    </row>
    <row r="1028" spans="6:13" x14ac:dyDescent="0.25">
      <c r="F1028" t="s">
        <v>574</v>
      </c>
      <c r="G1028" t="s">
        <v>3659</v>
      </c>
      <c r="I1028" t="s">
        <v>39</v>
      </c>
      <c r="J1028" t="s">
        <v>4064</v>
      </c>
      <c r="L1028" t="s">
        <v>309</v>
      </c>
      <c r="M1028" t="s">
        <v>7329</v>
      </c>
    </row>
    <row r="1029" spans="6:13" x14ac:dyDescent="0.25">
      <c r="F1029" t="s">
        <v>313</v>
      </c>
      <c r="G1029" t="s">
        <v>4965</v>
      </c>
      <c r="I1029" t="s">
        <v>90</v>
      </c>
      <c r="J1029" t="s">
        <v>5932</v>
      </c>
      <c r="L1029" t="s">
        <v>62</v>
      </c>
      <c r="M1029" t="s">
        <v>3091</v>
      </c>
    </row>
    <row r="1030" spans="6:13" x14ac:dyDescent="0.25">
      <c r="F1030" t="s">
        <v>4892</v>
      </c>
      <c r="G1030" t="s">
        <v>4893</v>
      </c>
      <c r="I1030" t="s">
        <v>313</v>
      </c>
      <c r="J1030" t="s">
        <v>2522</v>
      </c>
      <c r="L1030" t="s">
        <v>7391</v>
      </c>
      <c r="M1030" t="s">
        <v>7392</v>
      </c>
    </row>
    <row r="1031" spans="6:13" x14ac:dyDescent="0.25">
      <c r="F1031" t="s">
        <v>3854</v>
      </c>
      <c r="G1031" t="s">
        <v>4324</v>
      </c>
      <c r="I1031" t="s">
        <v>313</v>
      </c>
      <c r="J1031" t="s">
        <v>2447</v>
      </c>
      <c r="L1031" t="s">
        <v>7631</v>
      </c>
      <c r="M1031" t="s">
        <v>7632</v>
      </c>
    </row>
    <row r="1032" spans="6:13" x14ac:dyDescent="0.25">
      <c r="F1032" t="s">
        <v>4833</v>
      </c>
      <c r="G1032" t="s">
        <v>4834</v>
      </c>
      <c r="I1032" t="s">
        <v>5748</v>
      </c>
      <c r="J1032" t="s">
        <v>5749</v>
      </c>
      <c r="L1032" t="s">
        <v>3854</v>
      </c>
      <c r="M1032" t="s">
        <v>7230</v>
      </c>
    </row>
    <row r="1033" spans="6:13" x14ac:dyDescent="0.25">
      <c r="F1033" t="s">
        <v>2668</v>
      </c>
      <c r="G1033" t="s">
        <v>3322</v>
      </c>
      <c r="I1033" t="s">
        <v>6631</v>
      </c>
      <c r="J1033" t="s">
        <v>6632</v>
      </c>
      <c r="L1033" t="s">
        <v>7795</v>
      </c>
      <c r="M1033" t="s">
        <v>7796</v>
      </c>
    </row>
    <row r="1034" spans="6:13" x14ac:dyDescent="0.25">
      <c r="F1034" t="s">
        <v>39</v>
      </c>
      <c r="G1034" t="s">
        <v>4551</v>
      </c>
      <c r="I1034" t="s">
        <v>5582</v>
      </c>
      <c r="J1034" t="s">
        <v>6020</v>
      </c>
      <c r="L1034" t="s">
        <v>6927</v>
      </c>
      <c r="M1034" t="s">
        <v>6928</v>
      </c>
    </row>
    <row r="1035" spans="6:13" x14ac:dyDescent="0.25">
      <c r="F1035" t="s">
        <v>4823</v>
      </c>
      <c r="G1035" t="s">
        <v>4824</v>
      </c>
      <c r="I1035" t="s">
        <v>5457</v>
      </c>
      <c r="J1035" t="s">
        <v>5458</v>
      </c>
      <c r="L1035" t="s">
        <v>2720</v>
      </c>
      <c r="M1035" t="s">
        <v>7355</v>
      </c>
    </row>
    <row r="1036" spans="6:13" x14ac:dyDescent="0.25">
      <c r="F1036" t="s">
        <v>4856</v>
      </c>
      <c r="G1036" t="s">
        <v>716</v>
      </c>
      <c r="I1036" t="s">
        <v>311</v>
      </c>
      <c r="J1036" t="s">
        <v>1142</v>
      </c>
      <c r="L1036" t="s">
        <v>289</v>
      </c>
      <c r="M1036" t="s">
        <v>3165</v>
      </c>
    </row>
    <row r="1037" spans="6:13" x14ac:dyDescent="0.25">
      <c r="F1037" t="s">
        <v>578</v>
      </c>
      <c r="G1037" t="s">
        <v>3344</v>
      </c>
      <c r="I1037" t="s">
        <v>6429</v>
      </c>
      <c r="J1037" t="s">
        <v>6430</v>
      </c>
      <c r="L1037" t="s">
        <v>311</v>
      </c>
      <c r="M1037" t="s">
        <v>1998</v>
      </c>
    </row>
    <row r="1038" spans="6:13" x14ac:dyDescent="0.25">
      <c r="F1038" t="s">
        <v>4588</v>
      </c>
      <c r="G1038" t="s">
        <v>3355</v>
      </c>
      <c r="I1038" t="s">
        <v>318</v>
      </c>
      <c r="J1038" t="s">
        <v>6132</v>
      </c>
      <c r="L1038" t="s">
        <v>2717</v>
      </c>
      <c r="M1038" t="s">
        <v>6947</v>
      </c>
    </row>
    <row r="1039" spans="6:13" x14ac:dyDescent="0.25">
      <c r="F1039" t="s">
        <v>46</v>
      </c>
      <c r="G1039" t="s">
        <v>3331</v>
      </c>
      <c r="I1039" t="s">
        <v>311</v>
      </c>
      <c r="J1039" t="s">
        <v>1170</v>
      </c>
      <c r="L1039" t="s">
        <v>7455</v>
      </c>
      <c r="M1039" t="s">
        <v>2001</v>
      </c>
    </row>
    <row r="1040" spans="6:13" x14ac:dyDescent="0.25">
      <c r="F1040" t="s">
        <v>4696</v>
      </c>
      <c r="G1040" t="s">
        <v>4697</v>
      </c>
      <c r="I1040" t="s">
        <v>391</v>
      </c>
      <c r="J1040" t="s">
        <v>2452</v>
      </c>
      <c r="L1040" t="s">
        <v>313</v>
      </c>
      <c r="M1040" t="s">
        <v>2618</v>
      </c>
    </row>
    <row r="1041" spans="6:13" x14ac:dyDescent="0.25">
      <c r="F1041" t="s">
        <v>482</v>
      </c>
      <c r="G1041" t="s">
        <v>5123</v>
      </c>
      <c r="I1041" t="s">
        <v>286</v>
      </c>
      <c r="J1041" t="s">
        <v>992</v>
      </c>
      <c r="L1041" t="s">
        <v>313</v>
      </c>
      <c r="M1041" t="s">
        <v>2611</v>
      </c>
    </row>
    <row r="1042" spans="6:13" x14ac:dyDescent="0.25">
      <c r="F1042" t="s">
        <v>4929</v>
      </c>
      <c r="G1042" t="s">
        <v>4930</v>
      </c>
      <c r="I1042" t="s">
        <v>6045</v>
      </c>
      <c r="J1042" t="s">
        <v>4003</v>
      </c>
      <c r="L1042" t="s">
        <v>6955</v>
      </c>
      <c r="M1042" t="s">
        <v>3251</v>
      </c>
    </row>
    <row r="1043" spans="6:13" x14ac:dyDescent="0.25">
      <c r="F1043" t="s">
        <v>2662</v>
      </c>
      <c r="G1043" t="s">
        <v>5118</v>
      </c>
      <c r="I1043" t="s">
        <v>315</v>
      </c>
      <c r="J1043" t="s">
        <v>1588</v>
      </c>
      <c r="L1043" t="s">
        <v>313</v>
      </c>
      <c r="M1043" t="s">
        <v>1671</v>
      </c>
    </row>
    <row r="1044" spans="6:13" x14ac:dyDescent="0.25">
      <c r="F1044" t="s">
        <v>311</v>
      </c>
      <c r="G1044" t="s">
        <v>4888</v>
      </c>
      <c r="I1044" t="s">
        <v>315</v>
      </c>
      <c r="J1044" t="s">
        <v>1332</v>
      </c>
      <c r="L1044" t="s">
        <v>457</v>
      </c>
      <c r="M1044" t="s">
        <v>7700</v>
      </c>
    </row>
    <row r="1045" spans="6:13" x14ac:dyDescent="0.25">
      <c r="F1045" t="s">
        <v>4595</v>
      </c>
      <c r="G1045" t="s">
        <v>4669</v>
      </c>
      <c r="I1045" t="s">
        <v>313</v>
      </c>
      <c r="J1045" t="s">
        <v>2458</v>
      </c>
      <c r="L1045" t="s">
        <v>315</v>
      </c>
      <c r="M1045" t="s">
        <v>2577</v>
      </c>
    </row>
    <row r="1046" spans="6:13" x14ac:dyDescent="0.25">
      <c r="F1046" t="s">
        <v>4542</v>
      </c>
      <c r="G1046" t="s">
        <v>5027</v>
      </c>
      <c r="I1046" t="s">
        <v>254</v>
      </c>
      <c r="J1046" t="s">
        <v>1477</v>
      </c>
      <c r="L1046" t="s">
        <v>315</v>
      </c>
      <c r="M1046" t="s">
        <v>2580</v>
      </c>
    </row>
    <row r="1047" spans="6:13" x14ac:dyDescent="0.25">
      <c r="F1047" t="s">
        <v>37</v>
      </c>
      <c r="G1047" t="s">
        <v>5166</v>
      </c>
      <c r="I1047" t="s">
        <v>9</v>
      </c>
      <c r="J1047" t="s">
        <v>1166</v>
      </c>
      <c r="L1047" t="s">
        <v>311</v>
      </c>
      <c r="M1047" t="s">
        <v>1801</v>
      </c>
    </row>
    <row r="1048" spans="6:13" x14ac:dyDescent="0.25">
      <c r="F1048" t="s">
        <v>346</v>
      </c>
      <c r="G1048" t="s">
        <v>4554</v>
      </c>
      <c r="I1048" t="s">
        <v>46</v>
      </c>
      <c r="J1048" t="s">
        <v>1501</v>
      </c>
      <c r="L1048" t="s">
        <v>460</v>
      </c>
      <c r="M1048" t="s">
        <v>1794</v>
      </c>
    </row>
    <row r="1049" spans="6:13" x14ac:dyDescent="0.25">
      <c r="F1049" t="s">
        <v>37</v>
      </c>
      <c r="G1049" t="s">
        <v>5115</v>
      </c>
      <c r="I1049" t="s">
        <v>6182</v>
      </c>
      <c r="J1049" t="s">
        <v>6183</v>
      </c>
      <c r="L1049" t="s">
        <v>2720</v>
      </c>
      <c r="M1049" t="s">
        <v>7156</v>
      </c>
    </row>
    <row r="1050" spans="6:13" x14ac:dyDescent="0.25">
      <c r="F1050" t="s">
        <v>2726</v>
      </c>
      <c r="G1050" t="s">
        <v>3396</v>
      </c>
      <c r="I1050" t="s">
        <v>254</v>
      </c>
      <c r="J1050" t="s">
        <v>1189</v>
      </c>
      <c r="L1050" t="s">
        <v>37</v>
      </c>
      <c r="M1050" t="s">
        <v>7430</v>
      </c>
    </row>
    <row r="1051" spans="6:13" x14ac:dyDescent="0.25">
      <c r="F1051" t="s">
        <v>4428</v>
      </c>
      <c r="G1051" t="s">
        <v>4589</v>
      </c>
      <c r="I1051" t="s">
        <v>254</v>
      </c>
      <c r="J1051" t="s">
        <v>6404</v>
      </c>
      <c r="L1051" t="s">
        <v>254</v>
      </c>
      <c r="M1051" t="s">
        <v>1716</v>
      </c>
    </row>
    <row r="1052" spans="6:13" x14ac:dyDescent="0.25">
      <c r="F1052" t="s">
        <v>537</v>
      </c>
      <c r="G1052" t="s">
        <v>3738</v>
      </c>
      <c r="I1052" t="s">
        <v>283</v>
      </c>
      <c r="J1052" t="s">
        <v>1220</v>
      </c>
      <c r="L1052" t="s">
        <v>95</v>
      </c>
      <c r="M1052" t="s">
        <v>7579</v>
      </c>
    </row>
    <row r="1053" spans="6:13" x14ac:dyDescent="0.25">
      <c r="F1053" t="s">
        <v>4505</v>
      </c>
      <c r="G1053" t="s">
        <v>714</v>
      </c>
      <c r="I1053" t="s">
        <v>4541</v>
      </c>
      <c r="J1053" t="s">
        <v>6011</v>
      </c>
      <c r="L1053" t="s">
        <v>545</v>
      </c>
      <c r="M1053" t="s">
        <v>6884</v>
      </c>
    </row>
    <row r="1054" spans="6:13" x14ac:dyDescent="0.25">
      <c r="F1054" t="s">
        <v>95</v>
      </c>
      <c r="G1054" t="s">
        <v>2359</v>
      </c>
      <c r="I1054" t="s">
        <v>6789</v>
      </c>
      <c r="J1054" t="s">
        <v>6790</v>
      </c>
      <c r="L1054" t="s">
        <v>7287</v>
      </c>
      <c r="M1054" t="s">
        <v>7288</v>
      </c>
    </row>
    <row r="1055" spans="6:13" x14ac:dyDescent="0.25">
      <c r="F1055" t="s">
        <v>482</v>
      </c>
      <c r="G1055" t="s">
        <v>5127</v>
      </c>
      <c r="I1055" t="s">
        <v>6523</v>
      </c>
      <c r="J1055" t="s">
        <v>1469</v>
      </c>
      <c r="L1055" t="s">
        <v>6867</v>
      </c>
      <c r="M1055" t="s">
        <v>6969</v>
      </c>
    </row>
    <row r="1056" spans="6:13" x14ac:dyDescent="0.25">
      <c r="F1056" t="s">
        <v>122</v>
      </c>
      <c r="G1056" t="s">
        <v>3300</v>
      </c>
      <c r="I1056" t="s">
        <v>295</v>
      </c>
      <c r="J1056" t="s">
        <v>1073</v>
      </c>
      <c r="L1056" t="s">
        <v>400</v>
      </c>
      <c r="M1056" t="s">
        <v>2564</v>
      </c>
    </row>
    <row r="1057" spans="6:13" x14ac:dyDescent="0.25">
      <c r="F1057" t="s">
        <v>37</v>
      </c>
      <c r="G1057" t="s">
        <v>4959</v>
      </c>
      <c r="I1057" t="s">
        <v>6841</v>
      </c>
      <c r="J1057" t="s">
        <v>6842</v>
      </c>
      <c r="L1057" t="s">
        <v>313</v>
      </c>
      <c r="M1057" t="s">
        <v>7209</v>
      </c>
    </row>
    <row r="1058" spans="6:13" x14ac:dyDescent="0.25">
      <c r="F1058" t="s">
        <v>4945</v>
      </c>
      <c r="G1058" t="s">
        <v>764</v>
      </c>
      <c r="I1058" t="s">
        <v>3854</v>
      </c>
      <c r="J1058" t="s">
        <v>4097</v>
      </c>
      <c r="L1058" t="s">
        <v>289</v>
      </c>
      <c r="M1058" t="s">
        <v>2612</v>
      </c>
    </row>
    <row r="1059" spans="6:13" x14ac:dyDescent="0.25">
      <c r="F1059" t="s">
        <v>2741</v>
      </c>
      <c r="G1059" t="s">
        <v>3579</v>
      </c>
      <c r="I1059" t="s">
        <v>2741</v>
      </c>
      <c r="J1059" t="s">
        <v>2959</v>
      </c>
      <c r="L1059" t="s">
        <v>313</v>
      </c>
      <c r="M1059" t="s">
        <v>7958</v>
      </c>
    </row>
    <row r="1060" spans="6:13" x14ac:dyDescent="0.25">
      <c r="F1060" t="s">
        <v>37</v>
      </c>
      <c r="G1060" t="s">
        <v>5180</v>
      </c>
      <c r="I1060" t="s">
        <v>4505</v>
      </c>
      <c r="J1060" t="s">
        <v>5821</v>
      </c>
      <c r="L1060" t="s">
        <v>315</v>
      </c>
      <c r="M1060" t="s">
        <v>6954</v>
      </c>
    </row>
    <row r="1061" spans="6:13" x14ac:dyDescent="0.25">
      <c r="F1061" t="s">
        <v>95</v>
      </c>
      <c r="G1061" t="s">
        <v>700</v>
      </c>
      <c r="I1061" t="s">
        <v>6620</v>
      </c>
      <c r="J1061" t="s">
        <v>6621</v>
      </c>
      <c r="L1061" t="s">
        <v>7301</v>
      </c>
      <c r="M1061" t="s">
        <v>3149</v>
      </c>
    </row>
    <row r="1062" spans="6:13" x14ac:dyDescent="0.25">
      <c r="F1062" t="s">
        <v>2662</v>
      </c>
      <c r="G1062" t="s">
        <v>5086</v>
      </c>
      <c r="I1062" t="s">
        <v>5745</v>
      </c>
      <c r="J1062" t="s">
        <v>1050</v>
      </c>
      <c r="L1062" t="s">
        <v>460</v>
      </c>
      <c r="M1062" t="s">
        <v>2036</v>
      </c>
    </row>
    <row r="1063" spans="6:13" x14ac:dyDescent="0.25">
      <c r="F1063" t="s">
        <v>2667</v>
      </c>
      <c r="G1063" t="s">
        <v>3577</v>
      </c>
      <c r="I1063" t="s">
        <v>6660</v>
      </c>
      <c r="J1063" t="s">
        <v>6661</v>
      </c>
      <c r="L1063" t="s">
        <v>443</v>
      </c>
      <c r="M1063" t="s">
        <v>1836</v>
      </c>
    </row>
    <row r="1064" spans="6:13" x14ac:dyDescent="0.25">
      <c r="F1064" t="s">
        <v>5110</v>
      </c>
      <c r="G1064" t="s">
        <v>3484</v>
      </c>
      <c r="I1064" t="s">
        <v>516</v>
      </c>
      <c r="J1064" t="s">
        <v>2793</v>
      </c>
      <c r="L1064" t="s">
        <v>304</v>
      </c>
      <c r="M1064" t="s">
        <v>1721</v>
      </c>
    </row>
    <row r="1065" spans="6:13" x14ac:dyDescent="0.25">
      <c r="F1065" t="s">
        <v>5112</v>
      </c>
      <c r="G1065" t="s">
        <v>3484</v>
      </c>
      <c r="I1065" t="s">
        <v>313</v>
      </c>
      <c r="J1065" t="s">
        <v>6737</v>
      </c>
      <c r="L1065" t="s">
        <v>46</v>
      </c>
      <c r="M1065" t="s">
        <v>1919</v>
      </c>
    </row>
    <row r="1066" spans="6:13" x14ac:dyDescent="0.25">
      <c r="F1066" t="s">
        <v>2674</v>
      </c>
      <c r="G1066" t="s">
        <v>3312</v>
      </c>
      <c r="I1066" t="s">
        <v>39</v>
      </c>
      <c r="J1066" t="s">
        <v>4113</v>
      </c>
      <c r="L1066" t="s">
        <v>315</v>
      </c>
      <c r="M1066" t="s">
        <v>7453</v>
      </c>
    </row>
    <row r="1067" spans="6:13" x14ac:dyDescent="0.25">
      <c r="F1067" t="s">
        <v>2662</v>
      </c>
      <c r="G1067" t="s">
        <v>3784</v>
      </c>
      <c r="I1067" t="s">
        <v>5267</v>
      </c>
      <c r="J1067" t="s">
        <v>5268</v>
      </c>
      <c r="L1067" t="s">
        <v>313</v>
      </c>
      <c r="M1067" t="s">
        <v>7563</v>
      </c>
    </row>
    <row r="1068" spans="6:13" x14ac:dyDescent="0.25">
      <c r="F1068" t="s">
        <v>2667</v>
      </c>
      <c r="G1068" t="s">
        <v>3417</v>
      </c>
      <c r="I1068" t="s">
        <v>313</v>
      </c>
      <c r="J1068" t="s">
        <v>1394</v>
      </c>
      <c r="L1068" t="s">
        <v>253</v>
      </c>
      <c r="M1068" t="s">
        <v>7569</v>
      </c>
    </row>
    <row r="1069" spans="6:13" x14ac:dyDescent="0.25">
      <c r="F1069" t="s">
        <v>574</v>
      </c>
      <c r="G1069" t="s">
        <v>3768</v>
      </c>
      <c r="I1069" t="s">
        <v>400</v>
      </c>
      <c r="J1069" t="s">
        <v>941</v>
      </c>
      <c r="L1069" t="s">
        <v>37</v>
      </c>
      <c r="M1069" t="s">
        <v>3086</v>
      </c>
    </row>
    <row r="1070" spans="6:13" x14ac:dyDescent="0.25">
      <c r="F1070" t="s">
        <v>2352</v>
      </c>
      <c r="G1070" t="s">
        <v>4349</v>
      </c>
      <c r="I1070" t="s">
        <v>545</v>
      </c>
      <c r="J1070" t="s">
        <v>6470</v>
      </c>
      <c r="L1070" t="s">
        <v>460</v>
      </c>
      <c r="M1070" t="s">
        <v>7091</v>
      </c>
    </row>
    <row r="1071" spans="6:13" x14ac:dyDescent="0.25">
      <c r="F1071" t="s">
        <v>548</v>
      </c>
      <c r="G1071" t="s">
        <v>3283</v>
      </c>
      <c r="I1071" t="s">
        <v>5653</v>
      </c>
      <c r="J1071" t="s">
        <v>6587</v>
      </c>
      <c r="L1071" t="s">
        <v>7485</v>
      </c>
      <c r="M1071" t="s">
        <v>2264</v>
      </c>
    </row>
    <row r="1072" spans="6:13" x14ac:dyDescent="0.25">
      <c r="F1072" t="s">
        <v>482</v>
      </c>
      <c r="G1072" t="s">
        <v>5172</v>
      </c>
      <c r="I1072" t="s">
        <v>5658</v>
      </c>
      <c r="J1072" t="s">
        <v>3932</v>
      </c>
      <c r="L1072" t="s">
        <v>313</v>
      </c>
      <c r="M1072" t="s">
        <v>2090</v>
      </c>
    </row>
    <row r="1073" spans="6:13" x14ac:dyDescent="0.25">
      <c r="F1073" t="s">
        <v>2686</v>
      </c>
      <c r="G1073" t="s">
        <v>3445</v>
      </c>
      <c r="I1073" t="s">
        <v>278</v>
      </c>
      <c r="J1073" t="s">
        <v>914</v>
      </c>
      <c r="L1073" t="s">
        <v>545</v>
      </c>
      <c r="M1073" t="s">
        <v>7286</v>
      </c>
    </row>
    <row r="1074" spans="6:13" x14ac:dyDescent="0.25">
      <c r="F1074" t="s">
        <v>3854</v>
      </c>
      <c r="G1074" t="s">
        <v>4363</v>
      </c>
      <c r="I1074" t="s">
        <v>5646</v>
      </c>
      <c r="J1074" t="s">
        <v>5647</v>
      </c>
      <c r="L1074" t="s">
        <v>253</v>
      </c>
      <c r="M1074" t="s">
        <v>7715</v>
      </c>
    </row>
    <row r="1075" spans="6:13" x14ac:dyDescent="0.25">
      <c r="F1075" t="s">
        <v>545</v>
      </c>
      <c r="G1075" t="s">
        <v>4791</v>
      </c>
      <c r="I1075" t="s">
        <v>6104</v>
      </c>
      <c r="J1075" t="s">
        <v>2493</v>
      </c>
      <c r="L1075" t="s">
        <v>7662</v>
      </c>
      <c r="M1075" t="s">
        <v>1929</v>
      </c>
    </row>
    <row r="1076" spans="6:13" x14ac:dyDescent="0.25">
      <c r="F1076" t="s">
        <v>4652</v>
      </c>
      <c r="G1076" t="s">
        <v>648</v>
      </c>
      <c r="I1076" t="s">
        <v>5731</v>
      </c>
      <c r="J1076" t="s">
        <v>1038</v>
      </c>
      <c r="L1076" t="s">
        <v>254</v>
      </c>
      <c r="M1076" t="s">
        <v>7623</v>
      </c>
    </row>
    <row r="1077" spans="6:13" x14ac:dyDescent="0.25">
      <c r="F1077" t="s">
        <v>578</v>
      </c>
      <c r="G1077" t="s">
        <v>3318</v>
      </c>
      <c r="I1077" t="s">
        <v>6503</v>
      </c>
      <c r="J1077" t="s">
        <v>1459</v>
      </c>
      <c r="L1077" t="s">
        <v>309</v>
      </c>
      <c r="M1077" t="s">
        <v>7645</v>
      </c>
    </row>
    <row r="1078" spans="6:13" x14ac:dyDescent="0.25">
      <c r="F1078" t="s">
        <v>4334</v>
      </c>
      <c r="G1078" t="s">
        <v>4423</v>
      </c>
      <c r="I1078" t="s">
        <v>6113</v>
      </c>
      <c r="J1078" t="s">
        <v>6114</v>
      </c>
      <c r="L1078" t="s">
        <v>318</v>
      </c>
      <c r="M1078" t="s">
        <v>3262</v>
      </c>
    </row>
    <row r="1079" spans="6:13" x14ac:dyDescent="0.25">
      <c r="F1079" t="s">
        <v>398</v>
      </c>
      <c r="G1079" t="s">
        <v>3276</v>
      </c>
      <c r="I1079" t="s">
        <v>2738</v>
      </c>
      <c r="J1079" t="s">
        <v>2849</v>
      </c>
      <c r="L1079" t="s">
        <v>95</v>
      </c>
      <c r="M1079" t="s">
        <v>7003</v>
      </c>
    </row>
    <row r="1080" spans="6:13" x14ac:dyDescent="0.25">
      <c r="F1080" t="s">
        <v>4598</v>
      </c>
      <c r="G1080" t="s">
        <v>4599</v>
      </c>
      <c r="I1080" t="s">
        <v>254</v>
      </c>
      <c r="J1080" t="s">
        <v>6074</v>
      </c>
      <c r="L1080" t="s">
        <v>311</v>
      </c>
      <c r="M1080" t="s">
        <v>7055</v>
      </c>
    </row>
    <row r="1081" spans="6:13" x14ac:dyDescent="0.25">
      <c r="F1081" t="s">
        <v>95</v>
      </c>
      <c r="G1081" t="s">
        <v>4758</v>
      </c>
      <c r="I1081" t="s">
        <v>516</v>
      </c>
      <c r="J1081" t="s">
        <v>2885</v>
      </c>
      <c r="L1081" t="s">
        <v>545</v>
      </c>
      <c r="M1081" t="s">
        <v>2211</v>
      </c>
    </row>
    <row r="1082" spans="6:13" x14ac:dyDescent="0.25">
      <c r="F1082" t="s">
        <v>4734</v>
      </c>
      <c r="G1082" t="s">
        <v>3508</v>
      </c>
      <c r="I1082" t="s">
        <v>6367</v>
      </c>
      <c r="J1082" t="s">
        <v>6368</v>
      </c>
      <c r="L1082" t="s">
        <v>7661</v>
      </c>
      <c r="M1082" t="s">
        <v>3232</v>
      </c>
    </row>
    <row r="1083" spans="6:13" x14ac:dyDescent="0.25">
      <c r="F1083" t="s">
        <v>482</v>
      </c>
      <c r="G1083" t="s">
        <v>4590</v>
      </c>
      <c r="I1083" t="s">
        <v>3900</v>
      </c>
      <c r="J1083" t="s">
        <v>5685</v>
      </c>
      <c r="L1083" t="s">
        <v>2729</v>
      </c>
      <c r="M1083" t="s">
        <v>4206</v>
      </c>
    </row>
    <row r="1084" spans="6:13" x14ac:dyDescent="0.25">
      <c r="F1084" t="s">
        <v>2671</v>
      </c>
      <c r="G1084" t="s">
        <v>3282</v>
      </c>
      <c r="I1084" t="s">
        <v>6565</v>
      </c>
      <c r="J1084" t="s">
        <v>6566</v>
      </c>
      <c r="L1084" t="s">
        <v>3854</v>
      </c>
      <c r="M1084" t="s">
        <v>4171</v>
      </c>
    </row>
    <row r="1085" spans="6:13" x14ac:dyDescent="0.25">
      <c r="F1085" t="s">
        <v>2676</v>
      </c>
      <c r="G1085" t="s">
        <v>3601</v>
      </c>
      <c r="I1085" t="s">
        <v>3854</v>
      </c>
      <c r="J1085" t="s">
        <v>4044</v>
      </c>
      <c r="L1085" t="s">
        <v>95</v>
      </c>
      <c r="M1085" t="s">
        <v>7735</v>
      </c>
    </row>
    <row r="1086" spans="6:13" x14ac:dyDescent="0.25">
      <c r="F1086" t="s">
        <v>46</v>
      </c>
      <c r="G1086" t="s">
        <v>665</v>
      </c>
      <c r="I1086" t="s">
        <v>5240</v>
      </c>
      <c r="J1086" t="s">
        <v>786</v>
      </c>
      <c r="L1086" t="s">
        <v>7904</v>
      </c>
      <c r="M1086" t="s">
        <v>7905</v>
      </c>
    </row>
    <row r="1087" spans="6:13" x14ac:dyDescent="0.25">
      <c r="F1087" t="s">
        <v>2676</v>
      </c>
      <c r="G1087" t="s">
        <v>3707</v>
      </c>
      <c r="I1087" t="s">
        <v>313</v>
      </c>
      <c r="J1087" t="s">
        <v>1090</v>
      </c>
      <c r="L1087" t="s">
        <v>545</v>
      </c>
      <c r="M1087" t="s">
        <v>1717</v>
      </c>
    </row>
    <row r="1088" spans="6:13" x14ac:dyDescent="0.25">
      <c r="F1088" t="s">
        <v>137</v>
      </c>
      <c r="G1088" t="s">
        <v>592</v>
      </c>
      <c r="I1088" t="s">
        <v>393</v>
      </c>
      <c r="J1088" t="s">
        <v>2788</v>
      </c>
      <c r="L1088" t="s">
        <v>460</v>
      </c>
      <c r="M1088" t="s">
        <v>7160</v>
      </c>
    </row>
    <row r="1089" spans="6:13" x14ac:dyDescent="0.25">
      <c r="F1089" t="s">
        <v>2674</v>
      </c>
      <c r="G1089" t="s">
        <v>5157</v>
      </c>
      <c r="I1089" t="s">
        <v>253</v>
      </c>
      <c r="J1089" t="s">
        <v>5282</v>
      </c>
      <c r="L1089" t="s">
        <v>253</v>
      </c>
      <c r="M1089" t="s">
        <v>7174</v>
      </c>
    </row>
    <row r="1090" spans="6:13" x14ac:dyDescent="0.25">
      <c r="F1090" t="s">
        <v>37</v>
      </c>
      <c r="G1090" t="s">
        <v>5130</v>
      </c>
      <c r="I1090" t="s">
        <v>393</v>
      </c>
      <c r="J1090" t="s">
        <v>6325</v>
      </c>
      <c r="L1090" t="s">
        <v>313</v>
      </c>
      <c r="M1090" t="s">
        <v>1817</v>
      </c>
    </row>
    <row r="1091" spans="6:13" x14ac:dyDescent="0.25">
      <c r="F1091" t="s">
        <v>2767</v>
      </c>
      <c r="G1091" t="s">
        <v>3696</v>
      </c>
      <c r="I1091" t="s">
        <v>5365</v>
      </c>
      <c r="J1091" t="s">
        <v>1496</v>
      </c>
      <c r="L1091" t="s">
        <v>457</v>
      </c>
      <c r="M1091" t="s">
        <v>1853</v>
      </c>
    </row>
    <row r="1092" spans="6:13" x14ac:dyDescent="0.25">
      <c r="F1092" t="s">
        <v>4549</v>
      </c>
      <c r="G1092" t="s">
        <v>694</v>
      </c>
      <c r="I1092" t="s">
        <v>5779</v>
      </c>
      <c r="J1092" t="s">
        <v>5866</v>
      </c>
      <c r="L1092" t="s">
        <v>254</v>
      </c>
      <c r="M1092" t="s">
        <v>2043</v>
      </c>
    </row>
    <row r="1093" spans="6:13" x14ac:dyDescent="0.25">
      <c r="F1093" t="s">
        <v>95</v>
      </c>
      <c r="G1093" t="s">
        <v>4939</v>
      </c>
      <c r="I1093" t="s">
        <v>2741</v>
      </c>
      <c r="J1093" t="s">
        <v>2991</v>
      </c>
      <c r="L1093" t="s">
        <v>7420</v>
      </c>
      <c r="M1093" t="s">
        <v>1644</v>
      </c>
    </row>
    <row r="1094" spans="6:13" x14ac:dyDescent="0.25">
      <c r="F1094" t="s">
        <v>3854</v>
      </c>
      <c r="G1094" t="s">
        <v>4395</v>
      </c>
      <c r="I1094" t="s">
        <v>6278</v>
      </c>
      <c r="J1094" t="s">
        <v>1333</v>
      </c>
      <c r="L1094" t="s">
        <v>3854</v>
      </c>
      <c r="M1094" t="s">
        <v>4293</v>
      </c>
    </row>
    <row r="1095" spans="6:13" x14ac:dyDescent="0.25">
      <c r="F1095" t="s">
        <v>2667</v>
      </c>
      <c r="G1095" t="s">
        <v>3514</v>
      </c>
      <c r="I1095" t="s">
        <v>5863</v>
      </c>
      <c r="J1095" t="s">
        <v>1102</v>
      </c>
      <c r="L1095" t="s">
        <v>313</v>
      </c>
      <c r="M1095" t="s">
        <v>7216</v>
      </c>
    </row>
    <row r="1096" spans="6:13" x14ac:dyDescent="0.25">
      <c r="F1096" t="s">
        <v>398</v>
      </c>
      <c r="G1096" t="s">
        <v>730</v>
      </c>
      <c r="I1096" t="s">
        <v>289</v>
      </c>
      <c r="J1096" t="s">
        <v>2801</v>
      </c>
      <c r="L1096" t="s">
        <v>313</v>
      </c>
      <c r="M1096" t="s">
        <v>7216</v>
      </c>
    </row>
    <row r="1097" spans="6:13" x14ac:dyDescent="0.25">
      <c r="F1097" t="s">
        <v>2673</v>
      </c>
      <c r="G1097" t="s">
        <v>3595</v>
      </c>
      <c r="I1097" t="s">
        <v>2738</v>
      </c>
      <c r="J1097" t="s">
        <v>2966</v>
      </c>
      <c r="L1097" t="s">
        <v>356</v>
      </c>
      <c r="M1097" t="s">
        <v>7837</v>
      </c>
    </row>
    <row r="1098" spans="6:13" x14ac:dyDescent="0.25">
      <c r="F1098" t="s">
        <v>2675</v>
      </c>
      <c r="G1098" t="s">
        <v>3592</v>
      </c>
      <c r="I1098" t="s">
        <v>3888</v>
      </c>
      <c r="J1098" t="s">
        <v>4081</v>
      </c>
      <c r="L1098" t="s">
        <v>460</v>
      </c>
      <c r="M1098" t="s">
        <v>6965</v>
      </c>
    </row>
    <row r="1099" spans="6:13" x14ac:dyDescent="0.25">
      <c r="F1099" t="s">
        <v>2767</v>
      </c>
      <c r="G1099" t="s">
        <v>3454</v>
      </c>
      <c r="I1099" t="s">
        <v>356</v>
      </c>
      <c r="J1099" t="s">
        <v>4047</v>
      </c>
      <c r="L1099" t="s">
        <v>6889</v>
      </c>
      <c r="M1099" t="s">
        <v>4211</v>
      </c>
    </row>
    <row r="1100" spans="6:13" x14ac:dyDescent="0.25">
      <c r="F1100" t="s">
        <v>482</v>
      </c>
      <c r="G1100" t="s">
        <v>3642</v>
      </c>
      <c r="I1100" t="s">
        <v>6197</v>
      </c>
      <c r="J1100" t="s">
        <v>6198</v>
      </c>
      <c r="L1100" t="s">
        <v>457</v>
      </c>
      <c r="M1100" t="s">
        <v>1999</v>
      </c>
    </row>
    <row r="1101" spans="6:13" x14ac:dyDescent="0.25">
      <c r="F1101" t="s">
        <v>122</v>
      </c>
      <c r="G1101" t="s">
        <v>3398</v>
      </c>
      <c r="I1101" t="s">
        <v>37</v>
      </c>
      <c r="J1101" t="s">
        <v>2467</v>
      </c>
      <c r="L1101" t="s">
        <v>280</v>
      </c>
      <c r="M1101" t="s">
        <v>3144</v>
      </c>
    </row>
    <row r="1102" spans="6:13" x14ac:dyDescent="0.25">
      <c r="F1102" t="s">
        <v>2678</v>
      </c>
      <c r="G1102" t="s">
        <v>3404</v>
      </c>
      <c r="I1102" t="s">
        <v>5390</v>
      </c>
      <c r="J1102" t="s">
        <v>867</v>
      </c>
      <c r="L1102" t="s">
        <v>37</v>
      </c>
      <c r="M1102" t="s">
        <v>7773</v>
      </c>
    </row>
    <row r="1103" spans="6:13" x14ac:dyDescent="0.25">
      <c r="F1103" t="s">
        <v>545</v>
      </c>
      <c r="G1103" t="s">
        <v>4703</v>
      </c>
      <c r="I1103" t="s">
        <v>254</v>
      </c>
      <c r="J1103" t="s">
        <v>1431</v>
      </c>
      <c r="L1103" t="s">
        <v>545</v>
      </c>
      <c r="M1103" t="s">
        <v>2109</v>
      </c>
    </row>
    <row r="1104" spans="6:13" x14ac:dyDescent="0.25">
      <c r="F1104" t="s">
        <v>37</v>
      </c>
      <c r="G1104" t="s">
        <v>4949</v>
      </c>
      <c r="I1104" t="s">
        <v>2741</v>
      </c>
      <c r="J1104" t="s">
        <v>2887</v>
      </c>
      <c r="L1104" t="s">
        <v>391</v>
      </c>
      <c r="M1104" t="s">
        <v>3111</v>
      </c>
    </row>
    <row r="1105" spans="6:13" x14ac:dyDescent="0.25">
      <c r="F1105" t="s">
        <v>2738</v>
      </c>
      <c r="G1105" t="s">
        <v>3682</v>
      </c>
      <c r="I1105" t="s">
        <v>63</v>
      </c>
      <c r="J1105" t="s">
        <v>2504</v>
      </c>
      <c r="L1105" t="s">
        <v>2741</v>
      </c>
      <c r="M1105" t="s">
        <v>3103</v>
      </c>
    </row>
    <row r="1106" spans="6:13" x14ac:dyDescent="0.25">
      <c r="F1106" t="s">
        <v>4911</v>
      </c>
      <c r="G1106" t="s">
        <v>4912</v>
      </c>
      <c r="I1106" t="s">
        <v>393</v>
      </c>
      <c r="J1106" t="s">
        <v>5561</v>
      </c>
      <c r="L1106" t="s">
        <v>7478</v>
      </c>
      <c r="M1106" t="s">
        <v>7479</v>
      </c>
    </row>
    <row r="1107" spans="6:13" x14ac:dyDescent="0.25">
      <c r="F1107" t="s">
        <v>5113</v>
      </c>
      <c r="G1107" t="s">
        <v>3494</v>
      </c>
      <c r="I1107" t="s">
        <v>5614</v>
      </c>
      <c r="J1107" t="s">
        <v>5615</v>
      </c>
      <c r="L1107" t="s">
        <v>289</v>
      </c>
      <c r="M1107" t="s">
        <v>7636</v>
      </c>
    </row>
    <row r="1108" spans="6:13" x14ac:dyDescent="0.25">
      <c r="F1108" t="s">
        <v>2767</v>
      </c>
      <c r="G1108" t="s">
        <v>3430</v>
      </c>
      <c r="I1108" t="s">
        <v>3854</v>
      </c>
      <c r="J1108" t="s">
        <v>3952</v>
      </c>
      <c r="L1108" t="s">
        <v>48</v>
      </c>
      <c r="M1108" t="s">
        <v>7332</v>
      </c>
    </row>
    <row r="1109" spans="6:13" x14ac:dyDescent="0.25">
      <c r="F1109" t="s">
        <v>37</v>
      </c>
      <c r="G1109" t="s">
        <v>5134</v>
      </c>
      <c r="I1109" t="s">
        <v>5731</v>
      </c>
      <c r="J1109" t="s">
        <v>1359</v>
      </c>
      <c r="L1109" t="s">
        <v>46</v>
      </c>
      <c r="M1109" t="s">
        <v>7952</v>
      </c>
    </row>
    <row r="1110" spans="6:13" x14ac:dyDescent="0.25">
      <c r="F1110" t="s">
        <v>37</v>
      </c>
      <c r="G1110" t="s">
        <v>5179</v>
      </c>
      <c r="I1110" t="s">
        <v>5850</v>
      </c>
      <c r="J1110" t="s">
        <v>5851</v>
      </c>
      <c r="L1110" t="s">
        <v>122</v>
      </c>
      <c r="M1110" t="s">
        <v>7868</v>
      </c>
    </row>
    <row r="1111" spans="6:13" x14ac:dyDescent="0.25">
      <c r="F1111" t="s">
        <v>4334</v>
      </c>
      <c r="G1111" t="s">
        <v>4335</v>
      </c>
      <c r="I1111" t="s">
        <v>2732</v>
      </c>
      <c r="J1111" t="s">
        <v>6626</v>
      </c>
      <c r="L1111" t="s">
        <v>37</v>
      </c>
      <c r="M1111" t="s">
        <v>1704</v>
      </c>
    </row>
    <row r="1112" spans="6:13" x14ac:dyDescent="0.25">
      <c r="F1112" t="s">
        <v>37</v>
      </c>
      <c r="G1112" t="s">
        <v>4515</v>
      </c>
      <c r="I1112" t="s">
        <v>90</v>
      </c>
      <c r="J1112" t="s">
        <v>1193</v>
      </c>
      <c r="L1112" t="s">
        <v>280</v>
      </c>
      <c r="M1112" t="s">
        <v>7851</v>
      </c>
    </row>
    <row r="1113" spans="6:13" x14ac:dyDescent="0.25">
      <c r="F1113" t="s">
        <v>2741</v>
      </c>
      <c r="G1113" t="s">
        <v>3615</v>
      </c>
      <c r="I1113" t="s">
        <v>318</v>
      </c>
      <c r="J1113" t="s">
        <v>6728</v>
      </c>
      <c r="L1113" t="s">
        <v>2352</v>
      </c>
      <c r="M1113" t="s">
        <v>4273</v>
      </c>
    </row>
    <row r="1114" spans="6:13" x14ac:dyDescent="0.25">
      <c r="F1114" t="s">
        <v>4334</v>
      </c>
      <c r="G1114" t="s">
        <v>4359</v>
      </c>
      <c r="I1114" t="s">
        <v>254</v>
      </c>
      <c r="J1114" t="s">
        <v>7975</v>
      </c>
      <c r="L1114" t="s">
        <v>457</v>
      </c>
      <c r="M1114" t="s">
        <v>7693</v>
      </c>
    </row>
    <row r="1115" spans="6:13" x14ac:dyDescent="0.25">
      <c r="F1115" t="s">
        <v>4509</v>
      </c>
      <c r="G1115" t="s">
        <v>4691</v>
      </c>
      <c r="I1115" t="s">
        <v>254</v>
      </c>
      <c r="J1115" t="s">
        <v>1515</v>
      </c>
      <c r="L1115" t="s">
        <v>7228</v>
      </c>
      <c r="M1115" t="s">
        <v>7229</v>
      </c>
    </row>
    <row r="1116" spans="6:13" x14ac:dyDescent="0.25">
      <c r="F1116" t="s">
        <v>2745</v>
      </c>
      <c r="G1116" t="s">
        <v>3613</v>
      </c>
      <c r="I1116" t="s">
        <v>5293</v>
      </c>
      <c r="J1116" t="s">
        <v>1241</v>
      </c>
      <c r="L1116" t="s">
        <v>391</v>
      </c>
      <c r="M1116" t="s">
        <v>3192</v>
      </c>
    </row>
    <row r="1117" spans="6:13" x14ac:dyDescent="0.25">
      <c r="F1117" t="s">
        <v>2667</v>
      </c>
      <c r="G1117" t="s">
        <v>3466</v>
      </c>
      <c r="I1117" t="s">
        <v>5507</v>
      </c>
      <c r="J1117" t="s">
        <v>6006</v>
      </c>
      <c r="L1117" t="s">
        <v>460</v>
      </c>
      <c r="M1117" t="s">
        <v>2201</v>
      </c>
    </row>
    <row r="1118" spans="6:13" x14ac:dyDescent="0.25">
      <c r="F1118" t="s">
        <v>482</v>
      </c>
      <c r="G1118" t="s">
        <v>3442</v>
      </c>
      <c r="I1118" t="s">
        <v>254</v>
      </c>
      <c r="J1118" t="s">
        <v>6302</v>
      </c>
      <c r="L1118" t="s">
        <v>460</v>
      </c>
      <c r="M1118" t="s">
        <v>7888</v>
      </c>
    </row>
    <row r="1119" spans="6:13" x14ac:dyDescent="0.25">
      <c r="F1119" t="s">
        <v>2767</v>
      </c>
      <c r="G1119" t="s">
        <v>3299</v>
      </c>
      <c r="I1119" t="s">
        <v>95</v>
      </c>
      <c r="J1119" t="s">
        <v>5598</v>
      </c>
      <c r="L1119" t="s">
        <v>300</v>
      </c>
      <c r="M1119" t="s">
        <v>7155</v>
      </c>
    </row>
    <row r="1120" spans="6:13" x14ac:dyDescent="0.25">
      <c r="F1120" t="s">
        <v>2743</v>
      </c>
      <c r="G1120" t="s">
        <v>3453</v>
      </c>
      <c r="I1120" t="s">
        <v>5972</v>
      </c>
      <c r="J1120" t="s">
        <v>6226</v>
      </c>
      <c r="L1120" t="s">
        <v>37</v>
      </c>
      <c r="M1120" t="s">
        <v>1838</v>
      </c>
    </row>
    <row r="1121" spans="6:13" x14ac:dyDescent="0.25">
      <c r="F1121" t="s">
        <v>4743</v>
      </c>
      <c r="G1121" t="s">
        <v>3519</v>
      </c>
      <c r="I1121" t="s">
        <v>5274</v>
      </c>
      <c r="J1121" t="s">
        <v>5399</v>
      </c>
      <c r="L1121" t="s">
        <v>4737</v>
      </c>
      <c r="M1121" t="s">
        <v>3139</v>
      </c>
    </row>
    <row r="1122" spans="6:13" x14ac:dyDescent="0.25">
      <c r="F1122" t="s">
        <v>418</v>
      </c>
      <c r="G1122" t="s">
        <v>4738</v>
      </c>
      <c r="I1122" t="s">
        <v>95</v>
      </c>
      <c r="J1122" t="s">
        <v>6090</v>
      </c>
      <c r="L1122" t="s">
        <v>37</v>
      </c>
      <c r="M1122" t="s">
        <v>7811</v>
      </c>
    </row>
    <row r="1123" spans="6:13" x14ac:dyDescent="0.25">
      <c r="F1123" t="s">
        <v>4428</v>
      </c>
      <c r="G1123" t="s">
        <v>4522</v>
      </c>
      <c r="I1123" t="s">
        <v>5410</v>
      </c>
      <c r="J1123" t="s">
        <v>873</v>
      </c>
      <c r="L1123" t="s">
        <v>313</v>
      </c>
      <c r="M1123" t="s">
        <v>6990</v>
      </c>
    </row>
    <row r="1124" spans="6:13" x14ac:dyDescent="0.25">
      <c r="F1124" t="s">
        <v>4505</v>
      </c>
      <c r="G1124" t="s">
        <v>706</v>
      </c>
      <c r="I1124" t="s">
        <v>2352</v>
      </c>
      <c r="J1124" t="s">
        <v>6508</v>
      </c>
      <c r="L1124" t="s">
        <v>313</v>
      </c>
      <c r="M1124" t="s">
        <v>6990</v>
      </c>
    </row>
    <row r="1125" spans="6:13" x14ac:dyDescent="0.25">
      <c r="F1125" t="s">
        <v>2767</v>
      </c>
      <c r="G1125" t="s">
        <v>3639</v>
      </c>
      <c r="I1125" t="s">
        <v>63</v>
      </c>
      <c r="J1125" t="s">
        <v>3974</v>
      </c>
      <c r="L1125" t="s">
        <v>36</v>
      </c>
      <c r="M1125" t="s">
        <v>7656</v>
      </c>
    </row>
    <row r="1126" spans="6:13" x14ac:dyDescent="0.25">
      <c r="F1126" t="s">
        <v>2745</v>
      </c>
      <c r="G1126" t="s">
        <v>731</v>
      </c>
      <c r="I1126" t="s">
        <v>254</v>
      </c>
      <c r="J1126" t="s">
        <v>1378</v>
      </c>
      <c r="L1126" t="s">
        <v>6391</v>
      </c>
      <c r="M1126" t="s">
        <v>3261</v>
      </c>
    </row>
    <row r="1127" spans="6:13" x14ac:dyDescent="0.25">
      <c r="F1127" t="s">
        <v>37</v>
      </c>
      <c r="G1127" t="s">
        <v>5085</v>
      </c>
      <c r="I1127" t="s">
        <v>5299</v>
      </c>
      <c r="J1127" t="s">
        <v>6696</v>
      </c>
      <c r="L1127" t="s">
        <v>37</v>
      </c>
      <c r="M1127" t="s">
        <v>2126</v>
      </c>
    </row>
    <row r="1128" spans="6:13" x14ac:dyDescent="0.25">
      <c r="F1128" t="s">
        <v>336</v>
      </c>
      <c r="G1128" t="s">
        <v>761</v>
      </c>
      <c r="I1128" t="s">
        <v>6276</v>
      </c>
      <c r="J1128" t="s">
        <v>6277</v>
      </c>
      <c r="L1128" t="s">
        <v>36</v>
      </c>
      <c r="M1128" t="s">
        <v>7246</v>
      </c>
    </row>
    <row r="1129" spans="6:13" x14ac:dyDescent="0.25">
      <c r="F1129" t="s">
        <v>4509</v>
      </c>
      <c r="G1129" t="s">
        <v>4841</v>
      </c>
      <c r="I1129" t="s">
        <v>393</v>
      </c>
      <c r="J1129" t="s">
        <v>6028</v>
      </c>
      <c r="L1129" t="s">
        <v>2720</v>
      </c>
      <c r="M1129" t="s">
        <v>7261</v>
      </c>
    </row>
    <row r="1130" spans="6:13" x14ac:dyDescent="0.25">
      <c r="F1130" t="s">
        <v>482</v>
      </c>
      <c r="G1130" t="s">
        <v>733</v>
      </c>
      <c r="I1130" t="s">
        <v>318</v>
      </c>
      <c r="J1130" t="s">
        <v>6170</v>
      </c>
      <c r="L1130" t="s">
        <v>36</v>
      </c>
      <c r="M1130" t="s">
        <v>3157</v>
      </c>
    </row>
    <row r="1131" spans="6:13" x14ac:dyDescent="0.25">
      <c r="F1131" t="s">
        <v>3854</v>
      </c>
      <c r="G1131" t="s">
        <v>4343</v>
      </c>
      <c r="I1131" t="s">
        <v>5349</v>
      </c>
      <c r="J1131" t="s">
        <v>3890</v>
      </c>
      <c r="L1131" t="s">
        <v>3854</v>
      </c>
      <c r="M1131" t="s">
        <v>4170</v>
      </c>
    </row>
    <row r="1132" spans="6:13" x14ac:dyDescent="0.25">
      <c r="F1132" t="s">
        <v>46</v>
      </c>
      <c r="G1132" t="s">
        <v>3792</v>
      </c>
      <c r="I1132" t="s">
        <v>123</v>
      </c>
      <c r="J1132" t="s">
        <v>5338</v>
      </c>
      <c r="L1132" t="s">
        <v>37</v>
      </c>
      <c r="M1132" t="s">
        <v>6911</v>
      </c>
    </row>
    <row r="1133" spans="6:13" x14ac:dyDescent="0.25">
      <c r="F1133" t="s">
        <v>545</v>
      </c>
      <c r="G1133" t="s">
        <v>741</v>
      </c>
      <c r="I1133" t="s">
        <v>3900</v>
      </c>
      <c r="J1133" t="s">
        <v>5413</v>
      </c>
      <c r="L1133" t="s">
        <v>460</v>
      </c>
      <c r="M1133" t="s">
        <v>1715</v>
      </c>
    </row>
    <row r="1134" spans="6:13" x14ac:dyDescent="0.25">
      <c r="F1134" t="s">
        <v>2767</v>
      </c>
      <c r="G1134" t="s">
        <v>3327</v>
      </c>
      <c r="I1134" t="s">
        <v>5288</v>
      </c>
      <c r="J1134" t="s">
        <v>6458</v>
      </c>
      <c r="L1134" t="s">
        <v>545</v>
      </c>
      <c r="M1134" t="s">
        <v>7642</v>
      </c>
    </row>
    <row r="1135" spans="6:13" x14ac:dyDescent="0.25">
      <c r="F1135" t="s">
        <v>4430</v>
      </c>
      <c r="G1135" t="s">
        <v>4519</v>
      </c>
      <c r="I1135" t="s">
        <v>5779</v>
      </c>
      <c r="J1135" t="s">
        <v>5906</v>
      </c>
      <c r="L1135" t="s">
        <v>418</v>
      </c>
      <c r="M1135" t="s">
        <v>1979</v>
      </c>
    </row>
    <row r="1136" spans="6:13" x14ac:dyDescent="0.25">
      <c r="F1136" t="s">
        <v>4334</v>
      </c>
      <c r="G1136" t="s">
        <v>4344</v>
      </c>
      <c r="I1136" t="s">
        <v>2732</v>
      </c>
      <c r="J1136" t="s">
        <v>2860</v>
      </c>
      <c r="L1136" t="s">
        <v>6867</v>
      </c>
      <c r="M1136" t="s">
        <v>6868</v>
      </c>
    </row>
    <row r="1137" spans="6:13" x14ac:dyDescent="0.25">
      <c r="F1137" t="s">
        <v>5107</v>
      </c>
      <c r="G1137" t="s">
        <v>5108</v>
      </c>
      <c r="I1137" t="s">
        <v>254</v>
      </c>
      <c r="J1137" t="s">
        <v>5648</v>
      </c>
      <c r="L1137" t="s">
        <v>457</v>
      </c>
      <c r="M1137" t="s">
        <v>2076</v>
      </c>
    </row>
    <row r="1138" spans="6:13" x14ac:dyDescent="0.25">
      <c r="F1138" t="s">
        <v>418</v>
      </c>
      <c r="G1138" t="s">
        <v>4689</v>
      </c>
      <c r="I1138" t="s">
        <v>5622</v>
      </c>
      <c r="J1138" t="s">
        <v>2470</v>
      </c>
      <c r="L1138" t="s">
        <v>37</v>
      </c>
      <c r="M1138" t="s">
        <v>7886</v>
      </c>
    </row>
    <row r="1139" spans="6:13" x14ac:dyDescent="0.25">
      <c r="F1139" t="s">
        <v>37</v>
      </c>
      <c r="G1139" t="s">
        <v>5188</v>
      </c>
      <c r="I1139" t="s">
        <v>6605</v>
      </c>
      <c r="J1139" t="s">
        <v>4087</v>
      </c>
      <c r="L1139" t="s">
        <v>4160</v>
      </c>
      <c r="M1139" t="s">
        <v>4178</v>
      </c>
    </row>
    <row r="1140" spans="6:13" x14ac:dyDescent="0.25">
      <c r="F1140" t="s">
        <v>4509</v>
      </c>
      <c r="G1140" t="s">
        <v>4827</v>
      </c>
      <c r="I1140" t="s">
        <v>5507</v>
      </c>
      <c r="J1140" t="s">
        <v>5662</v>
      </c>
      <c r="L1140" t="s">
        <v>95</v>
      </c>
      <c r="M1140" t="s">
        <v>6926</v>
      </c>
    </row>
    <row r="1141" spans="6:13" x14ac:dyDescent="0.25">
      <c r="F1141" t="s">
        <v>2667</v>
      </c>
      <c r="G1141" t="s">
        <v>3463</v>
      </c>
      <c r="I1141" t="s">
        <v>123</v>
      </c>
      <c r="J1141" t="s">
        <v>6147</v>
      </c>
      <c r="L1141" t="s">
        <v>37</v>
      </c>
      <c r="M1141" t="s">
        <v>7790</v>
      </c>
    </row>
    <row r="1142" spans="6:13" x14ac:dyDescent="0.25">
      <c r="F1142" t="s">
        <v>4894</v>
      </c>
      <c r="G1142" t="s">
        <v>4895</v>
      </c>
      <c r="I1142" t="s">
        <v>6549</v>
      </c>
      <c r="J1142" t="s">
        <v>1485</v>
      </c>
      <c r="L1142" t="s">
        <v>2720</v>
      </c>
      <c r="M1142" t="s">
        <v>7874</v>
      </c>
    </row>
    <row r="1143" spans="6:13" x14ac:dyDescent="0.25">
      <c r="F1143" t="s">
        <v>2662</v>
      </c>
      <c r="G1143" t="s">
        <v>3471</v>
      </c>
      <c r="I1143" t="s">
        <v>6250</v>
      </c>
      <c r="J1143" t="s">
        <v>1316</v>
      </c>
      <c r="L1143" t="s">
        <v>4160</v>
      </c>
      <c r="M1143" t="s">
        <v>4291</v>
      </c>
    </row>
    <row r="1144" spans="6:13" x14ac:dyDescent="0.25">
      <c r="F1144" t="s">
        <v>3854</v>
      </c>
      <c r="G1144" t="s">
        <v>4391</v>
      </c>
      <c r="I1144" t="s">
        <v>356</v>
      </c>
      <c r="J1144" t="s">
        <v>3985</v>
      </c>
      <c r="L1144" t="s">
        <v>6912</v>
      </c>
      <c r="M1144" t="s">
        <v>6913</v>
      </c>
    </row>
    <row r="1145" spans="6:13" x14ac:dyDescent="0.25">
      <c r="F1145" t="s">
        <v>2670</v>
      </c>
      <c r="G1145" t="s">
        <v>3310</v>
      </c>
      <c r="I1145" t="s">
        <v>6002</v>
      </c>
      <c r="J1145" t="s">
        <v>6003</v>
      </c>
      <c r="L1145" t="s">
        <v>7786</v>
      </c>
      <c r="M1145" t="s">
        <v>7787</v>
      </c>
    </row>
    <row r="1146" spans="6:13" x14ac:dyDescent="0.25">
      <c r="F1146" t="s">
        <v>37</v>
      </c>
      <c r="G1146" t="s">
        <v>5187</v>
      </c>
      <c r="I1146" t="s">
        <v>47</v>
      </c>
      <c r="J1146" t="s">
        <v>1574</v>
      </c>
      <c r="L1146" t="s">
        <v>545</v>
      </c>
      <c r="M1146" t="s">
        <v>3143</v>
      </c>
    </row>
    <row r="1147" spans="6:13" x14ac:dyDescent="0.25">
      <c r="F1147" t="s">
        <v>95</v>
      </c>
      <c r="G1147" t="s">
        <v>4704</v>
      </c>
      <c r="I1147" t="s">
        <v>39</v>
      </c>
      <c r="J1147" t="s">
        <v>5936</v>
      </c>
      <c r="L1147" t="s">
        <v>95</v>
      </c>
      <c r="M1147" t="s">
        <v>7259</v>
      </c>
    </row>
    <row r="1148" spans="6:13" x14ac:dyDescent="0.25">
      <c r="F1148" t="s">
        <v>5149</v>
      </c>
      <c r="G1148" t="s">
        <v>722</v>
      </c>
      <c r="I1148" t="s">
        <v>6315</v>
      </c>
      <c r="J1148" t="s">
        <v>1354</v>
      </c>
      <c r="L1148" t="s">
        <v>545</v>
      </c>
      <c r="M1148" t="s">
        <v>7264</v>
      </c>
    </row>
    <row r="1149" spans="6:13" x14ac:dyDescent="0.25">
      <c r="F1149" t="s">
        <v>5170</v>
      </c>
      <c r="G1149" t="s">
        <v>722</v>
      </c>
      <c r="I1149" t="s">
        <v>95</v>
      </c>
      <c r="J1149" t="s">
        <v>6159</v>
      </c>
      <c r="L1149" t="s">
        <v>36</v>
      </c>
      <c r="M1149" t="s">
        <v>7567</v>
      </c>
    </row>
    <row r="1150" spans="6:13" x14ac:dyDescent="0.25">
      <c r="F1150" t="s">
        <v>4428</v>
      </c>
      <c r="G1150" t="s">
        <v>4555</v>
      </c>
      <c r="I1150" t="s">
        <v>313</v>
      </c>
      <c r="J1150" t="s">
        <v>896</v>
      </c>
      <c r="L1150" t="s">
        <v>46</v>
      </c>
      <c r="M1150" t="s">
        <v>2348</v>
      </c>
    </row>
    <row r="1151" spans="6:13" x14ac:dyDescent="0.25">
      <c r="F1151" t="s">
        <v>37</v>
      </c>
      <c r="G1151" t="s">
        <v>5042</v>
      </c>
      <c r="I1151" t="s">
        <v>5929</v>
      </c>
      <c r="J1151" t="s">
        <v>1457</v>
      </c>
      <c r="L1151" t="s">
        <v>37</v>
      </c>
      <c r="M1151" t="s">
        <v>7457</v>
      </c>
    </row>
    <row r="1152" spans="6:13" x14ac:dyDescent="0.25">
      <c r="F1152" t="s">
        <v>545</v>
      </c>
      <c r="G1152" t="s">
        <v>4825</v>
      </c>
      <c r="I1152" t="s">
        <v>254</v>
      </c>
      <c r="J1152" t="s">
        <v>3905</v>
      </c>
      <c r="L1152" t="s">
        <v>2720</v>
      </c>
      <c r="M1152" t="s">
        <v>7086</v>
      </c>
    </row>
    <row r="1153" spans="6:13" x14ac:dyDescent="0.25">
      <c r="F1153" t="s">
        <v>95</v>
      </c>
      <c r="G1153" t="s">
        <v>4986</v>
      </c>
      <c r="I1153" t="s">
        <v>254</v>
      </c>
      <c r="J1153" t="s">
        <v>5421</v>
      </c>
      <c r="L1153" t="s">
        <v>46</v>
      </c>
      <c r="M1153" t="s">
        <v>2063</v>
      </c>
    </row>
    <row r="1154" spans="6:13" x14ac:dyDescent="0.25">
      <c r="F1154" t="s">
        <v>2668</v>
      </c>
      <c r="G1154" t="s">
        <v>3525</v>
      </c>
      <c r="I1154" t="s">
        <v>95</v>
      </c>
      <c r="J1154" t="s">
        <v>6174</v>
      </c>
      <c r="L1154" t="s">
        <v>1</v>
      </c>
      <c r="M1154" t="s">
        <v>7616</v>
      </c>
    </row>
    <row r="1155" spans="6:13" x14ac:dyDescent="0.25">
      <c r="F1155" t="s">
        <v>2662</v>
      </c>
      <c r="G1155" t="s">
        <v>3272</v>
      </c>
      <c r="I1155" t="s">
        <v>2741</v>
      </c>
      <c r="J1155" t="s">
        <v>2782</v>
      </c>
      <c r="L1155" t="s">
        <v>37</v>
      </c>
      <c r="M1155" t="s">
        <v>7627</v>
      </c>
    </row>
    <row r="1156" spans="6:13" x14ac:dyDescent="0.25">
      <c r="F1156" t="s">
        <v>4677</v>
      </c>
      <c r="G1156" t="s">
        <v>4678</v>
      </c>
      <c r="I1156" t="s">
        <v>2741</v>
      </c>
      <c r="J1156" t="s">
        <v>7967</v>
      </c>
      <c r="L1156" t="s">
        <v>545</v>
      </c>
      <c r="M1156" t="s">
        <v>7640</v>
      </c>
    </row>
    <row r="1157" spans="6:13" x14ac:dyDescent="0.25">
      <c r="F1157" t="s">
        <v>2670</v>
      </c>
      <c r="G1157" t="s">
        <v>3371</v>
      </c>
      <c r="I1157" t="s">
        <v>4430</v>
      </c>
      <c r="J1157" t="s">
        <v>5945</v>
      </c>
      <c r="L1157" t="s">
        <v>392</v>
      </c>
      <c r="M1157" t="s">
        <v>7546</v>
      </c>
    </row>
    <row r="1158" spans="6:13" x14ac:dyDescent="0.25">
      <c r="F1158" t="s">
        <v>400</v>
      </c>
      <c r="G1158" t="s">
        <v>679</v>
      </c>
      <c r="I1158" t="s">
        <v>3854</v>
      </c>
      <c r="J1158" t="s">
        <v>4109</v>
      </c>
      <c r="L1158" t="s">
        <v>37</v>
      </c>
      <c r="M1158" t="s">
        <v>6933</v>
      </c>
    </row>
    <row r="1159" spans="6:13" x14ac:dyDescent="0.25">
      <c r="F1159" t="s">
        <v>2675</v>
      </c>
      <c r="G1159" t="s">
        <v>3336</v>
      </c>
      <c r="I1159" t="s">
        <v>37</v>
      </c>
      <c r="J1159" t="s">
        <v>1422</v>
      </c>
      <c r="L1159" t="s">
        <v>457</v>
      </c>
      <c r="M1159" t="s">
        <v>2284</v>
      </c>
    </row>
    <row r="1160" spans="6:13" x14ac:dyDescent="0.25">
      <c r="F1160" t="s">
        <v>2671</v>
      </c>
      <c r="G1160" t="s">
        <v>3786</v>
      </c>
      <c r="I1160" t="s">
        <v>6509</v>
      </c>
      <c r="J1160" t="s">
        <v>6510</v>
      </c>
      <c r="L1160" t="s">
        <v>2726</v>
      </c>
      <c r="M1160" t="s">
        <v>3132</v>
      </c>
    </row>
    <row r="1161" spans="6:13" x14ac:dyDescent="0.25">
      <c r="F1161" t="s">
        <v>4765</v>
      </c>
      <c r="G1161" t="s">
        <v>4766</v>
      </c>
      <c r="I1161" t="s">
        <v>392</v>
      </c>
      <c r="J1161" t="s">
        <v>5389</v>
      </c>
      <c r="L1161" t="s">
        <v>2726</v>
      </c>
      <c r="M1161" t="s">
        <v>3154</v>
      </c>
    </row>
    <row r="1162" spans="6:13" x14ac:dyDescent="0.25">
      <c r="F1162" t="s">
        <v>4960</v>
      </c>
      <c r="G1162" t="s">
        <v>4961</v>
      </c>
      <c r="I1162" t="s">
        <v>36</v>
      </c>
      <c r="J1162" t="s">
        <v>5417</v>
      </c>
      <c r="L1162" t="s">
        <v>36</v>
      </c>
      <c r="M1162" t="s">
        <v>7378</v>
      </c>
    </row>
    <row r="1163" spans="6:13" x14ac:dyDescent="0.25">
      <c r="F1163" t="s">
        <v>46</v>
      </c>
      <c r="G1163" t="s">
        <v>3582</v>
      </c>
      <c r="I1163" t="s">
        <v>5836</v>
      </c>
      <c r="J1163" t="s">
        <v>1088</v>
      </c>
      <c r="L1163" t="s">
        <v>2741</v>
      </c>
      <c r="M1163" t="s">
        <v>3135</v>
      </c>
    </row>
    <row r="1164" spans="6:13" x14ac:dyDescent="0.25">
      <c r="F1164" t="s">
        <v>5120</v>
      </c>
      <c r="G1164" t="s">
        <v>3510</v>
      </c>
      <c r="I1164" t="s">
        <v>315</v>
      </c>
      <c r="J1164" t="s">
        <v>2464</v>
      </c>
      <c r="L1164" t="s">
        <v>37</v>
      </c>
      <c r="M1164" t="s">
        <v>2092</v>
      </c>
    </row>
    <row r="1165" spans="6:13" x14ac:dyDescent="0.25">
      <c r="F1165" t="s">
        <v>4334</v>
      </c>
      <c r="G1165" t="s">
        <v>4388</v>
      </c>
      <c r="I1165" t="s">
        <v>5601</v>
      </c>
      <c r="J1165" t="s">
        <v>6753</v>
      </c>
      <c r="L1165" t="s">
        <v>253</v>
      </c>
      <c r="M1165" t="s">
        <v>2169</v>
      </c>
    </row>
    <row r="1166" spans="6:13" x14ac:dyDescent="0.25">
      <c r="F1166" t="s">
        <v>2767</v>
      </c>
      <c r="G1166" t="s">
        <v>3529</v>
      </c>
      <c r="I1166" t="s">
        <v>6141</v>
      </c>
      <c r="J1166" t="s">
        <v>6142</v>
      </c>
      <c r="L1166" t="s">
        <v>443</v>
      </c>
      <c r="M1166" t="s">
        <v>1959</v>
      </c>
    </row>
    <row r="1167" spans="6:13" x14ac:dyDescent="0.25">
      <c r="F1167" t="s">
        <v>4747</v>
      </c>
      <c r="G1167" t="s">
        <v>4748</v>
      </c>
      <c r="I1167" t="s">
        <v>391</v>
      </c>
      <c r="J1167" t="s">
        <v>2512</v>
      </c>
      <c r="L1167" t="s">
        <v>545</v>
      </c>
      <c r="M1167" t="s">
        <v>6881</v>
      </c>
    </row>
    <row r="1168" spans="6:13" x14ac:dyDescent="0.25">
      <c r="F1168" t="s">
        <v>37</v>
      </c>
      <c r="G1168" t="s">
        <v>5070</v>
      </c>
      <c r="I1168" t="s">
        <v>393</v>
      </c>
      <c r="J1168" t="s">
        <v>2988</v>
      </c>
      <c r="L1168" t="s">
        <v>254</v>
      </c>
      <c r="M1168" t="s">
        <v>1678</v>
      </c>
    </row>
    <row r="1169" spans="6:13" x14ac:dyDescent="0.25">
      <c r="F1169" t="s">
        <v>95</v>
      </c>
      <c r="G1169" t="s">
        <v>629</v>
      </c>
      <c r="I1169" t="s">
        <v>5395</v>
      </c>
      <c r="J1169" t="s">
        <v>869</v>
      </c>
      <c r="L1169" t="s">
        <v>1</v>
      </c>
      <c r="M1169" t="s">
        <v>7087</v>
      </c>
    </row>
    <row r="1170" spans="6:13" x14ac:dyDescent="0.25">
      <c r="F1170" t="s">
        <v>4548</v>
      </c>
      <c r="G1170" t="s">
        <v>607</v>
      </c>
      <c r="I1170" t="s">
        <v>47</v>
      </c>
      <c r="J1170" t="s">
        <v>803</v>
      </c>
      <c r="L1170" t="s">
        <v>37</v>
      </c>
      <c r="M1170" t="s">
        <v>7925</v>
      </c>
    </row>
    <row r="1171" spans="6:13" x14ac:dyDescent="0.25">
      <c r="F1171" t="s">
        <v>2741</v>
      </c>
      <c r="G1171" t="s">
        <v>3354</v>
      </c>
      <c r="I1171" t="s">
        <v>39</v>
      </c>
      <c r="J1171" t="s">
        <v>5907</v>
      </c>
      <c r="L1171" t="s">
        <v>7052</v>
      </c>
      <c r="M1171" t="s">
        <v>3106</v>
      </c>
    </row>
    <row r="1172" spans="6:13" x14ac:dyDescent="0.25">
      <c r="F1172" t="s">
        <v>2767</v>
      </c>
      <c r="G1172" t="s">
        <v>3685</v>
      </c>
      <c r="I1172" t="s">
        <v>5274</v>
      </c>
      <c r="J1172" t="s">
        <v>5710</v>
      </c>
      <c r="L1172" t="s">
        <v>280</v>
      </c>
      <c r="M1172" t="s">
        <v>7448</v>
      </c>
    </row>
    <row r="1173" spans="6:13" x14ac:dyDescent="0.25">
      <c r="F1173" t="s">
        <v>5151</v>
      </c>
      <c r="G1173" t="s">
        <v>3596</v>
      </c>
      <c r="I1173" t="s">
        <v>6071</v>
      </c>
      <c r="J1173" t="s">
        <v>1209</v>
      </c>
      <c r="L1173" t="s">
        <v>7331</v>
      </c>
      <c r="M1173" t="s">
        <v>1921</v>
      </c>
    </row>
    <row r="1174" spans="6:13" x14ac:dyDescent="0.25">
      <c r="F1174" t="s">
        <v>2767</v>
      </c>
      <c r="G1174" t="s">
        <v>3557</v>
      </c>
      <c r="I1174" t="s">
        <v>6397</v>
      </c>
      <c r="J1174" t="s">
        <v>1398</v>
      </c>
      <c r="L1174" t="s">
        <v>5721</v>
      </c>
      <c r="M1174" t="s">
        <v>3078</v>
      </c>
    </row>
    <row r="1175" spans="6:13" x14ac:dyDescent="0.25">
      <c r="F1175" t="s">
        <v>4661</v>
      </c>
      <c r="G1175" t="s">
        <v>653</v>
      </c>
      <c r="I1175" t="s">
        <v>15</v>
      </c>
      <c r="J1175" t="s">
        <v>2985</v>
      </c>
      <c r="L1175" t="s">
        <v>7188</v>
      </c>
      <c r="M1175" t="s">
        <v>1756</v>
      </c>
    </row>
    <row r="1176" spans="6:13" x14ac:dyDescent="0.25">
      <c r="F1176" t="s">
        <v>4796</v>
      </c>
      <c r="G1176" t="s">
        <v>4874</v>
      </c>
      <c r="I1176" t="s">
        <v>5864</v>
      </c>
      <c r="J1176" t="s">
        <v>5865</v>
      </c>
      <c r="L1176" t="s">
        <v>5429</v>
      </c>
      <c r="M1176" t="s">
        <v>2071</v>
      </c>
    </row>
    <row r="1177" spans="6:13" x14ac:dyDescent="0.25">
      <c r="F1177" t="s">
        <v>4846</v>
      </c>
      <c r="G1177" t="s">
        <v>713</v>
      </c>
      <c r="I1177" t="s">
        <v>3854</v>
      </c>
      <c r="J1177" t="s">
        <v>4036</v>
      </c>
      <c r="L1177" t="s">
        <v>457</v>
      </c>
      <c r="M1177" t="s">
        <v>1858</v>
      </c>
    </row>
    <row r="1178" spans="6:13" x14ac:dyDescent="0.25">
      <c r="F1178" t="s">
        <v>2670</v>
      </c>
      <c r="G1178" t="s">
        <v>3776</v>
      </c>
      <c r="I1178" t="s">
        <v>6745</v>
      </c>
      <c r="J1178" t="s">
        <v>6746</v>
      </c>
      <c r="L1178" t="s">
        <v>457</v>
      </c>
      <c r="M1178" t="s">
        <v>7077</v>
      </c>
    </row>
    <row r="1179" spans="6:13" x14ac:dyDescent="0.25">
      <c r="F1179" t="s">
        <v>4606</v>
      </c>
      <c r="G1179" t="s">
        <v>4777</v>
      </c>
      <c r="I1179" t="s">
        <v>6478</v>
      </c>
      <c r="J1179" t="s">
        <v>6479</v>
      </c>
      <c r="L1179" t="s">
        <v>457</v>
      </c>
      <c r="M1179" t="s">
        <v>2328</v>
      </c>
    </row>
    <row r="1180" spans="6:13" x14ac:dyDescent="0.25">
      <c r="F1180" t="s">
        <v>4597</v>
      </c>
      <c r="G1180" t="s">
        <v>762</v>
      </c>
      <c r="I1180" t="s">
        <v>313</v>
      </c>
      <c r="J1180" t="s">
        <v>875</v>
      </c>
      <c r="L1180" t="s">
        <v>46</v>
      </c>
      <c r="M1180" t="s">
        <v>2176</v>
      </c>
    </row>
    <row r="1181" spans="6:13" x14ac:dyDescent="0.25">
      <c r="F1181" t="s">
        <v>4806</v>
      </c>
      <c r="G1181" t="s">
        <v>4891</v>
      </c>
      <c r="I1181" t="s">
        <v>37</v>
      </c>
      <c r="J1181" t="s">
        <v>1068</v>
      </c>
      <c r="L1181" t="s">
        <v>7753</v>
      </c>
      <c r="M1181" t="s">
        <v>7754</v>
      </c>
    </row>
    <row r="1182" spans="6:13" x14ac:dyDescent="0.25">
      <c r="F1182" t="s">
        <v>2670</v>
      </c>
      <c r="G1182" t="s">
        <v>3421</v>
      </c>
      <c r="I1182" t="s">
        <v>6427</v>
      </c>
      <c r="J1182" t="s">
        <v>1406</v>
      </c>
      <c r="L1182" t="s">
        <v>36</v>
      </c>
      <c r="M1182" t="s">
        <v>7267</v>
      </c>
    </row>
    <row r="1183" spans="6:13" x14ac:dyDescent="0.25">
      <c r="F1183" t="s">
        <v>4934</v>
      </c>
      <c r="G1183" t="s">
        <v>4935</v>
      </c>
      <c r="I1183" t="s">
        <v>315</v>
      </c>
      <c r="J1183" t="s">
        <v>2501</v>
      </c>
      <c r="L1183" t="s">
        <v>2729</v>
      </c>
      <c r="M1183" t="s">
        <v>3201</v>
      </c>
    </row>
    <row r="1184" spans="6:13" x14ac:dyDescent="0.25">
      <c r="F1184" t="s">
        <v>4606</v>
      </c>
      <c r="G1184" t="s">
        <v>4607</v>
      </c>
      <c r="I1184" t="s">
        <v>313</v>
      </c>
      <c r="J1184" t="s">
        <v>2369</v>
      </c>
      <c r="L1184" t="s">
        <v>457</v>
      </c>
      <c r="M1184" t="s">
        <v>2583</v>
      </c>
    </row>
    <row r="1185" spans="6:13" x14ac:dyDescent="0.25">
      <c r="F1185" t="s">
        <v>4898</v>
      </c>
      <c r="G1185" t="s">
        <v>3687</v>
      </c>
      <c r="I1185" t="s">
        <v>254</v>
      </c>
      <c r="J1185" t="s">
        <v>3953</v>
      </c>
      <c r="L1185" t="s">
        <v>95</v>
      </c>
      <c r="M1185" t="s">
        <v>7658</v>
      </c>
    </row>
    <row r="1186" spans="6:13" x14ac:dyDescent="0.25">
      <c r="F1186" t="s">
        <v>548</v>
      </c>
      <c r="G1186" t="s">
        <v>3348</v>
      </c>
      <c r="I1186" t="s">
        <v>396</v>
      </c>
      <c r="J1186" t="s">
        <v>3876</v>
      </c>
      <c r="L1186" t="s">
        <v>4160</v>
      </c>
      <c r="M1186" t="s">
        <v>4235</v>
      </c>
    </row>
    <row r="1187" spans="6:13" x14ac:dyDescent="0.25">
      <c r="F1187" t="s">
        <v>2738</v>
      </c>
      <c r="G1187" t="s">
        <v>3337</v>
      </c>
      <c r="I1187" t="s">
        <v>5299</v>
      </c>
      <c r="J1187" t="s">
        <v>6354</v>
      </c>
      <c r="L1187" t="s">
        <v>7321</v>
      </c>
      <c r="M1187" t="s">
        <v>7322</v>
      </c>
    </row>
    <row r="1188" spans="6:13" x14ac:dyDescent="0.25">
      <c r="F1188" t="s">
        <v>257</v>
      </c>
      <c r="G1188" t="s">
        <v>668</v>
      </c>
      <c r="I1188" t="s">
        <v>5502</v>
      </c>
      <c r="J1188" t="s">
        <v>3913</v>
      </c>
      <c r="L1188" t="s">
        <v>37</v>
      </c>
      <c r="M1188" t="s">
        <v>1907</v>
      </c>
    </row>
    <row r="1189" spans="6:13" x14ac:dyDescent="0.25">
      <c r="F1189" t="s">
        <v>4509</v>
      </c>
      <c r="G1189" t="s">
        <v>4925</v>
      </c>
      <c r="I1189" t="s">
        <v>95</v>
      </c>
      <c r="J1189" t="s">
        <v>5216</v>
      </c>
      <c r="L1189" t="s">
        <v>7922</v>
      </c>
      <c r="M1189" t="s">
        <v>2034</v>
      </c>
    </row>
    <row r="1190" spans="6:13" x14ac:dyDescent="0.25">
      <c r="F1190" t="s">
        <v>3854</v>
      </c>
      <c r="G1190" t="s">
        <v>4420</v>
      </c>
      <c r="I1190" t="s">
        <v>37</v>
      </c>
      <c r="J1190" t="s">
        <v>1092</v>
      </c>
      <c r="L1190" t="s">
        <v>457</v>
      </c>
      <c r="M1190" t="s">
        <v>2107</v>
      </c>
    </row>
    <row r="1191" spans="6:13" x14ac:dyDescent="0.25">
      <c r="F1191" t="s">
        <v>2666</v>
      </c>
      <c r="G1191" t="s">
        <v>3788</v>
      </c>
      <c r="I1191" t="s">
        <v>315</v>
      </c>
      <c r="J1191" t="s">
        <v>2540</v>
      </c>
      <c r="L1191" t="s">
        <v>137</v>
      </c>
      <c r="M1191" t="s">
        <v>7167</v>
      </c>
    </row>
    <row r="1192" spans="6:13" x14ac:dyDescent="0.25">
      <c r="F1192" t="s">
        <v>4505</v>
      </c>
      <c r="G1192" t="s">
        <v>705</v>
      </c>
      <c r="I1192" t="s">
        <v>6703</v>
      </c>
      <c r="J1192" t="s">
        <v>4110</v>
      </c>
      <c r="L1192" t="s">
        <v>254</v>
      </c>
      <c r="M1192" t="s">
        <v>2056</v>
      </c>
    </row>
    <row r="1193" spans="6:13" x14ac:dyDescent="0.25">
      <c r="F1193" t="s">
        <v>37</v>
      </c>
      <c r="G1193" t="s">
        <v>5205</v>
      </c>
      <c r="I1193" t="s">
        <v>6673</v>
      </c>
      <c r="J1193" t="s">
        <v>6674</v>
      </c>
      <c r="L1193" t="s">
        <v>4242</v>
      </c>
      <c r="M1193" t="s">
        <v>7571</v>
      </c>
    </row>
    <row r="1194" spans="6:13" x14ac:dyDescent="0.25">
      <c r="F1194" t="s">
        <v>4509</v>
      </c>
      <c r="G1194" t="s">
        <v>4822</v>
      </c>
      <c r="I1194" t="s">
        <v>545</v>
      </c>
      <c r="J1194" t="s">
        <v>2814</v>
      </c>
      <c r="L1194" t="s">
        <v>2352</v>
      </c>
      <c r="M1194" t="s">
        <v>7205</v>
      </c>
    </row>
    <row r="1195" spans="6:13" x14ac:dyDescent="0.25">
      <c r="F1195" t="s">
        <v>37</v>
      </c>
      <c r="G1195" t="s">
        <v>5025</v>
      </c>
      <c r="I1195" t="s">
        <v>95</v>
      </c>
      <c r="J1195" t="s">
        <v>5225</v>
      </c>
      <c r="L1195" t="s">
        <v>293</v>
      </c>
      <c r="M1195" t="s">
        <v>7394</v>
      </c>
    </row>
    <row r="1196" spans="6:13" x14ac:dyDescent="0.25">
      <c r="F1196" t="s">
        <v>5101</v>
      </c>
      <c r="G1196" t="s">
        <v>4690</v>
      </c>
      <c r="I1196" t="s">
        <v>396</v>
      </c>
      <c r="J1196" t="s">
        <v>1216</v>
      </c>
      <c r="L1196" t="s">
        <v>7823</v>
      </c>
      <c r="M1196" t="s">
        <v>7824</v>
      </c>
    </row>
    <row r="1197" spans="6:13" x14ac:dyDescent="0.25">
      <c r="F1197" t="s">
        <v>4734</v>
      </c>
      <c r="G1197" t="s">
        <v>4735</v>
      </c>
      <c r="I1197" t="s">
        <v>283</v>
      </c>
      <c r="J1197" t="s">
        <v>2461</v>
      </c>
      <c r="L1197" t="s">
        <v>283</v>
      </c>
      <c r="M1197" t="s">
        <v>3224</v>
      </c>
    </row>
    <row r="1198" spans="6:13" x14ac:dyDescent="0.25">
      <c r="F1198" t="s">
        <v>39</v>
      </c>
      <c r="G1198" t="s">
        <v>4575</v>
      </c>
      <c r="I1198" t="s">
        <v>2352</v>
      </c>
      <c r="J1198" t="s">
        <v>3886</v>
      </c>
      <c r="L1198" t="s">
        <v>313</v>
      </c>
      <c r="M1198" t="s">
        <v>7813</v>
      </c>
    </row>
    <row r="1199" spans="6:13" x14ac:dyDescent="0.25">
      <c r="F1199" t="s">
        <v>4509</v>
      </c>
      <c r="G1199" t="s">
        <v>4622</v>
      </c>
      <c r="I1199" t="s">
        <v>315</v>
      </c>
      <c r="J1199" t="s">
        <v>2486</v>
      </c>
      <c r="L1199" t="s">
        <v>254</v>
      </c>
      <c r="M1199" t="s">
        <v>2347</v>
      </c>
    </row>
    <row r="1200" spans="6:13" x14ac:dyDescent="0.25">
      <c r="F1200" t="s">
        <v>5160</v>
      </c>
      <c r="G1200" t="s">
        <v>4849</v>
      </c>
      <c r="I1200" t="s">
        <v>254</v>
      </c>
      <c r="J1200" t="s">
        <v>5230</v>
      </c>
      <c r="L1200" t="s">
        <v>7537</v>
      </c>
      <c r="M1200" t="s">
        <v>7538</v>
      </c>
    </row>
    <row r="1201" spans="6:13" x14ac:dyDescent="0.25">
      <c r="F1201" t="s">
        <v>39</v>
      </c>
      <c r="G1201" t="s">
        <v>4883</v>
      </c>
      <c r="I1201" t="s">
        <v>6537</v>
      </c>
      <c r="J1201" t="s">
        <v>6538</v>
      </c>
      <c r="L1201" t="s">
        <v>49</v>
      </c>
      <c r="M1201" t="s">
        <v>7698</v>
      </c>
    </row>
    <row r="1202" spans="6:13" x14ac:dyDescent="0.25">
      <c r="F1202" t="s">
        <v>2667</v>
      </c>
      <c r="G1202" t="s">
        <v>3623</v>
      </c>
      <c r="I1202" t="s">
        <v>548</v>
      </c>
      <c r="J1202" t="s">
        <v>1489</v>
      </c>
      <c r="L1202" t="s">
        <v>548</v>
      </c>
      <c r="M1202" t="s">
        <v>7879</v>
      </c>
    </row>
    <row r="1203" spans="6:13" x14ac:dyDescent="0.25">
      <c r="F1203" t="s">
        <v>4310</v>
      </c>
      <c r="G1203" t="s">
        <v>4373</v>
      </c>
      <c r="I1203" t="s">
        <v>548</v>
      </c>
      <c r="J1203" t="s">
        <v>7977</v>
      </c>
      <c r="L1203" t="s">
        <v>548</v>
      </c>
      <c r="M1203" t="s">
        <v>7879</v>
      </c>
    </row>
    <row r="1204" spans="6:13" x14ac:dyDescent="0.25">
      <c r="F1204" t="s">
        <v>545</v>
      </c>
      <c r="G1204" t="s">
        <v>4761</v>
      </c>
      <c r="I1204" t="s">
        <v>3854</v>
      </c>
      <c r="J1204" t="s">
        <v>4123</v>
      </c>
      <c r="L1204" t="s">
        <v>7841</v>
      </c>
      <c r="M1204" t="s">
        <v>2157</v>
      </c>
    </row>
    <row r="1205" spans="6:13" x14ac:dyDescent="0.25">
      <c r="F1205" t="s">
        <v>37</v>
      </c>
      <c r="G1205" t="s">
        <v>5204</v>
      </c>
      <c r="I1205" t="s">
        <v>5560</v>
      </c>
      <c r="J1205" t="s">
        <v>942</v>
      </c>
      <c r="L1205" t="s">
        <v>95</v>
      </c>
      <c r="M1205" t="s">
        <v>3235</v>
      </c>
    </row>
    <row r="1206" spans="6:13" x14ac:dyDescent="0.25">
      <c r="F1206" t="s">
        <v>2678</v>
      </c>
      <c r="G1206" t="s">
        <v>3584</v>
      </c>
      <c r="I1206" t="s">
        <v>6427</v>
      </c>
      <c r="J1206" t="s">
        <v>1433</v>
      </c>
      <c r="L1206" t="s">
        <v>253</v>
      </c>
      <c r="M1206" t="s">
        <v>1825</v>
      </c>
    </row>
    <row r="1207" spans="6:13" x14ac:dyDescent="0.25">
      <c r="F1207" t="s">
        <v>4968</v>
      </c>
      <c r="G1207" t="s">
        <v>3785</v>
      </c>
      <c r="I1207" t="s">
        <v>254</v>
      </c>
      <c r="J1207" t="s">
        <v>5484</v>
      </c>
      <c r="L1207" t="s">
        <v>37</v>
      </c>
      <c r="M1207" t="s">
        <v>7164</v>
      </c>
    </row>
    <row r="1208" spans="6:13" x14ac:dyDescent="0.25">
      <c r="F1208" t="s">
        <v>482</v>
      </c>
      <c r="G1208" t="s">
        <v>5033</v>
      </c>
      <c r="I1208" t="s">
        <v>254</v>
      </c>
      <c r="J1208" t="s">
        <v>6456</v>
      </c>
      <c r="L1208" t="s">
        <v>2352</v>
      </c>
      <c r="M1208" t="s">
        <v>4195</v>
      </c>
    </row>
    <row r="1209" spans="6:13" x14ac:dyDescent="0.25">
      <c r="F1209" t="s">
        <v>482</v>
      </c>
      <c r="G1209" t="s">
        <v>5035</v>
      </c>
      <c r="I1209" t="s">
        <v>400</v>
      </c>
      <c r="J1209" t="s">
        <v>5563</v>
      </c>
      <c r="L1209" t="s">
        <v>457</v>
      </c>
      <c r="M1209" t="s">
        <v>2086</v>
      </c>
    </row>
    <row r="1210" spans="6:13" x14ac:dyDescent="0.25">
      <c r="F1210" t="s">
        <v>4312</v>
      </c>
      <c r="G1210" t="s">
        <v>4313</v>
      </c>
      <c r="I1210" t="s">
        <v>123</v>
      </c>
      <c r="J1210" t="s">
        <v>6769</v>
      </c>
      <c r="L1210" t="s">
        <v>254</v>
      </c>
      <c r="M1210" t="s">
        <v>1829</v>
      </c>
    </row>
    <row r="1211" spans="6:13" x14ac:dyDescent="0.25">
      <c r="F1211" t="s">
        <v>36</v>
      </c>
      <c r="G1211" t="s">
        <v>4772</v>
      </c>
      <c r="I1211" t="s">
        <v>5316</v>
      </c>
      <c r="J1211" t="s">
        <v>5317</v>
      </c>
      <c r="L1211" t="s">
        <v>289</v>
      </c>
      <c r="M1211" t="s">
        <v>7659</v>
      </c>
    </row>
    <row r="1212" spans="6:13" x14ac:dyDescent="0.25">
      <c r="F1212" t="s">
        <v>4744</v>
      </c>
      <c r="G1212" t="s">
        <v>3520</v>
      </c>
      <c r="I1212" t="s">
        <v>3854</v>
      </c>
      <c r="J1212" t="s">
        <v>3977</v>
      </c>
      <c r="L1212" t="s">
        <v>280</v>
      </c>
      <c r="M1212" t="s">
        <v>7921</v>
      </c>
    </row>
    <row r="1213" spans="6:13" x14ac:dyDescent="0.25">
      <c r="F1213" t="s">
        <v>37</v>
      </c>
      <c r="G1213" t="s">
        <v>5153</v>
      </c>
      <c r="I1213" t="s">
        <v>313</v>
      </c>
      <c r="J1213" t="s">
        <v>776</v>
      </c>
      <c r="L1213" t="s">
        <v>7520</v>
      </c>
      <c r="M1213" t="s">
        <v>2044</v>
      </c>
    </row>
    <row r="1214" spans="6:13" x14ac:dyDescent="0.25">
      <c r="F1214" t="s">
        <v>37</v>
      </c>
      <c r="G1214" t="s">
        <v>671</v>
      </c>
      <c r="I1214" t="s">
        <v>5293</v>
      </c>
      <c r="J1214" t="s">
        <v>1360</v>
      </c>
      <c r="L1214" t="s">
        <v>47</v>
      </c>
      <c r="M1214" t="s">
        <v>7371</v>
      </c>
    </row>
    <row r="1215" spans="6:13" x14ac:dyDescent="0.25">
      <c r="F1215" t="s">
        <v>37</v>
      </c>
      <c r="G1215" t="s">
        <v>5088</v>
      </c>
      <c r="I1215" t="s">
        <v>123</v>
      </c>
      <c r="J1215" t="s">
        <v>6462</v>
      </c>
      <c r="L1215" t="s">
        <v>7369</v>
      </c>
      <c r="M1215" t="s">
        <v>3223</v>
      </c>
    </row>
    <row r="1216" spans="6:13" x14ac:dyDescent="0.25">
      <c r="F1216" t="s">
        <v>4509</v>
      </c>
      <c r="G1216" t="s">
        <v>4729</v>
      </c>
      <c r="I1216" t="s">
        <v>6713</v>
      </c>
      <c r="J1216" t="s">
        <v>1569</v>
      </c>
      <c r="L1216" t="s">
        <v>3916</v>
      </c>
      <c r="M1216" t="s">
        <v>4198</v>
      </c>
    </row>
    <row r="1217" spans="6:13" x14ac:dyDescent="0.25">
      <c r="F1217" t="s">
        <v>46</v>
      </c>
      <c r="G1217" t="s">
        <v>3678</v>
      </c>
      <c r="I1217" t="s">
        <v>2741</v>
      </c>
      <c r="J1217" t="s">
        <v>2906</v>
      </c>
      <c r="L1217" t="s">
        <v>289</v>
      </c>
      <c r="M1217" t="s">
        <v>2599</v>
      </c>
    </row>
    <row r="1218" spans="6:13" x14ac:dyDescent="0.25">
      <c r="F1218" t="s">
        <v>3854</v>
      </c>
      <c r="G1218" t="s">
        <v>4322</v>
      </c>
      <c r="I1218" t="s">
        <v>2741</v>
      </c>
      <c r="J1218" t="s">
        <v>3961</v>
      </c>
      <c r="L1218" t="s">
        <v>4190</v>
      </c>
      <c r="M1218" t="s">
        <v>4283</v>
      </c>
    </row>
    <row r="1219" spans="6:13" x14ac:dyDescent="0.25">
      <c r="F1219" t="s">
        <v>48</v>
      </c>
      <c r="G1219" t="s">
        <v>4818</v>
      </c>
      <c r="I1219" t="s">
        <v>5824</v>
      </c>
      <c r="J1219" t="s">
        <v>1081</v>
      </c>
      <c r="L1219" t="s">
        <v>3854</v>
      </c>
      <c r="M1219" t="s">
        <v>4289</v>
      </c>
    </row>
    <row r="1220" spans="6:13" x14ac:dyDescent="0.25">
      <c r="F1220" t="s">
        <v>37</v>
      </c>
      <c r="G1220" t="s">
        <v>4609</v>
      </c>
      <c r="I1220" t="s">
        <v>95</v>
      </c>
      <c r="J1220" t="s">
        <v>5569</v>
      </c>
      <c r="L1220" t="s">
        <v>7017</v>
      </c>
      <c r="M1220" t="s">
        <v>1882</v>
      </c>
    </row>
    <row r="1221" spans="6:13" x14ac:dyDescent="0.25">
      <c r="F1221" t="s">
        <v>4945</v>
      </c>
      <c r="G1221" t="s">
        <v>750</v>
      </c>
      <c r="I1221" t="s">
        <v>3908</v>
      </c>
      <c r="J1221" t="s">
        <v>4089</v>
      </c>
      <c r="L1221" t="s">
        <v>4190</v>
      </c>
      <c r="M1221" t="s">
        <v>4266</v>
      </c>
    </row>
    <row r="1222" spans="6:13" x14ac:dyDescent="0.25">
      <c r="F1222" t="s">
        <v>4310</v>
      </c>
      <c r="G1222" t="s">
        <v>4411</v>
      </c>
      <c r="I1222" t="s">
        <v>2766</v>
      </c>
      <c r="J1222" t="s">
        <v>2909</v>
      </c>
      <c r="L1222" t="s">
        <v>2720</v>
      </c>
      <c r="M1222" t="s">
        <v>7424</v>
      </c>
    </row>
    <row r="1223" spans="6:13" x14ac:dyDescent="0.25">
      <c r="F1223" t="s">
        <v>2670</v>
      </c>
      <c r="G1223" t="s">
        <v>3756</v>
      </c>
      <c r="I1223" t="s">
        <v>5830</v>
      </c>
      <c r="J1223" t="s">
        <v>5976</v>
      </c>
      <c r="L1223" t="s">
        <v>457</v>
      </c>
      <c r="M1223" t="s">
        <v>2316</v>
      </c>
    </row>
    <row r="1224" spans="6:13" x14ac:dyDescent="0.25">
      <c r="F1224" t="s">
        <v>37</v>
      </c>
      <c r="G1224" t="s">
        <v>5058</v>
      </c>
      <c r="I1224" t="s">
        <v>2738</v>
      </c>
      <c r="J1224" t="s">
        <v>2770</v>
      </c>
      <c r="L1224" t="s">
        <v>137</v>
      </c>
      <c r="M1224" t="s">
        <v>7060</v>
      </c>
    </row>
    <row r="1225" spans="6:13" x14ac:dyDescent="0.25">
      <c r="F1225" t="s">
        <v>2680</v>
      </c>
      <c r="G1225" t="s">
        <v>3743</v>
      </c>
      <c r="I1225" t="s">
        <v>313</v>
      </c>
      <c r="J1225" t="s">
        <v>1434</v>
      </c>
      <c r="L1225" t="s">
        <v>460</v>
      </c>
      <c r="M1225" t="s">
        <v>2145</v>
      </c>
    </row>
    <row r="1226" spans="6:13" x14ac:dyDescent="0.25">
      <c r="F1226" t="s">
        <v>95</v>
      </c>
      <c r="G1226" t="s">
        <v>4712</v>
      </c>
      <c r="I1226" t="s">
        <v>2736</v>
      </c>
      <c r="J1226" t="s">
        <v>4065</v>
      </c>
      <c r="L1226" t="s">
        <v>450</v>
      </c>
      <c r="M1226" t="s">
        <v>2030</v>
      </c>
    </row>
    <row r="1227" spans="6:13" x14ac:dyDescent="0.25">
      <c r="F1227" t="s">
        <v>95</v>
      </c>
      <c r="G1227" t="s">
        <v>3711</v>
      </c>
      <c r="I1227" t="s">
        <v>2736</v>
      </c>
      <c r="J1227" t="s">
        <v>2986</v>
      </c>
      <c r="L1227" t="s">
        <v>460</v>
      </c>
      <c r="M1227" t="s">
        <v>2190</v>
      </c>
    </row>
    <row r="1228" spans="6:13" x14ac:dyDescent="0.25">
      <c r="F1228" t="s">
        <v>5162</v>
      </c>
      <c r="G1228" t="s">
        <v>5163</v>
      </c>
      <c r="I1228" t="s">
        <v>2726</v>
      </c>
      <c r="J1228" t="s">
        <v>2889</v>
      </c>
      <c r="L1228" t="s">
        <v>548</v>
      </c>
      <c r="M1228" t="s">
        <v>7163</v>
      </c>
    </row>
    <row r="1229" spans="6:13" x14ac:dyDescent="0.25">
      <c r="F1229" t="s">
        <v>2745</v>
      </c>
      <c r="G1229" t="s">
        <v>4685</v>
      </c>
      <c r="I1229" t="s">
        <v>2736</v>
      </c>
      <c r="J1229" t="s">
        <v>2862</v>
      </c>
      <c r="L1229" t="s">
        <v>548</v>
      </c>
      <c r="M1229" t="s">
        <v>7163</v>
      </c>
    </row>
    <row r="1230" spans="6:13" x14ac:dyDescent="0.25">
      <c r="F1230" t="s">
        <v>2726</v>
      </c>
      <c r="G1230" t="s">
        <v>3566</v>
      </c>
      <c r="I1230" t="s">
        <v>2723</v>
      </c>
      <c r="J1230" t="s">
        <v>2824</v>
      </c>
      <c r="L1230" t="s">
        <v>95</v>
      </c>
      <c r="M1230" t="s">
        <v>7776</v>
      </c>
    </row>
    <row r="1231" spans="6:13" x14ac:dyDescent="0.25">
      <c r="F1231" t="s">
        <v>2741</v>
      </c>
      <c r="G1231" t="s">
        <v>3805</v>
      </c>
      <c r="I1231" t="s">
        <v>6768</v>
      </c>
      <c r="J1231" t="s">
        <v>1592</v>
      </c>
      <c r="L1231" t="s">
        <v>289</v>
      </c>
      <c r="M1231" t="s">
        <v>2593</v>
      </c>
    </row>
    <row r="1232" spans="6:13" x14ac:dyDescent="0.25">
      <c r="F1232" t="s">
        <v>37</v>
      </c>
      <c r="G1232" t="s">
        <v>710</v>
      </c>
      <c r="I1232" t="s">
        <v>17</v>
      </c>
      <c r="J1232" t="s">
        <v>5406</v>
      </c>
      <c r="L1232" t="s">
        <v>4190</v>
      </c>
      <c r="M1232" t="s">
        <v>4239</v>
      </c>
    </row>
    <row r="1233" spans="6:13" x14ac:dyDescent="0.25">
      <c r="F1233" t="s">
        <v>4312</v>
      </c>
      <c r="G1233" t="s">
        <v>4367</v>
      </c>
      <c r="I1233" t="s">
        <v>5992</v>
      </c>
      <c r="J1233" t="s">
        <v>1167</v>
      </c>
      <c r="L1233" t="s">
        <v>280</v>
      </c>
      <c r="M1233" t="s">
        <v>1742</v>
      </c>
    </row>
    <row r="1234" spans="6:13" x14ac:dyDescent="0.25">
      <c r="F1234" t="s">
        <v>37</v>
      </c>
      <c r="G1234" t="s">
        <v>5030</v>
      </c>
      <c r="I1234" t="s">
        <v>313</v>
      </c>
      <c r="J1234" t="s">
        <v>887</v>
      </c>
      <c r="L1234" t="s">
        <v>2741</v>
      </c>
      <c r="M1234" t="s">
        <v>3260</v>
      </c>
    </row>
    <row r="1235" spans="6:13" x14ac:dyDescent="0.25">
      <c r="F1235" t="s">
        <v>2674</v>
      </c>
      <c r="G1235" t="s">
        <v>3340</v>
      </c>
      <c r="I1235" t="s">
        <v>5459</v>
      </c>
      <c r="J1235" t="s">
        <v>893</v>
      </c>
      <c r="L1235" t="s">
        <v>122</v>
      </c>
      <c r="M1235" t="s">
        <v>7562</v>
      </c>
    </row>
    <row r="1236" spans="6:13" x14ac:dyDescent="0.25">
      <c r="F1236" t="s">
        <v>46</v>
      </c>
      <c r="G1236" t="s">
        <v>3302</v>
      </c>
      <c r="I1236" t="s">
        <v>122</v>
      </c>
      <c r="J1236" t="s">
        <v>2531</v>
      </c>
      <c r="L1236" t="s">
        <v>2720</v>
      </c>
      <c r="M1236" t="s">
        <v>7072</v>
      </c>
    </row>
    <row r="1237" spans="6:13" x14ac:dyDescent="0.25">
      <c r="F1237" t="s">
        <v>482</v>
      </c>
      <c r="G1237" t="s">
        <v>5159</v>
      </c>
      <c r="I1237" t="s">
        <v>254</v>
      </c>
      <c r="J1237" t="s">
        <v>4004</v>
      </c>
      <c r="L1237" t="s">
        <v>45</v>
      </c>
      <c r="M1237" t="s">
        <v>1942</v>
      </c>
    </row>
    <row r="1238" spans="6:13" x14ac:dyDescent="0.25">
      <c r="F1238" t="s">
        <v>37</v>
      </c>
      <c r="G1238" t="s">
        <v>4726</v>
      </c>
      <c r="I1238" t="s">
        <v>516</v>
      </c>
      <c r="J1238" t="s">
        <v>5862</v>
      </c>
      <c r="L1238" t="s">
        <v>289</v>
      </c>
      <c r="M1238" t="s">
        <v>7801</v>
      </c>
    </row>
    <row r="1239" spans="6:13" x14ac:dyDescent="0.25">
      <c r="F1239" t="s">
        <v>4428</v>
      </c>
      <c r="G1239" t="s">
        <v>4757</v>
      </c>
      <c r="I1239" t="s">
        <v>123</v>
      </c>
      <c r="J1239" t="s">
        <v>6596</v>
      </c>
      <c r="L1239" t="s">
        <v>7759</v>
      </c>
      <c r="M1239" t="s">
        <v>7760</v>
      </c>
    </row>
    <row r="1240" spans="6:13" x14ac:dyDescent="0.25">
      <c r="F1240" t="s">
        <v>4708</v>
      </c>
      <c r="G1240" t="s">
        <v>672</v>
      </c>
      <c r="I1240" t="s">
        <v>5711</v>
      </c>
      <c r="J1240" t="s">
        <v>1029</v>
      </c>
      <c r="L1240" t="s">
        <v>122</v>
      </c>
      <c r="M1240" t="s">
        <v>6864</v>
      </c>
    </row>
    <row r="1241" spans="6:13" x14ac:dyDescent="0.25">
      <c r="F1241" t="s">
        <v>37</v>
      </c>
      <c r="G1241" t="s">
        <v>669</v>
      </c>
      <c r="I1241" t="s">
        <v>6573</v>
      </c>
      <c r="J1241" t="s">
        <v>1502</v>
      </c>
      <c r="L1241" t="s">
        <v>3854</v>
      </c>
      <c r="M1241" t="s">
        <v>4172</v>
      </c>
    </row>
    <row r="1242" spans="6:13" x14ac:dyDescent="0.25">
      <c r="F1242" t="s">
        <v>2670</v>
      </c>
      <c r="G1242" t="s">
        <v>3401</v>
      </c>
      <c r="I1242" t="s">
        <v>95</v>
      </c>
      <c r="J1242" t="s">
        <v>5636</v>
      </c>
      <c r="L1242" t="s">
        <v>392</v>
      </c>
      <c r="M1242" t="s">
        <v>7600</v>
      </c>
    </row>
    <row r="1243" spans="6:13" x14ac:dyDescent="0.25">
      <c r="F1243" t="s">
        <v>2723</v>
      </c>
      <c r="G1243" t="s">
        <v>3690</v>
      </c>
      <c r="I1243" t="s">
        <v>95</v>
      </c>
      <c r="J1243" t="s">
        <v>2981</v>
      </c>
      <c r="L1243" t="s">
        <v>2720</v>
      </c>
      <c r="M1243" t="s">
        <v>7488</v>
      </c>
    </row>
    <row r="1244" spans="6:13" x14ac:dyDescent="0.25">
      <c r="F1244" t="s">
        <v>2670</v>
      </c>
      <c r="G1244" t="s">
        <v>3610</v>
      </c>
      <c r="I1244" t="s">
        <v>6602</v>
      </c>
      <c r="J1244" t="s">
        <v>6603</v>
      </c>
      <c r="L1244" t="s">
        <v>289</v>
      </c>
      <c r="M1244" t="s">
        <v>2595</v>
      </c>
    </row>
    <row r="1245" spans="6:13" x14ac:dyDescent="0.25">
      <c r="F1245" t="s">
        <v>2671</v>
      </c>
      <c r="G1245" t="s">
        <v>3290</v>
      </c>
      <c r="I1245" t="s">
        <v>396</v>
      </c>
      <c r="J1245" t="s">
        <v>6007</v>
      </c>
      <c r="L1245" t="s">
        <v>37</v>
      </c>
      <c r="M1245" t="s">
        <v>7265</v>
      </c>
    </row>
    <row r="1246" spans="6:13" x14ac:dyDescent="0.25">
      <c r="F1246" t="s">
        <v>3854</v>
      </c>
      <c r="G1246" t="s">
        <v>4317</v>
      </c>
      <c r="I1246" t="s">
        <v>4858</v>
      </c>
      <c r="J1246" t="s">
        <v>6337</v>
      </c>
      <c r="L1246" t="s">
        <v>2352</v>
      </c>
      <c r="M1246" t="s">
        <v>7335</v>
      </c>
    </row>
    <row r="1247" spans="6:13" x14ac:dyDescent="0.25">
      <c r="F1247" t="s">
        <v>2670</v>
      </c>
      <c r="G1247" t="s">
        <v>3289</v>
      </c>
      <c r="I1247" t="s">
        <v>254</v>
      </c>
      <c r="J1247" t="s">
        <v>6560</v>
      </c>
      <c r="L1247" t="s">
        <v>7024</v>
      </c>
      <c r="M1247" t="s">
        <v>7245</v>
      </c>
    </row>
    <row r="1248" spans="6:13" x14ac:dyDescent="0.25">
      <c r="F1248" t="s">
        <v>4509</v>
      </c>
      <c r="G1248" t="s">
        <v>4787</v>
      </c>
      <c r="I1248" t="s">
        <v>338</v>
      </c>
      <c r="J1248" t="s">
        <v>2792</v>
      </c>
      <c r="L1248" t="s">
        <v>6165</v>
      </c>
      <c r="M1248" t="s">
        <v>1992</v>
      </c>
    </row>
    <row r="1249" spans="6:13" x14ac:dyDescent="0.25">
      <c r="F1249" t="s">
        <v>46</v>
      </c>
      <c r="G1249" t="s">
        <v>3611</v>
      </c>
      <c r="I1249" t="s">
        <v>289</v>
      </c>
      <c r="J1249" t="s">
        <v>933</v>
      </c>
      <c r="L1249" t="s">
        <v>457</v>
      </c>
      <c r="M1249" t="s">
        <v>2296</v>
      </c>
    </row>
    <row r="1250" spans="6:13" x14ac:dyDescent="0.25">
      <c r="F1250" t="s">
        <v>4509</v>
      </c>
      <c r="G1250" t="s">
        <v>4600</v>
      </c>
      <c r="I1250" t="s">
        <v>5349</v>
      </c>
      <c r="J1250" t="s">
        <v>1554</v>
      </c>
      <c r="L1250" t="s">
        <v>311</v>
      </c>
      <c r="M1250" t="s">
        <v>1666</v>
      </c>
    </row>
    <row r="1251" spans="6:13" x14ac:dyDescent="0.25">
      <c r="F1251" t="s">
        <v>2680</v>
      </c>
      <c r="G1251" t="s">
        <v>3432</v>
      </c>
      <c r="I1251" t="s">
        <v>6854</v>
      </c>
      <c r="J1251" t="s">
        <v>1639</v>
      </c>
      <c r="L1251" t="s">
        <v>7117</v>
      </c>
      <c r="M1251" t="s">
        <v>7490</v>
      </c>
    </row>
    <row r="1252" spans="6:13" x14ac:dyDescent="0.25">
      <c r="F1252" t="s">
        <v>37</v>
      </c>
      <c r="G1252" t="s">
        <v>626</v>
      </c>
      <c r="I1252" t="s">
        <v>3908</v>
      </c>
      <c r="J1252" t="s">
        <v>3909</v>
      </c>
      <c r="L1252" t="s">
        <v>457</v>
      </c>
      <c r="M1252" t="s">
        <v>2196</v>
      </c>
    </row>
    <row r="1253" spans="6:13" x14ac:dyDescent="0.25">
      <c r="F1253" t="s">
        <v>2670</v>
      </c>
      <c r="G1253" t="s">
        <v>3386</v>
      </c>
      <c r="I1253" t="s">
        <v>5374</v>
      </c>
      <c r="J1253" t="s">
        <v>2453</v>
      </c>
      <c r="L1253" t="s">
        <v>1</v>
      </c>
      <c r="M1253" t="s">
        <v>7547</v>
      </c>
    </row>
    <row r="1254" spans="6:13" x14ac:dyDescent="0.25">
      <c r="F1254" t="s">
        <v>5024</v>
      </c>
      <c r="G1254" t="s">
        <v>4605</v>
      </c>
      <c r="I1254" t="s">
        <v>276</v>
      </c>
      <c r="J1254" t="s">
        <v>1289</v>
      </c>
      <c r="L1254" t="s">
        <v>457</v>
      </c>
      <c r="M1254" t="s">
        <v>2014</v>
      </c>
    </row>
    <row r="1255" spans="6:13" x14ac:dyDescent="0.25">
      <c r="F1255" t="s">
        <v>5061</v>
      </c>
      <c r="G1255" t="s">
        <v>4605</v>
      </c>
      <c r="I1255" t="s">
        <v>95</v>
      </c>
      <c r="J1255" t="s">
        <v>5235</v>
      </c>
      <c r="L1255" t="s">
        <v>392</v>
      </c>
      <c r="M1255" t="s">
        <v>6989</v>
      </c>
    </row>
    <row r="1256" spans="6:13" x14ac:dyDescent="0.25">
      <c r="F1256" t="s">
        <v>256</v>
      </c>
      <c r="G1256" t="s">
        <v>4955</v>
      </c>
      <c r="I1256" t="s">
        <v>95</v>
      </c>
      <c r="J1256" t="s">
        <v>5639</v>
      </c>
      <c r="L1256" t="s">
        <v>137</v>
      </c>
      <c r="M1256" t="s">
        <v>7889</v>
      </c>
    </row>
    <row r="1257" spans="6:13" x14ac:dyDescent="0.25">
      <c r="F1257" t="s">
        <v>482</v>
      </c>
      <c r="G1257" t="s">
        <v>3370</v>
      </c>
      <c r="I1257" t="s">
        <v>122</v>
      </c>
      <c r="J1257" t="s">
        <v>2465</v>
      </c>
      <c r="L1257" t="s">
        <v>2720</v>
      </c>
      <c r="M1257" t="s">
        <v>2585</v>
      </c>
    </row>
    <row r="1258" spans="6:13" x14ac:dyDescent="0.25">
      <c r="F1258" t="s">
        <v>4999</v>
      </c>
      <c r="G1258" t="s">
        <v>5000</v>
      </c>
      <c r="I1258" t="s">
        <v>278</v>
      </c>
      <c r="J1258" t="s">
        <v>1371</v>
      </c>
      <c r="L1258" t="s">
        <v>37</v>
      </c>
      <c r="M1258" t="s">
        <v>7128</v>
      </c>
    </row>
    <row r="1259" spans="6:13" x14ac:dyDescent="0.25">
      <c r="F1259" t="s">
        <v>4876</v>
      </c>
      <c r="G1259" t="s">
        <v>4877</v>
      </c>
      <c r="I1259" t="s">
        <v>122</v>
      </c>
      <c r="J1259" t="s">
        <v>2528</v>
      </c>
      <c r="L1259" t="s">
        <v>7114</v>
      </c>
      <c r="M1259" t="s">
        <v>2173</v>
      </c>
    </row>
    <row r="1260" spans="6:13" x14ac:dyDescent="0.25">
      <c r="F1260" t="s">
        <v>2670</v>
      </c>
      <c r="G1260" t="s">
        <v>3536</v>
      </c>
      <c r="I1260" t="s">
        <v>4</v>
      </c>
      <c r="J1260" t="s">
        <v>1442</v>
      </c>
      <c r="L1260" t="s">
        <v>7733</v>
      </c>
      <c r="M1260" t="s">
        <v>7734</v>
      </c>
    </row>
    <row r="1261" spans="6:13" x14ac:dyDescent="0.25">
      <c r="F1261" t="s">
        <v>4509</v>
      </c>
      <c r="G1261" t="s">
        <v>4896</v>
      </c>
      <c r="I1261" t="s">
        <v>5551</v>
      </c>
      <c r="J1261" t="s">
        <v>5552</v>
      </c>
      <c r="L1261" t="s">
        <v>400</v>
      </c>
      <c r="M1261" t="s">
        <v>7926</v>
      </c>
    </row>
    <row r="1262" spans="6:13" x14ac:dyDescent="0.25">
      <c r="F1262" t="s">
        <v>5063</v>
      </c>
      <c r="G1262" t="s">
        <v>3372</v>
      </c>
      <c r="I1262" t="s">
        <v>396</v>
      </c>
      <c r="J1262" t="s">
        <v>5888</v>
      </c>
      <c r="L1262" t="s">
        <v>338</v>
      </c>
      <c r="M1262" t="s">
        <v>1752</v>
      </c>
    </row>
    <row r="1263" spans="6:13" x14ac:dyDescent="0.25">
      <c r="F1263" t="s">
        <v>5199</v>
      </c>
      <c r="G1263" t="s">
        <v>3759</v>
      </c>
      <c r="I1263" t="s">
        <v>3908</v>
      </c>
      <c r="J1263" t="s">
        <v>4115</v>
      </c>
      <c r="L1263" t="s">
        <v>7014</v>
      </c>
      <c r="M1263" t="s">
        <v>7015</v>
      </c>
    </row>
    <row r="1264" spans="6:13" x14ac:dyDescent="0.25">
      <c r="F1264" t="s">
        <v>49</v>
      </c>
      <c r="G1264" t="s">
        <v>4630</v>
      </c>
      <c r="I1264" t="s">
        <v>90</v>
      </c>
      <c r="J1264" t="s">
        <v>1009</v>
      </c>
      <c r="L1264" t="s">
        <v>7846</v>
      </c>
      <c r="M1264" t="s">
        <v>3222</v>
      </c>
    </row>
    <row r="1265" spans="6:13" x14ac:dyDescent="0.25">
      <c r="F1265" t="s">
        <v>4509</v>
      </c>
      <c r="G1265" t="s">
        <v>4686</v>
      </c>
      <c r="I1265" t="s">
        <v>63</v>
      </c>
      <c r="J1265" t="s">
        <v>4058</v>
      </c>
      <c r="L1265" t="s">
        <v>289</v>
      </c>
      <c r="M1265" t="s">
        <v>2130</v>
      </c>
    </row>
    <row r="1266" spans="6:13" x14ac:dyDescent="0.25">
      <c r="F1266" t="s">
        <v>2673</v>
      </c>
      <c r="G1266" t="s">
        <v>3692</v>
      </c>
      <c r="I1266" t="s">
        <v>6712</v>
      </c>
      <c r="J1266" t="s">
        <v>1568</v>
      </c>
      <c r="L1266" t="s">
        <v>457</v>
      </c>
      <c r="M1266" t="s">
        <v>2356</v>
      </c>
    </row>
    <row r="1267" spans="6:13" x14ac:dyDescent="0.25">
      <c r="F1267" t="s">
        <v>4509</v>
      </c>
      <c r="G1267" t="s">
        <v>4947</v>
      </c>
      <c r="I1267" t="s">
        <v>5329</v>
      </c>
      <c r="J1267" t="s">
        <v>5330</v>
      </c>
      <c r="L1267" t="s">
        <v>315</v>
      </c>
      <c r="M1267" t="s">
        <v>1965</v>
      </c>
    </row>
    <row r="1268" spans="6:13" x14ac:dyDescent="0.25">
      <c r="F1268" t="s">
        <v>2741</v>
      </c>
      <c r="G1268" t="s">
        <v>3569</v>
      </c>
      <c r="I1268" t="s">
        <v>5316</v>
      </c>
      <c r="J1268" t="s">
        <v>6181</v>
      </c>
      <c r="L1268" t="s">
        <v>7443</v>
      </c>
      <c r="M1268" t="s">
        <v>1931</v>
      </c>
    </row>
    <row r="1269" spans="6:13" x14ac:dyDescent="0.25">
      <c r="F1269" t="s">
        <v>46</v>
      </c>
      <c r="G1269" t="s">
        <v>642</v>
      </c>
      <c r="I1269" t="s">
        <v>280</v>
      </c>
      <c r="J1269" t="s">
        <v>6519</v>
      </c>
      <c r="L1269" t="s">
        <v>315</v>
      </c>
      <c r="M1269" t="s">
        <v>1687</v>
      </c>
    </row>
    <row r="1270" spans="6:13" x14ac:dyDescent="0.25">
      <c r="F1270" t="s">
        <v>4667</v>
      </c>
      <c r="G1270" t="s">
        <v>4668</v>
      </c>
      <c r="I1270" t="s">
        <v>392</v>
      </c>
      <c r="J1270" t="s">
        <v>6552</v>
      </c>
      <c r="L1270" t="s">
        <v>289</v>
      </c>
      <c r="M1270" t="s">
        <v>2295</v>
      </c>
    </row>
    <row r="1271" spans="6:13" x14ac:dyDescent="0.25">
      <c r="F1271" t="s">
        <v>548</v>
      </c>
      <c r="G1271" t="s">
        <v>3449</v>
      </c>
      <c r="I1271" t="s">
        <v>5283</v>
      </c>
      <c r="J1271" t="s">
        <v>2448</v>
      </c>
      <c r="L1271" t="s">
        <v>459</v>
      </c>
      <c r="M1271" t="s">
        <v>7531</v>
      </c>
    </row>
    <row r="1272" spans="6:13" x14ac:dyDescent="0.25">
      <c r="F1272" t="s">
        <v>4509</v>
      </c>
      <c r="G1272" t="s">
        <v>4901</v>
      </c>
      <c r="I1272" t="s">
        <v>5365</v>
      </c>
      <c r="J1272" t="s">
        <v>851</v>
      </c>
      <c r="L1272" t="s">
        <v>7395</v>
      </c>
      <c r="M1272" t="s">
        <v>1957</v>
      </c>
    </row>
    <row r="1273" spans="6:13" x14ac:dyDescent="0.25">
      <c r="F1273" t="s">
        <v>4310</v>
      </c>
      <c r="G1273" t="s">
        <v>4371</v>
      </c>
      <c r="I1273" t="s">
        <v>5287</v>
      </c>
      <c r="J1273" t="s">
        <v>2779</v>
      </c>
      <c r="L1273" t="s">
        <v>2717</v>
      </c>
      <c r="M1273" t="s">
        <v>2572</v>
      </c>
    </row>
    <row r="1274" spans="6:13" x14ac:dyDescent="0.25">
      <c r="F1274" t="s">
        <v>398</v>
      </c>
      <c r="G1274" t="s">
        <v>677</v>
      </c>
      <c r="I1274" t="s">
        <v>286</v>
      </c>
      <c r="J1274" t="s">
        <v>1437</v>
      </c>
      <c r="L1274" t="s">
        <v>289</v>
      </c>
      <c r="M1274" t="s">
        <v>1949</v>
      </c>
    </row>
    <row r="1275" spans="6:13" x14ac:dyDescent="0.25">
      <c r="F1275" t="s">
        <v>4884</v>
      </c>
      <c r="G1275" t="s">
        <v>3681</v>
      </c>
      <c r="I1275" t="s">
        <v>6036</v>
      </c>
      <c r="J1275" t="s">
        <v>2854</v>
      </c>
      <c r="L1275" t="s">
        <v>2732</v>
      </c>
      <c r="M1275" t="s">
        <v>3249</v>
      </c>
    </row>
    <row r="1276" spans="6:13" x14ac:dyDescent="0.25">
      <c r="F1276" t="s">
        <v>5145</v>
      </c>
      <c r="G1276" t="s">
        <v>4792</v>
      </c>
      <c r="I1276" t="s">
        <v>92</v>
      </c>
      <c r="J1276" t="s">
        <v>1597</v>
      </c>
      <c r="L1276" t="s">
        <v>457</v>
      </c>
      <c r="M1276" t="s">
        <v>1946</v>
      </c>
    </row>
    <row r="1277" spans="6:13" x14ac:dyDescent="0.25">
      <c r="F1277" t="s">
        <v>5177</v>
      </c>
      <c r="G1277" t="s">
        <v>4792</v>
      </c>
      <c r="I1277" t="s">
        <v>122</v>
      </c>
      <c r="J1277" t="s">
        <v>2449</v>
      </c>
      <c r="L1277" t="s">
        <v>286</v>
      </c>
      <c r="M1277" t="s">
        <v>7328</v>
      </c>
    </row>
    <row r="1278" spans="6:13" x14ac:dyDescent="0.25">
      <c r="F1278" t="s">
        <v>4814</v>
      </c>
      <c r="G1278" t="s">
        <v>4815</v>
      </c>
      <c r="I1278" t="s">
        <v>5423</v>
      </c>
      <c r="J1278" t="s">
        <v>5424</v>
      </c>
      <c r="L1278" t="s">
        <v>4160</v>
      </c>
      <c r="M1278" t="s">
        <v>7628</v>
      </c>
    </row>
    <row r="1279" spans="6:13" x14ac:dyDescent="0.25">
      <c r="F1279" t="s">
        <v>2663</v>
      </c>
      <c r="G1279" t="s">
        <v>3539</v>
      </c>
      <c r="I1279" t="s">
        <v>360</v>
      </c>
      <c r="J1279" t="s">
        <v>4035</v>
      </c>
      <c r="L1279" t="s">
        <v>95</v>
      </c>
      <c r="M1279" t="s">
        <v>7643</v>
      </c>
    </row>
    <row r="1280" spans="6:13" x14ac:dyDescent="0.25">
      <c r="F1280" t="s">
        <v>2667</v>
      </c>
      <c r="G1280" t="s">
        <v>3618</v>
      </c>
      <c r="I1280" t="s">
        <v>6576</v>
      </c>
      <c r="J1280" t="s">
        <v>6577</v>
      </c>
      <c r="L1280" t="s">
        <v>398</v>
      </c>
      <c r="M1280" t="s">
        <v>7641</v>
      </c>
    </row>
    <row r="1281" spans="6:13" x14ac:dyDescent="0.25">
      <c r="F1281" t="s">
        <v>2662</v>
      </c>
      <c r="G1281" t="s">
        <v>3434</v>
      </c>
      <c r="I1281" t="s">
        <v>91</v>
      </c>
      <c r="J1281" t="s">
        <v>6726</v>
      </c>
      <c r="L1281" t="s">
        <v>7535</v>
      </c>
      <c r="M1281" t="s">
        <v>7536</v>
      </c>
    </row>
    <row r="1282" spans="6:13" x14ac:dyDescent="0.25">
      <c r="F1282" t="s">
        <v>545</v>
      </c>
      <c r="G1282" t="s">
        <v>3498</v>
      </c>
      <c r="I1282" t="s">
        <v>6735</v>
      </c>
      <c r="J1282" t="s">
        <v>6736</v>
      </c>
      <c r="L1282" t="s">
        <v>254</v>
      </c>
      <c r="M1282" t="s">
        <v>7588</v>
      </c>
    </row>
    <row r="1283" spans="6:13" x14ac:dyDescent="0.25">
      <c r="F1283" t="s">
        <v>5161</v>
      </c>
      <c r="G1283" t="s">
        <v>718</v>
      </c>
      <c r="I1283" t="s">
        <v>9</v>
      </c>
      <c r="J1283" t="s">
        <v>2867</v>
      </c>
      <c r="L1283" t="s">
        <v>4144</v>
      </c>
      <c r="M1283" t="s">
        <v>4301</v>
      </c>
    </row>
    <row r="1284" spans="6:13" x14ac:dyDescent="0.25">
      <c r="F1284" t="s">
        <v>548</v>
      </c>
      <c r="G1284" t="s">
        <v>3306</v>
      </c>
      <c r="I1284" t="s">
        <v>5653</v>
      </c>
      <c r="J1284" t="s">
        <v>5693</v>
      </c>
      <c r="L1284" t="s">
        <v>318</v>
      </c>
      <c r="M1284" t="s">
        <v>3190</v>
      </c>
    </row>
    <row r="1285" spans="6:13" x14ac:dyDescent="0.25">
      <c r="F1285" t="s">
        <v>2670</v>
      </c>
      <c r="G1285" t="s">
        <v>3358</v>
      </c>
      <c r="I1285" t="s">
        <v>356</v>
      </c>
      <c r="J1285" t="s">
        <v>5798</v>
      </c>
      <c r="L1285" t="s">
        <v>7438</v>
      </c>
      <c r="M1285" t="s">
        <v>3202</v>
      </c>
    </row>
    <row r="1286" spans="6:13" x14ac:dyDescent="0.25">
      <c r="F1286" t="s">
        <v>4310</v>
      </c>
      <c r="G1286" t="s">
        <v>4339</v>
      </c>
      <c r="I1286" t="s">
        <v>91</v>
      </c>
      <c r="J1286" t="s">
        <v>6719</v>
      </c>
      <c r="L1286" t="s">
        <v>4160</v>
      </c>
      <c r="M1286" t="s">
        <v>4194</v>
      </c>
    </row>
    <row r="1287" spans="6:13" x14ac:dyDescent="0.25">
      <c r="F1287" t="s">
        <v>2672</v>
      </c>
      <c r="G1287" t="s">
        <v>3435</v>
      </c>
      <c r="I1287" t="s">
        <v>254</v>
      </c>
      <c r="J1287" t="s">
        <v>5229</v>
      </c>
      <c r="L1287" t="s">
        <v>309</v>
      </c>
      <c r="M1287" t="s">
        <v>1904</v>
      </c>
    </row>
    <row r="1288" spans="6:13" x14ac:dyDescent="0.25">
      <c r="F1288" t="s">
        <v>3854</v>
      </c>
      <c r="G1288" t="s">
        <v>4321</v>
      </c>
      <c r="I1288" t="s">
        <v>545</v>
      </c>
      <c r="J1288" t="s">
        <v>2940</v>
      </c>
      <c r="L1288" t="s">
        <v>338</v>
      </c>
      <c r="M1288" t="s">
        <v>2263</v>
      </c>
    </row>
    <row r="1289" spans="6:13" x14ac:dyDescent="0.25">
      <c r="F1289" t="s">
        <v>2670</v>
      </c>
      <c r="G1289" t="s">
        <v>3409</v>
      </c>
      <c r="I1289" t="s">
        <v>5612</v>
      </c>
      <c r="J1289" t="s">
        <v>5613</v>
      </c>
      <c r="L1289" t="s">
        <v>398</v>
      </c>
      <c r="M1289" t="s">
        <v>7512</v>
      </c>
    </row>
    <row r="1290" spans="6:13" x14ac:dyDescent="0.25">
      <c r="F1290" t="s">
        <v>36</v>
      </c>
      <c r="G1290" t="s">
        <v>4973</v>
      </c>
      <c r="I1290" t="s">
        <v>254</v>
      </c>
      <c r="J1290" t="s">
        <v>855</v>
      </c>
      <c r="L1290" t="s">
        <v>4749</v>
      </c>
      <c r="M1290" t="s">
        <v>2317</v>
      </c>
    </row>
    <row r="1291" spans="6:13" x14ac:dyDescent="0.25">
      <c r="F1291" t="s">
        <v>2673</v>
      </c>
      <c r="G1291" t="s">
        <v>3455</v>
      </c>
      <c r="I1291" t="s">
        <v>2736</v>
      </c>
      <c r="J1291" t="s">
        <v>4124</v>
      </c>
      <c r="L1291" t="s">
        <v>309</v>
      </c>
      <c r="M1291" t="s">
        <v>2032</v>
      </c>
    </row>
    <row r="1292" spans="6:13" x14ac:dyDescent="0.25">
      <c r="F1292" t="s">
        <v>4806</v>
      </c>
      <c r="G1292" t="s">
        <v>4807</v>
      </c>
      <c r="I1292" t="s">
        <v>2736</v>
      </c>
      <c r="J1292" t="s">
        <v>2965</v>
      </c>
      <c r="L1292" t="s">
        <v>2720</v>
      </c>
      <c r="M1292" t="s">
        <v>3220</v>
      </c>
    </row>
    <row r="1293" spans="6:13" x14ac:dyDescent="0.25">
      <c r="F1293" t="s">
        <v>4733</v>
      </c>
      <c r="G1293" t="s">
        <v>3506</v>
      </c>
      <c r="I1293" t="s">
        <v>2738</v>
      </c>
      <c r="J1293" t="s">
        <v>2962</v>
      </c>
      <c r="L1293" t="s">
        <v>7010</v>
      </c>
      <c r="M1293" t="s">
        <v>1736</v>
      </c>
    </row>
    <row r="1294" spans="6:13" x14ac:dyDescent="0.25">
      <c r="F1294" t="s">
        <v>4606</v>
      </c>
      <c r="G1294" t="s">
        <v>4954</v>
      </c>
      <c r="I1294" t="s">
        <v>2736</v>
      </c>
      <c r="J1294" t="s">
        <v>2942</v>
      </c>
      <c r="L1294" t="s">
        <v>457</v>
      </c>
      <c r="M1294" t="s">
        <v>1852</v>
      </c>
    </row>
    <row r="1295" spans="6:13" x14ac:dyDescent="0.25">
      <c r="F1295" t="s">
        <v>4677</v>
      </c>
      <c r="G1295" t="s">
        <v>4982</v>
      </c>
      <c r="I1295" t="s">
        <v>2736</v>
      </c>
      <c r="J1295" t="s">
        <v>3971</v>
      </c>
      <c r="L1295" t="s">
        <v>7610</v>
      </c>
      <c r="M1295" t="s">
        <v>1828</v>
      </c>
    </row>
    <row r="1296" spans="6:13" x14ac:dyDescent="0.25">
      <c r="F1296" t="s">
        <v>4839</v>
      </c>
      <c r="G1296" t="s">
        <v>4840</v>
      </c>
      <c r="I1296" t="s">
        <v>254</v>
      </c>
      <c r="J1296" t="s">
        <v>1405</v>
      </c>
      <c r="L1296" t="s">
        <v>289</v>
      </c>
      <c r="M1296" t="s">
        <v>1729</v>
      </c>
    </row>
    <row r="1297" spans="6:13" x14ac:dyDescent="0.25">
      <c r="F1297" t="s">
        <v>5077</v>
      </c>
      <c r="G1297" t="s">
        <v>4637</v>
      </c>
      <c r="I1297" t="s">
        <v>391</v>
      </c>
      <c r="J1297" t="s">
        <v>4120</v>
      </c>
      <c r="L1297" t="s">
        <v>95</v>
      </c>
      <c r="M1297" t="s">
        <v>7148</v>
      </c>
    </row>
    <row r="1298" spans="6:13" x14ac:dyDescent="0.25">
      <c r="F1298" t="s">
        <v>48</v>
      </c>
      <c r="G1298" t="s">
        <v>4695</v>
      </c>
      <c r="I1298" t="s">
        <v>5532</v>
      </c>
      <c r="J1298" t="s">
        <v>5533</v>
      </c>
      <c r="L1298" t="s">
        <v>7459</v>
      </c>
      <c r="M1298" t="s">
        <v>2026</v>
      </c>
    </row>
    <row r="1299" spans="6:13" x14ac:dyDescent="0.25">
      <c r="I1299" t="s">
        <v>91</v>
      </c>
      <c r="J1299" t="s">
        <v>6247</v>
      </c>
      <c r="L1299" t="s">
        <v>391</v>
      </c>
      <c r="M1299" t="s">
        <v>3225</v>
      </c>
    </row>
    <row r="1300" spans="6:13" x14ac:dyDescent="0.25">
      <c r="I1300" t="s">
        <v>315</v>
      </c>
      <c r="J1300" t="s">
        <v>2838</v>
      </c>
      <c r="L1300" t="s">
        <v>315</v>
      </c>
      <c r="M1300" t="s">
        <v>2290</v>
      </c>
    </row>
    <row r="1301" spans="6:13" x14ac:dyDescent="0.25">
      <c r="I1301" t="s">
        <v>313</v>
      </c>
      <c r="J1301" t="s">
        <v>1528</v>
      </c>
      <c r="L1301" t="s">
        <v>548</v>
      </c>
      <c r="M1301" t="s">
        <v>7297</v>
      </c>
    </row>
    <row r="1302" spans="6:13" x14ac:dyDescent="0.25">
      <c r="I1302" t="s">
        <v>5982</v>
      </c>
      <c r="J1302" t="s">
        <v>6838</v>
      </c>
      <c r="L1302" t="s">
        <v>2741</v>
      </c>
      <c r="M1302" t="s">
        <v>3247</v>
      </c>
    </row>
    <row r="1303" spans="6:13" x14ac:dyDescent="0.25">
      <c r="I1303" t="s">
        <v>5659</v>
      </c>
      <c r="J1303" t="s">
        <v>6488</v>
      </c>
      <c r="L1303" t="s">
        <v>37</v>
      </c>
      <c r="M1303" t="s">
        <v>7080</v>
      </c>
    </row>
    <row r="1304" spans="6:13" x14ac:dyDescent="0.25">
      <c r="I1304" t="s">
        <v>2723</v>
      </c>
      <c r="J1304" t="s">
        <v>2805</v>
      </c>
      <c r="L1304" t="s">
        <v>3854</v>
      </c>
      <c r="M1304" t="s">
        <v>4248</v>
      </c>
    </row>
    <row r="1305" spans="6:13" x14ac:dyDescent="0.25">
      <c r="I1305" t="s">
        <v>313</v>
      </c>
      <c r="J1305" t="s">
        <v>6773</v>
      </c>
      <c r="L1305" t="s">
        <v>286</v>
      </c>
      <c r="M1305" t="s">
        <v>7779</v>
      </c>
    </row>
    <row r="1306" spans="6:13" x14ac:dyDescent="0.25">
      <c r="I1306" t="s">
        <v>5592</v>
      </c>
      <c r="J1306" t="s">
        <v>958</v>
      </c>
      <c r="L1306" t="s">
        <v>391</v>
      </c>
      <c r="M1306" t="s">
        <v>2601</v>
      </c>
    </row>
    <row r="1307" spans="6:13" x14ac:dyDescent="0.25">
      <c r="I1307" t="s">
        <v>315</v>
      </c>
      <c r="J1307" t="s">
        <v>2865</v>
      </c>
      <c r="L1307" t="s">
        <v>457</v>
      </c>
      <c r="M1307" t="s">
        <v>1826</v>
      </c>
    </row>
    <row r="1308" spans="6:13" x14ac:dyDescent="0.25">
      <c r="I1308" t="s">
        <v>289</v>
      </c>
      <c r="J1308" t="s">
        <v>783</v>
      </c>
      <c r="L1308" t="s">
        <v>7296</v>
      </c>
      <c r="M1308" t="s">
        <v>3148</v>
      </c>
    </row>
    <row r="1309" spans="6:13" x14ac:dyDescent="0.25">
      <c r="I1309" t="s">
        <v>90</v>
      </c>
      <c r="J1309" t="s">
        <v>1263</v>
      </c>
      <c r="L1309" t="s">
        <v>293</v>
      </c>
      <c r="M1309" t="s">
        <v>7578</v>
      </c>
    </row>
    <row r="1310" spans="6:13" x14ac:dyDescent="0.25">
      <c r="I1310" t="s">
        <v>37</v>
      </c>
      <c r="J1310" t="s">
        <v>1575</v>
      </c>
      <c r="L1310" t="s">
        <v>1</v>
      </c>
      <c r="M1310" t="s">
        <v>7843</v>
      </c>
    </row>
    <row r="1311" spans="6:13" x14ac:dyDescent="0.25">
      <c r="I1311" t="s">
        <v>6311</v>
      </c>
      <c r="J1311" t="s">
        <v>1353</v>
      </c>
      <c r="L1311" t="s">
        <v>4430</v>
      </c>
      <c r="M1311" t="s">
        <v>7564</v>
      </c>
    </row>
    <row r="1312" spans="6:13" x14ac:dyDescent="0.25">
      <c r="I1312" t="s">
        <v>17</v>
      </c>
      <c r="J1312" t="s">
        <v>5727</v>
      </c>
      <c r="L1312" t="s">
        <v>457</v>
      </c>
      <c r="M1312" t="s">
        <v>1768</v>
      </c>
    </row>
    <row r="1313" spans="9:13" x14ac:dyDescent="0.25">
      <c r="I1313" t="s">
        <v>5392</v>
      </c>
      <c r="J1313" t="s">
        <v>6329</v>
      </c>
      <c r="L1313" t="s">
        <v>6912</v>
      </c>
      <c r="M1313" t="s">
        <v>6948</v>
      </c>
    </row>
    <row r="1314" spans="9:13" x14ac:dyDescent="0.25">
      <c r="I1314" t="s">
        <v>278</v>
      </c>
      <c r="J1314" t="s">
        <v>1495</v>
      </c>
      <c r="L1314" t="s">
        <v>37</v>
      </c>
      <c r="M1314" t="s">
        <v>7611</v>
      </c>
    </row>
    <row r="1315" spans="9:13" x14ac:dyDescent="0.25">
      <c r="I1315" t="s">
        <v>5929</v>
      </c>
      <c r="J1315" t="s">
        <v>5930</v>
      </c>
      <c r="L1315" t="s">
        <v>7134</v>
      </c>
      <c r="M1315" t="s">
        <v>2129</v>
      </c>
    </row>
    <row r="1316" spans="9:13" x14ac:dyDescent="0.25">
      <c r="I1316" t="s">
        <v>5980</v>
      </c>
      <c r="J1316" t="s">
        <v>2487</v>
      </c>
      <c r="L1316" t="s">
        <v>289</v>
      </c>
      <c r="M1316" t="s">
        <v>7305</v>
      </c>
    </row>
    <row r="1317" spans="9:13" x14ac:dyDescent="0.25">
      <c r="I1317" t="s">
        <v>5825</v>
      </c>
      <c r="J1317" t="s">
        <v>5826</v>
      </c>
      <c r="L1317" t="s">
        <v>1</v>
      </c>
      <c r="M1317" t="s">
        <v>7909</v>
      </c>
    </row>
    <row r="1318" spans="9:13" x14ac:dyDescent="0.25">
      <c r="I1318" t="s">
        <v>313</v>
      </c>
      <c r="J1318" t="s">
        <v>1603</v>
      </c>
      <c r="L1318" t="s">
        <v>7673</v>
      </c>
      <c r="M1318" t="s">
        <v>1785</v>
      </c>
    </row>
    <row r="1319" spans="9:13" x14ac:dyDescent="0.25">
      <c r="I1319" t="s">
        <v>90</v>
      </c>
      <c r="J1319" t="s">
        <v>1079</v>
      </c>
      <c r="L1319" t="s">
        <v>286</v>
      </c>
      <c r="M1319" t="s">
        <v>7867</v>
      </c>
    </row>
    <row r="1320" spans="9:13" x14ac:dyDescent="0.25">
      <c r="I1320" t="s">
        <v>253</v>
      </c>
      <c r="J1320" t="s">
        <v>5572</v>
      </c>
      <c r="L1320" t="s">
        <v>286</v>
      </c>
      <c r="M1320" t="s">
        <v>7144</v>
      </c>
    </row>
    <row r="1321" spans="9:13" x14ac:dyDescent="0.25">
      <c r="I1321" t="s">
        <v>5214</v>
      </c>
      <c r="J1321" t="s">
        <v>5878</v>
      </c>
      <c r="L1321" t="s">
        <v>254</v>
      </c>
      <c r="M1321" t="s">
        <v>1887</v>
      </c>
    </row>
    <row r="1322" spans="9:13" x14ac:dyDescent="0.25">
      <c r="I1322" t="s">
        <v>313</v>
      </c>
      <c r="J1322" t="s">
        <v>6782</v>
      </c>
      <c r="L1322" t="s">
        <v>3854</v>
      </c>
      <c r="M1322" t="s">
        <v>4236</v>
      </c>
    </row>
    <row r="1323" spans="9:13" x14ac:dyDescent="0.25">
      <c r="I1323" t="s">
        <v>6707</v>
      </c>
      <c r="J1323" t="s">
        <v>6708</v>
      </c>
      <c r="L1323" t="s">
        <v>6974</v>
      </c>
      <c r="M1323" t="s">
        <v>2252</v>
      </c>
    </row>
    <row r="1324" spans="9:13" x14ac:dyDescent="0.25">
      <c r="I1324" t="s">
        <v>254</v>
      </c>
      <c r="J1324" t="s">
        <v>6839</v>
      </c>
      <c r="L1324" t="s">
        <v>36</v>
      </c>
      <c r="M1324" t="s">
        <v>6896</v>
      </c>
    </row>
    <row r="1325" spans="9:13" x14ac:dyDescent="0.25">
      <c r="I1325" t="s">
        <v>406</v>
      </c>
      <c r="J1325" t="s">
        <v>6459</v>
      </c>
      <c r="L1325" t="s">
        <v>457</v>
      </c>
      <c r="M1325" t="s">
        <v>2318</v>
      </c>
    </row>
    <row r="1326" spans="9:13" x14ac:dyDescent="0.25">
      <c r="I1326" t="s">
        <v>14</v>
      </c>
      <c r="J1326" t="s">
        <v>2511</v>
      </c>
      <c r="L1326" t="s">
        <v>3854</v>
      </c>
      <c r="M1326" t="s">
        <v>4258</v>
      </c>
    </row>
    <row r="1327" spans="9:13" x14ac:dyDescent="0.25">
      <c r="I1327" t="s">
        <v>6145</v>
      </c>
      <c r="J1327" t="s">
        <v>2866</v>
      </c>
      <c r="L1327" t="s">
        <v>286</v>
      </c>
      <c r="M1327" t="s">
        <v>7552</v>
      </c>
    </row>
    <row r="1328" spans="9:13" x14ac:dyDescent="0.25">
      <c r="I1328" t="s">
        <v>391</v>
      </c>
      <c r="J1328" t="s">
        <v>2519</v>
      </c>
      <c r="L1328" t="s">
        <v>313</v>
      </c>
      <c r="M1328" t="s">
        <v>1705</v>
      </c>
    </row>
    <row r="1329" spans="9:13" x14ac:dyDescent="0.25">
      <c r="I1329" t="s">
        <v>289</v>
      </c>
      <c r="J1329" t="s">
        <v>6668</v>
      </c>
      <c r="L1329" t="s">
        <v>17</v>
      </c>
      <c r="M1329" t="s">
        <v>7629</v>
      </c>
    </row>
    <row r="1330" spans="9:13" x14ac:dyDescent="0.25">
      <c r="I1330" t="s">
        <v>336</v>
      </c>
      <c r="J1330" t="s">
        <v>1474</v>
      </c>
      <c r="L1330" t="s">
        <v>2738</v>
      </c>
      <c r="M1330" t="s">
        <v>3138</v>
      </c>
    </row>
    <row r="1331" spans="9:13" x14ac:dyDescent="0.25">
      <c r="I1331" t="s">
        <v>356</v>
      </c>
      <c r="J1331" t="s">
        <v>5529</v>
      </c>
      <c r="L1331" t="s">
        <v>37</v>
      </c>
      <c r="M1331" t="s">
        <v>7122</v>
      </c>
    </row>
    <row r="1332" spans="9:13" x14ac:dyDescent="0.25">
      <c r="I1332" t="s">
        <v>313</v>
      </c>
      <c r="J1332" t="s">
        <v>7981</v>
      </c>
      <c r="L1332" t="s">
        <v>254</v>
      </c>
      <c r="M1332" t="s">
        <v>1815</v>
      </c>
    </row>
    <row r="1333" spans="9:13" x14ac:dyDescent="0.25">
      <c r="I1333" t="s">
        <v>463</v>
      </c>
      <c r="J1333" t="s">
        <v>1446</v>
      </c>
      <c r="L1333" t="s">
        <v>457</v>
      </c>
      <c r="M1333" t="s">
        <v>2229</v>
      </c>
    </row>
    <row r="1334" spans="9:13" x14ac:dyDescent="0.25">
      <c r="I1334" t="s">
        <v>6820</v>
      </c>
      <c r="J1334" t="s">
        <v>1622</v>
      </c>
      <c r="L1334" t="s">
        <v>457</v>
      </c>
      <c r="M1334" t="s">
        <v>1866</v>
      </c>
    </row>
    <row r="1335" spans="9:13" x14ac:dyDescent="0.25">
      <c r="I1335" t="s">
        <v>403</v>
      </c>
      <c r="J1335" t="s">
        <v>1206</v>
      </c>
      <c r="L1335" t="s">
        <v>4543</v>
      </c>
      <c r="M1335" t="s">
        <v>1706</v>
      </c>
    </row>
    <row r="1336" spans="9:13" x14ac:dyDescent="0.25">
      <c r="I1336" t="s">
        <v>403</v>
      </c>
      <c r="J1336" t="s">
        <v>2967</v>
      </c>
      <c r="L1336" t="s">
        <v>7291</v>
      </c>
      <c r="M1336" t="s">
        <v>1895</v>
      </c>
    </row>
    <row r="1337" spans="9:13" x14ac:dyDescent="0.25">
      <c r="I1337" t="s">
        <v>5507</v>
      </c>
      <c r="J1337" t="s">
        <v>5508</v>
      </c>
      <c r="L1337" t="s">
        <v>7425</v>
      </c>
      <c r="M1337" t="s">
        <v>1784</v>
      </c>
    </row>
    <row r="1338" spans="9:13" x14ac:dyDescent="0.25">
      <c r="I1338" t="s">
        <v>46</v>
      </c>
      <c r="J1338" t="s">
        <v>1280</v>
      </c>
      <c r="L1338" t="s">
        <v>2720</v>
      </c>
      <c r="M1338" t="s">
        <v>2111</v>
      </c>
    </row>
    <row r="1339" spans="9:13" x14ac:dyDescent="0.25">
      <c r="I1339" t="s">
        <v>6357</v>
      </c>
      <c r="J1339" t="s">
        <v>2518</v>
      </c>
      <c r="L1339" t="s">
        <v>2732</v>
      </c>
      <c r="M1339" t="s">
        <v>3246</v>
      </c>
    </row>
    <row r="1340" spans="9:13" x14ac:dyDescent="0.25">
      <c r="I1340" t="s">
        <v>6686</v>
      </c>
      <c r="J1340" t="s">
        <v>1561</v>
      </c>
      <c r="L1340" t="s">
        <v>289</v>
      </c>
      <c r="M1340" t="s">
        <v>7565</v>
      </c>
    </row>
    <row r="1341" spans="9:13" x14ac:dyDescent="0.25">
      <c r="I1341" t="s">
        <v>5314</v>
      </c>
      <c r="J1341" t="s">
        <v>5315</v>
      </c>
      <c r="L1341" t="s">
        <v>254</v>
      </c>
      <c r="M1341" t="s">
        <v>2165</v>
      </c>
    </row>
    <row r="1342" spans="9:13" x14ac:dyDescent="0.25">
      <c r="I1342" t="s">
        <v>5286</v>
      </c>
      <c r="J1342" t="s">
        <v>6583</v>
      </c>
      <c r="L1342" t="s">
        <v>313</v>
      </c>
      <c r="M1342" t="s">
        <v>1743</v>
      </c>
    </row>
    <row r="1343" spans="9:13" x14ac:dyDescent="0.25">
      <c r="I1343" t="s">
        <v>398</v>
      </c>
      <c r="J1343" t="s">
        <v>5677</v>
      </c>
      <c r="L1343" t="s">
        <v>286</v>
      </c>
      <c r="M1343" t="s">
        <v>7683</v>
      </c>
    </row>
    <row r="1344" spans="9:13" x14ac:dyDescent="0.25">
      <c r="I1344" t="s">
        <v>5882</v>
      </c>
      <c r="J1344" t="s">
        <v>5883</v>
      </c>
      <c r="L1344" t="s">
        <v>7365</v>
      </c>
      <c r="M1344" t="s">
        <v>1685</v>
      </c>
    </row>
    <row r="1345" spans="9:13" x14ac:dyDescent="0.25">
      <c r="I1345" t="s">
        <v>313</v>
      </c>
      <c r="J1345" t="s">
        <v>982</v>
      </c>
      <c r="L1345" t="s">
        <v>254</v>
      </c>
      <c r="M1345" t="s">
        <v>2078</v>
      </c>
    </row>
    <row r="1346" spans="9:13" x14ac:dyDescent="0.25">
      <c r="I1346" t="s">
        <v>6106</v>
      </c>
      <c r="J1346" t="s">
        <v>6845</v>
      </c>
      <c r="L1346" t="s">
        <v>47</v>
      </c>
      <c r="M1346" t="s">
        <v>7263</v>
      </c>
    </row>
    <row r="1347" spans="9:13" x14ac:dyDescent="0.25">
      <c r="I1347" t="s">
        <v>63</v>
      </c>
      <c r="J1347" t="s">
        <v>2534</v>
      </c>
      <c r="L1347" t="s">
        <v>286</v>
      </c>
      <c r="M1347" t="s">
        <v>7028</v>
      </c>
    </row>
    <row r="1348" spans="9:13" x14ac:dyDescent="0.25">
      <c r="I1348" t="s">
        <v>46</v>
      </c>
      <c r="J1348" t="s">
        <v>5942</v>
      </c>
      <c r="L1348" t="s">
        <v>286</v>
      </c>
      <c r="M1348" t="s">
        <v>7048</v>
      </c>
    </row>
    <row r="1349" spans="9:13" x14ac:dyDescent="0.25">
      <c r="I1349" t="s">
        <v>392</v>
      </c>
      <c r="J1349" t="s">
        <v>6752</v>
      </c>
      <c r="L1349" t="s">
        <v>3854</v>
      </c>
      <c r="M1349" t="s">
        <v>4270</v>
      </c>
    </row>
    <row r="1350" spans="9:13" x14ac:dyDescent="0.25">
      <c r="I1350" t="s">
        <v>5871</v>
      </c>
      <c r="J1350" t="s">
        <v>1105</v>
      </c>
      <c r="L1350" t="s">
        <v>400</v>
      </c>
      <c r="M1350" t="s">
        <v>2251</v>
      </c>
    </row>
    <row r="1351" spans="9:13" x14ac:dyDescent="0.25">
      <c r="I1351" t="s">
        <v>338</v>
      </c>
      <c r="J1351" t="s">
        <v>840</v>
      </c>
      <c r="L1351" t="s">
        <v>95</v>
      </c>
      <c r="M1351" t="s">
        <v>7318</v>
      </c>
    </row>
    <row r="1352" spans="9:13" x14ac:dyDescent="0.25">
      <c r="I1352" t="s">
        <v>276</v>
      </c>
      <c r="J1352" t="s">
        <v>1221</v>
      </c>
      <c r="L1352" t="s">
        <v>3854</v>
      </c>
      <c r="M1352" t="s">
        <v>4173</v>
      </c>
    </row>
    <row r="1353" spans="9:13" x14ac:dyDescent="0.25">
      <c r="I1353" t="s">
        <v>254</v>
      </c>
      <c r="J1353" t="s">
        <v>1590</v>
      </c>
      <c r="L1353" t="s">
        <v>7492</v>
      </c>
      <c r="M1353" t="s">
        <v>2033</v>
      </c>
    </row>
    <row r="1354" spans="9:13" x14ac:dyDescent="0.25">
      <c r="I1354" t="s">
        <v>5293</v>
      </c>
      <c r="J1354" t="s">
        <v>1488</v>
      </c>
      <c r="L1354" t="s">
        <v>5806</v>
      </c>
      <c r="M1354" t="s">
        <v>7071</v>
      </c>
    </row>
    <row r="1355" spans="9:13" x14ac:dyDescent="0.25">
      <c r="I1355" t="s">
        <v>3854</v>
      </c>
      <c r="J1355" t="s">
        <v>4074</v>
      </c>
      <c r="L1355" t="s">
        <v>254</v>
      </c>
      <c r="M1355" t="s">
        <v>6998</v>
      </c>
    </row>
    <row r="1356" spans="9:13" x14ac:dyDescent="0.25">
      <c r="I1356" t="s">
        <v>5316</v>
      </c>
      <c r="J1356" t="s">
        <v>6688</v>
      </c>
      <c r="L1356" t="s">
        <v>393</v>
      </c>
      <c r="M1356" t="s">
        <v>2254</v>
      </c>
    </row>
    <row r="1357" spans="9:13" x14ac:dyDescent="0.25">
      <c r="I1357" t="s">
        <v>17</v>
      </c>
      <c r="J1357" t="s">
        <v>5497</v>
      </c>
      <c r="L1357" t="s">
        <v>37</v>
      </c>
      <c r="M1357" t="s">
        <v>3162</v>
      </c>
    </row>
    <row r="1358" spans="9:13" x14ac:dyDescent="0.25">
      <c r="I1358" t="s">
        <v>403</v>
      </c>
      <c r="J1358" t="s">
        <v>2876</v>
      </c>
      <c r="L1358" t="s">
        <v>9</v>
      </c>
      <c r="M1358" t="s">
        <v>7123</v>
      </c>
    </row>
    <row r="1359" spans="9:13" x14ac:dyDescent="0.25">
      <c r="I1359" t="s">
        <v>3854</v>
      </c>
      <c r="J1359" t="s">
        <v>3926</v>
      </c>
      <c r="L1359" t="s">
        <v>313</v>
      </c>
      <c r="M1359" t="s">
        <v>2093</v>
      </c>
    </row>
    <row r="1360" spans="9:13" x14ac:dyDescent="0.25">
      <c r="I1360" t="s">
        <v>63</v>
      </c>
      <c r="J1360" t="s">
        <v>4126</v>
      </c>
      <c r="L1360" t="s">
        <v>2717</v>
      </c>
      <c r="M1360" t="s">
        <v>7898</v>
      </c>
    </row>
    <row r="1361" spans="9:13" x14ac:dyDescent="0.25">
      <c r="I1361" t="s">
        <v>3888</v>
      </c>
      <c r="J1361" t="s">
        <v>3889</v>
      </c>
      <c r="L1361" t="s">
        <v>7330</v>
      </c>
      <c r="M1361" t="s">
        <v>3209</v>
      </c>
    </row>
    <row r="1362" spans="9:13" x14ac:dyDescent="0.25">
      <c r="I1362" t="s">
        <v>2741</v>
      </c>
      <c r="J1362" t="s">
        <v>6575</v>
      </c>
      <c r="L1362" t="s">
        <v>457</v>
      </c>
      <c r="M1362" t="s">
        <v>2084</v>
      </c>
    </row>
    <row r="1363" spans="9:13" x14ac:dyDescent="0.25">
      <c r="I1363" t="s">
        <v>286</v>
      </c>
      <c r="J1363" t="s">
        <v>913</v>
      </c>
      <c r="L1363" t="s">
        <v>37</v>
      </c>
      <c r="M1363" t="s">
        <v>7360</v>
      </c>
    </row>
    <row r="1364" spans="9:13" x14ac:dyDescent="0.25">
      <c r="I1364" t="s">
        <v>17</v>
      </c>
      <c r="J1364" t="s">
        <v>1630</v>
      </c>
      <c r="L1364" t="s">
        <v>254</v>
      </c>
      <c r="M1364" t="s">
        <v>1722</v>
      </c>
    </row>
    <row r="1365" spans="9:13" x14ac:dyDescent="0.25">
      <c r="I1365" t="s">
        <v>318</v>
      </c>
      <c r="J1365" t="s">
        <v>5550</v>
      </c>
      <c r="L1365" t="s">
        <v>7251</v>
      </c>
      <c r="M1365" t="s">
        <v>7252</v>
      </c>
    </row>
    <row r="1366" spans="9:13" x14ac:dyDescent="0.25">
      <c r="I1366" t="s">
        <v>2741</v>
      </c>
      <c r="J1366" t="s">
        <v>6023</v>
      </c>
      <c r="L1366" t="s">
        <v>400</v>
      </c>
      <c r="M1366" t="s">
        <v>7146</v>
      </c>
    </row>
    <row r="1367" spans="9:13" x14ac:dyDescent="0.25">
      <c r="I1367" t="s">
        <v>2741</v>
      </c>
      <c r="J1367" t="s">
        <v>6342</v>
      </c>
      <c r="L1367" t="s">
        <v>313</v>
      </c>
      <c r="M1367" t="s">
        <v>1649</v>
      </c>
    </row>
    <row r="1368" spans="9:13" x14ac:dyDescent="0.25">
      <c r="I1368" t="s">
        <v>5594</v>
      </c>
      <c r="J1368" t="s">
        <v>6831</v>
      </c>
      <c r="L1368" t="s">
        <v>254</v>
      </c>
      <c r="M1368" t="s">
        <v>7075</v>
      </c>
    </row>
    <row r="1369" spans="9:13" x14ac:dyDescent="0.25">
      <c r="I1369" t="s">
        <v>289</v>
      </c>
      <c r="J1369" t="s">
        <v>5694</v>
      </c>
      <c r="L1369" t="s">
        <v>400</v>
      </c>
      <c r="M1369" t="s">
        <v>7300</v>
      </c>
    </row>
    <row r="1370" spans="9:13" x14ac:dyDescent="0.25">
      <c r="I1370" t="s">
        <v>356</v>
      </c>
      <c r="J1370" t="s">
        <v>6380</v>
      </c>
      <c r="L1370" t="s">
        <v>7046</v>
      </c>
      <c r="M1370" t="s">
        <v>1753</v>
      </c>
    </row>
    <row r="1371" spans="9:13" x14ac:dyDescent="0.25">
      <c r="I1371" t="s">
        <v>91</v>
      </c>
      <c r="J1371" t="s">
        <v>880</v>
      </c>
      <c r="L1371" t="s">
        <v>286</v>
      </c>
      <c r="M1371" t="s">
        <v>7670</v>
      </c>
    </row>
    <row r="1372" spans="9:13" x14ac:dyDescent="0.25">
      <c r="I1372" t="s">
        <v>289</v>
      </c>
      <c r="J1372" t="s">
        <v>5795</v>
      </c>
      <c r="L1372" t="s">
        <v>460</v>
      </c>
      <c r="M1372" t="s">
        <v>2344</v>
      </c>
    </row>
    <row r="1373" spans="9:13" x14ac:dyDescent="0.25">
      <c r="I1373" t="s">
        <v>5469</v>
      </c>
      <c r="J1373" t="s">
        <v>6124</v>
      </c>
      <c r="L1373" t="s">
        <v>400</v>
      </c>
      <c r="M1373" t="s">
        <v>7203</v>
      </c>
    </row>
    <row r="1374" spans="9:13" x14ac:dyDescent="0.25">
      <c r="I1374" t="s">
        <v>6558</v>
      </c>
      <c r="J1374" t="s">
        <v>1491</v>
      </c>
      <c r="L1374" t="s">
        <v>7550</v>
      </c>
      <c r="M1374" t="s">
        <v>7551</v>
      </c>
    </row>
    <row r="1375" spans="9:13" x14ac:dyDescent="0.25">
      <c r="I1375" t="s">
        <v>5379</v>
      </c>
      <c r="J1375" t="s">
        <v>2454</v>
      </c>
      <c r="L1375" t="s">
        <v>5895</v>
      </c>
      <c r="M1375" t="s">
        <v>1781</v>
      </c>
    </row>
    <row r="1376" spans="9:13" x14ac:dyDescent="0.25">
      <c r="I1376" t="s">
        <v>49</v>
      </c>
      <c r="J1376" t="s">
        <v>5981</v>
      </c>
      <c r="L1376" t="s">
        <v>254</v>
      </c>
      <c r="M1376" t="s">
        <v>6922</v>
      </c>
    </row>
    <row r="1377" spans="9:13" x14ac:dyDescent="0.25">
      <c r="I1377" t="s">
        <v>5371</v>
      </c>
      <c r="J1377" t="s">
        <v>856</v>
      </c>
      <c r="L1377" t="s">
        <v>7492</v>
      </c>
      <c r="M1377" t="s">
        <v>2131</v>
      </c>
    </row>
    <row r="1378" spans="9:13" x14ac:dyDescent="0.25">
      <c r="I1378" t="s">
        <v>5316</v>
      </c>
      <c r="J1378" t="s">
        <v>5373</v>
      </c>
      <c r="L1378" t="s">
        <v>254</v>
      </c>
      <c r="M1378" t="s">
        <v>2123</v>
      </c>
    </row>
    <row r="1379" spans="9:13" x14ac:dyDescent="0.25">
      <c r="I1379" t="s">
        <v>2732</v>
      </c>
      <c r="J1379" t="s">
        <v>2821</v>
      </c>
      <c r="L1379" t="s">
        <v>4812</v>
      </c>
      <c r="M1379" t="s">
        <v>4243</v>
      </c>
    </row>
    <row r="1380" spans="9:13" x14ac:dyDescent="0.25">
      <c r="I1380" t="s">
        <v>254</v>
      </c>
      <c r="J1380" t="s">
        <v>968</v>
      </c>
      <c r="L1380" t="s">
        <v>7380</v>
      </c>
      <c r="M1380" t="s">
        <v>1832</v>
      </c>
    </row>
    <row r="1381" spans="9:13" x14ac:dyDescent="0.25">
      <c r="I1381" t="s">
        <v>4334</v>
      </c>
      <c r="J1381" t="s">
        <v>5686</v>
      </c>
      <c r="L1381" t="s">
        <v>47</v>
      </c>
      <c r="M1381" t="s">
        <v>7831</v>
      </c>
    </row>
    <row r="1382" spans="9:13" x14ac:dyDescent="0.25">
      <c r="I1382" t="s">
        <v>5728</v>
      </c>
      <c r="J1382" t="s">
        <v>5729</v>
      </c>
      <c r="L1382" t="s">
        <v>280</v>
      </c>
      <c r="M1382" t="s">
        <v>7274</v>
      </c>
    </row>
    <row r="1383" spans="9:13" x14ac:dyDescent="0.25">
      <c r="I1383" t="s">
        <v>346</v>
      </c>
      <c r="J1383" t="s">
        <v>1453</v>
      </c>
      <c r="L1383" t="s">
        <v>123</v>
      </c>
      <c r="M1383" t="s">
        <v>7469</v>
      </c>
    </row>
    <row r="1384" spans="9:13" x14ac:dyDescent="0.25">
      <c r="I1384" t="s">
        <v>48</v>
      </c>
      <c r="J1384" t="s">
        <v>804</v>
      </c>
      <c r="L1384" t="s">
        <v>5350</v>
      </c>
      <c r="M1384" t="s">
        <v>4147</v>
      </c>
    </row>
    <row r="1385" spans="9:13" x14ac:dyDescent="0.25">
      <c r="I1385" t="s">
        <v>313</v>
      </c>
      <c r="J1385" t="s">
        <v>6377</v>
      </c>
      <c r="L1385" t="s">
        <v>2766</v>
      </c>
      <c r="M1385" t="s">
        <v>3174</v>
      </c>
    </row>
    <row r="1386" spans="9:13" x14ac:dyDescent="0.25">
      <c r="I1386" t="s">
        <v>5812</v>
      </c>
      <c r="J1386" t="s">
        <v>5813</v>
      </c>
      <c r="L1386" t="s">
        <v>6993</v>
      </c>
      <c r="M1386" t="s">
        <v>6994</v>
      </c>
    </row>
    <row r="1387" spans="9:13" x14ac:dyDescent="0.25">
      <c r="I1387" t="s">
        <v>6276</v>
      </c>
      <c r="J1387" t="s">
        <v>6743</v>
      </c>
      <c r="L1387" t="s">
        <v>289</v>
      </c>
      <c r="M1387" t="s">
        <v>2624</v>
      </c>
    </row>
    <row r="1388" spans="9:13" x14ac:dyDescent="0.25">
      <c r="I1388" t="s">
        <v>122</v>
      </c>
      <c r="J1388" t="s">
        <v>2813</v>
      </c>
      <c r="L1388" t="s">
        <v>457</v>
      </c>
      <c r="M1388" t="s">
        <v>2062</v>
      </c>
    </row>
    <row r="1389" spans="9:13" x14ac:dyDescent="0.25">
      <c r="I1389" t="s">
        <v>63</v>
      </c>
      <c r="J1389" t="s">
        <v>2477</v>
      </c>
      <c r="L1389" t="s">
        <v>7618</v>
      </c>
      <c r="M1389" t="s">
        <v>3098</v>
      </c>
    </row>
    <row r="1390" spans="9:13" x14ac:dyDescent="0.25">
      <c r="I1390" t="s">
        <v>2741</v>
      </c>
      <c r="J1390" t="s">
        <v>5761</v>
      </c>
      <c r="L1390" t="s">
        <v>289</v>
      </c>
      <c r="M1390" t="s">
        <v>2623</v>
      </c>
    </row>
    <row r="1391" spans="9:13" x14ac:dyDescent="0.25">
      <c r="I1391" t="s">
        <v>2741</v>
      </c>
      <c r="J1391" t="s">
        <v>5916</v>
      </c>
      <c r="L1391" t="s">
        <v>122</v>
      </c>
      <c r="M1391" t="s">
        <v>7765</v>
      </c>
    </row>
    <row r="1392" spans="9:13" x14ac:dyDescent="0.25">
      <c r="I1392" t="s">
        <v>2738</v>
      </c>
      <c r="J1392" t="s">
        <v>2969</v>
      </c>
      <c r="L1392" t="s">
        <v>398</v>
      </c>
      <c r="M1392" t="s">
        <v>7515</v>
      </c>
    </row>
    <row r="1393" spans="9:13" x14ac:dyDescent="0.25">
      <c r="I1393" t="s">
        <v>2741</v>
      </c>
      <c r="J1393" t="s">
        <v>2810</v>
      </c>
      <c r="L1393" t="s">
        <v>7058</v>
      </c>
      <c r="M1393" t="s">
        <v>7704</v>
      </c>
    </row>
    <row r="1394" spans="9:13" x14ac:dyDescent="0.25">
      <c r="I1394" t="s">
        <v>2741</v>
      </c>
      <c r="J1394" t="s">
        <v>2917</v>
      </c>
      <c r="L1394" t="s">
        <v>460</v>
      </c>
      <c r="M1394" t="s">
        <v>2099</v>
      </c>
    </row>
    <row r="1395" spans="9:13" x14ac:dyDescent="0.25">
      <c r="I1395" t="s">
        <v>2741</v>
      </c>
      <c r="J1395" t="s">
        <v>2818</v>
      </c>
      <c r="L1395" t="s">
        <v>460</v>
      </c>
      <c r="M1395" t="s">
        <v>2248</v>
      </c>
    </row>
    <row r="1396" spans="9:13" x14ac:dyDescent="0.25">
      <c r="I1396" t="s">
        <v>5274</v>
      </c>
      <c r="J1396" t="s">
        <v>5275</v>
      </c>
      <c r="L1396" t="s">
        <v>254</v>
      </c>
      <c r="M1396" t="s">
        <v>2010</v>
      </c>
    </row>
    <row r="1397" spans="9:13" x14ac:dyDescent="0.25">
      <c r="I1397" t="s">
        <v>463</v>
      </c>
      <c r="J1397" t="s">
        <v>1202</v>
      </c>
      <c r="L1397" t="s">
        <v>313</v>
      </c>
      <c r="M1397" t="s">
        <v>1875</v>
      </c>
    </row>
    <row r="1398" spans="9:13" x14ac:dyDescent="0.25">
      <c r="I1398" t="s">
        <v>5857</v>
      </c>
      <c r="J1398" t="s">
        <v>1100</v>
      </c>
      <c r="L1398" t="s">
        <v>254</v>
      </c>
      <c r="M1398" t="s">
        <v>7884</v>
      </c>
    </row>
    <row r="1399" spans="9:13" x14ac:dyDescent="0.25">
      <c r="I1399" t="s">
        <v>5972</v>
      </c>
      <c r="J1399" t="s">
        <v>5973</v>
      </c>
      <c r="L1399" t="s">
        <v>2720</v>
      </c>
      <c r="M1399" t="s">
        <v>3110</v>
      </c>
    </row>
    <row r="1400" spans="9:13" x14ac:dyDescent="0.25">
      <c r="I1400" t="s">
        <v>5717</v>
      </c>
      <c r="J1400" t="s">
        <v>1032</v>
      </c>
      <c r="L1400" t="s">
        <v>460</v>
      </c>
      <c r="M1400" t="s">
        <v>1723</v>
      </c>
    </row>
    <row r="1401" spans="9:13" x14ac:dyDescent="0.25">
      <c r="I1401" t="s">
        <v>3854</v>
      </c>
      <c r="J1401" t="s">
        <v>3885</v>
      </c>
      <c r="L1401" t="s">
        <v>3908</v>
      </c>
      <c r="M1401" t="s">
        <v>4244</v>
      </c>
    </row>
    <row r="1402" spans="9:13" x14ac:dyDescent="0.25">
      <c r="I1402" t="s">
        <v>254</v>
      </c>
      <c r="J1402" t="s">
        <v>1311</v>
      </c>
      <c r="L1402" t="s">
        <v>459</v>
      </c>
      <c r="M1402" t="s">
        <v>6968</v>
      </c>
    </row>
    <row r="1403" spans="9:13" x14ac:dyDescent="0.25">
      <c r="I1403" t="s">
        <v>278</v>
      </c>
      <c r="J1403" t="s">
        <v>802</v>
      </c>
      <c r="L1403" t="s">
        <v>400</v>
      </c>
      <c r="M1403" t="s">
        <v>2095</v>
      </c>
    </row>
    <row r="1404" spans="9:13" x14ac:dyDescent="0.25">
      <c r="I1404" t="s">
        <v>392</v>
      </c>
      <c r="J1404" t="s">
        <v>6052</v>
      </c>
      <c r="L1404" t="s">
        <v>7399</v>
      </c>
      <c r="M1404" t="s">
        <v>2108</v>
      </c>
    </row>
    <row r="1405" spans="9:13" x14ac:dyDescent="0.25">
      <c r="I1405" t="s">
        <v>338</v>
      </c>
      <c r="J1405" t="s">
        <v>2894</v>
      </c>
      <c r="L1405" t="s">
        <v>7582</v>
      </c>
      <c r="M1405" t="s">
        <v>2089</v>
      </c>
    </row>
    <row r="1406" spans="9:13" x14ac:dyDescent="0.25">
      <c r="I1406" t="s">
        <v>45</v>
      </c>
      <c r="J1406" t="s">
        <v>6212</v>
      </c>
      <c r="L1406" t="s">
        <v>7510</v>
      </c>
      <c r="M1406" t="s">
        <v>7511</v>
      </c>
    </row>
    <row r="1407" spans="9:13" x14ac:dyDescent="0.25">
      <c r="I1407" t="s">
        <v>254</v>
      </c>
      <c r="J1407" t="s">
        <v>6027</v>
      </c>
      <c r="L1407" t="s">
        <v>7285</v>
      </c>
      <c r="M1407" t="s">
        <v>3125</v>
      </c>
    </row>
    <row r="1408" spans="9:13" x14ac:dyDescent="0.25">
      <c r="I1408" t="s">
        <v>6848</v>
      </c>
      <c r="J1408" t="s">
        <v>1635</v>
      </c>
      <c r="L1408" t="s">
        <v>286</v>
      </c>
      <c r="M1408" t="s">
        <v>7943</v>
      </c>
    </row>
    <row r="1409" spans="9:13" x14ac:dyDescent="0.25">
      <c r="I1409" t="s">
        <v>313</v>
      </c>
      <c r="J1409" t="s">
        <v>7983</v>
      </c>
      <c r="L1409" t="s">
        <v>457</v>
      </c>
      <c r="M1409" t="s">
        <v>2308</v>
      </c>
    </row>
    <row r="1410" spans="9:13" x14ac:dyDescent="0.25">
      <c r="I1410" t="s">
        <v>254</v>
      </c>
      <c r="J1410" t="s">
        <v>3872</v>
      </c>
      <c r="L1410" t="s">
        <v>2720</v>
      </c>
      <c r="M1410" t="s">
        <v>7606</v>
      </c>
    </row>
    <row r="1411" spans="9:13" x14ac:dyDescent="0.25">
      <c r="I1411" t="s">
        <v>4430</v>
      </c>
      <c r="J1411" t="s">
        <v>5964</v>
      </c>
      <c r="L1411" t="s">
        <v>289</v>
      </c>
      <c r="M1411" t="s">
        <v>2608</v>
      </c>
    </row>
    <row r="1412" spans="9:13" x14ac:dyDescent="0.25">
      <c r="I1412" t="s">
        <v>283</v>
      </c>
      <c r="J1412" t="s">
        <v>2463</v>
      </c>
      <c r="L1412" t="s">
        <v>457</v>
      </c>
      <c r="M1412" t="s">
        <v>1943</v>
      </c>
    </row>
    <row r="1413" spans="9:13" x14ac:dyDescent="0.25">
      <c r="I1413" t="s">
        <v>313</v>
      </c>
      <c r="J1413" t="s">
        <v>6369</v>
      </c>
      <c r="L1413" t="s">
        <v>2741</v>
      </c>
      <c r="M1413" t="s">
        <v>3113</v>
      </c>
    </row>
    <row r="1414" spans="9:13" x14ac:dyDescent="0.25">
      <c r="I1414" t="s">
        <v>122</v>
      </c>
      <c r="J1414" t="s">
        <v>2785</v>
      </c>
      <c r="L1414" t="s">
        <v>460</v>
      </c>
      <c r="M1414" t="s">
        <v>2013</v>
      </c>
    </row>
    <row r="1415" spans="9:13" x14ac:dyDescent="0.25">
      <c r="I1415" t="s">
        <v>318</v>
      </c>
      <c r="J1415" t="s">
        <v>5880</v>
      </c>
      <c r="L1415" t="s">
        <v>457</v>
      </c>
      <c r="M1415" t="s">
        <v>1690</v>
      </c>
    </row>
    <row r="1416" spans="9:13" x14ac:dyDescent="0.25">
      <c r="I1416" t="s">
        <v>5469</v>
      </c>
      <c r="J1416" t="s">
        <v>5947</v>
      </c>
      <c r="L1416" t="s">
        <v>254</v>
      </c>
      <c r="M1416" t="s">
        <v>1700</v>
      </c>
    </row>
    <row r="1417" spans="9:13" x14ac:dyDescent="0.25">
      <c r="I1417" t="s">
        <v>313</v>
      </c>
      <c r="J1417" t="s">
        <v>1466</v>
      </c>
      <c r="L1417" t="s">
        <v>4144</v>
      </c>
      <c r="M1417" t="s">
        <v>4145</v>
      </c>
    </row>
    <row r="1418" spans="9:13" x14ac:dyDescent="0.25">
      <c r="I1418" t="s">
        <v>5958</v>
      </c>
      <c r="J1418" t="s">
        <v>1548</v>
      </c>
      <c r="L1418" t="s">
        <v>6993</v>
      </c>
      <c r="M1418" t="s">
        <v>7220</v>
      </c>
    </row>
    <row r="1419" spans="9:13" x14ac:dyDescent="0.25">
      <c r="I1419" t="s">
        <v>2741</v>
      </c>
      <c r="J1419" t="s">
        <v>5799</v>
      </c>
      <c r="L1419" t="s">
        <v>7405</v>
      </c>
      <c r="M1419" t="s">
        <v>1988</v>
      </c>
    </row>
    <row r="1420" spans="9:13" x14ac:dyDescent="0.25">
      <c r="I1420" t="s">
        <v>2741</v>
      </c>
      <c r="J1420" t="s">
        <v>6251</v>
      </c>
      <c r="L1420" t="s">
        <v>418</v>
      </c>
      <c r="M1420" t="s">
        <v>7875</v>
      </c>
    </row>
    <row r="1421" spans="9:13" x14ac:dyDescent="0.25">
      <c r="I1421" t="s">
        <v>6060</v>
      </c>
      <c r="J1421" t="s">
        <v>1200</v>
      </c>
      <c r="L1421" t="s">
        <v>1</v>
      </c>
      <c r="M1421" t="s">
        <v>6972</v>
      </c>
    </row>
    <row r="1422" spans="9:13" x14ac:dyDescent="0.25">
      <c r="I1422" t="s">
        <v>5661</v>
      </c>
      <c r="J1422" t="s">
        <v>1249</v>
      </c>
      <c r="L1422" t="s">
        <v>4160</v>
      </c>
      <c r="M1422" t="s">
        <v>4204</v>
      </c>
    </row>
    <row r="1423" spans="9:13" x14ac:dyDescent="0.25">
      <c r="I1423" t="s">
        <v>276</v>
      </c>
      <c r="J1423" t="s">
        <v>1382</v>
      </c>
      <c r="L1423" t="s">
        <v>391</v>
      </c>
      <c r="M1423" t="s">
        <v>3221</v>
      </c>
    </row>
    <row r="1424" spans="9:13" x14ac:dyDescent="0.25">
      <c r="I1424" t="s">
        <v>5839</v>
      </c>
      <c r="J1424" t="s">
        <v>1091</v>
      </c>
      <c r="L1424" t="s">
        <v>254</v>
      </c>
      <c r="M1424" t="s">
        <v>1660</v>
      </c>
    </row>
    <row r="1425" spans="9:13" x14ac:dyDescent="0.25">
      <c r="I1425" t="s">
        <v>5392</v>
      </c>
      <c r="J1425" t="s">
        <v>6070</v>
      </c>
      <c r="L1425" t="s">
        <v>37</v>
      </c>
      <c r="M1425" t="s">
        <v>2082</v>
      </c>
    </row>
    <row r="1426" spans="9:13" x14ac:dyDescent="0.25">
      <c r="I1426" t="s">
        <v>3854</v>
      </c>
      <c r="J1426" t="s">
        <v>4135</v>
      </c>
      <c r="L1426" t="s">
        <v>460</v>
      </c>
      <c r="M1426" t="s">
        <v>2238</v>
      </c>
    </row>
    <row r="1427" spans="9:13" x14ac:dyDescent="0.25">
      <c r="I1427" t="s">
        <v>5305</v>
      </c>
      <c r="J1427" t="s">
        <v>2780</v>
      </c>
      <c r="L1427" t="s">
        <v>5553</v>
      </c>
      <c r="M1427" t="s">
        <v>2135</v>
      </c>
    </row>
    <row r="1428" spans="9:13" x14ac:dyDescent="0.25">
      <c r="I1428" t="s">
        <v>254</v>
      </c>
      <c r="J1428" t="s">
        <v>5304</v>
      </c>
      <c r="L1428" t="s">
        <v>289</v>
      </c>
      <c r="M1428" t="s">
        <v>2600</v>
      </c>
    </row>
    <row r="1429" spans="9:13" x14ac:dyDescent="0.25">
      <c r="I1429" t="s">
        <v>5392</v>
      </c>
      <c r="J1429" t="s">
        <v>6234</v>
      </c>
      <c r="L1429" t="s">
        <v>6920</v>
      </c>
      <c r="M1429" t="s">
        <v>1653</v>
      </c>
    </row>
    <row r="1430" spans="9:13" x14ac:dyDescent="0.25">
      <c r="I1430" t="s">
        <v>416</v>
      </c>
      <c r="J1430" t="s">
        <v>2913</v>
      </c>
      <c r="L1430" t="s">
        <v>313</v>
      </c>
      <c r="M1430" t="s">
        <v>2166</v>
      </c>
    </row>
    <row r="1431" spans="9:13" x14ac:dyDescent="0.25">
      <c r="I1431" t="s">
        <v>313</v>
      </c>
      <c r="J1431" t="s">
        <v>6017</v>
      </c>
      <c r="L1431" t="s">
        <v>7527</v>
      </c>
      <c r="M1431" t="s">
        <v>2051</v>
      </c>
    </row>
    <row r="1432" spans="9:13" x14ac:dyDescent="0.25">
      <c r="I1432" t="s">
        <v>5980</v>
      </c>
      <c r="J1432" t="s">
        <v>6091</v>
      </c>
      <c r="L1432" t="s">
        <v>338</v>
      </c>
      <c r="M1432" t="s">
        <v>1749</v>
      </c>
    </row>
    <row r="1433" spans="9:13" x14ac:dyDescent="0.25">
      <c r="I1433" t="s">
        <v>313</v>
      </c>
      <c r="J1433" t="s">
        <v>906</v>
      </c>
      <c r="L1433" t="s">
        <v>457</v>
      </c>
      <c r="M1433" t="s">
        <v>2257</v>
      </c>
    </row>
    <row r="1434" spans="9:13" x14ac:dyDescent="0.25">
      <c r="I1434" t="s">
        <v>3854</v>
      </c>
      <c r="J1434" t="s">
        <v>4034</v>
      </c>
      <c r="L1434" t="s">
        <v>457</v>
      </c>
      <c r="M1434" t="s">
        <v>1656</v>
      </c>
    </row>
    <row r="1435" spans="9:13" x14ac:dyDescent="0.25">
      <c r="I1435" t="s">
        <v>48</v>
      </c>
      <c r="J1435" t="s">
        <v>5500</v>
      </c>
      <c r="L1435" t="s">
        <v>313</v>
      </c>
      <c r="M1435" t="s">
        <v>1837</v>
      </c>
    </row>
    <row r="1436" spans="9:13" x14ac:dyDescent="0.25">
      <c r="I1436" t="s">
        <v>5782</v>
      </c>
      <c r="J1436" t="s">
        <v>5783</v>
      </c>
      <c r="L1436" t="s">
        <v>7953</v>
      </c>
      <c r="M1436" t="s">
        <v>3128</v>
      </c>
    </row>
    <row r="1437" spans="9:13" x14ac:dyDescent="0.25">
      <c r="I1437" t="s">
        <v>5392</v>
      </c>
      <c r="J1437" t="s">
        <v>6128</v>
      </c>
      <c r="L1437" t="s">
        <v>9</v>
      </c>
      <c r="M1437" t="s">
        <v>2262</v>
      </c>
    </row>
    <row r="1438" spans="9:13" x14ac:dyDescent="0.25">
      <c r="I1438" t="s">
        <v>92</v>
      </c>
      <c r="J1438" t="s">
        <v>6281</v>
      </c>
      <c r="L1438" t="s">
        <v>313</v>
      </c>
      <c r="M1438" t="s">
        <v>1890</v>
      </c>
    </row>
    <row r="1439" spans="9:13" x14ac:dyDescent="0.25">
      <c r="I1439" t="s">
        <v>5521</v>
      </c>
      <c r="J1439" t="s">
        <v>1154</v>
      </c>
      <c r="L1439" t="s">
        <v>392</v>
      </c>
      <c r="M1439" t="s">
        <v>2100</v>
      </c>
    </row>
    <row r="1440" spans="9:13" x14ac:dyDescent="0.25">
      <c r="I1440" t="s">
        <v>63</v>
      </c>
      <c r="J1440" t="s">
        <v>2478</v>
      </c>
      <c r="L1440" t="s">
        <v>313</v>
      </c>
      <c r="M1440" t="s">
        <v>1807</v>
      </c>
    </row>
    <row r="1441" spans="9:13" x14ac:dyDescent="0.25">
      <c r="I1441" t="s">
        <v>254</v>
      </c>
      <c r="J1441" t="s">
        <v>6100</v>
      </c>
      <c r="L1441" t="s">
        <v>313</v>
      </c>
      <c r="M1441" t="s">
        <v>2301</v>
      </c>
    </row>
    <row r="1442" spans="9:13" x14ac:dyDescent="0.25">
      <c r="I1442" t="s">
        <v>254</v>
      </c>
      <c r="J1442" t="s">
        <v>1210</v>
      </c>
      <c r="L1442" t="s">
        <v>6883</v>
      </c>
      <c r="M1442" t="s">
        <v>1659</v>
      </c>
    </row>
    <row r="1443" spans="9:13" x14ac:dyDescent="0.25">
      <c r="I1443" t="s">
        <v>6353</v>
      </c>
      <c r="J1443" t="s">
        <v>1374</v>
      </c>
      <c r="L1443" t="s">
        <v>3854</v>
      </c>
      <c r="M1443" t="s">
        <v>4298</v>
      </c>
    </row>
    <row r="1444" spans="9:13" x14ac:dyDescent="0.25">
      <c r="I1444" t="s">
        <v>2741</v>
      </c>
      <c r="J1444" t="s">
        <v>6792</v>
      </c>
      <c r="L1444" t="s">
        <v>37</v>
      </c>
      <c r="M1444" t="s">
        <v>2324</v>
      </c>
    </row>
    <row r="1445" spans="9:13" x14ac:dyDescent="0.25">
      <c r="I1445" t="s">
        <v>2741</v>
      </c>
      <c r="J1445" t="s">
        <v>6556</v>
      </c>
      <c r="L1445" t="s">
        <v>7134</v>
      </c>
      <c r="M1445" t="s">
        <v>2104</v>
      </c>
    </row>
    <row r="1446" spans="9:13" x14ac:dyDescent="0.25">
      <c r="I1446" t="s">
        <v>95</v>
      </c>
      <c r="J1446" t="s">
        <v>6730</v>
      </c>
      <c r="L1446" t="s">
        <v>122</v>
      </c>
      <c r="M1446" t="s">
        <v>7677</v>
      </c>
    </row>
    <row r="1447" spans="9:13" x14ac:dyDescent="0.25">
      <c r="I1447" t="s">
        <v>5918</v>
      </c>
      <c r="J1447" t="s">
        <v>1617</v>
      </c>
      <c r="L1447" t="s">
        <v>459</v>
      </c>
      <c r="M1447" t="s">
        <v>6985</v>
      </c>
    </row>
    <row r="1448" spans="9:13" x14ac:dyDescent="0.25">
      <c r="I1448" t="s">
        <v>2726</v>
      </c>
      <c r="J1448" t="s">
        <v>2937</v>
      </c>
      <c r="L1448" t="s">
        <v>289</v>
      </c>
      <c r="M1448" t="s">
        <v>2617</v>
      </c>
    </row>
    <row r="1449" spans="9:13" x14ac:dyDescent="0.25">
      <c r="I1449" t="s">
        <v>5392</v>
      </c>
      <c r="J1449" t="s">
        <v>5892</v>
      </c>
      <c r="L1449" t="s">
        <v>95</v>
      </c>
      <c r="M1449" t="s">
        <v>7159</v>
      </c>
    </row>
    <row r="1450" spans="9:13" x14ac:dyDescent="0.25">
      <c r="I1450" t="s">
        <v>92</v>
      </c>
      <c r="J1450" t="s">
        <v>1319</v>
      </c>
      <c r="L1450" t="s">
        <v>123</v>
      </c>
      <c r="M1450" t="s">
        <v>6924</v>
      </c>
    </row>
    <row r="1451" spans="9:13" x14ac:dyDescent="0.25">
      <c r="I1451" t="s">
        <v>359</v>
      </c>
      <c r="J1451" t="s">
        <v>7970</v>
      </c>
      <c r="L1451" t="s">
        <v>289</v>
      </c>
      <c r="M1451" t="s">
        <v>2147</v>
      </c>
    </row>
    <row r="1452" spans="9:13" x14ac:dyDescent="0.25">
      <c r="I1452" t="s">
        <v>393</v>
      </c>
      <c r="J1452" t="s">
        <v>5263</v>
      </c>
      <c r="L1452" t="s">
        <v>7598</v>
      </c>
      <c r="M1452" t="s">
        <v>2569</v>
      </c>
    </row>
    <row r="1453" spans="9:13" x14ac:dyDescent="0.25">
      <c r="I1453" t="s">
        <v>6208</v>
      </c>
      <c r="J1453" t="s">
        <v>1287</v>
      </c>
      <c r="L1453" t="s">
        <v>418</v>
      </c>
      <c r="M1453" t="s">
        <v>7506</v>
      </c>
    </row>
    <row r="1454" spans="9:13" x14ac:dyDescent="0.25">
      <c r="I1454" t="s">
        <v>95</v>
      </c>
      <c r="J1454" t="s">
        <v>1510</v>
      </c>
      <c r="L1454" t="s">
        <v>7809</v>
      </c>
      <c r="M1454" t="s">
        <v>7810</v>
      </c>
    </row>
    <row r="1455" spans="9:13" x14ac:dyDescent="0.25">
      <c r="I1455" t="s">
        <v>93</v>
      </c>
      <c r="J1455" t="s">
        <v>1054</v>
      </c>
      <c r="L1455" t="s">
        <v>289</v>
      </c>
      <c r="M1455" t="s">
        <v>2603</v>
      </c>
    </row>
    <row r="1456" spans="9:13" x14ac:dyDescent="0.25">
      <c r="I1456" t="s">
        <v>6506</v>
      </c>
      <c r="J1456" t="s">
        <v>6507</v>
      </c>
      <c r="L1456" t="s">
        <v>280</v>
      </c>
      <c r="M1456" t="s">
        <v>7352</v>
      </c>
    </row>
    <row r="1457" spans="9:13" x14ac:dyDescent="0.25">
      <c r="I1457" t="s">
        <v>6750</v>
      </c>
      <c r="J1457" t="s">
        <v>6751</v>
      </c>
      <c r="L1457" t="s">
        <v>7367</v>
      </c>
      <c r="M1457" t="s">
        <v>1938</v>
      </c>
    </row>
    <row r="1458" spans="9:13" x14ac:dyDescent="0.25">
      <c r="I1458" t="s">
        <v>46</v>
      </c>
      <c r="J1458" t="s">
        <v>1163</v>
      </c>
      <c r="L1458" t="s">
        <v>95</v>
      </c>
      <c r="M1458" t="s">
        <v>7221</v>
      </c>
    </row>
    <row r="1459" spans="9:13" x14ac:dyDescent="0.25">
      <c r="I1459" t="s">
        <v>90</v>
      </c>
      <c r="J1459" t="s">
        <v>5405</v>
      </c>
      <c r="L1459" t="s">
        <v>7117</v>
      </c>
      <c r="M1459" t="s">
        <v>7118</v>
      </c>
    </row>
    <row r="1460" spans="9:13" x14ac:dyDescent="0.25">
      <c r="I1460" t="s">
        <v>5392</v>
      </c>
      <c r="J1460" t="s">
        <v>6120</v>
      </c>
      <c r="L1460" t="s">
        <v>286</v>
      </c>
      <c r="M1460" t="s">
        <v>7747</v>
      </c>
    </row>
    <row r="1461" spans="9:13" x14ac:dyDescent="0.25">
      <c r="I1461" t="s">
        <v>6121</v>
      </c>
      <c r="J1461" t="s">
        <v>6664</v>
      </c>
      <c r="L1461" t="s">
        <v>37</v>
      </c>
      <c r="M1461" t="s">
        <v>7256</v>
      </c>
    </row>
    <row r="1462" spans="9:13" x14ac:dyDescent="0.25">
      <c r="I1462" t="s">
        <v>393</v>
      </c>
      <c r="J1462" t="s">
        <v>6065</v>
      </c>
      <c r="L1462" t="s">
        <v>11</v>
      </c>
      <c r="M1462" t="s">
        <v>7217</v>
      </c>
    </row>
    <row r="1463" spans="9:13" x14ac:dyDescent="0.25">
      <c r="I1463" t="s">
        <v>6156</v>
      </c>
      <c r="J1463" t="s">
        <v>6157</v>
      </c>
      <c r="L1463" t="s">
        <v>37</v>
      </c>
      <c r="M1463" t="s">
        <v>1695</v>
      </c>
    </row>
    <row r="1464" spans="9:13" x14ac:dyDescent="0.25">
      <c r="I1464" t="s">
        <v>2741</v>
      </c>
      <c r="J1464" t="s">
        <v>5253</v>
      </c>
      <c r="L1464" t="s">
        <v>3854</v>
      </c>
      <c r="M1464" t="s">
        <v>4295</v>
      </c>
    </row>
    <row r="1465" spans="9:13" x14ac:dyDescent="0.25">
      <c r="I1465" t="s">
        <v>2741</v>
      </c>
      <c r="J1465" t="s">
        <v>6103</v>
      </c>
      <c r="L1465" t="s">
        <v>457</v>
      </c>
      <c r="M1465" t="s">
        <v>1950</v>
      </c>
    </row>
    <row r="1466" spans="9:13" x14ac:dyDescent="0.25">
      <c r="I1466" t="s">
        <v>5392</v>
      </c>
      <c r="J1466" t="s">
        <v>6001</v>
      </c>
      <c r="L1466" t="s">
        <v>7083</v>
      </c>
      <c r="M1466" t="s">
        <v>1974</v>
      </c>
    </row>
    <row r="1467" spans="9:13" x14ac:dyDescent="0.25">
      <c r="I1467" t="s">
        <v>6499</v>
      </c>
      <c r="J1467" t="s">
        <v>6500</v>
      </c>
      <c r="L1467" t="s">
        <v>4160</v>
      </c>
      <c r="M1467" t="s">
        <v>7637</v>
      </c>
    </row>
    <row r="1468" spans="9:13" x14ac:dyDescent="0.25">
      <c r="I1468" t="s">
        <v>313</v>
      </c>
      <c r="J1468" t="s">
        <v>5262</v>
      </c>
      <c r="L1468" t="s">
        <v>457</v>
      </c>
      <c r="M1468" t="s">
        <v>2146</v>
      </c>
    </row>
    <row r="1469" spans="9:13" x14ac:dyDescent="0.25">
      <c r="I1469" t="s">
        <v>39</v>
      </c>
      <c r="J1469" t="s">
        <v>921</v>
      </c>
      <c r="L1469" t="s">
        <v>7032</v>
      </c>
      <c r="M1469" t="s">
        <v>1645</v>
      </c>
    </row>
    <row r="1470" spans="9:13" x14ac:dyDescent="0.25">
      <c r="I1470" t="s">
        <v>2741</v>
      </c>
      <c r="J1470" t="s">
        <v>5298</v>
      </c>
      <c r="L1470" t="s">
        <v>7409</v>
      </c>
      <c r="M1470" t="s">
        <v>2292</v>
      </c>
    </row>
    <row r="1471" spans="9:13" x14ac:dyDescent="0.25">
      <c r="I1471" t="s">
        <v>313</v>
      </c>
      <c r="J1471" t="s">
        <v>1598</v>
      </c>
      <c r="L1471" t="s">
        <v>7333</v>
      </c>
      <c r="M1471" t="s">
        <v>1703</v>
      </c>
    </row>
    <row r="1472" spans="9:13" x14ac:dyDescent="0.25">
      <c r="I1472" t="s">
        <v>39</v>
      </c>
      <c r="J1472" t="s">
        <v>1362</v>
      </c>
      <c r="L1472" t="s">
        <v>2741</v>
      </c>
      <c r="M1472" t="s">
        <v>3238</v>
      </c>
    </row>
    <row r="1473" spans="9:13" x14ac:dyDescent="0.25">
      <c r="I1473" t="s">
        <v>39</v>
      </c>
      <c r="J1473" t="s">
        <v>1591</v>
      </c>
      <c r="L1473" t="s">
        <v>46</v>
      </c>
      <c r="M1473" t="s">
        <v>1647</v>
      </c>
    </row>
    <row r="1474" spans="9:13" x14ac:dyDescent="0.25">
      <c r="I1474" t="s">
        <v>5770</v>
      </c>
      <c r="J1474" t="s">
        <v>1060</v>
      </c>
      <c r="L1474" t="s">
        <v>457</v>
      </c>
      <c r="M1474" t="s">
        <v>2232</v>
      </c>
    </row>
    <row r="1475" spans="9:13" x14ac:dyDescent="0.25">
      <c r="I1475" t="s">
        <v>393</v>
      </c>
      <c r="J1475" t="s">
        <v>5408</v>
      </c>
      <c r="L1475" t="s">
        <v>4160</v>
      </c>
      <c r="M1475" t="s">
        <v>4181</v>
      </c>
    </row>
    <row r="1476" spans="9:13" x14ac:dyDescent="0.25">
      <c r="I1476" t="s">
        <v>4430</v>
      </c>
      <c r="J1476" t="s">
        <v>5269</v>
      </c>
      <c r="L1476" t="s">
        <v>36</v>
      </c>
      <c r="M1476" t="s">
        <v>7941</v>
      </c>
    </row>
    <row r="1477" spans="9:13" x14ac:dyDescent="0.25">
      <c r="I1477" t="s">
        <v>5392</v>
      </c>
      <c r="J1477" t="s">
        <v>6360</v>
      </c>
      <c r="L1477" t="s">
        <v>311</v>
      </c>
      <c r="M1477" t="s">
        <v>2164</v>
      </c>
    </row>
    <row r="1478" spans="9:13" x14ac:dyDescent="0.25">
      <c r="I1478" t="s">
        <v>393</v>
      </c>
      <c r="J1478" t="s">
        <v>5877</v>
      </c>
      <c r="L1478" t="s">
        <v>311</v>
      </c>
      <c r="M1478" t="s">
        <v>2017</v>
      </c>
    </row>
    <row r="1479" spans="9:13" x14ac:dyDescent="0.25">
      <c r="I1479" t="s">
        <v>5850</v>
      </c>
      <c r="J1479" t="s">
        <v>1641</v>
      </c>
      <c r="L1479" t="s">
        <v>280</v>
      </c>
      <c r="M1479" t="s">
        <v>7407</v>
      </c>
    </row>
    <row r="1480" spans="9:13" x14ac:dyDescent="0.25">
      <c r="I1480" t="s">
        <v>2741</v>
      </c>
      <c r="J1480" t="s">
        <v>4119</v>
      </c>
      <c r="L1480" t="s">
        <v>311</v>
      </c>
      <c r="M1480" t="s">
        <v>2355</v>
      </c>
    </row>
    <row r="1481" spans="9:13" x14ac:dyDescent="0.25">
      <c r="I1481" t="s">
        <v>2741</v>
      </c>
      <c r="J1481" t="s">
        <v>2819</v>
      </c>
      <c r="L1481" t="s">
        <v>3854</v>
      </c>
      <c r="M1481" t="s">
        <v>4302</v>
      </c>
    </row>
    <row r="1482" spans="9:13" x14ac:dyDescent="0.25">
      <c r="I1482" t="s">
        <v>47</v>
      </c>
      <c r="J1482" t="s">
        <v>825</v>
      </c>
      <c r="L1482" t="s">
        <v>313</v>
      </c>
      <c r="M1482" t="s">
        <v>1762</v>
      </c>
    </row>
    <row r="1483" spans="9:13" x14ac:dyDescent="0.25">
      <c r="I1483" t="s">
        <v>5279</v>
      </c>
      <c r="J1483" t="s">
        <v>5280</v>
      </c>
      <c r="L1483" t="s">
        <v>37</v>
      </c>
      <c r="M1483" t="s">
        <v>7422</v>
      </c>
    </row>
    <row r="1484" spans="9:13" x14ac:dyDescent="0.25">
      <c r="I1484" t="s">
        <v>318</v>
      </c>
      <c r="J1484" t="s">
        <v>6857</v>
      </c>
      <c r="L1484" t="s">
        <v>313</v>
      </c>
      <c r="M1484" t="s">
        <v>2186</v>
      </c>
    </row>
    <row r="1485" spans="9:13" x14ac:dyDescent="0.25">
      <c r="I1485" t="s">
        <v>3854</v>
      </c>
      <c r="J1485" t="s">
        <v>4118</v>
      </c>
      <c r="L1485" t="s">
        <v>62</v>
      </c>
      <c r="M1485" t="s">
        <v>7667</v>
      </c>
    </row>
    <row r="1486" spans="9:13" x14ac:dyDescent="0.25">
      <c r="I1486" t="s">
        <v>254</v>
      </c>
      <c r="J1486" t="s">
        <v>1361</v>
      </c>
      <c r="L1486" t="s">
        <v>21</v>
      </c>
      <c r="M1486" t="s">
        <v>2149</v>
      </c>
    </row>
    <row r="1487" spans="9:13" x14ac:dyDescent="0.25">
      <c r="I1487" t="s">
        <v>39</v>
      </c>
      <c r="J1487" t="s">
        <v>1518</v>
      </c>
      <c r="L1487" t="s">
        <v>37</v>
      </c>
      <c r="M1487" t="s">
        <v>2015</v>
      </c>
    </row>
    <row r="1488" spans="9:13" x14ac:dyDescent="0.25">
      <c r="I1488" t="s">
        <v>5392</v>
      </c>
      <c r="J1488" t="s">
        <v>5805</v>
      </c>
      <c r="L1488" t="s">
        <v>306</v>
      </c>
      <c r="M1488" t="s">
        <v>7605</v>
      </c>
    </row>
    <row r="1489" spans="9:13" x14ac:dyDescent="0.25">
      <c r="I1489" t="s">
        <v>6101</v>
      </c>
      <c r="J1489" t="s">
        <v>6102</v>
      </c>
      <c r="L1489" t="s">
        <v>37</v>
      </c>
      <c r="M1489" t="s">
        <v>2272</v>
      </c>
    </row>
    <row r="1490" spans="9:13" x14ac:dyDescent="0.25">
      <c r="I1490" t="s">
        <v>5392</v>
      </c>
      <c r="J1490" t="s">
        <v>6471</v>
      </c>
      <c r="L1490" t="s">
        <v>457</v>
      </c>
      <c r="M1490" t="s">
        <v>6891</v>
      </c>
    </row>
    <row r="1491" spans="9:13" x14ac:dyDescent="0.25">
      <c r="I1491" t="s">
        <v>5392</v>
      </c>
      <c r="J1491" t="s">
        <v>5393</v>
      </c>
      <c r="L1491" t="s">
        <v>309</v>
      </c>
      <c r="M1491" t="s">
        <v>2216</v>
      </c>
    </row>
    <row r="1492" spans="9:13" x14ac:dyDescent="0.25">
      <c r="I1492" t="s">
        <v>548</v>
      </c>
      <c r="J1492" t="s">
        <v>1222</v>
      </c>
      <c r="L1492" t="s">
        <v>254</v>
      </c>
      <c r="M1492" t="s">
        <v>7231</v>
      </c>
    </row>
    <row r="1493" spans="9:13" x14ac:dyDescent="0.25">
      <c r="I1493" t="s">
        <v>39</v>
      </c>
      <c r="J1493" t="s">
        <v>1476</v>
      </c>
      <c r="L1493" t="s">
        <v>460</v>
      </c>
      <c r="M1493" t="s">
        <v>1778</v>
      </c>
    </row>
    <row r="1494" spans="9:13" x14ac:dyDescent="0.25">
      <c r="I1494" t="s">
        <v>254</v>
      </c>
      <c r="J1494" t="s">
        <v>1104</v>
      </c>
      <c r="L1494" t="s">
        <v>7014</v>
      </c>
      <c r="M1494" t="s">
        <v>7676</v>
      </c>
    </row>
    <row r="1495" spans="9:13" x14ac:dyDescent="0.25">
      <c r="I1495" t="s">
        <v>6454</v>
      </c>
      <c r="J1495" t="s">
        <v>6455</v>
      </c>
      <c r="L1495" t="s">
        <v>123</v>
      </c>
      <c r="M1495" t="s">
        <v>7934</v>
      </c>
    </row>
    <row r="1496" spans="9:13" x14ac:dyDescent="0.25">
      <c r="I1496" t="s">
        <v>318</v>
      </c>
      <c r="J1496" t="s">
        <v>5380</v>
      </c>
      <c r="L1496" t="s">
        <v>283</v>
      </c>
      <c r="M1496" t="s">
        <v>3073</v>
      </c>
    </row>
    <row r="1497" spans="9:13" x14ac:dyDescent="0.25">
      <c r="I1497" t="s">
        <v>5653</v>
      </c>
      <c r="J1497" t="s">
        <v>5654</v>
      </c>
      <c r="L1497" t="s">
        <v>122</v>
      </c>
      <c r="M1497" t="s">
        <v>7408</v>
      </c>
    </row>
    <row r="1498" spans="9:13" x14ac:dyDescent="0.25">
      <c r="I1498" t="s">
        <v>6096</v>
      </c>
      <c r="J1498" t="s">
        <v>6097</v>
      </c>
      <c r="L1498" t="s">
        <v>313</v>
      </c>
      <c r="M1498" t="s">
        <v>2177</v>
      </c>
    </row>
    <row r="1499" spans="9:13" x14ac:dyDescent="0.25">
      <c r="I1499" t="s">
        <v>254</v>
      </c>
      <c r="J1499" t="s">
        <v>1082</v>
      </c>
      <c r="L1499" t="s">
        <v>4857</v>
      </c>
      <c r="M1499" t="s">
        <v>7555</v>
      </c>
    </row>
    <row r="1500" spans="9:13" x14ac:dyDescent="0.25">
      <c r="I1500" t="s">
        <v>5831</v>
      </c>
      <c r="J1500" t="s">
        <v>1086</v>
      </c>
      <c r="L1500" t="s">
        <v>313</v>
      </c>
      <c r="M1500" t="s">
        <v>1757</v>
      </c>
    </row>
    <row r="1501" spans="9:13" x14ac:dyDescent="0.25">
      <c r="I1501" t="s">
        <v>3854</v>
      </c>
      <c r="J1501" t="s">
        <v>5220</v>
      </c>
      <c r="L1501" t="s">
        <v>37</v>
      </c>
      <c r="M1501" t="s">
        <v>2309</v>
      </c>
    </row>
    <row r="1502" spans="9:13" x14ac:dyDescent="0.25">
      <c r="I1502" t="s">
        <v>393</v>
      </c>
      <c r="J1502" t="s">
        <v>6235</v>
      </c>
      <c r="L1502" t="s">
        <v>313</v>
      </c>
      <c r="M1502" t="s">
        <v>1650</v>
      </c>
    </row>
    <row r="1503" spans="9:13" x14ac:dyDescent="0.25">
      <c r="I1503" t="s">
        <v>5631</v>
      </c>
      <c r="J1503" t="s">
        <v>5632</v>
      </c>
      <c r="L1503" t="s">
        <v>286</v>
      </c>
      <c r="M1503" t="s">
        <v>7592</v>
      </c>
    </row>
    <row r="1504" spans="9:13" x14ac:dyDescent="0.25">
      <c r="I1504" t="s">
        <v>406</v>
      </c>
      <c r="J1504" t="s">
        <v>6216</v>
      </c>
      <c r="L1504" t="s">
        <v>3908</v>
      </c>
      <c r="M1504" t="s">
        <v>6878</v>
      </c>
    </row>
    <row r="1505" spans="9:13" x14ac:dyDescent="0.25">
      <c r="I1505" t="s">
        <v>6153</v>
      </c>
      <c r="J1505" t="s">
        <v>6154</v>
      </c>
      <c r="L1505" t="s">
        <v>123</v>
      </c>
      <c r="M1505" t="s">
        <v>7869</v>
      </c>
    </row>
    <row r="1506" spans="9:13" x14ac:dyDescent="0.25">
      <c r="I1506" t="s">
        <v>5538</v>
      </c>
      <c r="J1506" t="s">
        <v>5539</v>
      </c>
      <c r="L1506" t="s">
        <v>4828</v>
      </c>
      <c r="M1506" t="s">
        <v>3248</v>
      </c>
    </row>
    <row r="1507" spans="9:13" x14ac:dyDescent="0.25">
      <c r="I1507" t="s">
        <v>5392</v>
      </c>
      <c r="J1507" t="s">
        <v>5678</v>
      </c>
      <c r="L1507" t="s">
        <v>123</v>
      </c>
      <c r="M1507" t="s">
        <v>7279</v>
      </c>
    </row>
    <row r="1508" spans="9:13" x14ac:dyDescent="0.25">
      <c r="I1508" t="s">
        <v>123</v>
      </c>
      <c r="J1508" t="s">
        <v>5872</v>
      </c>
      <c r="L1508" t="s">
        <v>286</v>
      </c>
      <c r="M1508" t="s">
        <v>7120</v>
      </c>
    </row>
    <row r="1509" spans="9:13" x14ac:dyDescent="0.25">
      <c r="I1509" t="s">
        <v>313</v>
      </c>
      <c r="J1509" t="s">
        <v>1251</v>
      </c>
      <c r="L1509" t="s">
        <v>7554</v>
      </c>
      <c r="M1509" t="s">
        <v>1970</v>
      </c>
    </row>
    <row r="1510" spans="9:13" x14ac:dyDescent="0.25">
      <c r="I1510" t="s">
        <v>6121</v>
      </c>
      <c r="J1510" t="s">
        <v>6766</v>
      </c>
      <c r="L1510" t="s">
        <v>313</v>
      </c>
      <c r="M1510" t="s">
        <v>1888</v>
      </c>
    </row>
    <row r="1511" spans="9:13" x14ac:dyDescent="0.25">
      <c r="I1511" t="s">
        <v>6741</v>
      </c>
      <c r="J1511" t="s">
        <v>6742</v>
      </c>
      <c r="L1511" t="s">
        <v>278</v>
      </c>
      <c r="M1511" t="s">
        <v>7476</v>
      </c>
    </row>
    <row r="1512" spans="9:13" x14ac:dyDescent="0.25">
      <c r="I1512" t="s">
        <v>5392</v>
      </c>
      <c r="J1512" t="s">
        <v>5509</v>
      </c>
      <c r="L1512" t="s">
        <v>46</v>
      </c>
      <c r="M1512" t="s">
        <v>2035</v>
      </c>
    </row>
    <row r="1513" spans="9:13" x14ac:dyDescent="0.25">
      <c r="I1513" t="s">
        <v>5621</v>
      </c>
      <c r="J1513" t="s">
        <v>969</v>
      </c>
      <c r="L1513" t="s">
        <v>37</v>
      </c>
      <c r="M1513" t="s">
        <v>3150</v>
      </c>
    </row>
    <row r="1514" spans="9:13" x14ac:dyDescent="0.25">
      <c r="I1514" t="s">
        <v>4768</v>
      </c>
      <c r="J1514" t="s">
        <v>5837</v>
      </c>
      <c r="L1514" t="s">
        <v>21</v>
      </c>
      <c r="M1514" t="s">
        <v>6921</v>
      </c>
    </row>
    <row r="1515" spans="9:13" x14ac:dyDescent="0.25">
      <c r="I1515" t="s">
        <v>545</v>
      </c>
      <c r="J1515" t="s">
        <v>2816</v>
      </c>
      <c r="L1515" t="s">
        <v>5998</v>
      </c>
      <c r="M1515" t="s">
        <v>2160</v>
      </c>
    </row>
    <row r="1516" spans="9:13" x14ac:dyDescent="0.25">
      <c r="I1516" t="s">
        <v>254</v>
      </c>
      <c r="J1516" t="s">
        <v>1579</v>
      </c>
      <c r="L1516" t="s">
        <v>7276</v>
      </c>
      <c r="M1516" t="s">
        <v>2077</v>
      </c>
    </row>
    <row r="1517" spans="9:13" x14ac:dyDescent="0.25">
      <c r="I1517" t="s">
        <v>122</v>
      </c>
      <c r="J1517" t="s">
        <v>1048</v>
      </c>
      <c r="L1517" t="s">
        <v>7319</v>
      </c>
      <c r="M1517" t="s">
        <v>7320</v>
      </c>
    </row>
    <row r="1518" spans="9:13" x14ac:dyDescent="0.25">
      <c r="I1518" t="s">
        <v>6463</v>
      </c>
      <c r="J1518" t="s">
        <v>1429</v>
      </c>
      <c r="L1518" t="s">
        <v>457</v>
      </c>
      <c r="M1518" t="s">
        <v>7653</v>
      </c>
    </row>
    <row r="1519" spans="9:13" x14ac:dyDescent="0.25">
      <c r="I1519" t="s">
        <v>5743</v>
      </c>
      <c r="J1519" t="s">
        <v>1138</v>
      </c>
      <c r="L1519" t="s">
        <v>7053</v>
      </c>
      <c r="M1519" t="s">
        <v>3166</v>
      </c>
    </row>
    <row r="1520" spans="9:13" x14ac:dyDescent="0.25">
      <c r="I1520" t="s">
        <v>5889</v>
      </c>
      <c r="J1520" t="s">
        <v>1112</v>
      </c>
      <c r="L1520" t="s">
        <v>313</v>
      </c>
      <c r="M1520" t="s">
        <v>1873</v>
      </c>
    </row>
    <row r="1521" spans="9:13" x14ac:dyDescent="0.25">
      <c r="I1521" t="s">
        <v>5558</v>
      </c>
      <c r="J1521" t="s">
        <v>938</v>
      </c>
      <c r="L1521" t="s">
        <v>280</v>
      </c>
      <c r="M1521" t="s">
        <v>3218</v>
      </c>
    </row>
    <row r="1522" spans="9:13" x14ac:dyDescent="0.25">
      <c r="I1522" t="s">
        <v>311</v>
      </c>
      <c r="J1522" t="s">
        <v>1196</v>
      </c>
      <c r="L1522" t="s">
        <v>2720</v>
      </c>
      <c r="M1522" t="s">
        <v>3072</v>
      </c>
    </row>
    <row r="1523" spans="9:13" x14ac:dyDescent="0.25">
      <c r="I1523" t="s">
        <v>253</v>
      </c>
      <c r="J1523" t="s">
        <v>5541</v>
      </c>
      <c r="L1523" t="s">
        <v>49</v>
      </c>
      <c r="M1523" t="s">
        <v>7031</v>
      </c>
    </row>
    <row r="1524" spans="9:13" x14ac:dyDescent="0.25">
      <c r="I1524" t="s">
        <v>5418</v>
      </c>
      <c r="J1524" t="s">
        <v>878</v>
      </c>
      <c r="L1524" t="s">
        <v>7338</v>
      </c>
      <c r="M1524" t="s">
        <v>7739</v>
      </c>
    </row>
    <row r="1525" spans="9:13" x14ac:dyDescent="0.25">
      <c r="I1525" t="s">
        <v>39</v>
      </c>
      <c r="J1525" t="s">
        <v>983</v>
      </c>
      <c r="L1525" t="s">
        <v>280</v>
      </c>
      <c r="M1525" t="s">
        <v>3114</v>
      </c>
    </row>
    <row r="1526" spans="9:13" x14ac:dyDescent="0.25">
      <c r="I1526" t="s">
        <v>95</v>
      </c>
      <c r="J1526" t="s">
        <v>769</v>
      </c>
      <c r="L1526" t="s">
        <v>3854</v>
      </c>
      <c r="M1526" t="s">
        <v>4164</v>
      </c>
    </row>
    <row r="1527" spans="9:13" x14ac:dyDescent="0.25">
      <c r="I1527" t="s">
        <v>6408</v>
      </c>
      <c r="J1527" t="s">
        <v>6409</v>
      </c>
      <c r="L1527" t="s">
        <v>2352</v>
      </c>
      <c r="M1527" t="s">
        <v>4272</v>
      </c>
    </row>
    <row r="1528" spans="9:13" x14ac:dyDescent="0.25">
      <c r="I1528" t="s">
        <v>313</v>
      </c>
      <c r="J1528" t="s">
        <v>6230</v>
      </c>
      <c r="L1528" t="s">
        <v>122</v>
      </c>
      <c r="M1528" t="s">
        <v>1841</v>
      </c>
    </row>
    <row r="1529" spans="9:13" x14ac:dyDescent="0.25">
      <c r="I1529" t="s">
        <v>6131</v>
      </c>
      <c r="J1529" t="s">
        <v>1250</v>
      </c>
      <c r="L1529" t="s">
        <v>7208</v>
      </c>
      <c r="M1529" t="s">
        <v>1967</v>
      </c>
    </row>
    <row r="1530" spans="9:13" x14ac:dyDescent="0.25">
      <c r="I1530" t="s">
        <v>6374</v>
      </c>
      <c r="J1530" t="s">
        <v>6375</v>
      </c>
      <c r="L1530" t="s">
        <v>309</v>
      </c>
      <c r="M1530" t="s">
        <v>3229</v>
      </c>
    </row>
    <row r="1531" spans="9:13" x14ac:dyDescent="0.25">
      <c r="I1531" t="s">
        <v>5217</v>
      </c>
      <c r="J1531" t="s">
        <v>5218</v>
      </c>
      <c r="L1531" t="s">
        <v>548</v>
      </c>
      <c r="M1531" t="s">
        <v>1879</v>
      </c>
    </row>
    <row r="1532" spans="9:13" x14ac:dyDescent="0.25">
      <c r="I1532" t="s">
        <v>5995</v>
      </c>
      <c r="J1532" t="s">
        <v>5996</v>
      </c>
      <c r="L1532" t="s">
        <v>548</v>
      </c>
      <c r="M1532" t="s">
        <v>1879</v>
      </c>
    </row>
    <row r="1533" spans="9:13" x14ac:dyDescent="0.25">
      <c r="I1533" t="s">
        <v>313</v>
      </c>
      <c r="J1533" t="s">
        <v>6254</v>
      </c>
      <c r="L1533" t="s">
        <v>123</v>
      </c>
      <c r="M1533" t="s">
        <v>1686</v>
      </c>
    </row>
    <row r="1534" spans="9:13" x14ac:dyDescent="0.25">
      <c r="I1534" t="s">
        <v>313</v>
      </c>
      <c r="J1534" t="s">
        <v>1192</v>
      </c>
      <c r="L1534" t="s">
        <v>2352</v>
      </c>
      <c r="M1534" t="s">
        <v>4141</v>
      </c>
    </row>
    <row r="1535" spans="9:13" x14ac:dyDescent="0.25">
      <c r="I1535" t="s">
        <v>313</v>
      </c>
      <c r="J1535" t="s">
        <v>1523</v>
      </c>
      <c r="L1535" t="s">
        <v>313</v>
      </c>
      <c r="M1535" t="s">
        <v>2085</v>
      </c>
    </row>
    <row r="1536" spans="9:13" x14ac:dyDescent="0.25">
      <c r="I1536" t="s">
        <v>313</v>
      </c>
      <c r="J1536" t="s">
        <v>794</v>
      </c>
      <c r="L1536" t="s">
        <v>548</v>
      </c>
      <c r="M1536" t="s">
        <v>7859</v>
      </c>
    </row>
    <row r="1537" spans="9:13" x14ac:dyDescent="0.25">
      <c r="I1537" t="s">
        <v>545</v>
      </c>
      <c r="J1537" t="s">
        <v>2941</v>
      </c>
      <c r="L1537" t="s">
        <v>280</v>
      </c>
      <c r="M1537" t="s">
        <v>3189</v>
      </c>
    </row>
    <row r="1538" spans="9:13" x14ac:dyDescent="0.25">
      <c r="I1538" t="s">
        <v>39</v>
      </c>
      <c r="J1538" t="s">
        <v>1329</v>
      </c>
      <c r="L1538" t="s">
        <v>398</v>
      </c>
      <c r="M1538" t="s">
        <v>7936</v>
      </c>
    </row>
    <row r="1539" spans="9:13" x14ac:dyDescent="0.25">
      <c r="I1539" t="s">
        <v>5653</v>
      </c>
      <c r="J1539" t="s">
        <v>6559</v>
      </c>
      <c r="L1539" t="s">
        <v>6993</v>
      </c>
      <c r="M1539" t="s">
        <v>7706</v>
      </c>
    </row>
    <row r="1540" spans="9:13" x14ac:dyDescent="0.25">
      <c r="I1540" t="s">
        <v>39</v>
      </c>
      <c r="J1540" t="s">
        <v>792</v>
      </c>
      <c r="L1540" t="s">
        <v>7026</v>
      </c>
      <c r="M1540" t="s">
        <v>3173</v>
      </c>
    </row>
    <row r="1541" spans="9:13" x14ac:dyDescent="0.25">
      <c r="I1541" t="s">
        <v>545</v>
      </c>
      <c r="J1541" t="s">
        <v>2773</v>
      </c>
      <c r="L1541" t="s">
        <v>95</v>
      </c>
      <c r="M1541" t="s">
        <v>7951</v>
      </c>
    </row>
    <row r="1542" spans="9:13" x14ac:dyDescent="0.25">
      <c r="I1542" t="s">
        <v>5510</v>
      </c>
      <c r="J1542" t="s">
        <v>1335</v>
      </c>
      <c r="L1542" t="s">
        <v>315</v>
      </c>
      <c r="M1542" t="s">
        <v>3124</v>
      </c>
    </row>
    <row r="1543" spans="9:13" x14ac:dyDescent="0.25">
      <c r="I1543" t="s">
        <v>63</v>
      </c>
      <c r="J1543" t="s">
        <v>2492</v>
      </c>
      <c r="L1543" t="s">
        <v>7247</v>
      </c>
      <c r="M1543" t="s">
        <v>3076</v>
      </c>
    </row>
    <row r="1544" spans="9:13" x14ac:dyDescent="0.25">
      <c r="I1544" t="s">
        <v>36</v>
      </c>
      <c r="J1544" t="s">
        <v>1584</v>
      </c>
      <c r="L1544" t="s">
        <v>2736</v>
      </c>
      <c r="M1544" t="s">
        <v>3207</v>
      </c>
    </row>
    <row r="1545" spans="9:13" x14ac:dyDescent="0.25">
      <c r="I1545" t="s">
        <v>2723</v>
      </c>
      <c r="J1545" t="s">
        <v>2882</v>
      </c>
      <c r="L1545" t="s">
        <v>2736</v>
      </c>
      <c r="M1545" t="s">
        <v>3142</v>
      </c>
    </row>
    <row r="1546" spans="9:13" x14ac:dyDescent="0.25">
      <c r="I1546" t="s">
        <v>6590</v>
      </c>
      <c r="J1546" t="s">
        <v>6591</v>
      </c>
      <c r="L1546" t="s">
        <v>2741</v>
      </c>
      <c r="M1546" t="s">
        <v>3099</v>
      </c>
    </row>
    <row r="1547" spans="9:13" x14ac:dyDescent="0.25">
      <c r="I1547" t="s">
        <v>313</v>
      </c>
      <c r="J1547" t="s">
        <v>5540</v>
      </c>
      <c r="L1547" t="s">
        <v>2741</v>
      </c>
      <c r="M1547" t="s">
        <v>3210</v>
      </c>
    </row>
    <row r="1548" spans="9:13" x14ac:dyDescent="0.25">
      <c r="I1548" t="s">
        <v>39</v>
      </c>
      <c r="J1548" t="s">
        <v>1345</v>
      </c>
      <c r="L1548" t="s">
        <v>2736</v>
      </c>
      <c r="M1548" t="s">
        <v>3252</v>
      </c>
    </row>
    <row r="1549" spans="9:13" x14ac:dyDescent="0.25">
      <c r="I1549" t="s">
        <v>92</v>
      </c>
      <c r="J1549" t="s">
        <v>6624</v>
      </c>
      <c r="L1549" t="s">
        <v>2736</v>
      </c>
      <c r="M1549" t="s">
        <v>3236</v>
      </c>
    </row>
    <row r="1550" spans="9:13" x14ac:dyDescent="0.25">
      <c r="I1550" t="s">
        <v>338</v>
      </c>
      <c r="J1550" t="s">
        <v>5249</v>
      </c>
      <c r="L1550" t="s">
        <v>2734</v>
      </c>
      <c r="M1550" t="s">
        <v>3233</v>
      </c>
    </row>
    <row r="1551" spans="9:13" x14ac:dyDescent="0.25">
      <c r="I1551" t="s">
        <v>37</v>
      </c>
      <c r="J1551" t="s">
        <v>859</v>
      </c>
      <c r="L1551" t="s">
        <v>37</v>
      </c>
      <c r="M1551" t="s">
        <v>2225</v>
      </c>
    </row>
    <row r="1552" spans="9:13" x14ac:dyDescent="0.25">
      <c r="I1552" t="s">
        <v>5410</v>
      </c>
      <c r="J1552" t="s">
        <v>1085</v>
      </c>
      <c r="L1552" t="s">
        <v>6944</v>
      </c>
      <c r="M1552" t="s">
        <v>2218</v>
      </c>
    </row>
    <row r="1553" spans="9:13" x14ac:dyDescent="0.25">
      <c r="I1553" t="s">
        <v>2732</v>
      </c>
      <c r="J1553" t="s">
        <v>4084</v>
      </c>
      <c r="L1553" t="s">
        <v>460</v>
      </c>
      <c r="M1553" t="s">
        <v>2079</v>
      </c>
    </row>
    <row r="1554" spans="9:13" x14ac:dyDescent="0.25">
      <c r="I1554" t="s">
        <v>6437</v>
      </c>
      <c r="J1554" t="s">
        <v>2530</v>
      </c>
      <c r="L1554" t="s">
        <v>122</v>
      </c>
      <c r="M1554" t="s">
        <v>2219</v>
      </c>
    </row>
    <row r="1555" spans="9:13" x14ac:dyDescent="0.25">
      <c r="I1555" t="s">
        <v>39</v>
      </c>
      <c r="J1555" t="s">
        <v>781</v>
      </c>
      <c r="L1555" t="s">
        <v>4430</v>
      </c>
      <c r="M1555" t="s">
        <v>6910</v>
      </c>
    </row>
    <row r="1556" spans="9:13" x14ac:dyDescent="0.25">
      <c r="I1556" t="s">
        <v>5743</v>
      </c>
      <c r="J1556" t="s">
        <v>6540</v>
      </c>
      <c r="L1556" t="s">
        <v>36</v>
      </c>
      <c r="M1556" t="s">
        <v>7307</v>
      </c>
    </row>
    <row r="1557" spans="9:13" x14ac:dyDescent="0.25">
      <c r="I1557" t="s">
        <v>21</v>
      </c>
      <c r="J1557" t="s">
        <v>1285</v>
      </c>
      <c r="L1557" t="s">
        <v>278</v>
      </c>
      <c r="M1557" t="s">
        <v>7902</v>
      </c>
    </row>
    <row r="1558" spans="9:13" x14ac:dyDescent="0.25">
      <c r="I1558" t="s">
        <v>393</v>
      </c>
      <c r="J1558" t="s">
        <v>953</v>
      </c>
      <c r="L1558" t="s">
        <v>548</v>
      </c>
      <c r="M1558" t="s">
        <v>7544</v>
      </c>
    </row>
    <row r="1559" spans="9:13" x14ac:dyDescent="0.25">
      <c r="I1559" t="s">
        <v>545</v>
      </c>
      <c r="J1559" t="s">
        <v>1463</v>
      </c>
      <c r="L1559" t="s">
        <v>391</v>
      </c>
      <c r="M1559" t="s">
        <v>2096</v>
      </c>
    </row>
    <row r="1560" spans="9:13" x14ac:dyDescent="0.25">
      <c r="I1560" t="s">
        <v>39</v>
      </c>
      <c r="J1560" t="s">
        <v>1432</v>
      </c>
      <c r="L1560" t="s">
        <v>457</v>
      </c>
      <c r="M1560" t="s">
        <v>1812</v>
      </c>
    </row>
    <row r="1561" spans="9:13" x14ac:dyDescent="0.25">
      <c r="I1561" t="s">
        <v>548</v>
      </c>
      <c r="J1561" t="s">
        <v>7971</v>
      </c>
      <c r="L1561" t="s">
        <v>286</v>
      </c>
      <c r="M1561" t="s">
        <v>7054</v>
      </c>
    </row>
    <row r="1562" spans="9:13" x14ac:dyDescent="0.25">
      <c r="I1562" t="s">
        <v>548</v>
      </c>
      <c r="J1562" t="s">
        <v>5756</v>
      </c>
      <c r="L1562" t="s">
        <v>37</v>
      </c>
      <c r="M1562" t="s">
        <v>6914</v>
      </c>
    </row>
    <row r="1563" spans="9:13" x14ac:dyDescent="0.25">
      <c r="I1563" t="s">
        <v>318</v>
      </c>
      <c r="J1563" t="s">
        <v>2791</v>
      </c>
      <c r="L1563" t="s">
        <v>47</v>
      </c>
      <c r="M1563" t="s">
        <v>7166</v>
      </c>
    </row>
    <row r="1564" spans="9:13" x14ac:dyDescent="0.25">
      <c r="I1564" t="s">
        <v>5640</v>
      </c>
      <c r="J1564" t="s">
        <v>986</v>
      </c>
      <c r="L1564" t="s">
        <v>460</v>
      </c>
      <c r="M1564" t="s">
        <v>2091</v>
      </c>
    </row>
    <row r="1565" spans="9:13" x14ac:dyDescent="0.25">
      <c r="I1565" t="s">
        <v>311</v>
      </c>
      <c r="J1565" t="s">
        <v>1255</v>
      </c>
      <c r="L1565" t="s">
        <v>318</v>
      </c>
      <c r="M1565" t="s">
        <v>3219</v>
      </c>
    </row>
    <row r="1566" spans="9:13" x14ac:dyDescent="0.25">
      <c r="I1566" t="s">
        <v>5684</v>
      </c>
      <c r="J1566" t="s">
        <v>1010</v>
      </c>
      <c r="L1566" t="s">
        <v>46</v>
      </c>
      <c r="M1566" t="s">
        <v>1874</v>
      </c>
    </row>
    <row r="1567" spans="9:13" x14ac:dyDescent="0.25">
      <c r="I1567" t="s">
        <v>313</v>
      </c>
      <c r="J1567" t="s">
        <v>5638</v>
      </c>
      <c r="L1567" t="s">
        <v>36</v>
      </c>
      <c r="M1567" t="s">
        <v>7680</v>
      </c>
    </row>
    <row r="1568" spans="9:13" x14ac:dyDescent="0.25">
      <c r="I1568" t="s">
        <v>95</v>
      </c>
      <c r="J1568" t="s">
        <v>1377</v>
      </c>
      <c r="L1568" t="s">
        <v>254</v>
      </c>
      <c r="M1568" t="s">
        <v>1696</v>
      </c>
    </row>
    <row r="1569" spans="9:13" x14ac:dyDescent="0.25">
      <c r="I1569" t="s">
        <v>545</v>
      </c>
      <c r="J1569" t="s">
        <v>5762</v>
      </c>
      <c r="L1569" t="s">
        <v>7175</v>
      </c>
      <c r="M1569" t="s">
        <v>1842</v>
      </c>
    </row>
    <row r="1570" spans="9:13" x14ac:dyDescent="0.25">
      <c r="I1570" t="s">
        <v>2766</v>
      </c>
      <c r="J1570" t="s">
        <v>2835</v>
      </c>
      <c r="L1570" t="s">
        <v>311</v>
      </c>
      <c r="M1570" t="s">
        <v>1646</v>
      </c>
    </row>
    <row r="1571" spans="9:13" x14ac:dyDescent="0.25">
      <c r="I1571" t="s">
        <v>39</v>
      </c>
      <c r="J1571" t="s">
        <v>827</v>
      </c>
      <c r="L1571" t="s">
        <v>7338</v>
      </c>
      <c r="M1571" t="s">
        <v>7339</v>
      </c>
    </row>
    <row r="1572" spans="9:13" x14ac:dyDescent="0.25">
      <c r="I1572" t="s">
        <v>122</v>
      </c>
      <c r="J1572" t="s">
        <v>910</v>
      </c>
      <c r="L1572" t="s">
        <v>313</v>
      </c>
      <c r="M1572" t="s">
        <v>1824</v>
      </c>
    </row>
    <row r="1573" spans="9:13" x14ac:dyDescent="0.25">
      <c r="I1573" t="s">
        <v>393</v>
      </c>
      <c r="J1573" t="s">
        <v>1627</v>
      </c>
      <c r="L1573" t="s">
        <v>7149</v>
      </c>
      <c r="M1573" t="s">
        <v>7150</v>
      </c>
    </row>
    <row r="1574" spans="9:13" x14ac:dyDescent="0.25">
      <c r="I1574" t="s">
        <v>39</v>
      </c>
      <c r="J1574" t="s">
        <v>1614</v>
      </c>
      <c r="L1574" t="s">
        <v>7817</v>
      </c>
      <c r="M1574" t="s">
        <v>7818</v>
      </c>
    </row>
    <row r="1575" spans="9:13" x14ac:dyDescent="0.25">
      <c r="I1575" t="s">
        <v>6253</v>
      </c>
      <c r="J1575" t="s">
        <v>1317</v>
      </c>
      <c r="L1575" t="s">
        <v>286</v>
      </c>
      <c r="M1575" t="s">
        <v>7412</v>
      </c>
    </row>
    <row r="1576" spans="9:13" x14ac:dyDescent="0.25">
      <c r="I1576" t="s">
        <v>391</v>
      </c>
      <c r="J1576" t="s">
        <v>3903</v>
      </c>
      <c r="L1576" t="s">
        <v>7081</v>
      </c>
      <c r="M1576" t="s">
        <v>1780</v>
      </c>
    </row>
    <row r="1577" spans="9:13" x14ac:dyDescent="0.25">
      <c r="I1577" t="s">
        <v>313</v>
      </c>
      <c r="J1577" t="s">
        <v>1099</v>
      </c>
      <c r="L1577" t="s">
        <v>400</v>
      </c>
      <c r="M1577" t="s">
        <v>7124</v>
      </c>
    </row>
    <row r="1578" spans="9:13" x14ac:dyDescent="0.25">
      <c r="I1578" t="s">
        <v>2352</v>
      </c>
      <c r="J1578" t="s">
        <v>3868</v>
      </c>
      <c r="L1578" t="s">
        <v>457</v>
      </c>
      <c r="M1578" t="s">
        <v>2155</v>
      </c>
    </row>
    <row r="1579" spans="9:13" x14ac:dyDescent="0.25">
      <c r="I1579" t="s">
        <v>6391</v>
      </c>
      <c r="J1579" t="s">
        <v>6634</v>
      </c>
      <c r="L1579" t="s">
        <v>6433</v>
      </c>
      <c r="M1579" t="s">
        <v>2023</v>
      </c>
    </row>
    <row r="1580" spans="9:13" x14ac:dyDescent="0.25">
      <c r="I1580" t="s">
        <v>5652</v>
      </c>
      <c r="J1580" t="s">
        <v>994</v>
      </c>
      <c r="L1580" t="s">
        <v>7020</v>
      </c>
      <c r="M1580" t="s">
        <v>2023</v>
      </c>
    </row>
    <row r="1581" spans="9:13" x14ac:dyDescent="0.25">
      <c r="I1581" t="s">
        <v>254</v>
      </c>
      <c r="J1581" t="s">
        <v>6444</v>
      </c>
      <c r="L1581" t="s">
        <v>122</v>
      </c>
      <c r="M1581" t="s">
        <v>7815</v>
      </c>
    </row>
    <row r="1582" spans="9:13" x14ac:dyDescent="0.25">
      <c r="I1582" t="s">
        <v>313</v>
      </c>
      <c r="J1582" t="s">
        <v>6000</v>
      </c>
      <c r="L1582" t="s">
        <v>460</v>
      </c>
      <c r="M1582" t="s">
        <v>2243</v>
      </c>
    </row>
    <row r="1583" spans="9:13" x14ac:dyDescent="0.25">
      <c r="I1583" t="s">
        <v>6644</v>
      </c>
      <c r="J1583" t="s">
        <v>2538</v>
      </c>
      <c r="L1583" t="s">
        <v>37</v>
      </c>
      <c r="M1583" t="s">
        <v>7495</v>
      </c>
    </row>
    <row r="1584" spans="9:13" x14ac:dyDescent="0.25">
      <c r="I1584" t="s">
        <v>2738</v>
      </c>
      <c r="J1584" t="s">
        <v>2832</v>
      </c>
      <c r="L1584" t="s">
        <v>37</v>
      </c>
      <c r="M1584" t="s">
        <v>1982</v>
      </c>
    </row>
    <row r="1585" spans="9:13" x14ac:dyDescent="0.25">
      <c r="I1585" t="s">
        <v>63</v>
      </c>
      <c r="J1585" t="s">
        <v>3981</v>
      </c>
      <c r="L1585" t="s">
        <v>4160</v>
      </c>
      <c r="M1585" t="s">
        <v>4214</v>
      </c>
    </row>
    <row r="1586" spans="9:13" x14ac:dyDescent="0.25">
      <c r="I1586" t="s">
        <v>63</v>
      </c>
      <c r="J1586" t="s">
        <v>2514</v>
      </c>
      <c r="L1586" t="s">
        <v>254</v>
      </c>
      <c r="M1586" t="s">
        <v>7413</v>
      </c>
    </row>
    <row r="1587" spans="9:13" x14ac:dyDescent="0.25">
      <c r="I1587" t="s">
        <v>5743</v>
      </c>
      <c r="J1587" t="s">
        <v>1045</v>
      </c>
      <c r="L1587" t="s">
        <v>7367</v>
      </c>
      <c r="M1587" t="s">
        <v>2178</v>
      </c>
    </row>
    <row r="1588" spans="9:13" x14ac:dyDescent="0.25">
      <c r="I1588" t="s">
        <v>5258</v>
      </c>
      <c r="J1588" t="s">
        <v>797</v>
      </c>
      <c r="L1588" t="s">
        <v>122</v>
      </c>
      <c r="M1588" t="s">
        <v>1914</v>
      </c>
    </row>
    <row r="1589" spans="9:13" x14ac:dyDescent="0.25">
      <c r="I1589" t="s">
        <v>5250</v>
      </c>
      <c r="J1589" t="s">
        <v>790</v>
      </c>
      <c r="L1589" t="s">
        <v>254</v>
      </c>
      <c r="M1589" t="s">
        <v>2052</v>
      </c>
    </row>
    <row r="1590" spans="9:13" x14ac:dyDescent="0.25">
      <c r="I1590" t="s">
        <v>36</v>
      </c>
      <c r="J1590" t="s">
        <v>5920</v>
      </c>
      <c r="L1590" t="s">
        <v>313</v>
      </c>
      <c r="M1590" t="s">
        <v>2214</v>
      </c>
    </row>
    <row r="1591" spans="9:13" x14ac:dyDescent="0.25">
      <c r="I1591" t="s">
        <v>338</v>
      </c>
      <c r="J1591" t="s">
        <v>5391</v>
      </c>
      <c r="L1591" t="s">
        <v>2741</v>
      </c>
      <c r="M1591" t="s">
        <v>3101</v>
      </c>
    </row>
    <row r="1592" spans="9:13" x14ac:dyDescent="0.25">
      <c r="I1592" t="s">
        <v>313</v>
      </c>
      <c r="J1592" t="s">
        <v>6461</v>
      </c>
      <c r="L1592" t="s">
        <v>313</v>
      </c>
      <c r="M1592" t="s">
        <v>1827</v>
      </c>
    </row>
    <row r="1593" spans="9:13" x14ac:dyDescent="0.25">
      <c r="I1593" t="s">
        <v>6134</v>
      </c>
      <c r="J1593" t="s">
        <v>2496</v>
      </c>
      <c r="L1593" t="s">
        <v>3854</v>
      </c>
      <c r="M1593" t="s">
        <v>4246</v>
      </c>
    </row>
    <row r="1594" spans="9:13" x14ac:dyDescent="0.25">
      <c r="I1594" t="s">
        <v>254</v>
      </c>
      <c r="J1594" t="s">
        <v>1583</v>
      </c>
      <c r="L1594" t="s">
        <v>457</v>
      </c>
      <c r="M1594" t="s">
        <v>1744</v>
      </c>
    </row>
    <row r="1595" spans="9:13" x14ac:dyDescent="0.25">
      <c r="I1595" t="s">
        <v>3854</v>
      </c>
      <c r="J1595" t="s">
        <v>3899</v>
      </c>
      <c r="L1595" t="s">
        <v>7132</v>
      </c>
      <c r="M1595" t="s">
        <v>7133</v>
      </c>
    </row>
    <row r="1596" spans="9:13" x14ac:dyDescent="0.25">
      <c r="I1596" t="s">
        <v>393</v>
      </c>
      <c r="J1596" t="s">
        <v>908</v>
      </c>
      <c r="L1596" t="s">
        <v>7485</v>
      </c>
      <c r="M1596" t="s">
        <v>1694</v>
      </c>
    </row>
    <row r="1597" spans="9:13" x14ac:dyDescent="0.25">
      <c r="I1597" t="s">
        <v>393</v>
      </c>
      <c r="J1597" t="s">
        <v>5257</v>
      </c>
      <c r="L1597" t="s">
        <v>253</v>
      </c>
      <c r="M1597" t="s">
        <v>2040</v>
      </c>
    </row>
    <row r="1598" spans="9:13" x14ac:dyDescent="0.25">
      <c r="I1598" t="s">
        <v>306</v>
      </c>
      <c r="J1598" t="s">
        <v>1175</v>
      </c>
      <c r="L1598" t="s">
        <v>7870</v>
      </c>
      <c r="M1598" t="s">
        <v>7871</v>
      </c>
    </row>
    <row r="1599" spans="9:13" x14ac:dyDescent="0.25">
      <c r="I1599" t="s">
        <v>63</v>
      </c>
      <c r="J1599" t="s">
        <v>3990</v>
      </c>
      <c r="L1599" t="s">
        <v>95</v>
      </c>
      <c r="M1599" t="s">
        <v>7587</v>
      </c>
    </row>
    <row r="1600" spans="9:13" x14ac:dyDescent="0.25">
      <c r="I1600" t="s">
        <v>313</v>
      </c>
      <c r="J1600" t="s">
        <v>6287</v>
      </c>
      <c r="L1600" t="s">
        <v>122</v>
      </c>
      <c r="M1600" t="s">
        <v>2334</v>
      </c>
    </row>
    <row r="1601" spans="9:13" x14ac:dyDescent="0.25">
      <c r="I1601" t="s">
        <v>422</v>
      </c>
      <c r="J1601" t="s">
        <v>6307</v>
      </c>
      <c r="L1601" t="s">
        <v>460</v>
      </c>
      <c r="M1601" t="s">
        <v>2192</v>
      </c>
    </row>
    <row r="1602" spans="9:13" x14ac:dyDescent="0.25">
      <c r="I1602" t="s">
        <v>422</v>
      </c>
      <c r="J1602" t="s">
        <v>6088</v>
      </c>
      <c r="L1602" t="s">
        <v>3854</v>
      </c>
      <c r="M1602" t="s">
        <v>4149</v>
      </c>
    </row>
    <row r="1603" spans="9:13" x14ac:dyDescent="0.25">
      <c r="I1603" t="s">
        <v>6391</v>
      </c>
      <c r="J1603" t="s">
        <v>6392</v>
      </c>
      <c r="L1603" t="s">
        <v>11</v>
      </c>
      <c r="M1603" t="s">
        <v>1893</v>
      </c>
    </row>
    <row r="1604" spans="9:13" x14ac:dyDescent="0.25">
      <c r="I1604" t="s">
        <v>5853</v>
      </c>
      <c r="J1604" t="s">
        <v>5854</v>
      </c>
      <c r="L1604" t="s">
        <v>3908</v>
      </c>
      <c r="M1604" t="s">
        <v>6996</v>
      </c>
    </row>
    <row r="1605" spans="9:13" x14ac:dyDescent="0.25">
      <c r="I1605" t="s">
        <v>393</v>
      </c>
      <c r="J1605" t="s">
        <v>977</v>
      </c>
      <c r="L1605" t="s">
        <v>545</v>
      </c>
      <c r="M1605" t="s">
        <v>7705</v>
      </c>
    </row>
    <row r="1606" spans="9:13" x14ac:dyDescent="0.25">
      <c r="I1606" t="s">
        <v>253</v>
      </c>
      <c r="J1606" t="s">
        <v>5676</v>
      </c>
      <c r="L1606" t="s">
        <v>37</v>
      </c>
      <c r="M1606" t="s">
        <v>2024</v>
      </c>
    </row>
    <row r="1607" spans="9:13" x14ac:dyDescent="0.25">
      <c r="I1607" t="s">
        <v>422</v>
      </c>
      <c r="J1607" t="s">
        <v>5789</v>
      </c>
      <c r="L1607" t="s">
        <v>459</v>
      </c>
      <c r="M1607" t="s">
        <v>7826</v>
      </c>
    </row>
    <row r="1608" spans="9:13" x14ac:dyDescent="0.25">
      <c r="I1608" t="s">
        <v>6117</v>
      </c>
      <c r="J1608" t="s">
        <v>1238</v>
      </c>
      <c r="L1608" t="s">
        <v>46</v>
      </c>
      <c r="M1608" t="s">
        <v>7482</v>
      </c>
    </row>
    <row r="1609" spans="9:13" x14ac:dyDescent="0.25">
      <c r="I1609" t="s">
        <v>311</v>
      </c>
      <c r="J1609" t="s">
        <v>6037</v>
      </c>
      <c r="L1609" t="s">
        <v>3854</v>
      </c>
      <c r="M1609" t="s">
        <v>4143</v>
      </c>
    </row>
    <row r="1610" spans="9:13" x14ac:dyDescent="0.25">
      <c r="I1610" t="s">
        <v>338</v>
      </c>
      <c r="J1610" t="s">
        <v>5535</v>
      </c>
      <c r="L1610" t="s">
        <v>21</v>
      </c>
      <c r="M1610" t="s">
        <v>1830</v>
      </c>
    </row>
    <row r="1611" spans="9:13" x14ac:dyDescent="0.25">
      <c r="I1611" t="s">
        <v>313</v>
      </c>
      <c r="J1611" t="s">
        <v>927</v>
      </c>
      <c r="L1611" t="s">
        <v>289</v>
      </c>
      <c r="M1611" t="s">
        <v>7783</v>
      </c>
    </row>
    <row r="1612" spans="9:13" x14ac:dyDescent="0.25">
      <c r="I1612" t="s">
        <v>6018</v>
      </c>
      <c r="J1612" t="s">
        <v>6019</v>
      </c>
      <c r="L1612" t="s">
        <v>311</v>
      </c>
      <c r="M1612" t="s">
        <v>1936</v>
      </c>
    </row>
    <row r="1613" spans="9:13" x14ac:dyDescent="0.25">
      <c r="I1613" t="s">
        <v>6561</v>
      </c>
      <c r="J1613" t="s">
        <v>7986</v>
      </c>
      <c r="L1613" t="s">
        <v>37</v>
      </c>
      <c r="M1613" t="s">
        <v>2341</v>
      </c>
    </row>
    <row r="1614" spans="9:13" x14ac:dyDescent="0.25">
      <c r="I1614" t="s">
        <v>5834</v>
      </c>
      <c r="J1614" t="s">
        <v>1471</v>
      </c>
      <c r="L1614" t="s">
        <v>7470</v>
      </c>
      <c r="M1614" t="s">
        <v>7471</v>
      </c>
    </row>
    <row r="1615" spans="9:13" x14ac:dyDescent="0.25">
      <c r="I1615" t="s">
        <v>346</v>
      </c>
      <c r="J1615" t="s">
        <v>1101</v>
      </c>
      <c r="L1615" t="s">
        <v>400</v>
      </c>
      <c r="M1615" t="s">
        <v>2088</v>
      </c>
    </row>
    <row r="1616" spans="9:13" x14ac:dyDescent="0.25">
      <c r="I1616" t="s">
        <v>357</v>
      </c>
      <c r="J1616" t="s">
        <v>3943</v>
      </c>
      <c r="L1616" t="s">
        <v>4160</v>
      </c>
      <c r="M1616" t="s">
        <v>4218</v>
      </c>
    </row>
    <row r="1617" spans="9:13" x14ac:dyDescent="0.25">
      <c r="I1617" t="s">
        <v>276</v>
      </c>
      <c r="J1617" t="s">
        <v>1051</v>
      </c>
      <c r="L1617" t="s">
        <v>306</v>
      </c>
      <c r="M1617" t="s">
        <v>2322</v>
      </c>
    </row>
    <row r="1618" spans="9:13" x14ac:dyDescent="0.25">
      <c r="I1618" t="s">
        <v>338</v>
      </c>
      <c r="J1618" t="s">
        <v>6543</v>
      </c>
      <c r="L1618" t="s">
        <v>253</v>
      </c>
      <c r="M1618" t="s">
        <v>2287</v>
      </c>
    </row>
    <row r="1619" spans="9:13" x14ac:dyDescent="0.25">
      <c r="I1619" t="s">
        <v>254</v>
      </c>
      <c r="J1619" t="s">
        <v>1373</v>
      </c>
      <c r="L1619" t="s">
        <v>2747</v>
      </c>
      <c r="M1619" t="s">
        <v>7568</v>
      </c>
    </row>
    <row r="1620" spans="9:13" x14ac:dyDescent="0.25">
      <c r="I1620" t="s">
        <v>5982</v>
      </c>
      <c r="J1620" t="s">
        <v>5983</v>
      </c>
      <c r="L1620" t="s">
        <v>254</v>
      </c>
      <c r="M1620" t="s">
        <v>2231</v>
      </c>
    </row>
    <row r="1621" spans="9:13" x14ac:dyDescent="0.25">
      <c r="I1621" t="s">
        <v>2726</v>
      </c>
      <c r="J1621" t="s">
        <v>2839</v>
      </c>
      <c r="L1621" t="s">
        <v>37</v>
      </c>
      <c r="M1621" t="s">
        <v>7768</v>
      </c>
    </row>
    <row r="1622" spans="9:13" x14ac:dyDescent="0.25">
      <c r="I1622" t="s">
        <v>95</v>
      </c>
      <c r="J1622" t="s">
        <v>6298</v>
      </c>
      <c r="L1622" t="s">
        <v>2352</v>
      </c>
      <c r="M1622" t="s">
        <v>7275</v>
      </c>
    </row>
    <row r="1623" spans="9:13" x14ac:dyDescent="0.25">
      <c r="I1623" t="s">
        <v>276</v>
      </c>
      <c r="J1623" t="s">
        <v>918</v>
      </c>
      <c r="L1623" t="s">
        <v>7726</v>
      </c>
      <c r="M1623" t="s">
        <v>7727</v>
      </c>
    </row>
    <row r="1624" spans="9:13" x14ac:dyDescent="0.25">
      <c r="I1624" t="s">
        <v>95</v>
      </c>
      <c r="J1624" t="s">
        <v>2374</v>
      </c>
      <c r="L1624" t="s">
        <v>400</v>
      </c>
      <c r="M1624" t="s">
        <v>7461</v>
      </c>
    </row>
    <row r="1625" spans="9:13" x14ac:dyDescent="0.25">
      <c r="I1625" t="s">
        <v>306</v>
      </c>
      <c r="J1625" t="s">
        <v>1462</v>
      </c>
      <c r="L1625" t="s">
        <v>2723</v>
      </c>
      <c r="M1625" t="s">
        <v>3082</v>
      </c>
    </row>
    <row r="1626" spans="9:13" x14ac:dyDescent="0.25">
      <c r="I1626" t="s">
        <v>313</v>
      </c>
      <c r="J1626" t="s">
        <v>6598</v>
      </c>
      <c r="L1626" t="s">
        <v>545</v>
      </c>
      <c r="M1626" t="s">
        <v>7585</v>
      </c>
    </row>
    <row r="1627" spans="9:13" x14ac:dyDescent="0.25">
      <c r="I1627" t="s">
        <v>313</v>
      </c>
      <c r="J1627" t="s">
        <v>1173</v>
      </c>
      <c r="L1627" t="s">
        <v>3854</v>
      </c>
      <c r="M1627" t="s">
        <v>4287</v>
      </c>
    </row>
    <row r="1628" spans="9:13" x14ac:dyDescent="0.25">
      <c r="I1628" t="s">
        <v>356</v>
      </c>
      <c r="J1628" t="s">
        <v>5645</v>
      </c>
      <c r="L1628" t="s">
        <v>7614</v>
      </c>
      <c r="M1628" t="s">
        <v>7615</v>
      </c>
    </row>
    <row r="1629" spans="9:13" x14ac:dyDescent="0.25">
      <c r="I1629" t="s">
        <v>3854</v>
      </c>
      <c r="J1629" t="s">
        <v>3963</v>
      </c>
      <c r="L1629" t="s">
        <v>6993</v>
      </c>
      <c r="M1629" t="s">
        <v>7528</v>
      </c>
    </row>
    <row r="1630" spans="9:13" x14ac:dyDescent="0.25">
      <c r="I1630" t="s">
        <v>254</v>
      </c>
      <c r="J1630" t="s">
        <v>1525</v>
      </c>
      <c r="L1630" t="s">
        <v>457</v>
      </c>
      <c r="M1630" t="s">
        <v>1872</v>
      </c>
    </row>
    <row r="1631" spans="9:13" x14ac:dyDescent="0.25">
      <c r="I1631" t="s">
        <v>6484</v>
      </c>
      <c r="J1631" t="s">
        <v>6619</v>
      </c>
      <c r="L1631" t="s">
        <v>7666</v>
      </c>
      <c r="M1631" t="s">
        <v>2159</v>
      </c>
    </row>
    <row r="1632" spans="9:13" x14ac:dyDescent="0.25">
      <c r="I1632" t="s">
        <v>416</v>
      </c>
      <c r="J1632" t="s">
        <v>1586</v>
      </c>
      <c r="L1632" t="s">
        <v>460</v>
      </c>
      <c r="M1632" t="s">
        <v>1761</v>
      </c>
    </row>
    <row r="1633" spans="9:13" x14ac:dyDescent="0.25">
      <c r="I1633" t="s">
        <v>6685</v>
      </c>
      <c r="J1633" t="s">
        <v>1558</v>
      </c>
      <c r="L1633" t="s">
        <v>457</v>
      </c>
      <c r="M1633" t="s">
        <v>1861</v>
      </c>
    </row>
    <row r="1634" spans="9:13" x14ac:dyDescent="0.25">
      <c r="I1634" t="s">
        <v>91</v>
      </c>
      <c r="J1634" t="s">
        <v>6516</v>
      </c>
      <c r="L1634" t="s">
        <v>36</v>
      </c>
      <c r="M1634" t="s">
        <v>6908</v>
      </c>
    </row>
    <row r="1635" spans="9:13" x14ac:dyDescent="0.25">
      <c r="I1635" t="s">
        <v>254</v>
      </c>
      <c r="J1635" t="s">
        <v>1448</v>
      </c>
      <c r="L1635" t="s">
        <v>545</v>
      </c>
      <c r="M1635" t="s">
        <v>7791</v>
      </c>
    </row>
    <row r="1636" spans="9:13" x14ac:dyDescent="0.25">
      <c r="I1636" t="s">
        <v>95</v>
      </c>
      <c r="J1636" t="s">
        <v>940</v>
      </c>
      <c r="L1636" t="s">
        <v>2741</v>
      </c>
      <c r="M1636" t="s">
        <v>3102</v>
      </c>
    </row>
    <row r="1637" spans="9:13" x14ac:dyDescent="0.25">
      <c r="I1637" t="s">
        <v>5601</v>
      </c>
      <c r="J1637" t="s">
        <v>963</v>
      </c>
      <c r="L1637" t="s">
        <v>4160</v>
      </c>
      <c r="M1637" t="s">
        <v>4161</v>
      </c>
    </row>
    <row r="1638" spans="9:13" x14ac:dyDescent="0.25">
      <c r="I1638" t="s">
        <v>306</v>
      </c>
      <c r="J1638" t="s">
        <v>1034</v>
      </c>
      <c r="L1638" t="s">
        <v>36</v>
      </c>
      <c r="M1638" t="s">
        <v>1727</v>
      </c>
    </row>
    <row r="1639" spans="9:13" x14ac:dyDescent="0.25">
      <c r="I1639" t="s">
        <v>5266</v>
      </c>
      <c r="J1639" t="s">
        <v>2776</v>
      </c>
      <c r="L1639" t="s">
        <v>50</v>
      </c>
      <c r="M1639" t="s">
        <v>7849</v>
      </c>
    </row>
    <row r="1640" spans="9:13" x14ac:dyDescent="0.25">
      <c r="I1640" t="s">
        <v>6315</v>
      </c>
      <c r="J1640" t="s">
        <v>1512</v>
      </c>
      <c r="L1640" t="s">
        <v>253</v>
      </c>
      <c r="M1640" t="s">
        <v>1719</v>
      </c>
    </row>
    <row r="1641" spans="9:13" x14ac:dyDescent="0.25">
      <c r="I1641" t="s">
        <v>4850</v>
      </c>
      <c r="J1641" t="s">
        <v>930</v>
      </c>
      <c r="L1641" t="s">
        <v>95</v>
      </c>
      <c r="M1641" t="s">
        <v>7701</v>
      </c>
    </row>
    <row r="1642" spans="9:13" x14ac:dyDescent="0.25">
      <c r="I1642" t="s">
        <v>403</v>
      </c>
      <c r="J1642" t="s">
        <v>831</v>
      </c>
      <c r="L1642" t="s">
        <v>7066</v>
      </c>
      <c r="M1642" t="s">
        <v>7067</v>
      </c>
    </row>
    <row r="1643" spans="9:13" x14ac:dyDescent="0.25">
      <c r="I1643" t="s">
        <v>313</v>
      </c>
      <c r="J1643" t="s">
        <v>6609</v>
      </c>
      <c r="L1643" t="s">
        <v>7932</v>
      </c>
      <c r="M1643" t="s">
        <v>7933</v>
      </c>
    </row>
    <row r="1644" spans="9:13" x14ac:dyDescent="0.25">
      <c r="I1644" t="s">
        <v>22</v>
      </c>
      <c r="J1644" t="s">
        <v>1541</v>
      </c>
      <c r="L1644" t="s">
        <v>7415</v>
      </c>
      <c r="M1644" t="s">
        <v>7416</v>
      </c>
    </row>
    <row r="1645" spans="9:13" x14ac:dyDescent="0.25">
      <c r="I1645" t="s">
        <v>5829</v>
      </c>
      <c r="J1645" t="s">
        <v>1084</v>
      </c>
      <c r="L1645" t="s">
        <v>254</v>
      </c>
      <c r="M1645" t="s">
        <v>7602</v>
      </c>
    </row>
    <row r="1646" spans="9:13" x14ac:dyDescent="0.25">
      <c r="I1646" t="s">
        <v>5314</v>
      </c>
      <c r="J1646" t="s">
        <v>6066</v>
      </c>
      <c r="L1646" t="s">
        <v>313</v>
      </c>
      <c r="M1646" t="s">
        <v>7908</v>
      </c>
    </row>
    <row r="1647" spans="9:13" x14ac:dyDescent="0.25">
      <c r="I1647" t="s">
        <v>254</v>
      </c>
      <c r="J1647" t="s">
        <v>1033</v>
      </c>
      <c r="L1647" t="s">
        <v>3854</v>
      </c>
      <c r="M1647" t="s">
        <v>4274</v>
      </c>
    </row>
    <row r="1648" spans="9:13" x14ac:dyDescent="0.25">
      <c r="I1648" t="s">
        <v>289</v>
      </c>
      <c r="J1648" t="s">
        <v>5215</v>
      </c>
      <c r="L1648" t="s">
        <v>3854</v>
      </c>
      <c r="M1648" t="s">
        <v>4241</v>
      </c>
    </row>
    <row r="1649" spans="9:13" x14ac:dyDescent="0.25">
      <c r="I1649" t="s">
        <v>2738</v>
      </c>
      <c r="J1649" t="s">
        <v>5255</v>
      </c>
      <c r="L1649" t="s">
        <v>545</v>
      </c>
      <c r="M1649" t="s">
        <v>3184</v>
      </c>
    </row>
    <row r="1650" spans="9:13" x14ac:dyDescent="0.25">
      <c r="I1650" t="s">
        <v>4656</v>
      </c>
      <c r="J1650" t="s">
        <v>1492</v>
      </c>
      <c r="L1650" t="s">
        <v>254</v>
      </c>
      <c r="M1650" t="s">
        <v>7724</v>
      </c>
    </row>
    <row r="1651" spans="9:13" x14ac:dyDescent="0.25">
      <c r="I1651" t="s">
        <v>91</v>
      </c>
      <c r="J1651" t="s">
        <v>6562</v>
      </c>
      <c r="L1651" t="s">
        <v>21</v>
      </c>
      <c r="M1651" t="s">
        <v>7763</v>
      </c>
    </row>
    <row r="1652" spans="9:13" x14ac:dyDescent="0.25">
      <c r="I1652" t="s">
        <v>313</v>
      </c>
      <c r="J1652" t="s">
        <v>6551</v>
      </c>
      <c r="L1652" t="s">
        <v>7239</v>
      </c>
      <c r="M1652" t="s">
        <v>1682</v>
      </c>
    </row>
    <row r="1653" spans="9:13" x14ac:dyDescent="0.25">
      <c r="I1653" t="s">
        <v>254</v>
      </c>
      <c r="J1653" t="s">
        <v>1019</v>
      </c>
      <c r="L1653" t="s">
        <v>7350</v>
      </c>
      <c r="M1653" t="s">
        <v>7351</v>
      </c>
    </row>
    <row r="1654" spans="9:13" x14ac:dyDescent="0.25">
      <c r="I1654" t="s">
        <v>276</v>
      </c>
      <c r="J1654" t="s">
        <v>970</v>
      </c>
      <c r="L1654" t="s">
        <v>2352</v>
      </c>
      <c r="M1654" t="s">
        <v>7473</v>
      </c>
    </row>
    <row r="1655" spans="9:13" x14ac:dyDescent="0.25">
      <c r="I1655" t="s">
        <v>5397</v>
      </c>
      <c r="J1655" t="s">
        <v>870</v>
      </c>
      <c r="L1655" t="s">
        <v>7631</v>
      </c>
      <c r="M1655" t="s">
        <v>2112</v>
      </c>
    </row>
    <row r="1656" spans="9:13" x14ac:dyDescent="0.25">
      <c r="I1656" t="s">
        <v>346</v>
      </c>
      <c r="J1656" t="s">
        <v>2371</v>
      </c>
      <c r="L1656" t="s">
        <v>47</v>
      </c>
      <c r="M1656" t="s">
        <v>1920</v>
      </c>
    </row>
    <row r="1657" spans="9:13" x14ac:dyDescent="0.25">
      <c r="I1657" t="s">
        <v>95</v>
      </c>
      <c r="J1657" t="s">
        <v>1513</v>
      </c>
      <c r="L1657" t="s">
        <v>460</v>
      </c>
      <c r="M1657" t="s">
        <v>2142</v>
      </c>
    </row>
    <row r="1658" spans="9:13" x14ac:dyDescent="0.25">
      <c r="I1658" t="s">
        <v>393</v>
      </c>
      <c r="J1658" t="s">
        <v>1178</v>
      </c>
      <c r="L1658" t="s">
        <v>457</v>
      </c>
      <c r="M1658" t="s">
        <v>1808</v>
      </c>
    </row>
    <row r="1659" spans="9:13" x14ac:dyDescent="0.25">
      <c r="I1659" t="s">
        <v>2766</v>
      </c>
      <c r="J1659" t="s">
        <v>2916</v>
      </c>
      <c r="L1659" t="s">
        <v>460</v>
      </c>
      <c r="M1659" t="s">
        <v>1708</v>
      </c>
    </row>
    <row r="1660" spans="9:13" x14ac:dyDescent="0.25">
      <c r="I1660" t="s">
        <v>254</v>
      </c>
      <c r="J1660" t="s">
        <v>5803</v>
      </c>
      <c r="L1660" t="s">
        <v>291</v>
      </c>
      <c r="M1660" t="s">
        <v>7748</v>
      </c>
    </row>
    <row r="1661" spans="9:13" x14ac:dyDescent="0.25">
      <c r="I1661" t="s">
        <v>393</v>
      </c>
      <c r="J1661" t="s">
        <v>844</v>
      </c>
      <c r="L1661" t="s">
        <v>122</v>
      </c>
      <c r="M1661" t="s">
        <v>7363</v>
      </c>
    </row>
    <row r="1662" spans="9:13" x14ac:dyDescent="0.25">
      <c r="I1662" t="s">
        <v>253</v>
      </c>
      <c r="J1662" t="s">
        <v>1190</v>
      </c>
      <c r="L1662" t="s">
        <v>545</v>
      </c>
      <c r="M1662" t="s">
        <v>6898</v>
      </c>
    </row>
    <row r="1663" spans="9:13" x14ac:dyDescent="0.25">
      <c r="I1663" t="s">
        <v>2726</v>
      </c>
      <c r="J1663" t="s">
        <v>2846</v>
      </c>
      <c r="L1663" t="s">
        <v>7444</v>
      </c>
      <c r="M1663" t="s">
        <v>4220</v>
      </c>
    </row>
    <row r="1664" spans="9:13" x14ac:dyDescent="0.25">
      <c r="I1664" t="s">
        <v>393</v>
      </c>
      <c r="J1664" t="s">
        <v>1140</v>
      </c>
      <c r="L1664" t="s">
        <v>7106</v>
      </c>
      <c r="M1664" t="s">
        <v>1799</v>
      </c>
    </row>
    <row r="1665" spans="9:13" x14ac:dyDescent="0.25">
      <c r="I1665" t="s">
        <v>95</v>
      </c>
      <c r="J1665" t="s">
        <v>5603</v>
      </c>
      <c r="L1665" t="s">
        <v>304</v>
      </c>
      <c r="M1665" t="s">
        <v>2590</v>
      </c>
    </row>
    <row r="1666" spans="9:13" x14ac:dyDescent="0.25">
      <c r="I1666" t="s">
        <v>393</v>
      </c>
      <c r="J1666" t="s">
        <v>1506</v>
      </c>
      <c r="L1666" t="s">
        <v>545</v>
      </c>
      <c r="M1666" t="s">
        <v>7278</v>
      </c>
    </row>
    <row r="1667" spans="9:13" x14ac:dyDescent="0.25">
      <c r="I1667" t="s">
        <v>3854</v>
      </c>
      <c r="J1667" t="s">
        <v>4137</v>
      </c>
      <c r="L1667" t="s">
        <v>6937</v>
      </c>
      <c r="M1667" t="s">
        <v>6938</v>
      </c>
    </row>
    <row r="1668" spans="9:13" x14ac:dyDescent="0.25">
      <c r="I1668" t="s">
        <v>280</v>
      </c>
      <c r="J1668" t="s">
        <v>2825</v>
      </c>
      <c r="L1668" t="s">
        <v>313</v>
      </c>
      <c r="M1668" t="s">
        <v>1909</v>
      </c>
    </row>
    <row r="1669" spans="9:13" x14ac:dyDescent="0.25">
      <c r="I1669" t="s">
        <v>6118</v>
      </c>
      <c r="J1669" t="s">
        <v>1239</v>
      </c>
      <c r="L1669" t="s">
        <v>460</v>
      </c>
      <c r="M1669" t="s">
        <v>2207</v>
      </c>
    </row>
    <row r="1670" spans="9:13" x14ac:dyDescent="0.25">
      <c r="I1670" t="s">
        <v>5664</v>
      </c>
      <c r="J1670" t="s">
        <v>1000</v>
      </c>
      <c r="L1670" t="s">
        <v>47</v>
      </c>
      <c r="M1670" t="s">
        <v>1903</v>
      </c>
    </row>
    <row r="1671" spans="9:13" x14ac:dyDescent="0.25">
      <c r="I1671" t="s">
        <v>39</v>
      </c>
      <c r="J1671" t="s">
        <v>5651</v>
      </c>
      <c r="L1671" t="s">
        <v>7058</v>
      </c>
      <c r="M1671" t="s">
        <v>7059</v>
      </c>
    </row>
    <row r="1672" spans="9:13" x14ac:dyDescent="0.25">
      <c r="I1672" t="s">
        <v>393</v>
      </c>
      <c r="J1672" t="s">
        <v>2542</v>
      </c>
      <c r="L1672" t="s">
        <v>400</v>
      </c>
      <c r="M1672" t="s">
        <v>2057</v>
      </c>
    </row>
    <row r="1673" spans="9:13" x14ac:dyDescent="0.25">
      <c r="I1673" t="s">
        <v>5478</v>
      </c>
      <c r="J1673" t="s">
        <v>1599</v>
      </c>
      <c r="L1673" t="s">
        <v>2732</v>
      </c>
      <c r="M1673" t="s">
        <v>3191</v>
      </c>
    </row>
    <row r="1674" spans="9:13" x14ac:dyDescent="0.25">
      <c r="I1674" t="s">
        <v>313</v>
      </c>
      <c r="J1674" t="s">
        <v>826</v>
      </c>
      <c r="L1674" t="s">
        <v>37</v>
      </c>
      <c r="M1674" t="s">
        <v>3095</v>
      </c>
    </row>
    <row r="1675" spans="9:13" x14ac:dyDescent="0.25">
      <c r="I1675" t="s">
        <v>5653</v>
      </c>
      <c r="J1675" t="s">
        <v>6612</v>
      </c>
      <c r="L1675" t="s">
        <v>7033</v>
      </c>
      <c r="M1675" t="s">
        <v>7034</v>
      </c>
    </row>
    <row r="1676" spans="9:13" x14ac:dyDescent="0.25">
      <c r="I1676" t="s">
        <v>313</v>
      </c>
      <c r="J1676" t="s">
        <v>6513</v>
      </c>
      <c r="L1676" t="s">
        <v>457</v>
      </c>
      <c r="M1676" t="s">
        <v>2055</v>
      </c>
    </row>
    <row r="1677" spans="9:13" x14ac:dyDescent="0.25">
      <c r="I1677" t="s">
        <v>256</v>
      </c>
      <c r="J1677" t="s">
        <v>1572</v>
      </c>
      <c r="L1677" t="s">
        <v>545</v>
      </c>
      <c r="M1677" t="s">
        <v>7766</v>
      </c>
    </row>
    <row r="1678" spans="9:13" x14ac:dyDescent="0.25">
      <c r="I1678" t="s">
        <v>313</v>
      </c>
      <c r="J1678" t="s">
        <v>6529</v>
      </c>
      <c r="L1678" t="s">
        <v>7103</v>
      </c>
      <c r="M1678" t="s">
        <v>7104</v>
      </c>
    </row>
    <row r="1679" spans="9:13" x14ac:dyDescent="0.25">
      <c r="I1679" t="s">
        <v>6413</v>
      </c>
      <c r="J1679" t="s">
        <v>2915</v>
      </c>
      <c r="L1679" t="s">
        <v>306</v>
      </c>
      <c r="M1679" t="s">
        <v>2019</v>
      </c>
    </row>
    <row r="1680" spans="9:13" x14ac:dyDescent="0.25">
      <c r="I1680" t="s">
        <v>7976</v>
      </c>
      <c r="J1680" t="s">
        <v>1197</v>
      </c>
      <c r="L1680" t="s">
        <v>400</v>
      </c>
      <c r="M1680" t="s">
        <v>2068</v>
      </c>
    </row>
    <row r="1681" spans="9:13" x14ac:dyDescent="0.25">
      <c r="I1681" t="s">
        <v>545</v>
      </c>
      <c r="J1681" t="s">
        <v>6827</v>
      </c>
      <c r="L1681" t="s">
        <v>7397</v>
      </c>
      <c r="M1681" t="s">
        <v>7484</v>
      </c>
    </row>
    <row r="1682" spans="9:13" x14ac:dyDescent="0.25">
      <c r="I1682" t="s">
        <v>2741</v>
      </c>
      <c r="J1682" t="s">
        <v>4100</v>
      </c>
      <c r="L1682" t="s">
        <v>47</v>
      </c>
      <c r="M1682" t="s">
        <v>2325</v>
      </c>
    </row>
    <row r="1683" spans="9:13" x14ac:dyDescent="0.25">
      <c r="I1683" t="s">
        <v>257</v>
      </c>
      <c r="J1683" t="s">
        <v>5368</v>
      </c>
      <c r="L1683" t="s">
        <v>49</v>
      </c>
      <c r="M1683" t="s">
        <v>2097</v>
      </c>
    </row>
    <row r="1684" spans="9:13" x14ac:dyDescent="0.25">
      <c r="I1684" t="s">
        <v>2729</v>
      </c>
      <c r="J1684" t="s">
        <v>4005</v>
      </c>
      <c r="L1684" t="s">
        <v>4160</v>
      </c>
      <c r="M1684" t="s">
        <v>4290</v>
      </c>
    </row>
    <row r="1685" spans="9:13" x14ac:dyDescent="0.25">
      <c r="I1685" t="s">
        <v>4430</v>
      </c>
      <c r="J1685" t="s">
        <v>5681</v>
      </c>
      <c r="L1685" t="s">
        <v>6075</v>
      </c>
      <c r="M1685" t="s">
        <v>2261</v>
      </c>
    </row>
    <row r="1686" spans="9:13" x14ac:dyDescent="0.25">
      <c r="I1686" t="s">
        <v>6242</v>
      </c>
      <c r="J1686" t="s">
        <v>6243</v>
      </c>
      <c r="L1686" t="s">
        <v>253</v>
      </c>
      <c r="M1686" t="s">
        <v>2269</v>
      </c>
    </row>
    <row r="1687" spans="9:13" x14ac:dyDescent="0.25">
      <c r="I1687" t="s">
        <v>403</v>
      </c>
      <c r="J1687" t="s">
        <v>1637</v>
      </c>
      <c r="L1687" t="s">
        <v>7852</v>
      </c>
      <c r="M1687" t="s">
        <v>7853</v>
      </c>
    </row>
    <row r="1688" spans="9:13" x14ac:dyDescent="0.25">
      <c r="I1688" t="s">
        <v>313</v>
      </c>
      <c r="J1688" t="s">
        <v>881</v>
      </c>
      <c r="L1688" t="s">
        <v>7458</v>
      </c>
      <c r="M1688" t="s">
        <v>2350</v>
      </c>
    </row>
    <row r="1689" spans="9:13" x14ac:dyDescent="0.25">
      <c r="I1689" t="s">
        <v>6740</v>
      </c>
      <c r="J1689" t="s">
        <v>1577</v>
      </c>
      <c r="L1689" t="s">
        <v>2738</v>
      </c>
      <c r="M1689" t="s">
        <v>3212</v>
      </c>
    </row>
    <row r="1690" spans="9:13" x14ac:dyDescent="0.25">
      <c r="I1690" t="s">
        <v>286</v>
      </c>
      <c r="J1690" t="s">
        <v>6610</v>
      </c>
      <c r="L1690" t="s">
        <v>7435</v>
      </c>
      <c r="M1690" t="s">
        <v>1980</v>
      </c>
    </row>
    <row r="1691" spans="9:13" x14ac:dyDescent="0.25">
      <c r="I1691" t="s">
        <v>393</v>
      </c>
      <c r="J1691" t="s">
        <v>1370</v>
      </c>
      <c r="L1691" t="s">
        <v>7439</v>
      </c>
      <c r="M1691" t="s">
        <v>1987</v>
      </c>
    </row>
    <row r="1692" spans="9:13" x14ac:dyDescent="0.25">
      <c r="I1692" t="s">
        <v>313</v>
      </c>
      <c r="J1692" t="s">
        <v>1587</v>
      </c>
      <c r="L1692" t="s">
        <v>457</v>
      </c>
      <c r="M1692" t="s">
        <v>7626</v>
      </c>
    </row>
    <row r="1693" spans="9:13" x14ac:dyDescent="0.25">
      <c r="I1693" t="s">
        <v>122</v>
      </c>
      <c r="J1693" t="s">
        <v>901</v>
      </c>
      <c r="L1693" t="s">
        <v>2352</v>
      </c>
      <c r="M1693" t="s">
        <v>7736</v>
      </c>
    </row>
    <row r="1694" spans="9:13" x14ac:dyDescent="0.25">
      <c r="I1694" t="s">
        <v>315</v>
      </c>
      <c r="J1694" t="s">
        <v>1503</v>
      </c>
      <c r="L1694" t="s">
        <v>46</v>
      </c>
      <c r="M1694" t="s">
        <v>2280</v>
      </c>
    </row>
    <row r="1695" spans="9:13" x14ac:dyDescent="0.25">
      <c r="I1695" t="s">
        <v>311</v>
      </c>
      <c r="J1695" t="s">
        <v>822</v>
      </c>
      <c r="L1695" t="s">
        <v>51</v>
      </c>
      <c r="M1695" t="s">
        <v>7342</v>
      </c>
    </row>
    <row r="1696" spans="9:13" x14ac:dyDescent="0.25">
      <c r="I1696" t="s">
        <v>95</v>
      </c>
      <c r="J1696" t="s">
        <v>6300</v>
      </c>
      <c r="L1696" t="s">
        <v>7467</v>
      </c>
      <c r="M1696" t="s">
        <v>2621</v>
      </c>
    </row>
    <row r="1697" spans="9:13" x14ac:dyDescent="0.25">
      <c r="I1697" t="s">
        <v>254</v>
      </c>
      <c r="J1697" t="s">
        <v>5548</v>
      </c>
      <c r="L1697" t="s">
        <v>7397</v>
      </c>
      <c r="M1697" t="s">
        <v>7398</v>
      </c>
    </row>
    <row r="1698" spans="9:13" x14ac:dyDescent="0.25">
      <c r="I1698" t="s">
        <v>315</v>
      </c>
      <c r="J1698" t="s">
        <v>2893</v>
      </c>
      <c r="L1698" t="s">
        <v>2720</v>
      </c>
      <c r="M1698" t="s">
        <v>7452</v>
      </c>
    </row>
    <row r="1699" spans="9:13" x14ac:dyDescent="0.25">
      <c r="I1699" t="s">
        <v>548</v>
      </c>
      <c r="J1699" t="s">
        <v>5549</v>
      </c>
      <c r="L1699" t="s">
        <v>7946</v>
      </c>
      <c r="M1699" t="s">
        <v>7947</v>
      </c>
    </row>
    <row r="1700" spans="9:13" x14ac:dyDescent="0.25">
      <c r="I1700" t="s">
        <v>5779</v>
      </c>
      <c r="J1700" t="s">
        <v>5780</v>
      </c>
      <c r="L1700" t="s">
        <v>7839</v>
      </c>
      <c r="M1700" t="s">
        <v>7840</v>
      </c>
    </row>
    <row r="1701" spans="9:13" x14ac:dyDescent="0.25">
      <c r="I1701" t="s">
        <v>393</v>
      </c>
      <c r="J1701" t="s">
        <v>1022</v>
      </c>
      <c r="L1701" t="s">
        <v>253</v>
      </c>
      <c r="M1701" t="s">
        <v>2228</v>
      </c>
    </row>
    <row r="1702" spans="9:13" x14ac:dyDescent="0.25">
      <c r="I1702" t="s">
        <v>5667</v>
      </c>
      <c r="J1702" t="s">
        <v>1001</v>
      </c>
      <c r="L1702" t="s">
        <v>9</v>
      </c>
      <c r="M1702" t="s">
        <v>7078</v>
      </c>
    </row>
    <row r="1703" spans="9:13" x14ac:dyDescent="0.25">
      <c r="I1703" t="s">
        <v>5743</v>
      </c>
      <c r="J1703" t="s">
        <v>1067</v>
      </c>
      <c r="L1703" t="s">
        <v>2726</v>
      </c>
      <c r="M1703" t="s">
        <v>4215</v>
      </c>
    </row>
    <row r="1704" spans="9:13" x14ac:dyDescent="0.25">
      <c r="I1704" t="s">
        <v>306</v>
      </c>
      <c r="J1704" t="s">
        <v>1236</v>
      </c>
      <c r="L1704" t="s">
        <v>2741</v>
      </c>
      <c r="M1704" t="s">
        <v>3087</v>
      </c>
    </row>
    <row r="1705" spans="9:13" x14ac:dyDescent="0.25">
      <c r="I1705" t="s">
        <v>315</v>
      </c>
      <c r="J1705" t="s">
        <v>990</v>
      </c>
      <c r="L1705" t="s">
        <v>7556</v>
      </c>
      <c r="M1705" t="s">
        <v>1698</v>
      </c>
    </row>
    <row r="1706" spans="9:13" x14ac:dyDescent="0.25">
      <c r="I1706" t="s">
        <v>393</v>
      </c>
      <c r="J1706" t="s">
        <v>1530</v>
      </c>
      <c r="L1706" t="s">
        <v>457</v>
      </c>
      <c r="M1706" t="s">
        <v>2206</v>
      </c>
    </row>
    <row r="1707" spans="9:13" x14ac:dyDescent="0.25">
      <c r="I1707" t="s">
        <v>315</v>
      </c>
      <c r="J1707" t="s">
        <v>1609</v>
      </c>
      <c r="L1707" t="s">
        <v>7397</v>
      </c>
      <c r="M1707" t="s">
        <v>7822</v>
      </c>
    </row>
    <row r="1708" spans="9:13" x14ac:dyDescent="0.25">
      <c r="I1708" t="s">
        <v>5461</v>
      </c>
      <c r="J1708" t="s">
        <v>5462</v>
      </c>
      <c r="L1708" t="s">
        <v>7572</v>
      </c>
      <c r="M1708" t="s">
        <v>7573</v>
      </c>
    </row>
    <row r="1709" spans="9:13" x14ac:dyDescent="0.25">
      <c r="I1709" t="s">
        <v>286</v>
      </c>
      <c r="J1709" t="s">
        <v>6480</v>
      </c>
      <c r="L1709" t="s">
        <v>6935</v>
      </c>
      <c r="M1709" t="s">
        <v>6936</v>
      </c>
    </row>
    <row r="1710" spans="9:13" x14ac:dyDescent="0.25">
      <c r="I1710" t="s">
        <v>5631</v>
      </c>
      <c r="J1710" t="s">
        <v>1284</v>
      </c>
      <c r="L1710" t="s">
        <v>2352</v>
      </c>
      <c r="M1710" t="s">
        <v>7189</v>
      </c>
    </row>
    <row r="1711" spans="9:13" x14ac:dyDescent="0.25">
      <c r="I1711" t="s">
        <v>400</v>
      </c>
      <c r="J1711" t="s">
        <v>1224</v>
      </c>
      <c r="L1711" t="s">
        <v>457</v>
      </c>
      <c r="M1711" t="s">
        <v>1835</v>
      </c>
    </row>
    <row r="1712" spans="9:13" x14ac:dyDescent="0.25">
      <c r="I1712" t="s">
        <v>39</v>
      </c>
      <c r="J1712" t="s">
        <v>5747</v>
      </c>
      <c r="L1712" t="s">
        <v>2720</v>
      </c>
      <c r="M1712" t="s">
        <v>7920</v>
      </c>
    </row>
    <row r="1713" spans="9:13" x14ac:dyDescent="0.25">
      <c r="I1713" t="s">
        <v>95</v>
      </c>
      <c r="J1713" t="s">
        <v>5434</v>
      </c>
      <c r="L1713" t="s">
        <v>457</v>
      </c>
      <c r="M1713" t="s">
        <v>2138</v>
      </c>
    </row>
    <row r="1714" spans="9:13" x14ac:dyDescent="0.25">
      <c r="I1714" t="s">
        <v>5925</v>
      </c>
      <c r="J1714" t="s">
        <v>1460</v>
      </c>
      <c r="L1714" t="s">
        <v>7381</v>
      </c>
      <c r="M1714" t="s">
        <v>2067</v>
      </c>
    </row>
    <row r="1715" spans="9:13" x14ac:dyDescent="0.25">
      <c r="I1715" t="s">
        <v>356</v>
      </c>
      <c r="J1715" t="s">
        <v>4022</v>
      </c>
      <c r="L1715" t="s">
        <v>36</v>
      </c>
      <c r="M1715" t="s">
        <v>7074</v>
      </c>
    </row>
    <row r="1716" spans="9:13" x14ac:dyDescent="0.25">
      <c r="I1716" t="s">
        <v>306</v>
      </c>
      <c r="J1716" t="s">
        <v>1573</v>
      </c>
      <c r="L1716" t="s">
        <v>2732</v>
      </c>
      <c r="M1716" t="s">
        <v>3127</v>
      </c>
    </row>
    <row r="1717" spans="9:13" x14ac:dyDescent="0.25">
      <c r="I1717" t="s">
        <v>95</v>
      </c>
      <c r="J1717" t="s">
        <v>2778</v>
      </c>
      <c r="L1717" t="s">
        <v>403</v>
      </c>
      <c r="M1717" t="s">
        <v>2563</v>
      </c>
    </row>
    <row r="1718" spans="9:13" x14ac:dyDescent="0.25">
      <c r="I1718" t="s">
        <v>44</v>
      </c>
      <c r="J1718" t="s">
        <v>1205</v>
      </c>
      <c r="L1718" t="s">
        <v>254</v>
      </c>
      <c r="M1718" t="s">
        <v>1925</v>
      </c>
    </row>
    <row r="1719" spans="9:13" x14ac:dyDescent="0.25">
      <c r="I1719" t="s">
        <v>22</v>
      </c>
      <c r="J1719" t="s">
        <v>1418</v>
      </c>
      <c r="L1719" t="s">
        <v>7672</v>
      </c>
      <c r="M1719" t="s">
        <v>2620</v>
      </c>
    </row>
    <row r="1720" spans="9:13" x14ac:dyDescent="0.25">
      <c r="I1720" t="s">
        <v>276</v>
      </c>
      <c r="J1720" t="s">
        <v>848</v>
      </c>
      <c r="L1720" t="s">
        <v>545</v>
      </c>
      <c r="M1720" t="s">
        <v>6888</v>
      </c>
    </row>
    <row r="1721" spans="9:13" x14ac:dyDescent="0.25">
      <c r="I1721" t="s">
        <v>318</v>
      </c>
      <c r="J1721" t="s">
        <v>6026</v>
      </c>
      <c r="L1721" t="s">
        <v>450</v>
      </c>
      <c r="M1721" t="s">
        <v>2194</v>
      </c>
    </row>
    <row r="1722" spans="9:13" x14ac:dyDescent="0.25">
      <c r="I1722" t="s">
        <v>393</v>
      </c>
      <c r="J1722" t="s">
        <v>1631</v>
      </c>
      <c r="L1722" t="s">
        <v>457</v>
      </c>
      <c r="M1722" t="s">
        <v>2009</v>
      </c>
    </row>
    <row r="1723" spans="9:13" x14ac:dyDescent="0.25">
      <c r="I1723" t="s">
        <v>393</v>
      </c>
      <c r="J1723" t="s">
        <v>778</v>
      </c>
      <c r="L1723" t="s">
        <v>586</v>
      </c>
      <c r="M1723" t="s">
        <v>4222</v>
      </c>
    </row>
    <row r="1724" spans="9:13" x14ac:dyDescent="0.25">
      <c r="I1724" t="s">
        <v>289</v>
      </c>
      <c r="J1724" t="s">
        <v>2842</v>
      </c>
      <c r="L1724" t="s">
        <v>2720</v>
      </c>
      <c r="M1724" t="s">
        <v>7720</v>
      </c>
    </row>
    <row r="1725" spans="9:13" x14ac:dyDescent="0.25">
      <c r="I1725" t="s">
        <v>257</v>
      </c>
      <c r="J1725" t="s">
        <v>5256</v>
      </c>
      <c r="L1725" t="s">
        <v>7593</v>
      </c>
      <c r="M1725" t="s">
        <v>1975</v>
      </c>
    </row>
    <row r="1726" spans="9:13" x14ac:dyDescent="0.25">
      <c r="I1726" t="s">
        <v>5950</v>
      </c>
      <c r="J1726" t="s">
        <v>5951</v>
      </c>
      <c r="L1726" t="s">
        <v>6865</v>
      </c>
      <c r="M1726" t="s">
        <v>1745</v>
      </c>
    </row>
    <row r="1727" spans="9:13" x14ac:dyDescent="0.25">
      <c r="I1727" t="s">
        <v>393</v>
      </c>
      <c r="J1727" t="s">
        <v>1177</v>
      </c>
      <c r="L1727" t="s">
        <v>37</v>
      </c>
      <c r="M1727" t="s">
        <v>7474</v>
      </c>
    </row>
    <row r="1728" spans="9:13" x14ac:dyDescent="0.25">
      <c r="I1728" t="s">
        <v>6361</v>
      </c>
      <c r="J1728" t="s">
        <v>6362</v>
      </c>
      <c r="L1728" t="s">
        <v>457</v>
      </c>
      <c r="M1728" t="s">
        <v>2141</v>
      </c>
    </row>
    <row r="1729" spans="9:13" x14ac:dyDescent="0.25">
      <c r="I1729" t="s">
        <v>5867</v>
      </c>
      <c r="J1729" t="s">
        <v>5868</v>
      </c>
      <c r="L1729" t="s">
        <v>2766</v>
      </c>
      <c r="M1729" t="s">
        <v>3181</v>
      </c>
    </row>
    <row r="1730" spans="9:13" x14ac:dyDescent="0.25">
      <c r="I1730" t="s">
        <v>6859</v>
      </c>
      <c r="J1730" t="s">
        <v>1640</v>
      </c>
      <c r="L1730" t="s">
        <v>7572</v>
      </c>
      <c r="M1730" t="s">
        <v>7781</v>
      </c>
    </row>
    <row r="1731" spans="9:13" x14ac:dyDescent="0.25">
      <c r="I1731" t="s">
        <v>356</v>
      </c>
      <c r="J1731" t="s">
        <v>4121</v>
      </c>
      <c r="L1731" t="s">
        <v>7381</v>
      </c>
      <c r="M1731" t="s">
        <v>1945</v>
      </c>
    </row>
    <row r="1732" spans="9:13" x14ac:dyDescent="0.25">
      <c r="I1732" t="s">
        <v>5345</v>
      </c>
      <c r="J1732" t="s">
        <v>6514</v>
      </c>
      <c r="L1732" t="s">
        <v>7556</v>
      </c>
      <c r="M1732" t="s">
        <v>1996</v>
      </c>
    </row>
    <row r="1733" spans="9:13" x14ac:dyDescent="0.25">
      <c r="I1733" t="s">
        <v>22</v>
      </c>
      <c r="J1733" t="s">
        <v>926</v>
      </c>
      <c r="L1733" t="s">
        <v>280</v>
      </c>
      <c r="M1733" t="s">
        <v>2332</v>
      </c>
    </row>
    <row r="1734" spans="9:13" x14ac:dyDescent="0.25">
      <c r="I1734" t="s">
        <v>44</v>
      </c>
      <c r="J1734" t="s">
        <v>2884</v>
      </c>
      <c r="L1734" t="s">
        <v>457</v>
      </c>
      <c r="M1734" t="s">
        <v>1788</v>
      </c>
    </row>
    <row r="1735" spans="9:13" x14ac:dyDescent="0.25">
      <c r="I1735" t="s">
        <v>257</v>
      </c>
      <c r="J1735" t="s">
        <v>6757</v>
      </c>
      <c r="L1735" t="s">
        <v>4190</v>
      </c>
      <c r="M1735" t="s">
        <v>4300</v>
      </c>
    </row>
    <row r="1736" spans="9:13" x14ac:dyDescent="0.25">
      <c r="I1736" t="s">
        <v>3854</v>
      </c>
      <c r="J1736" t="s">
        <v>4063</v>
      </c>
      <c r="L1736" t="s">
        <v>586</v>
      </c>
      <c r="M1736" t="s">
        <v>4210</v>
      </c>
    </row>
    <row r="1737" spans="9:13" x14ac:dyDescent="0.25">
      <c r="I1737" t="s">
        <v>5451</v>
      </c>
      <c r="J1737" t="s">
        <v>5452</v>
      </c>
      <c r="L1737" t="s">
        <v>318</v>
      </c>
      <c r="M1737" t="s">
        <v>3151</v>
      </c>
    </row>
    <row r="1738" spans="9:13" x14ac:dyDescent="0.25">
      <c r="I1738" t="s">
        <v>356</v>
      </c>
      <c r="J1738" t="s">
        <v>4077</v>
      </c>
      <c r="L1738" t="s">
        <v>5350</v>
      </c>
      <c r="M1738" t="s">
        <v>7847</v>
      </c>
    </row>
    <row r="1739" spans="9:13" x14ac:dyDescent="0.25">
      <c r="I1739" t="s">
        <v>289</v>
      </c>
      <c r="J1739" t="s">
        <v>5372</v>
      </c>
      <c r="L1739" t="s">
        <v>457</v>
      </c>
      <c r="M1739" t="s">
        <v>2326</v>
      </c>
    </row>
    <row r="1740" spans="9:13" x14ac:dyDescent="0.25">
      <c r="I1740" t="s">
        <v>254</v>
      </c>
      <c r="J1740" t="s">
        <v>1232</v>
      </c>
      <c r="L1740" t="s">
        <v>396</v>
      </c>
      <c r="M1740" t="s">
        <v>7622</v>
      </c>
    </row>
    <row r="1741" spans="9:13" x14ac:dyDescent="0.25">
      <c r="I1741" t="s">
        <v>254</v>
      </c>
      <c r="J1741" t="s">
        <v>5491</v>
      </c>
      <c r="L1741" t="s">
        <v>7880</v>
      </c>
      <c r="M1741" t="s">
        <v>7881</v>
      </c>
    </row>
    <row r="1742" spans="9:13" x14ac:dyDescent="0.25">
      <c r="I1742" t="s">
        <v>406</v>
      </c>
      <c r="J1742" t="s">
        <v>2826</v>
      </c>
      <c r="L1742" t="s">
        <v>45</v>
      </c>
      <c r="M1742" t="s">
        <v>1726</v>
      </c>
    </row>
    <row r="1743" spans="9:13" x14ac:dyDescent="0.25">
      <c r="I1743" t="s">
        <v>90</v>
      </c>
      <c r="J1743" t="s">
        <v>6777</v>
      </c>
      <c r="L1743" t="s">
        <v>46</v>
      </c>
      <c r="M1743" t="s">
        <v>1776</v>
      </c>
    </row>
    <row r="1744" spans="9:13" x14ac:dyDescent="0.25">
      <c r="I1744" t="s">
        <v>253</v>
      </c>
      <c r="J1744" t="s">
        <v>1125</v>
      </c>
      <c r="L1744" t="s">
        <v>253</v>
      </c>
      <c r="M1744" t="s">
        <v>2358</v>
      </c>
    </row>
    <row r="1745" spans="9:13" x14ac:dyDescent="0.25">
      <c r="I1745" t="s">
        <v>2741</v>
      </c>
      <c r="J1745" t="s">
        <v>2808</v>
      </c>
      <c r="L1745" t="s">
        <v>280</v>
      </c>
      <c r="M1745" t="s">
        <v>2253</v>
      </c>
    </row>
    <row r="1746" spans="9:13" x14ac:dyDescent="0.25">
      <c r="I1746" t="s">
        <v>2741</v>
      </c>
      <c r="J1746" t="s">
        <v>2861</v>
      </c>
      <c r="L1746" t="s">
        <v>2720</v>
      </c>
      <c r="M1746" t="s">
        <v>7855</v>
      </c>
    </row>
    <row r="1747" spans="9:13" x14ac:dyDescent="0.25">
      <c r="I1747" t="s">
        <v>5708</v>
      </c>
      <c r="J1747" t="s">
        <v>1027</v>
      </c>
      <c r="L1747" t="s">
        <v>37</v>
      </c>
      <c r="M1747" t="s">
        <v>6873</v>
      </c>
    </row>
    <row r="1748" spans="9:13" x14ac:dyDescent="0.25">
      <c r="I1748" t="s">
        <v>95</v>
      </c>
      <c r="J1748" t="s">
        <v>1344</v>
      </c>
      <c r="L1748" t="s">
        <v>254</v>
      </c>
      <c r="M1748" t="s">
        <v>2357</v>
      </c>
    </row>
    <row r="1749" spans="9:13" x14ac:dyDescent="0.25">
      <c r="I1749" t="s">
        <v>280</v>
      </c>
      <c r="J1749" t="s">
        <v>1242</v>
      </c>
      <c r="L1749" t="s">
        <v>45</v>
      </c>
      <c r="M1749" t="s">
        <v>1684</v>
      </c>
    </row>
    <row r="1750" spans="9:13" x14ac:dyDescent="0.25">
      <c r="I1750" t="s">
        <v>46</v>
      </c>
      <c r="J1750" t="s">
        <v>1582</v>
      </c>
      <c r="L1750" t="s">
        <v>548</v>
      </c>
      <c r="M1750" t="s">
        <v>7356</v>
      </c>
    </row>
    <row r="1751" spans="9:13" x14ac:dyDescent="0.25">
      <c r="I1751" t="s">
        <v>313</v>
      </c>
      <c r="J1751" t="s">
        <v>1158</v>
      </c>
      <c r="L1751" t="s">
        <v>46</v>
      </c>
      <c r="M1751" t="s">
        <v>2313</v>
      </c>
    </row>
    <row r="1752" spans="9:13" x14ac:dyDescent="0.25">
      <c r="I1752" t="s">
        <v>253</v>
      </c>
      <c r="J1752" t="s">
        <v>1131</v>
      </c>
      <c r="L1752" t="s">
        <v>2741</v>
      </c>
      <c r="M1752" t="s">
        <v>3187</v>
      </c>
    </row>
    <row r="1753" spans="9:13" x14ac:dyDescent="0.25">
      <c r="I1753" t="s">
        <v>254</v>
      </c>
      <c r="J1753" t="s">
        <v>6210</v>
      </c>
      <c r="L1753" t="s">
        <v>36</v>
      </c>
      <c r="M1753" t="s">
        <v>7450</v>
      </c>
    </row>
    <row r="1754" spans="9:13" x14ac:dyDescent="0.25">
      <c r="I1754" t="s">
        <v>338</v>
      </c>
      <c r="J1754" t="s">
        <v>2892</v>
      </c>
      <c r="L1754" t="s">
        <v>37</v>
      </c>
      <c r="M1754" t="s">
        <v>2302</v>
      </c>
    </row>
    <row r="1755" spans="9:13" x14ac:dyDescent="0.25">
      <c r="I1755" t="s">
        <v>6659</v>
      </c>
      <c r="J1755" t="s">
        <v>1537</v>
      </c>
      <c r="L1755" t="s">
        <v>7410</v>
      </c>
      <c r="M1755" t="s">
        <v>7411</v>
      </c>
    </row>
    <row r="1756" spans="9:13" x14ac:dyDescent="0.25">
      <c r="I1756" t="s">
        <v>90</v>
      </c>
      <c r="J1756" t="s">
        <v>5861</v>
      </c>
      <c r="L1756" t="s">
        <v>253</v>
      </c>
      <c r="M1756" t="s">
        <v>2184</v>
      </c>
    </row>
    <row r="1757" spans="9:13" x14ac:dyDescent="0.25">
      <c r="I1757" t="s">
        <v>137</v>
      </c>
      <c r="J1757" t="s">
        <v>5606</v>
      </c>
      <c r="L1757" t="s">
        <v>548</v>
      </c>
      <c r="M1757" t="s">
        <v>7047</v>
      </c>
    </row>
    <row r="1758" spans="9:13" x14ac:dyDescent="0.25">
      <c r="I1758" t="s">
        <v>313</v>
      </c>
      <c r="J1758" t="s">
        <v>1593</v>
      </c>
      <c r="L1758" t="s">
        <v>6999</v>
      </c>
      <c r="M1758" t="s">
        <v>1725</v>
      </c>
    </row>
    <row r="1759" spans="9:13" x14ac:dyDescent="0.25">
      <c r="I1759" t="s">
        <v>254</v>
      </c>
      <c r="J1759" t="s">
        <v>5701</v>
      </c>
      <c r="L1759" t="s">
        <v>2720</v>
      </c>
      <c r="M1759" t="s">
        <v>7040</v>
      </c>
    </row>
    <row r="1760" spans="9:13" x14ac:dyDescent="0.25">
      <c r="I1760" t="s">
        <v>2741</v>
      </c>
      <c r="J1760" t="s">
        <v>2769</v>
      </c>
      <c r="L1760" t="s">
        <v>7354</v>
      </c>
      <c r="M1760" t="s">
        <v>2172</v>
      </c>
    </row>
    <row r="1761" spans="9:13" x14ac:dyDescent="0.25">
      <c r="I1761" t="s">
        <v>2741</v>
      </c>
      <c r="J1761" t="s">
        <v>2799</v>
      </c>
      <c r="L1761" t="s">
        <v>6874</v>
      </c>
      <c r="M1761" t="s">
        <v>1652</v>
      </c>
    </row>
    <row r="1762" spans="9:13" x14ac:dyDescent="0.25">
      <c r="I1762" t="s">
        <v>2741</v>
      </c>
      <c r="J1762" t="s">
        <v>2922</v>
      </c>
      <c r="L1762" t="s">
        <v>3854</v>
      </c>
      <c r="M1762" t="s">
        <v>4159</v>
      </c>
    </row>
    <row r="1763" spans="9:13" x14ac:dyDescent="0.25">
      <c r="I1763" t="s">
        <v>5240</v>
      </c>
      <c r="J1763" t="s">
        <v>6781</v>
      </c>
      <c r="L1763" t="s">
        <v>37</v>
      </c>
      <c r="M1763" t="s">
        <v>1658</v>
      </c>
    </row>
    <row r="1764" spans="9:13" x14ac:dyDescent="0.25">
      <c r="I1764" t="s">
        <v>4583</v>
      </c>
      <c r="J1764" t="s">
        <v>858</v>
      </c>
      <c r="L1764" t="s">
        <v>2729</v>
      </c>
      <c r="M1764" t="s">
        <v>3081</v>
      </c>
    </row>
    <row r="1765" spans="9:13" x14ac:dyDescent="0.25">
      <c r="I1765" t="s">
        <v>356</v>
      </c>
      <c r="J1765" t="s">
        <v>6383</v>
      </c>
      <c r="L1765" t="s">
        <v>46</v>
      </c>
      <c r="M1765" t="s">
        <v>1910</v>
      </c>
    </row>
    <row r="1766" spans="9:13" x14ac:dyDescent="0.25">
      <c r="I1766" t="s">
        <v>5451</v>
      </c>
      <c r="J1766" t="s">
        <v>5669</v>
      </c>
      <c r="L1766" t="s">
        <v>586</v>
      </c>
      <c r="M1766" t="s">
        <v>4180</v>
      </c>
    </row>
    <row r="1767" spans="9:13" x14ac:dyDescent="0.25">
      <c r="I1767" t="s">
        <v>6107</v>
      </c>
      <c r="J1767" t="s">
        <v>2863</v>
      </c>
      <c r="L1767" t="s">
        <v>95</v>
      </c>
      <c r="M1767" t="s">
        <v>3108</v>
      </c>
    </row>
    <row r="1768" spans="9:13" x14ac:dyDescent="0.25">
      <c r="I1768" t="s">
        <v>37</v>
      </c>
      <c r="J1768" t="s">
        <v>1273</v>
      </c>
      <c r="L1768" t="s">
        <v>398</v>
      </c>
      <c r="M1768" t="s">
        <v>1905</v>
      </c>
    </row>
    <row r="1769" spans="9:13" x14ac:dyDescent="0.25">
      <c r="I1769" t="s">
        <v>5341</v>
      </c>
      <c r="J1769" t="s">
        <v>1367</v>
      </c>
      <c r="L1769" t="s">
        <v>37</v>
      </c>
      <c r="M1769" t="s">
        <v>1737</v>
      </c>
    </row>
    <row r="1770" spans="9:13" x14ac:dyDescent="0.25">
      <c r="I1770" t="s">
        <v>393</v>
      </c>
      <c r="J1770" t="s">
        <v>1414</v>
      </c>
      <c r="L1770" t="s">
        <v>457</v>
      </c>
      <c r="M1770" t="s">
        <v>2110</v>
      </c>
    </row>
    <row r="1771" spans="9:13" x14ac:dyDescent="0.25">
      <c r="I1771" t="s">
        <v>393</v>
      </c>
      <c r="J1771" t="s">
        <v>1277</v>
      </c>
      <c r="L1771" t="s">
        <v>457</v>
      </c>
      <c r="M1771" t="s">
        <v>2221</v>
      </c>
    </row>
    <row r="1772" spans="9:13" x14ac:dyDescent="0.25">
      <c r="I1772" t="s">
        <v>393</v>
      </c>
      <c r="J1772" t="s">
        <v>1563</v>
      </c>
      <c r="L1772" t="s">
        <v>37</v>
      </c>
      <c r="M1772" t="s">
        <v>7899</v>
      </c>
    </row>
    <row r="1773" spans="9:13" x14ac:dyDescent="0.25">
      <c r="I1773" t="s">
        <v>356</v>
      </c>
      <c r="J1773" t="s">
        <v>4092</v>
      </c>
      <c r="L1773" t="s">
        <v>6974</v>
      </c>
      <c r="M1773" t="s">
        <v>6975</v>
      </c>
    </row>
    <row r="1774" spans="9:13" x14ac:dyDescent="0.25">
      <c r="I1774" t="s">
        <v>545</v>
      </c>
      <c r="J1774" t="s">
        <v>2954</v>
      </c>
      <c r="L1774" t="s">
        <v>3854</v>
      </c>
      <c r="M1774" t="s">
        <v>4269</v>
      </c>
    </row>
    <row r="1775" spans="9:13" x14ac:dyDescent="0.25">
      <c r="I1775" t="s">
        <v>289</v>
      </c>
      <c r="J1775" t="s">
        <v>1507</v>
      </c>
      <c r="L1775" t="s">
        <v>6909</v>
      </c>
      <c r="M1775" t="s">
        <v>1674</v>
      </c>
    </row>
    <row r="1776" spans="9:13" x14ac:dyDescent="0.25">
      <c r="I1776" t="s">
        <v>95</v>
      </c>
      <c r="J1776" t="s">
        <v>6809</v>
      </c>
      <c r="L1776" t="s">
        <v>37</v>
      </c>
      <c r="M1776" t="s">
        <v>1664</v>
      </c>
    </row>
    <row r="1777" spans="9:13" x14ac:dyDescent="0.25">
      <c r="I1777" t="s">
        <v>0</v>
      </c>
      <c r="J1777" t="s">
        <v>1172</v>
      </c>
      <c r="L1777" t="s">
        <v>22</v>
      </c>
      <c r="M1777" t="s">
        <v>1833</v>
      </c>
    </row>
    <row r="1778" spans="9:13" x14ac:dyDescent="0.25">
      <c r="I1778" t="s">
        <v>356</v>
      </c>
      <c r="J1778" t="s">
        <v>3964</v>
      </c>
      <c r="L1778" t="s">
        <v>37</v>
      </c>
      <c r="M1778" t="s">
        <v>7434</v>
      </c>
    </row>
    <row r="1779" spans="9:13" x14ac:dyDescent="0.25">
      <c r="I1779" t="s">
        <v>21</v>
      </c>
      <c r="J1779" t="s">
        <v>964</v>
      </c>
      <c r="L1779" t="s">
        <v>22</v>
      </c>
      <c r="M1779" t="s">
        <v>7913</v>
      </c>
    </row>
    <row r="1780" spans="9:13" x14ac:dyDescent="0.25">
      <c r="I1780" t="s">
        <v>21</v>
      </c>
      <c r="J1780" t="s">
        <v>821</v>
      </c>
      <c r="L1780" t="s">
        <v>7006</v>
      </c>
      <c r="M1780" t="s">
        <v>4234</v>
      </c>
    </row>
    <row r="1781" spans="9:13" x14ac:dyDescent="0.25">
      <c r="I1781" t="s">
        <v>2741</v>
      </c>
      <c r="J1781" t="s">
        <v>2921</v>
      </c>
      <c r="L1781" t="s">
        <v>7006</v>
      </c>
      <c r="M1781" t="s">
        <v>7574</v>
      </c>
    </row>
    <row r="1782" spans="9:13" x14ac:dyDescent="0.25">
      <c r="I1782" t="s">
        <v>2741</v>
      </c>
      <c r="J1782" t="s">
        <v>2841</v>
      </c>
      <c r="L1782" t="s">
        <v>403</v>
      </c>
      <c r="M1782" t="s">
        <v>6959</v>
      </c>
    </row>
    <row r="1783" spans="9:13" x14ac:dyDescent="0.25">
      <c r="I1783" t="s">
        <v>2741</v>
      </c>
      <c r="J1783" t="s">
        <v>2964</v>
      </c>
      <c r="L1783" t="s">
        <v>396</v>
      </c>
      <c r="M1783" t="s">
        <v>7243</v>
      </c>
    </row>
    <row r="1784" spans="9:13" x14ac:dyDescent="0.25">
      <c r="I1784" t="s">
        <v>311</v>
      </c>
      <c r="J1784" t="s">
        <v>857</v>
      </c>
      <c r="L1784" t="s">
        <v>5350</v>
      </c>
      <c r="M1784" t="s">
        <v>4279</v>
      </c>
    </row>
    <row r="1785" spans="9:13" x14ac:dyDescent="0.25">
      <c r="I1785" t="s">
        <v>403</v>
      </c>
      <c r="J1785" t="s">
        <v>892</v>
      </c>
      <c r="L1785" t="s">
        <v>7006</v>
      </c>
      <c r="M1785" t="s">
        <v>7900</v>
      </c>
    </row>
    <row r="1786" spans="9:13" x14ac:dyDescent="0.25">
      <c r="I1786" t="s">
        <v>46</v>
      </c>
      <c r="J1786" t="s">
        <v>877</v>
      </c>
      <c r="L1786" t="s">
        <v>2741</v>
      </c>
      <c r="M1786" t="s">
        <v>3205</v>
      </c>
    </row>
    <row r="1787" spans="9:13" x14ac:dyDescent="0.25">
      <c r="I1787" t="s">
        <v>2723</v>
      </c>
      <c r="J1787" t="s">
        <v>2794</v>
      </c>
      <c r="L1787" t="s">
        <v>318</v>
      </c>
      <c r="M1787" t="s">
        <v>3121</v>
      </c>
    </row>
    <row r="1788" spans="9:13" x14ac:dyDescent="0.25">
      <c r="I1788" t="s">
        <v>253</v>
      </c>
      <c r="J1788" t="s">
        <v>6472</v>
      </c>
      <c r="L1788" t="s">
        <v>7006</v>
      </c>
      <c r="M1788" t="s">
        <v>7007</v>
      </c>
    </row>
    <row r="1789" spans="9:13" x14ac:dyDescent="0.25">
      <c r="I1789" t="s">
        <v>393</v>
      </c>
      <c r="J1789" t="s">
        <v>6244</v>
      </c>
      <c r="L1789" t="s">
        <v>403</v>
      </c>
      <c r="M1789" t="s">
        <v>7383</v>
      </c>
    </row>
    <row r="1790" spans="9:13" x14ac:dyDescent="0.25">
      <c r="I1790" t="s">
        <v>357</v>
      </c>
      <c r="J1790" t="s">
        <v>3986</v>
      </c>
      <c r="L1790" t="s">
        <v>403</v>
      </c>
      <c r="M1790" t="s">
        <v>7102</v>
      </c>
    </row>
    <row r="1791" spans="9:13" x14ac:dyDescent="0.25">
      <c r="I1791" t="s">
        <v>5307</v>
      </c>
      <c r="J1791" t="s">
        <v>819</v>
      </c>
      <c r="L1791" t="s">
        <v>37</v>
      </c>
      <c r="M1791" t="s">
        <v>7816</v>
      </c>
    </row>
    <row r="1792" spans="9:13" x14ac:dyDescent="0.25">
      <c r="I1792" t="s">
        <v>545</v>
      </c>
      <c r="J1792" t="s">
        <v>2945</v>
      </c>
      <c r="L1792" t="s">
        <v>5350</v>
      </c>
      <c r="M1792" t="s">
        <v>7882</v>
      </c>
    </row>
    <row r="1793" spans="9:13" x14ac:dyDescent="0.25">
      <c r="I1793" t="s">
        <v>5582</v>
      </c>
      <c r="J1793" t="s">
        <v>1636</v>
      </c>
      <c r="L1793" t="s">
        <v>356</v>
      </c>
      <c r="M1793" t="s">
        <v>7864</v>
      </c>
    </row>
    <row r="1794" spans="9:13" x14ac:dyDescent="0.25">
      <c r="I1794" t="s">
        <v>5272</v>
      </c>
      <c r="J1794" t="s">
        <v>6723</v>
      </c>
      <c r="L1794" t="s">
        <v>3916</v>
      </c>
      <c r="M1794" t="s">
        <v>4186</v>
      </c>
    </row>
    <row r="1795" spans="9:13" x14ac:dyDescent="0.25">
      <c r="I1795" t="s">
        <v>37</v>
      </c>
      <c r="J1795" t="s">
        <v>1253</v>
      </c>
      <c r="L1795" t="s">
        <v>393</v>
      </c>
      <c r="M1795" t="s">
        <v>1846</v>
      </c>
    </row>
    <row r="1796" spans="9:13" x14ac:dyDescent="0.25">
      <c r="I1796" t="s">
        <v>5670</v>
      </c>
      <c r="J1796" t="s">
        <v>5671</v>
      </c>
      <c r="L1796" t="s">
        <v>7844</v>
      </c>
      <c r="M1796" t="s">
        <v>2278</v>
      </c>
    </row>
    <row r="1797" spans="9:13" x14ac:dyDescent="0.25">
      <c r="I1797" t="s">
        <v>313</v>
      </c>
      <c r="J1797" t="s">
        <v>1179</v>
      </c>
      <c r="L1797" t="s">
        <v>4190</v>
      </c>
      <c r="M1797" t="s">
        <v>4225</v>
      </c>
    </row>
    <row r="1798" spans="9:13" x14ac:dyDescent="0.25">
      <c r="I1798" t="s">
        <v>346</v>
      </c>
      <c r="J1798" t="s">
        <v>1494</v>
      </c>
      <c r="L1798" t="s">
        <v>457</v>
      </c>
      <c r="M1798" t="s">
        <v>1747</v>
      </c>
    </row>
    <row r="1799" spans="9:13" x14ac:dyDescent="0.25">
      <c r="I1799" t="s">
        <v>306</v>
      </c>
      <c r="J1799" t="s">
        <v>1021</v>
      </c>
      <c r="L1799" t="s">
        <v>2726</v>
      </c>
      <c r="M1799" t="s">
        <v>3096</v>
      </c>
    </row>
    <row r="1800" spans="9:13" x14ac:dyDescent="0.25">
      <c r="I1800" t="s">
        <v>2729</v>
      </c>
      <c r="J1800" t="s">
        <v>2946</v>
      </c>
      <c r="L1800" t="s">
        <v>37</v>
      </c>
      <c r="M1800" t="s">
        <v>6962</v>
      </c>
    </row>
    <row r="1801" spans="9:13" x14ac:dyDescent="0.25">
      <c r="I1801" t="s">
        <v>2741</v>
      </c>
      <c r="J1801" t="s">
        <v>2815</v>
      </c>
      <c r="L1801" t="s">
        <v>2720</v>
      </c>
      <c r="M1801" t="s">
        <v>2249</v>
      </c>
    </row>
    <row r="1802" spans="9:13" x14ac:dyDescent="0.25">
      <c r="I1802" t="s">
        <v>95</v>
      </c>
      <c r="J1802" t="s">
        <v>1356</v>
      </c>
      <c r="L1802" t="s">
        <v>2729</v>
      </c>
      <c r="M1802" t="s">
        <v>4209</v>
      </c>
    </row>
    <row r="1803" spans="9:13" x14ac:dyDescent="0.25">
      <c r="I1803" t="s">
        <v>39</v>
      </c>
      <c r="J1803" t="s">
        <v>6024</v>
      </c>
      <c r="L1803" t="s">
        <v>403</v>
      </c>
      <c r="M1803" t="s">
        <v>7225</v>
      </c>
    </row>
    <row r="1804" spans="9:13" x14ac:dyDescent="0.25">
      <c r="I1804" t="s">
        <v>5985</v>
      </c>
      <c r="J1804" t="s">
        <v>1165</v>
      </c>
      <c r="L1804" t="s">
        <v>22</v>
      </c>
      <c r="M1804" t="s">
        <v>2074</v>
      </c>
    </row>
    <row r="1805" spans="9:13" x14ac:dyDescent="0.25">
      <c r="I1805" t="s">
        <v>5955</v>
      </c>
      <c r="J1805" t="s">
        <v>1145</v>
      </c>
      <c r="L1805" t="s">
        <v>586</v>
      </c>
      <c r="M1805" t="s">
        <v>4281</v>
      </c>
    </row>
    <row r="1806" spans="9:13" x14ac:dyDescent="0.25">
      <c r="I1806" t="s">
        <v>311</v>
      </c>
      <c r="J1806" t="s">
        <v>1461</v>
      </c>
      <c r="L1806" t="s">
        <v>457</v>
      </c>
      <c r="M1806" t="s">
        <v>7730</v>
      </c>
    </row>
    <row r="1807" spans="9:13" x14ac:dyDescent="0.25">
      <c r="I1807" t="s">
        <v>5604</v>
      </c>
      <c r="J1807" t="s">
        <v>5605</v>
      </c>
      <c r="L1807" t="s">
        <v>4190</v>
      </c>
      <c r="M1807" t="s">
        <v>4212</v>
      </c>
    </row>
    <row r="1808" spans="9:13" x14ac:dyDescent="0.25">
      <c r="I1808" t="s">
        <v>393</v>
      </c>
      <c r="J1808" t="s">
        <v>1208</v>
      </c>
      <c r="L1808" t="s">
        <v>548</v>
      </c>
      <c r="M1808" t="s">
        <v>2118</v>
      </c>
    </row>
    <row r="1809" spans="9:13" x14ac:dyDescent="0.25">
      <c r="I1809" t="s">
        <v>318</v>
      </c>
      <c r="J1809" t="s">
        <v>6319</v>
      </c>
      <c r="L1809" t="s">
        <v>586</v>
      </c>
      <c r="M1809" t="s">
        <v>4230</v>
      </c>
    </row>
    <row r="1810" spans="9:13" x14ac:dyDescent="0.25">
      <c r="I1810" t="s">
        <v>393</v>
      </c>
      <c r="J1810" t="s">
        <v>6390</v>
      </c>
      <c r="L1810" t="s">
        <v>254</v>
      </c>
      <c r="M1810" t="s">
        <v>2132</v>
      </c>
    </row>
    <row r="1811" spans="9:13" x14ac:dyDescent="0.25">
      <c r="I1811" t="s">
        <v>5998</v>
      </c>
      <c r="J1811" t="s">
        <v>1171</v>
      </c>
      <c r="L1811" t="s">
        <v>36</v>
      </c>
      <c r="M1811" t="s">
        <v>7414</v>
      </c>
    </row>
    <row r="1812" spans="9:13" x14ac:dyDescent="0.25">
      <c r="I1812" t="s">
        <v>313</v>
      </c>
      <c r="J1812" t="s">
        <v>1139</v>
      </c>
      <c r="L1812" t="s">
        <v>400</v>
      </c>
      <c r="M1812" t="s">
        <v>1804</v>
      </c>
    </row>
    <row r="1813" spans="9:13" x14ac:dyDescent="0.25">
      <c r="I1813" t="s">
        <v>286</v>
      </c>
      <c r="J1813" t="s">
        <v>1152</v>
      </c>
      <c r="L1813" t="s">
        <v>22</v>
      </c>
      <c r="M1813" t="s">
        <v>2342</v>
      </c>
    </row>
    <row r="1814" spans="9:13" x14ac:dyDescent="0.25">
      <c r="I1814" t="s">
        <v>6338</v>
      </c>
      <c r="J1814" t="s">
        <v>6521</v>
      </c>
      <c r="L1814" t="s">
        <v>548</v>
      </c>
      <c r="M1814" t="s">
        <v>1789</v>
      </c>
    </row>
    <row r="1815" spans="9:13" x14ac:dyDescent="0.25">
      <c r="I1815" t="s">
        <v>3916</v>
      </c>
      <c r="J1815" t="s">
        <v>4006</v>
      </c>
      <c r="L1815" t="s">
        <v>36</v>
      </c>
      <c r="M1815" t="s">
        <v>7253</v>
      </c>
    </row>
    <row r="1816" spans="9:13" x14ac:dyDescent="0.25">
      <c r="I1816" t="s">
        <v>7979</v>
      </c>
      <c r="J1816" t="s">
        <v>1302</v>
      </c>
      <c r="L1816" t="s">
        <v>7358</v>
      </c>
      <c r="M1816" t="s">
        <v>2049</v>
      </c>
    </row>
    <row r="1817" spans="9:13" x14ac:dyDescent="0.25">
      <c r="I1817" t="s">
        <v>313</v>
      </c>
      <c r="J1817" t="s">
        <v>6825</v>
      </c>
      <c r="L1817" t="s">
        <v>7296</v>
      </c>
      <c r="M1817" t="s">
        <v>7681</v>
      </c>
    </row>
    <row r="1818" spans="9:13" x14ac:dyDescent="0.25">
      <c r="I1818" t="s">
        <v>313</v>
      </c>
      <c r="J1818" t="s">
        <v>5488</v>
      </c>
      <c r="L1818" t="s">
        <v>2726</v>
      </c>
      <c r="M1818" t="s">
        <v>3245</v>
      </c>
    </row>
    <row r="1819" spans="9:13" x14ac:dyDescent="0.25">
      <c r="I1819" t="s">
        <v>5331</v>
      </c>
      <c r="J1819" t="s">
        <v>5332</v>
      </c>
      <c r="L1819" t="s">
        <v>4430</v>
      </c>
      <c r="M1819" t="s">
        <v>7825</v>
      </c>
    </row>
    <row r="1820" spans="9:13" x14ac:dyDescent="0.25">
      <c r="I1820" t="s">
        <v>36</v>
      </c>
      <c r="J1820" t="s">
        <v>1410</v>
      </c>
      <c r="L1820" t="s">
        <v>37</v>
      </c>
      <c r="M1820" t="s">
        <v>7238</v>
      </c>
    </row>
    <row r="1821" spans="9:13" x14ac:dyDescent="0.25">
      <c r="I1821" t="s">
        <v>2741</v>
      </c>
      <c r="J1821" t="s">
        <v>2852</v>
      </c>
      <c r="L1821" t="s">
        <v>2717</v>
      </c>
      <c r="M1821" t="s">
        <v>7449</v>
      </c>
    </row>
    <row r="1822" spans="9:13" x14ac:dyDescent="0.25">
      <c r="I1822" t="s">
        <v>2741</v>
      </c>
      <c r="J1822" t="s">
        <v>2919</v>
      </c>
      <c r="L1822" t="s">
        <v>7206</v>
      </c>
      <c r="M1822" t="s">
        <v>7463</v>
      </c>
    </row>
    <row r="1823" spans="9:13" x14ac:dyDescent="0.25">
      <c r="I1823" t="s">
        <v>253</v>
      </c>
      <c r="J1823" t="s">
        <v>1610</v>
      </c>
      <c r="L1823" t="s">
        <v>2717</v>
      </c>
      <c r="M1823" t="s">
        <v>7723</v>
      </c>
    </row>
    <row r="1824" spans="9:13" x14ac:dyDescent="0.25">
      <c r="I1824" t="s">
        <v>311</v>
      </c>
      <c r="J1824" t="s">
        <v>1623</v>
      </c>
      <c r="L1824" t="s">
        <v>22</v>
      </c>
      <c r="M1824" t="s">
        <v>1683</v>
      </c>
    </row>
    <row r="1825" spans="9:13" x14ac:dyDescent="0.25">
      <c r="I1825" t="s">
        <v>37</v>
      </c>
      <c r="J1825" t="s">
        <v>1395</v>
      </c>
      <c r="L1825" t="s">
        <v>2720</v>
      </c>
      <c r="M1825" t="s">
        <v>1731</v>
      </c>
    </row>
    <row r="1826" spans="9:13" x14ac:dyDescent="0.25">
      <c r="I1826" t="s">
        <v>286</v>
      </c>
      <c r="J1826" t="s">
        <v>6764</v>
      </c>
      <c r="L1826" t="s">
        <v>2720</v>
      </c>
      <c r="M1826" t="s">
        <v>1868</v>
      </c>
    </row>
    <row r="1827" spans="9:13" x14ac:dyDescent="0.25">
      <c r="I1827" t="s">
        <v>313</v>
      </c>
      <c r="J1827" t="s">
        <v>842</v>
      </c>
      <c r="L1827" t="s">
        <v>6937</v>
      </c>
      <c r="M1827" t="s">
        <v>2113</v>
      </c>
    </row>
    <row r="1828" spans="9:13" x14ac:dyDescent="0.25">
      <c r="I1828" t="s">
        <v>3854</v>
      </c>
      <c r="J1828" t="s">
        <v>3866</v>
      </c>
      <c r="L1828" t="s">
        <v>2717</v>
      </c>
      <c r="M1828" t="s">
        <v>6892</v>
      </c>
    </row>
    <row r="1829" spans="9:13" x14ac:dyDescent="0.25">
      <c r="I1829" t="s">
        <v>338</v>
      </c>
      <c r="J1829" t="s">
        <v>2908</v>
      </c>
      <c r="L1829" t="s">
        <v>7358</v>
      </c>
      <c r="M1829" t="s">
        <v>1930</v>
      </c>
    </row>
    <row r="1830" spans="9:13" x14ac:dyDescent="0.25">
      <c r="I1830" t="s">
        <v>90</v>
      </c>
      <c r="J1830" t="s">
        <v>6201</v>
      </c>
      <c r="L1830" t="s">
        <v>7197</v>
      </c>
      <c r="M1830" t="s">
        <v>2007</v>
      </c>
    </row>
    <row r="1831" spans="9:13" x14ac:dyDescent="0.25">
      <c r="I1831" t="s">
        <v>137</v>
      </c>
      <c r="J1831" t="s">
        <v>2380</v>
      </c>
      <c r="L1831" t="s">
        <v>7282</v>
      </c>
      <c r="M1831" t="s">
        <v>7283</v>
      </c>
    </row>
    <row r="1832" spans="9:13" x14ac:dyDescent="0.25">
      <c r="I1832" t="s">
        <v>313</v>
      </c>
      <c r="J1832" t="s">
        <v>837</v>
      </c>
      <c r="L1832" t="s">
        <v>586</v>
      </c>
      <c r="M1832" t="s">
        <v>4308</v>
      </c>
    </row>
    <row r="1833" spans="9:13" x14ac:dyDescent="0.25">
      <c r="I1833" t="s">
        <v>548</v>
      </c>
      <c r="J1833" t="s">
        <v>6776</v>
      </c>
      <c r="L1833" t="s">
        <v>4812</v>
      </c>
      <c r="M1833" t="s">
        <v>7196</v>
      </c>
    </row>
    <row r="1834" spans="9:13" x14ac:dyDescent="0.25">
      <c r="I1834" t="s">
        <v>254</v>
      </c>
      <c r="J1834" t="s">
        <v>5668</v>
      </c>
      <c r="L1834" t="s">
        <v>7006</v>
      </c>
      <c r="M1834" t="s">
        <v>7519</v>
      </c>
    </row>
    <row r="1835" spans="9:13" x14ac:dyDescent="0.25">
      <c r="I1835" t="s">
        <v>286</v>
      </c>
      <c r="J1835" t="s">
        <v>6522</v>
      </c>
      <c r="L1835" t="s">
        <v>2720</v>
      </c>
      <c r="M1835" t="s">
        <v>7022</v>
      </c>
    </row>
    <row r="1836" spans="9:13" x14ac:dyDescent="0.25">
      <c r="I1836" t="s">
        <v>2741</v>
      </c>
      <c r="J1836" t="s">
        <v>2989</v>
      </c>
      <c r="L1836" t="s">
        <v>2720</v>
      </c>
      <c r="M1836" t="s">
        <v>6893</v>
      </c>
    </row>
    <row r="1837" spans="9:13" x14ac:dyDescent="0.25">
      <c r="I1837" t="s">
        <v>311</v>
      </c>
      <c r="J1837" t="s">
        <v>787</v>
      </c>
      <c r="L1837" t="s">
        <v>586</v>
      </c>
      <c r="M1837" t="s">
        <v>4153</v>
      </c>
    </row>
    <row r="1838" spans="9:13" x14ac:dyDescent="0.25">
      <c r="I1838" t="s">
        <v>253</v>
      </c>
      <c r="J1838" t="s">
        <v>1018</v>
      </c>
      <c r="L1838" t="s">
        <v>37</v>
      </c>
      <c r="M1838" t="s">
        <v>7532</v>
      </c>
    </row>
    <row r="1839" spans="9:13" x14ac:dyDescent="0.25">
      <c r="I1839" t="s">
        <v>393</v>
      </c>
      <c r="J1839" t="s">
        <v>1057</v>
      </c>
      <c r="L1839" t="s">
        <v>4812</v>
      </c>
      <c r="M1839" t="s">
        <v>7684</v>
      </c>
    </row>
    <row r="1840" spans="9:13" x14ac:dyDescent="0.25">
      <c r="I1840" t="s">
        <v>396</v>
      </c>
      <c r="J1840" t="s">
        <v>5353</v>
      </c>
      <c r="L1840" t="s">
        <v>7061</v>
      </c>
      <c r="M1840" t="s">
        <v>1932</v>
      </c>
    </row>
    <row r="1841" spans="9:13" x14ac:dyDescent="0.25">
      <c r="I1841" t="s">
        <v>400</v>
      </c>
      <c r="J1841" t="s">
        <v>5832</v>
      </c>
      <c r="L1841" t="s">
        <v>37</v>
      </c>
      <c r="M1841" t="s">
        <v>7151</v>
      </c>
    </row>
    <row r="1842" spans="9:13" x14ac:dyDescent="0.25">
      <c r="I1842" t="s">
        <v>90</v>
      </c>
      <c r="J1842" t="s">
        <v>945</v>
      </c>
      <c r="L1842" t="s">
        <v>586</v>
      </c>
      <c r="M1842" t="s">
        <v>4174</v>
      </c>
    </row>
    <row r="1843" spans="9:13" x14ac:dyDescent="0.25">
      <c r="I1843" t="s">
        <v>90</v>
      </c>
      <c r="J1843" t="s">
        <v>1500</v>
      </c>
      <c r="L1843" t="s">
        <v>3854</v>
      </c>
      <c r="M1843" t="s">
        <v>4158</v>
      </c>
    </row>
    <row r="1844" spans="9:13" x14ac:dyDescent="0.25">
      <c r="I1844" t="s">
        <v>280</v>
      </c>
      <c r="J1844" t="s">
        <v>6129</v>
      </c>
      <c r="L1844" t="s">
        <v>7770</v>
      </c>
      <c r="M1844" t="s">
        <v>2236</v>
      </c>
    </row>
    <row r="1845" spans="9:13" x14ac:dyDescent="0.25">
      <c r="I1845" t="s">
        <v>3854</v>
      </c>
      <c r="J1845" t="s">
        <v>3951</v>
      </c>
      <c r="L1845" t="s">
        <v>3854</v>
      </c>
      <c r="M1845" t="s">
        <v>4253</v>
      </c>
    </row>
    <row r="1846" spans="9:13" x14ac:dyDescent="0.25">
      <c r="I1846" t="s">
        <v>37</v>
      </c>
      <c r="J1846" t="s">
        <v>1498</v>
      </c>
      <c r="L1846" t="s">
        <v>37</v>
      </c>
      <c r="M1846" t="s">
        <v>7111</v>
      </c>
    </row>
    <row r="1847" spans="9:13" x14ac:dyDescent="0.25">
      <c r="I1847" t="s">
        <v>5228</v>
      </c>
      <c r="J1847" t="s">
        <v>3906</v>
      </c>
      <c r="L1847" t="s">
        <v>396</v>
      </c>
      <c r="M1847" t="s">
        <v>7561</v>
      </c>
    </row>
    <row r="1848" spans="9:13" x14ac:dyDescent="0.25">
      <c r="I1848" t="s">
        <v>313</v>
      </c>
      <c r="J1848" t="s">
        <v>889</v>
      </c>
      <c r="L1848" t="s">
        <v>2720</v>
      </c>
      <c r="M1848" t="s">
        <v>1733</v>
      </c>
    </row>
    <row r="1849" spans="9:13" x14ac:dyDescent="0.25">
      <c r="I1849" t="s">
        <v>2738</v>
      </c>
      <c r="J1849" t="s">
        <v>2992</v>
      </c>
      <c r="L1849" t="s">
        <v>7782</v>
      </c>
      <c r="M1849" t="s">
        <v>1713</v>
      </c>
    </row>
    <row r="1850" spans="9:13" x14ac:dyDescent="0.25">
      <c r="I1850" t="s">
        <v>3908</v>
      </c>
      <c r="J1850" t="s">
        <v>4067</v>
      </c>
      <c r="L1850" t="s">
        <v>46</v>
      </c>
      <c r="M1850" t="s">
        <v>2256</v>
      </c>
    </row>
    <row r="1851" spans="9:13" x14ac:dyDescent="0.25">
      <c r="I1851" t="s">
        <v>4430</v>
      </c>
      <c r="J1851" t="s">
        <v>6179</v>
      </c>
      <c r="L1851" t="s">
        <v>545</v>
      </c>
      <c r="M1851" t="s">
        <v>3226</v>
      </c>
    </row>
    <row r="1852" spans="9:13" x14ac:dyDescent="0.25">
      <c r="I1852" t="s">
        <v>393</v>
      </c>
      <c r="J1852" t="s">
        <v>1326</v>
      </c>
      <c r="L1852" t="s">
        <v>2717</v>
      </c>
      <c r="M1852" t="s">
        <v>2054</v>
      </c>
    </row>
    <row r="1853" spans="9:13" x14ac:dyDescent="0.25">
      <c r="I1853" t="s">
        <v>5501</v>
      </c>
      <c r="J1853" t="s">
        <v>3941</v>
      </c>
      <c r="L1853" t="s">
        <v>6966</v>
      </c>
      <c r="M1853" t="s">
        <v>6967</v>
      </c>
    </row>
    <row r="1854" spans="9:13" x14ac:dyDescent="0.25">
      <c r="I1854" t="s">
        <v>393</v>
      </c>
      <c r="J1854" t="s">
        <v>1262</v>
      </c>
      <c r="L1854" t="s">
        <v>6903</v>
      </c>
      <c r="M1854" t="s">
        <v>1673</v>
      </c>
    </row>
    <row r="1855" spans="9:13" x14ac:dyDescent="0.25">
      <c r="I1855" t="s">
        <v>91</v>
      </c>
      <c r="J1855" t="s">
        <v>5765</v>
      </c>
      <c r="L1855" t="s">
        <v>2717</v>
      </c>
      <c r="M1855" t="s">
        <v>7842</v>
      </c>
    </row>
    <row r="1856" spans="9:13" x14ac:dyDescent="0.25">
      <c r="I1856" t="s">
        <v>318</v>
      </c>
      <c r="J1856" t="s">
        <v>6744</v>
      </c>
      <c r="L1856" t="s">
        <v>37</v>
      </c>
      <c r="M1856" t="s">
        <v>7873</v>
      </c>
    </row>
    <row r="1857" spans="9:13" x14ac:dyDescent="0.25">
      <c r="I1857" t="s">
        <v>2741</v>
      </c>
      <c r="J1857" t="s">
        <v>2949</v>
      </c>
      <c r="L1857" t="s">
        <v>586</v>
      </c>
      <c r="M1857" t="s">
        <v>4296</v>
      </c>
    </row>
    <row r="1858" spans="9:13" x14ac:dyDescent="0.25">
      <c r="I1858" t="s">
        <v>2741</v>
      </c>
      <c r="J1858" t="s">
        <v>2907</v>
      </c>
      <c r="L1858" t="s">
        <v>586</v>
      </c>
      <c r="M1858" t="s">
        <v>4151</v>
      </c>
    </row>
    <row r="1859" spans="9:13" x14ac:dyDescent="0.25">
      <c r="I1859" t="s">
        <v>2741</v>
      </c>
      <c r="J1859" t="s">
        <v>2938</v>
      </c>
      <c r="L1859" t="s">
        <v>3854</v>
      </c>
      <c r="M1859" t="s">
        <v>4201</v>
      </c>
    </row>
    <row r="1860" spans="9:13" x14ac:dyDescent="0.25">
      <c r="I1860" t="s">
        <v>313</v>
      </c>
      <c r="J1860" t="s">
        <v>1014</v>
      </c>
      <c r="L1860" t="s">
        <v>7206</v>
      </c>
      <c r="M1860" t="s">
        <v>3133</v>
      </c>
    </row>
    <row r="1861" spans="9:13" x14ac:dyDescent="0.25">
      <c r="I1861" t="s">
        <v>3992</v>
      </c>
      <c r="J1861" t="s">
        <v>5997</v>
      </c>
      <c r="L1861" t="s">
        <v>306</v>
      </c>
      <c r="M1861" t="s">
        <v>2327</v>
      </c>
    </row>
    <row r="1862" spans="9:13" x14ac:dyDescent="0.25">
      <c r="I1862" t="s">
        <v>318</v>
      </c>
      <c r="J1862" t="s">
        <v>2829</v>
      </c>
      <c r="L1862" t="s">
        <v>2720</v>
      </c>
      <c r="M1862" t="s">
        <v>7802</v>
      </c>
    </row>
    <row r="1863" spans="9:13" x14ac:dyDescent="0.25">
      <c r="I1863" t="s">
        <v>396</v>
      </c>
      <c r="J1863" t="s">
        <v>1381</v>
      </c>
      <c r="L1863" t="s">
        <v>37</v>
      </c>
      <c r="M1863" t="s">
        <v>7147</v>
      </c>
    </row>
    <row r="1864" spans="9:13" x14ac:dyDescent="0.25">
      <c r="I1864" t="s">
        <v>39</v>
      </c>
      <c r="J1864" t="s">
        <v>6299</v>
      </c>
      <c r="L1864" t="s">
        <v>37</v>
      </c>
      <c r="M1864" t="s">
        <v>6915</v>
      </c>
    </row>
    <row r="1865" spans="9:13" x14ac:dyDescent="0.25">
      <c r="I1865" t="s">
        <v>95</v>
      </c>
      <c r="J1865" t="s">
        <v>1005</v>
      </c>
      <c r="L1865" t="s">
        <v>7234</v>
      </c>
      <c r="M1865" t="s">
        <v>1871</v>
      </c>
    </row>
    <row r="1866" spans="9:13" x14ac:dyDescent="0.25">
      <c r="I1866" t="s">
        <v>137</v>
      </c>
      <c r="J1866" t="s">
        <v>1438</v>
      </c>
      <c r="L1866" t="s">
        <v>37</v>
      </c>
      <c r="M1866" t="s">
        <v>7923</v>
      </c>
    </row>
    <row r="1867" spans="9:13" x14ac:dyDescent="0.25">
      <c r="I1867" t="s">
        <v>393</v>
      </c>
      <c r="J1867" t="s">
        <v>6793</v>
      </c>
      <c r="L1867" t="s">
        <v>37</v>
      </c>
      <c r="M1867" t="s">
        <v>7942</v>
      </c>
    </row>
    <row r="1868" spans="9:13" x14ac:dyDescent="0.25">
      <c r="I1868" t="s">
        <v>39</v>
      </c>
      <c r="J1868" t="s">
        <v>6297</v>
      </c>
      <c r="L1868" t="s">
        <v>36</v>
      </c>
      <c r="M1868" t="s">
        <v>6882</v>
      </c>
    </row>
    <row r="1869" spans="9:13" x14ac:dyDescent="0.25">
      <c r="I1869" t="s">
        <v>4929</v>
      </c>
      <c r="J1869" t="s">
        <v>956</v>
      </c>
      <c r="L1869" t="s">
        <v>586</v>
      </c>
      <c r="M1869" t="s">
        <v>4216</v>
      </c>
    </row>
    <row r="1870" spans="9:13" x14ac:dyDescent="0.25">
      <c r="I1870" t="s">
        <v>393</v>
      </c>
      <c r="J1870" t="s">
        <v>6780</v>
      </c>
      <c r="L1870" t="s">
        <v>2720</v>
      </c>
      <c r="M1870" t="s">
        <v>7262</v>
      </c>
    </row>
    <row r="1871" spans="9:13" x14ac:dyDescent="0.25">
      <c r="I1871" t="s">
        <v>6812</v>
      </c>
      <c r="J1871" t="s">
        <v>1620</v>
      </c>
      <c r="L1871" t="s">
        <v>22</v>
      </c>
      <c r="M1871" t="s">
        <v>1989</v>
      </c>
    </row>
    <row r="1872" spans="9:13" x14ac:dyDescent="0.25">
      <c r="I1872" t="s">
        <v>257</v>
      </c>
      <c r="J1872" t="s">
        <v>1153</v>
      </c>
      <c r="L1872" t="s">
        <v>586</v>
      </c>
      <c r="M1872" t="s">
        <v>4304</v>
      </c>
    </row>
    <row r="1873" spans="9:13" x14ac:dyDescent="0.25">
      <c r="I1873" t="s">
        <v>318</v>
      </c>
      <c r="J1873" t="s">
        <v>6207</v>
      </c>
      <c r="L1873" t="s">
        <v>306</v>
      </c>
      <c r="M1873" t="s">
        <v>1859</v>
      </c>
    </row>
    <row r="1874" spans="9:13" x14ac:dyDescent="0.25">
      <c r="I1874" t="s">
        <v>6692</v>
      </c>
      <c r="J1874" t="s">
        <v>6693</v>
      </c>
      <c r="L1874" t="s">
        <v>393</v>
      </c>
      <c r="M1874" t="s">
        <v>3159</v>
      </c>
    </row>
    <row r="1875" spans="9:13" x14ac:dyDescent="0.25">
      <c r="I1875" t="s">
        <v>548</v>
      </c>
      <c r="J1875" t="s">
        <v>5750</v>
      </c>
      <c r="L1875" t="s">
        <v>7076</v>
      </c>
      <c r="M1875" t="s">
        <v>1777</v>
      </c>
    </row>
    <row r="1876" spans="9:13" x14ac:dyDescent="0.25">
      <c r="I1876" t="s">
        <v>393</v>
      </c>
      <c r="J1876" t="s">
        <v>6184</v>
      </c>
      <c r="L1876" t="s">
        <v>2720</v>
      </c>
      <c r="M1876" t="s">
        <v>7857</v>
      </c>
    </row>
    <row r="1877" spans="9:13" x14ac:dyDescent="0.25">
      <c r="I1877" t="s">
        <v>2741</v>
      </c>
      <c r="J1877" t="s">
        <v>2939</v>
      </c>
      <c r="L1877" t="s">
        <v>22</v>
      </c>
      <c r="M1877" t="s">
        <v>1944</v>
      </c>
    </row>
    <row r="1878" spans="9:13" x14ac:dyDescent="0.25">
      <c r="I1878" t="s">
        <v>2741</v>
      </c>
      <c r="J1878" t="s">
        <v>2833</v>
      </c>
      <c r="L1878" t="s">
        <v>7061</v>
      </c>
      <c r="M1878" t="s">
        <v>7062</v>
      </c>
    </row>
    <row r="1879" spans="9:13" x14ac:dyDescent="0.25">
      <c r="I1879" t="s">
        <v>2741</v>
      </c>
      <c r="J1879" t="s">
        <v>2980</v>
      </c>
      <c r="L1879" t="s">
        <v>4543</v>
      </c>
      <c r="M1879" t="s">
        <v>1741</v>
      </c>
    </row>
    <row r="1880" spans="9:13" x14ac:dyDescent="0.25">
      <c r="I1880" t="s">
        <v>393</v>
      </c>
      <c r="J1880" t="s">
        <v>5394</v>
      </c>
      <c r="L1880" t="s">
        <v>37</v>
      </c>
      <c r="M1880" t="s">
        <v>7633</v>
      </c>
    </row>
    <row r="1881" spans="9:13" x14ac:dyDescent="0.25">
      <c r="I1881" t="s">
        <v>311</v>
      </c>
      <c r="J1881" t="s">
        <v>1003</v>
      </c>
      <c r="L1881" t="s">
        <v>396</v>
      </c>
      <c r="M1881" t="s">
        <v>7678</v>
      </c>
    </row>
    <row r="1882" spans="9:13" x14ac:dyDescent="0.25">
      <c r="I1882" t="s">
        <v>306</v>
      </c>
      <c r="J1882" t="s">
        <v>1294</v>
      </c>
      <c r="L1882" t="s">
        <v>37</v>
      </c>
      <c r="M1882" t="s">
        <v>7005</v>
      </c>
    </row>
    <row r="1883" spans="9:13" x14ac:dyDescent="0.25">
      <c r="I1883" t="s">
        <v>306</v>
      </c>
      <c r="J1883" t="s">
        <v>1596</v>
      </c>
      <c r="L1883" t="s">
        <v>36</v>
      </c>
      <c r="M1883" t="s">
        <v>7639</v>
      </c>
    </row>
    <row r="1884" spans="9:13" x14ac:dyDescent="0.25">
      <c r="I1884" t="s">
        <v>289</v>
      </c>
      <c r="J1884" t="s">
        <v>985</v>
      </c>
      <c r="L1884" t="s">
        <v>7444</v>
      </c>
      <c r="M1884" t="s">
        <v>7522</v>
      </c>
    </row>
    <row r="1885" spans="9:13" x14ac:dyDescent="0.25">
      <c r="I1885" t="s">
        <v>3854</v>
      </c>
      <c r="J1885" t="s">
        <v>6160</v>
      </c>
      <c r="L1885" t="s">
        <v>400</v>
      </c>
      <c r="M1885" t="s">
        <v>1912</v>
      </c>
    </row>
    <row r="1886" spans="9:13" x14ac:dyDescent="0.25">
      <c r="I1886" t="s">
        <v>90</v>
      </c>
      <c r="J1886" t="s">
        <v>1195</v>
      </c>
      <c r="L1886" t="s">
        <v>4749</v>
      </c>
      <c r="M1886" t="s">
        <v>1896</v>
      </c>
    </row>
    <row r="1887" spans="9:13" x14ac:dyDescent="0.25">
      <c r="I1887" t="s">
        <v>400</v>
      </c>
      <c r="J1887" t="s">
        <v>1136</v>
      </c>
      <c r="L1887" t="s">
        <v>7061</v>
      </c>
      <c r="M1887" t="s">
        <v>7785</v>
      </c>
    </row>
    <row r="1888" spans="9:13" x14ac:dyDescent="0.25">
      <c r="I1888" t="s">
        <v>393</v>
      </c>
      <c r="J1888" t="s">
        <v>5422</v>
      </c>
      <c r="L1888" t="s">
        <v>7197</v>
      </c>
      <c r="M1888" t="s">
        <v>7940</v>
      </c>
    </row>
    <row r="1889" spans="9:13" x14ac:dyDescent="0.25">
      <c r="I1889" t="s">
        <v>5800</v>
      </c>
      <c r="J1889" t="s">
        <v>1070</v>
      </c>
      <c r="L1889" t="s">
        <v>586</v>
      </c>
      <c r="M1889" t="s">
        <v>4166</v>
      </c>
    </row>
    <row r="1890" spans="9:13" x14ac:dyDescent="0.25">
      <c r="I1890" t="s">
        <v>393</v>
      </c>
      <c r="J1890" t="s">
        <v>1351</v>
      </c>
      <c r="L1890" t="s">
        <v>586</v>
      </c>
      <c r="M1890" t="s">
        <v>4303</v>
      </c>
    </row>
    <row r="1891" spans="9:13" x14ac:dyDescent="0.25">
      <c r="I1891" t="s">
        <v>6177</v>
      </c>
      <c r="J1891" t="s">
        <v>1270</v>
      </c>
      <c r="L1891" t="s">
        <v>37</v>
      </c>
      <c r="M1891" t="s">
        <v>6971</v>
      </c>
    </row>
    <row r="1892" spans="9:13" x14ac:dyDescent="0.25">
      <c r="I1892" t="s">
        <v>313</v>
      </c>
      <c r="J1892" t="s">
        <v>1516</v>
      </c>
      <c r="L1892" t="s">
        <v>586</v>
      </c>
      <c r="M1892" t="s">
        <v>4286</v>
      </c>
    </row>
    <row r="1893" spans="9:13" x14ac:dyDescent="0.25">
      <c r="I1893" t="s">
        <v>3916</v>
      </c>
      <c r="J1893" t="s">
        <v>3996</v>
      </c>
      <c r="L1893" t="s">
        <v>7331</v>
      </c>
      <c r="M1893" t="s">
        <v>1911</v>
      </c>
    </row>
    <row r="1894" spans="9:13" x14ac:dyDescent="0.25">
      <c r="I1894" t="s">
        <v>5937</v>
      </c>
      <c r="J1894" t="s">
        <v>5938</v>
      </c>
      <c r="L1894" t="s">
        <v>37</v>
      </c>
      <c r="M1894" t="s">
        <v>7096</v>
      </c>
    </row>
    <row r="1895" spans="9:13" x14ac:dyDescent="0.25">
      <c r="I1895" t="s">
        <v>280</v>
      </c>
      <c r="J1895" t="s">
        <v>5425</v>
      </c>
      <c r="L1895" t="s">
        <v>37</v>
      </c>
      <c r="M1895" t="s">
        <v>3167</v>
      </c>
    </row>
    <row r="1896" spans="9:13" x14ac:dyDescent="0.25">
      <c r="I1896" t="s">
        <v>5891</v>
      </c>
      <c r="J1896" t="s">
        <v>2836</v>
      </c>
      <c r="L1896" t="s">
        <v>396</v>
      </c>
      <c r="M1896" t="s">
        <v>7797</v>
      </c>
    </row>
    <row r="1897" spans="9:13" x14ac:dyDescent="0.25">
      <c r="I1897" t="s">
        <v>356</v>
      </c>
      <c r="J1897" t="s">
        <v>4016</v>
      </c>
      <c r="L1897" t="s">
        <v>3854</v>
      </c>
      <c r="M1897" t="s">
        <v>4252</v>
      </c>
    </row>
    <row r="1898" spans="9:13" x14ac:dyDescent="0.25">
      <c r="I1898" t="s">
        <v>393</v>
      </c>
      <c r="J1898" t="s">
        <v>971</v>
      </c>
      <c r="L1898" t="s">
        <v>4812</v>
      </c>
      <c r="M1898" t="s">
        <v>7023</v>
      </c>
    </row>
    <row r="1899" spans="9:13" x14ac:dyDescent="0.25">
      <c r="I1899" t="s">
        <v>2741</v>
      </c>
      <c r="J1899" t="s">
        <v>2983</v>
      </c>
      <c r="L1899" t="s">
        <v>586</v>
      </c>
      <c r="M1899" t="s">
        <v>4240</v>
      </c>
    </row>
    <row r="1900" spans="9:13" x14ac:dyDescent="0.25">
      <c r="I1900" t="s">
        <v>2741</v>
      </c>
      <c r="J1900" t="s">
        <v>2972</v>
      </c>
      <c r="L1900" t="s">
        <v>7197</v>
      </c>
      <c r="M1900" t="s">
        <v>7669</v>
      </c>
    </row>
    <row r="1901" spans="9:13" x14ac:dyDescent="0.25">
      <c r="I1901" t="s">
        <v>276</v>
      </c>
      <c r="J1901" t="s">
        <v>1369</v>
      </c>
      <c r="L1901" t="s">
        <v>4812</v>
      </c>
      <c r="M1901" t="s">
        <v>7788</v>
      </c>
    </row>
    <row r="1902" spans="9:13" x14ac:dyDescent="0.25">
      <c r="I1902" t="s">
        <v>286</v>
      </c>
      <c r="J1902" t="s">
        <v>6469</v>
      </c>
      <c r="L1902" t="s">
        <v>46</v>
      </c>
      <c r="M1902" t="s">
        <v>2614</v>
      </c>
    </row>
    <row r="1903" spans="9:13" x14ac:dyDescent="0.25">
      <c r="I1903" t="s">
        <v>5287</v>
      </c>
      <c r="J1903" t="s">
        <v>5496</v>
      </c>
      <c r="L1903" t="s">
        <v>2720</v>
      </c>
      <c r="M1903" t="s">
        <v>2158</v>
      </c>
    </row>
    <row r="1904" spans="9:13" x14ac:dyDescent="0.25">
      <c r="I1904" t="s">
        <v>400</v>
      </c>
      <c r="J1904" t="s">
        <v>2377</v>
      </c>
      <c r="L1904" t="s">
        <v>2720</v>
      </c>
      <c r="M1904" t="s">
        <v>7004</v>
      </c>
    </row>
    <row r="1905" spans="9:13" x14ac:dyDescent="0.25">
      <c r="I1905" t="s">
        <v>356</v>
      </c>
      <c r="J1905" t="s">
        <v>4071</v>
      </c>
      <c r="L1905" t="s">
        <v>400</v>
      </c>
      <c r="M1905" t="s">
        <v>2162</v>
      </c>
    </row>
    <row r="1906" spans="9:13" x14ac:dyDescent="0.25">
      <c r="I1906" t="s">
        <v>4929</v>
      </c>
      <c r="J1906" t="s">
        <v>5737</v>
      </c>
      <c r="L1906" t="s">
        <v>4812</v>
      </c>
      <c r="M1906" t="s">
        <v>7854</v>
      </c>
    </row>
    <row r="1907" spans="9:13" x14ac:dyDescent="0.25">
      <c r="I1907" t="s">
        <v>254</v>
      </c>
      <c r="J1907" t="s">
        <v>6068</v>
      </c>
      <c r="L1907" t="s">
        <v>457</v>
      </c>
      <c r="M1907" t="s">
        <v>7584</v>
      </c>
    </row>
    <row r="1908" spans="9:13" x14ac:dyDescent="0.25">
      <c r="I1908" t="s">
        <v>5290</v>
      </c>
      <c r="J1908" t="s">
        <v>5291</v>
      </c>
      <c r="L1908" t="s">
        <v>393</v>
      </c>
      <c r="M1908" t="s">
        <v>1765</v>
      </c>
    </row>
    <row r="1909" spans="9:13" x14ac:dyDescent="0.25">
      <c r="I1909" t="s">
        <v>311</v>
      </c>
      <c r="J1909" t="s">
        <v>835</v>
      </c>
      <c r="L1909" t="s">
        <v>22</v>
      </c>
      <c r="M1909" t="s">
        <v>1913</v>
      </c>
    </row>
    <row r="1910" spans="9:13" x14ac:dyDescent="0.25">
      <c r="I1910" t="s">
        <v>6457</v>
      </c>
      <c r="J1910" t="s">
        <v>1424</v>
      </c>
      <c r="L1910" t="s">
        <v>37</v>
      </c>
      <c r="M1910" t="s">
        <v>7729</v>
      </c>
    </row>
    <row r="1911" spans="9:13" x14ac:dyDescent="0.25">
      <c r="I1911" t="s">
        <v>356</v>
      </c>
      <c r="J1911" t="s">
        <v>3950</v>
      </c>
      <c r="L1911" t="s">
        <v>393</v>
      </c>
      <c r="M1911" t="s">
        <v>4299</v>
      </c>
    </row>
    <row r="1912" spans="9:13" x14ac:dyDescent="0.25">
      <c r="I1912" t="s">
        <v>47</v>
      </c>
      <c r="J1912" t="s">
        <v>1155</v>
      </c>
      <c r="L1912" t="s">
        <v>37</v>
      </c>
      <c r="M1912" t="s">
        <v>1847</v>
      </c>
    </row>
    <row r="1913" spans="9:13" x14ac:dyDescent="0.25">
      <c r="I1913" t="s">
        <v>90</v>
      </c>
      <c r="J1913" t="s">
        <v>5624</v>
      </c>
      <c r="L1913" t="s">
        <v>306</v>
      </c>
      <c r="M1913" t="s">
        <v>1816</v>
      </c>
    </row>
    <row r="1914" spans="9:13" x14ac:dyDescent="0.25">
      <c r="I1914" t="s">
        <v>346</v>
      </c>
      <c r="J1914" t="s">
        <v>1478</v>
      </c>
      <c r="L1914" t="s">
        <v>4812</v>
      </c>
      <c r="M1914" t="s">
        <v>7649</v>
      </c>
    </row>
    <row r="1915" spans="9:13" x14ac:dyDescent="0.25">
      <c r="I1915" t="s">
        <v>356</v>
      </c>
      <c r="J1915" t="s">
        <v>5584</v>
      </c>
      <c r="L1915" t="s">
        <v>393</v>
      </c>
      <c r="M1915" t="s">
        <v>2122</v>
      </c>
    </row>
    <row r="1916" spans="9:13" x14ac:dyDescent="0.25">
      <c r="I1916" t="s">
        <v>95</v>
      </c>
      <c r="J1916" t="s">
        <v>1248</v>
      </c>
      <c r="L1916" t="s">
        <v>7912</v>
      </c>
      <c r="M1916" t="s">
        <v>2315</v>
      </c>
    </row>
    <row r="1917" spans="9:13" x14ac:dyDescent="0.25">
      <c r="I1917" t="s">
        <v>393</v>
      </c>
      <c r="J1917" t="s">
        <v>5900</v>
      </c>
      <c r="L1917" t="s">
        <v>7094</v>
      </c>
      <c r="M1917" t="s">
        <v>1924</v>
      </c>
    </row>
    <row r="1918" spans="9:13" x14ac:dyDescent="0.25">
      <c r="I1918" t="s">
        <v>5241</v>
      </c>
      <c r="J1918" t="s">
        <v>5242</v>
      </c>
      <c r="L1918" t="s">
        <v>280</v>
      </c>
      <c r="M1918" t="s">
        <v>2273</v>
      </c>
    </row>
    <row r="1919" spans="9:13" x14ac:dyDescent="0.25">
      <c r="I1919" t="s">
        <v>257</v>
      </c>
      <c r="J1919" t="s">
        <v>6822</v>
      </c>
      <c r="L1919" t="s">
        <v>280</v>
      </c>
      <c r="M1919" t="s">
        <v>2605</v>
      </c>
    </row>
    <row r="1920" spans="9:13" x14ac:dyDescent="0.25">
      <c r="I1920" t="s">
        <v>5272</v>
      </c>
      <c r="J1920" t="s">
        <v>801</v>
      </c>
      <c r="L1920" t="s">
        <v>393</v>
      </c>
      <c r="M1920" t="s">
        <v>4200</v>
      </c>
    </row>
    <row r="1921" spans="9:13" x14ac:dyDescent="0.25">
      <c r="I1921" t="s">
        <v>21</v>
      </c>
      <c r="J1921" t="s">
        <v>884</v>
      </c>
      <c r="L1921" t="s">
        <v>7523</v>
      </c>
      <c r="M1921" t="s">
        <v>2048</v>
      </c>
    </row>
    <row r="1922" spans="9:13" x14ac:dyDescent="0.25">
      <c r="I1922" t="s">
        <v>289</v>
      </c>
      <c r="J1922" t="s">
        <v>866</v>
      </c>
      <c r="L1922" t="s">
        <v>457</v>
      </c>
      <c r="M1922" t="s">
        <v>7366</v>
      </c>
    </row>
    <row r="1923" spans="9:13" x14ac:dyDescent="0.25">
      <c r="I1923" t="s">
        <v>548</v>
      </c>
      <c r="J1923" t="s">
        <v>6152</v>
      </c>
      <c r="L1923" t="s">
        <v>457</v>
      </c>
      <c r="M1923" t="s">
        <v>1790</v>
      </c>
    </row>
    <row r="1924" spans="9:13" x14ac:dyDescent="0.25">
      <c r="I1924" t="s">
        <v>393</v>
      </c>
      <c r="J1924" t="s">
        <v>1392</v>
      </c>
      <c r="L1924" t="s">
        <v>2720</v>
      </c>
      <c r="M1924" t="s">
        <v>7271</v>
      </c>
    </row>
    <row r="1925" spans="9:13" x14ac:dyDescent="0.25">
      <c r="I1925" t="s">
        <v>289</v>
      </c>
      <c r="J1925" t="s">
        <v>1340</v>
      </c>
      <c r="L1925" t="s">
        <v>22</v>
      </c>
      <c r="M1925" t="s">
        <v>1883</v>
      </c>
    </row>
    <row r="1926" spans="9:13" x14ac:dyDescent="0.25">
      <c r="I1926" t="s">
        <v>548</v>
      </c>
      <c r="J1926" t="s">
        <v>6844</v>
      </c>
      <c r="L1926" t="s">
        <v>457</v>
      </c>
      <c r="M1926" t="s">
        <v>7702</v>
      </c>
    </row>
    <row r="1927" spans="9:13" x14ac:dyDescent="0.25">
      <c r="I1927" t="s">
        <v>318</v>
      </c>
      <c r="J1927" t="s">
        <v>5420</v>
      </c>
      <c r="L1927" t="s">
        <v>460</v>
      </c>
      <c r="M1927" t="s">
        <v>7406</v>
      </c>
    </row>
    <row r="1928" spans="9:13" x14ac:dyDescent="0.25">
      <c r="I1928" t="s">
        <v>313</v>
      </c>
      <c r="J1928" t="s">
        <v>1042</v>
      </c>
      <c r="L1928" t="s">
        <v>7289</v>
      </c>
      <c r="M1928" t="s">
        <v>1892</v>
      </c>
    </row>
    <row r="1929" spans="9:13" x14ac:dyDescent="0.25">
      <c r="I1929" t="s">
        <v>313</v>
      </c>
      <c r="J1929" t="s">
        <v>6597</v>
      </c>
      <c r="L1929" t="s">
        <v>3854</v>
      </c>
      <c r="M1929" t="s">
        <v>4229</v>
      </c>
    </row>
    <row r="1930" spans="9:13" x14ac:dyDescent="0.25">
      <c r="I1930" t="s">
        <v>400</v>
      </c>
      <c r="J1930" t="s">
        <v>5503</v>
      </c>
      <c r="L1930" t="s">
        <v>4430</v>
      </c>
      <c r="M1930" t="s">
        <v>7431</v>
      </c>
    </row>
    <row r="1931" spans="9:13" x14ac:dyDescent="0.25">
      <c r="I1931" t="s">
        <v>90</v>
      </c>
      <c r="J1931" t="s">
        <v>1347</v>
      </c>
      <c r="L1931" t="s">
        <v>459</v>
      </c>
      <c r="M1931" t="s">
        <v>7210</v>
      </c>
    </row>
    <row r="1932" spans="9:13" x14ac:dyDescent="0.25">
      <c r="I1932" t="s">
        <v>5302</v>
      </c>
      <c r="J1932" t="s">
        <v>5303</v>
      </c>
      <c r="L1932" t="s">
        <v>313</v>
      </c>
      <c r="M1932" t="s">
        <v>2209</v>
      </c>
    </row>
    <row r="1933" spans="9:13" x14ac:dyDescent="0.25">
      <c r="I1933" t="s">
        <v>6239</v>
      </c>
      <c r="J1933" t="s">
        <v>1307</v>
      </c>
      <c r="L1933" t="s">
        <v>7191</v>
      </c>
      <c r="M1933" t="s">
        <v>1848</v>
      </c>
    </row>
    <row r="1934" spans="9:13" x14ac:dyDescent="0.25">
      <c r="I1934" t="s">
        <v>6489</v>
      </c>
      <c r="J1934" t="s">
        <v>1444</v>
      </c>
      <c r="L1934" t="s">
        <v>41</v>
      </c>
      <c r="M1934" t="s">
        <v>2307</v>
      </c>
    </row>
    <row r="1935" spans="9:13" x14ac:dyDescent="0.25">
      <c r="I1935" t="s">
        <v>398</v>
      </c>
      <c r="J1935" t="s">
        <v>6316</v>
      </c>
      <c r="L1935" t="s">
        <v>6118</v>
      </c>
      <c r="M1935" t="s">
        <v>7764</v>
      </c>
    </row>
    <row r="1936" spans="9:13" x14ac:dyDescent="0.25">
      <c r="I1936" t="s">
        <v>289</v>
      </c>
      <c r="J1936" t="s">
        <v>1237</v>
      </c>
      <c r="L1936" t="s">
        <v>6939</v>
      </c>
      <c r="M1936" t="s">
        <v>6940</v>
      </c>
    </row>
    <row r="1937" spans="9:13" x14ac:dyDescent="0.25">
      <c r="I1937" t="s">
        <v>280</v>
      </c>
      <c r="J1937" t="s">
        <v>2891</v>
      </c>
      <c r="L1937" t="s">
        <v>3854</v>
      </c>
      <c r="M1937" t="s">
        <v>4139</v>
      </c>
    </row>
    <row r="1938" spans="9:13" x14ac:dyDescent="0.25">
      <c r="I1938" t="s">
        <v>2729</v>
      </c>
      <c r="J1938" t="s">
        <v>4013</v>
      </c>
      <c r="L1938" t="s">
        <v>37</v>
      </c>
      <c r="M1938" t="s">
        <v>1864</v>
      </c>
    </row>
    <row r="1939" spans="9:13" x14ac:dyDescent="0.25">
      <c r="I1939" t="s">
        <v>90</v>
      </c>
      <c r="J1939" t="s">
        <v>6119</v>
      </c>
      <c r="L1939" t="s">
        <v>4561</v>
      </c>
      <c r="M1939" t="s">
        <v>3177</v>
      </c>
    </row>
    <row r="1940" spans="9:13" x14ac:dyDescent="0.25">
      <c r="I1940" t="s">
        <v>3854</v>
      </c>
      <c r="J1940" t="s">
        <v>4030</v>
      </c>
      <c r="L1940" t="s">
        <v>4146</v>
      </c>
      <c r="M1940" t="s">
        <v>4237</v>
      </c>
    </row>
    <row r="1941" spans="9:13" x14ac:dyDescent="0.25">
      <c r="I1941" t="s">
        <v>313</v>
      </c>
      <c r="J1941" t="s">
        <v>852</v>
      </c>
      <c r="L1941" t="s">
        <v>7402</v>
      </c>
      <c r="M1941" t="s">
        <v>1961</v>
      </c>
    </row>
    <row r="1942" spans="9:13" x14ac:dyDescent="0.25">
      <c r="I1942" t="s">
        <v>289</v>
      </c>
      <c r="J1942" t="s">
        <v>1549</v>
      </c>
      <c r="L1942" t="s">
        <v>280</v>
      </c>
      <c r="M1942" t="s">
        <v>2568</v>
      </c>
    </row>
    <row r="1943" spans="9:13" x14ac:dyDescent="0.25">
      <c r="I1943" t="s">
        <v>6770</v>
      </c>
      <c r="J1943" t="s">
        <v>1595</v>
      </c>
      <c r="L1943" t="s">
        <v>280</v>
      </c>
      <c r="M1943" t="s">
        <v>2266</v>
      </c>
    </row>
    <row r="1944" spans="9:13" x14ac:dyDescent="0.25">
      <c r="I1944" t="s">
        <v>39</v>
      </c>
      <c r="J1944" t="s">
        <v>1213</v>
      </c>
      <c r="L1944" t="s">
        <v>313</v>
      </c>
      <c r="M1944" t="s">
        <v>2140</v>
      </c>
    </row>
    <row r="1945" spans="9:13" x14ac:dyDescent="0.25">
      <c r="I1945" t="s">
        <v>4929</v>
      </c>
      <c r="J1945" t="s">
        <v>771</v>
      </c>
      <c r="L1945" t="s">
        <v>7173</v>
      </c>
      <c r="M1945" t="s">
        <v>4183</v>
      </c>
    </row>
    <row r="1946" spans="9:13" x14ac:dyDescent="0.25">
      <c r="I1946" t="s">
        <v>37</v>
      </c>
      <c r="J1946" t="s">
        <v>1185</v>
      </c>
      <c r="L1946" t="s">
        <v>460</v>
      </c>
      <c r="M1946" t="s">
        <v>7619</v>
      </c>
    </row>
    <row r="1947" spans="9:13" x14ac:dyDescent="0.25">
      <c r="I1947" t="s">
        <v>313</v>
      </c>
      <c r="J1947" t="s">
        <v>5703</v>
      </c>
      <c r="L1947" t="s">
        <v>37</v>
      </c>
      <c r="M1947" t="s">
        <v>3230</v>
      </c>
    </row>
    <row r="1948" spans="9:13" x14ac:dyDescent="0.25">
      <c r="I1948" t="s">
        <v>311</v>
      </c>
      <c r="J1948" t="s">
        <v>1625</v>
      </c>
    </row>
    <row r="1949" spans="9:13" x14ac:dyDescent="0.25">
      <c r="I1949" t="s">
        <v>5743</v>
      </c>
      <c r="J1949" t="s">
        <v>1376</v>
      </c>
    </row>
    <row r="1950" spans="9:13" x14ac:dyDescent="0.25">
      <c r="I1950" t="s">
        <v>46</v>
      </c>
      <c r="J1950" t="s">
        <v>1363</v>
      </c>
    </row>
    <row r="1951" spans="9:13" x14ac:dyDescent="0.25">
      <c r="I1951" t="s">
        <v>95</v>
      </c>
      <c r="J1951" t="s">
        <v>4069</v>
      </c>
    </row>
    <row r="1952" spans="9:13" x14ac:dyDescent="0.25">
      <c r="I1952" t="s">
        <v>548</v>
      </c>
      <c r="J1952" t="s">
        <v>5890</v>
      </c>
    </row>
    <row r="1953" spans="9:10" x14ac:dyDescent="0.25">
      <c r="I1953" t="s">
        <v>37</v>
      </c>
      <c r="J1953" t="s">
        <v>1128</v>
      </c>
    </row>
    <row r="1954" spans="9:10" x14ac:dyDescent="0.25">
      <c r="I1954" t="s">
        <v>5698</v>
      </c>
      <c r="J1954" t="s">
        <v>5699</v>
      </c>
    </row>
    <row r="1955" spans="9:10" x14ac:dyDescent="0.25">
      <c r="I1955" t="s">
        <v>90</v>
      </c>
      <c r="J1955" t="s">
        <v>5351</v>
      </c>
    </row>
    <row r="1956" spans="9:10" x14ac:dyDescent="0.25">
      <c r="I1956" t="s">
        <v>46</v>
      </c>
      <c r="J1956" t="s">
        <v>1066</v>
      </c>
    </row>
    <row r="1957" spans="9:10" x14ac:dyDescent="0.25">
      <c r="I1957" t="s">
        <v>6525</v>
      </c>
      <c r="J1957" t="s">
        <v>1470</v>
      </c>
    </row>
    <row r="1958" spans="9:10" x14ac:dyDescent="0.25">
      <c r="I1958" t="s">
        <v>254</v>
      </c>
      <c r="J1958" t="s">
        <v>6451</v>
      </c>
    </row>
    <row r="1959" spans="9:10" x14ac:dyDescent="0.25">
      <c r="I1959" t="s">
        <v>137</v>
      </c>
      <c r="J1959" t="s">
        <v>1279</v>
      </c>
    </row>
    <row r="1960" spans="9:10" x14ac:dyDescent="0.25">
      <c r="I1960" t="s">
        <v>289</v>
      </c>
      <c r="J1960" t="s">
        <v>1124</v>
      </c>
    </row>
    <row r="1961" spans="9:10" x14ac:dyDescent="0.25">
      <c r="I1961" t="s">
        <v>36</v>
      </c>
      <c r="J1961" t="s">
        <v>6126</v>
      </c>
    </row>
    <row r="1962" spans="9:10" x14ac:dyDescent="0.25">
      <c r="I1962" t="s">
        <v>286</v>
      </c>
      <c r="J1962" t="s">
        <v>5893</v>
      </c>
    </row>
    <row r="1963" spans="9:10" x14ac:dyDescent="0.25">
      <c r="I1963" t="s">
        <v>253</v>
      </c>
      <c r="J1963" t="s">
        <v>1341</v>
      </c>
    </row>
    <row r="1964" spans="9:10" x14ac:dyDescent="0.25">
      <c r="I1964" t="s">
        <v>6046</v>
      </c>
      <c r="J1964" t="s">
        <v>2856</v>
      </c>
    </row>
    <row r="1965" spans="9:10" x14ac:dyDescent="0.25">
      <c r="I1965" t="s">
        <v>22</v>
      </c>
      <c r="J1965" t="s">
        <v>1065</v>
      </c>
    </row>
    <row r="1966" spans="9:10" x14ac:dyDescent="0.25">
      <c r="I1966" t="s">
        <v>6739</v>
      </c>
      <c r="J1966" t="s">
        <v>2978</v>
      </c>
    </row>
    <row r="1967" spans="9:10" x14ac:dyDescent="0.25">
      <c r="I1967" t="s">
        <v>306</v>
      </c>
      <c r="J1967" t="s">
        <v>788</v>
      </c>
    </row>
    <row r="1968" spans="9:10" x14ac:dyDescent="0.25">
      <c r="I1968" t="s">
        <v>5819</v>
      </c>
      <c r="J1968" t="s">
        <v>1078</v>
      </c>
    </row>
    <row r="1969" spans="9:10" x14ac:dyDescent="0.25">
      <c r="I1969" t="s">
        <v>356</v>
      </c>
      <c r="J1969" t="s">
        <v>4020</v>
      </c>
    </row>
    <row r="1970" spans="9:10" x14ac:dyDescent="0.25">
      <c r="I1970" t="s">
        <v>253</v>
      </c>
      <c r="J1970" t="s">
        <v>907</v>
      </c>
    </row>
    <row r="1971" spans="9:10" x14ac:dyDescent="0.25">
      <c r="I1971" t="s">
        <v>393</v>
      </c>
      <c r="J1971" t="s">
        <v>1313</v>
      </c>
    </row>
    <row r="1972" spans="9:10" x14ac:dyDescent="0.25">
      <c r="I1972" t="s">
        <v>289</v>
      </c>
      <c r="J1972" t="s">
        <v>6385</v>
      </c>
    </row>
    <row r="1973" spans="9:10" x14ac:dyDescent="0.25">
      <c r="I1973" t="s">
        <v>5785</v>
      </c>
      <c r="J1973" t="s">
        <v>5786</v>
      </c>
    </row>
    <row r="1974" spans="9:10" x14ac:dyDescent="0.25">
      <c r="I1974" t="s">
        <v>3916</v>
      </c>
      <c r="J1974" t="s">
        <v>4014</v>
      </c>
    </row>
    <row r="1975" spans="9:10" x14ac:dyDescent="0.25">
      <c r="I1975" t="s">
        <v>286</v>
      </c>
      <c r="J1975" t="s">
        <v>1346</v>
      </c>
    </row>
    <row r="1976" spans="9:10" x14ac:dyDescent="0.25">
      <c r="I1976" t="s">
        <v>5251</v>
      </c>
      <c r="J1976" t="s">
        <v>6351</v>
      </c>
    </row>
    <row r="1977" spans="9:10" x14ac:dyDescent="0.25">
      <c r="I1977" t="s">
        <v>3916</v>
      </c>
      <c r="J1977" t="s">
        <v>3918</v>
      </c>
    </row>
    <row r="1978" spans="9:10" x14ac:dyDescent="0.25">
      <c r="I1978" t="s">
        <v>313</v>
      </c>
      <c r="J1978" t="s">
        <v>6072</v>
      </c>
    </row>
    <row r="1979" spans="9:10" x14ac:dyDescent="0.25">
      <c r="I1979" t="s">
        <v>400</v>
      </c>
      <c r="J1979" t="s">
        <v>6186</v>
      </c>
    </row>
    <row r="1980" spans="9:10" x14ac:dyDescent="0.25">
      <c r="I1980" t="s">
        <v>295</v>
      </c>
      <c r="J1980" t="s">
        <v>2364</v>
      </c>
    </row>
    <row r="1981" spans="9:10" x14ac:dyDescent="0.25">
      <c r="I1981" t="s">
        <v>393</v>
      </c>
      <c r="J1981" t="s">
        <v>972</v>
      </c>
    </row>
    <row r="1982" spans="9:10" x14ac:dyDescent="0.25">
      <c r="I1982" t="s">
        <v>309</v>
      </c>
      <c r="J1982" t="s">
        <v>1174</v>
      </c>
    </row>
    <row r="1983" spans="9:10" x14ac:dyDescent="0.25">
      <c r="I1983" t="s">
        <v>3854</v>
      </c>
      <c r="J1983" t="s">
        <v>3998</v>
      </c>
    </row>
    <row r="1984" spans="9:10" x14ac:dyDescent="0.25">
      <c r="I1984" t="s">
        <v>356</v>
      </c>
      <c r="J1984" t="s">
        <v>6747</v>
      </c>
    </row>
    <row r="1985" spans="9:10" x14ac:dyDescent="0.25">
      <c r="I1985" t="s">
        <v>6783</v>
      </c>
      <c r="J1985" t="s">
        <v>1602</v>
      </c>
    </row>
    <row r="1986" spans="9:10" x14ac:dyDescent="0.25">
      <c r="I1986" t="s">
        <v>39</v>
      </c>
      <c r="J1986" t="s">
        <v>6803</v>
      </c>
    </row>
    <row r="1987" spans="9:10" x14ac:dyDescent="0.25">
      <c r="I1987" t="s">
        <v>548</v>
      </c>
      <c r="J1987" t="s">
        <v>5414</v>
      </c>
    </row>
    <row r="1988" spans="9:10" x14ac:dyDescent="0.25">
      <c r="I1988" t="s">
        <v>289</v>
      </c>
      <c r="J1988" t="s">
        <v>6754</v>
      </c>
    </row>
    <row r="1989" spans="9:10" x14ac:dyDescent="0.25">
      <c r="I1989" t="s">
        <v>39</v>
      </c>
      <c r="J1989" t="s">
        <v>6110</v>
      </c>
    </row>
    <row r="1990" spans="9:10" x14ac:dyDescent="0.25">
      <c r="I1990" t="s">
        <v>6206</v>
      </c>
      <c r="J1990" t="s">
        <v>1286</v>
      </c>
    </row>
    <row r="1991" spans="9:10" x14ac:dyDescent="0.25">
      <c r="I1991" t="s">
        <v>286</v>
      </c>
      <c r="J1991" t="s">
        <v>5759</v>
      </c>
    </row>
    <row r="1992" spans="9:10" x14ac:dyDescent="0.25">
      <c r="I1992" t="s">
        <v>5733</v>
      </c>
      <c r="J1992" t="s">
        <v>1040</v>
      </c>
    </row>
    <row r="1993" spans="9:10" x14ac:dyDescent="0.25">
      <c r="I1993" t="s">
        <v>313</v>
      </c>
      <c r="J1993" t="s">
        <v>1218</v>
      </c>
    </row>
    <row r="1994" spans="9:10" x14ac:dyDescent="0.25">
      <c r="I1994" t="s">
        <v>6834</v>
      </c>
      <c r="J1994" t="s">
        <v>6835</v>
      </c>
    </row>
    <row r="1995" spans="9:10" x14ac:dyDescent="0.25">
      <c r="I1995" t="s">
        <v>393</v>
      </c>
      <c r="J1995" t="s">
        <v>1447</v>
      </c>
    </row>
    <row r="1996" spans="9:10" x14ac:dyDescent="0.25">
      <c r="I1996" t="s">
        <v>313</v>
      </c>
      <c r="J1996" t="s">
        <v>6193</v>
      </c>
    </row>
    <row r="1997" spans="9:10" x14ac:dyDescent="0.25">
      <c r="I1997" t="s">
        <v>3854</v>
      </c>
      <c r="J1997" t="s">
        <v>3997</v>
      </c>
    </row>
    <row r="1998" spans="9:10" x14ac:dyDescent="0.25">
      <c r="I1998" t="s">
        <v>346</v>
      </c>
      <c r="J1998" t="s">
        <v>1290</v>
      </c>
    </row>
    <row r="1999" spans="9:10" x14ac:dyDescent="0.25">
      <c r="I1999" t="s">
        <v>254</v>
      </c>
      <c r="J1999" t="s">
        <v>1328</v>
      </c>
    </row>
    <row r="2000" spans="9:10" x14ac:dyDescent="0.25">
      <c r="I2000" t="s">
        <v>313</v>
      </c>
      <c r="J2000" t="s">
        <v>6794</v>
      </c>
    </row>
    <row r="2001" spans="9:10" x14ac:dyDescent="0.25">
      <c r="I2001" t="s">
        <v>6547</v>
      </c>
      <c r="J2001" t="s">
        <v>1484</v>
      </c>
    </row>
    <row r="2002" spans="9:10" x14ac:dyDescent="0.25">
      <c r="I2002" t="s">
        <v>315</v>
      </c>
      <c r="J2002" t="s">
        <v>1618</v>
      </c>
    </row>
    <row r="2003" spans="9:10" x14ac:dyDescent="0.25">
      <c r="I2003" t="s">
        <v>45</v>
      </c>
      <c r="J2003" t="s">
        <v>1291</v>
      </c>
    </row>
    <row r="2004" spans="9:10" x14ac:dyDescent="0.25">
      <c r="I2004" t="s">
        <v>550</v>
      </c>
      <c r="J2004" t="s">
        <v>2507</v>
      </c>
    </row>
    <row r="2005" spans="9:10" x14ac:dyDescent="0.25">
      <c r="I2005" t="s">
        <v>313</v>
      </c>
      <c r="J2005" t="s">
        <v>6491</v>
      </c>
    </row>
    <row r="2006" spans="9:10" x14ac:dyDescent="0.25">
      <c r="I2006" t="s">
        <v>254</v>
      </c>
      <c r="J2006" t="s">
        <v>1097</v>
      </c>
    </row>
    <row r="2007" spans="9:10" x14ac:dyDescent="0.25">
      <c r="I2007" t="s">
        <v>257</v>
      </c>
      <c r="J2007" t="s">
        <v>5949</v>
      </c>
    </row>
    <row r="2008" spans="9:10" x14ac:dyDescent="0.25">
      <c r="I2008" t="s">
        <v>6853</v>
      </c>
      <c r="J2008" t="s">
        <v>1638</v>
      </c>
    </row>
    <row r="2009" spans="9:10" x14ac:dyDescent="0.25">
      <c r="I2009" t="s">
        <v>393</v>
      </c>
      <c r="J2009" t="s">
        <v>6594</v>
      </c>
    </row>
    <row r="2010" spans="9:10" x14ac:dyDescent="0.25">
      <c r="I2010" t="s">
        <v>4929</v>
      </c>
      <c r="J2010" t="s">
        <v>6265</v>
      </c>
    </row>
    <row r="2011" spans="9:10" x14ac:dyDescent="0.25">
      <c r="I2011" t="s">
        <v>393</v>
      </c>
      <c r="J2011" t="s">
        <v>934</v>
      </c>
    </row>
    <row r="2012" spans="9:10" x14ac:dyDescent="0.25">
      <c r="I2012" t="s">
        <v>254</v>
      </c>
      <c r="J2012" t="s">
        <v>1071</v>
      </c>
    </row>
    <row r="2013" spans="9:10" x14ac:dyDescent="0.25">
      <c r="I2013" t="s">
        <v>313</v>
      </c>
      <c r="J2013" t="s">
        <v>5292</v>
      </c>
    </row>
    <row r="2014" spans="9:10" x14ac:dyDescent="0.25">
      <c r="I2014" t="s">
        <v>289</v>
      </c>
      <c r="J2014" t="s">
        <v>2975</v>
      </c>
    </row>
    <row r="2015" spans="9:10" x14ac:dyDescent="0.25">
      <c r="I2015" t="s">
        <v>545</v>
      </c>
      <c r="J2015" t="s">
        <v>6601</v>
      </c>
    </row>
    <row r="2016" spans="9:10" x14ac:dyDescent="0.25">
      <c r="I2016" t="s">
        <v>393</v>
      </c>
      <c r="J2016" t="s">
        <v>6526</v>
      </c>
    </row>
    <row r="2017" spans="9:10" x14ac:dyDescent="0.25">
      <c r="I2017" t="s">
        <v>313</v>
      </c>
      <c r="J2017" t="s">
        <v>1234</v>
      </c>
    </row>
    <row r="2018" spans="9:10" x14ac:dyDescent="0.25">
      <c r="I2018" t="s">
        <v>137</v>
      </c>
      <c r="J2018" t="s">
        <v>1256</v>
      </c>
    </row>
    <row r="2019" spans="9:10" x14ac:dyDescent="0.25">
      <c r="I2019" t="s">
        <v>91</v>
      </c>
      <c r="J2019" t="s">
        <v>5600</v>
      </c>
    </row>
    <row r="2020" spans="9:10" x14ac:dyDescent="0.25">
      <c r="I2020" t="s">
        <v>393</v>
      </c>
      <c r="J2020" t="s">
        <v>1455</v>
      </c>
    </row>
    <row r="2021" spans="9:10" x14ac:dyDescent="0.25">
      <c r="I2021" t="s">
        <v>2723</v>
      </c>
      <c r="J2021" t="s">
        <v>2871</v>
      </c>
    </row>
    <row r="2022" spans="9:10" x14ac:dyDescent="0.25">
      <c r="I2022" t="s">
        <v>91</v>
      </c>
      <c r="J2022" t="s">
        <v>2532</v>
      </c>
    </row>
    <row r="2023" spans="9:10" x14ac:dyDescent="0.25">
      <c r="I2023" t="s">
        <v>313</v>
      </c>
      <c r="J2023" t="s">
        <v>1546</v>
      </c>
    </row>
    <row r="2024" spans="9:10" x14ac:dyDescent="0.25">
      <c r="I2024" t="s">
        <v>6705</v>
      </c>
      <c r="J2024" t="s">
        <v>6706</v>
      </c>
    </row>
    <row r="2025" spans="9:10" x14ac:dyDescent="0.25">
      <c r="I2025" t="s">
        <v>280</v>
      </c>
      <c r="J2025" t="s">
        <v>5483</v>
      </c>
    </row>
    <row r="2026" spans="9:10" x14ac:dyDescent="0.25">
      <c r="I2026" t="s">
        <v>37</v>
      </c>
      <c r="J2026" t="s">
        <v>6804</v>
      </c>
    </row>
    <row r="2027" spans="9:10" x14ac:dyDescent="0.25">
      <c r="I2027" t="s">
        <v>313</v>
      </c>
      <c r="J2027" t="s">
        <v>1553</v>
      </c>
    </row>
    <row r="2028" spans="9:10" x14ac:dyDescent="0.25">
      <c r="I2028" t="s">
        <v>6140</v>
      </c>
      <c r="J2028" t="s">
        <v>1252</v>
      </c>
    </row>
    <row r="2029" spans="9:10" x14ac:dyDescent="0.25">
      <c r="I2029" t="s">
        <v>313</v>
      </c>
      <c r="J2029" t="s">
        <v>5577</v>
      </c>
    </row>
    <row r="2030" spans="9:10" x14ac:dyDescent="0.25">
      <c r="I2030" t="s">
        <v>6627</v>
      </c>
      <c r="J2030" t="s">
        <v>6628</v>
      </c>
    </row>
    <row r="2031" spans="9:10" x14ac:dyDescent="0.25">
      <c r="I2031" t="s">
        <v>254</v>
      </c>
      <c r="J2031" t="s">
        <v>951</v>
      </c>
    </row>
    <row r="2032" spans="9:10" x14ac:dyDescent="0.25">
      <c r="I2032" t="s">
        <v>289</v>
      </c>
      <c r="J2032" t="s">
        <v>1246</v>
      </c>
    </row>
    <row r="2033" spans="9:10" x14ac:dyDescent="0.25">
      <c r="I2033" t="s">
        <v>286</v>
      </c>
      <c r="J2033" t="s">
        <v>5768</v>
      </c>
    </row>
    <row r="2034" spans="9:10" x14ac:dyDescent="0.25">
      <c r="I2034" t="s">
        <v>278</v>
      </c>
      <c r="J2034" t="s">
        <v>1439</v>
      </c>
    </row>
    <row r="2035" spans="9:10" x14ac:dyDescent="0.25">
      <c r="I2035" t="s">
        <v>545</v>
      </c>
      <c r="J2035" t="s">
        <v>5656</v>
      </c>
    </row>
    <row r="2036" spans="9:10" x14ac:dyDescent="0.25">
      <c r="I2036" t="s">
        <v>2726</v>
      </c>
      <c r="J2036" t="s">
        <v>2958</v>
      </c>
    </row>
    <row r="2037" spans="9:10" x14ac:dyDescent="0.25">
      <c r="I2037" t="s">
        <v>6428</v>
      </c>
      <c r="J2037" t="s">
        <v>1407</v>
      </c>
    </row>
    <row r="2038" spans="9:10" x14ac:dyDescent="0.25">
      <c r="I2038" t="s">
        <v>95</v>
      </c>
      <c r="J2038" t="s">
        <v>6762</v>
      </c>
    </row>
    <row r="2039" spans="9:10" x14ac:dyDescent="0.25">
      <c r="I2039" t="s">
        <v>393</v>
      </c>
      <c r="J2039" t="s">
        <v>950</v>
      </c>
    </row>
    <row r="2040" spans="9:10" x14ac:dyDescent="0.25">
      <c r="I2040" t="s">
        <v>90</v>
      </c>
      <c r="J2040" t="s">
        <v>879</v>
      </c>
    </row>
    <row r="2041" spans="9:10" x14ac:dyDescent="0.25">
      <c r="I2041" t="s">
        <v>289</v>
      </c>
      <c r="J2041" t="s">
        <v>5965</v>
      </c>
    </row>
    <row r="2042" spans="9:10" x14ac:dyDescent="0.25">
      <c r="I2042" t="s">
        <v>4430</v>
      </c>
      <c r="J2042" t="s">
        <v>5757</v>
      </c>
    </row>
    <row r="2043" spans="9:10" x14ac:dyDescent="0.25">
      <c r="I2043" t="s">
        <v>393</v>
      </c>
      <c r="J2043" t="s">
        <v>6642</v>
      </c>
    </row>
    <row r="2044" spans="9:10" x14ac:dyDescent="0.25">
      <c r="I2044" t="s">
        <v>2738</v>
      </c>
      <c r="J2044" t="s">
        <v>2934</v>
      </c>
    </row>
    <row r="2045" spans="9:10" x14ac:dyDescent="0.25">
      <c r="I2045" t="s">
        <v>46</v>
      </c>
      <c r="J2045" t="s">
        <v>1310</v>
      </c>
    </row>
    <row r="2046" spans="9:10" x14ac:dyDescent="0.25">
      <c r="I2046" t="s">
        <v>45</v>
      </c>
      <c r="J2046" t="s">
        <v>1545</v>
      </c>
    </row>
    <row r="2047" spans="9:10" x14ac:dyDescent="0.25">
      <c r="I2047" t="s">
        <v>311</v>
      </c>
      <c r="J2047" t="s">
        <v>1215</v>
      </c>
    </row>
    <row r="2048" spans="9:10" x14ac:dyDescent="0.25">
      <c r="I2048" t="s">
        <v>311</v>
      </c>
      <c r="J2048" t="s">
        <v>1634</v>
      </c>
    </row>
    <row r="2049" spans="9:10" x14ac:dyDescent="0.25">
      <c r="I2049" t="s">
        <v>5895</v>
      </c>
      <c r="J2049" t="s">
        <v>1114</v>
      </c>
    </row>
    <row r="2050" spans="9:10" x14ac:dyDescent="0.25">
      <c r="I2050" t="s">
        <v>286</v>
      </c>
      <c r="J2050" t="s">
        <v>5990</v>
      </c>
    </row>
    <row r="2051" spans="9:10" x14ac:dyDescent="0.25">
      <c r="I2051" t="s">
        <v>5553</v>
      </c>
      <c r="J2051" t="s">
        <v>2366</v>
      </c>
    </row>
    <row r="2052" spans="9:10" x14ac:dyDescent="0.25">
      <c r="I2052" t="s">
        <v>22</v>
      </c>
      <c r="J2052" t="s">
        <v>791</v>
      </c>
    </row>
    <row r="2053" spans="9:10" x14ac:dyDescent="0.25">
      <c r="I2053" t="s">
        <v>137</v>
      </c>
      <c r="J2053" t="s">
        <v>846</v>
      </c>
    </row>
    <row r="2054" spans="9:10" x14ac:dyDescent="0.25">
      <c r="I2054" t="s">
        <v>37</v>
      </c>
      <c r="J2054" t="s">
        <v>1473</v>
      </c>
    </row>
    <row r="2055" spans="9:10" x14ac:dyDescent="0.25">
      <c r="I2055" t="s">
        <v>3992</v>
      </c>
      <c r="J2055" t="s">
        <v>6289</v>
      </c>
    </row>
    <row r="2056" spans="9:10" x14ac:dyDescent="0.25">
      <c r="I2056" t="s">
        <v>90</v>
      </c>
      <c r="J2056" t="s">
        <v>6204</v>
      </c>
    </row>
    <row r="2057" spans="9:10" x14ac:dyDescent="0.25">
      <c r="I2057" t="s">
        <v>313</v>
      </c>
      <c r="J2057" t="s">
        <v>6133</v>
      </c>
    </row>
    <row r="2058" spans="9:10" x14ac:dyDescent="0.25">
      <c r="I2058" t="s">
        <v>5704</v>
      </c>
      <c r="J2058" t="s">
        <v>2509</v>
      </c>
    </row>
    <row r="2059" spans="9:10" x14ac:dyDescent="0.25">
      <c r="I2059" t="s">
        <v>6635</v>
      </c>
      <c r="J2059" t="s">
        <v>6636</v>
      </c>
    </row>
    <row r="2060" spans="9:10" x14ac:dyDescent="0.25">
      <c r="I2060" t="s">
        <v>393</v>
      </c>
      <c r="J2060" t="s">
        <v>6358</v>
      </c>
    </row>
    <row r="2061" spans="9:10" x14ac:dyDescent="0.25">
      <c r="I2061" t="s">
        <v>313</v>
      </c>
      <c r="J2061" t="s">
        <v>1203</v>
      </c>
    </row>
    <row r="2062" spans="9:10" x14ac:dyDescent="0.25">
      <c r="I2062" t="s">
        <v>6546</v>
      </c>
      <c r="J2062" t="s">
        <v>1483</v>
      </c>
    </row>
    <row r="2063" spans="9:10" x14ac:dyDescent="0.25">
      <c r="I2063" t="s">
        <v>122</v>
      </c>
      <c r="J2063" t="s">
        <v>6669</v>
      </c>
    </row>
    <row r="2064" spans="9:10" x14ac:dyDescent="0.25">
      <c r="I2064" t="s">
        <v>254</v>
      </c>
      <c r="J2064" t="s">
        <v>1278</v>
      </c>
    </row>
    <row r="2065" spans="9:10" x14ac:dyDescent="0.25">
      <c r="I2065" t="s">
        <v>254</v>
      </c>
      <c r="J2065" t="s">
        <v>3898</v>
      </c>
    </row>
    <row r="2066" spans="9:10" x14ac:dyDescent="0.25">
      <c r="I2066" t="s">
        <v>3900</v>
      </c>
      <c r="J2066" t="s">
        <v>6187</v>
      </c>
    </row>
    <row r="2067" spans="9:10" x14ac:dyDescent="0.25">
      <c r="I2067" t="s">
        <v>6370</v>
      </c>
      <c r="J2067" t="s">
        <v>6371</v>
      </c>
    </row>
    <row r="2068" spans="9:10" x14ac:dyDescent="0.25">
      <c r="I2068" t="s">
        <v>123</v>
      </c>
      <c r="J2068" t="s">
        <v>5337</v>
      </c>
    </row>
    <row r="2069" spans="9:10" x14ac:dyDescent="0.25">
      <c r="I2069" t="s">
        <v>2741</v>
      </c>
      <c r="J2069" t="s">
        <v>2875</v>
      </c>
    </row>
    <row r="2070" spans="9:10" x14ac:dyDescent="0.25">
      <c r="I2070" t="s">
        <v>5911</v>
      </c>
      <c r="J2070" t="s">
        <v>5912</v>
      </c>
    </row>
    <row r="2071" spans="9:10" x14ac:dyDescent="0.25">
      <c r="I2071" t="s">
        <v>4430</v>
      </c>
      <c r="J2071" t="s">
        <v>6087</v>
      </c>
    </row>
    <row r="2072" spans="9:10" x14ac:dyDescent="0.25">
      <c r="I2072" t="s">
        <v>2741</v>
      </c>
      <c r="J2072" t="s">
        <v>2784</v>
      </c>
    </row>
    <row r="2073" spans="9:10" x14ac:dyDescent="0.25">
      <c r="I2073" t="s">
        <v>2736</v>
      </c>
      <c r="J2073" t="s">
        <v>3910</v>
      </c>
    </row>
    <row r="2074" spans="9:10" x14ac:dyDescent="0.25">
      <c r="I2074" t="s">
        <v>313</v>
      </c>
      <c r="J2074" t="s">
        <v>1265</v>
      </c>
    </row>
    <row r="2075" spans="9:10" x14ac:dyDescent="0.25">
      <c r="I2075" t="s">
        <v>393</v>
      </c>
      <c r="J2075" t="s">
        <v>1074</v>
      </c>
    </row>
    <row r="2076" spans="9:10" x14ac:dyDescent="0.25">
      <c r="I2076" t="s">
        <v>2734</v>
      </c>
      <c r="J2076" t="s">
        <v>2918</v>
      </c>
    </row>
    <row r="2077" spans="9:10" x14ac:dyDescent="0.25">
      <c r="I2077" t="s">
        <v>2734</v>
      </c>
      <c r="J2077" t="s">
        <v>4052</v>
      </c>
    </row>
    <row r="2078" spans="9:10" x14ac:dyDescent="0.25">
      <c r="I2078" t="s">
        <v>2738</v>
      </c>
      <c r="J2078" t="s">
        <v>2911</v>
      </c>
    </row>
    <row r="2079" spans="9:10" x14ac:dyDescent="0.25">
      <c r="I2079" t="s">
        <v>2738</v>
      </c>
      <c r="J2079" t="s">
        <v>2855</v>
      </c>
    </row>
    <row r="2080" spans="9:10" x14ac:dyDescent="0.25">
      <c r="I2080" t="s">
        <v>2734</v>
      </c>
      <c r="J2080" t="s">
        <v>3984</v>
      </c>
    </row>
    <row r="2081" spans="9:10" x14ac:dyDescent="0.25">
      <c r="I2081" t="s">
        <v>286</v>
      </c>
      <c r="J2081" t="s">
        <v>5712</v>
      </c>
    </row>
    <row r="2082" spans="9:10" x14ac:dyDescent="0.25">
      <c r="I2082" t="s">
        <v>548</v>
      </c>
      <c r="J2082" t="s">
        <v>6691</v>
      </c>
    </row>
    <row r="2083" spans="9:10" x14ac:dyDescent="0.25">
      <c r="I2083" t="s">
        <v>313</v>
      </c>
      <c r="J2083" t="s">
        <v>1348</v>
      </c>
    </row>
    <row r="2084" spans="9:10" x14ac:dyDescent="0.25">
      <c r="I2084" t="s">
        <v>254</v>
      </c>
      <c r="J2084" t="s">
        <v>1490</v>
      </c>
    </row>
    <row r="2085" spans="9:10" x14ac:dyDescent="0.25">
      <c r="I2085" t="s">
        <v>276</v>
      </c>
      <c r="J2085" t="s">
        <v>1106</v>
      </c>
    </row>
    <row r="2086" spans="9:10" x14ac:dyDescent="0.25">
      <c r="I2086" t="s">
        <v>5933</v>
      </c>
      <c r="J2086" t="s">
        <v>5934</v>
      </c>
    </row>
    <row r="2087" spans="9:10" x14ac:dyDescent="0.25">
      <c r="I2087" t="s">
        <v>311</v>
      </c>
      <c r="J2087" t="s">
        <v>1521</v>
      </c>
    </row>
    <row r="2088" spans="9:10" x14ac:dyDescent="0.25">
      <c r="I2088" t="s">
        <v>311</v>
      </c>
      <c r="J2088" t="s">
        <v>6422</v>
      </c>
    </row>
    <row r="2089" spans="9:10" x14ac:dyDescent="0.25">
      <c r="I2089" t="s">
        <v>6105</v>
      </c>
      <c r="J2089" t="s">
        <v>1226</v>
      </c>
    </row>
    <row r="2090" spans="9:10" x14ac:dyDescent="0.25">
      <c r="I2090" t="s">
        <v>548</v>
      </c>
      <c r="J2090" t="s">
        <v>2471</v>
      </c>
    </row>
    <row r="2091" spans="9:10" x14ac:dyDescent="0.25">
      <c r="I2091" t="s">
        <v>311</v>
      </c>
      <c r="J2091" t="s">
        <v>1309</v>
      </c>
    </row>
    <row r="2092" spans="9:10" x14ac:dyDescent="0.25">
      <c r="I2092" t="s">
        <v>289</v>
      </c>
      <c r="J2092" t="s">
        <v>1621</v>
      </c>
    </row>
    <row r="2093" spans="9:10" x14ac:dyDescent="0.25">
      <c r="I2093" t="s">
        <v>5809</v>
      </c>
      <c r="J2093" t="s">
        <v>1300</v>
      </c>
    </row>
    <row r="2094" spans="9:10" x14ac:dyDescent="0.25">
      <c r="I2094" t="s">
        <v>313</v>
      </c>
      <c r="J2094" t="s">
        <v>1228</v>
      </c>
    </row>
    <row r="2095" spans="9:10" x14ac:dyDescent="0.25">
      <c r="I2095" t="s">
        <v>3854</v>
      </c>
      <c r="J2095" t="s">
        <v>4060</v>
      </c>
    </row>
    <row r="2096" spans="9:10" x14ac:dyDescent="0.25">
      <c r="I2096" t="s">
        <v>46</v>
      </c>
      <c r="J2096" t="s">
        <v>946</v>
      </c>
    </row>
    <row r="2097" spans="9:10" x14ac:dyDescent="0.25">
      <c r="I2097" t="s">
        <v>21</v>
      </c>
      <c r="J2097" t="s">
        <v>1482</v>
      </c>
    </row>
    <row r="2098" spans="9:10" x14ac:dyDescent="0.25">
      <c r="I2098" t="s">
        <v>315</v>
      </c>
      <c r="J2098" t="s">
        <v>1231</v>
      </c>
    </row>
    <row r="2099" spans="9:10" x14ac:dyDescent="0.25">
      <c r="I2099" t="s">
        <v>5909</v>
      </c>
      <c r="J2099" t="s">
        <v>1123</v>
      </c>
    </row>
    <row r="2100" spans="9:10" x14ac:dyDescent="0.25">
      <c r="I2100" t="s">
        <v>548</v>
      </c>
      <c r="J2100" t="s">
        <v>5608</v>
      </c>
    </row>
    <row r="2101" spans="9:10" x14ac:dyDescent="0.25">
      <c r="I2101" t="s">
        <v>346</v>
      </c>
      <c r="J2101" t="s">
        <v>782</v>
      </c>
    </row>
    <row r="2102" spans="9:10" x14ac:dyDescent="0.25">
      <c r="I2102" t="s">
        <v>90</v>
      </c>
      <c r="J2102" t="s">
        <v>6819</v>
      </c>
    </row>
    <row r="2103" spans="9:10" x14ac:dyDescent="0.25">
      <c r="I2103" t="s">
        <v>393</v>
      </c>
      <c r="J2103" t="s">
        <v>2370</v>
      </c>
    </row>
    <row r="2104" spans="9:10" x14ac:dyDescent="0.25">
      <c r="I2104" t="s">
        <v>122</v>
      </c>
      <c r="J2104" t="s">
        <v>1550</v>
      </c>
    </row>
    <row r="2105" spans="9:10" x14ac:dyDescent="0.25">
      <c r="I2105" t="s">
        <v>280</v>
      </c>
      <c r="J2105" t="s">
        <v>3907</v>
      </c>
    </row>
    <row r="2106" spans="9:10" x14ac:dyDescent="0.25">
      <c r="I2106" t="s">
        <v>393</v>
      </c>
      <c r="J2106" t="s">
        <v>5767</v>
      </c>
    </row>
    <row r="2107" spans="9:10" x14ac:dyDescent="0.25">
      <c r="I2107" t="s">
        <v>5979</v>
      </c>
      <c r="J2107" t="s">
        <v>1162</v>
      </c>
    </row>
    <row r="2108" spans="9:10" x14ac:dyDescent="0.25">
      <c r="I2108" t="s">
        <v>280</v>
      </c>
      <c r="J2108" t="s">
        <v>1046</v>
      </c>
    </row>
    <row r="2109" spans="9:10" x14ac:dyDescent="0.25">
      <c r="I2109" t="s">
        <v>356</v>
      </c>
      <c r="J2109" t="s">
        <v>3891</v>
      </c>
    </row>
    <row r="2110" spans="9:10" x14ac:dyDescent="0.25">
      <c r="I2110" t="s">
        <v>338</v>
      </c>
      <c r="J2110" t="s">
        <v>2881</v>
      </c>
    </row>
    <row r="2111" spans="9:10" x14ac:dyDescent="0.25">
      <c r="I2111" t="s">
        <v>45</v>
      </c>
      <c r="J2111" t="s">
        <v>2363</v>
      </c>
    </row>
    <row r="2112" spans="9:10" x14ac:dyDescent="0.25">
      <c r="I2112" t="s">
        <v>548</v>
      </c>
      <c r="J2112" t="s">
        <v>5674</v>
      </c>
    </row>
    <row r="2113" spans="9:10" x14ac:dyDescent="0.25">
      <c r="I2113" t="s">
        <v>40</v>
      </c>
      <c r="J2113" t="s">
        <v>6288</v>
      </c>
    </row>
    <row r="2114" spans="9:10" x14ac:dyDescent="0.25">
      <c r="I2114" t="s">
        <v>318</v>
      </c>
      <c r="J2114" t="s">
        <v>2774</v>
      </c>
    </row>
    <row r="2115" spans="9:10" x14ac:dyDescent="0.25">
      <c r="I2115" t="s">
        <v>309</v>
      </c>
      <c r="J2115" t="s">
        <v>979</v>
      </c>
    </row>
    <row r="2116" spans="9:10" x14ac:dyDescent="0.25">
      <c r="I2116" t="s">
        <v>91</v>
      </c>
      <c r="J2116" t="s">
        <v>6698</v>
      </c>
    </row>
    <row r="2117" spans="9:10" x14ac:dyDescent="0.25">
      <c r="I2117" t="s">
        <v>289</v>
      </c>
      <c r="J2117" t="s">
        <v>2960</v>
      </c>
    </row>
    <row r="2118" spans="9:10" x14ac:dyDescent="0.25">
      <c r="I2118" t="s">
        <v>5238</v>
      </c>
      <c r="J2118" t="s">
        <v>5239</v>
      </c>
    </row>
    <row r="2119" spans="9:10" x14ac:dyDescent="0.25">
      <c r="I2119" t="s">
        <v>40</v>
      </c>
      <c r="J2119" t="s">
        <v>915</v>
      </c>
    </row>
    <row r="2120" spans="9:10" x14ac:dyDescent="0.25">
      <c r="I2120" t="s">
        <v>545</v>
      </c>
      <c r="J2120" t="s">
        <v>2823</v>
      </c>
    </row>
    <row r="2121" spans="9:10" x14ac:dyDescent="0.25">
      <c r="I2121" t="s">
        <v>313</v>
      </c>
      <c r="J2121" t="s">
        <v>6574</v>
      </c>
    </row>
    <row r="2122" spans="9:10" x14ac:dyDescent="0.25">
      <c r="I2122" t="s">
        <v>393</v>
      </c>
      <c r="J2122" t="s">
        <v>862</v>
      </c>
    </row>
    <row r="2123" spans="9:10" x14ac:dyDescent="0.25">
      <c r="I2123" t="s">
        <v>254</v>
      </c>
      <c r="J2123" t="s">
        <v>960</v>
      </c>
    </row>
    <row r="2124" spans="9:10" x14ac:dyDescent="0.25">
      <c r="I2124" t="s">
        <v>5305</v>
      </c>
      <c r="J2124" t="s">
        <v>1628</v>
      </c>
    </row>
    <row r="2125" spans="9:10" x14ac:dyDescent="0.25">
      <c r="I2125" t="s">
        <v>254</v>
      </c>
      <c r="J2125" t="s">
        <v>6043</v>
      </c>
    </row>
    <row r="2126" spans="9:10" x14ac:dyDescent="0.25">
      <c r="I2126" t="s">
        <v>5301</v>
      </c>
      <c r="J2126" t="s">
        <v>1225</v>
      </c>
    </row>
    <row r="2127" spans="9:10" x14ac:dyDescent="0.25">
      <c r="I2127" t="s">
        <v>289</v>
      </c>
      <c r="J2127" t="s">
        <v>1156</v>
      </c>
    </row>
    <row r="2128" spans="9:10" x14ac:dyDescent="0.25">
      <c r="I2128" t="s">
        <v>356</v>
      </c>
      <c r="J2128" t="s">
        <v>6731</v>
      </c>
    </row>
    <row r="2129" spans="9:10" x14ac:dyDescent="0.25">
      <c r="I2129" t="s">
        <v>5287</v>
      </c>
      <c r="J2129" t="s">
        <v>5696</v>
      </c>
    </row>
    <row r="2130" spans="9:10" x14ac:dyDescent="0.25">
      <c r="I2130" t="s">
        <v>306</v>
      </c>
      <c r="J2130" t="s">
        <v>2848</v>
      </c>
    </row>
    <row r="2131" spans="9:10" x14ac:dyDescent="0.25">
      <c r="I2131" t="s">
        <v>5285</v>
      </c>
      <c r="J2131" t="s">
        <v>809</v>
      </c>
    </row>
    <row r="2132" spans="9:10" x14ac:dyDescent="0.25">
      <c r="I2132" t="s">
        <v>313</v>
      </c>
      <c r="J2132" t="s">
        <v>5784</v>
      </c>
    </row>
    <row r="2133" spans="9:10" x14ac:dyDescent="0.25">
      <c r="I2133" t="s">
        <v>393</v>
      </c>
      <c r="J2133" t="s">
        <v>5657</v>
      </c>
    </row>
    <row r="2134" spans="9:10" x14ac:dyDescent="0.25">
      <c r="I2134" t="s">
        <v>313</v>
      </c>
      <c r="J2134" t="s">
        <v>1293</v>
      </c>
    </row>
    <row r="2135" spans="9:10" x14ac:dyDescent="0.25">
      <c r="I2135" t="s">
        <v>311</v>
      </c>
      <c r="J2135" t="s">
        <v>1629</v>
      </c>
    </row>
    <row r="2136" spans="9:10" x14ac:dyDescent="0.25">
      <c r="I2136" t="s">
        <v>21</v>
      </c>
      <c r="J2136" t="s">
        <v>1349</v>
      </c>
    </row>
    <row r="2137" spans="9:10" x14ac:dyDescent="0.25">
      <c r="I2137" t="s">
        <v>5522</v>
      </c>
      <c r="J2137" t="s">
        <v>920</v>
      </c>
    </row>
    <row r="2138" spans="9:10" x14ac:dyDescent="0.25">
      <c r="I2138" t="s">
        <v>254</v>
      </c>
      <c r="J2138" t="s">
        <v>1324</v>
      </c>
    </row>
    <row r="2139" spans="9:10" x14ac:dyDescent="0.25">
      <c r="I2139" t="s">
        <v>4929</v>
      </c>
      <c r="J2139" t="s">
        <v>1336</v>
      </c>
    </row>
    <row r="2140" spans="9:10" x14ac:dyDescent="0.25">
      <c r="I2140" t="s">
        <v>5755</v>
      </c>
      <c r="J2140" t="s">
        <v>1053</v>
      </c>
    </row>
    <row r="2141" spans="9:10" x14ac:dyDescent="0.25">
      <c r="I2141" t="s">
        <v>4722</v>
      </c>
      <c r="J2141" t="s">
        <v>1321</v>
      </c>
    </row>
    <row r="2142" spans="9:10" x14ac:dyDescent="0.25">
      <c r="I2142" t="s">
        <v>5254</v>
      </c>
      <c r="J2142" t="s">
        <v>793</v>
      </c>
    </row>
    <row r="2143" spans="9:10" x14ac:dyDescent="0.25">
      <c r="I2143" t="s">
        <v>36</v>
      </c>
      <c r="J2143" t="s">
        <v>841</v>
      </c>
    </row>
    <row r="2144" spans="9:10" x14ac:dyDescent="0.25">
      <c r="I2144" t="s">
        <v>254</v>
      </c>
      <c r="J2144" t="s">
        <v>1379</v>
      </c>
    </row>
    <row r="2145" spans="9:10" x14ac:dyDescent="0.25">
      <c r="I2145" t="s">
        <v>6150</v>
      </c>
      <c r="J2145" t="s">
        <v>6151</v>
      </c>
    </row>
    <row r="2146" spans="9:10" x14ac:dyDescent="0.25">
      <c r="I2146" t="s">
        <v>3854</v>
      </c>
      <c r="J2146" t="s">
        <v>4015</v>
      </c>
    </row>
    <row r="2147" spans="9:10" x14ac:dyDescent="0.25">
      <c r="I2147" t="s">
        <v>315</v>
      </c>
      <c r="J2147" t="s">
        <v>2947</v>
      </c>
    </row>
    <row r="2148" spans="9:10" x14ac:dyDescent="0.25">
      <c r="I2148" t="s">
        <v>309</v>
      </c>
      <c r="J2148" t="s">
        <v>1580</v>
      </c>
    </row>
    <row r="2149" spans="9:10" x14ac:dyDescent="0.25">
      <c r="I2149" t="s">
        <v>311</v>
      </c>
      <c r="J2149" t="s">
        <v>1350</v>
      </c>
    </row>
    <row r="2150" spans="9:10" x14ac:dyDescent="0.25">
      <c r="I2150" t="s">
        <v>393</v>
      </c>
      <c r="J2150" t="s">
        <v>2920</v>
      </c>
    </row>
    <row r="2151" spans="9:10" x14ac:dyDescent="0.25">
      <c r="I2151" t="s">
        <v>254</v>
      </c>
      <c r="J2151" t="s">
        <v>5758</v>
      </c>
    </row>
    <row r="2152" spans="9:10" x14ac:dyDescent="0.25">
      <c r="I2152" t="s">
        <v>313</v>
      </c>
      <c r="J2152" t="s">
        <v>1087</v>
      </c>
    </row>
    <row r="2153" spans="9:10" x14ac:dyDescent="0.25">
      <c r="I2153" t="s">
        <v>5628</v>
      </c>
      <c r="J2153" t="s">
        <v>974</v>
      </c>
    </row>
    <row r="2154" spans="9:10" x14ac:dyDescent="0.25">
      <c r="I2154" t="s">
        <v>400</v>
      </c>
      <c r="J2154" t="s">
        <v>5650</v>
      </c>
    </row>
    <row r="2155" spans="9:10" x14ac:dyDescent="0.25">
      <c r="I2155" t="s">
        <v>2352</v>
      </c>
      <c r="J2155" t="s">
        <v>6569</v>
      </c>
    </row>
    <row r="2156" spans="9:10" x14ac:dyDescent="0.25">
      <c r="I2156" t="s">
        <v>5290</v>
      </c>
      <c r="J2156" t="s">
        <v>5438</v>
      </c>
    </row>
    <row r="2157" spans="9:10" x14ac:dyDescent="0.25">
      <c r="I2157" t="s">
        <v>545</v>
      </c>
      <c r="J2157" t="s">
        <v>6830</v>
      </c>
    </row>
    <row r="2158" spans="9:10" x14ac:dyDescent="0.25">
      <c r="I2158" t="s">
        <v>313</v>
      </c>
      <c r="J2158" t="s">
        <v>1295</v>
      </c>
    </row>
    <row r="2159" spans="9:10" x14ac:dyDescent="0.25">
      <c r="I2159" t="s">
        <v>4951</v>
      </c>
      <c r="J2159" t="s">
        <v>6139</v>
      </c>
    </row>
    <row r="2160" spans="9:10" x14ac:dyDescent="0.25">
      <c r="I2160" t="s">
        <v>90</v>
      </c>
      <c r="J2160" t="s">
        <v>6534</v>
      </c>
    </row>
    <row r="2161" spans="9:10" x14ac:dyDescent="0.25">
      <c r="I2161" t="s">
        <v>45</v>
      </c>
      <c r="J2161" t="s">
        <v>1118</v>
      </c>
    </row>
    <row r="2162" spans="9:10" x14ac:dyDescent="0.25">
      <c r="I2162" t="s">
        <v>4929</v>
      </c>
      <c r="J2162" t="s">
        <v>1077</v>
      </c>
    </row>
    <row r="2163" spans="9:10" x14ac:dyDescent="0.25">
      <c r="I2163" t="s">
        <v>37</v>
      </c>
      <c r="J2163" t="s">
        <v>1443</v>
      </c>
    </row>
    <row r="2164" spans="9:10" x14ac:dyDescent="0.25">
      <c r="I2164" t="s">
        <v>2732</v>
      </c>
      <c r="J2164" t="s">
        <v>5402</v>
      </c>
    </row>
    <row r="2165" spans="9:10" x14ac:dyDescent="0.25">
      <c r="I2165" t="s">
        <v>254</v>
      </c>
      <c r="J2165" t="s">
        <v>6466</v>
      </c>
    </row>
    <row r="2166" spans="9:10" x14ac:dyDescent="0.25">
      <c r="I2166" t="s">
        <v>6143</v>
      </c>
      <c r="J2166" t="s">
        <v>6144</v>
      </c>
    </row>
    <row r="2167" spans="9:10" x14ac:dyDescent="0.25">
      <c r="I2167" t="s">
        <v>5494</v>
      </c>
      <c r="J2167" t="s">
        <v>5495</v>
      </c>
    </row>
    <row r="2168" spans="9:10" x14ac:dyDescent="0.25">
      <c r="I2168" t="s">
        <v>6701</v>
      </c>
      <c r="J2168" t="s">
        <v>6702</v>
      </c>
    </row>
    <row r="2169" spans="9:10" x14ac:dyDescent="0.25">
      <c r="I2169" t="s">
        <v>5739</v>
      </c>
      <c r="J2169" t="s">
        <v>1043</v>
      </c>
    </row>
    <row r="2170" spans="9:10" x14ac:dyDescent="0.25">
      <c r="I2170" t="s">
        <v>5251</v>
      </c>
      <c r="J2170" t="s">
        <v>1435</v>
      </c>
    </row>
    <row r="2171" spans="9:10" x14ac:dyDescent="0.25">
      <c r="I2171" t="s">
        <v>5957</v>
      </c>
      <c r="J2171" t="s">
        <v>1147</v>
      </c>
    </row>
    <row r="2172" spans="9:10" x14ac:dyDescent="0.25">
      <c r="I2172" t="s">
        <v>6652</v>
      </c>
      <c r="J2172" t="s">
        <v>1535</v>
      </c>
    </row>
    <row r="2173" spans="9:10" x14ac:dyDescent="0.25">
      <c r="I2173" t="s">
        <v>254</v>
      </c>
      <c r="J2173" t="s">
        <v>1296</v>
      </c>
    </row>
    <row r="2174" spans="9:10" x14ac:dyDescent="0.25">
      <c r="I2174" t="s">
        <v>313</v>
      </c>
      <c r="J2174" t="s">
        <v>5962</v>
      </c>
    </row>
    <row r="2175" spans="9:10" x14ac:dyDescent="0.25">
      <c r="I2175" t="s">
        <v>5811</v>
      </c>
      <c r="J2175" t="s">
        <v>1076</v>
      </c>
    </row>
    <row r="2176" spans="9:10" x14ac:dyDescent="0.25">
      <c r="I2176" t="s">
        <v>289</v>
      </c>
      <c r="J2176" t="s">
        <v>6629</v>
      </c>
    </row>
    <row r="2177" spans="9:10" x14ac:dyDescent="0.25">
      <c r="I2177" t="s">
        <v>3854</v>
      </c>
      <c r="J2177" t="s">
        <v>3915</v>
      </c>
    </row>
    <row r="2178" spans="9:10" x14ac:dyDescent="0.25">
      <c r="I2178" t="s">
        <v>5378</v>
      </c>
      <c r="J2178" t="s">
        <v>6400</v>
      </c>
    </row>
    <row r="2179" spans="9:10" x14ac:dyDescent="0.25">
      <c r="I2179" t="s">
        <v>5653</v>
      </c>
      <c r="J2179" t="s">
        <v>6542</v>
      </c>
    </row>
    <row r="2180" spans="9:10" x14ac:dyDescent="0.25">
      <c r="I2180" t="s">
        <v>5690</v>
      </c>
      <c r="J2180" t="s">
        <v>1015</v>
      </c>
    </row>
    <row r="2181" spans="9:10" x14ac:dyDescent="0.25">
      <c r="I2181" t="s">
        <v>6025</v>
      </c>
      <c r="J2181" t="s">
        <v>1186</v>
      </c>
    </row>
    <row r="2182" spans="9:10" x14ac:dyDescent="0.25">
      <c r="I2182" t="s">
        <v>545</v>
      </c>
      <c r="J2182" t="s">
        <v>811</v>
      </c>
    </row>
    <row r="2183" spans="9:10" x14ac:dyDescent="0.25">
      <c r="I2183" t="s">
        <v>5367</v>
      </c>
      <c r="J2183" t="s">
        <v>853</v>
      </c>
    </row>
    <row r="2184" spans="9:10" x14ac:dyDescent="0.25">
      <c r="I2184" t="s">
        <v>311</v>
      </c>
      <c r="J2184" t="s">
        <v>1261</v>
      </c>
    </row>
    <row r="2185" spans="9:10" x14ac:dyDescent="0.25">
      <c r="I2185" t="s">
        <v>313</v>
      </c>
      <c r="J2185" t="s">
        <v>6067</v>
      </c>
    </row>
    <row r="2186" spans="9:10" x14ac:dyDescent="0.25">
      <c r="I2186" t="s">
        <v>286</v>
      </c>
      <c r="J2186" t="s">
        <v>5961</v>
      </c>
    </row>
    <row r="2187" spans="9:10" x14ac:dyDescent="0.25">
      <c r="I2187" t="s">
        <v>45</v>
      </c>
      <c r="J2187" t="s">
        <v>1497</v>
      </c>
    </row>
    <row r="2188" spans="9:10" x14ac:dyDescent="0.25">
      <c r="I2188" t="s">
        <v>5974</v>
      </c>
      <c r="J2188" t="s">
        <v>1159</v>
      </c>
    </row>
    <row r="2189" spans="9:10" x14ac:dyDescent="0.25">
      <c r="I2189" t="s">
        <v>6398</v>
      </c>
      <c r="J2189" t="s">
        <v>2912</v>
      </c>
    </row>
    <row r="2190" spans="9:10" x14ac:dyDescent="0.25">
      <c r="I2190" t="s">
        <v>6025</v>
      </c>
      <c r="J2190" t="s">
        <v>1365</v>
      </c>
    </row>
    <row r="2191" spans="9:10" x14ac:dyDescent="0.25">
      <c r="I2191" t="s">
        <v>545</v>
      </c>
      <c r="J2191" t="s">
        <v>5377</v>
      </c>
    </row>
    <row r="2192" spans="9:10" x14ac:dyDescent="0.25">
      <c r="I2192" t="s">
        <v>254</v>
      </c>
      <c r="J2192" t="s">
        <v>1120</v>
      </c>
    </row>
    <row r="2193" spans="9:10" x14ac:dyDescent="0.25">
      <c r="I2193" t="s">
        <v>5567</v>
      </c>
      <c r="J2193" t="s">
        <v>948</v>
      </c>
    </row>
    <row r="2194" spans="9:10" x14ac:dyDescent="0.25">
      <c r="I2194" t="s">
        <v>5818</v>
      </c>
      <c r="J2194" t="s">
        <v>1544</v>
      </c>
    </row>
    <row r="2195" spans="9:10" x14ac:dyDescent="0.25">
      <c r="I2195" t="s">
        <v>6433</v>
      </c>
      <c r="J2195" t="s">
        <v>6434</v>
      </c>
    </row>
    <row r="2196" spans="9:10" x14ac:dyDescent="0.25">
      <c r="I2196" t="s">
        <v>6625</v>
      </c>
      <c r="J2196" t="s">
        <v>1524</v>
      </c>
    </row>
    <row r="2197" spans="9:10" x14ac:dyDescent="0.25">
      <c r="I2197" t="s">
        <v>289</v>
      </c>
      <c r="J2197" t="s">
        <v>2943</v>
      </c>
    </row>
    <row r="2198" spans="9:10" x14ac:dyDescent="0.25">
      <c r="I2198" t="s">
        <v>90</v>
      </c>
      <c r="J2198" t="s">
        <v>6249</v>
      </c>
    </row>
    <row r="2199" spans="9:10" x14ac:dyDescent="0.25">
      <c r="I2199" t="s">
        <v>39</v>
      </c>
      <c r="J2199" t="s">
        <v>5885</v>
      </c>
    </row>
    <row r="2200" spans="9:10" x14ac:dyDescent="0.25">
      <c r="I2200" t="s">
        <v>276</v>
      </c>
      <c r="J2200" t="s">
        <v>2797</v>
      </c>
    </row>
    <row r="2201" spans="9:10" x14ac:dyDescent="0.25">
      <c r="I2201" t="s">
        <v>5545</v>
      </c>
      <c r="J2201" t="s">
        <v>932</v>
      </c>
    </row>
    <row r="2202" spans="9:10" x14ac:dyDescent="0.25">
      <c r="I2202" t="s">
        <v>5385</v>
      </c>
      <c r="J2202" t="s">
        <v>865</v>
      </c>
    </row>
    <row r="2203" spans="9:10" x14ac:dyDescent="0.25">
      <c r="I2203" t="s">
        <v>309</v>
      </c>
      <c r="J2203" t="s">
        <v>795</v>
      </c>
    </row>
    <row r="2204" spans="9:10" x14ac:dyDescent="0.25">
      <c r="I2204" t="s">
        <v>313</v>
      </c>
      <c r="J2204" t="s">
        <v>6711</v>
      </c>
    </row>
    <row r="2205" spans="9:10" x14ac:dyDescent="0.25">
      <c r="I2205" t="s">
        <v>4765</v>
      </c>
      <c r="J2205" t="s">
        <v>6169</v>
      </c>
    </row>
    <row r="2206" spans="9:10" x14ac:dyDescent="0.25">
      <c r="I2206" t="s">
        <v>403</v>
      </c>
      <c r="J2206" t="s">
        <v>1028</v>
      </c>
    </row>
    <row r="2207" spans="9:10" x14ac:dyDescent="0.25">
      <c r="I2207" t="s">
        <v>5546</v>
      </c>
      <c r="J2207" t="s">
        <v>5547</v>
      </c>
    </row>
    <row r="2208" spans="9:10" x14ac:dyDescent="0.25">
      <c r="I2208" t="s">
        <v>253</v>
      </c>
      <c r="J2208" t="s">
        <v>5450</v>
      </c>
    </row>
    <row r="2209" spans="9:10" x14ac:dyDescent="0.25">
      <c r="I2209" t="s">
        <v>4991</v>
      </c>
      <c r="J2209" t="s">
        <v>798</v>
      </c>
    </row>
    <row r="2210" spans="9:10" x14ac:dyDescent="0.25">
      <c r="I2210" t="s">
        <v>254</v>
      </c>
      <c r="J2210" t="s">
        <v>965</v>
      </c>
    </row>
    <row r="2211" spans="9:10" x14ac:dyDescent="0.25">
      <c r="I2211" t="s">
        <v>356</v>
      </c>
      <c r="J2211" t="s">
        <v>5744</v>
      </c>
    </row>
    <row r="2212" spans="9:10" x14ac:dyDescent="0.25">
      <c r="I2212" t="s">
        <v>315</v>
      </c>
      <c r="J2212" t="s">
        <v>2970</v>
      </c>
    </row>
    <row r="2213" spans="9:10" x14ac:dyDescent="0.25">
      <c r="I2213" t="s">
        <v>254</v>
      </c>
      <c r="J2213" t="s">
        <v>5431</v>
      </c>
    </row>
    <row r="2214" spans="9:10" x14ac:dyDescent="0.25">
      <c r="I2214" t="s">
        <v>289</v>
      </c>
      <c r="J2214" t="s">
        <v>2771</v>
      </c>
    </row>
    <row r="2215" spans="9:10" x14ac:dyDescent="0.25">
      <c r="I2215" t="s">
        <v>5378</v>
      </c>
      <c r="J2215" t="s">
        <v>5923</v>
      </c>
    </row>
    <row r="2216" spans="9:10" x14ac:dyDescent="0.25">
      <c r="I2216" t="s">
        <v>313</v>
      </c>
      <c r="J2216" t="s">
        <v>6323</v>
      </c>
    </row>
    <row r="2217" spans="9:10" x14ac:dyDescent="0.25">
      <c r="I2217" t="s">
        <v>257</v>
      </c>
      <c r="J2217" t="s">
        <v>6415</v>
      </c>
    </row>
    <row r="2218" spans="9:10" x14ac:dyDescent="0.25">
      <c r="I2218" t="s">
        <v>253</v>
      </c>
      <c r="J2218" t="s">
        <v>5903</v>
      </c>
    </row>
    <row r="2219" spans="9:10" x14ac:dyDescent="0.25">
      <c r="I2219" t="s">
        <v>6553</v>
      </c>
      <c r="J2219" t="s">
        <v>1487</v>
      </c>
    </row>
    <row r="2220" spans="9:10" x14ac:dyDescent="0.25">
      <c r="I2220" t="s">
        <v>315</v>
      </c>
      <c r="J2220" t="s">
        <v>2375</v>
      </c>
    </row>
    <row r="2221" spans="9:10" x14ac:dyDescent="0.25">
      <c r="I2221" t="s">
        <v>6185</v>
      </c>
      <c r="J2221" t="s">
        <v>2872</v>
      </c>
    </row>
    <row r="2222" spans="9:10" x14ac:dyDescent="0.25">
      <c r="I2222" t="s">
        <v>6393</v>
      </c>
      <c r="J2222" t="s">
        <v>2910</v>
      </c>
    </row>
    <row r="2223" spans="9:10" x14ac:dyDescent="0.25">
      <c r="I2223" t="s">
        <v>5625</v>
      </c>
      <c r="J2223" t="s">
        <v>5626</v>
      </c>
    </row>
    <row r="2224" spans="9:10" x14ac:dyDescent="0.25">
      <c r="I2224" t="s">
        <v>276</v>
      </c>
      <c r="J2224" t="s">
        <v>2789</v>
      </c>
    </row>
    <row r="2225" spans="9:10" x14ac:dyDescent="0.25">
      <c r="I2225" t="s">
        <v>253</v>
      </c>
      <c r="J2225" t="s">
        <v>6663</v>
      </c>
    </row>
    <row r="2226" spans="9:10" x14ac:dyDescent="0.25">
      <c r="I2226" t="s">
        <v>5642</v>
      </c>
      <c r="J2226" t="s">
        <v>1538</v>
      </c>
    </row>
    <row r="2227" spans="9:10" x14ac:dyDescent="0.25">
      <c r="I2227" t="s">
        <v>545</v>
      </c>
      <c r="J2227" t="s">
        <v>937</v>
      </c>
    </row>
    <row r="2228" spans="9:10" x14ac:dyDescent="0.25">
      <c r="I2228" t="s">
        <v>5653</v>
      </c>
      <c r="J2228" t="s">
        <v>5679</v>
      </c>
    </row>
    <row r="2229" spans="9:10" x14ac:dyDescent="0.25">
      <c r="I2229" t="s">
        <v>254</v>
      </c>
      <c r="J2229" t="s">
        <v>5971</v>
      </c>
    </row>
    <row r="2230" spans="9:10" x14ac:dyDescent="0.25">
      <c r="I2230" t="s">
        <v>5637</v>
      </c>
      <c r="J2230" t="s">
        <v>981</v>
      </c>
    </row>
    <row r="2231" spans="9:10" x14ac:dyDescent="0.25">
      <c r="I2231" t="s">
        <v>36</v>
      </c>
      <c r="J2231" t="s">
        <v>805</v>
      </c>
    </row>
    <row r="2232" spans="9:10" x14ac:dyDescent="0.25">
      <c r="I2232" t="s">
        <v>5594</v>
      </c>
      <c r="J2232" t="s">
        <v>961</v>
      </c>
    </row>
    <row r="2233" spans="9:10" x14ac:dyDescent="0.25">
      <c r="I2233" t="s">
        <v>289</v>
      </c>
      <c r="J2233" t="s">
        <v>2979</v>
      </c>
    </row>
    <row r="2234" spans="9:10" x14ac:dyDescent="0.25">
      <c r="I2234" t="s">
        <v>6199</v>
      </c>
      <c r="J2234" t="s">
        <v>1624</v>
      </c>
    </row>
    <row r="2235" spans="9:10" x14ac:dyDescent="0.25">
      <c r="I2235" t="s">
        <v>254</v>
      </c>
      <c r="J2235" t="s">
        <v>5763</v>
      </c>
    </row>
    <row r="2236" spans="9:10" x14ac:dyDescent="0.25">
      <c r="I2236" t="s">
        <v>6501</v>
      </c>
      <c r="J2236" t="s">
        <v>1452</v>
      </c>
    </row>
    <row r="2237" spans="9:10" x14ac:dyDescent="0.25">
      <c r="I2237" t="s">
        <v>5286</v>
      </c>
      <c r="J2237" t="s">
        <v>810</v>
      </c>
    </row>
    <row r="2238" spans="9:10" x14ac:dyDescent="0.25">
      <c r="I2238" t="s">
        <v>313</v>
      </c>
      <c r="J2238" t="s">
        <v>1560</v>
      </c>
    </row>
    <row r="2239" spans="9:10" x14ac:dyDescent="0.25">
      <c r="I2239" t="s">
        <v>545</v>
      </c>
      <c r="J2239" t="s">
        <v>6767</v>
      </c>
    </row>
    <row r="2240" spans="9:10" x14ac:dyDescent="0.25">
      <c r="I2240" t="s">
        <v>3854</v>
      </c>
      <c r="J2240" t="s">
        <v>3967</v>
      </c>
    </row>
    <row r="2241" spans="9:10" x14ac:dyDescent="0.25">
      <c r="I2241" t="s">
        <v>5301</v>
      </c>
      <c r="J2241" t="s">
        <v>1589</v>
      </c>
    </row>
    <row r="2242" spans="9:10" x14ac:dyDescent="0.25">
      <c r="I2242" t="s">
        <v>6192</v>
      </c>
      <c r="J2242" t="s">
        <v>1276</v>
      </c>
    </row>
    <row r="2243" spans="9:10" x14ac:dyDescent="0.25">
      <c r="I2243" t="s">
        <v>254</v>
      </c>
      <c r="J2243" t="s">
        <v>5498</v>
      </c>
    </row>
    <row r="2244" spans="9:10" x14ac:dyDescent="0.25">
      <c r="I2244" t="s">
        <v>3854</v>
      </c>
      <c r="J2244" t="s">
        <v>3958</v>
      </c>
    </row>
    <row r="2245" spans="9:10" x14ac:dyDescent="0.25">
      <c r="I2245" t="s">
        <v>256</v>
      </c>
      <c r="J2245" t="s">
        <v>6225</v>
      </c>
    </row>
    <row r="2246" spans="9:10" x14ac:dyDescent="0.25">
      <c r="I2246" t="s">
        <v>311</v>
      </c>
      <c r="J2246" t="s">
        <v>1540</v>
      </c>
    </row>
    <row r="2247" spans="9:10" x14ac:dyDescent="0.25">
      <c r="I2247" t="s">
        <v>47</v>
      </c>
      <c r="J2247" t="s">
        <v>1514</v>
      </c>
    </row>
    <row r="2248" spans="9:10" x14ac:dyDescent="0.25">
      <c r="I2248" t="s">
        <v>6270</v>
      </c>
      <c r="J2248" t="s">
        <v>6271</v>
      </c>
    </row>
    <row r="2249" spans="9:10" x14ac:dyDescent="0.25">
      <c r="I2249" t="s">
        <v>336</v>
      </c>
      <c r="J2249" t="s">
        <v>2830</v>
      </c>
    </row>
    <row r="2250" spans="9:10" x14ac:dyDescent="0.25">
      <c r="I2250" t="s">
        <v>313</v>
      </c>
      <c r="J2250" t="s">
        <v>1282</v>
      </c>
    </row>
    <row r="2251" spans="9:10" x14ac:dyDescent="0.25">
      <c r="I2251" t="s">
        <v>5939</v>
      </c>
      <c r="J2251" t="s">
        <v>1141</v>
      </c>
    </row>
    <row r="2252" spans="9:10" x14ac:dyDescent="0.25">
      <c r="I2252" t="s">
        <v>22</v>
      </c>
      <c r="J2252" t="s">
        <v>1304</v>
      </c>
    </row>
    <row r="2253" spans="9:10" x14ac:dyDescent="0.25">
      <c r="I2253" t="s">
        <v>6431</v>
      </c>
      <c r="J2253" t="s">
        <v>1408</v>
      </c>
    </row>
    <row r="2254" spans="9:10" x14ac:dyDescent="0.25">
      <c r="I2254" t="s">
        <v>313</v>
      </c>
      <c r="J2254" t="s">
        <v>5428</v>
      </c>
    </row>
    <row r="2255" spans="9:10" x14ac:dyDescent="0.25">
      <c r="I2255" t="s">
        <v>313</v>
      </c>
      <c r="J2255" t="s">
        <v>1534</v>
      </c>
    </row>
    <row r="2256" spans="9:10" x14ac:dyDescent="0.25">
      <c r="I2256" t="s">
        <v>6246</v>
      </c>
      <c r="J2256" t="s">
        <v>1312</v>
      </c>
    </row>
    <row r="2257" spans="9:10" x14ac:dyDescent="0.25">
      <c r="I2257" t="s">
        <v>37</v>
      </c>
      <c r="J2257" t="s">
        <v>6580</v>
      </c>
    </row>
    <row r="2258" spans="9:10" x14ac:dyDescent="0.25">
      <c r="I2258" t="s">
        <v>313</v>
      </c>
      <c r="J2258" t="s">
        <v>2843</v>
      </c>
    </row>
    <row r="2259" spans="9:10" x14ac:dyDescent="0.25">
      <c r="I2259" t="s">
        <v>289</v>
      </c>
      <c r="J2259" t="s">
        <v>993</v>
      </c>
    </row>
    <row r="2260" spans="9:10" x14ac:dyDescent="0.25">
      <c r="I2260" t="s">
        <v>39</v>
      </c>
      <c r="J2260" t="s">
        <v>5455</v>
      </c>
    </row>
    <row r="2261" spans="9:10" x14ac:dyDescent="0.25">
      <c r="I2261" t="s">
        <v>396</v>
      </c>
      <c r="J2261" t="s">
        <v>5473</v>
      </c>
    </row>
    <row r="2262" spans="9:10" x14ac:dyDescent="0.25">
      <c r="I2262" t="s">
        <v>6175</v>
      </c>
      <c r="J2262" t="s">
        <v>6176</v>
      </c>
    </row>
    <row r="2263" spans="9:10" x14ac:dyDescent="0.25">
      <c r="I2263" t="s">
        <v>50</v>
      </c>
      <c r="J2263" t="s">
        <v>912</v>
      </c>
    </row>
    <row r="2264" spans="9:10" x14ac:dyDescent="0.25">
      <c r="I2264" t="s">
        <v>313</v>
      </c>
      <c r="J2264" t="s">
        <v>2362</v>
      </c>
    </row>
    <row r="2265" spans="9:10" x14ac:dyDescent="0.25">
      <c r="I2265" t="s">
        <v>311</v>
      </c>
      <c r="J2265" t="s">
        <v>864</v>
      </c>
    </row>
    <row r="2266" spans="9:10" x14ac:dyDescent="0.25">
      <c r="I2266" t="s">
        <v>254</v>
      </c>
      <c r="J2266" t="s">
        <v>1571</v>
      </c>
    </row>
    <row r="2267" spans="9:10" x14ac:dyDescent="0.25">
      <c r="I2267" t="s">
        <v>254</v>
      </c>
      <c r="J2267" t="s">
        <v>1509</v>
      </c>
    </row>
    <row r="2268" spans="9:10" x14ac:dyDescent="0.25">
      <c r="I2268" t="s">
        <v>396</v>
      </c>
      <c r="J2268" t="s">
        <v>5986</v>
      </c>
    </row>
    <row r="2269" spans="9:10" x14ac:dyDescent="0.25">
      <c r="I2269" t="s">
        <v>37</v>
      </c>
      <c r="J2269" t="s">
        <v>5490</v>
      </c>
    </row>
    <row r="2270" spans="9:10" x14ac:dyDescent="0.25">
      <c r="I2270" t="s">
        <v>313</v>
      </c>
      <c r="J2270" t="s">
        <v>5917</v>
      </c>
    </row>
    <row r="2271" spans="9:10" x14ac:dyDescent="0.25">
      <c r="I2271" t="s">
        <v>6759</v>
      </c>
      <c r="J2271" t="s">
        <v>1585</v>
      </c>
    </row>
    <row r="2272" spans="9:10" x14ac:dyDescent="0.25">
      <c r="I2272" t="s">
        <v>5403</v>
      </c>
      <c r="J2272" t="s">
        <v>871</v>
      </c>
    </row>
    <row r="2273" spans="9:10" x14ac:dyDescent="0.25">
      <c r="I2273" t="s">
        <v>289</v>
      </c>
      <c r="J2273" t="s">
        <v>1564</v>
      </c>
    </row>
    <row r="2274" spans="9:10" x14ac:dyDescent="0.25">
      <c r="I2274" t="s">
        <v>6058</v>
      </c>
      <c r="J2274" t="s">
        <v>1199</v>
      </c>
    </row>
    <row r="2275" spans="9:10" x14ac:dyDescent="0.25">
      <c r="I2275" t="s">
        <v>6237</v>
      </c>
      <c r="J2275" t="s">
        <v>1430</v>
      </c>
    </row>
    <row r="2276" spans="9:10" x14ac:dyDescent="0.25">
      <c r="I2276" t="s">
        <v>254</v>
      </c>
      <c r="J2276" t="s">
        <v>1116</v>
      </c>
    </row>
    <row r="2277" spans="9:10" x14ac:dyDescent="0.25">
      <c r="I2277" t="s">
        <v>39</v>
      </c>
      <c r="J2277" t="s">
        <v>6209</v>
      </c>
    </row>
    <row r="2278" spans="9:10" x14ac:dyDescent="0.25">
      <c r="I2278" t="s">
        <v>6570</v>
      </c>
      <c r="J2278" t="s">
        <v>6571</v>
      </c>
    </row>
    <row r="2279" spans="9:10" x14ac:dyDescent="0.25">
      <c r="I2279" t="s">
        <v>6013</v>
      </c>
      <c r="J2279" t="s">
        <v>2850</v>
      </c>
    </row>
    <row r="2280" spans="9:10" x14ac:dyDescent="0.25">
      <c r="I2280" t="s">
        <v>40</v>
      </c>
      <c r="J2280" t="s">
        <v>1024</v>
      </c>
    </row>
    <row r="2281" spans="9:10" x14ac:dyDescent="0.25">
      <c r="I2281" t="s">
        <v>289</v>
      </c>
      <c r="J2281" t="s">
        <v>1581</v>
      </c>
    </row>
    <row r="2282" spans="9:10" x14ac:dyDescent="0.25">
      <c r="I2282" t="s">
        <v>253</v>
      </c>
      <c r="J2282" t="s">
        <v>5243</v>
      </c>
    </row>
    <row r="2283" spans="9:10" x14ac:dyDescent="0.25">
      <c r="I2283" t="s">
        <v>311</v>
      </c>
      <c r="J2283" t="s">
        <v>1111</v>
      </c>
    </row>
    <row r="2284" spans="9:10" x14ac:dyDescent="0.25">
      <c r="I2284" t="s">
        <v>276</v>
      </c>
      <c r="J2284" t="s">
        <v>829</v>
      </c>
    </row>
    <row r="2285" spans="9:10" x14ac:dyDescent="0.25">
      <c r="I2285" t="s">
        <v>39</v>
      </c>
      <c r="J2285" t="s">
        <v>2987</v>
      </c>
    </row>
    <row r="2286" spans="9:10" x14ac:dyDescent="0.25">
      <c r="I2286" t="s">
        <v>311</v>
      </c>
      <c r="J2286" t="s">
        <v>1508</v>
      </c>
    </row>
    <row r="2287" spans="9:10" x14ac:dyDescent="0.25">
      <c r="I2287" t="s">
        <v>253</v>
      </c>
      <c r="J2287" t="s">
        <v>800</v>
      </c>
    </row>
    <row r="2288" spans="9:10" x14ac:dyDescent="0.25">
      <c r="I2288" t="s">
        <v>6611</v>
      </c>
      <c r="J2288" t="s">
        <v>2948</v>
      </c>
    </row>
    <row r="2289" spans="9:10" x14ac:dyDescent="0.25">
      <c r="I2289" t="s">
        <v>6341</v>
      </c>
      <c r="J2289" t="s">
        <v>2901</v>
      </c>
    </row>
    <row r="2290" spans="9:10" x14ac:dyDescent="0.25">
      <c r="I2290" t="s">
        <v>5641</v>
      </c>
      <c r="J2290" t="s">
        <v>987</v>
      </c>
    </row>
    <row r="2291" spans="9:10" x14ac:dyDescent="0.25">
      <c r="I2291" t="s">
        <v>6014</v>
      </c>
      <c r="J2291" t="s">
        <v>6015</v>
      </c>
    </row>
    <row r="2292" spans="9:10" x14ac:dyDescent="0.25">
      <c r="I2292" t="s">
        <v>5516</v>
      </c>
      <c r="J2292" t="s">
        <v>5517</v>
      </c>
    </row>
    <row r="2293" spans="9:10" x14ac:dyDescent="0.25">
      <c r="I2293" t="s">
        <v>15</v>
      </c>
      <c r="J2293" t="s">
        <v>2845</v>
      </c>
    </row>
    <row r="2294" spans="9:10" x14ac:dyDescent="0.25">
      <c r="I2294" t="s">
        <v>5599</v>
      </c>
      <c r="J2294" t="s">
        <v>2809</v>
      </c>
    </row>
    <row r="2295" spans="9:10" x14ac:dyDescent="0.25">
      <c r="I2295" t="s">
        <v>39</v>
      </c>
      <c r="J2295" t="s">
        <v>2868</v>
      </c>
    </row>
    <row r="2296" spans="9:10" x14ac:dyDescent="0.25">
      <c r="I2296" t="s">
        <v>273</v>
      </c>
      <c r="J2296" t="s">
        <v>1269</v>
      </c>
    </row>
    <row r="2297" spans="9:10" x14ac:dyDescent="0.25">
      <c r="I2297" t="s">
        <v>253</v>
      </c>
      <c r="J2297" t="s">
        <v>1137</v>
      </c>
    </row>
    <row r="2298" spans="9:10" x14ac:dyDescent="0.25">
      <c r="I2298" t="s">
        <v>5993</v>
      </c>
      <c r="J2298" t="s">
        <v>1168</v>
      </c>
    </row>
    <row r="2299" spans="9:10" x14ac:dyDescent="0.25">
      <c r="I2299" t="s">
        <v>37</v>
      </c>
      <c r="J2299" t="s">
        <v>5231</v>
      </c>
    </row>
    <row r="2300" spans="9:10" x14ac:dyDescent="0.25">
      <c r="I2300" t="s">
        <v>311</v>
      </c>
      <c r="J2300" t="s">
        <v>905</v>
      </c>
    </row>
    <row r="2301" spans="9:10" x14ac:dyDescent="0.25">
      <c r="I2301" t="s">
        <v>37</v>
      </c>
      <c r="J2301" t="s">
        <v>6799</v>
      </c>
    </row>
    <row r="2302" spans="9:10" x14ac:dyDescent="0.25">
      <c r="I2302" t="s">
        <v>5474</v>
      </c>
      <c r="J2302" t="s">
        <v>5475</v>
      </c>
    </row>
    <row r="2303" spans="9:10" x14ac:dyDescent="0.25">
      <c r="I2303" t="s">
        <v>39</v>
      </c>
      <c r="J2303" t="s">
        <v>2858</v>
      </c>
    </row>
    <row r="2304" spans="9:10" x14ac:dyDescent="0.25">
      <c r="I2304" t="s">
        <v>5901</v>
      </c>
      <c r="J2304" t="s">
        <v>1119</v>
      </c>
    </row>
    <row r="2305" spans="9:10" x14ac:dyDescent="0.25">
      <c r="I2305" t="s">
        <v>5633</v>
      </c>
      <c r="J2305" t="s">
        <v>978</v>
      </c>
    </row>
    <row r="2306" spans="9:10" x14ac:dyDescent="0.25">
      <c r="I2306" t="s">
        <v>253</v>
      </c>
      <c r="J2306" t="s">
        <v>904</v>
      </c>
    </row>
    <row r="2307" spans="9:10" x14ac:dyDescent="0.25">
      <c r="I2307" t="s">
        <v>393</v>
      </c>
      <c r="J2307" t="s">
        <v>1314</v>
      </c>
    </row>
    <row r="2308" spans="9:10" x14ac:dyDescent="0.25">
      <c r="I2308" t="s">
        <v>548</v>
      </c>
      <c r="J2308" t="s">
        <v>2924</v>
      </c>
    </row>
    <row r="2309" spans="9:10" x14ac:dyDescent="0.25">
      <c r="I2309" t="s">
        <v>393</v>
      </c>
      <c r="J2309" t="s">
        <v>5665</v>
      </c>
    </row>
    <row r="2310" spans="9:10" x14ac:dyDescent="0.25">
      <c r="I2310" t="s">
        <v>6309</v>
      </c>
      <c r="J2310" t="s">
        <v>1352</v>
      </c>
    </row>
    <row r="2311" spans="9:10" x14ac:dyDescent="0.25">
      <c r="I2311" t="s">
        <v>5721</v>
      </c>
      <c r="J2311" t="s">
        <v>5722</v>
      </c>
    </row>
    <row r="2312" spans="9:10" x14ac:dyDescent="0.25">
      <c r="I2312" t="s">
        <v>2732</v>
      </c>
      <c r="J2312" t="s">
        <v>3897</v>
      </c>
    </row>
    <row r="2313" spans="9:10" x14ac:dyDescent="0.25">
      <c r="I2313" t="s">
        <v>45</v>
      </c>
      <c r="J2313" t="s">
        <v>998</v>
      </c>
    </row>
    <row r="2314" spans="9:10" x14ac:dyDescent="0.25">
      <c r="I2314" t="s">
        <v>393</v>
      </c>
      <c r="J2314" t="s">
        <v>1011</v>
      </c>
    </row>
    <row r="2315" spans="9:10" x14ac:dyDescent="0.25">
      <c r="I2315" t="s">
        <v>254</v>
      </c>
      <c r="J2315" t="s">
        <v>5357</v>
      </c>
    </row>
    <row r="2316" spans="9:10" x14ac:dyDescent="0.25">
      <c r="I2316" t="s">
        <v>393</v>
      </c>
      <c r="J2316" t="s">
        <v>2812</v>
      </c>
    </row>
    <row r="2317" spans="9:10" x14ac:dyDescent="0.25">
      <c r="I2317" t="s">
        <v>313</v>
      </c>
      <c r="J2317" t="s">
        <v>1267</v>
      </c>
    </row>
    <row r="2318" spans="9:10" x14ac:dyDescent="0.25">
      <c r="I2318" t="s">
        <v>280</v>
      </c>
      <c r="J2318" t="s">
        <v>1315</v>
      </c>
    </row>
    <row r="2319" spans="9:10" x14ac:dyDescent="0.25">
      <c r="I2319" t="s">
        <v>400</v>
      </c>
      <c r="J2319" t="s">
        <v>1391</v>
      </c>
    </row>
    <row r="2320" spans="9:10" x14ac:dyDescent="0.25">
      <c r="I2320" t="s">
        <v>37</v>
      </c>
      <c r="J2320" t="s">
        <v>6785</v>
      </c>
    </row>
    <row r="2321" spans="9:10" x14ac:dyDescent="0.25">
      <c r="I2321" t="s">
        <v>37</v>
      </c>
      <c r="J2321" t="s">
        <v>6544</v>
      </c>
    </row>
    <row r="2322" spans="9:10" x14ac:dyDescent="0.25">
      <c r="I2322" t="s">
        <v>306</v>
      </c>
      <c r="J2322" t="s">
        <v>1047</v>
      </c>
    </row>
    <row r="2323" spans="9:10" x14ac:dyDescent="0.25">
      <c r="I2323" t="s">
        <v>5429</v>
      </c>
      <c r="J2323" t="s">
        <v>882</v>
      </c>
    </row>
    <row r="2324" spans="9:10" x14ac:dyDescent="0.25">
      <c r="I2324" t="s">
        <v>254</v>
      </c>
      <c r="J2324" t="s">
        <v>6593</v>
      </c>
    </row>
    <row r="2325" spans="9:10" x14ac:dyDescent="0.25">
      <c r="I2325" t="s">
        <v>280</v>
      </c>
      <c r="J2325" t="s">
        <v>843</v>
      </c>
    </row>
    <row r="2326" spans="9:10" x14ac:dyDescent="0.25">
      <c r="I2326" t="s">
        <v>253</v>
      </c>
      <c r="J2326" t="s">
        <v>5960</v>
      </c>
    </row>
    <row r="2327" spans="9:10" x14ac:dyDescent="0.25">
      <c r="I2327" t="s">
        <v>278</v>
      </c>
      <c r="J2327" t="s">
        <v>1499</v>
      </c>
    </row>
    <row r="2328" spans="9:10" x14ac:dyDescent="0.25">
      <c r="I2328" t="s">
        <v>273</v>
      </c>
      <c r="J2328" t="s">
        <v>1532</v>
      </c>
    </row>
    <row r="2329" spans="9:10" x14ac:dyDescent="0.25">
      <c r="I2329" t="s">
        <v>4430</v>
      </c>
      <c r="J2329" t="s">
        <v>6205</v>
      </c>
    </row>
    <row r="2330" spans="9:10" x14ac:dyDescent="0.25">
      <c r="I2330" t="s">
        <v>347</v>
      </c>
      <c r="J2330" t="s">
        <v>898</v>
      </c>
    </row>
    <row r="2331" spans="9:10" x14ac:dyDescent="0.25">
      <c r="I2331" t="s">
        <v>6511</v>
      </c>
      <c r="J2331" t="s">
        <v>6512</v>
      </c>
    </row>
    <row r="2332" spans="9:10" x14ac:dyDescent="0.25">
      <c r="I2332" t="s">
        <v>548</v>
      </c>
      <c r="J2332" t="s">
        <v>5999</v>
      </c>
    </row>
    <row r="2333" spans="9:10" x14ac:dyDescent="0.25">
      <c r="I2333" t="s">
        <v>6641</v>
      </c>
      <c r="J2333" t="s">
        <v>4094</v>
      </c>
    </row>
    <row r="2334" spans="9:10" x14ac:dyDescent="0.25">
      <c r="I2334" t="s">
        <v>393</v>
      </c>
      <c r="J2334" t="s">
        <v>2517</v>
      </c>
    </row>
    <row r="2335" spans="9:10" x14ac:dyDescent="0.25">
      <c r="I2335" t="s">
        <v>311</v>
      </c>
      <c r="J2335" t="s">
        <v>872</v>
      </c>
    </row>
    <row r="2336" spans="9:10" x14ac:dyDescent="0.25">
      <c r="I2336" t="s">
        <v>5287</v>
      </c>
      <c r="J2336" t="s">
        <v>1157</v>
      </c>
    </row>
    <row r="2337" spans="9:10" x14ac:dyDescent="0.25">
      <c r="I2337" t="s">
        <v>5984</v>
      </c>
      <c r="J2337" t="s">
        <v>4125</v>
      </c>
    </row>
    <row r="2338" spans="9:10" x14ac:dyDescent="0.25">
      <c r="I2338" t="s">
        <v>280</v>
      </c>
      <c r="J2338" t="s">
        <v>5213</v>
      </c>
    </row>
    <row r="2339" spans="9:10" x14ac:dyDescent="0.25">
      <c r="I2339" t="s">
        <v>44</v>
      </c>
      <c r="J2339" t="s">
        <v>6030</v>
      </c>
    </row>
    <row r="2340" spans="9:10" x14ac:dyDescent="0.25">
      <c r="I2340" t="s">
        <v>123</v>
      </c>
      <c r="J2340" t="s">
        <v>6262</v>
      </c>
    </row>
    <row r="2341" spans="9:10" x14ac:dyDescent="0.25">
      <c r="I2341" t="s">
        <v>313</v>
      </c>
      <c r="J2341" t="s">
        <v>6304</v>
      </c>
    </row>
    <row r="2342" spans="9:10" x14ac:dyDescent="0.25">
      <c r="I2342" t="s">
        <v>280</v>
      </c>
      <c r="J2342" t="s">
        <v>860</v>
      </c>
    </row>
    <row r="2343" spans="9:10" x14ac:dyDescent="0.25">
      <c r="I2343" t="s">
        <v>254</v>
      </c>
      <c r="J2343" t="s">
        <v>6089</v>
      </c>
    </row>
    <row r="2344" spans="9:10" x14ac:dyDescent="0.25">
      <c r="I2344" t="s">
        <v>39</v>
      </c>
      <c r="J2344" t="s">
        <v>2790</v>
      </c>
    </row>
    <row r="2345" spans="9:10" x14ac:dyDescent="0.25">
      <c r="I2345" t="s">
        <v>548</v>
      </c>
      <c r="J2345" t="s">
        <v>7974</v>
      </c>
    </row>
    <row r="2346" spans="9:10" x14ac:dyDescent="0.25">
      <c r="I2346" t="s">
        <v>548</v>
      </c>
      <c r="J2346" t="s">
        <v>1109</v>
      </c>
    </row>
    <row r="2347" spans="9:10" x14ac:dyDescent="0.25">
      <c r="I2347" t="s">
        <v>289</v>
      </c>
      <c r="J2347" t="s">
        <v>1619</v>
      </c>
    </row>
    <row r="2348" spans="9:10" x14ac:dyDescent="0.25">
      <c r="I2348" t="s">
        <v>5719</v>
      </c>
      <c r="J2348" t="s">
        <v>1428</v>
      </c>
    </row>
    <row r="2349" spans="9:10" x14ac:dyDescent="0.25">
      <c r="I2349" t="s">
        <v>356</v>
      </c>
      <c r="J2349" t="s">
        <v>3912</v>
      </c>
    </row>
    <row r="2350" spans="9:10" x14ac:dyDescent="0.25">
      <c r="I2350" t="s">
        <v>295</v>
      </c>
      <c r="J2350" t="s">
        <v>6495</v>
      </c>
    </row>
    <row r="2351" spans="9:10" x14ac:dyDescent="0.25">
      <c r="I2351" t="s">
        <v>91</v>
      </c>
      <c r="J2351" t="s">
        <v>1149</v>
      </c>
    </row>
    <row r="2352" spans="9:10" x14ac:dyDescent="0.25">
      <c r="I2352" t="s">
        <v>5214</v>
      </c>
      <c r="J2352" t="s">
        <v>1134</v>
      </c>
    </row>
    <row r="2353" spans="9:10" x14ac:dyDescent="0.25">
      <c r="I2353" t="s">
        <v>253</v>
      </c>
      <c r="J2353" t="s">
        <v>6483</v>
      </c>
    </row>
    <row r="2354" spans="9:10" x14ac:dyDescent="0.25">
      <c r="I2354" t="s">
        <v>6376</v>
      </c>
      <c r="J2354" t="s">
        <v>1127</v>
      </c>
    </row>
    <row r="2355" spans="9:10" x14ac:dyDescent="0.25">
      <c r="I2355" t="s">
        <v>280</v>
      </c>
      <c r="J2355" t="s">
        <v>5480</v>
      </c>
    </row>
    <row r="2356" spans="9:10" x14ac:dyDescent="0.25">
      <c r="I2356" t="s">
        <v>273</v>
      </c>
      <c r="J2356" t="s">
        <v>1327</v>
      </c>
    </row>
    <row r="2357" spans="9:10" x14ac:dyDescent="0.25">
      <c r="I2357" t="s">
        <v>40</v>
      </c>
      <c r="J2357" t="s">
        <v>1456</v>
      </c>
    </row>
    <row r="2358" spans="9:10" x14ac:dyDescent="0.25">
      <c r="I2358" t="s">
        <v>4430</v>
      </c>
      <c r="J2358" t="s">
        <v>5366</v>
      </c>
    </row>
    <row r="2359" spans="9:10" x14ac:dyDescent="0.25">
      <c r="I2359" t="s">
        <v>3854</v>
      </c>
      <c r="J2359" t="s">
        <v>4106</v>
      </c>
    </row>
    <row r="2360" spans="9:10" x14ac:dyDescent="0.25">
      <c r="I2360" t="s">
        <v>254</v>
      </c>
      <c r="J2360" t="s">
        <v>6467</v>
      </c>
    </row>
    <row r="2361" spans="9:10" x14ac:dyDescent="0.25">
      <c r="I2361" t="s">
        <v>393</v>
      </c>
      <c r="J2361" t="s">
        <v>1093</v>
      </c>
    </row>
    <row r="2362" spans="9:10" x14ac:dyDescent="0.25">
      <c r="I2362" t="s">
        <v>123</v>
      </c>
      <c r="J2362" t="s">
        <v>6012</v>
      </c>
    </row>
    <row r="2363" spans="9:10" x14ac:dyDescent="0.25">
      <c r="I2363" t="s">
        <v>5898</v>
      </c>
      <c r="J2363" t="s">
        <v>1115</v>
      </c>
    </row>
    <row r="2364" spans="9:10" x14ac:dyDescent="0.25">
      <c r="I2364" t="s">
        <v>347</v>
      </c>
      <c r="J2364" t="s">
        <v>1368</v>
      </c>
    </row>
    <row r="2365" spans="9:10" x14ac:dyDescent="0.25">
      <c r="I2365" t="s">
        <v>276</v>
      </c>
      <c r="J2365" t="s">
        <v>6412</v>
      </c>
    </row>
    <row r="2366" spans="9:10" x14ac:dyDescent="0.25">
      <c r="I2366" t="s">
        <v>276</v>
      </c>
      <c r="J2366" t="s">
        <v>6098</v>
      </c>
    </row>
    <row r="2367" spans="9:10" x14ac:dyDescent="0.25">
      <c r="I2367" t="s">
        <v>46</v>
      </c>
      <c r="J2367" t="s">
        <v>2474</v>
      </c>
    </row>
    <row r="2368" spans="9:10" x14ac:dyDescent="0.25">
      <c r="I2368" t="s">
        <v>5287</v>
      </c>
      <c r="J2368" t="s">
        <v>928</v>
      </c>
    </row>
    <row r="2369" spans="9:10" x14ac:dyDescent="0.25">
      <c r="I2369" t="s">
        <v>39</v>
      </c>
      <c r="J2369" t="s">
        <v>5828</v>
      </c>
    </row>
    <row r="2370" spans="9:10" x14ac:dyDescent="0.25">
      <c r="I2370" t="s">
        <v>313</v>
      </c>
      <c r="J2370" t="s">
        <v>902</v>
      </c>
    </row>
    <row r="2371" spans="9:10" x14ac:dyDescent="0.25">
      <c r="I2371" t="s">
        <v>393</v>
      </c>
      <c r="J2371" t="s">
        <v>991</v>
      </c>
    </row>
    <row r="2372" spans="9:10" x14ac:dyDescent="0.25">
      <c r="I2372" t="s">
        <v>548</v>
      </c>
      <c r="J2372" t="s">
        <v>5709</v>
      </c>
    </row>
    <row r="2373" spans="9:10" x14ac:dyDescent="0.25">
      <c r="I2373" t="s">
        <v>356</v>
      </c>
      <c r="J2373" t="s">
        <v>3870</v>
      </c>
    </row>
    <row r="2374" spans="9:10" x14ac:dyDescent="0.25">
      <c r="I2374" t="s">
        <v>4929</v>
      </c>
      <c r="J2374" t="s">
        <v>6042</v>
      </c>
    </row>
    <row r="2375" spans="9:10" x14ac:dyDescent="0.25">
      <c r="I2375" t="s">
        <v>40</v>
      </c>
      <c r="J2375" t="s">
        <v>6384</v>
      </c>
    </row>
    <row r="2376" spans="9:10" x14ac:dyDescent="0.25">
      <c r="I2376" t="s">
        <v>311</v>
      </c>
      <c r="J2376" t="s">
        <v>1132</v>
      </c>
    </row>
    <row r="2377" spans="9:10" x14ac:dyDescent="0.25">
      <c r="I2377" t="s">
        <v>3884</v>
      </c>
      <c r="J2377" t="s">
        <v>4042</v>
      </c>
    </row>
    <row r="2378" spans="9:10" x14ac:dyDescent="0.25">
      <c r="I2378" t="s">
        <v>313</v>
      </c>
      <c r="J2378" t="s">
        <v>6303</v>
      </c>
    </row>
    <row r="2379" spans="9:10" x14ac:dyDescent="0.25">
      <c r="I2379" t="s">
        <v>5453</v>
      </c>
      <c r="J2379" t="s">
        <v>2373</v>
      </c>
    </row>
    <row r="2380" spans="9:10" x14ac:dyDescent="0.25">
      <c r="I2380" t="s">
        <v>6092</v>
      </c>
      <c r="J2380" t="s">
        <v>1219</v>
      </c>
    </row>
    <row r="2381" spans="9:10" x14ac:dyDescent="0.25">
      <c r="I2381" t="s">
        <v>5609</v>
      </c>
      <c r="J2381" t="s">
        <v>6720</v>
      </c>
    </row>
    <row r="2382" spans="9:10" x14ac:dyDescent="0.25">
      <c r="I2382" t="s">
        <v>122</v>
      </c>
      <c r="J2382" t="s">
        <v>5855</v>
      </c>
    </row>
    <row r="2383" spans="9:10" x14ac:dyDescent="0.25">
      <c r="I2383" t="s">
        <v>336</v>
      </c>
      <c r="J2383" t="s">
        <v>6248</v>
      </c>
    </row>
    <row r="2384" spans="9:10" x14ac:dyDescent="0.25">
      <c r="I2384" t="s">
        <v>4775</v>
      </c>
      <c r="J2384" t="s">
        <v>845</v>
      </c>
    </row>
    <row r="2385" spans="9:10" x14ac:dyDescent="0.25">
      <c r="I2385" t="s">
        <v>396</v>
      </c>
      <c r="J2385" t="s">
        <v>4002</v>
      </c>
    </row>
    <row r="2386" spans="9:10" x14ac:dyDescent="0.25">
      <c r="I2386" t="s">
        <v>254</v>
      </c>
      <c r="J2386" t="s">
        <v>6146</v>
      </c>
    </row>
    <row r="2387" spans="9:10" x14ac:dyDescent="0.25">
      <c r="I2387" t="s">
        <v>396</v>
      </c>
      <c r="J2387" t="s">
        <v>4012</v>
      </c>
    </row>
    <row r="2388" spans="9:10" x14ac:dyDescent="0.25">
      <c r="I2388" t="s">
        <v>36</v>
      </c>
      <c r="J2388" t="s">
        <v>5840</v>
      </c>
    </row>
    <row r="2389" spans="9:10" x14ac:dyDescent="0.25">
      <c r="I2389" t="s">
        <v>5221</v>
      </c>
      <c r="J2389" t="s">
        <v>5222</v>
      </c>
    </row>
    <row r="2390" spans="9:10" x14ac:dyDescent="0.25">
      <c r="I2390" t="s">
        <v>5369</v>
      </c>
      <c r="J2390" t="s">
        <v>3983</v>
      </c>
    </row>
    <row r="2391" spans="9:10" x14ac:dyDescent="0.25">
      <c r="I2391" t="s">
        <v>39</v>
      </c>
      <c r="J2391" t="s">
        <v>2367</v>
      </c>
    </row>
    <row r="2392" spans="9:10" x14ac:dyDescent="0.25">
      <c r="I2392" t="s">
        <v>123</v>
      </c>
      <c r="J2392" t="s">
        <v>6401</v>
      </c>
    </row>
    <row r="2393" spans="9:10" x14ac:dyDescent="0.25">
      <c r="I2393" t="s">
        <v>6075</v>
      </c>
      <c r="J2393" t="s">
        <v>6076</v>
      </c>
    </row>
    <row r="2394" spans="9:10" x14ac:dyDescent="0.25">
      <c r="I2394" t="s">
        <v>44</v>
      </c>
      <c r="J2394" t="s">
        <v>6402</v>
      </c>
    </row>
    <row r="2395" spans="9:10" x14ac:dyDescent="0.25">
      <c r="I2395" t="s">
        <v>37</v>
      </c>
      <c r="J2395" t="s">
        <v>5804</v>
      </c>
    </row>
    <row r="2396" spans="9:10" x14ac:dyDescent="0.25">
      <c r="I2396" t="s">
        <v>280</v>
      </c>
      <c r="J2396" t="s">
        <v>5568</v>
      </c>
    </row>
    <row r="2397" spans="9:10" x14ac:dyDescent="0.25">
      <c r="I2397" t="s">
        <v>5896</v>
      </c>
      <c r="J2397" t="s">
        <v>2485</v>
      </c>
    </row>
    <row r="2398" spans="9:10" x14ac:dyDescent="0.25">
      <c r="I2398" t="s">
        <v>289</v>
      </c>
      <c r="J2398" t="s">
        <v>1557</v>
      </c>
    </row>
    <row r="2399" spans="9:10" x14ac:dyDescent="0.25">
      <c r="I2399" t="s">
        <v>289</v>
      </c>
      <c r="J2399" t="s">
        <v>6855</v>
      </c>
    </row>
    <row r="2400" spans="9:10" x14ac:dyDescent="0.25">
      <c r="I2400" t="s">
        <v>5228</v>
      </c>
      <c r="J2400" t="s">
        <v>4050</v>
      </c>
    </row>
    <row r="2401" spans="9:10" x14ac:dyDescent="0.25">
      <c r="I2401" t="s">
        <v>37</v>
      </c>
      <c r="J2401" t="s">
        <v>6040</v>
      </c>
    </row>
    <row r="2402" spans="9:10" x14ac:dyDescent="0.25">
      <c r="I2402" t="s">
        <v>257</v>
      </c>
      <c r="J2402" t="s">
        <v>5570</v>
      </c>
    </row>
    <row r="2403" spans="9:10" x14ac:dyDescent="0.25">
      <c r="I2403" t="s">
        <v>5576</v>
      </c>
      <c r="J2403" t="s">
        <v>3923</v>
      </c>
    </row>
    <row r="2404" spans="9:10" x14ac:dyDescent="0.25">
      <c r="I2404" t="s">
        <v>418</v>
      </c>
      <c r="J2404" t="s">
        <v>6586</v>
      </c>
    </row>
    <row r="2405" spans="9:10" x14ac:dyDescent="0.25">
      <c r="I2405" t="s">
        <v>4430</v>
      </c>
      <c r="J2405" t="s">
        <v>5725</v>
      </c>
    </row>
    <row r="2406" spans="9:10" x14ac:dyDescent="0.25">
      <c r="I2406" t="s">
        <v>313</v>
      </c>
      <c r="J2406" t="s">
        <v>7966</v>
      </c>
    </row>
    <row r="2407" spans="9:10" x14ac:dyDescent="0.25">
      <c r="I2407" t="s">
        <v>6407</v>
      </c>
      <c r="J2407" t="s">
        <v>1401</v>
      </c>
    </row>
    <row r="2408" spans="9:10" x14ac:dyDescent="0.25">
      <c r="I2408" t="s">
        <v>318</v>
      </c>
      <c r="J2408" t="s">
        <v>5841</v>
      </c>
    </row>
    <row r="2409" spans="9:10" x14ac:dyDescent="0.25">
      <c r="I2409" t="s">
        <v>4430</v>
      </c>
      <c r="J2409" t="s">
        <v>6194</v>
      </c>
    </row>
    <row r="2410" spans="9:10" x14ac:dyDescent="0.25">
      <c r="I2410" t="s">
        <v>400</v>
      </c>
      <c r="J2410" t="s">
        <v>5259</v>
      </c>
    </row>
    <row r="2411" spans="9:10" x14ac:dyDescent="0.25">
      <c r="I2411" t="s">
        <v>5287</v>
      </c>
      <c r="J2411" t="s">
        <v>2506</v>
      </c>
    </row>
    <row r="2412" spans="9:10" x14ac:dyDescent="0.25">
      <c r="I2412" t="s">
        <v>418</v>
      </c>
      <c r="J2412" t="s">
        <v>6614</v>
      </c>
    </row>
    <row r="2413" spans="9:10" x14ac:dyDescent="0.25">
      <c r="I2413" t="s">
        <v>36</v>
      </c>
      <c r="J2413" t="s">
        <v>5952</v>
      </c>
    </row>
    <row r="2414" spans="9:10" x14ac:dyDescent="0.25">
      <c r="I2414" t="s">
        <v>37</v>
      </c>
      <c r="J2414" t="s">
        <v>5313</v>
      </c>
    </row>
    <row r="2415" spans="9:10" x14ac:dyDescent="0.25">
      <c r="I2415" t="s">
        <v>276</v>
      </c>
      <c r="J2415" t="s">
        <v>5902</v>
      </c>
    </row>
    <row r="2416" spans="9:10" x14ac:dyDescent="0.25">
      <c r="I2416" t="s">
        <v>276</v>
      </c>
      <c r="J2416" t="s">
        <v>5887</v>
      </c>
    </row>
    <row r="2417" spans="9:10" x14ac:dyDescent="0.25">
      <c r="I2417" t="s">
        <v>313</v>
      </c>
      <c r="J2417" t="s">
        <v>1023</v>
      </c>
    </row>
    <row r="2418" spans="9:10" x14ac:dyDescent="0.25">
      <c r="I2418" t="s">
        <v>5989</v>
      </c>
      <c r="J2418" t="s">
        <v>2488</v>
      </c>
    </row>
    <row r="2419" spans="9:10" x14ac:dyDescent="0.25">
      <c r="I2419" t="s">
        <v>5301</v>
      </c>
      <c r="J2419" t="s">
        <v>817</v>
      </c>
    </row>
    <row r="2420" spans="9:10" x14ac:dyDescent="0.25">
      <c r="I2420" t="s">
        <v>6662</v>
      </c>
      <c r="J2420" t="s">
        <v>2957</v>
      </c>
    </row>
    <row r="2421" spans="9:10" x14ac:dyDescent="0.25">
      <c r="I2421" t="s">
        <v>306</v>
      </c>
      <c r="J2421" t="s">
        <v>6149</v>
      </c>
    </row>
    <row r="2422" spans="9:10" x14ac:dyDescent="0.25">
      <c r="I2422" t="s">
        <v>289</v>
      </c>
      <c r="J2422" t="s">
        <v>1562</v>
      </c>
    </row>
    <row r="2423" spans="9:10" x14ac:dyDescent="0.25">
      <c r="I2423" t="s">
        <v>418</v>
      </c>
      <c r="J2423" t="s">
        <v>6475</v>
      </c>
    </row>
    <row r="2424" spans="9:10" x14ac:dyDescent="0.25">
      <c r="I2424" t="s">
        <v>39</v>
      </c>
      <c r="J2424" t="s">
        <v>5723</v>
      </c>
    </row>
    <row r="2425" spans="9:10" x14ac:dyDescent="0.25">
      <c r="I2425" t="s">
        <v>40</v>
      </c>
      <c r="J2425" t="s">
        <v>6416</v>
      </c>
    </row>
    <row r="2426" spans="9:10" x14ac:dyDescent="0.25">
      <c r="I2426" t="s">
        <v>5350</v>
      </c>
      <c r="J2426" t="s">
        <v>3892</v>
      </c>
    </row>
    <row r="2427" spans="9:10" x14ac:dyDescent="0.25">
      <c r="I2427" t="s">
        <v>2443</v>
      </c>
      <c r="J2427" t="s">
        <v>6670</v>
      </c>
    </row>
    <row r="2428" spans="9:10" x14ac:dyDescent="0.25">
      <c r="I2428" t="s">
        <v>289</v>
      </c>
      <c r="J2428" t="s">
        <v>1567</v>
      </c>
    </row>
    <row r="2429" spans="9:10" x14ac:dyDescent="0.25">
      <c r="I2429" t="s">
        <v>5984</v>
      </c>
      <c r="J2429" t="s">
        <v>3991</v>
      </c>
    </row>
    <row r="2430" spans="9:10" x14ac:dyDescent="0.25">
      <c r="I2430" t="s">
        <v>5287</v>
      </c>
      <c r="J2430" t="s">
        <v>1056</v>
      </c>
    </row>
    <row r="2431" spans="9:10" x14ac:dyDescent="0.25">
      <c r="I2431" t="s">
        <v>2443</v>
      </c>
      <c r="J2431" t="s">
        <v>6606</v>
      </c>
    </row>
    <row r="2432" spans="9:10" x14ac:dyDescent="0.25">
      <c r="I2432" t="s">
        <v>418</v>
      </c>
      <c r="J2432" t="s">
        <v>6554</v>
      </c>
    </row>
    <row r="2433" spans="9:10" x14ac:dyDescent="0.25">
      <c r="I2433" t="s">
        <v>313</v>
      </c>
      <c r="J2433" t="s">
        <v>1204</v>
      </c>
    </row>
    <row r="2434" spans="9:10" x14ac:dyDescent="0.25">
      <c r="I2434" t="s">
        <v>123</v>
      </c>
      <c r="J2434" t="s">
        <v>6843</v>
      </c>
    </row>
    <row r="2435" spans="9:10" x14ac:dyDescent="0.25">
      <c r="I2435" t="s">
        <v>2443</v>
      </c>
      <c r="J2435" t="s">
        <v>6432</v>
      </c>
    </row>
    <row r="2436" spans="9:10" x14ac:dyDescent="0.25">
      <c r="I2436" t="s">
        <v>418</v>
      </c>
      <c r="J2436" t="s">
        <v>6697</v>
      </c>
    </row>
    <row r="2437" spans="9:10" x14ac:dyDescent="0.25">
      <c r="I2437" t="s">
        <v>418</v>
      </c>
      <c r="J2437" t="s">
        <v>6258</v>
      </c>
    </row>
    <row r="2438" spans="9:10" x14ac:dyDescent="0.25">
      <c r="I2438" t="s">
        <v>3854</v>
      </c>
      <c r="J2438" t="s">
        <v>3921</v>
      </c>
    </row>
    <row r="2439" spans="9:10" x14ac:dyDescent="0.25">
      <c r="I2439" t="s">
        <v>123</v>
      </c>
      <c r="J2439" t="s">
        <v>6815</v>
      </c>
    </row>
    <row r="2440" spans="9:10" x14ac:dyDescent="0.25">
      <c r="I2440" t="s">
        <v>44</v>
      </c>
      <c r="J2440" t="s">
        <v>6004</v>
      </c>
    </row>
    <row r="2441" spans="9:10" x14ac:dyDescent="0.25">
      <c r="I2441" t="s">
        <v>280</v>
      </c>
      <c r="J2441" t="s">
        <v>5959</v>
      </c>
    </row>
    <row r="2442" spans="9:10" x14ac:dyDescent="0.25">
      <c r="I2442" t="s">
        <v>39</v>
      </c>
      <c r="J2442" t="s">
        <v>5966</v>
      </c>
    </row>
    <row r="2443" spans="9:10" x14ac:dyDescent="0.25">
      <c r="I2443" t="s">
        <v>418</v>
      </c>
      <c r="J2443" t="s">
        <v>6057</v>
      </c>
    </row>
    <row r="2444" spans="9:10" x14ac:dyDescent="0.25">
      <c r="I2444" t="s">
        <v>39</v>
      </c>
      <c r="J2444" t="s">
        <v>6328</v>
      </c>
    </row>
    <row r="2445" spans="9:10" x14ac:dyDescent="0.25">
      <c r="I2445" t="s">
        <v>3854</v>
      </c>
      <c r="J2445" t="s">
        <v>4107</v>
      </c>
    </row>
    <row r="2446" spans="9:10" x14ac:dyDescent="0.25">
      <c r="I2446" t="s">
        <v>40</v>
      </c>
      <c r="J2446" t="s">
        <v>6468</v>
      </c>
    </row>
    <row r="2447" spans="9:10" x14ac:dyDescent="0.25">
      <c r="I2447" t="s">
        <v>548</v>
      </c>
      <c r="J2447" t="s">
        <v>5847</v>
      </c>
    </row>
    <row r="2448" spans="9:10" x14ac:dyDescent="0.25">
      <c r="I2448" t="s">
        <v>280</v>
      </c>
      <c r="J2448" t="s">
        <v>5856</v>
      </c>
    </row>
    <row r="2449" spans="9:10" x14ac:dyDescent="0.25">
      <c r="I2449" t="s">
        <v>2443</v>
      </c>
      <c r="J2449" t="s">
        <v>6059</v>
      </c>
    </row>
    <row r="2450" spans="9:10" x14ac:dyDescent="0.25">
      <c r="I2450" t="s">
        <v>398</v>
      </c>
      <c r="J2450" t="s">
        <v>6312</v>
      </c>
    </row>
    <row r="2451" spans="9:10" x14ac:dyDescent="0.25">
      <c r="I2451" t="s">
        <v>418</v>
      </c>
      <c r="J2451" t="s">
        <v>6738</v>
      </c>
    </row>
    <row r="2452" spans="9:10" x14ac:dyDescent="0.25">
      <c r="I2452" t="s">
        <v>548</v>
      </c>
      <c r="J2452" t="s">
        <v>6344</v>
      </c>
    </row>
    <row r="2453" spans="9:10" x14ac:dyDescent="0.25">
      <c r="I2453" t="s">
        <v>5742</v>
      </c>
      <c r="J2453" t="s">
        <v>1044</v>
      </c>
    </row>
    <row r="2454" spans="9:10" x14ac:dyDescent="0.25">
      <c r="I2454" t="s">
        <v>5537</v>
      </c>
      <c r="J2454" t="s">
        <v>2365</v>
      </c>
    </row>
    <row r="2455" spans="9:10" x14ac:dyDescent="0.25">
      <c r="I2455" t="s">
        <v>2741</v>
      </c>
      <c r="J2455" t="s">
        <v>6824</v>
      </c>
    </row>
    <row r="2456" spans="9:10" x14ac:dyDescent="0.25">
      <c r="I2456" t="s">
        <v>6486</v>
      </c>
      <c r="J2456" t="s">
        <v>1441</v>
      </c>
    </row>
    <row r="2457" spans="9:10" x14ac:dyDescent="0.25">
      <c r="I2457" t="s">
        <v>4430</v>
      </c>
      <c r="J2457" t="s">
        <v>5833</v>
      </c>
    </row>
    <row r="2458" spans="9:10" x14ac:dyDescent="0.25">
      <c r="I2458" t="s">
        <v>122</v>
      </c>
      <c r="J2458" t="s">
        <v>6710</v>
      </c>
    </row>
    <row r="2459" spans="9:10" x14ac:dyDescent="0.25">
      <c r="I2459" t="s">
        <v>336</v>
      </c>
      <c r="J2459" t="s">
        <v>1212</v>
      </c>
    </row>
    <row r="2460" spans="9:10" x14ac:dyDescent="0.25">
      <c r="I2460" t="s">
        <v>37</v>
      </c>
      <c r="J2460" t="s">
        <v>6112</v>
      </c>
    </row>
    <row r="2461" spans="9:10" x14ac:dyDescent="0.25">
      <c r="I2461" t="s">
        <v>37</v>
      </c>
      <c r="J2461" t="s">
        <v>5232</v>
      </c>
    </row>
    <row r="2462" spans="9:10" x14ac:dyDescent="0.25">
      <c r="I2462" t="s">
        <v>276</v>
      </c>
      <c r="J2462" t="s">
        <v>5919</v>
      </c>
    </row>
    <row r="2463" spans="9:10" x14ac:dyDescent="0.25">
      <c r="I2463" t="s">
        <v>276</v>
      </c>
      <c r="J2463" t="s">
        <v>6064</v>
      </c>
    </row>
    <row r="2464" spans="9:10" x14ac:dyDescent="0.25">
      <c r="I2464" t="s">
        <v>257</v>
      </c>
      <c r="J2464" t="s">
        <v>5352</v>
      </c>
    </row>
    <row r="2465" spans="9:10" x14ac:dyDescent="0.25">
      <c r="I2465" t="s">
        <v>36</v>
      </c>
      <c r="J2465" t="s">
        <v>5271</v>
      </c>
    </row>
    <row r="2466" spans="9:10" x14ac:dyDescent="0.25">
      <c r="I2466" t="s">
        <v>418</v>
      </c>
      <c r="J2466" t="s">
        <v>6211</v>
      </c>
    </row>
    <row r="2467" spans="9:10" x14ac:dyDescent="0.25">
      <c r="I2467" t="s">
        <v>39</v>
      </c>
      <c r="J2467" t="s">
        <v>6296</v>
      </c>
    </row>
    <row r="2468" spans="9:10" x14ac:dyDescent="0.25">
      <c r="I2468" t="s">
        <v>39</v>
      </c>
      <c r="J2468" t="s">
        <v>6756</v>
      </c>
    </row>
    <row r="2469" spans="9:10" x14ac:dyDescent="0.25">
      <c r="I2469" t="s">
        <v>5963</v>
      </c>
      <c r="J2469" t="s">
        <v>1150</v>
      </c>
    </row>
    <row r="2470" spans="9:10" x14ac:dyDescent="0.25">
      <c r="I2470" t="s">
        <v>347</v>
      </c>
      <c r="J2470" t="s">
        <v>6595</v>
      </c>
    </row>
    <row r="2471" spans="9:10" x14ac:dyDescent="0.25">
      <c r="I2471" t="s">
        <v>5927</v>
      </c>
      <c r="J2471" t="s">
        <v>5928</v>
      </c>
    </row>
    <row r="2472" spans="9:10" x14ac:dyDescent="0.25">
      <c r="I2472" t="s">
        <v>313</v>
      </c>
      <c r="J2472" t="s">
        <v>2546</v>
      </c>
    </row>
    <row r="2473" spans="9:10" x14ac:dyDescent="0.25">
      <c r="I2473" t="s">
        <v>548</v>
      </c>
      <c r="J2473" t="s">
        <v>6055</v>
      </c>
    </row>
    <row r="2474" spans="9:10" x14ac:dyDescent="0.25">
      <c r="I2474" t="s">
        <v>548</v>
      </c>
      <c r="J2474" t="s">
        <v>6158</v>
      </c>
    </row>
    <row r="2475" spans="9:10" x14ac:dyDescent="0.25">
      <c r="I2475" t="s">
        <v>313</v>
      </c>
      <c r="J2475" t="s">
        <v>5344</v>
      </c>
    </row>
    <row r="2476" spans="9:10" x14ac:dyDescent="0.25">
      <c r="I2476" t="s">
        <v>2736</v>
      </c>
      <c r="J2476" t="s">
        <v>4080</v>
      </c>
    </row>
    <row r="2477" spans="9:10" x14ac:dyDescent="0.25">
      <c r="I2477" t="s">
        <v>40</v>
      </c>
      <c r="J2477" t="s">
        <v>6048</v>
      </c>
    </row>
    <row r="2478" spans="9:10" x14ac:dyDescent="0.25">
      <c r="I2478" t="s">
        <v>3854</v>
      </c>
      <c r="J2478" t="s">
        <v>4070</v>
      </c>
    </row>
    <row r="2479" spans="9:10" x14ac:dyDescent="0.25">
      <c r="I2479" t="s">
        <v>39</v>
      </c>
      <c r="J2479" t="s">
        <v>6581</v>
      </c>
    </row>
    <row r="2480" spans="9:10" x14ac:dyDescent="0.25">
      <c r="I2480" t="s">
        <v>2443</v>
      </c>
      <c r="J2480" t="s">
        <v>5778</v>
      </c>
    </row>
    <row r="2481" spans="9:10" x14ac:dyDescent="0.25">
      <c r="I2481" t="s">
        <v>122</v>
      </c>
      <c r="J2481" t="s">
        <v>6356</v>
      </c>
    </row>
    <row r="2482" spans="9:10" x14ac:dyDescent="0.25">
      <c r="I2482" t="s">
        <v>39</v>
      </c>
      <c r="J2482" t="s">
        <v>5977</v>
      </c>
    </row>
    <row r="2483" spans="9:10" x14ac:dyDescent="0.25">
      <c r="I2483" t="s">
        <v>2443</v>
      </c>
      <c r="J2483" t="s">
        <v>6655</v>
      </c>
    </row>
    <row r="2484" spans="9:10" x14ac:dyDescent="0.25">
      <c r="I2484" t="s">
        <v>313</v>
      </c>
      <c r="J2484" t="s">
        <v>6366</v>
      </c>
    </row>
    <row r="2485" spans="9:10" x14ac:dyDescent="0.25">
      <c r="I2485" t="s">
        <v>122</v>
      </c>
      <c r="J2485" t="s">
        <v>5409</v>
      </c>
    </row>
    <row r="2486" spans="9:10" x14ac:dyDescent="0.25">
      <c r="I2486" t="s">
        <v>40</v>
      </c>
      <c r="J2486" t="s">
        <v>6388</v>
      </c>
    </row>
    <row r="2487" spans="9:10" x14ac:dyDescent="0.25">
      <c r="I2487" t="s">
        <v>311</v>
      </c>
      <c r="J2487" t="s">
        <v>6727</v>
      </c>
    </row>
    <row r="2488" spans="9:10" x14ac:dyDescent="0.25">
      <c r="I2488" t="s">
        <v>418</v>
      </c>
      <c r="J2488" t="s">
        <v>5802</v>
      </c>
    </row>
    <row r="2489" spans="9:10" x14ac:dyDescent="0.25">
      <c r="I2489" t="s">
        <v>5730</v>
      </c>
      <c r="J2489" t="s">
        <v>1037</v>
      </c>
    </row>
    <row r="2490" spans="9:10" x14ac:dyDescent="0.25">
      <c r="I2490" t="s">
        <v>418</v>
      </c>
      <c r="J2490" t="s">
        <v>5361</v>
      </c>
    </row>
    <row r="2491" spans="9:10" x14ac:dyDescent="0.25">
      <c r="I2491" t="s">
        <v>418</v>
      </c>
      <c r="J2491" t="s">
        <v>6656</v>
      </c>
    </row>
    <row r="2492" spans="9:10" x14ac:dyDescent="0.25">
      <c r="I2492" t="s">
        <v>313</v>
      </c>
      <c r="J2492" t="s">
        <v>5404</v>
      </c>
    </row>
    <row r="2493" spans="9:10" x14ac:dyDescent="0.25">
      <c r="I2493" t="s">
        <v>254</v>
      </c>
      <c r="J2493" t="s">
        <v>2378</v>
      </c>
    </row>
    <row r="2494" spans="9:10" x14ac:dyDescent="0.25">
      <c r="I2494" t="s">
        <v>95</v>
      </c>
      <c r="J2494" t="s">
        <v>2961</v>
      </c>
    </row>
    <row r="2495" spans="9:10" x14ac:dyDescent="0.25">
      <c r="I2495" t="s">
        <v>5342</v>
      </c>
      <c r="J2495" t="s">
        <v>5343</v>
      </c>
    </row>
    <row r="2496" spans="9:10" x14ac:dyDescent="0.25">
      <c r="I2496" t="s">
        <v>122</v>
      </c>
      <c r="J2496" t="s">
        <v>5611</v>
      </c>
    </row>
    <row r="2497" spans="9:10" x14ac:dyDescent="0.25">
      <c r="I2497" t="s">
        <v>311</v>
      </c>
      <c r="J2497" t="s">
        <v>1436</v>
      </c>
    </row>
    <row r="2498" spans="9:10" x14ac:dyDescent="0.25">
      <c r="I2498" t="s">
        <v>5659</v>
      </c>
      <c r="J2498" t="s">
        <v>5660</v>
      </c>
    </row>
    <row r="2499" spans="9:10" x14ac:dyDescent="0.25">
      <c r="I2499" t="s">
        <v>6241</v>
      </c>
      <c r="J2499" t="s">
        <v>1308</v>
      </c>
    </row>
    <row r="2500" spans="9:10" x14ac:dyDescent="0.25">
      <c r="I2500" t="s">
        <v>406</v>
      </c>
      <c r="J2500" t="s">
        <v>2977</v>
      </c>
    </row>
    <row r="2501" spans="9:10" x14ac:dyDescent="0.25">
      <c r="I2501" t="s">
        <v>5580</v>
      </c>
      <c r="J2501" t="s">
        <v>6191</v>
      </c>
    </row>
    <row r="2502" spans="9:10" x14ac:dyDescent="0.25">
      <c r="I2502" t="s">
        <v>2726</v>
      </c>
      <c r="J2502" t="s">
        <v>2952</v>
      </c>
    </row>
    <row r="2503" spans="9:10" x14ac:dyDescent="0.25">
      <c r="I2503" t="s">
        <v>5604</v>
      </c>
      <c r="J2503" t="s">
        <v>6616</v>
      </c>
    </row>
    <row r="2504" spans="9:10" x14ac:dyDescent="0.25">
      <c r="I2504" t="s">
        <v>5301</v>
      </c>
      <c r="J2504" t="s">
        <v>883</v>
      </c>
    </row>
    <row r="2505" spans="9:10" x14ac:dyDescent="0.25">
      <c r="I2505" t="s">
        <v>5512</v>
      </c>
      <c r="J2505" t="s">
        <v>5513</v>
      </c>
    </row>
    <row r="2506" spans="9:10" x14ac:dyDescent="0.25">
      <c r="I2506" t="s">
        <v>5523</v>
      </c>
      <c r="J2506" t="s">
        <v>5524</v>
      </c>
    </row>
    <row r="2507" spans="9:10" x14ac:dyDescent="0.25">
      <c r="I2507" t="s">
        <v>6801</v>
      </c>
      <c r="J2507" t="s">
        <v>6802</v>
      </c>
    </row>
    <row r="2508" spans="9:10" x14ac:dyDescent="0.25">
      <c r="I2508" t="s">
        <v>256</v>
      </c>
      <c r="J2508" t="s">
        <v>1343</v>
      </c>
    </row>
    <row r="2509" spans="9:10" x14ac:dyDescent="0.25">
      <c r="I2509" t="s">
        <v>313</v>
      </c>
      <c r="J2509" t="s">
        <v>1318</v>
      </c>
    </row>
    <row r="2510" spans="9:10" x14ac:dyDescent="0.25">
      <c r="I2510" t="s">
        <v>313</v>
      </c>
      <c r="J2510" t="s">
        <v>1417</v>
      </c>
    </row>
    <row r="2511" spans="9:10" x14ac:dyDescent="0.25">
      <c r="I2511" t="s">
        <v>254</v>
      </c>
      <c r="J2511" t="s">
        <v>1552</v>
      </c>
    </row>
    <row r="2512" spans="9:10" x14ac:dyDescent="0.25">
      <c r="I2512" t="s">
        <v>254</v>
      </c>
      <c r="J2512" t="s">
        <v>3993</v>
      </c>
    </row>
    <row r="2513" spans="9:10" x14ac:dyDescent="0.25">
      <c r="I2513" t="s">
        <v>46</v>
      </c>
      <c r="J2513" t="s">
        <v>1451</v>
      </c>
    </row>
    <row r="2514" spans="9:10" x14ac:dyDescent="0.25">
      <c r="I2514" t="s">
        <v>311</v>
      </c>
      <c r="J2514" t="s">
        <v>6280</v>
      </c>
    </row>
    <row r="2515" spans="9:10" x14ac:dyDescent="0.25">
      <c r="I2515" t="s">
        <v>6106</v>
      </c>
      <c r="J2515" t="s">
        <v>1227</v>
      </c>
    </row>
    <row r="2516" spans="9:10" x14ac:dyDescent="0.25">
      <c r="I2516" t="s">
        <v>396</v>
      </c>
      <c r="J2516" t="s">
        <v>6232</v>
      </c>
    </row>
    <row r="2517" spans="9:10" x14ac:dyDescent="0.25">
      <c r="I2517" t="s">
        <v>2741</v>
      </c>
      <c r="J2517" t="s">
        <v>6029</v>
      </c>
    </row>
    <row r="2518" spans="9:10" x14ac:dyDescent="0.25">
      <c r="I2518" t="s">
        <v>6290</v>
      </c>
      <c r="J2518" t="s">
        <v>6291</v>
      </c>
    </row>
    <row r="2519" spans="9:10" x14ac:dyDescent="0.25">
      <c r="I2519" t="s">
        <v>3900</v>
      </c>
      <c r="J2519" t="s">
        <v>5689</v>
      </c>
    </row>
    <row r="2520" spans="9:10" x14ac:dyDescent="0.25">
      <c r="I2520" t="s">
        <v>313</v>
      </c>
      <c r="J2520" t="s">
        <v>6441</v>
      </c>
    </row>
    <row r="2521" spans="9:10" x14ac:dyDescent="0.25">
      <c r="I2521" t="s">
        <v>3854</v>
      </c>
      <c r="J2521" t="s">
        <v>4068</v>
      </c>
    </row>
    <row r="2522" spans="9:10" x14ac:dyDescent="0.25">
      <c r="I2522" t="s">
        <v>313</v>
      </c>
      <c r="J2522" t="s">
        <v>6530</v>
      </c>
    </row>
    <row r="2523" spans="9:10" x14ac:dyDescent="0.25">
      <c r="I2523" t="s">
        <v>545</v>
      </c>
      <c r="J2523" t="s">
        <v>5766</v>
      </c>
    </row>
    <row r="2524" spans="9:10" x14ac:dyDescent="0.25">
      <c r="I2524" t="s">
        <v>351</v>
      </c>
      <c r="J2524" t="s">
        <v>6294</v>
      </c>
    </row>
    <row r="2525" spans="9:10" x14ac:dyDescent="0.25">
      <c r="I2525" t="s">
        <v>403</v>
      </c>
      <c r="J2525" t="s">
        <v>6818</v>
      </c>
    </row>
    <row r="2526" spans="9:10" x14ac:dyDescent="0.25">
      <c r="I2526" t="s">
        <v>6846</v>
      </c>
      <c r="J2526" t="s">
        <v>6847</v>
      </c>
    </row>
    <row r="2527" spans="9:10" x14ac:dyDescent="0.25">
      <c r="I2527" t="s">
        <v>545</v>
      </c>
      <c r="J2527" t="s">
        <v>5518</v>
      </c>
    </row>
    <row r="2528" spans="9:10" x14ac:dyDescent="0.25">
      <c r="I2528" t="s">
        <v>318</v>
      </c>
      <c r="J2528" t="s">
        <v>6714</v>
      </c>
    </row>
    <row r="2529" spans="9:10" x14ac:dyDescent="0.25">
      <c r="I2529" t="s">
        <v>400</v>
      </c>
      <c r="J2529" t="s">
        <v>1230</v>
      </c>
    </row>
    <row r="2530" spans="9:10" x14ac:dyDescent="0.25">
      <c r="I2530" t="s">
        <v>6405</v>
      </c>
      <c r="J2530" t="s">
        <v>6406</v>
      </c>
    </row>
    <row r="2531" spans="9:10" x14ac:dyDescent="0.25">
      <c r="I2531" t="s">
        <v>253</v>
      </c>
      <c r="J2531" t="s">
        <v>6563</v>
      </c>
    </row>
    <row r="2532" spans="9:10" x14ac:dyDescent="0.25">
      <c r="I2532" t="s">
        <v>6518</v>
      </c>
      <c r="J2532" t="s">
        <v>1467</v>
      </c>
    </row>
    <row r="2533" spans="9:10" x14ac:dyDescent="0.25">
      <c r="I2533" t="s">
        <v>313</v>
      </c>
      <c r="J2533" t="s">
        <v>5873</v>
      </c>
    </row>
    <row r="2534" spans="9:10" x14ac:dyDescent="0.25">
      <c r="I2534" t="s">
        <v>280</v>
      </c>
      <c r="J2534" t="s">
        <v>6116</v>
      </c>
    </row>
    <row r="2535" spans="9:10" x14ac:dyDescent="0.25">
      <c r="I2535" t="s">
        <v>6481</v>
      </c>
      <c r="J2535" t="s">
        <v>6482</v>
      </c>
    </row>
    <row r="2536" spans="9:10" x14ac:dyDescent="0.25">
      <c r="I2536" t="s">
        <v>280</v>
      </c>
      <c r="J2536" t="s">
        <v>7982</v>
      </c>
    </row>
    <row r="2537" spans="9:10" x14ac:dyDescent="0.25">
      <c r="I2537" t="s">
        <v>253</v>
      </c>
      <c r="J2537" t="s">
        <v>1020</v>
      </c>
    </row>
    <row r="2538" spans="9:10" x14ac:dyDescent="0.25">
      <c r="I2538" t="s">
        <v>2732</v>
      </c>
      <c r="J2538" t="s">
        <v>5991</v>
      </c>
    </row>
    <row r="2539" spans="9:10" x14ac:dyDescent="0.25">
      <c r="I2539" t="s">
        <v>289</v>
      </c>
      <c r="J2539" t="s">
        <v>2873</v>
      </c>
    </row>
    <row r="2540" spans="9:10" x14ac:dyDescent="0.25">
      <c r="I2540" t="s">
        <v>2741</v>
      </c>
      <c r="J2540" t="s">
        <v>4049</v>
      </c>
    </row>
    <row r="2541" spans="9:10" x14ac:dyDescent="0.25">
      <c r="I2541" t="s">
        <v>254</v>
      </c>
      <c r="J2541" t="s">
        <v>922</v>
      </c>
    </row>
    <row r="2542" spans="9:10" x14ac:dyDescent="0.25">
      <c r="I2542" t="s">
        <v>306</v>
      </c>
      <c r="J2542" t="s">
        <v>5897</v>
      </c>
    </row>
    <row r="2543" spans="9:10" x14ac:dyDescent="0.25">
      <c r="I2543" t="s">
        <v>313</v>
      </c>
      <c r="J2543" t="s">
        <v>5415</v>
      </c>
    </row>
    <row r="2544" spans="9:10" x14ac:dyDescent="0.25">
      <c r="I2544" t="s">
        <v>5590</v>
      </c>
      <c r="J2544" t="s">
        <v>5591</v>
      </c>
    </row>
    <row r="2545" spans="9:10" x14ac:dyDescent="0.25">
      <c r="I2545" t="s">
        <v>311</v>
      </c>
      <c r="J2545" t="s">
        <v>1133</v>
      </c>
    </row>
    <row r="2546" spans="9:10" x14ac:dyDescent="0.25">
      <c r="I2546" t="s">
        <v>253</v>
      </c>
      <c r="J2546" t="s">
        <v>5489</v>
      </c>
    </row>
    <row r="2547" spans="9:10" x14ac:dyDescent="0.25">
      <c r="I2547" t="s">
        <v>313</v>
      </c>
      <c r="J2547" t="s">
        <v>5536</v>
      </c>
    </row>
    <row r="2548" spans="9:10" x14ac:dyDescent="0.25">
      <c r="I2548" t="s">
        <v>2741</v>
      </c>
      <c r="J2548" t="s">
        <v>4103</v>
      </c>
    </row>
    <row r="2549" spans="9:10" x14ac:dyDescent="0.25">
      <c r="I2549" t="s">
        <v>90</v>
      </c>
      <c r="J2549" t="s">
        <v>5697</v>
      </c>
    </row>
    <row r="2550" spans="9:10" x14ac:dyDescent="0.25">
      <c r="I2550" t="s">
        <v>5236</v>
      </c>
      <c r="J2550" t="s">
        <v>785</v>
      </c>
    </row>
    <row r="2551" spans="9:10" x14ac:dyDescent="0.25">
      <c r="I2551" t="s">
        <v>318</v>
      </c>
      <c r="J2551" t="s">
        <v>5320</v>
      </c>
    </row>
    <row r="2552" spans="9:10" x14ac:dyDescent="0.25">
      <c r="I2552" t="s">
        <v>6321</v>
      </c>
      <c r="J2552" t="s">
        <v>6852</v>
      </c>
    </row>
    <row r="2553" spans="9:10" x14ac:dyDescent="0.25">
      <c r="I2553" t="s">
        <v>338</v>
      </c>
      <c r="J2553" t="s">
        <v>2973</v>
      </c>
    </row>
    <row r="2554" spans="9:10" x14ac:dyDescent="0.25">
      <c r="I2554" t="s">
        <v>6060</v>
      </c>
      <c r="J2554" t="s">
        <v>6592</v>
      </c>
    </row>
    <row r="2555" spans="9:10" x14ac:dyDescent="0.25">
      <c r="I2555" t="s">
        <v>280</v>
      </c>
      <c r="J2555" t="s">
        <v>6093</v>
      </c>
    </row>
    <row r="2556" spans="9:10" x14ac:dyDescent="0.25">
      <c r="I2556" t="s">
        <v>5714</v>
      </c>
      <c r="J2556" t="s">
        <v>5715</v>
      </c>
    </row>
    <row r="2557" spans="9:10" x14ac:dyDescent="0.25">
      <c r="I2557" t="s">
        <v>313</v>
      </c>
      <c r="J2557" t="s">
        <v>1403</v>
      </c>
    </row>
    <row r="2558" spans="9:10" x14ac:dyDescent="0.25">
      <c r="I2558" t="s">
        <v>5586</v>
      </c>
      <c r="J2558" t="s">
        <v>1135</v>
      </c>
    </row>
    <row r="2559" spans="9:10" x14ac:dyDescent="0.25">
      <c r="I2559" t="s">
        <v>5308</v>
      </c>
      <c r="J2559" t="s">
        <v>5309</v>
      </c>
    </row>
    <row r="2560" spans="9:10" x14ac:dyDescent="0.25">
      <c r="I2560" t="s">
        <v>2732</v>
      </c>
      <c r="J2560" t="s">
        <v>3871</v>
      </c>
    </row>
    <row r="2561" spans="9:10" x14ac:dyDescent="0.25">
      <c r="I2561" t="s">
        <v>545</v>
      </c>
      <c r="J2561" t="s">
        <v>6810</v>
      </c>
    </row>
    <row r="2562" spans="9:10" x14ac:dyDescent="0.25">
      <c r="I2562" t="s">
        <v>3854</v>
      </c>
      <c r="J2562" t="s">
        <v>4091</v>
      </c>
    </row>
    <row r="2563" spans="9:10" x14ac:dyDescent="0.25">
      <c r="I2563" t="s">
        <v>2741</v>
      </c>
      <c r="J2563" t="s">
        <v>3883</v>
      </c>
    </row>
    <row r="2564" spans="9:10" x14ac:dyDescent="0.25">
      <c r="I2564" t="s">
        <v>2741</v>
      </c>
      <c r="J2564" t="s">
        <v>3945</v>
      </c>
    </row>
    <row r="2565" spans="9:10" x14ac:dyDescent="0.25">
      <c r="I2565" t="s">
        <v>5296</v>
      </c>
      <c r="J2565" t="s">
        <v>5297</v>
      </c>
    </row>
    <row r="2566" spans="9:10" x14ac:dyDescent="0.25">
      <c r="I2566" t="s">
        <v>6009</v>
      </c>
      <c r="J2566" t="s">
        <v>6010</v>
      </c>
    </row>
    <row r="2567" spans="9:10" x14ac:dyDescent="0.25">
      <c r="I2567" t="s">
        <v>5426</v>
      </c>
      <c r="J2567" t="s">
        <v>5427</v>
      </c>
    </row>
    <row r="2568" spans="9:10" x14ac:dyDescent="0.25">
      <c r="I2568" t="s">
        <v>3854</v>
      </c>
      <c r="J2568" t="s">
        <v>6188</v>
      </c>
    </row>
    <row r="2569" spans="9:10" x14ac:dyDescent="0.25">
      <c r="I2569" t="s">
        <v>254</v>
      </c>
      <c r="J2569" t="s">
        <v>1301</v>
      </c>
    </row>
    <row r="2570" spans="9:10" x14ac:dyDescent="0.25">
      <c r="I2570" t="s">
        <v>254</v>
      </c>
      <c r="J2570" t="s">
        <v>1393</v>
      </c>
    </row>
    <row r="2571" spans="9:10" x14ac:dyDescent="0.25">
      <c r="I2571" t="s">
        <v>6410</v>
      </c>
      <c r="J2571" t="s">
        <v>6411</v>
      </c>
    </row>
    <row r="2572" spans="9:10" x14ac:dyDescent="0.25">
      <c r="I2572" t="s">
        <v>5642</v>
      </c>
      <c r="J2572" t="s">
        <v>6622</v>
      </c>
    </row>
    <row r="2573" spans="9:10" x14ac:dyDescent="0.25">
      <c r="I2573" t="s">
        <v>5834</v>
      </c>
      <c r="J2573" t="s">
        <v>5835</v>
      </c>
    </row>
    <row r="2574" spans="9:10" x14ac:dyDescent="0.25">
      <c r="I2574" t="s">
        <v>95</v>
      </c>
      <c r="J2574" t="s">
        <v>5988</v>
      </c>
    </row>
    <row r="2575" spans="9:10" x14ac:dyDescent="0.25">
      <c r="I2575" t="s">
        <v>313</v>
      </c>
      <c r="J2575" t="s">
        <v>6346</v>
      </c>
    </row>
    <row r="2576" spans="9:10" x14ac:dyDescent="0.25">
      <c r="I2576" t="s">
        <v>313</v>
      </c>
      <c r="J2576" t="s">
        <v>1264</v>
      </c>
    </row>
    <row r="2577" spans="9:10" x14ac:dyDescent="0.25">
      <c r="I2577" t="s">
        <v>37</v>
      </c>
      <c r="J2577" t="s">
        <v>2446</v>
      </c>
    </row>
    <row r="2578" spans="9:10" x14ac:dyDescent="0.25">
      <c r="I2578" t="s">
        <v>2741</v>
      </c>
      <c r="J2578" t="s">
        <v>3970</v>
      </c>
    </row>
    <row r="2579" spans="9:10" x14ac:dyDescent="0.25">
      <c r="I2579" t="s">
        <v>5505</v>
      </c>
      <c r="J2579" t="s">
        <v>5506</v>
      </c>
    </row>
    <row r="2580" spans="9:10" x14ac:dyDescent="0.25">
      <c r="I2580" t="s">
        <v>5435</v>
      </c>
      <c r="J2580" t="s">
        <v>5436</v>
      </c>
    </row>
    <row r="2581" spans="9:10" x14ac:dyDescent="0.25">
      <c r="I2581" t="s">
        <v>6321</v>
      </c>
      <c r="J2581" t="s">
        <v>6322</v>
      </c>
    </row>
    <row r="2582" spans="9:10" x14ac:dyDescent="0.25">
      <c r="I2582" t="s">
        <v>280</v>
      </c>
      <c r="J2582" t="s">
        <v>2472</v>
      </c>
    </row>
    <row r="2583" spans="9:10" x14ac:dyDescent="0.25">
      <c r="I2583" t="s">
        <v>6641</v>
      </c>
      <c r="J2583" t="s">
        <v>6687</v>
      </c>
    </row>
    <row r="2584" spans="9:10" x14ac:dyDescent="0.25">
      <c r="I2584" t="s">
        <v>311</v>
      </c>
      <c r="J2584" t="s">
        <v>1375</v>
      </c>
    </row>
    <row r="2585" spans="9:10" x14ac:dyDescent="0.25">
      <c r="I2585" t="s">
        <v>5487</v>
      </c>
      <c r="J2585" t="s">
        <v>6115</v>
      </c>
    </row>
    <row r="2586" spans="9:10" x14ac:dyDescent="0.25">
      <c r="I2586" t="s">
        <v>10</v>
      </c>
      <c r="J2586" t="s">
        <v>799</v>
      </c>
    </row>
    <row r="2587" spans="9:10" x14ac:dyDescent="0.25">
      <c r="I2587" t="s">
        <v>2741</v>
      </c>
      <c r="J2587" t="s">
        <v>6453</v>
      </c>
    </row>
    <row r="2588" spans="9:10" x14ac:dyDescent="0.25">
      <c r="I2588" t="s">
        <v>2734</v>
      </c>
      <c r="J2588" t="s">
        <v>2904</v>
      </c>
    </row>
    <row r="2589" spans="9:10" x14ac:dyDescent="0.25">
      <c r="I2589" t="s">
        <v>2741</v>
      </c>
      <c r="J2589" t="s">
        <v>4130</v>
      </c>
    </row>
    <row r="2590" spans="9:10" x14ac:dyDescent="0.25">
      <c r="I2590" t="s">
        <v>6172</v>
      </c>
      <c r="J2590" t="s">
        <v>6173</v>
      </c>
    </row>
    <row r="2591" spans="9:10" x14ac:dyDescent="0.25">
      <c r="I2591" t="s">
        <v>313</v>
      </c>
      <c r="J2591" t="s">
        <v>5884</v>
      </c>
    </row>
    <row r="2592" spans="9:10" x14ac:dyDescent="0.25">
      <c r="I2592" t="s">
        <v>5510</v>
      </c>
      <c r="J2592" t="s">
        <v>916</v>
      </c>
    </row>
    <row r="2593" spans="9:10" x14ac:dyDescent="0.25">
      <c r="I2593" t="s">
        <v>254</v>
      </c>
      <c r="J2593" t="s">
        <v>1481</v>
      </c>
    </row>
    <row r="2594" spans="9:10" x14ac:dyDescent="0.25">
      <c r="I2594" t="s">
        <v>313</v>
      </c>
      <c r="J2594" t="s">
        <v>1121</v>
      </c>
    </row>
    <row r="2595" spans="9:10" x14ac:dyDescent="0.25">
      <c r="I2595" t="s">
        <v>5740</v>
      </c>
      <c r="J2595" t="s">
        <v>5741</v>
      </c>
    </row>
    <row r="2596" spans="9:10" x14ac:dyDescent="0.25">
      <c r="I2596" t="s">
        <v>6189</v>
      </c>
      <c r="J2596" t="s">
        <v>2951</v>
      </c>
    </row>
    <row r="2597" spans="9:10" x14ac:dyDescent="0.25">
      <c r="I2597" t="s">
        <v>295</v>
      </c>
      <c r="J2597" t="s">
        <v>5237</v>
      </c>
    </row>
    <row r="2598" spans="9:10" x14ac:dyDescent="0.25">
      <c r="I2598" t="s">
        <v>5955</v>
      </c>
      <c r="J2598" t="s">
        <v>2929</v>
      </c>
    </row>
    <row r="2599" spans="9:10" x14ac:dyDescent="0.25">
      <c r="I2599" t="s">
        <v>545</v>
      </c>
      <c r="J2599" t="s">
        <v>6245</v>
      </c>
    </row>
    <row r="2600" spans="9:10" x14ac:dyDescent="0.25">
      <c r="I2600" t="s">
        <v>406</v>
      </c>
      <c r="J2600" t="s">
        <v>5233</v>
      </c>
    </row>
    <row r="2601" spans="9:10" x14ac:dyDescent="0.25">
      <c r="I2601" t="s">
        <v>313</v>
      </c>
      <c r="J2601" t="s">
        <v>6223</v>
      </c>
    </row>
    <row r="2602" spans="9:10" x14ac:dyDescent="0.25">
      <c r="I2602" t="s">
        <v>254</v>
      </c>
      <c r="J2602" t="s">
        <v>5400</v>
      </c>
    </row>
    <row r="2603" spans="9:10" x14ac:dyDescent="0.25">
      <c r="I2603" t="s">
        <v>5362</v>
      </c>
      <c r="J2603" t="s">
        <v>5363</v>
      </c>
    </row>
    <row r="2604" spans="9:10" x14ac:dyDescent="0.25">
      <c r="I2604" t="s">
        <v>256</v>
      </c>
      <c r="J2604" t="s">
        <v>6658</v>
      </c>
    </row>
    <row r="2605" spans="9:10" x14ac:dyDescent="0.25">
      <c r="I2605" t="s">
        <v>253</v>
      </c>
      <c r="J2605" t="s">
        <v>775</v>
      </c>
    </row>
    <row r="2606" spans="9:10" x14ac:dyDescent="0.25">
      <c r="I2606" t="s">
        <v>3854</v>
      </c>
      <c r="J2606" t="s">
        <v>3969</v>
      </c>
    </row>
    <row r="2607" spans="9:10" x14ac:dyDescent="0.25">
      <c r="I2607" t="s">
        <v>6682</v>
      </c>
      <c r="J2607" t="s">
        <v>1556</v>
      </c>
    </row>
    <row r="2608" spans="9:10" x14ac:dyDescent="0.25">
      <c r="I2608" t="s">
        <v>313</v>
      </c>
      <c r="J2608" t="s">
        <v>6219</v>
      </c>
    </row>
    <row r="2609" spans="9:10" x14ac:dyDescent="0.25">
      <c r="I2609" t="s">
        <v>5556</v>
      </c>
      <c r="J2609" t="s">
        <v>5557</v>
      </c>
    </row>
    <row r="2610" spans="9:10" x14ac:dyDescent="0.25">
      <c r="I2610" t="s">
        <v>318</v>
      </c>
      <c r="J2610" t="s">
        <v>847</v>
      </c>
    </row>
    <row r="2611" spans="9:10" x14ac:dyDescent="0.25">
      <c r="I2611" t="s">
        <v>5443</v>
      </c>
      <c r="J2611" t="s">
        <v>5444</v>
      </c>
    </row>
    <row r="2612" spans="9:10" x14ac:dyDescent="0.25">
      <c r="I2612" t="s">
        <v>0</v>
      </c>
      <c r="J2612" t="s">
        <v>6365</v>
      </c>
    </row>
    <row r="2613" spans="9:10" x14ac:dyDescent="0.25">
      <c r="I2613" t="s">
        <v>47</v>
      </c>
      <c r="J2613" t="s">
        <v>7987</v>
      </c>
    </row>
    <row r="2614" spans="9:10" x14ac:dyDescent="0.25">
      <c r="I2614" t="s">
        <v>278</v>
      </c>
      <c r="J2614" t="s">
        <v>1055</v>
      </c>
    </row>
    <row r="2615" spans="9:10" x14ac:dyDescent="0.25">
      <c r="I2615" t="s">
        <v>280</v>
      </c>
      <c r="J2615" t="s">
        <v>2806</v>
      </c>
    </row>
    <row r="2616" spans="9:10" x14ac:dyDescent="0.25">
      <c r="I2616" t="s">
        <v>278</v>
      </c>
      <c r="J2616" t="s">
        <v>6504</v>
      </c>
    </row>
    <row r="2617" spans="9:10" x14ac:dyDescent="0.25">
      <c r="I2617" t="s">
        <v>313</v>
      </c>
      <c r="J2617" t="s">
        <v>6604</v>
      </c>
    </row>
    <row r="2618" spans="9:10" x14ac:dyDescent="0.25">
      <c r="I2618" t="s">
        <v>6060</v>
      </c>
      <c r="J2618" t="s">
        <v>6332</v>
      </c>
    </row>
    <row r="2619" spans="9:10" x14ac:dyDescent="0.25">
      <c r="I2619" t="s">
        <v>280</v>
      </c>
      <c r="J2619" t="s">
        <v>6378</v>
      </c>
    </row>
    <row r="2620" spans="9:10" x14ac:dyDescent="0.25">
      <c r="I2620" t="s">
        <v>6272</v>
      </c>
      <c r="J2620" t="s">
        <v>6273</v>
      </c>
    </row>
    <row r="2621" spans="9:10" x14ac:dyDescent="0.25">
      <c r="I2621" t="s">
        <v>6318</v>
      </c>
      <c r="J2621" t="s">
        <v>6517</v>
      </c>
    </row>
    <row r="2622" spans="9:10" x14ac:dyDescent="0.25">
      <c r="I2622" t="s">
        <v>254</v>
      </c>
      <c r="J2622" t="s">
        <v>6417</v>
      </c>
    </row>
    <row r="2623" spans="9:10" x14ac:dyDescent="0.25">
      <c r="I2623" t="s">
        <v>5276</v>
      </c>
      <c r="J2623" t="s">
        <v>5277</v>
      </c>
    </row>
    <row r="2624" spans="9:10" x14ac:dyDescent="0.25">
      <c r="I2624" t="s">
        <v>2741</v>
      </c>
      <c r="J2624" t="s">
        <v>3877</v>
      </c>
    </row>
    <row r="2625" spans="9:10" x14ac:dyDescent="0.25">
      <c r="I2625" t="s">
        <v>2741</v>
      </c>
      <c r="J2625" t="s">
        <v>3920</v>
      </c>
    </row>
    <row r="2626" spans="9:10" x14ac:dyDescent="0.25">
      <c r="I2626" t="s">
        <v>5601</v>
      </c>
      <c r="J2626" t="s">
        <v>6709</v>
      </c>
    </row>
    <row r="2627" spans="9:10" x14ac:dyDescent="0.25">
      <c r="I2627" t="s">
        <v>6167</v>
      </c>
      <c r="J2627" t="s">
        <v>1260</v>
      </c>
    </row>
    <row r="2628" spans="9:10" x14ac:dyDescent="0.25">
      <c r="I2628" t="s">
        <v>3854</v>
      </c>
      <c r="J2628" t="s">
        <v>4041</v>
      </c>
    </row>
    <row r="2629" spans="9:10" x14ac:dyDescent="0.25">
      <c r="I2629" t="s">
        <v>6582</v>
      </c>
      <c r="J2629" t="s">
        <v>1505</v>
      </c>
    </row>
    <row r="2630" spans="9:10" x14ac:dyDescent="0.25">
      <c r="I2630" t="s">
        <v>6639</v>
      </c>
      <c r="J2630" t="s">
        <v>6837</v>
      </c>
    </row>
    <row r="2631" spans="9:10" x14ac:dyDescent="0.25">
      <c r="I2631" t="s">
        <v>2732</v>
      </c>
      <c r="J2631" t="s">
        <v>6613</v>
      </c>
    </row>
    <row r="2632" spans="9:10" x14ac:dyDescent="0.25">
      <c r="I2632" t="s">
        <v>2741</v>
      </c>
      <c r="J2632" t="s">
        <v>3894</v>
      </c>
    </row>
    <row r="2633" spans="9:10" x14ac:dyDescent="0.25">
      <c r="I2633" t="s">
        <v>6236</v>
      </c>
      <c r="J2633" t="s">
        <v>1305</v>
      </c>
    </row>
    <row r="2634" spans="9:10" x14ac:dyDescent="0.25">
      <c r="I2634" t="s">
        <v>280</v>
      </c>
      <c r="J2634" t="s">
        <v>2516</v>
      </c>
    </row>
    <row r="2635" spans="9:10" x14ac:dyDescent="0.25">
      <c r="I2635" t="s">
        <v>5226</v>
      </c>
      <c r="J2635" t="s">
        <v>5227</v>
      </c>
    </row>
    <row r="2636" spans="9:10" x14ac:dyDescent="0.25">
      <c r="I2636" t="s">
        <v>5293</v>
      </c>
      <c r="J2636" t="s">
        <v>1472</v>
      </c>
    </row>
    <row r="2637" spans="9:10" x14ac:dyDescent="0.25">
      <c r="I2637" t="s">
        <v>318</v>
      </c>
      <c r="J2637" t="s">
        <v>6442</v>
      </c>
    </row>
    <row r="2638" spans="9:10" x14ac:dyDescent="0.25">
      <c r="I2638" t="s">
        <v>318</v>
      </c>
      <c r="J2638" t="s">
        <v>5899</v>
      </c>
    </row>
    <row r="2639" spans="9:10" x14ac:dyDescent="0.25">
      <c r="I2639" t="s">
        <v>5447</v>
      </c>
      <c r="J2639" t="s">
        <v>5726</v>
      </c>
    </row>
    <row r="2640" spans="9:10" x14ac:dyDescent="0.25">
      <c r="I2640" t="s">
        <v>2741</v>
      </c>
      <c r="J2640" t="s">
        <v>3867</v>
      </c>
    </row>
    <row r="2641" spans="9:10" x14ac:dyDescent="0.25">
      <c r="I2641" t="s">
        <v>2741</v>
      </c>
      <c r="J2641" t="s">
        <v>3934</v>
      </c>
    </row>
    <row r="2642" spans="9:10" x14ac:dyDescent="0.25">
      <c r="I2642" t="s">
        <v>5894</v>
      </c>
      <c r="J2642" t="s">
        <v>2837</v>
      </c>
    </row>
    <row r="2643" spans="9:10" x14ac:dyDescent="0.25">
      <c r="I2643" t="s">
        <v>5311</v>
      </c>
      <c r="J2643" t="s">
        <v>5312</v>
      </c>
    </row>
    <row r="2644" spans="9:10" x14ac:dyDescent="0.25">
      <c r="I2644" t="s">
        <v>6826</v>
      </c>
      <c r="J2644" t="s">
        <v>1559</v>
      </c>
    </row>
    <row r="2645" spans="9:10" x14ac:dyDescent="0.25">
      <c r="I2645" t="s">
        <v>6189</v>
      </c>
      <c r="J2645" t="s">
        <v>6190</v>
      </c>
    </row>
    <row r="2646" spans="9:10" x14ac:dyDescent="0.25">
      <c r="I2646" t="s">
        <v>2741</v>
      </c>
      <c r="J2646" t="s">
        <v>4072</v>
      </c>
    </row>
    <row r="2647" spans="9:10" x14ac:dyDescent="0.25">
      <c r="I2647" t="s">
        <v>3916</v>
      </c>
      <c r="J2647" t="s">
        <v>3917</v>
      </c>
    </row>
    <row r="2648" spans="9:10" x14ac:dyDescent="0.25">
      <c r="I2648" t="s">
        <v>280</v>
      </c>
      <c r="J2648" t="s">
        <v>5978</v>
      </c>
    </row>
    <row r="2649" spans="9:10" x14ac:dyDescent="0.25">
      <c r="I2649" t="s">
        <v>5863</v>
      </c>
      <c r="J2649" t="s">
        <v>6347</v>
      </c>
    </row>
  </sheetData>
  <conditionalFormatting sqref="G7:G1298 J7:J10 J12:J2649">
    <cfRule type="expression" dxfId="2" priority="145">
      <formula>G7=G8</formula>
    </cfRule>
  </conditionalFormatting>
  <conditionalFormatting sqref="M7:M1947">
    <cfRule type="expression" dxfId="1" priority="150">
      <formula>M7=M8</formula>
    </cfRule>
  </conditionalFormatting>
  <conditionalFormatting sqref="J11">
    <cfRule type="expression" dxfId="0" priority="154">
      <formula>J11=#REF!</formula>
    </cfRule>
  </conditionalFormatting>
  <pageMargins left="0.7" right="0.7" top="0.75" bottom="0.75" header="0.3" footer="0.3"/>
  <pageSetup paperSize="9" orientation="portrait" r:id="rId1"/>
  <tableParts count="3">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7" tint="0.39997558519241921"/>
  </sheetPr>
  <dimension ref="B2:X2417"/>
  <sheetViews>
    <sheetView workbookViewId="0">
      <selection activeCell="F35" sqref="F35"/>
    </sheetView>
  </sheetViews>
  <sheetFormatPr defaultRowHeight="15" x14ac:dyDescent="0.25"/>
  <cols>
    <col min="8" max="8" width="40.140625" customWidth="1"/>
    <col min="9" max="9" width="27.42578125" customWidth="1"/>
    <col min="10" max="10" width="27.5703125" customWidth="1"/>
    <col min="11" max="11" width="29.42578125" customWidth="1"/>
    <col min="12" max="12" width="27.7109375" customWidth="1"/>
    <col min="13" max="13" width="10.85546875" customWidth="1"/>
    <col min="14" max="14" width="34.85546875" customWidth="1"/>
    <col min="15" max="15" width="23.140625" customWidth="1"/>
    <col min="16" max="16" width="21" customWidth="1"/>
    <col min="17" max="17" width="18.85546875" customWidth="1"/>
    <col min="18" max="18" width="20.42578125" customWidth="1"/>
    <col min="20" max="20" width="60" customWidth="1"/>
    <col min="21" max="21" width="31.85546875" customWidth="1"/>
    <col min="22" max="22" width="28.7109375" customWidth="1"/>
    <col min="23" max="23" width="25.28515625" customWidth="1"/>
    <col min="24" max="24" width="29" customWidth="1"/>
  </cols>
  <sheetData>
    <row r="2" spans="2:24" x14ac:dyDescent="0.25">
      <c r="B2" t="s">
        <v>7997</v>
      </c>
    </row>
    <row r="3" spans="2:24" x14ac:dyDescent="0.25">
      <c r="C3" t="s">
        <v>8007</v>
      </c>
    </row>
    <row r="4" spans="2:24" x14ac:dyDescent="0.25">
      <c r="C4" t="s">
        <v>8006</v>
      </c>
    </row>
    <row r="5" spans="2:24" x14ac:dyDescent="0.25">
      <c r="H5" s="1" t="s">
        <v>766</v>
      </c>
      <c r="N5" s="1" t="s">
        <v>1643</v>
      </c>
      <c r="T5" s="1" t="s">
        <v>765</v>
      </c>
    </row>
    <row r="6" spans="2:24" x14ac:dyDescent="0.25">
      <c r="H6" t="s">
        <v>7995</v>
      </c>
      <c r="I6" t="s">
        <v>8002</v>
      </c>
      <c r="J6" t="s">
        <v>8003</v>
      </c>
      <c r="K6" t="s">
        <v>8004</v>
      </c>
      <c r="L6" t="s">
        <v>8005</v>
      </c>
      <c r="N6" t="s">
        <v>7995</v>
      </c>
      <c r="O6" t="s">
        <v>8002</v>
      </c>
      <c r="P6" t="s">
        <v>8003</v>
      </c>
      <c r="Q6" t="s">
        <v>8004</v>
      </c>
      <c r="R6" t="s">
        <v>8005</v>
      </c>
      <c r="S6" t="s">
        <v>8098</v>
      </c>
      <c r="T6" t="s">
        <v>7995</v>
      </c>
      <c r="U6" t="s">
        <v>8002</v>
      </c>
      <c r="V6" t="s">
        <v>8003</v>
      </c>
      <c r="W6" t="s">
        <v>8004</v>
      </c>
      <c r="X6" t="s">
        <v>8005</v>
      </c>
    </row>
    <row r="7" spans="2:24" x14ac:dyDescent="0.25">
      <c r="F7" t="s">
        <v>7996</v>
      </c>
      <c r="H7" t="s">
        <v>10</v>
      </c>
      <c r="I7" t="s">
        <v>12</v>
      </c>
      <c r="N7" t="s">
        <v>11</v>
      </c>
      <c r="O7" t="s">
        <v>13</v>
      </c>
      <c r="T7" t="s">
        <v>396</v>
      </c>
      <c r="U7" t="s">
        <v>397</v>
      </c>
      <c r="V7" t="s">
        <v>2753</v>
      </c>
      <c r="W7" t="s">
        <v>2754</v>
      </c>
      <c r="X7" t="s">
        <v>2755</v>
      </c>
    </row>
    <row r="8" spans="2:24" x14ac:dyDescent="0.25">
      <c r="H8" t="s">
        <v>10</v>
      </c>
      <c r="I8" t="s">
        <v>12</v>
      </c>
      <c r="J8" t="s">
        <v>2</v>
      </c>
      <c r="N8" t="s">
        <v>11</v>
      </c>
      <c r="O8" t="s">
        <v>13</v>
      </c>
      <c r="T8" t="s">
        <v>4511</v>
      </c>
      <c r="U8" t="s">
        <v>397</v>
      </c>
      <c r="V8" t="s">
        <v>2753</v>
      </c>
      <c r="W8" t="s">
        <v>2754</v>
      </c>
      <c r="X8" t="s">
        <v>2755</v>
      </c>
    </row>
    <row r="9" spans="2:24" x14ac:dyDescent="0.25">
      <c r="H9" t="s">
        <v>5492</v>
      </c>
      <c r="I9" t="s">
        <v>12</v>
      </c>
      <c r="J9" t="s">
        <v>2</v>
      </c>
      <c r="N9" t="s">
        <v>7467</v>
      </c>
      <c r="O9" t="s">
        <v>13</v>
      </c>
      <c r="T9" t="s">
        <v>4812</v>
      </c>
      <c r="U9" t="s">
        <v>397</v>
      </c>
      <c r="V9" t="s">
        <v>2753</v>
      </c>
      <c r="W9" t="s">
        <v>2754</v>
      </c>
      <c r="X9" t="s">
        <v>2755</v>
      </c>
    </row>
    <row r="10" spans="2:24" x14ac:dyDescent="0.25">
      <c r="H10" t="s">
        <v>6123</v>
      </c>
      <c r="I10" t="s">
        <v>12</v>
      </c>
      <c r="J10" t="s">
        <v>2</v>
      </c>
      <c r="N10" t="s">
        <v>1</v>
      </c>
      <c r="O10" t="s">
        <v>3</v>
      </c>
      <c r="T10" t="s">
        <v>4927</v>
      </c>
      <c r="U10" t="s">
        <v>397</v>
      </c>
      <c r="V10" t="s">
        <v>2753</v>
      </c>
      <c r="W10" t="s">
        <v>2754</v>
      </c>
      <c r="X10" t="s">
        <v>2755</v>
      </c>
    </row>
    <row r="11" spans="2:24" x14ac:dyDescent="0.25">
      <c r="H11" t="s">
        <v>0</v>
      </c>
      <c r="I11" t="s">
        <v>2</v>
      </c>
      <c r="N11" t="s">
        <v>1</v>
      </c>
      <c r="O11" t="s">
        <v>3</v>
      </c>
      <c r="T11" t="s">
        <v>4586</v>
      </c>
      <c r="U11" t="s">
        <v>397</v>
      </c>
      <c r="V11" t="s">
        <v>2753</v>
      </c>
      <c r="W11" t="s">
        <v>2754</v>
      </c>
      <c r="X11" t="s">
        <v>2755</v>
      </c>
    </row>
    <row r="12" spans="2:24" x14ac:dyDescent="0.25">
      <c r="H12" t="s">
        <v>0</v>
      </c>
      <c r="I12" t="s">
        <v>2</v>
      </c>
      <c r="N12" t="s">
        <v>1</v>
      </c>
      <c r="O12" t="s">
        <v>3</v>
      </c>
      <c r="T12" t="s">
        <v>4977</v>
      </c>
      <c r="U12" t="s">
        <v>397</v>
      </c>
      <c r="V12" t="s">
        <v>2753</v>
      </c>
      <c r="W12" t="s">
        <v>2754</v>
      </c>
      <c r="X12" t="s">
        <v>2755</v>
      </c>
    </row>
    <row r="13" spans="2:24" x14ac:dyDescent="0.25">
      <c r="H13" t="s">
        <v>0</v>
      </c>
      <c r="I13" t="s">
        <v>2</v>
      </c>
      <c r="N13" t="s">
        <v>1</v>
      </c>
      <c r="O13" t="s">
        <v>3</v>
      </c>
      <c r="T13" t="s">
        <v>412</v>
      </c>
      <c r="U13" t="s">
        <v>514</v>
      </c>
    </row>
    <row r="14" spans="2:24" x14ac:dyDescent="0.25">
      <c r="H14" t="s">
        <v>0</v>
      </c>
      <c r="I14" t="s">
        <v>2</v>
      </c>
      <c r="N14" t="s">
        <v>1</v>
      </c>
      <c r="O14" t="s">
        <v>3</v>
      </c>
      <c r="T14" t="s">
        <v>412</v>
      </c>
      <c r="U14" t="s">
        <v>514</v>
      </c>
    </row>
    <row r="15" spans="2:24" x14ac:dyDescent="0.25">
      <c r="H15" t="s">
        <v>8014</v>
      </c>
      <c r="I15" t="s">
        <v>2</v>
      </c>
      <c r="N15" t="s">
        <v>1</v>
      </c>
      <c r="O15" t="s">
        <v>3</v>
      </c>
      <c r="T15" t="s">
        <v>412</v>
      </c>
      <c r="U15" t="s">
        <v>514</v>
      </c>
    </row>
    <row r="16" spans="2:24" x14ac:dyDescent="0.25">
      <c r="H16" t="s">
        <v>5994</v>
      </c>
      <c r="I16" t="s">
        <v>2</v>
      </c>
      <c r="N16" t="s">
        <v>1</v>
      </c>
      <c r="O16" t="s">
        <v>3</v>
      </c>
      <c r="T16" t="s">
        <v>4504</v>
      </c>
      <c r="U16" t="s">
        <v>514</v>
      </c>
    </row>
    <row r="17" spans="8:21" x14ac:dyDescent="0.25">
      <c r="H17" t="s">
        <v>6290</v>
      </c>
      <c r="I17" t="s">
        <v>2</v>
      </c>
      <c r="N17" t="s">
        <v>1</v>
      </c>
      <c r="O17" t="s">
        <v>3</v>
      </c>
      <c r="T17" t="s">
        <v>4907</v>
      </c>
      <c r="U17" t="s">
        <v>514</v>
      </c>
    </row>
    <row r="18" spans="8:21" x14ac:dyDescent="0.25">
      <c r="H18" t="s">
        <v>6499</v>
      </c>
      <c r="I18" t="s">
        <v>2</v>
      </c>
      <c r="N18" t="s">
        <v>1</v>
      </c>
      <c r="O18" t="s">
        <v>3</v>
      </c>
      <c r="T18" t="s">
        <v>4946</v>
      </c>
      <c r="U18" t="s">
        <v>514</v>
      </c>
    </row>
    <row r="19" spans="8:21" x14ac:dyDescent="0.25">
      <c r="H19" t="s">
        <v>6820</v>
      </c>
      <c r="I19" t="s">
        <v>2</v>
      </c>
      <c r="N19" t="s">
        <v>1</v>
      </c>
      <c r="O19" t="s">
        <v>3</v>
      </c>
      <c r="T19" t="s">
        <v>4666</v>
      </c>
      <c r="U19" t="s">
        <v>514</v>
      </c>
    </row>
    <row r="20" spans="8:21" x14ac:dyDescent="0.25">
      <c r="H20" t="s">
        <v>5364</v>
      </c>
      <c r="I20" t="s">
        <v>2</v>
      </c>
      <c r="N20" t="s">
        <v>1</v>
      </c>
      <c r="O20" t="s">
        <v>3</v>
      </c>
      <c r="T20" t="s">
        <v>4879</v>
      </c>
      <c r="U20" t="s">
        <v>514</v>
      </c>
    </row>
    <row r="21" spans="8:21" x14ac:dyDescent="0.25">
      <c r="H21" t="s">
        <v>6372</v>
      </c>
      <c r="I21" t="s">
        <v>2</v>
      </c>
      <c r="N21" t="s">
        <v>8092</v>
      </c>
      <c r="O21" t="s">
        <v>3</v>
      </c>
      <c r="T21" t="s">
        <v>4585</v>
      </c>
      <c r="U21" t="s">
        <v>514</v>
      </c>
    </row>
    <row r="22" spans="8:21" x14ac:dyDescent="0.25">
      <c r="H22" t="s">
        <v>6646</v>
      </c>
      <c r="I22" t="s">
        <v>12</v>
      </c>
      <c r="N22" t="s">
        <v>8091</v>
      </c>
      <c r="O22" t="s">
        <v>3</v>
      </c>
      <c r="T22" t="s">
        <v>36</v>
      </c>
      <c r="U22" t="s">
        <v>30</v>
      </c>
    </row>
    <row r="23" spans="8:21" x14ac:dyDescent="0.25">
      <c r="H23" t="s">
        <v>5796</v>
      </c>
      <c r="I23" t="s">
        <v>12</v>
      </c>
      <c r="J23" t="s">
        <v>2</v>
      </c>
      <c r="N23" t="s">
        <v>8071</v>
      </c>
      <c r="O23" t="s">
        <v>3</v>
      </c>
      <c r="T23" t="s">
        <v>36</v>
      </c>
      <c r="U23" t="s">
        <v>30</v>
      </c>
    </row>
    <row r="24" spans="8:21" x14ac:dyDescent="0.25">
      <c r="H24" t="s">
        <v>5824</v>
      </c>
      <c r="I24" t="s">
        <v>12</v>
      </c>
      <c r="J24" t="s">
        <v>2</v>
      </c>
      <c r="N24" t="s">
        <v>8071</v>
      </c>
      <c r="O24" t="s">
        <v>3</v>
      </c>
      <c r="T24" t="s">
        <v>36</v>
      </c>
      <c r="U24" t="s">
        <v>30</v>
      </c>
    </row>
    <row r="25" spans="8:21" x14ac:dyDescent="0.25">
      <c r="H25" t="s">
        <v>11</v>
      </c>
      <c r="I25" t="s">
        <v>13</v>
      </c>
      <c r="N25" t="s">
        <v>8062</v>
      </c>
      <c r="O25" t="s">
        <v>3</v>
      </c>
      <c r="T25" t="s">
        <v>36</v>
      </c>
      <c r="U25" t="s">
        <v>30</v>
      </c>
    </row>
    <row r="26" spans="8:21" x14ac:dyDescent="0.25">
      <c r="H26" t="s">
        <v>11</v>
      </c>
      <c r="I26" t="s">
        <v>13</v>
      </c>
      <c r="N26" t="s">
        <v>6272</v>
      </c>
      <c r="O26" t="s">
        <v>3</v>
      </c>
      <c r="T26" t="s">
        <v>4948</v>
      </c>
      <c r="U26" t="s">
        <v>30</v>
      </c>
    </row>
    <row r="27" spans="8:21" x14ac:dyDescent="0.25">
      <c r="H27" t="s">
        <v>11</v>
      </c>
      <c r="I27" t="s">
        <v>13</v>
      </c>
      <c r="N27" t="s">
        <v>6272</v>
      </c>
      <c r="O27" t="s">
        <v>3</v>
      </c>
      <c r="T27" t="s">
        <v>4583</v>
      </c>
      <c r="U27" t="s">
        <v>30</v>
      </c>
    </row>
    <row r="28" spans="8:21" x14ac:dyDescent="0.25">
      <c r="H28" t="s">
        <v>1</v>
      </c>
      <c r="I28" t="s">
        <v>3</v>
      </c>
      <c r="N28" t="s">
        <v>7795</v>
      </c>
      <c r="O28" t="s">
        <v>3</v>
      </c>
      <c r="T28" t="s">
        <v>4828</v>
      </c>
      <c r="U28" t="s">
        <v>30</v>
      </c>
    </row>
    <row r="29" spans="8:21" x14ac:dyDescent="0.25">
      <c r="H29" t="s">
        <v>1</v>
      </c>
      <c r="I29" t="s">
        <v>3</v>
      </c>
      <c r="N29" t="s">
        <v>7257</v>
      </c>
      <c r="O29" t="s">
        <v>3</v>
      </c>
      <c r="T29" t="s">
        <v>4683</v>
      </c>
      <c r="U29" t="s">
        <v>30</v>
      </c>
    </row>
    <row r="30" spans="8:21" x14ac:dyDescent="0.25">
      <c r="H30" t="s">
        <v>1</v>
      </c>
      <c r="I30" t="s">
        <v>3</v>
      </c>
      <c r="N30" t="s">
        <v>8064</v>
      </c>
      <c r="O30" t="s">
        <v>3</v>
      </c>
      <c r="T30" t="s">
        <v>4737</v>
      </c>
      <c r="U30" t="s">
        <v>30</v>
      </c>
    </row>
    <row r="31" spans="8:21" x14ac:dyDescent="0.25">
      <c r="H31" t="s">
        <v>6272</v>
      </c>
      <c r="I31" t="s">
        <v>3</v>
      </c>
      <c r="N31" t="s">
        <v>8064</v>
      </c>
      <c r="O31" t="s">
        <v>3</v>
      </c>
      <c r="T31" t="s">
        <v>5161</v>
      </c>
      <c r="U31" t="s">
        <v>30</v>
      </c>
    </row>
    <row r="32" spans="8:21" x14ac:dyDescent="0.25">
      <c r="H32" t="s">
        <v>6849</v>
      </c>
      <c r="I32" t="s">
        <v>3</v>
      </c>
      <c r="N32" t="s">
        <v>8064</v>
      </c>
      <c r="O32" t="s">
        <v>3</v>
      </c>
      <c r="T32" t="s">
        <v>4662</v>
      </c>
      <c r="U32" t="s">
        <v>30</v>
      </c>
    </row>
    <row r="33" spans="8:21" x14ac:dyDescent="0.25">
      <c r="H33" t="s">
        <v>6165</v>
      </c>
      <c r="I33" t="s">
        <v>3</v>
      </c>
      <c r="N33" t="s">
        <v>7374</v>
      </c>
      <c r="O33" t="s">
        <v>3</v>
      </c>
      <c r="T33" t="s">
        <v>4857</v>
      </c>
      <c r="U33" t="s">
        <v>30</v>
      </c>
    </row>
    <row r="34" spans="8:21" x14ac:dyDescent="0.25">
      <c r="H34" t="s">
        <v>6828</v>
      </c>
      <c r="I34" t="s">
        <v>13</v>
      </c>
      <c r="N34" t="s">
        <v>7686</v>
      </c>
      <c r="O34" t="s">
        <v>3</v>
      </c>
      <c r="T34" t="s">
        <v>4591</v>
      </c>
      <c r="U34" t="s">
        <v>30</v>
      </c>
    </row>
    <row r="35" spans="8:21" x14ac:dyDescent="0.25">
      <c r="H35" t="s">
        <v>5445</v>
      </c>
      <c r="I35" t="s">
        <v>13</v>
      </c>
      <c r="N35" t="s">
        <v>7524</v>
      </c>
      <c r="O35" t="s">
        <v>3</v>
      </c>
      <c r="T35" t="s">
        <v>4775</v>
      </c>
      <c r="U35" t="s">
        <v>30</v>
      </c>
    </row>
    <row r="36" spans="8:21" x14ac:dyDescent="0.25">
      <c r="H36" t="s">
        <v>5445</v>
      </c>
      <c r="I36" t="s">
        <v>13</v>
      </c>
      <c r="N36" t="s">
        <v>7399</v>
      </c>
      <c r="O36" t="s">
        <v>3</v>
      </c>
      <c r="T36" t="s">
        <v>4601</v>
      </c>
      <c r="U36" t="s">
        <v>30</v>
      </c>
    </row>
    <row r="37" spans="8:21" x14ac:dyDescent="0.25">
      <c r="H37" t="s">
        <v>5445</v>
      </c>
      <c r="I37" t="s">
        <v>13</v>
      </c>
      <c r="N37" t="s">
        <v>7746</v>
      </c>
      <c r="O37" t="s">
        <v>3</v>
      </c>
      <c r="T37" t="s">
        <v>4667</v>
      </c>
      <c r="U37" t="s">
        <v>30</v>
      </c>
    </row>
    <row r="38" spans="8:21" x14ac:dyDescent="0.25">
      <c r="H38" t="s">
        <v>6631</v>
      </c>
      <c r="I38" t="s">
        <v>13</v>
      </c>
      <c r="N38" t="s">
        <v>7420</v>
      </c>
      <c r="O38" t="s">
        <v>3</v>
      </c>
      <c r="T38" t="s">
        <v>37</v>
      </c>
      <c r="U38" t="s">
        <v>31</v>
      </c>
    </row>
    <row r="39" spans="8:21" x14ac:dyDescent="0.25">
      <c r="H39" t="s">
        <v>6860</v>
      </c>
      <c r="I39" t="s">
        <v>13</v>
      </c>
      <c r="J39" t="s">
        <v>3</v>
      </c>
      <c r="N39" t="s">
        <v>7420</v>
      </c>
      <c r="O39" t="s">
        <v>3</v>
      </c>
      <c r="T39" t="s">
        <v>37</v>
      </c>
      <c r="U39" t="s">
        <v>31</v>
      </c>
    </row>
    <row r="40" spans="8:21" x14ac:dyDescent="0.25">
      <c r="H40" t="s">
        <v>6311</v>
      </c>
      <c r="I40" t="s">
        <v>13</v>
      </c>
      <c r="J40" t="s">
        <v>3</v>
      </c>
      <c r="N40" t="s">
        <v>7420</v>
      </c>
      <c r="O40" t="s">
        <v>3</v>
      </c>
      <c r="T40" t="s">
        <v>37</v>
      </c>
      <c r="U40" t="s">
        <v>31</v>
      </c>
    </row>
    <row r="41" spans="8:21" x14ac:dyDescent="0.25">
      <c r="H41" t="s">
        <v>6763</v>
      </c>
      <c r="I41" t="s">
        <v>13</v>
      </c>
      <c r="J41" t="s">
        <v>3</v>
      </c>
      <c r="N41" t="s">
        <v>6165</v>
      </c>
      <c r="O41" t="s">
        <v>3</v>
      </c>
      <c r="T41" t="s">
        <v>37</v>
      </c>
      <c r="U41" t="s">
        <v>31</v>
      </c>
    </row>
    <row r="42" spans="8:21" x14ac:dyDescent="0.25">
      <c r="H42" t="s">
        <v>6518</v>
      </c>
      <c r="I42" t="s">
        <v>13</v>
      </c>
      <c r="J42" t="s">
        <v>3</v>
      </c>
      <c r="N42" t="s">
        <v>6165</v>
      </c>
      <c r="O42" t="s">
        <v>3</v>
      </c>
      <c r="T42" t="s">
        <v>37</v>
      </c>
      <c r="U42" t="s">
        <v>31</v>
      </c>
    </row>
    <row r="43" spans="8:21" x14ac:dyDescent="0.25">
      <c r="H43" t="s">
        <v>406</v>
      </c>
      <c r="I43" t="s">
        <v>407</v>
      </c>
      <c r="J43" t="s">
        <v>409</v>
      </c>
      <c r="N43" t="s">
        <v>6165</v>
      </c>
      <c r="O43" t="s">
        <v>3</v>
      </c>
      <c r="T43" t="s">
        <v>37</v>
      </c>
      <c r="U43" t="s">
        <v>31</v>
      </c>
    </row>
    <row r="44" spans="8:21" x14ac:dyDescent="0.25">
      <c r="H44" t="s">
        <v>406</v>
      </c>
      <c r="I44" t="s">
        <v>407</v>
      </c>
      <c r="N44" t="s">
        <v>8084</v>
      </c>
      <c r="O44" t="s">
        <v>3</v>
      </c>
      <c r="T44" t="s">
        <v>37</v>
      </c>
      <c r="U44" t="s">
        <v>31</v>
      </c>
    </row>
    <row r="45" spans="8:21" x14ac:dyDescent="0.25">
      <c r="H45" t="s">
        <v>406</v>
      </c>
      <c r="I45" t="s">
        <v>407</v>
      </c>
      <c r="N45" t="s">
        <v>8084</v>
      </c>
      <c r="O45" t="s">
        <v>3</v>
      </c>
      <c r="T45" t="s">
        <v>37</v>
      </c>
      <c r="U45" t="s">
        <v>31</v>
      </c>
    </row>
    <row r="46" spans="8:21" x14ac:dyDescent="0.25">
      <c r="H46" t="s">
        <v>406</v>
      </c>
      <c r="I46" t="s">
        <v>407</v>
      </c>
      <c r="N46" t="s">
        <v>7458</v>
      </c>
      <c r="O46" t="s">
        <v>13</v>
      </c>
      <c r="T46" t="s">
        <v>37</v>
      </c>
      <c r="U46" t="s">
        <v>31</v>
      </c>
    </row>
    <row r="47" spans="8:21" x14ac:dyDescent="0.25">
      <c r="H47" t="s">
        <v>406</v>
      </c>
      <c r="I47" t="s">
        <v>407</v>
      </c>
      <c r="N47" t="s">
        <v>396</v>
      </c>
      <c r="O47" t="s">
        <v>397</v>
      </c>
      <c r="P47" t="s">
        <v>2753</v>
      </c>
      <c r="Q47" t="s">
        <v>2754</v>
      </c>
      <c r="R47" t="s">
        <v>2755</v>
      </c>
      <c r="T47" t="s">
        <v>37</v>
      </c>
      <c r="U47" t="s">
        <v>31</v>
      </c>
    </row>
    <row r="48" spans="8:21" x14ac:dyDescent="0.25">
      <c r="H48" t="s">
        <v>406</v>
      </c>
      <c r="I48" t="s">
        <v>407</v>
      </c>
      <c r="J48" t="s">
        <v>409</v>
      </c>
      <c r="N48" t="s">
        <v>396</v>
      </c>
      <c r="O48" t="s">
        <v>2753</v>
      </c>
      <c r="T48" t="s">
        <v>37</v>
      </c>
      <c r="U48" t="s">
        <v>31</v>
      </c>
    </row>
    <row r="49" spans="8:21" x14ac:dyDescent="0.25">
      <c r="H49" t="s">
        <v>406</v>
      </c>
      <c r="I49" t="s">
        <v>407</v>
      </c>
      <c r="N49" t="s">
        <v>396</v>
      </c>
      <c r="O49" t="s">
        <v>2754</v>
      </c>
      <c r="P49" t="s">
        <v>2755</v>
      </c>
      <c r="T49" t="s">
        <v>37</v>
      </c>
      <c r="U49" t="s">
        <v>31</v>
      </c>
    </row>
    <row r="50" spans="8:21" x14ac:dyDescent="0.25">
      <c r="H50" t="s">
        <v>408</v>
      </c>
      <c r="I50" t="s">
        <v>409</v>
      </c>
      <c r="N50" t="s">
        <v>396</v>
      </c>
      <c r="O50" t="s">
        <v>397</v>
      </c>
      <c r="P50" t="s">
        <v>2753</v>
      </c>
      <c r="Q50" t="s">
        <v>2754</v>
      </c>
      <c r="R50" t="s">
        <v>2755</v>
      </c>
      <c r="T50" t="s">
        <v>37</v>
      </c>
      <c r="U50" t="s">
        <v>31</v>
      </c>
    </row>
    <row r="51" spans="8:21" x14ac:dyDescent="0.25">
      <c r="H51" t="s">
        <v>6080</v>
      </c>
      <c r="I51" t="s">
        <v>409</v>
      </c>
      <c r="N51" t="s">
        <v>396</v>
      </c>
      <c r="O51" t="s">
        <v>397</v>
      </c>
      <c r="P51" t="s">
        <v>2753</v>
      </c>
      <c r="Q51" t="s">
        <v>2754</v>
      </c>
      <c r="R51" t="s">
        <v>2755</v>
      </c>
      <c r="T51" t="s">
        <v>37</v>
      </c>
      <c r="U51" t="s">
        <v>31</v>
      </c>
    </row>
    <row r="52" spans="8:21" x14ac:dyDescent="0.25">
      <c r="H52" t="s">
        <v>6078</v>
      </c>
      <c r="I52" t="s">
        <v>409</v>
      </c>
      <c r="N52" t="s">
        <v>396</v>
      </c>
      <c r="O52" t="s">
        <v>2755</v>
      </c>
      <c r="P52" t="s">
        <v>2753</v>
      </c>
      <c r="Q52" t="s">
        <v>2754</v>
      </c>
      <c r="R52" t="s">
        <v>397</v>
      </c>
      <c r="T52" t="s">
        <v>37</v>
      </c>
      <c r="U52" t="s">
        <v>31</v>
      </c>
    </row>
    <row r="53" spans="8:21" x14ac:dyDescent="0.25">
      <c r="H53" t="s">
        <v>5311</v>
      </c>
      <c r="I53" t="s">
        <v>407</v>
      </c>
      <c r="N53" t="s">
        <v>396</v>
      </c>
      <c r="O53" t="s">
        <v>397</v>
      </c>
      <c r="T53" t="s">
        <v>37</v>
      </c>
      <c r="U53" t="s">
        <v>31</v>
      </c>
    </row>
    <row r="54" spans="8:21" x14ac:dyDescent="0.25">
      <c r="H54" t="s">
        <v>5556</v>
      </c>
      <c r="I54" t="s">
        <v>407</v>
      </c>
      <c r="N54" t="s">
        <v>396</v>
      </c>
      <c r="O54" t="s">
        <v>2755</v>
      </c>
      <c r="P54" t="s">
        <v>2753</v>
      </c>
      <c r="Q54" t="s">
        <v>2754</v>
      </c>
      <c r="R54" t="s">
        <v>397</v>
      </c>
      <c r="T54" t="s">
        <v>37</v>
      </c>
      <c r="U54" t="s">
        <v>31</v>
      </c>
    </row>
    <row r="55" spans="8:21" x14ac:dyDescent="0.25">
      <c r="H55" t="s">
        <v>6008</v>
      </c>
      <c r="I55" t="s">
        <v>407</v>
      </c>
      <c r="J55" t="s">
        <v>409</v>
      </c>
      <c r="N55" t="s">
        <v>396</v>
      </c>
      <c r="O55" t="s">
        <v>397</v>
      </c>
      <c r="P55" t="s">
        <v>2753</v>
      </c>
      <c r="Q55" t="s">
        <v>2754</v>
      </c>
      <c r="R55" t="s">
        <v>2755</v>
      </c>
      <c r="T55" t="s">
        <v>37</v>
      </c>
      <c r="U55" t="s">
        <v>31</v>
      </c>
    </row>
    <row r="56" spans="8:21" x14ac:dyDescent="0.25">
      <c r="H56" t="s">
        <v>6284</v>
      </c>
      <c r="I56" t="s">
        <v>407</v>
      </c>
      <c r="J56" t="s">
        <v>409</v>
      </c>
      <c r="N56" t="s">
        <v>396</v>
      </c>
      <c r="O56" t="s">
        <v>397</v>
      </c>
      <c r="P56" t="s">
        <v>2753</v>
      </c>
      <c r="Q56" t="s">
        <v>2754</v>
      </c>
      <c r="R56" t="s">
        <v>2755</v>
      </c>
      <c r="T56" t="s">
        <v>37</v>
      </c>
      <c r="U56" t="s">
        <v>31</v>
      </c>
    </row>
    <row r="57" spans="8:21" x14ac:dyDescent="0.25">
      <c r="H57" t="s">
        <v>5844</v>
      </c>
      <c r="I57" t="s">
        <v>407</v>
      </c>
      <c r="N57" t="s">
        <v>396</v>
      </c>
      <c r="O57" t="s">
        <v>397</v>
      </c>
      <c r="P57" t="s">
        <v>2753</v>
      </c>
      <c r="Q57" t="s">
        <v>2754</v>
      </c>
      <c r="R57" t="s">
        <v>2755</v>
      </c>
      <c r="T57" t="s">
        <v>37</v>
      </c>
      <c r="U57" t="s">
        <v>31</v>
      </c>
    </row>
    <row r="58" spans="8:21" x14ac:dyDescent="0.25">
      <c r="H58" t="s">
        <v>396</v>
      </c>
      <c r="I58" t="s">
        <v>397</v>
      </c>
      <c r="J58" t="s">
        <v>2753</v>
      </c>
      <c r="K58" t="s">
        <v>2754</v>
      </c>
      <c r="L58" t="s">
        <v>2755</v>
      </c>
      <c r="N58" t="s">
        <v>7006</v>
      </c>
      <c r="O58" t="s">
        <v>397</v>
      </c>
      <c r="P58" t="s">
        <v>2753</v>
      </c>
      <c r="Q58" t="s">
        <v>2754</v>
      </c>
      <c r="R58" t="s">
        <v>2755</v>
      </c>
      <c r="T58" t="s">
        <v>37</v>
      </c>
      <c r="U58" t="s">
        <v>31</v>
      </c>
    </row>
    <row r="59" spans="8:21" x14ac:dyDescent="0.25">
      <c r="H59" t="s">
        <v>396</v>
      </c>
      <c r="I59" t="s">
        <v>397</v>
      </c>
      <c r="J59" t="s">
        <v>2753</v>
      </c>
      <c r="K59" t="s">
        <v>2754</v>
      </c>
      <c r="L59" t="s">
        <v>2755</v>
      </c>
      <c r="N59" t="s">
        <v>7006</v>
      </c>
      <c r="O59" t="s">
        <v>397</v>
      </c>
      <c r="P59" t="s">
        <v>2753</v>
      </c>
      <c r="Q59" t="s">
        <v>2754</v>
      </c>
      <c r="R59" t="s">
        <v>2755</v>
      </c>
      <c r="T59" t="s">
        <v>37</v>
      </c>
      <c r="U59" t="s">
        <v>31</v>
      </c>
    </row>
    <row r="60" spans="8:21" x14ac:dyDescent="0.25">
      <c r="H60" t="s">
        <v>396</v>
      </c>
      <c r="I60" t="s">
        <v>397</v>
      </c>
      <c r="J60" t="s">
        <v>2753</v>
      </c>
      <c r="K60" t="s">
        <v>2754</v>
      </c>
      <c r="L60" t="s">
        <v>2755</v>
      </c>
      <c r="N60" t="s">
        <v>7006</v>
      </c>
      <c r="O60" t="s">
        <v>2755</v>
      </c>
      <c r="P60" t="s">
        <v>2754</v>
      </c>
      <c r="Q60" t="s">
        <v>2753</v>
      </c>
      <c r="R60" t="s">
        <v>397</v>
      </c>
      <c r="T60" t="s">
        <v>37</v>
      </c>
      <c r="U60" t="s">
        <v>31</v>
      </c>
    </row>
    <row r="61" spans="8:21" x14ac:dyDescent="0.25">
      <c r="H61" t="s">
        <v>396</v>
      </c>
      <c r="I61" t="s">
        <v>397</v>
      </c>
      <c r="J61" t="s">
        <v>2753</v>
      </c>
      <c r="K61" t="s">
        <v>2754</v>
      </c>
      <c r="L61" t="s">
        <v>2755</v>
      </c>
      <c r="N61" t="s">
        <v>7006</v>
      </c>
      <c r="O61" t="s">
        <v>397</v>
      </c>
      <c r="P61" t="s">
        <v>2753</v>
      </c>
      <c r="Q61" t="s">
        <v>2754</v>
      </c>
      <c r="R61" t="s">
        <v>2755</v>
      </c>
      <c r="T61" t="s">
        <v>37</v>
      </c>
      <c r="U61" t="s">
        <v>31</v>
      </c>
    </row>
    <row r="62" spans="8:21" x14ac:dyDescent="0.25">
      <c r="H62" t="s">
        <v>396</v>
      </c>
      <c r="I62" t="s">
        <v>397</v>
      </c>
      <c r="J62" t="s">
        <v>2753</v>
      </c>
      <c r="K62" t="s">
        <v>2754</v>
      </c>
      <c r="L62" t="s">
        <v>2755</v>
      </c>
      <c r="N62" t="s">
        <v>7444</v>
      </c>
      <c r="O62" t="s">
        <v>2754</v>
      </c>
      <c r="T62" t="s">
        <v>37</v>
      </c>
      <c r="U62" t="s">
        <v>31</v>
      </c>
    </row>
    <row r="63" spans="8:21" x14ac:dyDescent="0.25">
      <c r="H63" t="s">
        <v>396</v>
      </c>
      <c r="I63" t="s">
        <v>397</v>
      </c>
      <c r="J63" t="s">
        <v>2753</v>
      </c>
      <c r="K63" t="s">
        <v>2754</v>
      </c>
      <c r="N63" t="s">
        <v>5350</v>
      </c>
      <c r="O63" t="s">
        <v>397</v>
      </c>
      <c r="P63" t="s">
        <v>2753</v>
      </c>
      <c r="Q63" t="s">
        <v>2754</v>
      </c>
      <c r="R63" t="s">
        <v>2755</v>
      </c>
      <c r="T63" t="s">
        <v>37</v>
      </c>
      <c r="U63" t="s">
        <v>31</v>
      </c>
    </row>
    <row r="64" spans="8:21" x14ac:dyDescent="0.25">
      <c r="H64" t="s">
        <v>396</v>
      </c>
      <c r="I64" t="s">
        <v>397</v>
      </c>
      <c r="J64" t="s">
        <v>2753</v>
      </c>
      <c r="K64" t="s">
        <v>2754</v>
      </c>
      <c r="L64" t="s">
        <v>2755</v>
      </c>
      <c r="N64" t="s">
        <v>5350</v>
      </c>
      <c r="O64" t="s">
        <v>397</v>
      </c>
      <c r="P64" t="s">
        <v>2753</v>
      </c>
      <c r="Q64" t="s">
        <v>2754</v>
      </c>
      <c r="R64" t="s">
        <v>2755</v>
      </c>
      <c r="T64" t="s">
        <v>37</v>
      </c>
      <c r="U64" t="s">
        <v>31</v>
      </c>
    </row>
    <row r="65" spans="8:21" x14ac:dyDescent="0.25">
      <c r="H65" t="s">
        <v>396</v>
      </c>
      <c r="I65" t="s">
        <v>397</v>
      </c>
      <c r="J65" t="s">
        <v>2753</v>
      </c>
      <c r="K65" t="s">
        <v>2754</v>
      </c>
      <c r="L65" t="s">
        <v>2755</v>
      </c>
      <c r="N65" t="s">
        <v>7417</v>
      </c>
      <c r="O65" t="s">
        <v>397</v>
      </c>
      <c r="P65" t="s">
        <v>2753</v>
      </c>
      <c r="Q65" t="s">
        <v>2754</v>
      </c>
      <c r="R65" t="s">
        <v>2755</v>
      </c>
      <c r="T65" t="s">
        <v>37</v>
      </c>
      <c r="U65" t="s">
        <v>31</v>
      </c>
    </row>
    <row r="66" spans="8:21" x14ac:dyDescent="0.25">
      <c r="H66" t="s">
        <v>396</v>
      </c>
      <c r="I66" t="s">
        <v>397</v>
      </c>
      <c r="J66" t="s">
        <v>2753</v>
      </c>
      <c r="K66" t="s">
        <v>2754</v>
      </c>
      <c r="L66" t="s">
        <v>2755</v>
      </c>
      <c r="N66" t="s">
        <v>7417</v>
      </c>
      <c r="O66" t="s">
        <v>397</v>
      </c>
      <c r="P66" t="s">
        <v>2753</v>
      </c>
      <c r="Q66" t="s">
        <v>2754</v>
      </c>
      <c r="R66" t="s">
        <v>2755</v>
      </c>
      <c r="T66" t="s">
        <v>37</v>
      </c>
      <c r="U66" t="s">
        <v>31</v>
      </c>
    </row>
    <row r="67" spans="8:21" x14ac:dyDescent="0.25">
      <c r="H67" t="s">
        <v>396</v>
      </c>
      <c r="I67" t="s">
        <v>397</v>
      </c>
      <c r="J67" t="s">
        <v>2753</v>
      </c>
      <c r="K67" t="s">
        <v>2754</v>
      </c>
      <c r="L67" t="s">
        <v>2755</v>
      </c>
      <c r="N67" t="s">
        <v>4812</v>
      </c>
      <c r="O67" t="s">
        <v>397</v>
      </c>
      <c r="P67" t="s">
        <v>397</v>
      </c>
      <c r="Q67" t="s">
        <v>397</v>
      </c>
      <c r="R67" t="s">
        <v>397</v>
      </c>
      <c r="T67" t="s">
        <v>37</v>
      </c>
      <c r="U67" t="s">
        <v>31</v>
      </c>
    </row>
    <row r="68" spans="8:21" x14ac:dyDescent="0.25">
      <c r="H68" t="s">
        <v>396</v>
      </c>
      <c r="I68" t="s">
        <v>397</v>
      </c>
      <c r="J68" t="s">
        <v>2753</v>
      </c>
      <c r="K68" t="s">
        <v>2754</v>
      </c>
      <c r="L68" t="s">
        <v>2755</v>
      </c>
      <c r="N68" t="s">
        <v>4812</v>
      </c>
      <c r="O68" t="s">
        <v>397</v>
      </c>
      <c r="P68" t="s">
        <v>2753</v>
      </c>
      <c r="Q68" t="s">
        <v>2754</v>
      </c>
      <c r="R68" t="s">
        <v>2755</v>
      </c>
      <c r="T68" t="s">
        <v>37</v>
      </c>
      <c r="U68" t="s">
        <v>31</v>
      </c>
    </row>
    <row r="69" spans="8:21" x14ac:dyDescent="0.25">
      <c r="H69" t="s">
        <v>396</v>
      </c>
      <c r="I69" t="s">
        <v>397</v>
      </c>
      <c r="J69" t="s">
        <v>2753</v>
      </c>
      <c r="N69" t="s">
        <v>4812</v>
      </c>
      <c r="O69" t="s">
        <v>397</v>
      </c>
      <c r="P69" t="s">
        <v>2753</v>
      </c>
      <c r="Q69" t="s">
        <v>2754</v>
      </c>
      <c r="R69" t="s">
        <v>2755</v>
      </c>
      <c r="T69" t="s">
        <v>37</v>
      </c>
      <c r="U69" t="s">
        <v>31</v>
      </c>
    </row>
    <row r="70" spans="8:21" x14ac:dyDescent="0.25">
      <c r="H70" t="s">
        <v>396</v>
      </c>
      <c r="I70" t="s">
        <v>397</v>
      </c>
      <c r="J70" t="s">
        <v>2753</v>
      </c>
      <c r="N70" t="s">
        <v>4812</v>
      </c>
      <c r="O70" t="s">
        <v>397</v>
      </c>
      <c r="P70" t="s">
        <v>2753</v>
      </c>
      <c r="Q70" t="s">
        <v>2754</v>
      </c>
      <c r="R70" t="s">
        <v>2755</v>
      </c>
      <c r="T70" t="s">
        <v>37</v>
      </c>
      <c r="U70" t="s">
        <v>31</v>
      </c>
    </row>
    <row r="71" spans="8:21" x14ac:dyDescent="0.25">
      <c r="H71" t="s">
        <v>5937</v>
      </c>
      <c r="I71" t="s">
        <v>397</v>
      </c>
      <c r="J71" t="s">
        <v>2753</v>
      </c>
      <c r="K71" t="s">
        <v>2754</v>
      </c>
      <c r="L71" t="s">
        <v>2755</v>
      </c>
      <c r="N71" t="s">
        <v>4812</v>
      </c>
      <c r="O71" t="s">
        <v>397</v>
      </c>
      <c r="P71" t="s">
        <v>2753</v>
      </c>
      <c r="Q71" t="s">
        <v>2754</v>
      </c>
      <c r="R71" t="s">
        <v>2755</v>
      </c>
      <c r="T71" t="s">
        <v>37</v>
      </c>
      <c r="U71" t="s">
        <v>31</v>
      </c>
    </row>
    <row r="72" spans="8:21" x14ac:dyDescent="0.25">
      <c r="H72" t="s">
        <v>5937</v>
      </c>
      <c r="I72" t="s">
        <v>397</v>
      </c>
      <c r="J72" t="s">
        <v>2753</v>
      </c>
      <c r="K72" t="s">
        <v>2754</v>
      </c>
      <c r="L72" t="s">
        <v>2755</v>
      </c>
      <c r="N72" t="s">
        <v>4812</v>
      </c>
      <c r="O72" t="s">
        <v>2754</v>
      </c>
      <c r="P72" t="s">
        <v>2755</v>
      </c>
      <c r="Q72" t="s">
        <v>397</v>
      </c>
      <c r="R72" t="s">
        <v>2753</v>
      </c>
      <c r="T72" t="s">
        <v>37</v>
      </c>
      <c r="U72" t="s">
        <v>31</v>
      </c>
    </row>
    <row r="73" spans="8:21" x14ac:dyDescent="0.25">
      <c r="H73" t="s">
        <v>5576</v>
      </c>
      <c r="I73" t="s">
        <v>397</v>
      </c>
      <c r="J73" t="s">
        <v>2753</v>
      </c>
      <c r="K73" t="s">
        <v>2754</v>
      </c>
      <c r="L73" t="s">
        <v>2755</v>
      </c>
      <c r="N73" t="s">
        <v>4812</v>
      </c>
      <c r="O73" t="s">
        <v>397</v>
      </c>
      <c r="P73" t="s">
        <v>397</v>
      </c>
      <c r="Q73" t="s">
        <v>397</v>
      </c>
      <c r="R73" t="s">
        <v>397</v>
      </c>
      <c r="T73" t="s">
        <v>37</v>
      </c>
      <c r="U73" t="s">
        <v>31</v>
      </c>
    </row>
    <row r="74" spans="8:21" x14ac:dyDescent="0.25">
      <c r="H74" t="s">
        <v>5576</v>
      </c>
      <c r="I74" t="s">
        <v>397</v>
      </c>
      <c r="J74" t="s">
        <v>2753</v>
      </c>
      <c r="K74" t="s">
        <v>2754</v>
      </c>
      <c r="L74" t="s">
        <v>2755</v>
      </c>
      <c r="N74" t="s">
        <v>4812</v>
      </c>
      <c r="O74" t="s">
        <v>2755</v>
      </c>
      <c r="P74" t="s">
        <v>2754</v>
      </c>
      <c r="Q74" t="s">
        <v>397</v>
      </c>
      <c r="R74" t="s">
        <v>2753</v>
      </c>
      <c r="T74" t="s">
        <v>37</v>
      </c>
      <c r="U74" t="s">
        <v>31</v>
      </c>
    </row>
    <row r="75" spans="8:21" x14ac:dyDescent="0.25">
      <c r="H75" t="s">
        <v>5296</v>
      </c>
      <c r="I75" t="s">
        <v>397</v>
      </c>
      <c r="J75" t="s">
        <v>2753</v>
      </c>
      <c r="K75" t="s">
        <v>2754</v>
      </c>
      <c r="L75" t="s">
        <v>2755</v>
      </c>
      <c r="N75" t="s">
        <v>4812</v>
      </c>
      <c r="O75" t="s">
        <v>397</v>
      </c>
      <c r="P75" t="s">
        <v>2753</v>
      </c>
      <c r="Q75" t="s">
        <v>2754</v>
      </c>
      <c r="R75" t="s">
        <v>2755</v>
      </c>
      <c r="T75" t="s">
        <v>37</v>
      </c>
      <c r="U75" t="s">
        <v>31</v>
      </c>
    </row>
    <row r="76" spans="8:21" x14ac:dyDescent="0.25">
      <c r="H76" t="s">
        <v>5465</v>
      </c>
      <c r="I76" t="s">
        <v>397</v>
      </c>
      <c r="J76" t="s">
        <v>2753</v>
      </c>
      <c r="K76" t="s">
        <v>2754</v>
      </c>
      <c r="L76" t="s">
        <v>2755</v>
      </c>
      <c r="N76" t="s">
        <v>4812</v>
      </c>
      <c r="O76" t="s">
        <v>397</v>
      </c>
      <c r="P76" t="s">
        <v>2753</v>
      </c>
      <c r="Q76" t="s">
        <v>2754</v>
      </c>
      <c r="R76" t="s">
        <v>2755</v>
      </c>
      <c r="T76" t="s">
        <v>37</v>
      </c>
      <c r="U76" t="s">
        <v>31</v>
      </c>
    </row>
    <row r="77" spans="8:21" x14ac:dyDescent="0.25">
      <c r="H77" t="s">
        <v>5302</v>
      </c>
      <c r="I77" t="s">
        <v>397</v>
      </c>
      <c r="J77" t="s">
        <v>2753</v>
      </c>
      <c r="K77" t="s">
        <v>2754</v>
      </c>
      <c r="L77" t="s">
        <v>2755</v>
      </c>
      <c r="N77" t="s">
        <v>4812</v>
      </c>
      <c r="O77" t="s">
        <v>397</v>
      </c>
      <c r="P77" t="s">
        <v>2753</v>
      </c>
      <c r="Q77" t="s">
        <v>2754</v>
      </c>
      <c r="R77" t="s">
        <v>2755</v>
      </c>
      <c r="T77" t="s">
        <v>37</v>
      </c>
      <c r="U77" t="s">
        <v>31</v>
      </c>
    </row>
    <row r="78" spans="8:21" x14ac:dyDescent="0.25">
      <c r="H78" t="s">
        <v>5369</v>
      </c>
      <c r="I78" t="s">
        <v>397</v>
      </c>
      <c r="J78" t="s">
        <v>2753</v>
      </c>
      <c r="K78" t="s">
        <v>2754</v>
      </c>
      <c r="L78" t="s">
        <v>2755</v>
      </c>
      <c r="N78" t="s">
        <v>4927</v>
      </c>
      <c r="O78" t="s">
        <v>397</v>
      </c>
      <c r="P78" t="s">
        <v>2753</v>
      </c>
      <c r="Q78" t="s">
        <v>2754</v>
      </c>
      <c r="R78" t="s">
        <v>2755</v>
      </c>
      <c r="T78" t="s">
        <v>37</v>
      </c>
      <c r="U78" t="s">
        <v>31</v>
      </c>
    </row>
    <row r="79" spans="8:21" x14ac:dyDescent="0.25">
      <c r="H79" t="s">
        <v>5369</v>
      </c>
      <c r="I79" t="s">
        <v>397</v>
      </c>
      <c r="J79" t="s">
        <v>2753</v>
      </c>
      <c r="K79" t="s">
        <v>2754</v>
      </c>
      <c r="L79" t="s">
        <v>2755</v>
      </c>
      <c r="N79" t="s">
        <v>8026</v>
      </c>
      <c r="O79" t="s">
        <v>2755</v>
      </c>
      <c r="P79" t="s">
        <v>2754</v>
      </c>
      <c r="Q79" t="s">
        <v>397</v>
      </c>
      <c r="R79" t="s">
        <v>2753</v>
      </c>
      <c r="T79" t="s">
        <v>37</v>
      </c>
      <c r="U79" t="s">
        <v>31</v>
      </c>
    </row>
    <row r="80" spans="8:21" x14ac:dyDescent="0.25">
      <c r="H80" t="s">
        <v>5369</v>
      </c>
      <c r="I80" t="s">
        <v>397</v>
      </c>
      <c r="J80" t="s">
        <v>2753</v>
      </c>
      <c r="K80" t="s">
        <v>2754</v>
      </c>
      <c r="L80" t="s">
        <v>2755</v>
      </c>
      <c r="N80" t="s">
        <v>8026</v>
      </c>
      <c r="O80" t="s">
        <v>2755</v>
      </c>
      <c r="P80" t="s">
        <v>2754</v>
      </c>
      <c r="Q80" t="s">
        <v>397</v>
      </c>
      <c r="R80" t="s">
        <v>2753</v>
      </c>
      <c r="T80" t="s">
        <v>37</v>
      </c>
      <c r="U80" t="s">
        <v>31</v>
      </c>
    </row>
    <row r="81" spans="8:21" x14ac:dyDescent="0.25">
      <c r="H81" t="s">
        <v>5369</v>
      </c>
      <c r="I81" t="s">
        <v>397</v>
      </c>
      <c r="J81" t="s">
        <v>2753</v>
      </c>
      <c r="K81" t="s">
        <v>2754</v>
      </c>
      <c r="L81" t="s">
        <v>2755</v>
      </c>
      <c r="N81" t="s">
        <v>8040</v>
      </c>
      <c r="O81" t="s">
        <v>2755</v>
      </c>
      <c r="P81" t="s">
        <v>2754</v>
      </c>
      <c r="Q81" t="s">
        <v>397</v>
      </c>
      <c r="R81" t="s">
        <v>2753</v>
      </c>
      <c r="T81" t="s">
        <v>37</v>
      </c>
      <c r="U81" t="s">
        <v>31</v>
      </c>
    </row>
    <row r="82" spans="8:21" x14ac:dyDescent="0.25">
      <c r="H82" t="s">
        <v>5369</v>
      </c>
      <c r="I82" t="s">
        <v>397</v>
      </c>
      <c r="J82" t="s">
        <v>2753</v>
      </c>
      <c r="K82" t="s">
        <v>2754</v>
      </c>
      <c r="L82" t="s">
        <v>2755</v>
      </c>
      <c r="N82" t="s">
        <v>36</v>
      </c>
      <c r="O82" t="s">
        <v>30</v>
      </c>
      <c r="T82" t="s">
        <v>37</v>
      </c>
      <c r="U82" t="s">
        <v>31</v>
      </c>
    </row>
    <row r="83" spans="8:21" x14ac:dyDescent="0.25">
      <c r="H83" t="s">
        <v>5369</v>
      </c>
      <c r="I83" t="s">
        <v>397</v>
      </c>
      <c r="J83" t="s">
        <v>2753</v>
      </c>
      <c r="K83" t="s">
        <v>2754</v>
      </c>
      <c r="L83" t="s">
        <v>2755</v>
      </c>
      <c r="N83" t="s">
        <v>36</v>
      </c>
      <c r="O83" t="s">
        <v>30</v>
      </c>
      <c r="T83" t="s">
        <v>37</v>
      </c>
      <c r="U83" t="s">
        <v>31</v>
      </c>
    </row>
    <row r="84" spans="8:21" x14ac:dyDescent="0.25">
      <c r="H84" t="s">
        <v>6405</v>
      </c>
      <c r="I84" t="s">
        <v>397</v>
      </c>
      <c r="J84" t="s">
        <v>2753</v>
      </c>
      <c r="K84" t="s">
        <v>2754</v>
      </c>
      <c r="L84" t="s">
        <v>2755</v>
      </c>
      <c r="N84" t="s">
        <v>36</v>
      </c>
      <c r="O84" t="s">
        <v>30</v>
      </c>
      <c r="T84" t="s">
        <v>37</v>
      </c>
      <c r="U84" t="s">
        <v>31</v>
      </c>
    </row>
    <row r="85" spans="8:21" x14ac:dyDescent="0.25">
      <c r="H85" t="s">
        <v>6701</v>
      </c>
      <c r="I85" t="s">
        <v>397</v>
      </c>
      <c r="J85" t="s">
        <v>2753</v>
      </c>
      <c r="K85" t="s">
        <v>2754</v>
      </c>
      <c r="L85" t="s">
        <v>2755</v>
      </c>
      <c r="N85" t="s">
        <v>36</v>
      </c>
      <c r="O85" t="s">
        <v>30</v>
      </c>
      <c r="T85" t="s">
        <v>37</v>
      </c>
      <c r="U85" t="s">
        <v>31</v>
      </c>
    </row>
    <row r="86" spans="8:21" x14ac:dyDescent="0.25">
      <c r="H86" t="s">
        <v>6641</v>
      </c>
      <c r="I86" t="s">
        <v>397</v>
      </c>
      <c r="J86" t="s">
        <v>2753</v>
      </c>
      <c r="K86" t="s">
        <v>2754</v>
      </c>
      <c r="L86" t="s">
        <v>2755</v>
      </c>
      <c r="N86" t="s">
        <v>36</v>
      </c>
      <c r="O86" t="s">
        <v>30</v>
      </c>
      <c r="T86" t="s">
        <v>37</v>
      </c>
      <c r="U86" t="s">
        <v>31</v>
      </c>
    </row>
    <row r="87" spans="8:21" x14ac:dyDescent="0.25">
      <c r="H87" t="s">
        <v>6641</v>
      </c>
      <c r="I87" t="s">
        <v>397</v>
      </c>
      <c r="J87" t="s">
        <v>2753</v>
      </c>
      <c r="K87" t="s">
        <v>2754</v>
      </c>
      <c r="L87" t="s">
        <v>2755</v>
      </c>
      <c r="N87" t="s">
        <v>36</v>
      </c>
      <c r="O87" t="s">
        <v>30</v>
      </c>
      <c r="T87" t="s">
        <v>37</v>
      </c>
      <c r="U87" t="s">
        <v>31</v>
      </c>
    </row>
    <row r="88" spans="8:21" x14ac:dyDescent="0.25">
      <c r="H88" t="s">
        <v>5228</v>
      </c>
      <c r="I88" t="s">
        <v>397</v>
      </c>
      <c r="J88" t="s">
        <v>2753</v>
      </c>
      <c r="K88" t="s">
        <v>2754</v>
      </c>
      <c r="L88" t="s">
        <v>2755</v>
      </c>
      <c r="N88" t="s">
        <v>36</v>
      </c>
      <c r="O88" t="s">
        <v>30</v>
      </c>
      <c r="T88" t="s">
        <v>37</v>
      </c>
      <c r="U88" t="s">
        <v>31</v>
      </c>
    </row>
    <row r="89" spans="8:21" x14ac:dyDescent="0.25">
      <c r="H89" t="s">
        <v>5228</v>
      </c>
      <c r="I89" t="s">
        <v>397</v>
      </c>
      <c r="J89" t="s">
        <v>2753</v>
      </c>
      <c r="K89" t="s">
        <v>2754</v>
      </c>
      <c r="L89" t="s">
        <v>2755</v>
      </c>
      <c r="N89" t="s">
        <v>36</v>
      </c>
      <c r="O89" t="s">
        <v>30</v>
      </c>
      <c r="T89" t="s">
        <v>37</v>
      </c>
      <c r="U89" t="s">
        <v>31</v>
      </c>
    </row>
    <row r="90" spans="8:21" x14ac:dyDescent="0.25">
      <c r="H90" t="s">
        <v>5228</v>
      </c>
      <c r="I90" t="s">
        <v>397</v>
      </c>
      <c r="J90" t="s">
        <v>2753</v>
      </c>
      <c r="K90" t="s">
        <v>2754</v>
      </c>
      <c r="L90" t="s">
        <v>2755</v>
      </c>
      <c r="N90" t="s">
        <v>36</v>
      </c>
      <c r="O90" t="s">
        <v>30</v>
      </c>
      <c r="T90" t="s">
        <v>37</v>
      </c>
      <c r="U90" t="s">
        <v>31</v>
      </c>
    </row>
    <row r="91" spans="8:21" x14ac:dyDescent="0.25">
      <c r="H91" t="s">
        <v>6410</v>
      </c>
      <c r="I91" t="s">
        <v>397</v>
      </c>
      <c r="J91" t="s">
        <v>2753</v>
      </c>
      <c r="K91" t="s">
        <v>2754</v>
      </c>
      <c r="L91" t="s">
        <v>2755</v>
      </c>
      <c r="N91" t="s">
        <v>36</v>
      </c>
      <c r="O91" t="s">
        <v>30</v>
      </c>
      <c r="T91" t="s">
        <v>37</v>
      </c>
      <c r="U91" t="s">
        <v>31</v>
      </c>
    </row>
    <row r="92" spans="8:21" x14ac:dyDescent="0.25">
      <c r="H92" t="s">
        <v>5984</v>
      </c>
      <c r="I92" t="s">
        <v>397</v>
      </c>
      <c r="J92" t="s">
        <v>2753</v>
      </c>
      <c r="K92" t="s">
        <v>2754</v>
      </c>
      <c r="L92" t="s">
        <v>2755</v>
      </c>
      <c r="N92" t="s">
        <v>36</v>
      </c>
      <c r="O92" t="s">
        <v>30</v>
      </c>
      <c r="T92" t="s">
        <v>37</v>
      </c>
      <c r="U92" t="s">
        <v>31</v>
      </c>
    </row>
    <row r="93" spans="8:21" x14ac:dyDescent="0.25">
      <c r="H93" t="s">
        <v>5984</v>
      </c>
      <c r="I93" t="s">
        <v>397</v>
      </c>
      <c r="J93" t="s">
        <v>2753</v>
      </c>
      <c r="K93" t="s">
        <v>2754</v>
      </c>
      <c r="L93" t="s">
        <v>2755</v>
      </c>
      <c r="N93" t="s">
        <v>36</v>
      </c>
      <c r="O93" t="s">
        <v>30</v>
      </c>
      <c r="T93" t="s">
        <v>37</v>
      </c>
      <c r="U93" t="s">
        <v>31</v>
      </c>
    </row>
    <row r="94" spans="8:21" x14ac:dyDescent="0.25">
      <c r="H94" t="s">
        <v>6143</v>
      </c>
      <c r="I94" t="s">
        <v>397</v>
      </c>
      <c r="J94" t="s">
        <v>2753</v>
      </c>
      <c r="K94" t="s">
        <v>2754</v>
      </c>
      <c r="L94" t="s">
        <v>2755</v>
      </c>
      <c r="N94" t="s">
        <v>36</v>
      </c>
      <c r="O94" t="s">
        <v>30</v>
      </c>
      <c r="T94" t="s">
        <v>37</v>
      </c>
      <c r="U94" t="s">
        <v>31</v>
      </c>
    </row>
    <row r="95" spans="8:21" x14ac:dyDescent="0.25">
      <c r="H95" t="s">
        <v>5350</v>
      </c>
      <c r="I95" t="s">
        <v>397</v>
      </c>
      <c r="J95" t="s">
        <v>2753</v>
      </c>
      <c r="K95" t="s">
        <v>2754</v>
      </c>
      <c r="L95" t="s">
        <v>2755</v>
      </c>
      <c r="N95" t="s">
        <v>36</v>
      </c>
      <c r="O95" t="s">
        <v>30</v>
      </c>
      <c r="T95" t="s">
        <v>37</v>
      </c>
      <c r="U95" t="s">
        <v>31</v>
      </c>
    </row>
    <row r="96" spans="8:21" x14ac:dyDescent="0.25">
      <c r="H96" t="s">
        <v>5643</v>
      </c>
      <c r="I96" t="s">
        <v>397</v>
      </c>
      <c r="J96" t="s">
        <v>2753</v>
      </c>
      <c r="K96" t="s">
        <v>2754</v>
      </c>
      <c r="L96" t="s">
        <v>2755</v>
      </c>
      <c r="N96" t="s">
        <v>36</v>
      </c>
      <c r="O96" t="s">
        <v>30</v>
      </c>
      <c r="T96" t="s">
        <v>37</v>
      </c>
      <c r="U96" t="s">
        <v>31</v>
      </c>
    </row>
    <row r="97" spans="8:21" x14ac:dyDescent="0.25">
      <c r="H97" t="s">
        <v>5349</v>
      </c>
      <c r="I97" t="s">
        <v>397</v>
      </c>
      <c r="J97" t="s">
        <v>2753</v>
      </c>
      <c r="K97" t="s">
        <v>2754</v>
      </c>
      <c r="L97" t="s">
        <v>2755</v>
      </c>
      <c r="N97" t="s">
        <v>36</v>
      </c>
      <c r="O97" t="s">
        <v>30</v>
      </c>
      <c r="T97" t="s">
        <v>37</v>
      </c>
      <c r="U97" t="s">
        <v>31</v>
      </c>
    </row>
    <row r="98" spans="8:21" x14ac:dyDescent="0.25">
      <c r="H98" t="s">
        <v>5349</v>
      </c>
      <c r="I98" t="s">
        <v>397</v>
      </c>
      <c r="J98" t="s">
        <v>2753</v>
      </c>
      <c r="K98" t="s">
        <v>2754</v>
      </c>
      <c r="L98" t="s">
        <v>2755</v>
      </c>
      <c r="N98" t="s">
        <v>7945</v>
      </c>
      <c r="O98" t="s">
        <v>30</v>
      </c>
      <c r="T98" t="s">
        <v>37</v>
      </c>
      <c r="U98" t="s">
        <v>31</v>
      </c>
    </row>
    <row r="99" spans="8:21" x14ac:dyDescent="0.25">
      <c r="H99" t="s">
        <v>6605</v>
      </c>
      <c r="I99" t="s">
        <v>397</v>
      </c>
      <c r="J99" t="s">
        <v>2753</v>
      </c>
      <c r="K99" t="s">
        <v>2754</v>
      </c>
      <c r="L99" t="s">
        <v>2755</v>
      </c>
      <c r="N99" t="s">
        <v>7554</v>
      </c>
      <c r="O99" t="s">
        <v>30</v>
      </c>
      <c r="T99" t="s">
        <v>37</v>
      </c>
      <c r="U99" t="s">
        <v>31</v>
      </c>
    </row>
    <row r="100" spans="8:21" x14ac:dyDescent="0.25">
      <c r="H100" t="s">
        <v>5501</v>
      </c>
      <c r="I100" t="s">
        <v>397</v>
      </c>
      <c r="J100" t="s">
        <v>2753</v>
      </c>
      <c r="K100" t="s">
        <v>2754</v>
      </c>
      <c r="L100" t="s">
        <v>2755</v>
      </c>
      <c r="N100" t="s">
        <v>7208</v>
      </c>
      <c r="O100" t="s">
        <v>30</v>
      </c>
      <c r="T100" t="s">
        <v>37</v>
      </c>
      <c r="U100" t="s">
        <v>31</v>
      </c>
    </row>
    <row r="101" spans="8:21" x14ac:dyDescent="0.25">
      <c r="H101" t="s">
        <v>5501</v>
      </c>
      <c r="I101" t="s">
        <v>397</v>
      </c>
      <c r="J101" t="s">
        <v>2753</v>
      </c>
      <c r="K101" t="s">
        <v>2754</v>
      </c>
      <c r="L101" t="s">
        <v>2755</v>
      </c>
      <c r="N101" t="s">
        <v>7208</v>
      </c>
      <c r="O101" t="s">
        <v>30</v>
      </c>
      <c r="T101" t="s">
        <v>37</v>
      </c>
      <c r="U101" t="s">
        <v>31</v>
      </c>
    </row>
    <row r="102" spans="8:21" x14ac:dyDescent="0.25">
      <c r="H102" t="s">
        <v>6141</v>
      </c>
      <c r="I102" t="s">
        <v>397</v>
      </c>
      <c r="J102" t="s">
        <v>2753</v>
      </c>
      <c r="K102" t="s">
        <v>2754</v>
      </c>
      <c r="N102" t="s">
        <v>4828</v>
      </c>
      <c r="O102" t="s">
        <v>30</v>
      </c>
      <c r="T102" t="s">
        <v>37</v>
      </c>
      <c r="U102" t="s">
        <v>31</v>
      </c>
    </row>
    <row r="103" spans="8:21" x14ac:dyDescent="0.25">
      <c r="H103" t="s">
        <v>6770</v>
      </c>
      <c r="I103" t="s">
        <v>514</v>
      </c>
      <c r="N103" t="s">
        <v>6944</v>
      </c>
      <c r="O103" t="s">
        <v>30</v>
      </c>
      <c r="T103" t="s">
        <v>37</v>
      </c>
      <c r="U103" t="s">
        <v>31</v>
      </c>
    </row>
    <row r="104" spans="8:21" x14ac:dyDescent="0.25">
      <c r="H104" t="s">
        <v>4</v>
      </c>
      <c r="I104" t="s">
        <v>5</v>
      </c>
      <c r="N104" t="s">
        <v>4683</v>
      </c>
      <c r="O104" t="s">
        <v>30</v>
      </c>
      <c r="T104" t="s">
        <v>37</v>
      </c>
      <c r="U104" t="s">
        <v>31</v>
      </c>
    </row>
    <row r="105" spans="8:21" x14ac:dyDescent="0.25">
      <c r="H105" t="s">
        <v>4</v>
      </c>
      <c r="I105" t="s">
        <v>5</v>
      </c>
      <c r="N105" t="s">
        <v>4737</v>
      </c>
      <c r="O105" t="s">
        <v>30</v>
      </c>
      <c r="T105" t="s">
        <v>37</v>
      </c>
      <c r="U105" t="s">
        <v>31</v>
      </c>
    </row>
    <row r="106" spans="8:21" x14ac:dyDescent="0.25">
      <c r="H106" t="s">
        <v>4</v>
      </c>
      <c r="I106" t="s">
        <v>5</v>
      </c>
      <c r="N106" t="s">
        <v>4857</v>
      </c>
      <c r="O106" t="s">
        <v>30</v>
      </c>
      <c r="T106" t="s">
        <v>37</v>
      </c>
      <c r="U106" t="s">
        <v>31</v>
      </c>
    </row>
    <row r="107" spans="8:21" x14ac:dyDescent="0.25">
      <c r="H107" t="s">
        <v>4</v>
      </c>
      <c r="I107" t="s">
        <v>5</v>
      </c>
      <c r="N107" t="s">
        <v>7387</v>
      </c>
      <c r="O107" t="s">
        <v>30</v>
      </c>
      <c r="T107" t="s">
        <v>37</v>
      </c>
      <c r="U107" t="s">
        <v>31</v>
      </c>
    </row>
    <row r="108" spans="8:21" x14ac:dyDescent="0.25">
      <c r="H108" t="s">
        <v>4</v>
      </c>
      <c r="I108" t="s">
        <v>5</v>
      </c>
      <c r="N108" t="s">
        <v>6929</v>
      </c>
      <c r="O108" t="s">
        <v>30</v>
      </c>
      <c r="T108" t="s">
        <v>37</v>
      </c>
      <c r="U108" t="s">
        <v>31</v>
      </c>
    </row>
    <row r="109" spans="8:21" x14ac:dyDescent="0.25">
      <c r="H109" t="s">
        <v>36</v>
      </c>
      <c r="I109" t="s">
        <v>30</v>
      </c>
      <c r="N109" t="s">
        <v>7056</v>
      </c>
      <c r="O109" t="s">
        <v>30</v>
      </c>
      <c r="T109" t="s">
        <v>37</v>
      </c>
      <c r="U109" t="s">
        <v>31</v>
      </c>
    </row>
    <row r="110" spans="8:21" x14ac:dyDescent="0.25">
      <c r="H110" t="s">
        <v>36</v>
      </c>
      <c r="I110" t="s">
        <v>30</v>
      </c>
      <c r="N110" t="s">
        <v>7612</v>
      </c>
      <c r="O110" t="s">
        <v>30</v>
      </c>
      <c r="T110" t="s">
        <v>37</v>
      </c>
      <c r="U110" t="s">
        <v>31</v>
      </c>
    </row>
    <row r="111" spans="8:21" x14ac:dyDescent="0.25">
      <c r="H111" t="s">
        <v>36</v>
      </c>
      <c r="I111" t="s">
        <v>30</v>
      </c>
      <c r="N111" t="s">
        <v>37</v>
      </c>
      <c r="O111" t="s">
        <v>31</v>
      </c>
      <c r="T111" t="s">
        <v>37</v>
      </c>
      <c r="U111" t="s">
        <v>31</v>
      </c>
    </row>
    <row r="112" spans="8:21" x14ac:dyDescent="0.25">
      <c r="H112" t="s">
        <v>36</v>
      </c>
      <c r="I112" t="s">
        <v>30</v>
      </c>
      <c r="N112" t="s">
        <v>37</v>
      </c>
      <c r="O112" t="s">
        <v>31</v>
      </c>
      <c r="T112" t="s">
        <v>37</v>
      </c>
      <c r="U112" t="s">
        <v>31</v>
      </c>
    </row>
    <row r="113" spans="8:21" x14ac:dyDescent="0.25">
      <c r="H113" t="s">
        <v>36</v>
      </c>
      <c r="I113" t="s">
        <v>30</v>
      </c>
      <c r="N113" t="s">
        <v>37</v>
      </c>
      <c r="O113" t="s">
        <v>31</v>
      </c>
      <c r="T113" t="s">
        <v>37</v>
      </c>
      <c r="U113" t="s">
        <v>31</v>
      </c>
    </row>
    <row r="114" spans="8:21" x14ac:dyDescent="0.25">
      <c r="H114" t="s">
        <v>36</v>
      </c>
      <c r="I114" t="s">
        <v>30</v>
      </c>
      <c r="N114" t="s">
        <v>37</v>
      </c>
      <c r="O114" t="s">
        <v>31</v>
      </c>
      <c r="T114" t="s">
        <v>37</v>
      </c>
      <c r="U114" t="s">
        <v>31</v>
      </c>
    </row>
    <row r="115" spans="8:21" x14ac:dyDescent="0.25">
      <c r="H115" t="s">
        <v>36</v>
      </c>
      <c r="I115" t="s">
        <v>30</v>
      </c>
      <c r="N115" t="s">
        <v>37</v>
      </c>
      <c r="O115" t="s">
        <v>31</v>
      </c>
      <c r="T115" t="s">
        <v>37</v>
      </c>
      <c r="U115" t="s">
        <v>31</v>
      </c>
    </row>
    <row r="116" spans="8:21" x14ac:dyDescent="0.25">
      <c r="H116" t="s">
        <v>36</v>
      </c>
      <c r="I116" t="s">
        <v>30</v>
      </c>
      <c r="N116" t="s">
        <v>37</v>
      </c>
      <c r="O116" t="s">
        <v>31</v>
      </c>
      <c r="T116" t="s">
        <v>37</v>
      </c>
      <c r="U116" t="s">
        <v>31</v>
      </c>
    </row>
    <row r="117" spans="8:21" x14ac:dyDescent="0.25">
      <c r="H117" t="s">
        <v>36</v>
      </c>
      <c r="I117" t="s">
        <v>30</v>
      </c>
      <c r="N117" t="s">
        <v>37</v>
      </c>
      <c r="O117" t="s">
        <v>31</v>
      </c>
      <c r="T117" t="s">
        <v>37</v>
      </c>
      <c r="U117" t="s">
        <v>31</v>
      </c>
    </row>
    <row r="118" spans="8:21" x14ac:dyDescent="0.25">
      <c r="H118" t="s">
        <v>36</v>
      </c>
      <c r="I118" t="s">
        <v>30</v>
      </c>
      <c r="N118" t="s">
        <v>37</v>
      </c>
      <c r="O118" t="s">
        <v>31</v>
      </c>
      <c r="T118" t="s">
        <v>37</v>
      </c>
      <c r="U118" t="s">
        <v>31</v>
      </c>
    </row>
    <row r="119" spans="8:21" x14ac:dyDescent="0.25">
      <c r="H119" t="s">
        <v>4583</v>
      </c>
      <c r="I119" t="s">
        <v>30</v>
      </c>
      <c r="N119" t="s">
        <v>37</v>
      </c>
      <c r="O119" t="s">
        <v>31</v>
      </c>
      <c r="T119" t="s">
        <v>37</v>
      </c>
      <c r="U119" t="s">
        <v>31</v>
      </c>
    </row>
    <row r="120" spans="8:21" x14ac:dyDescent="0.25">
      <c r="H120" t="s">
        <v>6570</v>
      </c>
      <c r="I120" t="s">
        <v>30</v>
      </c>
      <c r="N120" t="s">
        <v>37</v>
      </c>
      <c r="O120" t="s">
        <v>31</v>
      </c>
      <c r="T120" t="s">
        <v>37</v>
      </c>
      <c r="U120" t="s">
        <v>31</v>
      </c>
    </row>
    <row r="121" spans="8:21" x14ac:dyDescent="0.25">
      <c r="H121" t="s">
        <v>5698</v>
      </c>
      <c r="I121" t="s">
        <v>30</v>
      </c>
      <c r="N121" t="s">
        <v>37</v>
      </c>
      <c r="O121" t="s">
        <v>31</v>
      </c>
      <c r="T121" t="s">
        <v>37</v>
      </c>
      <c r="U121" t="s">
        <v>31</v>
      </c>
    </row>
    <row r="122" spans="8:21" x14ac:dyDescent="0.25">
      <c r="H122" t="s">
        <v>6309</v>
      </c>
      <c r="I122" t="s">
        <v>30</v>
      </c>
      <c r="N122" t="s">
        <v>37</v>
      </c>
      <c r="O122" t="s">
        <v>31</v>
      </c>
      <c r="T122" t="s">
        <v>37</v>
      </c>
      <c r="U122" t="s">
        <v>31</v>
      </c>
    </row>
    <row r="123" spans="8:21" x14ac:dyDescent="0.25">
      <c r="H123" t="s">
        <v>5451</v>
      </c>
      <c r="I123" t="s">
        <v>30</v>
      </c>
      <c r="N123" t="s">
        <v>37</v>
      </c>
      <c r="O123" t="s">
        <v>31</v>
      </c>
      <c r="T123" t="s">
        <v>37</v>
      </c>
      <c r="U123" t="s">
        <v>31</v>
      </c>
    </row>
    <row r="124" spans="8:21" x14ac:dyDescent="0.25">
      <c r="H124" t="s">
        <v>5451</v>
      </c>
      <c r="I124" t="s">
        <v>30</v>
      </c>
      <c r="N124" t="s">
        <v>37</v>
      </c>
      <c r="O124" t="s">
        <v>31</v>
      </c>
      <c r="T124" t="s">
        <v>37</v>
      </c>
      <c r="U124" t="s">
        <v>31</v>
      </c>
    </row>
    <row r="125" spans="8:21" x14ac:dyDescent="0.25">
      <c r="H125" t="s">
        <v>4775</v>
      </c>
      <c r="I125" t="s">
        <v>30</v>
      </c>
      <c r="N125" t="s">
        <v>37</v>
      </c>
      <c r="O125" t="s">
        <v>31</v>
      </c>
      <c r="T125" t="s">
        <v>37</v>
      </c>
      <c r="U125" t="s">
        <v>31</v>
      </c>
    </row>
    <row r="126" spans="8:21" x14ac:dyDescent="0.25">
      <c r="H126" t="s">
        <v>6069</v>
      </c>
      <c r="I126" t="s">
        <v>30</v>
      </c>
      <c r="N126" t="s">
        <v>37</v>
      </c>
      <c r="O126" t="s">
        <v>31</v>
      </c>
      <c r="T126" t="s">
        <v>37</v>
      </c>
      <c r="U126" t="s">
        <v>31</v>
      </c>
    </row>
    <row r="127" spans="8:21" x14ac:dyDescent="0.25">
      <c r="H127" t="s">
        <v>6760</v>
      </c>
      <c r="I127" t="s">
        <v>30</v>
      </c>
      <c r="N127" t="s">
        <v>37</v>
      </c>
      <c r="O127" t="s">
        <v>31</v>
      </c>
      <c r="T127" t="s">
        <v>4803</v>
      </c>
      <c r="U127" t="s">
        <v>31</v>
      </c>
    </row>
    <row r="128" spans="8:21" x14ac:dyDescent="0.25">
      <c r="H128" t="s">
        <v>5843</v>
      </c>
      <c r="I128" t="s">
        <v>30</v>
      </c>
      <c r="N128" t="s">
        <v>37</v>
      </c>
      <c r="O128" t="s">
        <v>31</v>
      </c>
      <c r="T128" t="s">
        <v>4951</v>
      </c>
      <c r="U128" t="s">
        <v>31</v>
      </c>
    </row>
    <row r="129" spans="8:21" x14ac:dyDescent="0.25">
      <c r="H129" t="s">
        <v>5395</v>
      </c>
      <c r="I129" t="s">
        <v>30</v>
      </c>
      <c r="N129" t="s">
        <v>37</v>
      </c>
      <c r="O129" t="s">
        <v>31</v>
      </c>
      <c r="T129" t="s">
        <v>4956</v>
      </c>
      <c r="U129" t="s">
        <v>31</v>
      </c>
    </row>
    <row r="130" spans="8:21" x14ac:dyDescent="0.25">
      <c r="H130" t="s">
        <v>5386</v>
      </c>
      <c r="I130" t="s">
        <v>30</v>
      </c>
      <c r="N130" t="s">
        <v>37</v>
      </c>
      <c r="O130" t="s">
        <v>31</v>
      </c>
      <c r="T130" t="s">
        <v>4810</v>
      </c>
      <c r="U130" t="s">
        <v>31</v>
      </c>
    </row>
    <row r="131" spans="8:21" x14ac:dyDescent="0.25">
      <c r="H131" t="s">
        <v>5633</v>
      </c>
      <c r="I131" t="s">
        <v>30</v>
      </c>
      <c r="N131" t="s">
        <v>37</v>
      </c>
      <c r="O131" t="s">
        <v>31</v>
      </c>
      <c r="T131" t="s">
        <v>4842</v>
      </c>
      <c r="U131" t="s">
        <v>31</v>
      </c>
    </row>
    <row r="132" spans="8:21" x14ac:dyDescent="0.25">
      <c r="H132" t="s">
        <v>5240</v>
      </c>
      <c r="I132" t="s">
        <v>30</v>
      </c>
      <c r="N132" t="s">
        <v>37</v>
      </c>
      <c r="O132" t="s">
        <v>31</v>
      </c>
      <c r="T132" t="s">
        <v>4853</v>
      </c>
      <c r="U132" t="s">
        <v>31</v>
      </c>
    </row>
    <row r="133" spans="8:21" x14ac:dyDescent="0.25">
      <c r="H133" t="s">
        <v>5240</v>
      </c>
      <c r="I133" t="s">
        <v>30</v>
      </c>
      <c r="N133" t="s">
        <v>37</v>
      </c>
      <c r="O133" t="s">
        <v>31</v>
      </c>
      <c r="T133" t="s">
        <v>4657</v>
      </c>
      <c r="U133" t="s">
        <v>31</v>
      </c>
    </row>
    <row r="134" spans="8:21" x14ac:dyDescent="0.25">
      <c r="H134" t="s">
        <v>5234</v>
      </c>
      <c r="I134" t="s">
        <v>30</v>
      </c>
      <c r="N134" t="s">
        <v>37</v>
      </c>
      <c r="O134" t="s">
        <v>31</v>
      </c>
      <c r="T134" t="s">
        <v>4657</v>
      </c>
      <c r="U134" t="s">
        <v>31</v>
      </c>
    </row>
    <row r="135" spans="8:21" x14ac:dyDescent="0.25">
      <c r="H135" t="s">
        <v>6676</v>
      </c>
      <c r="I135" t="s">
        <v>30</v>
      </c>
      <c r="N135" t="s">
        <v>37</v>
      </c>
      <c r="O135" t="s">
        <v>31</v>
      </c>
      <c r="T135" t="s">
        <v>4564</v>
      </c>
      <c r="U135" t="s">
        <v>31</v>
      </c>
    </row>
    <row r="136" spans="8:21" x14ac:dyDescent="0.25">
      <c r="H136" t="s">
        <v>6501</v>
      </c>
      <c r="I136" t="s">
        <v>30</v>
      </c>
      <c r="N136" t="s">
        <v>37</v>
      </c>
      <c r="O136" t="s">
        <v>31</v>
      </c>
      <c r="T136" t="s">
        <v>4564</v>
      </c>
      <c r="U136" t="s">
        <v>31</v>
      </c>
    </row>
    <row r="137" spans="8:21" x14ac:dyDescent="0.25">
      <c r="H137" t="s">
        <v>37</v>
      </c>
      <c r="I137" t="s">
        <v>31</v>
      </c>
      <c r="N137" t="s">
        <v>37</v>
      </c>
      <c r="O137" t="s">
        <v>31</v>
      </c>
      <c r="T137" t="s">
        <v>4561</v>
      </c>
      <c r="U137" t="s">
        <v>31</v>
      </c>
    </row>
    <row r="138" spans="8:21" x14ac:dyDescent="0.25">
      <c r="H138" t="s">
        <v>37</v>
      </c>
      <c r="I138" t="s">
        <v>31</v>
      </c>
      <c r="N138" t="s">
        <v>37</v>
      </c>
      <c r="O138" t="s">
        <v>31</v>
      </c>
      <c r="T138" t="s">
        <v>4561</v>
      </c>
      <c r="U138" t="s">
        <v>31</v>
      </c>
    </row>
    <row r="139" spans="8:21" x14ac:dyDescent="0.25">
      <c r="H139" t="s">
        <v>37</v>
      </c>
      <c r="I139" t="s">
        <v>31</v>
      </c>
      <c r="N139" t="s">
        <v>37</v>
      </c>
      <c r="O139" t="s">
        <v>31</v>
      </c>
      <c r="T139" t="s">
        <v>4561</v>
      </c>
      <c r="U139" t="s">
        <v>31</v>
      </c>
    </row>
    <row r="140" spans="8:21" x14ac:dyDescent="0.25">
      <c r="H140" t="s">
        <v>37</v>
      </c>
      <c r="I140" t="s">
        <v>31</v>
      </c>
      <c r="N140" t="s">
        <v>37</v>
      </c>
      <c r="O140" t="s">
        <v>31</v>
      </c>
      <c r="T140" t="s">
        <v>4561</v>
      </c>
      <c r="U140" t="s">
        <v>31</v>
      </c>
    </row>
    <row r="141" spans="8:21" x14ac:dyDescent="0.25">
      <c r="H141" t="s">
        <v>37</v>
      </c>
      <c r="I141" t="s">
        <v>31</v>
      </c>
      <c r="N141" t="s">
        <v>37</v>
      </c>
      <c r="O141" t="s">
        <v>31</v>
      </c>
      <c r="T141" t="s">
        <v>4705</v>
      </c>
      <c r="U141" t="s">
        <v>31</v>
      </c>
    </row>
    <row r="142" spans="8:21" x14ac:dyDescent="0.25">
      <c r="H142" t="s">
        <v>37</v>
      </c>
      <c r="I142" t="s">
        <v>31</v>
      </c>
      <c r="N142" t="s">
        <v>37</v>
      </c>
      <c r="O142" t="s">
        <v>31</v>
      </c>
      <c r="T142" t="s">
        <v>4747</v>
      </c>
      <c r="U142" t="s">
        <v>31</v>
      </c>
    </row>
    <row r="143" spans="8:21" x14ac:dyDescent="0.25">
      <c r="H143" t="s">
        <v>37</v>
      </c>
      <c r="I143" t="s">
        <v>31</v>
      </c>
      <c r="N143" t="s">
        <v>37</v>
      </c>
      <c r="O143" t="s">
        <v>31</v>
      </c>
      <c r="T143" t="s">
        <v>4894</v>
      </c>
      <c r="U143" t="s">
        <v>31</v>
      </c>
    </row>
    <row r="144" spans="8:21" x14ac:dyDescent="0.25">
      <c r="H144" t="s">
        <v>37</v>
      </c>
      <c r="I144" t="s">
        <v>31</v>
      </c>
      <c r="N144" t="s">
        <v>37</v>
      </c>
      <c r="O144" t="s">
        <v>31</v>
      </c>
      <c r="T144" t="s">
        <v>4839</v>
      </c>
      <c r="U144" t="s">
        <v>31</v>
      </c>
    </row>
    <row r="145" spans="8:21" x14ac:dyDescent="0.25">
      <c r="H145" t="s">
        <v>37</v>
      </c>
      <c r="I145" t="s">
        <v>31</v>
      </c>
      <c r="N145" t="s">
        <v>37</v>
      </c>
      <c r="O145" t="s">
        <v>31</v>
      </c>
      <c r="T145" t="s">
        <v>2668</v>
      </c>
      <c r="U145" t="s">
        <v>2660</v>
      </c>
    </row>
    <row r="146" spans="8:21" x14ac:dyDescent="0.25">
      <c r="H146" t="s">
        <v>37</v>
      </c>
      <c r="I146" t="s">
        <v>31</v>
      </c>
      <c r="N146" t="s">
        <v>37</v>
      </c>
      <c r="O146" t="s">
        <v>31</v>
      </c>
      <c r="T146" t="s">
        <v>2668</v>
      </c>
      <c r="U146" t="s">
        <v>2660</v>
      </c>
    </row>
    <row r="147" spans="8:21" x14ac:dyDescent="0.25">
      <c r="H147" t="s">
        <v>37</v>
      </c>
      <c r="I147" t="s">
        <v>31</v>
      </c>
      <c r="N147" t="s">
        <v>37</v>
      </c>
      <c r="O147" t="s">
        <v>31</v>
      </c>
      <c r="T147" t="s">
        <v>2668</v>
      </c>
      <c r="U147" t="s">
        <v>2660</v>
      </c>
    </row>
    <row r="148" spans="8:21" x14ac:dyDescent="0.25">
      <c r="H148" t="s">
        <v>37</v>
      </c>
      <c r="I148" t="s">
        <v>31</v>
      </c>
      <c r="N148" t="s">
        <v>37</v>
      </c>
      <c r="O148" t="s">
        <v>31</v>
      </c>
      <c r="T148" t="s">
        <v>2668</v>
      </c>
      <c r="U148" t="s">
        <v>2660</v>
      </c>
    </row>
    <row r="149" spans="8:21" x14ac:dyDescent="0.25">
      <c r="H149" t="s">
        <v>37</v>
      </c>
      <c r="I149" t="s">
        <v>31</v>
      </c>
      <c r="N149" t="s">
        <v>37</v>
      </c>
      <c r="O149" t="s">
        <v>31</v>
      </c>
      <c r="T149" t="s">
        <v>2668</v>
      </c>
      <c r="U149" t="s">
        <v>2660</v>
      </c>
    </row>
    <row r="150" spans="8:21" x14ac:dyDescent="0.25">
      <c r="H150" t="s">
        <v>37</v>
      </c>
      <c r="I150" t="s">
        <v>31</v>
      </c>
      <c r="N150" t="s">
        <v>37</v>
      </c>
      <c r="O150" t="s">
        <v>31</v>
      </c>
      <c r="T150" t="s">
        <v>5192</v>
      </c>
      <c r="U150" t="s">
        <v>2660</v>
      </c>
    </row>
    <row r="151" spans="8:21" x14ac:dyDescent="0.25">
      <c r="H151" t="s">
        <v>37</v>
      </c>
      <c r="I151" t="s">
        <v>31</v>
      </c>
      <c r="N151" t="s">
        <v>37</v>
      </c>
      <c r="O151" t="s">
        <v>31</v>
      </c>
      <c r="T151" t="s">
        <v>5120</v>
      </c>
      <c r="U151" t="s">
        <v>2660</v>
      </c>
    </row>
    <row r="152" spans="8:21" x14ac:dyDescent="0.25">
      <c r="H152" t="s">
        <v>37</v>
      </c>
      <c r="I152" t="s">
        <v>31</v>
      </c>
      <c r="N152" t="s">
        <v>37</v>
      </c>
      <c r="O152" t="s">
        <v>31</v>
      </c>
      <c r="T152" t="s">
        <v>4566</v>
      </c>
      <c r="U152" t="s">
        <v>2660</v>
      </c>
    </row>
    <row r="153" spans="8:21" x14ac:dyDescent="0.25">
      <c r="H153" t="s">
        <v>37</v>
      </c>
      <c r="I153" t="s">
        <v>31</v>
      </c>
      <c r="N153" t="s">
        <v>37</v>
      </c>
      <c r="O153" t="s">
        <v>31</v>
      </c>
      <c r="T153" t="s">
        <v>4743</v>
      </c>
      <c r="U153" t="s">
        <v>2660</v>
      </c>
    </row>
    <row r="154" spans="8:21" x14ac:dyDescent="0.25">
      <c r="H154" t="s">
        <v>37</v>
      </c>
      <c r="I154" t="s">
        <v>31</v>
      </c>
      <c r="N154" t="s">
        <v>37</v>
      </c>
      <c r="O154" t="s">
        <v>31</v>
      </c>
      <c r="T154" t="s">
        <v>574</v>
      </c>
      <c r="U154" t="s">
        <v>575</v>
      </c>
    </row>
    <row r="155" spans="8:21" x14ac:dyDescent="0.25">
      <c r="H155" t="s">
        <v>37</v>
      </c>
      <c r="I155" t="s">
        <v>31</v>
      </c>
      <c r="N155" t="s">
        <v>37</v>
      </c>
      <c r="O155" t="s">
        <v>31</v>
      </c>
      <c r="T155" t="s">
        <v>574</v>
      </c>
      <c r="U155" t="s">
        <v>575</v>
      </c>
    </row>
    <row r="156" spans="8:21" x14ac:dyDescent="0.25">
      <c r="H156" t="s">
        <v>37</v>
      </c>
      <c r="I156" t="s">
        <v>31</v>
      </c>
      <c r="N156" t="s">
        <v>37</v>
      </c>
      <c r="O156" t="s">
        <v>31</v>
      </c>
      <c r="T156" t="s">
        <v>574</v>
      </c>
      <c r="U156" t="s">
        <v>575</v>
      </c>
    </row>
    <row r="157" spans="8:21" x14ac:dyDescent="0.25">
      <c r="H157" t="s">
        <v>37</v>
      </c>
      <c r="I157" t="s">
        <v>31</v>
      </c>
      <c r="N157" t="s">
        <v>37</v>
      </c>
      <c r="O157" t="s">
        <v>31</v>
      </c>
      <c r="T157" t="s">
        <v>574</v>
      </c>
      <c r="U157" t="s">
        <v>575</v>
      </c>
    </row>
    <row r="158" spans="8:21" x14ac:dyDescent="0.25">
      <c r="H158" t="s">
        <v>37</v>
      </c>
      <c r="I158" t="s">
        <v>31</v>
      </c>
      <c r="N158" t="s">
        <v>37</v>
      </c>
      <c r="O158" t="s">
        <v>31</v>
      </c>
      <c r="T158" t="s">
        <v>574</v>
      </c>
      <c r="U158" t="s">
        <v>575</v>
      </c>
    </row>
    <row r="159" spans="8:21" x14ac:dyDescent="0.25">
      <c r="H159" t="s">
        <v>37</v>
      </c>
      <c r="I159" t="s">
        <v>31</v>
      </c>
      <c r="N159" t="s">
        <v>37</v>
      </c>
      <c r="O159" t="s">
        <v>31</v>
      </c>
      <c r="T159" t="s">
        <v>574</v>
      </c>
      <c r="U159" t="s">
        <v>575</v>
      </c>
    </row>
    <row r="160" spans="8:21" x14ac:dyDescent="0.25">
      <c r="H160" t="s">
        <v>37</v>
      </c>
      <c r="I160" t="s">
        <v>31</v>
      </c>
      <c r="N160" t="s">
        <v>37</v>
      </c>
      <c r="O160" t="s">
        <v>31</v>
      </c>
      <c r="T160" t="s">
        <v>2671</v>
      </c>
      <c r="U160" t="s">
        <v>2661</v>
      </c>
    </row>
    <row r="161" spans="8:21" x14ac:dyDescent="0.25">
      <c r="H161" t="s">
        <v>37</v>
      </c>
      <c r="I161" t="s">
        <v>31</v>
      </c>
      <c r="N161" t="s">
        <v>37</v>
      </c>
      <c r="O161" t="s">
        <v>31</v>
      </c>
      <c r="T161" t="s">
        <v>2671</v>
      </c>
      <c r="U161" t="s">
        <v>2661</v>
      </c>
    </row>
    <row r="162" spans="8:21" x14ac:dyDescent="0.25">
      <c r="H162" t="s">
        <v>37</v>
      </c>
      <c r="I162" t="s">
        <v>31</v>
      </c>
      <c r="N162" t="s">
        <v>37</v>
      </c>
      <c r="O162" t="s">
        <v>31</v>
      </c>
      <c r="T162" t="s">
        <v>2671</v>
      </c>
      <c r="U162" t="s">
        <v>2661</v>
      </c>
    </row>
    <row r="163" spans="8:21" x14ac:dyDescent="0.25">
      <c r="H163" t="s">
        <v>37</v>
      </c>
      <c r="I163" t="s">
        <v>31</v>
      </c>
      <c r="N163" t="s">
        <v>37</v>
      </c>
      <c r="O163" t="s">
        <v>31</v>
      </c>
      <c r="T163" t="s">
        <v>2671</v>
      </c>
      <c r="U163" t="s">
        <v>2661</v>
      </c>
    </row>
    <row r="164" spans="8:21" x14ac:dyDescent="0.25">
      <c r="H164" t="s">
        <v>37</v>
      </c>
      <c r="I164" t="s">
        <v>31</v>
      </c>
      <c r="N164" t="s">
        <v>37</v>
      </c>
      <c r="O164" t="s">
        <v>31</v>
      </c>
      <c r="T164" t="s">
        <v>4898</v>
      </c>
      <c r="U164" t="s">
        <v>2661</v>
      </c>
    </row>
    <row r="165" spans="8:21" x14ac:dyDescent="0.25">
      <c r="H165" t="s">
        <v>37</v>
      </c>
      <c r="I165" t="s">
        <v>31</v>
      </c>
      <c r="N165" t="s">
        <v>37</v>
      </c>
      <c r="O165" t="s">
        <v>31</v>
      </c>
      <c r="T165" t="s">
        <v>4588</v>
      </c>
      <c r="U165" t="s">
        <v>2661</v>
      </c>
    </row>
    <row r="166" spans="8:21" x14ac:dyDescent="0.25">
      <c r="H166" t="s">
        <v>37</v>
      </c>
      <c r="I166" t="s">
        <v>31</v>
      </c>
      <c r="N166" t="s">
        <v>37</v>
      </c>
      <c r="O166" t="s">
        <v>31</v>
      </c>
      <c r="T166" t="s">
        <v>4933</v>
      </c>
      <c r="U166" t="s">
        <v>2661</v>
      </c>
    </row>
    <row r="167" spans="8:21" x14ac:dyDescent="0.25">
      <c r="H167" t="s">
        <v>37</v>
      </c>
      <c r="I167" t="s">
        <v>31</v>
      </c>
      <c r="N167" t="s">
        <v>37</v>
      </c>
      <c r="O167" t="s">
        <v>31</v>
      </c>
      <c r="T167" t="s">
        <v>2670</v>
      </c>
      <c r="U167" t="s">
        <v>2659</v>
      </c>
    </row>
    <row r="168" spans="8:21" x14ac:dyDescent="0.25">
      <c r="H168" t="s">
        <v>37</v>
      </c>
      <c r="I168" t="s">
        <v>31</v>
      </c>
      <c r="N168" t="s">
        <v>37</v>
      </c>
      <c r="O168" t="s">
        <v>31</v>
      </c>
      <c r="T168" t="s">
        <v>2670</v>
      </c>
      <c r="U168" t="s">
        <v>2659</v>
      </c>
    </row>
    <row r="169" spans="8:21" x14ac:dyDescent="0.25">
      <c r="H169" t="s">
        <v>37</v>
      </c>
      <c r="I169" t="s">
        <v>31</v>
      </c>
      <c r="N169" t="s">
        <v>37</v>
      </c>
      <c r="O169" t="s">
        <v>31</v>
      </c>
      <c r="T169" t="s">
        <v>2670</v>
      </c>
      <c r="U169" t="s">
        <v>2659</v>
      </c>
    </row>
    <row r="170" spans="8:21" x14ac:dyDescent="0.25">
      <c r="H170" t="s">
        <v>37</v>
      </c>
      <c r="I170" t="s">
        <v>31</v>
      </c>
      <c r="N170" t="s">
        <v>37</v>
      </c>
      <c r="O170" t="s">
        <v>31</v>
      </c>
      <c r="T170" t="s">
        <v>2670</v>
      </c>
      <c r="U170" t="s">
        <v>2659</v>
      </c>
    </row>
    <row r="171" spans="8:21" x14ac:dyDescent="0.25">
      <c r="H171" t="s">
        <v>37</v>
      </c>
      <c r="I171" t="s">
        <v>31</v>
      </c>
      <c r="N171" t="s">
        <v>37</v>
      </c>
      <c r="O171" t="s">
        <v>31</v>
      </c>
      <c r="T171" t="s">
        <v>2670</v>
      </c>
      <c r="U171" t="s">
        <v>2659</v>
      </c>
    </row>
    <row r="172" spans="8:21" x14ac:dyDescent="0.25">
      <c r="H172" t="s">
        <v>6253</v>
      </c>
      <c r="I172" t="s">
        <v>31</v>
      </c>
      <c r="N172" t="s">
        <v>37</v>
      </c>
      <c r="O172" t="s">
        <v>31</v>
      </c>
      <c r="T172" t="s">
        <v>2670</v>
      </c>
      <c r="U172" t="s">
        <v>2659</v>
      </c>
    </row>
    <row r="173" spans="8:21" x14ac:dyDescent="0.25">
      <c r="H173" t="s">
        <v>5680</v>
      </c>
      <c r="I173" t="s">
        <v>31</v>
      </c>
      <c r="N173" t="s">
        <v>37</v>
      </c>
      <c r="O173" t="s">
        <v>31</v>
      </c>
      <c r="T173" t="s">
        <v>2670</v>
      </c>
      <c r="U173" t="s">
        <v>2659</v>
      </c>
    </row>
    <row r="174" spans="8:21" x14ac:dyDescent="0.25">
      <c r="H174" t="s">
        <v>4951</v>
      </c>
      <c r="I174" t="s">
        <v>31</v>
      </c>
      <c r="N174" t="s">
        <v>37</v>
      </c>
      <c r="O174" t="s">
        <v>31</v>
      </c>
      <c r="T174" t="s">
        <v>2670</v>
      </c>
      <c r="U174" t="s">
        <v>2659</v>
      </c>
    </row>
    <row r="175" spans="8:21" x14ac:dyDescent="0.25">
      <c r="H175" t="s">
        <v>5909</v>
      </c>
      <c r="I175" t="s">
        <v>31</v>
      </c>
      <c r="N175" t="s">
        <v>37</v>
      </c>
      <c r="O175" t="s">
        <v>31</v>
      </c>
      <c r="T175" t="s">
        <v>2670</v>
      </c>
      <c r="U175" t="s">
        <v>2659</v>
      </c>
    </row>
    <row r="176" spans="8:21" x14ac:dyDescent="0.25">
      <c r="H176" t="s">
        <v>5989</v>
      </c>
      <c r="I176" t="s">
        <v>31</v>
      </c>
      <c r="N176" t="s">
        <v>37</v>
      </c>
      <c r="O176" t="s">
        <v>31</v>
      </c>
      <c r="T176" t="s">
        <v>2670</v>
      </c>
      <c r="U176" t="s">
        <v>2659</v>
      </c>
    </row>
    <row r="177" spans="8:21" x14ac:dyDescent="0.25">
      <c r="H177" t="s">
        <v>5898</v>
      </c>
      <c r="I177" t="s">
        <v>31</v>
      </c>
      <c r="N177" t="s">
        <v>37</v>
      </c>
      <c r="O177" t="s">
        <v>31</v>
      </c>
      <c r="T177" t="s">
        <v>2670</v>
      </c>
      <c r="U177" t="s">
        <v>2659</v>
      </c>
    </row>
    <row r="178" spans="8:21" x14ac:dyDescent="0.25">
      <c r="H178" t="s">
        <v>21</v>
      </c>
      <c r="I178" t="s">
        <v>19</v>
      </c>
      <c r="N178" t="s">
        <v>37</v>
      </c>
      <c r="O178" t="s">
        <v>31</v>
      </c>
      <c r="T178" t="s">
        <v>2670</v>
      </c>
      <c r="U178" t="s">
        <v>2659</v>
      </c>
    </row>
    <row r="179" spans="8:21" x14ac:dyDescent="0.25">
      <c r="H179" t="s">
        <v>21</v>
      </c>
      <c r="I179" t="s">
        <v>19</v>
      </c>
      <c r="N179" t="s">
        <v>37</v>
      </c>
      <c r="O179" t="s">
        <v>31</v>
      </c>
      <c r="T179" t="s">
        <v>2670</v>
      </c>
      <c r="U179" t="s">
        <v>2659</v>
      </c>
    </row>
    <row r="180" spans="8:21" x14ac:dyDescent="0.25">
      <c r="H180" t="s">
        <v>21</v>
      </c>
      <c r="I180" t="s">
        <v>19</v>
      </c>
      <c r="N180" t="s">
        <v>37</v>
      </c>
      <c r="O180" t="s">
        <v>31</v>
      </c>
      <c r="T180" t="s">
        <v>2670</v>
      </c>
      <c r="U180" t="s">
        <v>2659</v>
      </c>
    </row>
    <row r="181" spans="8:21" x14ac:dyDescent="0.25">
      <c r="H181" t="s">
        <v>21</v>
      </c>
      <c r="I181" t="s">
        <v>19</v>
      </c>
      <c r="N181" t="s">
        <v>37</v>
      </c>
      <c r="O181" t="s">
        <v>31</v>
      </c>
      <c r="T181" t="s">
        <v>2670</v>
      </c>
      <c r="U181" t="s">
        <v>2659</v>
      </c>
    </row>
    <row r="182" spans="8:21" x14ac:dyDescent="0.25">
      <c r="H182" t="s">
        <v>21</v>
      </c>
      <c r="I182" t="s">
        <v>19</v>
      </c>
      <c r="N182" t="s">
        <v>37</v>
      </c>
      <c r="O182" t="s">
        <v>31</v>
      </c>
      <c r="T182" t="s">
        <v>2670</v>
      </c>
      <c r="U182" t="s">
        <v>2659</v>
      </c>
    </row>
    <row r="183" spans="8:21" x14ac:dyDescent="0.25">
      <c r="H183" t="s">
        <v>21</v>
      </c>
      <c r="I183" t="s">
        <v>19</v>
      </c>
      <c r="N183" t="s">
        <v>37</v>
      </c>
      <c r="O183" t="s">
        <v>31</v>
      </c>
      <c r="T183" t="s">
        <v>2670</v>
      </c>
      <c r="U183" t="s">
        <v>2659</v>
      </c>
    </row>
    <row r="184" spans="8:21" x14ac:dyDescent="0.25">
      <c r="H184" t="s">
        <v>6140</v>
      </c>
      <c r="I184" t="s">
        <v>19</v>
      </c>
      <c r="N184" t="s">
        <v>37</v>
      </c>
      <c r="O184" t="s">
        <v>31</v>
      </c>
      <c r="T184" t="s">
        <v>2670</v>
      </c>
      <c r="U184" t="s">
        <v>2659</v>
      </c>
    </row>
    <row r="185" spans="8:21" x14ac:dyDescent="0.25">
      <c r="H185" t="s">
        <v>5895</v>
      </c>
      <c r="I185" t="s">
        <v>19</v>
      </c>
      <c r="N185" t="s">
        <v>37</v>
      </c>
      <c r="O185" t="s">
        <v>31</v>
      </c>
      <c r="T185" t="s">
        <v>2670</v>
      </c>
      <c r="U185" t="s">
        <v>2659</v>
      </c>
    </row>
    <row r="186" spans="8:21" x14ac:dyDescent="0.25">
      <c r="H186" t="s">
        <v>5553</v>
      </c>
      <c r="I186" t="s">
        <v>19</v>
      </c>
      <c r="N186" t="s">
        <v>37</v>
      </c>
      <c r="O186" t="s">
        <v>31</v>
      </c>
      <c r="T186" t="s">
        <v>2670</v>
      </c>
      <c r="U186" t="s">
        <v>2659</v>
      </c>
    </row>
    <row r="187" spans="8:21" x14ac:dyDescent="0.25">
      <c r="H187" t="s">
        <v>5522</v>
      </c>
      <c r="I187" t="s">
        <v>19</v>
      </c>
      <c r="N187" t="s">
        <v>37</v>
      </c>
      <c r="O187" t="s">
        <v>31</v>
      </c>
      <c r="T187" t="s">
        <v>2670</v>
      </c>
      <c r="U187" t="s">
        <v>2659</v>
      </c>
    </row>
    <row r="188" spans="8:21" x14ac:dyDescent="0.25">
      <c r="H188" t="s">
        <v>5690</v>
      </c>
      <c r="I188" t="s">
        <v>19</v>
      </c>
      <c r="N188" t="s">
        <v>37</v>
      </c>
      <c r="O188" t="s">
        <v>31</v>
      </c>
      <c r="T188" t="s">
        <v>2670</v>
      </c>
      <c r="U188" t="s">
        <v>2659</v>
      </c>
    </row>
    <row r="189" spans="8:21" x14ac:dyDescent="0.25">
      <c r="H189" t="s">
        <v>5285</v>
      </c>
      <c r="I189" t="s">
        <v>19</v>
      </c>
      <c r="N189" t="s">
        <v>37</v>
      </c>
      <c r="O189" t="s">
        <v>31</v>
      </c>
      <c r="T189" t="s">
        <v>2670</v>
      </c>
      <c r="U189" t="s">
        <v>2659</v>
      </c>
    </row>
    <row r="190" spans="8:21" x14ac:dyDescent="0.25">
      <c r="H190" t="s">
        <v>5367</v>
      </c>
      <c r="I190" t="s">
        <v>19</v>
      </c>
      <c r="N190" t="s">
        <v>37</v>
      </c>
      <c r="O190" t="s">
        <v>31</v>
      </c>
      <c r="T190" t="s">
        <v>2670</v>
      </c>
      <c r="U190" t="s">
        <v>2659</v>
      </c>
    </row>
    <row r="191" spans="8:21" x14ac:dyDescent="0.25">
      <c r="H191" t="s">
        <v>6558</v>
      </c>
      <c r="I191" t="s">
        <v>362</v>
      </c>
      <c r="N191" t="s">
        <v>37</v>
      </c>
      <c r="O191" t="s">
        <v>31</v>
      </c>
      <c r="T191" t="s">
        <v>2670</v>
      </c>
      <c r="U191" t="s">
        <v>2659</v>
      </c>
    </row>
    <row r="192" spans="8:21" x14ac:dyDescent="0.25">
      <c r="H192" t="s">
        <v>5419</v>
      </c>
      <c r="I192" t="s">
        <v>362</v>
      </c>
      <c r="N192" t="s">
        <v>37</v>
      </c>
      <c r="O192" t="s">
        <v>31</v>
      </c>
      <c r="T192" t="s">
        <v>4720</v>
      </c>
      <c r="U192" t="s">
        <v>2659</v>
      </c>
    </row>
    <row r="193" spans="8:21" x14ac:dyDescent="0.25">
      <c r="H193" t="s">
        <v>6376</v>
      </c>
      <c r="I193" t="s">
        <v>362</v>
      </c>
      <c r="N193" t="s">
        <v>37</v>
      </c>
      <c r="O193" t="s">
        <v>31</v>
      </c>
      <c r="T193" t="s">
        <v>2678</v>
      </c>
      <c r="U193" t="s">
        <v>2658</v>
      </c>
    </row>
    <row r="194" spans="8:21" x14ac:dyDescent="0.25">
      <c r="H194" t="s">
        <v>253</v>
      </c>
      <c r="I194" t="s">
        <v>86</v>
      </c>
      <c r="J194" t="s">
        <v>87</v>
      </c>
      <c r="K194" t="s">
        <v>88</v>
      </c>
      <c r="L194" t="s">
        <v>89</v>
      </c>
      <c r="N194" t="s">
        <v>37</v>
      </c>
      <c r="O194" t="s">
        <v>31</v>
      </c>
      <c r="T194" t="s">
        <v>2678</v>
      </c>
      <c r="U194" t="s">
        <v>2658</v>
      </c>
    </row>
    <row r="195" spans="8:21" x14ac:dyDescent="0.25">
      <c r="H195" t="s">
        <v>253</v>
      </c>
      <c r="I195" t="s">
        <v>86</v>
      </c>
      <c r="J195" t="s">
        <v>87</v>
      </c>
      <c r="K195" t="s">
        <v>88</v>
      </c>
      <c r="L195" t="s">
        <v>89</v>
      </c>
      <c r="N195" t="s">
        <v>37</v>
      </c>
      <c r="O195" t="s">
        <v>31</v>
      </c>
      <c r="T195" t="s">
        <v>2678</v>
      </c>
      <c r="U195" t="s">
        <v>2658</v>
      </c>
    </row>
    <row r="196" spans="8:21" x14ac:dyDescent="0.25">
      <c r="H196" s="180" t="s">
        <v>253</v>
      </c>
      <c r="I196" s="180" t="s">
        <v>86</v>
      </c>
      <c r="J196" s="180" t="s">
        <v>86</v>
      </c>
      <c r="K196" s="180" t="s">
        <v>86</v>
      </c>
      <c r="L196" s="180" t="s">
        <v>86</v>
      </c>
      <c r="N196" t="s">
        <v>37</v>
      </c>
      <c r="O196" t="s">
        <v>31</v>
      </c>
      <c r="T196" t="s">
        <v>4621</v>
      </c>
      <c r="U196" t="s">
        <v>2658</v>
      </c>
    </row>
    <row r="197" spans="8:21" x14ac:dyDescent="0.25">
      <c r="H197" t="s">
        <v>253</v>
      </c>
      <c r="I197" t="s">
        <v>86</v>
      </c>
      <c r="J197" t="s">
        <v>87</v>
      </c>
      <c r="K197" t="s">
        <v>88</v>
      </c>
      <c r="L197" t="s">
        <v>89</v>
      </c>
      <c r="N197" t="s">
        <v>37</v>
      </c>
      <c r="O197" t="s">
        <v>31</v>
      </c>
      <c r="T197" t="s">
        <v>5196</v>
      </c>
      <c r="U197" t="s">
        <v>2658</v>
      </c>
    </row>
    <row r="198" spans="8:21" x14ac:dyDescent="0.25">
      <c r="H198" t="s">
        <v>253</v>
      </c>
      <c r="I198" t="s">
        <v>86</v>
      </c>
      <c r="J198" t="s">
        <v>87</v>
      </c>
      <c r="K198" t="s">
        <v>88</v>
      </c>
      <c r="L198" t="s">
        <v>89</v>
      </c>
      <c r="N198" t="s">
        <v>37</v>
      </c>
      <c r="O198" t="s">
        <v>31</v>
      </c>
      <c r="T198" t="s">
        <v>95</v>
      </c>
      <c r="U198" t="s">
        <v>94</v>
      </c>
    </row>
    <row r="199" spans="8:21" x14ac:dyDescent="0.25">
      <c r="H199" s="180" t="s">
        <v>253</v>
      </c>
      <c r="I199" s="180" t="s">
        <v>86</v>
      </c>
      <c r="J199" s="180" t="s">
        <v>86</v>
      </c>
      <c r="K199" s="180" t="s">
        <v>86</v>
      </c>
      <c r="L199" s="180" t="s">
        <v>86</v>
      </c>
      <c r="N199" t="s">
        <v>37</v>
      </c>
      <c r="O199" t="s">
        <v>31</v>
      </c>
      <c r="T199" t="s">
        <v>95</v>
      </c>
      <c r="U199" t="s">
        <v>94</v>
      </c>
    </row>
    <row r="200" spans="8:21" x14ac:dyDescent="0.25">
      <c r="H200" t="s">
        <v>253</v>
      </c>
      <c r="I200" t="s">
        <v>86</v>
      </c>
      <c r="J200" t="s">
        <v>87</v>
      </c>
      <c r="K200" t="s">
        <v>88</v>
      </c>
      <c r="L200" t="s">
        <v>89</v>
      </c>
      <c r="N200" t="s">
        <v>37</v>
      </c>
      <c r="O200" t="s">
        <v>31</v>
      </c>
      <c r="T200" t="s">
        <v>95</v>
      </c>
      <c r="U200" t="s">
        <v>94</v>
      </c>
    </row>
    <row r="201" spans="8:21" x14ac:dyDescent="0.25">
      <c r="H201" s="180" t="s">
        <v>253</v>
      </c>
      <c r="I201" s="180" t="s">
        <v>86</v>
      </c>
      <c r="J201" s="180" t="s">
        <v>86</v>
      </c>
      <c r="K201" s="180" t="s">
        <v>86</v>
      </c>
      <c r="L201" s="180" t="s">
        <v>86</v>
      </c>
      <c r="N201" t="s">
        <v>37</v>
      </c>
      <c r="O201" t="s">
        <v>31</v>
      </c>
      <c r="T201" t="s">
        <v>95</v>
      </c>
      <c r="U201" t="s">
        <v>94</v>
      </c>
    </row>
    <row r="202" spans="8:21" x14ac:dyDescent="0.25">
      <c r="H202" t="s">
        <v>253</v>
      </c>
      <c r="I202" t="s">
        <v>86</v>
      </c>
      <c r="J202" t="s">
        <v>87</v>
      </c>
      <c r="K202" t="s">
        <v>88</v>
      </c>
      <c r="L202" t="s">
        <v>89</v>
      </c>
      <c r="N202" t="s">
        <v>37</v>
      </c>
      <c r="O202" t="s">
        <v>31</v>
      </c>
      <c r="T202" t="s">
        <v>95</v>
      </c>
      <c r="U202" t="s">
        <v>94</v>
      </c>
    </row>
    <row r="203" spans="8:21" x14ac:dyDescent="0.25">
      <c r="H203" t="s">
        <v>253</v>
      </c>
      <c r="I203" t="s">
        <v>86</v>
      </c>
      <c r="J203" t="s">
        <v>87</v>
      </c>
      <c r="K203" t="s">
        <v>88</v>
      </c>
      <c r="L203" t="s">
        <v>89</v>
      </c>
      <c r="N203" t="s">
        <v>37</v>
      </c>
      <c r="O203" t="s">
        <v>31</v>
      </c>
      <c r="T203" t="s">
        <v>95</v>
      </c>
      <c r="U203" t="s">
        <v>94</v>
      </c>
    </row>
    <row r="204" spans="8:21" x14ac:dyDescent="0.25">
      <c r="H204" t="s">
        <v>253</v>
      </c>
      <c r="I204" t="s">
        <v>89</v>
      </c>
      <c r="J204" t="s">
        <v>87</v>
      </c>
      <c r="K204" t="s">
        <v>88</v>
      </c>
      <c r="N204" t="s">
        <v>37</v>
      </c>
      <c r="O204" t="s">
        <v>31</v>
      </c>
      <c r="T204" t="s">
        <v>95</v>
      </c>
      <c r="U204" t="s">
        <v>94</v>
      </c>
    </row>
    <row r="205" spans="8:21" x14ac:dyDescent="0.25">
      <c r="H205" t="s">
        <v>253</v>
      </c>
      <c r="I205" t="s">
        <v>86</v>
      </c>
      <c r="J205" t="s">
        <v>87</v>
      </c>
      <c r="K205" t="s">
        <v>88</v>
      </c>
      <c r="L205" t="s">
        <v>89</v>
      </c>
      <c r="N205" t="s">
        <v>37</v>
      </c>
      <c r="O205" t="s">
        <v>31</v>
      </c>
      <c r="T205" t="s">
        <v>95</v>
      </c>
      <c r="U205" t="s">
        <v>94</v>
      </c>
    </row>
    <row r="206" spans="8:21" x14ac:dyDescent="0.25">
      <c r="H206" t="s">
        <v>253</v>
      </c>
      <c r="I206" t="s">
        <v>86</v>
      </c>
      <c r="J206" t="s">
        <v>87</v>
      </c>
      <c r="K206" t="s">
        <v>88</v>
      </c>
      <c r="L206" t="s">
        <v>89</v>
      </c>
      <c r="N206" t="s">
        <v>37</v>
      </c>
      <c r="O206" t="s">
        <v>31</v>
      </c>
      <c r="T206" t="s">
        <v>95</v>
      </c>
      <c r="U206" t="s">
        <v>94</v>
      </c>
    </row>
    <row r="207" spans="8:21" x14ac:dyDescent="0.25">
      <c r="H207" t="s">
        <v>253</v>
      </c>
      <c r="I207" t="s">
        <v>86</v>
      </c>
      <c r="J207" t="s">
        <v>87</v>
      </c>
      <c r="K207" t="s">
        <v>88</v>
      </c>
      <c r="L207" t="s">
        <v>89</v>
      </c>
      <c r="N207" t="s">
        <v>37</v>
      </c>
      <c r="O207" t="s">
        <v>31</v>
      </c>
      <c r="T207" t="s">
        <v>95</v>
      </c>
      <c r="U207" t="s">
        <v>94</v>
      </c>
    </row>
    <row r="208" spans="8:21" x14ac:dyDescent="0.25">
      <c r="H208" s="180" t="s">
        <v>253</v>
      </c>
      <c r="I208" s="180" t="s">
        <v>86</v>
      </c>
      <c r="J208" s="180" t="s">
        <v>86</v>
      </c>
      <c r="K208" s="180" t="s">
        <v>86</v>
      </c>
      <c r="L208" s="180" t="s">
        <v>86</v>
      </c>
      <c r="N208" t="s">
        <v>37</v>
      </c>
      <c r="O208" t="s">
        <v>31</v>
      </c>
      <c r="T208" t="s">
        <v>95</v>
      </c>
      <c r="U208" t="s">
        <v>94</v>
      </c>
    </row>
    <row r="209" spans="8:21" x14ac:dyDescent="0.25">
      <c r="H209" t="s">
        <v>253</v>
      </c>
      <c r="I209" t="s">
        <v>86</v>
      </c>
      <c r="J209" t="s">
        <v>87</v>
      </c>
      <c r="K209" t="s">
        <v>88</v>
      </c>
      <c r="L209" t="s">
        <v>89</v>
      </c>
      <c r="N209" t="s">
        <v>37</v>
      </c>
      <c r="O209" t="s">
        <v>31</v>
      </c>
      <c r="T209" t="s">
        <v>95</v>
      </c>
      <c r="U209" t="s">
        <v>94</v>
      </c>
    </row>
    <row r="210" spans="8:21" x14ac:dyDescent="0.25">
      <c r="H210" t="s">
        <v>253</v>
      </c>
      <c r="I210" t="s">
        <v>86</v>
      </c>
      <c r="J210" t="s">
        <v>87</v>
      </c>
      <c r="K210" t="s">
        <v>88</v>
      </c>
      <c r="L210" t="s">
        <v>89</v>
      </c>
      <c r="N210" t="s">
        <v>37</v>
      </c>
      <c r="O210" t="s">
        <v>31</v>
      </c>
      <c r="T210" t="s">
        <v>95</v>
      </c>
      <c r="U210" t="s">
        <v>94</v>
      </c>
    </row>
    <row r="211" spans="8:21" x14ac:dyDescent="0.25">
      <c r="H211" t="s">
        <v>253</v>
      </c>
      <c r="I211" t="s">
        <v>86</v>
      </c>
      <c r="J211" t="s">
        <v>87</v>
      </c>
      <c r="K211" t="s">
        <v>88</v>
      </c>
      <c r="L211" t="s">
        <v>89</v>
      </c>
      <c r="N211" t="s">
        <v>37</v>
      </c>
      <c r="O211" t="s">
        <v>31</v>
      </c>
      <c r="T211" t="s">
        <v>95</v>
      </c>
      <c r="U211" t="s">
        <v>94</v>
      </c>
    </row>
    <row r="212" spans="8:21" x14ac:dyDescent="0.25">
      <c r="H212" t="s">
        <v>253</v>
      </c>
      <c r="I212" t="s">
        <v>86</v>
      </c>
      <c r="J212" t="s">
        <v>87</v>
      </c>
      <c r="N212" t="s">
        <v>37</v>
      </c>
      <c r="O212" t="s">
        <v>31</v>
      </c>
      <c r="T212" t="s">
        <v>95</v>
      </c>
      <c r="U212" t="s">
        <v>94</v>
      </c>
    </row>
    <row r="213" spans="8:21" x14ac:dyDescent="0.25">
      <c r="H213" t="s">
        <v>253</v>
      </c>
      <c r="I213" t="s">
        <v>86</v>
      </c>
      <c r="J213" t="s">
        <v>87</v>
      </c>
      <c r="K213" t="s">
        <v>88</v>
      </c>
      <c r="L213" t="s">
        <v>89</v>
      </c>
      <c r="N213" t="s">
        <v>37</v>
      </c>
      <c r="O213" t="s">
        <v>31</v>
      </c>
      <c r="T213" t="s">
        <v>95</v>
      </c>
      <c r="U213" t="s">
        <v>94</v>
      </c>
    </row>
    <row r="214" spans="8:21" x14ac:dyDescent="0.25">
      <c r="H214" t="s">
        <v>253</v>
      </c>
      <c r="I214" t="s">
        <v>86</v>
      </c>
      <c r="J214" t="s">
        <v>87</v>
      </c>
      <c r="K214" t="s">
        <v>88</v>
      </c>
      <c r="L214" t="s">
        <v>89</v>
      </c>
      <c r="N214" t="s">
        <v>37</v>
      </c>
      <c r="O214" t="s">
        <v>31</v>
      </c>
      <c r="T214" t="s">
        <v>95</v>
      </c>
      <c r="U214" t="s">
        <v>94</v>
      </c>
    </row>
    <row r="215" spans="8:21" x14ac:dyDescent="0.25">
      <c r="H215" t="s">
        <v>253</v>
      </c>
      <c r="I215" t="s">
        <v>86</v>
      </c>
      <c r="J215" t="s">
        <v>87</v>
      </c>
      <c r="K215" t="s">
        <v>88</v>
      </c>
      <c r="L215" t="s">
        <v>89</v>
      </c>
      <c r="N215" t="s">
        <v>37</v>
      </c>
      <c r="O215" t="s">
        <v>31</v>
      </c>
      <c r="T215" t="s">
        <v>95</v>
      </c>
      <c r="U215" t="s">
        <v>94</v>
      </c>
    </row>
    <row r="216" spans="8:21" x14ac:dyDescent="0.25">
      <c r="H216" t="s">
        <v>253</v>
      </c>
      <c r="I216" t="s">
        <v>86</v>
      </c>
      <c r="J216" t="s">
        <v>87</v>
      </c>
      <c r="K216" t="s">
        <v>88</v>
      </c>
      <c r="L216" t="s">
        <v>89</v>
      </c>
      <c r="N216" t="s">
        <v>37</v>
      </c>
      <c r="O216" t="s">
        <v>31</v>
      </c>
      <c r="T216" t="s">
        <v>95</v>
      </c>
      <c r="U216" t="s">
        <v>94</v>
      </c>
    </row>
    <row r="217" spans="8:21" x14ac:dyDescent="0.25">
      <c r="H217" t="s">
        <v>253</v>
      </c>
      <c r="I217" t="s">
        <v>86</v>
      </c>
      <c r="J217" t="s">
        <v>87</v>
      </c>
      <c r="K217" t="s">
        <v>88</v>
      </c>
      <c r="L217" t="s">
        <v>89</v>
      </c>
      <c r="N217" t="s">
        <v>37</v>
      </c>
      <c r="O217" t="s">
        <v>31</v>
      </c>
      <c r="T217" t="s">
        <v>95</v>
      </c>
      <c r="U217" t="s">
        <v>94</v>
      </c>
    </row>
    <row r="218" spans="8:21" x14ac:dyDescent="0.25">
      <c r="H218" t="s">
        <v>253</v>
      </c>
      <c r="I218" t="s">
        <v>86</v>
      </c>
      <c r="J218" t="s">
        <v>87</v>
      </c>
      <c r="K218" t="s">
        <v>88</v>
      </c>
      <c r="L218" t="s">
        <v>89</v>
      </c>
      <c r="N218" t="s">
        <v>37</v>
      </c>
      <c r="O218" t="s">
        <v>31</v>
      </c>
      <c r="T218" t="s">
        <v>95</v>
      </c>
      <c r="U218" t="s">
        <v>94</v>
      </c>
    </row>
    <row r="219" spans="8:21" x14ac:dyDescent="0.25">
      <c r="H219" t="s">
        <v>253</v>
      </c>
      <c r="I219" t="s">
        <v>86</v>
      </c>
      <c r="J219" t="s">
        <v>87</v>
      </c>
      <c r="K219" t="s">
        <v>88</v>
      </c>
      <c r="L219" t="s">
        <v>89</v>
      </c>
      <c r="N219" t="s">
        <v>37</v>
      </c>
      <c r="O219" t="s">
        <v>31</v>
      </c>
      <c r="T219" t="s">
        <v>95</v>
      </c>
      <c r="U219" t="s">
        <v>94</v>
      </c>
    </row>
    <row r="220" spans="8:21" x14ac:dyDescent="0.25">
      <c r="H220" t="s">
        <v>253</v>
      </c>
      <c r="I220" t="s">
        <v>86</v>
      </c>
      <c r="J220" t="s">
        <v>87</v>
      </c>
      <c r="K220" t="s">
        <v>88</v>
      </c>
      <c r="L220" t="s">
        <v>89</v>
      </c>
      <c r="N220" t="s">
        <v>37</v>
      </c>
      <c r="O220" t="s">
        <v>31</v>
      </c>
      <c r="T220" t="s">
        <v>95</v>
      </c>
      <c r="U220" t="s">
        <v>94</v>
      </c>
    </row>
    <row r="221" spans="8:21" x14ac:dyDescent="0.25">
      <c r="H221" t="s">
        <v>253</v>
      </c>
      <c r="I221" t="s">
        <v>86</v>
      </c>
      <c r="J221" t="s">
        <v>87</v>
      </c>
      <c r="K221" t="s">
        <v>88</v>
      </c>
      <c r="L221" t="s">
        <v>89</v>
      </c>
      <c r="N221" t="s">
        <v>37</v>
      </c>
      <c r="O221" t="s">
        <v>31</v>
      </c>
      <c r="T221" t="s">
        <v>95</v>
      </c>
      <c r="U221" t="s">
        <v>94</v>
      </c>
    </row>
    <row r="222" spans="8:21" x14ac:dyDescent="0.25">
      <c r="H222" t="s">
        <v>253</v>
      </c>
      <c r="I222" t="s">
        <v>86</v>
      </c>
      <c r="J222" t="s">
        <v>87</v>
      </c>
      <c r="K222" t="s">
        <v>88</v>
      </c>
      <c r="L222" t="s">
        <v>89</v>
      </c>
      <c r="N222" t="s">
        <v>37</v>
      </c>
      <c r="O222" t="s">
        <v>31</v>
      </c>
      <c r="T222" t="s">
        <v>95</v>
      </c>
      <c r="U222" t="s">
        <v>94</v>
      </c>
    </row>
    <row r="223" spans="8:21" x14ac:dyDescent="0.25">
      <c r="H223" t="s">
        <v>253</v>
      </c>
      <c r="I223" t="s">
        <v>89</v>
      </c>
      <c r="J223" t="s">
        <v>87</v>
      </c>
      <c r="K223" t="s">
        <v>88</v>
      </c>
      <c r="N223" t="s">
        <v>37</v>
      </c>
      <c r="O223" t="s">
        <v>31</v>
      </c>
      <c r="T223" t="s">
        <v>95</v>
      </c>
      <c r="U223" t="s">
        <v>94</v>
      </c>
    </row>
    <row r="224" spans="8:21" x14ac:dyDescent="0.25">
      <c r="H224" t="s">
        <v>253</v>
      </c>
      <c r="I224" t="s">
        <v>86</v>
      </c>
      <c r="J224" t="s">
        <v>87</v>
      </c>
      <c r="K224" t="s">
        <v>88</v>
      </c>
      <c r="L224" t="s">
        <v>89</v>
      </c>
      <c r="N224" t="s">
        <v>37</v>
      </c>
      <c r="O224" t="s">
        <v>31</v>
      </c>
      <c r="T224" t="s">
        <v>95</v>
      </c>
      <c r="U224" t="s">
        <v>94</v>
      </c>
    </row>
    <row r="225" spans="8:21" x14ac:dyDescent="0.25">
      <c r="H225" t="s">
        <v>253</v>
      </c>
      <c r="I225" t="s">
        <v>86</v>
      </c>
      <c r="J225" t="s">
        <v>87</v>
      </c>
      <c r="K225" t="s">
        <v>88</v>
      </c>
      <c r="L225" t="s">
        <v>89</v>
      </c>
      <c r="N225" t="s">
        <v>37</v>
      </c>
      <c r="O225" t="s">
        <v>31</v>
      </c>
      <c r="T225" t="s">
        <v>95</v>
      </c>
      <c r="U225" t="s">
        <v>94</v>
      </c>
    </row>
    <row r="226" spans="8:21" x14ac:dyDescent="0.25">
      <c r="H226" t="s">
        <v>253</v>
      </c>
      <c r="I226" t="s">
        <v>86</v>
      </c>
      <c r="J226" t="s">
        <v>87</v>
      </c>
      <c r="K226" t="s">
        <v>88</v>
      </c>
      <c r="L226" t="s">
        <v>89</v>
      </c>
      <c r="N226" t="s">
        <v>8076</v>
      </c>
      <c r="O226" t="s">
        <v>31</v>
      </c>
      <c r="T226" t="s">
        <v>95</v>
      </c>
      <c r="U226" t="s">
        <v>94</v>
      </c>
    </row>
    <row r="227" spans="8:21" x14ac:dyDescent="0.25">
      <c r="H227" t="s">
        <v>253</v>
      </c>
      <c r="I227" t="s">
        <v>86</v>
      </c>
      <c r="J227" t="s">
        <v>87</v>
      </c>
      <c r="K227" t="s">
        <v>88</v>
      </c>
      <c r="L227" t="s">
        <v>89</v>
      </c>
      <c r="N227" t="s">
        <v>8076</v>
      </c>
      <c r="O227" t="s">
        <v>31</v>
      </c>
      <c r="T227" t="s">
        <v>95</v>
      </c>
      <c r="U227" t="s">
        <v>94</v>
      </c>
    </row>
    <row r="228" spans="8:21" x14ac:dyDescent="0.25">
      <c r="H228" s="180" t="s">
        <v>253</v>
      </c>
      <c r="I228" s="180" t="s">
        <v>86</v>
      </c>
      <c r="J228" s="180" t="s">
        <v>86</v>
      </c>
      <c r="K228" s="180" t="s">
        <v>86</v>
      </c>
      <c r="L228" s="180" t="s">
        <v>86</v>
      </c>
      <c r="N228" t="s">
        <v>7804</v>
      </c>
      <c r="O228" t="s">
        <v>31</v>
      </c>
      <c r="T228" t="s">
        <v>95</v>
      </c>
      <c r="U228" t="s">
        <v>94</v>
      </c>
    </row>
    <row r="229" spans="8:21" x14ac:dyDescent="0.25">
      <c r="H229" t="s">
        <v>253</v>
      </c>
      <c r="I229" t="s">
        <v>86</v>
      </c>
      <c r="J229" t="s">
        <v>87</v>
      </c>
      <c r="K229" t="s">
        <v>88</v>
      </c>
      <c r="L229" t="s">
        <v>89</v>
      </c>
      <c r="N229" t="s">
        <v>4564</v>
      </c>
      <c r="O229" t="s">
        <v>31</v>
      </c>
      <c r="T229" t="s">
        <v>4598</v>
      </c>
      <c r="U229" t="s">
        <v>94</v>
      </c>
    </row>
    <row r="230" spans="8:21" x14ac:dyDescent="0.25">
      <c r="H230" t="s">
        <v>253</v>
      </c>
      <c r="I230" t="s">
        <v>86</v>
      </c>
      <c r="J230" t="s">
        <v>87</v>
      </c>
      <c r="K230" t="s">
        <v>88</v>
      </c>
      <c r="L230" t="s">
        <v>89</v>
      </c>
      <c r="N230" t="s">
        <v>7301</v>
      </c>
      <c r="O230" t="s">
        <v>31</v>
      </c>
      <c r="T230" t="s">
        <v>4858</v>
      </c>
      <c r="U230" t="s">
        <v>94</v>
      </c>
    </row>
    <row r="231" spans="8:21" x14ac:dyDescent="0.25">
      <c r="H231" t="s">
        <v>253</v>
      </c>
      <c r="I231" t="s">
        <v>86</v>
      </c>
      <c r="J231" t="s">
        <v>87</v>
      </c>
      <c r="K231" t="s">
        <v>88</v>
      </c>
      <c r="L231" t="s">
        <v>89</v>
      </c>
      <c r="N231" t="s">
        <v>7427</v>
      </c>
      <c r="O231" t="s">
        <v>31</v>
      </c>
      <c r="T231" t="s">
        <v>4508</v>
      </c>
      <c r="U231" t="s">
        <v>94</v>
      </c>
    </row>
    <row r="232" spans="8:21" x14ac:dyDescent="0.25">
      <c r="H232" t="s">
        <v>253</v>
      </c>
      <c r="I232" t="s">
        <v>86</v>
      </c>
      <c r="J232" t="s">
        <v>87</v>
      </c>
      <c r="K232" t="s">
        <v>88</v>
      </c>
      <c r="L232" t="s">
        <v>89</v>
      </c>
      <c r="N232" t="s">
        <v>7247</v>
      </c>
      <c r="O232" t="s">
        <v>31</v>
      </c>
      <c r="T232" t="s">
        <v>4915</v>
      </c>
      <c r="U232" t="s">
        <v>94</v>
      </c>
    </row>
    <row r="233" spans="8:21" x14ac:dyDescent="0.25">
      <c r="H233" t="s">
        <v>253</v>
      </c>
      <c r="I233" t="s">
        <v>86</v>
      </c>
      <c r="J233" t="s">
        <v>87</v>
      </c>
      <c r="K233" t="s">
        <v>88</v>
      </c>
      <c r="L233" t="s">
        <v>89</v>
      </c>
      <c r="N233" t="s">
        <v>7907</v>
      </c>
      <c r="O233" t="s">
        <v>31</v>
      </c>
      <c r="T233" t="s">
        <v>4915</v>
      </c>
      <c r="U233" t="s">
        <v>94</v>
      </c>
    </row>
    <row r="234" spans="8:21" x14ac:dyDescent="0.25">
      <c r="H234" t="s">
        <v>253</v>
      </c>
      <c r="I234" t="s">
        <v>86</v>
      </c>
      <c r="J234" t="s">
        <v>87</v>
      </c>
      <c r="K234" t="s">
        <v>88</v>
      </c>
      <c r="L234" t="s">
        <v>89</v>
      </c>
      <c r="N234" t="s">
        <v>7907</v>
      </c>
      <c r="O234" t="s">
        <v>31</v>
      </c>
      <c r="T234" t="s">
        <v>4517</v>
      </c>
      <c r="U234" t="s">
        <v>94</v>
      </c>
    </row>
    <row r="235" spans="8:21" x14ac:dyDescent="0.25">
      <c r="H235" t="s">
        <v>253</v>
      </c>
      <c r="I235" t="s">
        <v>86</v>
      </c>
      <c r="J235" t="s">
        <v>87</v>
      </c>
      <c r="K235" t="s">
        <v>88</v>
      </c>
      <c r="L235" t="s">
        <v>89</v>
      </c>
      <c r="N235" t="s">
        <v>7907</v>
      </c>
      <c r="O235" t="s">
        <v>31</v>
      </c>
      <c r="T235" t="s">
        <v>4654</v>
      </c>
      <c r="U235" t="s">
        <v>94</v>
      </c>
    </row>
    <row r="236" spans="8:21" x14ac:dyDescent="0.25">
      <c r="H236" t="s">
        <v>253</v>
      </c>
      <c r="I236" t="s">
        <v>86</v>
      </c>
      <c r="J236" t="s">
        <v>87</v>
      </c>
      <c r="K236" t="s">
        <v>88</v>
      </c>
      <c r="L236" t="s">
        <v>89</v>
      </c>
      <c r="N236" t="s">
        <v>4561</v>
      </c>
      <c r="O236" t="s">
        <v>31</v>
      </c>
      <c r="T236" t="s">
        <v>4541</v>
      </c>
      <c r="U236" t="s">
        <v>94</v>
      </c>
    </row>
    <row r="237" spans="8:21" x14ac:dyDescent="0.25">
      <c r="H237" t="s">
        <v>5469</v>
      </c>
      <c r="I237" t="s">
        <v>86</v>
      </c>
      <c r="J237" t="s">
        <v>87</v>
      </c>
      <c r="K237" t="s">
        <v>88</v>
      </c>
      <c r="L237" t="s">
        <v>89</v>
      </c>
      <c r="N237" t="s">
        <v>4561</v>
      </c>
      <c r="O237" t="s">
        <v>31</v>
      </c>
      <c r="T237" t="s">
        <v>4516</v>
      </c>
      <c r="U237" t="s">
        <v>94</v>
      </c>
    </row>
    <row r="238" spans="8:21" x14ac:dyDescent="0.25">
      <c r="H238" t="s">
        <v>5469</v>
      </c>
      <c r="I238" t="s">
        <v>86</v>
      </c>
      <c r="J238" t="s">
        <v>87</v>
      </c>
      <c r="K238" t="s">
        <v>88</v>
      </c>
      <c r="L238" t="s">
        <v>89</v>
      </c>
      <c r="N238" t="s">
        <v>4561</v>
      </c>
      <c r="O238" t="s">
        <v>31</v>
      </c>
      <c r="T238" t="s">
        <v>4788</v>
      </c>
      <c r="U238" t="s">
        <v>94</v>
      </c>
    </row>
    <row r="239" spans="8:21" x14ac:dyDescent="0.25">
      <c r="H239" t="s">
        <v>5469</v>
      </c>
      <c r="I239" t="s">
        <v>86</v>
      </c>
      <c r="J239" t="s">
        <v>87</v>
      </c>
      <c r="K239" t="s">
        <v>88</v>
      </c>
      <c r="L239" t="s">
        <v>89</v>
      </c>
      <c r="N239" t="s">
        <v>4561</v>
      </c>
      <c r="O239" t="s">
        <v>31</v>
      </c>
      <c r="T239" t="s">
        <v>4559</v>
      </c>
      <c r="U239" t="s">
        <v>94</v>
      </c>
    </row>
    <row r="240" spans="8:21" x14ac:dyDescent="0.25">
      <c r="H240" t="s">
        <v>5469</v>
      </c>
      <c r="I240" t="s">
        <v>86</v>
      </c>
      <c r="J240" t="s">
        <v>87</v>
      </c>
      <c r="K240" t="s">
        <v>88</v>
      </c>
      <c r="L240" t="s">
        <v>89</v>
      </c>
      <c r="N240" t="s">
        <v>38</v>
      </c>
      <c r="O240" t="s">
        <v>32</v>
      </c>
      <c r="T240" t="s">
        <v>48</v>
      </c>
      <c r="U240" t="s">
        <v>453</v>
      </c>
    </row>
    <row r="241" spans="8:21" x14ac:dyDescent="0.25">
      <c r="H241" t="s">
        <v>5469</v>
      </c>
      <c r="I241" t="s">
        <v>86</v>
      </c>
      <c r="J241" t="s">
        <v>87</v>
      </c>
      <c r="K241" t="s">
        <v>88</v>
      </c>
      <c r="L241" t="s">
        <v>89</v>
      </c>
      <c r="N241" t="s">
        <v>38</v>
      </c>
      <c r="O241" t="s">
        <v>32</v>
      </c>
      <c r="T241" t="s">
        <v>48</v>
      </c>
      <c r="U241" t="s">
        <v>453</v>
      </c>
    </row>
    <row r="242" spans="8:21" x14ac:dyDescent="0.25">
      <c r="H242" t="s">
        <v>5381</v>
      </c>
      <c r="I242" t="s">
        <v>89</v>
      </c>
      <c r="J242" t="s">
        <v>87</v>
      </c>
      <c r="K242" t="s">
        <v>88</v>
      </c>
      <c r="N242" t="s">
        <v>38</v>
      </c>
      <c r="O242" t="s">
        <v>32</v>
      </c>
      <c r="T242" t="s">
        <v>49</v>
      </c>
      <c r="U242" t="s">
        <v>454</v>
      </c>
    </row>
    <row r="243" spans="8:21" x14ac:dyDescent="0.25">
      <c r="H243" t="s">
        <v>6590</v>
      </c>
      <c r="I243" t="s">
        <v>86</v>
      </c>
      <c r="J243" t="s">
        <v>87</v>
      </c>
      <c r="K243" t="s">
        <v>88</v>
      </c>
      <c r="L243" t="s">
        <v>89</v>
      </c>
      <c r="N243" t="s">
        <v>38</v>
      </c>
      <c r="O243" t="s">
        <v>32</v>
      </c>
      <c r="T243" t="s">
        <v>49</v>
      </c>
      <c r="U243" t="s">
        <v>454</v>
      </c>
    </row>
    <row r="244" spans="8:21" x14ac:dyDescent="0.25">
      <c r="H244" t="s">
        <v>5272</v>
      </c>
      <c r="I244" t="s">
        <v>86</v>
      </c>
      <c r="J244" t="s">
        <v>87</v>
      </c>
      <c r="K244" t="s">
        <v>88</v>
      </c>
      <c r="L244" t="s">
        <v>89</v>
      </c>
      <c r="N244" t="s">
        <v>38</v>
      </c>
      <c r="O244" t="s">
        <v>32</v>
      </c>
      <c r="T244" t="s">
        <v>49</v>
      </c>
      <c r="U244" t="s">
        <v>454</v>
      </c>
    </row>
    <row r="245" spans="8:21" x14ac:dyDescent="0.25">
      <c r="H245" t="s">
        <v>5272</v>
      </c>
      <c r="I245" t="s">
        <v>86</v>
      </c>
      <c r="J245" t="s">
        <v>87</v>
      </c>
      <c r="K245" t="s">
        <v>88</v>
      </c>
      <c r="L245" t="s">
        <v>89</v>
      </c>
      <c r="N245" t="s">
        <v>38</v>
      </c>
      <c r="O245" t="s">
        <v>32</v>
      </c>
      <c r="T245" t="s">
        <v>4636</v>
      </c>
      <c r="U245" t="s">
        <v>454</v>
      </c>
    </row>
    <row r="246" spans="8:21" x14ac:dyDescent="0.25">
      <c r="H246" t="s">
        <v>5982</v>
      </c>
      <c r="I246" t="s">
        <v>86</v>
      </c>
      <c r="J246" t="s">
        <v>87</v>
      </c>
      <c r="K246" t="s">
        <v>88</v>
      </c>
      <c r="L246" t="s">
        <v>89</v>
      </c>
      <c r="N246" t="s">
        <v>38</v>
      </c>
      <c r="O246" t="s">
        <v>32</v>
      </c>
      <c r="T246" t="s">
        <v>5131</v>
      </c>
      <c r="U246" t="s">
        <v>454</v>
      </c>
    </row>
    <row r="247" spans="8:21" x14ac:dyDescent="0.25">
      <c r="H247" t="s">
        <v>5982</v>
      </c>
      <c r="I247" t="s">
        <v>86</v>
      </c>
      <c r="J247" t="s">
        <v>87</v>
      </c>
      <c r="K247" t="s">
        <v>88</v>
      </c>
      <c r="L247" t="s">
        <v>89</v>
      </c>
      <c r="N247" t="s">
        <v>54</v>
      </c>
      <c r="O247" t="s">
        <v>52</v>
      </c>
      <c r="T247" t="s">
        <v>50</v>
      </c>
      <c r="U247" t="s">
        <v>455</v>
      </c>
    </row>
    <row r="248" spans="8:21" x14ac:dyDescent="0.25">
      <c r="H248" t="s">
        <v>5567</v>
      </c>
      <c r="I248" t="s">
        <v>86</v>
      </c>
      <c r="J248" t="s">
        <v>87</v>
      </c>
      <c r="K248" t="s">
        <v>88</v>
      </c>
      <c r="L248" t="s">
        <v>89</v>
      </c>
      <c r="N248" t="s">
        <v>54</v>
      </c>
      <c r="O248" t="s">
        <v>52</v>
      </c>
      <c r="T248" t="s">
        <v>4525</v>
      </c>
      <c r="U248" t="s">
        <v>455</v>
      </c>
    </row>
    <row r="249" spans="8:21" x14ac:dyDescent="0.25">
      <c r="H249" t="s">
        <v>6428</v>
      </c>
      <c r="I249" t="s">
        <v>86</v>
      </c>
      <c r="J249" t="s">
        <v>87</v>
      </c>
      <c r="K249" t="s">
        <v>88</v>
      </c>
      <c r="L249" t="s">
        <v>89</v>
      </c>
      <c r="N249" t="s">
        <v>54</v>
      </c>
      <c r="O249" t="s">
        <v>52</v>
      </c>
      <c r="T249" t="s">
        <v>4884</v>
      </c>
      <c r="U249" t="s">
        <v>455</v>
      </c>
    </row>
    <row r="250" spans="8:21" x14ac:dyDescent="0.25">
      <c r="H250" t="s">
        <v>5371</v>
      </c>
      <c r="I250" t="s">
        <v>86</v>
      </c>
      <c r="J250" t="s">
        <v>87</v>
      </c>
      <c r="K250" t="s">
        <v>88</v>
      </c>
      <c r="L250" t="s">
        <v>89</v>
      </c>
      <c r="N250" t="s">
        <v>54</v>
      </c>
      <c r="O250" t="s">
        <v>52</v>
      </c>
      <c r="T250" t="s">
        <v>5201</v>
      </c>
      <c r="U250" t="s">
        <v>455</v>
      </c>
    </row>
    <row r="251" spans="8:21" x14ac:dyDescent="0.25">
      <c r="H251" t="s">
        <v>6060</v>
      </c>
      <c r="I251" t="s">
        <v>86</v>
      </c>
      <c r="J251" t="s">
        <v>87</v>
      </c>
      <c r="K251" t="s">
        <v>88</v>
      </c>
      <c r="L251" t="s">
        <v>89</v>
      </c>
      <c r="N251" t="s">
        <v>54</v>
      </c>
      <c r="O251" t="s">
        <v>52</v>
      </c>
      <c r="T251" t="s">
        <v>4733</v>
      </c>
      <c r="U251" t="s">
        <v>455</v>
      </c>
    </row>
    <row r="252" spans="8:21" x14ac:dyDescent="0.25">
      <c r="H252" t="s">
        <v>6060</v>
      </c>
      <c r="I252" t="s">
        <v>86</v>
      </c>
      <c r="J252" t="s">
        <v>87</v>
      </c>
      <c r="K252" t="s">
        <v>88</v>
      </c>
      <c r="L252" t="s">
        <v>89</v>
      </c>
      <c r="N252" t="s">
        <v>21</v>
      </c>
      <c r="O252" t="s">
        <v>19</v>
      </c>
      <c r="T252" t="s">
        <v>4548</v>
      </c>
      <c r="U252" t="s">
        <v>455</v>
      </c>
    </row>
    <row r="253" spans="8:21" x14ac:dyDescent="0.25">
      <c r="H253" t="s">
        <v>6060</v>
      </c>
      <c r="I253" t="s">
        <v>86</v>
      </c>
      <c r="J253" t="s">
        <v>87</v>
      </c>
      <c r="K253" t="s">
        <v>88</v>
      </c>
      <c r="L253" t="s">
        <v>89</v>
      </c>
      <c r="N253" t="s">
        <v>21</v>
      </c>
      <c r="O253" t="s">
        <v>19</v>
      </c>
      <c r="T253" t="s">
        <v>4768</v>
      </c>
      <c r="U253" t="s">
        <v>455</v>
      </c>
    </row>
    <row r="254" spans="8:21" x14ac:dyDescent="0.25">
      <c r="H254" t="s">
        <v>6060</v>
      </c>
      <c r="I254" t="s">
        <v>86</v>
      </c>
      <c r="J254" t="s">
        <v>87</v>
      </c>
      <c r="K254" t="s">
        <v>88</v>
      </c>
      <c r="L254" t="s">
        <v>89</v>
      </c>
      <c r="N254" t="s">
        <v>21</v>
      </c>
      <c r="O254" t="s">
        <v>19</v>
      </c>
      <c r="T254" t="s">
        <v>4652</v>
      </c>
      <c r="U254" t="s">
        <v>455</v>
      </c>
    </row>
    <row r="255" spans="8:21" x14ac:dyDescent="0.25">
      <c r="H255" t="s">
        <v>6321</v>
      </c>
      <c r="I255" t="s">
        <v>86</v>
      </c>
      <c r="J255" t="s">
        <v>87</v>
      </c>
      <c r="K255" t="s">
        <v>88</v>
      </c>
      <c r="L255" t="s">
        <v>89</v>
      </c>
      <c r="N255" t="s">
        <v>21</v>
      </c>
      <c r="O255" t="s">
        <v>19</v>
      </c>
      <c r="T255" t="s">
        <v>4549</v>
      </c>
      <c r="U255" t="s">
        <v>456</v>
      </c>
    </row>
    <row r="256" spans="8:21" x14ac:dyDescent="0.25">
      <c r="H256" t="s">
        <v>6321</v>
      </c>
      <c r="I256" t="s">
        <v>86</v>
      </c>
      <c r="J256" t="s">
        <v>87</v>
      </c>
      <c r="K256" t="s">
        <v>88</v>
      </c>
      <c r="L256" t="s">
        <v>89</v>
      </c>
      <c r="N256" t="s">
        <v>21</v>
      </c>
      <c r="O256" t="s">
        <v>19</v>
      </c>
      <c r="T256" t="s">
        <v>4549</v>
      </c>
      <c r="U256" t="s">
        <v>456</v>
      </c>
    </row>
    <row r="257" spans="8:21" x14ac:dyDescent="0.25">
      <c r="H257" t="s">
        <v>6407</v>
      </c>
      <c r="I257" t="s">
        <v>86</v>
      </c>
      <c r="J257" t="s">
        <v>87</v>
      </c>
      <c r="K257" t="s">
        <v>88</v>
      </c>
      <c r="L257" t="s">
        <v>89</v>
      </c>
      <c r="N257" t="s">
        <v>21</v>
      </c>
      <c r="O257" t="s">
        <v>19</v>
      </c>
      <c r="T257" t="s">
        <v>4549</v>
      </c>
      <c r="U257" t="s">
        <v>456</v>
      </c>
    </row>
    <row r="258" spans="8:21" x14ac:dyDescent="0.25">
      <c r="H258" t="s">
        <v>5908</v>
      </c>
      <c r="I258" t="s">
        <v>86</v>
      </c>
      <c r="J258" t="s">
        <v>87</v>
      </c>
      <c r="K258" t="s">
        <v>88</v>
      </c>
      <c r="L258" t="s">
        <v>89</v>
      </c>
      <c r="N258" t="s">
        <v>21</v>
      </c>
      <c r="O258" t="s">
        <v>19</v>
      </c>
      <c r="T258" t="s">
        <v>4543</v>
      </c>
      <c r="U258" t="s">
        <v>456</v>
      </c>
    </row>
    <row r="259" spans="8:21" x14ac:dyDescent="0.25">
      <c r="H259" t="s">
        <v>6506</v>
      </c>
      <c r="I259" t="s">
        <v>86</v>
      </c>
      <c r="J259" t="s">
        <v>87</v>
      </c>
      <c r="K259" t="s">
        <v>88</v>
      </c>
      <c r="L259" t="s">
        <v>89</v>
      </c>
      <c r="N259" t="s">
        <v>21</v>
      </c>
      <c r="O259" t="s">
        <v>19</v>
      </c>
      <c r="T259" t="s">
        <v>398</v>
      </c>
      <c r="U259" t="s">
        <v>399</v>
      </c>
    </row>
    <row r="260" spans="8:21" x14ac:dyDescent="0.25">
      <c r="H260" t="s">
        <v>5631</v>
      </c>
      <c r="I260" t="s">
        <v>86</v>
      </c>
      <c r="J260" t="s">
        <v>87</v>
      </c>
      <c r="K260" t="s">
        <v>88</v>
      </c>
      <c r="L260" t="s">
        <v>89</v>
      </c>
      <c r="N260" t="s">
        <v>21</v>
      </c>
      <c r="O260" t="s">
        <v>19</v>
      </c>
      <c r="T260" t="s">
        <v>398</v>
      </c>
      <c r="U260" t="s">
        <v>399</v>
      </c>
    </row>
    <row r="261" spans="8:21" x14ac:dyDescent="0.25">
      <c r="H261" t="s">
        <v>5631</v>
      </c>
      <c r="I261" t="s">
        <v>86</v>
      </c>
      <c r="J261" t="s">
        <v>87</v>
      </c>
      <c r="K261" t="s">
        <v>88</v>
      </c>
      <c r="L261" t="s">
        <v>89</v>
      </c>
      <c r="N261" t="s">
        <v>21</v>
      </c>
      <c r="O261" t="s">
        <v>19</v>
      </c>
      <c r="T261" t="s">
        <v>398</v>
      </c>
      <c r="U261" t="s">
        <v>399</v>
      </c>
    </row>
    <row r="262" spans="8:21" x14ac:dyDescent="0.25">
      <c r="H262" t="s">
        <v>6639</v>
      </c>
      <c r="I262" t="s">
        <v>86</v>
      </c>
      <c r="J262" t="s">
        <v>87</v>
      </c>
      <c r="K262" t="s">
        <v>88</v>
      </c>
      <c r="L262" t="s">
        <v>89</v>
      </c>
      <c r="N262" t="s">
        <v>21</v>
      </c>
      <c r="O262" t="s">
        <v>19</v>
      </c>
      <c r="T262" t="s">
        <v>398</v>
      </c>
      <c r="U262" t="s">
        <v>399</v>
      </c>
    </row>
    <row r="263" spans="8:21" x14ac:dyDescent="0.25">
      <c r="H263" t="s">
        <v>6639</v>
      </c>
      <c r="I263" t="s">
        <v>86</v>
      </c>
      <c r="J263" t="s">
        <v>87</v>
      </c>
      <c r="K263" t="s">
        <v>88</v>
      </c>
      <c r="L263" t="s">
        <v>89</v>
      </c>
      <c r="N263" t="s">
        <v>7367</v>
      </c>
      <c r="O263" t="s">
        <v>19</v>
      </c>
      <c r="T263" t="s">
        <v>398</v>
      </c>
      <c r="U263" t="s">
        <v>399</v>
      </c>
    </row>
    <row r="264" spans="8:21" x14ac:dyDescent="0.25">
      <c r="H264" t="s">
        <v>254</v>
      </c>
      <c r="I264" t="s">
        <v>86</v>
      </c>
      <c r="J264" t="s">
        <v>87</v>
      </c>
      <c r="K264" t="s">
        <v>88</v>
      </c>
      <c r="L264" t="s">
        <v>89</v>
      </c>
      <c r="N264" t="s">
        <v>8025</v>
      </c>
      <c r="O264" t="s">
        <v>19</v>
      </c>
      <c r="T264" t="s">
        <v>398</v>
      </c>
      <c r="U264" t="s">
        <v>399</v>
      </c>
    </row>
    <row r="265" spans="8:21" x14ac:dyDescent="0.25">
      <c r="H265" t="s">
        <v>254</v>
      </c>
      <c r="I265" t="s">
        <v>86</v>
      </c>
      <c r="J265" t="s">
        <v>87</v>
      </c>
      <c r="K265" t="s">
        <v>88</v>
      </c>
      <c r="L265" t="s">
        <v>89</v>
      </c>
      <c r="N265" t="s">
        <v>6889</v>
      </c>
      <c r="O265" t="s">
        <v>19</v>
      </c>
      <c r="T265" t="s">
        <v>398</v>
      </c>
      <c r="U265" t="s">
        <v>399</v>
      </c>
    </row>
    <row r="266" spans="8:21" x14ac:dyDescent="0.25">
      <c r="H266" t="s">
        <v>254</v>
      </c>
      <c r="I266" t="s">
        <v>86</v>
      </c>
      <c r="J266" t="s">
        <v>87</v>
      </c>
      <c r="K266" t="s">
        <v>88</v>
      </c>
      <c r="L266" t="s">
        <v>89</v>
      </c>
      <c r="N266" t="s">
        <v>6889</v>
      </c>
      <c r="O266" t="s">
        <v>19</v>
      </c>
      <c r="T266" t="s">
        <v>398</v>
      </c>
      <c r="U266" t="s">
        <v>399</v>
      </c>
    </row>
    <row r="267" spans="8:21" x14ac:dyDescent="0.25">
      <c r="H267" t="s">
        <v>254</v>
      </c>
      <c r="I267" t="s">
        <v>86</v>
      </c>
      <c r="J267" t="s">
        <v>87</v>
      </c>
      <c r="K267" t="s">
        <v>88</v>
      </c>
      <c r="L267" t="s">
        <v>89</v>
      </c>
      <c r="N267" t="s">
        <v>7861</v>
      </c>
      <c r="O267" t="s">
        <v>19</v>
      </c>
      <c r="T267" t="s">
        <v>398</v>
      </c>
      <c r="U267" t="s">
        <v>399</v>
      </c>
    </row>
    <row r="268" spans="8:21" x14ac:dyDescent="0.25">
      <c r="H268" t="s">
        <v>254</v>
      </c>
      <c r="I268" t="s">
        <v>86</v>
      </c>
      <c r="J268" t="s">
        <v>87</v>
      </c>
      <c r="K268" t="s">
        <v>88</v>
      </c>
      <c r="L268" t="s">
        <v>89</v>
      </c>
      <c r="N268" t="s">
        <v>7666</v>
      </c>
      <c r="O268" t="s">
        <v>19</v>
      </c>
      <c r="T268" t="s">
        <v>398</v>
      </c>
      <c r="U268" t="s">
        <v>399</v>
      </c>
    </row>
    <row r="269" spans="8:21" x14ac:dyDescent="0.25">
      <c r="H269" t="s">
        <v>254</v>
      </c>
      <c r="I269" t="s">
        <v>86</v>
      </c>
      <c r="J269" t="s">
        <v>87</v>
      </c>
      <c r="K269" t="s">
        <v>88</v>
      </c>
      <c r="L269" t="s">
        <v>89</v>
      </c>
      <c r="N269" t="s">
        <v>7597</v>
      </c>
      <c r="O269" t="s">
        <v>19</v>
      </c>
      <c r="T269" t="s">
        <v>398</v>
      </c>
      <c r="U269" t="s">
        <v>399</v>
      </c>
    </row>
    <row r="270" spans="8:21" x14ac:dyDescent="0.25">
      <c r="H270" t="s">
        <v>254</v>
      </c>
      <c r="I270" t="s">
        <v>86</v>
      </c>
      <c r="J270" t="s">
        <v>87</v>
      </c>
      <c r="K270" t="s">
        <v>88</v>
      </c>
      <c r="L270" t="s">
        <v>89</v>
      </c>
      <c r="N270" t="s">
        <v>8047</v>
      </c>
      <c r="O270" t="s">
        <v>19</v>
      </c>
      <c r="T270" t="s">
        <v>398</v>
      </c>
      <c r="U270" t="s">
        <v>399</v>
      </c>
    </row>
    <row r="271" spans="8:21" x14ac:dyDescent="0.25">
      <c r="H271" t="s">
        <v>254</v>
      </c>
      <c r="I271" t="s">
        <v>86</v>
      </c>
      <c r="J271" t="s">
        <v>87</v>
      </c>
      <c r="K271" t="s">
        <v>88</v>
      </c>
      <c r="L271" t="s">
        <v>89</v>
      </c>
      <c r="N271" t="s">
        <v>8030</v>
      </c>
      <c r="O271" t="s">
        <v>19</v>
      </c>
      <c r="T271" t="s">
        <v>398</v>
      </c>
      <c r="U271" t="s">
        <v>399</v>
      </c>
    </row>
    <row r="272" spans="8:21" x14ac:dyDescent="0.25">
      <c r="H272" t="s">
        <v>254</v>
      </c>
      <c r="I272" t="s">
        <v>86</v>
      </c>
      <c r="J272" t="s">
        <v>87</v>
      </c>
      <c r="K272" t="s">
        <v>88</v>
      </c>
      <c r="L272" t="s">
        <v>89</v>
      </c>
      <c r="N272" t="s">
        <v>7932</v>
      </c>
      <c r="O272" t="s">
        <v>362</v>
      </c>
      <c r="T272" t="s">
        <v>398</v>
      </c>
      <c r="U272" t="s">
        <v>399</v>
      </c>
    </row>
    <row r="273" spans="8:21" x14ac:dyDescent="0.25">
      <c r="H273" t="s">
        <v>254</v>
      </c>
      <c r="I273" t="s">
        <v>86</v>
      </c>
      <c r="J273" t="s">
        <v>87</v>
      </c>
      <c r="K273" t="s">
        <v>88</v>
      </c>
      <c r="L273" t="s">
        <v>89</v>
      </c>
      <c r="N273" t="s">
        <v>253</v>
      </c>
      <c r="O273" t="s">
        <v>86</v>
      </c>
      <c r="P273" t="s">
        <v>87</v>
      </c>
      <c r="Q273" t="s">
        <v>88</v>
      </c>
      <c r="R273" t="s">
        <v>89</v>
      </c>
      <c r="T273" t="s">
        <v>400</v>
      </c>
      <c r="U273" t="s">
        <v>401</v>
      </c>
    </row>
    <row r="274" spans="8:21" x14ac:dyDescent="0.25">
      <c r="H274" t="s">
        <v>254</v>
      </c>
      <c r="I274" t="s">
        <v>86</v>
      </c>
      <c r="J274" t="s">
        <v>87</v>
      </c>
      <c r="K274" t="s">
        <v>88</v>
      </c>
      <c r="L274" t="s">
        <v>89</v>
      </c>
      <c r="N274" t="s">
        <v>253</v>
      </c>
      <c r="O274" t="s">
        <v>86</v>
      </c>
      <c r="P274" t="s">
        <v>87</v>
      </c>
      <c r="Q274" t="s">
        <v>88</v>
      </c>
      <c r="R274" t="s">
        <v>89</v>
      </c>
      <c r="T274" t="s">
        <v>400</v>
      </c>
      <c r="U274" t="s">
        <v>401</v>
      </c>
    </row>
    <row r="275" spans="8:21" x14ac:dyDescent="0.25">
      <c r="H275" t="s">
        <v>254</v>
      </c>
      <c r="I275" t="s">
        <v>86</v>
      </c>
      <c r="J275" t="s">
        <v>87</v>
      </c>
      <c r="K275" t="s">
        <v>88</v>
      </c>
      <c r="L275" t="s">
        <v>89</v>
      </c>
      <c r="N275" t="s">
        <v>253</v>
      </c>
      <c r="O275" t="s">
        <v>86</v>
      </c>
      <c r="P275" t="s">
        <v>87</v>
      </c>
      <c r="Q275" t="s">
        <v>88</v>
      </c>
      <c r="R275" t="s">
        <v>89</v>
      </c>
      <c r="T275" t="s">
        <v>400</v>
      </c>
      <c r="U275" t="s">
        <v>401</v>
      </c>
    </row>
    <row r="276" spans="8:21" x14ac:dyDescent="0.25">
      <c r="H276" t="s">
        <v>254</v>
      </c>
      <c r="I276" t="s">
        <v>87</v>
      </c>
      <c r="J276" t="s">
        <v>88</v>
      </c>
      <c r="N276" t="s">
        <v>253</v>
      </c>
      <c r="O276" t="s">
        <v>86</v>
      </c>
      <c r="P276" t="s">
        <v>87</v>
      </c>
      <c r="Q276" t="s">
        <v>88</v>
      </c>
      <c r="R276" t="s">
        <v>89</v>
      </c>
      <c r="T276" t="s">
        <v>400</v>
      </c>
      <c r="U276" t="s">
        <v>401</v>
      </c>
    </row>
    <row r="277" spans="8:21" x14ac:dyDescent="0.25">
      <c r="H277" t="s">
        <v>254</v>
      </c>
      <c r="I277" t="s">
        <v>86</v>
      </c>
      <c r="J277" t="s">
        <v>87</v>
      </c>
      <c r="K277" t="s">
        <v>88</v>
      </c>
      <c r="L277" t="s">
        <v>89</v>
      </c>
      <c r="N277" t="s">
        <v>253</v>
      </c>
      <c r="O277" t="s">
        <v>86</v>
      </c>
      <c r="P277" t="s">
        <v>87</v>
      </c>
      <c r="Q277" t="s">
        <v>88</v>
      </c>
      <c r="R277" t="s">
        <v>89</v>
      </c>
      <c r="T277" t="s">
        <v>400</v>
      </c>
      <c r="U277" t="s">
        <v>401</v>
      </c>
    </row>
    <row r="278" spans="8:21" x14ac:dyDescent="0.25">
      <c r="H278" t="s">
        <v>254</v>
      </c>
      <c r="I278" t="s">
        <v>86</v>
      </c>
      <c r="J278" t="s">
        <v>87</v>
      </c>
      <c r="K278" t="s">
        <v>88</v>
      </c>
      <c r="L278" t="s">
        <v>89</v>
      </c>
      <c r="N278" t="s">
        <v>253</v>
      </c>
      <c r="O278" t="s">
        <v>86</v>
      </c>
      <c r="P278" t="s">
        <v>87</v>
      </c>
      <c r="Q278" t="s">
        <v>88</v>
      </c>
      <c r="R278" t="s">
        <v>89</v>
      </c>
      <c r="T278" t="s">
        <v>400</v>
      </c>
      <c r="U278" t="s">
        <v>401</v>
      </c>
    </row>
    <row r="279" spans="8:21" x14ac:dyDescent="0.25">
      <c r="H279" t="s">
        <v>254</v>
      </c>
      <c r="I279" t="s">
        <v>87</v>
      </c>
      <c r="J279" t="s">
        <v>88</v>
      </c>
      <c r="N279" t="s">
        <v>253</v>
      </c>
      <c r="O279" t="s">
        <v>86</v>
      </c>
      <c r="P279" t="s">
        <v>87</v>
      </c>
      <c r="Q279" t="s">
        <v>88</v>
      </c>
      <c r="R279" t="s">
        <v>89</v>
      </c>
      <c r="T279" t="s">
        <v>400</v>
      </c>
      <c r="U279" t="s">
        <v>401</v>
      </c>
    </row>
    <row r="280" spans="8:21" x14ac:dyDescent="0.25">
      <c r="H280" t="s">
        <v>254</v>
      </c>
      <c r="I280" t="s">
        <v>86</v>
      </c>
      <c r="J280" t="s">
        <v>87</v>
      </c>
      <c r="K280" t="s">
        <v>88</v>
      </c>
      <c r="L280" t="s">
        <v>89</v>
      </c>
      <c r="N280" t="s">
        <v>253</v>
      </c>
      <c r="O280" t="s">
        <v>86</v>
      </c>
      <c r="P280" t="s">
        <v>87</v>
      </c>
      <c r="Q280" t="s">
        <v>88</v>
      </c>
      <c r="R280" t="s">
        <v>89</v>
      </c>
      <c r="T280" t="s">
        <v>400</v>
      </c>
      <c r="U280" t="s">
        <v>401</v>
      </c>
    </row>
    <row r="281" spans="8:21" x14ac:dyDescent="0.25">
      <c r="H281" t="s">
        <v>254</v>
      </c>
      <c r="I281" t="s">
        <v>86</v>
      </c>
      <c r="J281" t="s">
        <v>87</v>
      </c>
      <c r="K281" t="s">
        <v>88</v>
      </c>
      <c r="L281" t="s">
        <v>89</v>
      </c>
      <c r="N281" t="s">
        <v>253</v>
      </c>
      <c r="O281" t="s">
        <v>86</v>
      </c>
      <c r="P281" t="s">
        <v>87</v>
      </c>
      <c r="Q281" t="s">
        <v>88</v>
      </c>
      <c r="R281" t="s">
        <v>89</v>
      </c>
      <c r="T281" t="s">
        <v>400</v>
      </c>
      <c r="U281" t="s">
        <v>401</v>
      </c>
    </row>
    <row r="282" spans="8:21" x14ac:dyDescent="0.25">
      <c r="H282" t="s">
        <v>254</v>
      </c>
      <c r="I282" t="s">
        <v>86</v>
      </c>
      <c r="J282" t="s">
        <v>87</v>
      </c>
      <c r="K282" t="s">
        <v>88</v>
      </c>
      <c r="L282" t="s">
        <v>89</v>
      </c>
      <c r="N282" t="s">
        <v>253</v>
      </c>
      <c r="O282" t="s">
        <v>86</v>
      </c>
      <c r="P282" t="s">
        <v>87</v>
      </c>
      <c r="Q282" t="s">
        <v>88</v>
      </c>
      <c r="R282" t="s">
        <v>89</v>
      </c>
      <c r="T282" t="s">
        <v>400</v>
      </c>
      <c r="U282" t="s">
        <v>401</v>
      </c>
    </row>
    <row r="283" spans="8:21" x14ac:dyDescent="0.25">
      <c r="H283" t="s">
        <v>254</v>
      </c>
      <c r="I283" t="s">
        <v>86</v>
      </c>
      <c r="J283" t="s">
        <v>87</v>
      </c>
      <c r="K283" t="s">
        <v>88</v>
      </c>
      <c r="L283" t="s">
        <v>89</v>
      </c>
      <c r="N283" t="s">
        <v>253</v>
      </c>
      <c r="O283" t="s">
        <v>86</v>
      </c>
      <c r="P283" t="s">
        <v>87</v>
      </c>
      <c r="Q283" t="s">
        <v>88</v>
      </c>
      <c r="R283" t="s">
        <v>89</v>
      </c>
      <c r="T283" t="s">
        <v>400</v>
      </c>
      <c r="U283" t="s">
        <v>401</v>
      </c>
    </row>
    <row r="284" spans="8:21" x14ac:dyDescent="0.25">
      <c r="H284" t="s">
        <v>254</v>
      </c>
      <c r="I284" t="s">
        <v>86</v>
      </c>
      <c r="J284" t="s">
        <v>87</v>
      </c>
      <c r="K284" t="s">
        <v>88</v>
      </c>
      <c r="L284" t="s">
        <v>89</v>
      </c>
      <c r="N284" t="s">
        <v>253</v>
      </c>
      <c r="O284" t="s">
        <v>86</v>
      </c>
      <c r="P284" t="s">
        <v>87</v>
      </c>
      <c r="Q284" t="s">
        <v>88</v>
      </c>
      <c r="R284" t="s">
        <v>89</v>
      </c>
      <c r="T284" t="s">
        <v>400</v>
      </c>
      <c r="U284" t="s">
        <v>401</v>
      </c>
    </row>
    <row r="285" spans="8:21" x14ac:dyDescent="0.25">
      <c r="H285" t="s">
        <v>254</v>
      </c>
      <c r="I285" t="s">
        <v>86</v>
      </c>
      <c r="J285" t="s">
        <v>87</v>
      </c>
      <c r="K285" t="s">
        <v>88</v>
      </c>
      <c r="L285" t="s">
        <v>89</v>
      </c>
      <c r="N285" t="s">
        <v>253</v>
      </c>
      <c r="O285" t="s">
        <v>86</v>
      </c>
      <c r="P285" t="s">
        <v>87</v>
      </c>
      <c r="Q285" t="s">
        <v>88</v>
      </c>
      <c r="R285" t="s">
        <v>89</v>
      </c>
      <c r="T285" t="s">
        <v>4751</v>
      </c>
      <c r="U285" t="s">
        <v>401</v>
      </c>
    </row>
    <row r="286" spans="8:21" x14ac:dyDescent="0.25">
      <c r="H286" t="s">
        <v>254</v>
      </c>
      <c r="I286" t="s">
        <v>86</v>
      </c>
      <c r="J286" t="s">
        <v>87</v>
      </c>
      <c r="K286" t="s">
        <v>88</v>
      </c>
      <c r="L286" t="s">
        <v>89</v>
      </c>
      <c r="N286" t="s">
        <v>253</v>
      </c>
      <c r="O286" t="s">
        <v>86</v>
      </c>
      <c r="P286" t="s">
        <v>87</v>
      </c>
      <c r="Q286" t="s">
        <v>88</v>
      </c>
      <c r="R286" t="s">
        <v>89</v>
      </c>
      <c r="T286" t="s">
        <v>4635</v>
      </c>
      <c r="U286" t="s">
        <v>401</v>
      </c>
    </row>
    <row r="287" spans="8:21" x14ac:dyDescent="0.25">
      <c r="H287" t="s">
        <v>254</v>
      </c>
      <c r="I287" t="s">
        <v>86</v>
      </c>
      <c r="J287" t="s">
        <v>87</v>
      </c>
      <c r="K287" t="s">
        <v>88</v>
      </c>
      <c r="L287" t="s">
        <v>89</v>
      </c>
      <c r="N287" t="s">
        <v>253</v>
      </c>
      <c r="O287" t="s">
        <v>86</v>
      </c>
      <c r="P287" t="s">
        <v>87</v>
      </c>
      <c r="Q287" t="s">
        <v>88</v>
      </c>
      <c r="R287" t="s">
        <v>89</v>
      </c>
      <c r="T287" t="s">
        <v>2662</v>
      </c>
      <c r="U287" t="s">
        <v>2657</v>
      </c>
    </row>
    <row r="288" spans="8:21" x14ac:dyDescent="0.25">
      <c r="H288" t="s">
        <v>254</v>
      </c>
      <c r="I288" t="s">
        <v>86</v>
      </c>
      <c r="J288" t="s">
        <v>87</v>
      </c>
      <c r="K288" t="s">
        <v>88</v>
      </c>
      <c r="L288" t="s">
        <v>89</v>
      </c>
      <c r="N288" t="s">
        <v>253</v>
      </c>
      <c r="O288" t="s">
        <v>86</v>
      </c>
      <c r="P288" t="s">
        <v>87</v>
      </c>
      <c r="Q288" t="s">
        <v>88</v>
      </c>
      <c r="R288" t="s">
        <v>89</v>
      </c>
      <c r="T288" t="s">
        <v>2662</v>
      </c>
      <c r="U288" t="s">
        <v>2657</v>
      </c>
    </row>
    <row r="289" spans="8:21" x14ac:dyDescent="0.25">
      <c r="H289" t="s">
        <v>254</v>
      </c>
      <c r="I289" t="s">
        <v>86</v>
      </c>
      <c r="J289" t="s">
        <v>87</v>
      </c>
      <c r="K289" t="s">
        <v>88</v>
      </c>
      <c r="L289" t="s">
        <v>89</v>
      </c>
      <c r="N289" t="s">
        <v>253</v>
      </c>
      <c r="O289" t="s">
        <v>86</v>
      </c>
      <c r="P289" t="s">
        <v>87</v>
      </c>
      <c r="Q289" t="s">
        <v>88</v>
      </c>
      <c r="R289" t="s">
        <v>89</v>
      </c>
      <c r="T289" t="s">
        <v>2662</v>
      </c>
      <c r="U289" t="s">
        <v>2657</v>
      </c>
    </row>
    <row r="290" spans="8:21" x14ac:dyDescent="0.25">
      <c r="H290" t="s">
        <v>254</v>
      </c>
      <c r="I290" t="s">
        <v>86</v>
      </c>
      <c r="J290" t="s">
        <v>87</v>
      </c>
      <c r="K290" t="s">
        <v>88</v>
      </c>
      <c r="L290" t="s">
        <v>89</v>
      </c>
      <c r="N290" t="s">
        <v>253</v>
      </c>
      <c r="O290" t="s">
        <v>86</v>
      </c>
      <c r="P290" t="s">
        <v>87</v>
      </c>
      <c r="Q290" t="s">
        <v>88</v>
      </c>
      <c r="R290" t="s">
        <v>89</v>
      </c>
      <c r="T290" t="s">
        <v>2662</v>
      </c>
      <c r="U290" t="s">
        <v>2657</v>
      </c>
    </row>
    <row r="291" spans="8:21" x14ac:dyDescent="0.25">
      <c r="H291" t="s">
        <v>254</v>
      </c>
      <c r="I291" t="s">
        <v>86</v>
      </c>
      <c r="J291" t="s">
        <v>87</v>
      </c>
      <c r="K291" t="s">
        <v>88</v>
      </c>
      <c r="L291" t="s">
        <v>89</v>
      </c>
      <c r="N291" t="s">
        <v>253</v>
      </c>
      <c r="O291" t="s">
        <v>86</v>
      </c>
      <c r="P291" t="s">
        <v>87</v>
      </c>
      <c r="Q291" t="s">
        <v>88</v>
      </c>
      <c r="R291" t="s">
        <v>89</v>
      </c>
      <c r="T291" t="s">
        <v>2662</v>
      </c>
      <c r="U291" t="s">
        <v>2657</v>
      </c>
    </row>
    <row r="292" spans="8:21" x14ac:dyDescent="0.25">
      <c r="H292" t="s">
        <v>254</v>
      </c>
      <c r="I292" t="s">
        <v>86</v>
      </c>
      <c r="J292" t="s">
        <v>87</v>
      </c>
      <c r="K292" t="s">
        <v>88</v>
      </c>
      <c r="L292" t="s">
        <v>89</v>
      </c>
      <c r="N292" t="s">
        <v>254</v>
      </c>
      <c r="O292" t="s">
        <v>86</v>
      </c>
      <c r="P292" t="s">
        <v>87</v>
      </c>
      <c r="Q292" t="s">
        <v>88</v>
      </c>
      <c r="R292" t="s">
        <v>89</v>
      </c>
      <c r="T292" t="s">
        <v>2662</v>
      </c>
      <c r="U292" t="s">
        <v>2657</v>
      </c>
    </row>
    <row r="293" spans="8:21" x14ac:dyDescent="0.25">
      <c r="H293" t="s">
        <v>254</v>
      </c>
      <c r="I293" t="s">
        <v>86</v>
      </c>
      <c r="J293" t="s">
        <v>87</v>
      </c>
      <c r="K293" t="s">
        <v>88</v>
      </c>
      <c r="L293" t="s">
        <v>89</v>
      </c>
      <c r="N293" t="s">
        <v>254</v>
      </c>
      <c r="O293" t="s">
        <v>86</v>
      </c>
      <c r="P293" t="s">
        <v>87</v>
      </c>
      <c r="Q293" t="s">
        <v>88</v>
      </c>
      <c r="R293" t="s">
        <v>89</v>
      </c>
      <c r="T293" t="s">
        <v>2662</v>
      </c>
      <c r="U293" t="s">
        <v>2657</v>
      </c>
    </row>
    <row r="294" spans="8:21" x14ac:dyDescent="0.25">
      <c r="H294" t="s">
        <v>254</v>
      </c>
      <c r="I294" t="s">
        <v>86</v>
      </c>
      <c r="J294" t="s">
        <v>87</v>
      </c>
      <c r="K294" t="s">
        <v>88</v>
      </c>
      <c r="L294" t="s">
        <v>89</v>
      </c>
      <c r="N294" t="s">
        <v>254</v>
      </c>
      <c r="O294" t="s">
        <v>86</v>
      </c>
      <c r="P294" t="s">
        <v>87</v>
      </c>
      <c r="Q294" t="s">
        <v>88</v>
      </c>
      <c r="R294" t="s">
        <v>89</v>
      </c>
      <c r="T294" t="s">
        <v>2662</v>
      </c>
      <c r="U294" t="s">
        <v>2657</v>
      </c>
    </row>
    <row r="295" spans="8:21" x14ac:dyDescent="0.25">
      <c r="H295" t="s">
        <v>254</v>
      </c>
      <c r="I295" t="s">
        <v>87</v>
      </c>
      <c r="J295" t="s">
        <v>88</v>
      </c>
      <c r="N295" t="s">
        <v>254</v>
      </c>
      <c r="O295" t="s">
        <v>86</v>
      </c>
      <c r="P295" t="s">
        <v>87</v>
      </c>
      <c r="Q295" t="s">
        <v>88</v>
      </c>
      <c r="R295" t="s">
        <v>89</v>
      </c>
      <c r="T295" t="s">
        <v>2662</v>
      </c>
      <c r="U295" t="s">
        <v>2657</v>
      </c>
    </row>
    <row r="296" spans="8:21" x14ac:dyDescent="0.25">
      <c r="H296" t="s">
        <v>254</v>
      </c>
      <c r="I296" t="s">
        <v>86</v>
      </c>
      <c r="J296" t="s">
        <v>87</v>
      </c>
      <c r="K296" t="s">
        <v>88</v>
      </c>
      <c r="L296" t="s">
        <v>89</v>
      </c>
      <c r="N296" t="s">
        <v>254</v>
      </c>
      <c r="O296" t="s">
        <v>86</v>
      </c>
      <c r="P296" t="s">
        <v>87</v>
      </c>
      <c r="Q296" t="s">
        <v>88</v>
      </c>
      <c r="R296" t="s">
        <v>89</v>
      </c>
      <c r="T296" t="s">
        <v>2662</v>
      </c>
      <c r="U296" t="s">
        <v>2657</v>
      </c>
    </row>
    <row r="297" spans="8:21" x14ac:dyDescent="0.25">
      <c r="H297" t="s">
        <v>254</v>
      </c>
      <c r="I297" t="s">
        <v>86</v>
      </c>
      <c r="J297" t="s">
        <v>87</v>
      </c>
      <c r="K297" t="s">
        <v>88</v>
      </c>
      <c r="L297" t="s">
        <v>89</v>
      </c>
      <c r="N297" t="s">
        <v>254</v>
      </c>
      <c r="O297" t="s">
        <v>86</v>
      </c>
      <c r="P297" t="s">
        <v>87</v>
      </c>
      <c r="Q297" t="s">
        <v>88</v>
      </c>
      <c r="R297" t="s">
        <v>89</v>
      </c>
      <c r="T297" t="s">
        <v>2662</v>
      </c>
      <c r="U297" t="s">
        <v>2657</v>
      </c>
    </row>
    <row r="298" spans="8:21" x14ac:dyDescent="0.25">
      <c r="H298" t="s">
        <v>254</v>
      </c>
      <c r="I298" t="s">
        <v>86</v>
      </c>
      <c r="J298" t="s">
        <v>87</v>
      </c>
      <c r="K298" t="s">
        <v>88</v>
      </c>
      <c r="L298" t="s">
        <v>89</v>
      </c>
      <c r="N298" t="s">
        <v>254</v>
      </c>
      <c r="O298" t="s">
        <v>86</v>
      </c>
      <c r="P298" t="s">
        <v>87</v>
      </c>
      <c r="Q298" t="s">
        <v>88</v>
      </c>
      <c r="R298" t="s">
        <v>89</v>
      </c>
      <c r="T298" t="s">
        <v>2662</v>
      </c>
      <c r="U298" t="s">
        <v>2657</v>
      </c>
    </row>
    <row r="299" spans="8:21" x14ac:dyDescent="0.25">
      <c r="H299" t="s">
        <v>254</v>
      </c>
      <c r="I299" t="s">
        <v>86</v>
      </c>
      <c r="J299" t="s">
        <v>87</v>
      </c>
      <c r="K299" t="s">
        <v>88</v>
      </c>
      <c r="L299" t="s">
        <v>89</v>
      </c>
      <c r="N299" t="s">
        <v>254</v>
      </c>
      <c r="O299" t="s">
        <v>86</v>
      </c>
      <c r="P299" t="s">
        <v>87</v>
      </c>
      <c r="Q299" t="s">
        <v>88</v>
      </c>
      <c r="R299" t="s">
        <v>89</v>
      </c>
      <c r="T299" t="s">
        <v>2662</v>
      </c>
      <c r="U299" t="s">
        <v>2657</v>
      </c>
    </row>
    <row r="300" spans="8:21" x14ac:dyDescent="0.25">
      <c r="H300" t="s">
        <v>254</v>
      </c>
      <c r="I300" t="s">
        <v>86</v>
      </c>
      <c r="J300" t="s">
        <v>87</v>
      </c>
      <c r="K300" t="s">
        <v>88</v>
      </c>
      <c r="L300" t="s">
        <v>89</v>
      </c>
      <c r="N300" t="s">
        <v>254</v>
      </c>
      <c r="O300" t="s">
        <v>86</v>
      </c>
      <c r="P300" t="s">
        <v>87</v>
      </c>
      <c r="Q300" t="s">
        <v>88</v>
      </c>
      <c r="R300" t="s">
        <v>89</v>
      </c>
      <c r="T300" t="s">
        <v>2662</v>
      </c>
      <c r="U300" t="s">
        <v>2657</v>
      </c>
    </row>
    <row r="301" spans="8:21" x14ac:dyDescent="0.25">
      <c r="H301" t="s">
        <v>254</v>
      </c>
      <c r="I301" t="s">
        <v>86</v>
      </c>
      <c r="J301" t="s">
        <v>87</v>
      </c>
      <c r="K301" t="s">
        <v>88</v>
      </c>
      <c r="L301" t="s">
        <v>89</v>
      </c>
      <c r="N301" t="s">
        <v>254</v>
      </c>
      <c r="O301" t="s">
        <v>86</v>
      </c>
      <c r="P301" t="s">
        <v>87</v>
      </c>
      <c r="Q301" t="s">
        <v>88</v>
      </c>
      <c r="R301" t="s">
        <v>89</v>
      </c>
      <c r="T301" t="s">
        <v>2662</v>
      </c>
      <c r="U301" t="s">
        <v>2657</v>
      </c>
    </row>
    <row r="302" spans="8:21" x14ac:dyDescent="0.25">
      <c r="H302" t="s">
        <v>254</v>
      </c>
      <c r="I302" t="s">
        <v>86</v>
      </c>
      <c r="J302" t="s">
        <v>87</v>
      </c>
      <c r="K302" t="s">
        <v>88</v>
      </c>
      <c r="L302" t="s">
        <v>89</v>
      </c>
      <c r="N302" t="s">
        <v>254</v>
      </c>
      <c r="O302" t="s">
        <v>86</v>
      </c>
      <c r="P302" t="s">
        <v>87</v>
      </c>
      <c r="Q302" t="s">
        <v>88</v>
      </c>
      <c r="R302" t="s">
        <v>89</v>
      </c>
      <c r="T302" t="s">
        <v>2662</v>
      </c>
      <c r="U302" t="s">
        <v>2657</v>
      </c>
    </row>
    <row r="303" spans="8:21" x14ac:dyDescent="0.25">
      <c r="H303" t="s">
        <v>254</v>
      </c>
      <c r="I303" t="s">
        <v>86</v>
      </c>
      <c r="J303" t="s">
        <v>87</v>
      </c>
      <c r="K303" t="s">
        <v>88</v>
      </c>
      <c r="L303" t="s">
        <v>89</v>
      </c>
      <c r="N303" t="s">
        <v>254</v>
      </c>
      <c r="O303" t="s">
        <v>86</v>
      </c>
      <c r="P303" t="s">
        <v>87</v>
      </c>
      <c r="Q303" t="s">
        <v>88</v>
      </c>
      <c r="R303" t="s">
        <v>89</v>
      </c>
      <c r="T303" t="s">
        <v>2662</v>
      </c>
      <c r="U303" t="s">
        <v>2657</v>
      </c>
    </row>
    <row r="304" spans="8:21" x14ac:dyDescent="0.25">
      <c r="H304" t="s">
        <v>254</v>
      </c>
      <c r="I304" t="s">
        <v>86</v>
      </c>
      <c r="J304" t="s">
        <v>87</v>
      </c>
      <c r="K304" t="s">
        <v>88</v>
      </c>
      <c r="L304" t="s">
        <v>89</v>
      </c>
      <c r="N304" t="s">
        <v>254</v>
      </c>
      <c r="O304" t="s">
        <v>86</v>
      </c>
      <c r="P304" t="s">
        <v>87</v>
      </c>
      <c r="Q304" t="s">
        <v>88</v>
      </c>
      <c r="R304" t="s">
        <v>89</v>
      </c>
      <c r="T304" t="s">
        <v>2662</v>
      </c>
      <c r="U304" t="s">
        <v>2657</v>
      </c>
    </row>
    <row r="305" spans="8:21" x14ac:dyDescent="0.25">
      <c r="H305" t="s">
        <v>254</v>
      </c>
      <c r="I305" t="s">
        <v>86</v>
      </c>
      <c r="J305" t="s">
        <v>87</v>
      </c>
      <c r="K305" t="s">
        <v>88</v>
      </c>
      <c r="L305" t="s">
        <v>89</v>
      </c>
      <c r="N305" t="s">
        <v>254</v>
      </c>
      <c r="O305" t="s">
        <v>86</v>
      </c>
      <c r="P305" t="s">
        <v>87</v>
      </c>
      <c r="Q305" t="s">
        <v>88</v>
      </c>
      <c r="R305" t="s">
        <v>89</v>
      </c>
      <c r="T305" t="s">
        <v>2662</v>
      </c>
      <c r="U305" t="s">
        <v>2657</v>
      </c>
    </row>
    <row r="306" spans="8:21" x14ac:dyDescent="0.25">
      <c r="H306" t="s">
        <v>254</v>
      </c>
      <c r="I306" t="s">
        <v>86</v>
      </c>
      <c r="J306" t="s">
        <v>87</v>
      </c>
      <c r="K306" t="s">
        <v>88</v>
      </c>
      <c r="L306" t="s">
        <v>89</v>
      </c>
      <c r="N306" t="s">
        <v>254</v>
      </c>
      <c r="O306" t="s">
        <v>86</v>
      </c>
      <c r="P306" t="s">
        <v>87</v>
      </c>
      <c r="Q306" t="s">
        <v>88</v>
      </c>
      <c r="R306" t="s">
        <v>89</v>
      </c>
      <c r="T306" t="s">
        <v>2662</v>
      </c>
      <c r="U306" t="s">
        <v>2657</v>
      </c>
    </row>
    <row r="307" spans="8:21" x14ac:dyDescent="0.25">
      <c r="H307" t="s">
        <v>254</v>
      </c>
      <c r="I307" t="s">
        <v>86</v>
      </c>
      <c r="J307" t="s">
        <v>87</v>
      </c>
      <c r="K307" t="s">
        <v>88</v>
      </c>
      <c r="L307" t="s">
        <v>89</v>
      </c>
      <c r="N307" t="s">
        <v>254</v>
      </c>
      <c r="O307" t="s">
        <v>86</v>
      </c>
      <c r="P307" t="s">
        <v>87</v>
      </c>
      <c r="Q307" t="s">
        <v>88</v>
      </c>
      <c r="R307" t="s">
        <v>89</v>
      </c>
      <c r="T307" t="s">
        <v>2662</v>
      </c>
      <c r="U307" t="s">
        <v>2657</v>
      </c>
    </row>
    <row r="308" spans="8:21" x14ac:dyDescent="0.25">
      <c r="H308" t="s">
        <v>254</v>
      </c>
      <c r="I308" t="s">
        <v>88</v>
      </c>
      <c r="J308" t="s">
        <v>89</v>
      </c>
      <c r="N308" t="s">
        <v>254</v>
      </c>
      <c r="O308" t="s">
        <v>86</v>
      </c>
      <c r="P308" t="s">
        <v>87</v>
      </c>
      <c r="Q308" t="s">
        <v>88</v>
      </c>
      <c r="R308" t="s">
        <v>89</v>
      </c>
      <c r="T308" t="s">
        <v>2662</v>
      </c>
      <c r="U308" t="s">
        <v>2657</v>
      </c>
    </row>
    <row r="309" spans="8:21" x14ac:dyDescent="0.25">
      <c r="H309" t="s">
        <v>254</v>
      </c>
      <c r="I309" t="s">
        <v>86</v>
      </c>
      <c r="J309" t="s">
        <v>87</v>
      </c>
      <c r="K309" t="s">
        <v>88</v>
      </c>
      <c r="L309" t="s">
        <v>89</v>
      </c>
      <c r="N309" t="s">
        <v>254</v>
      </c>
      <c r="O309" t="s">
        <v>86</v>
      </c>
      <c r="P309" t="s">
        <v>87</v>
      </c>
      <c r="Q309" t="s">
        <v>88</v>
      </c>
      <c r="R309" t="s">
        <v>89</v>
      </c>
      <c r="T309" t="s">
        <v>2662</v>
      </c>
      <c r="U309" t="s">
        <v>2657</v>
      </c>
    </row>
    <row r="310" spans="8:21" x14ac:dyDescent="0.25">
      <c r="H310" t="s">
        <v>254</v>
      </c>
      <c r="I310" t="s">
        <v>86</v>
      </c>
      <c r="J310" t="s">
        <v>87</v>
      </c>
      <c r="K310" t="s">
        <v>88</v>
      </c>
      <c r="L310" t="s">
        <v>89</v>
      </c>
      <c r="N310" t="s">
        <v>254</v>
      </c>
      <c r="O310" t="s">
        <v>86</v>
      </c>
      <c r="P310" t="s">
        <v>87</v>
      </c>
      <c r="Q310" t="s">
        <v>88</v>
      </c>
      <c r="R310" t="s">
        <v>89</v>
      </c>
      <c r="T310" t="s">
        <v>2662</v>
      </c>
      <c r="U310" t="s">
        <v>2657</v>
      </c>
    </row>
    <row r="311" spans="8:21" x14ac:dyDescent="0.25">
      <c r="H311" t="s">
        <v>254</v>
      </c>
      <c r="I311" t="s">
        <v>86</v>
      </c>
      <c r="J311" t="s">
        <v>87</v>
      </c>
      <c r="K311" t="s">
        <v>88</v>
      </c>
      <c r="L311" t="s">
        <v>89</v>
      </c>
      <c r="N311" t="s">
        <v>254</v>
      </c>
      <c r="O311" t="s">
        <v>86</v>
      </c>
      <c r="P311" t="s">
        <v>87</v>
      </c>
      <c r="Q311" t="s">
        <v>88</v>
      </c>
      <c r="R311" t="s">
        <v>89</v>
      </c>
      <c r="T311" t="s">
        <v>2662</v>
      </c>
      <c r="U311" t="s">
        <v>2657</v>
      </c>
    </row>
    <row r="312" spans="8:21" x14ac:dyDescent="0.25">
      <c r="H312" t="s">
        <v>254</v>
      </c>
      <c r="I312" t="s">
        <v>86</v>
      </c>
      <c r="J312" t="s">
        <v>87</v>
      </c>
      <c r="K312" t="s">
        <v>88</v>
      </c>
      <c r="L312" t="s">
        <v>89</v>
      </c>
      <c r="N312" t="s">
        <v>254</v>
      </c>
      <c r="O312" t="s">
        <v>86</v>
      </c>
      <c r="P312" t="s">
        <v>87</v>
      </c>
      <c r="Q312" t="s">
        <v>88</v>
      </c>
      <c r="R312" t="s">
        <v>89</v>
      </c>
      <c r="T312" t="s">
        <v>2662</v>
      </c>
      <c r="U312" t="s">
        <v>2657</v>
      </c>
    </row>
    <row r="313" spans="8:21" x14ac:dyDescent="0.25">
      <c r="H313" t="s">
        <v>254</v>
      </c>
      <c r="I313" t="s">
        <v>87</v>
      </c>
      <c r="J313" t="s">
        <v>88</v>
      </c>
      <c r="N313" t="s">
        <v>254</v>
      </c>
      <c r="O313" t="s">
        <v>86</v>
      </c>
      <c r="P313" t="s">
        <v>87</v>
      </c>
      <c r="Q313" t="s">
        <v>88</v>
      </c>
      <c r="R313" t="s">
        <v>89</v>
      </c>
      <c r="T313" t="s">
        <v>2662</v>
      </c>
      <c r="U313" t="s">
        <v>2657</v>
      </c>
    </row>
    <row r="314" spans="8:21" x14ac:dyDescent="0.25">
      <c r="H314" t="s">
        <v>254</v>
      </c>
      <c r="I314" t="s">
        <v>86</v>
      </c>
      <c r="J314" t="s">
        <v>87</v>
      </c>
      <c r="K314" t="s">
        <v>88</v>
      </c>
      <c r="L314" t="s">
        <v>89</v>
      </c>
      <c r="N314" t="s">
        <v>254</v>
      </c>
      <c r="O314" t="s">
        <v>86</v>
      </c>
      <c r="P314" t="s">
        <v>87</v>
      </c>
      <c r="Q314" t="s">
        <v>88</v>
      </c>
      <c r="R314" t="s">
        <v>89</v>
      </c>
      <c r="T314" t="s">
        <v>2662</v>
      </c>
      <c r="U314" t="s">
        <v>2657</v>
      </c>
    </row>
    <row r="315" spans="8:21" x14ac:dyDescent="0.25">
      <c r="H315" t="s">
        <v>254</v>
      </c>
      <c r="I315" t="s">
        <v>86</v>
      </c>
      <c r="J315" t="s">
        <v>87</v>
      </c>
      <c r="K315" t="s">
        <v>88</v>
      </c>
      <c r="L315" t="s">
        <v>89</v>
      </c>
      <c r="N315" t="s">
        <v>254</v>
      </c>
      <c r="O315" t="s">
        <v>86</v>
      </c>
      <c r="P315" t="s">
        <v>87</v>
      </c>
      <c r="Q315" t="s">
        <v>88</v>
      </c>
      <c r="R315" t="s">
        <v>89</v>
      </c>
      <c r="T315" t="s">
        <v>2662</v>
      </c>
      <c r="U315" t="s">
        <v>2657</v>
      </c>
    </row>
    <row r="316" spans="8:21" x14ac:dyDescent="0.25">
      <c r="H316" t="s">
        <v>254</v>
      </c>
      <c r="I316" t="s">
        <v>86</v>
      </c>
      <c r="J316" t="s">
        <v>87</v>
      </c>
      <c r="K316" t="s">
        <v>88</v>
      </c>
      <c r="L316" t="s">
        <v>89</v>
      </c>
      <c r="N316" t="s">
        <v>254</v>
      </c>
      <c r="O316" t="s">
        <v>86</v>
      </c>
      <c r="P316" t="s">
        <v>87</v>
      </c>
      <c r="Q316" t="s">
        <v>88</v>
      </c>
      <c r="R316" t="s">
        <v>89</v>
      </c>
      <c r="T316" t="s">
        <v>2662</v>
      </c>
      <c r="U316" t="s">
        <v>2657</v>
      </c>
    </row>
    <row r="317" spans="8:21" x14ac:dyDescent="0.25">
      <c r="H317" t="s">
        <v>254</v>
      </c>
      <c r="I317" t="s">
        <v>86</v>
      </c>
      <c r="J317" t="s">
        <v>87</v>
      </c>
      <c r="K317" t="s">
        <v>88</v>
      </c>
      <c r="L317" t="s">
        <v>89</v>
      </c>
      <c r="N317" t="s">
        <v>254</v>
      </c>
      <c r="O317" t="s">
        <v>86</v>
      </c>
      <c r="P317" t="s">
        <v>87</v>
      </c>
      <c r="Q317" t="s">
        <v>88</v>
      </c>
      <c r="R317" t="s">
        <v>89</v>
      </c>
      <c r="T317" t="s">
        <v>4613</v>
      </c>
      <c r="U317" t="s">
        <v>2657</v>
      </c>
    </row>
    <row r="318" spans="8:21" x14ac:dyDescent="0.25">
      <c r="H318" t="s">
        <v>254</v>
      </c>
      <c r="I318" t="s">
        <v>86</v>
      </c>
      <c r="J318" t="s">
        <v>87</v>
      </c>
      <c r="K318" t="s">
        <v>88</v>
      </c>
      <c r="L318" t="s">
        <v>89</v>
      </c>
      <c r="N318" t="s">
        <v>254</v>
      </c>
      <c r="O318" t="s">
        <v>86</v>
      </c>
      <c r="P318" t="s">
        <v>87</v>
      </c>
      <c r="Q318" t="s">
        <v>88</v>
      </c>
      <c r="R318" t="s">
        <v>89</v>
      </c>
      <c r="T318" t="s">
        <v>5142</v>
      </c>
      <c r="U318" t="s">
        <v>2657</v>
      </c>
    </row>
    <row r="319" spans="8:21" x14ac:dyDescent="0.25">
      <c r="H319" t="s">
        <v>254</v>
      </c>
      <c r="I319" t="s">
        <v>86</v>
      </c>
      <c r="J319" t="s">
        <v>87</v>
      </c>
      <c r="K319" t="s">
        <v>88</v>
      </c>
      <c r="L319" t="s">
        <v>89</v>
      </c>
      <c r="N319" t="s">
        <v>254</v>
      </c>
      <c r="O319" t="s">
        <v>86</v>
      </c>
      <c r="P319" t="s">
        <v>87</v>
      </c>
      <c r="Q319" t="s">
        <v>88</v>
      </c>
      <c r="R319" t="s">
        <v>89</v>
      </c>
      <c r="T319" t="s">
        <v>4526</v>
      </c>
      <c r="U319" t="s">
        <v>2657</v>
      </c>
    </row>
    <row r="320" spans="8:21" x14ac:dyDescent="0.25">
      <c r="H320" t="s">
        <v>254</v>
      </c>
      <c r="I320" t="s">
        <v>86</v>
      </c>
      <c r="J320" t="s">
        <v>87</v>
      </c>
      <c r="K320" t="s">
        <v>88</v>
      </c>
      <c r="L320" t="s">
        <v>89</v>
      </c>
      <c r="N320" t="s">
        <v>254</v>
      </c>
      <c r="O320" t="s">
        <v>86</v>
      </c>
      <c r="P320" t="s">
        <v>87</v>
      </c>
      <c r="Q320" t="s">
        <v>88</v>
      </c>
      <c r="R320" t="s">
        <v>89</v>
      </c>
      <c r="T320" t="s">
        <v>4855</v>
      </c>
      <c r="U320" t="s">
        <v>2657</v>
      </c>
    </row>
    <row r="321" spans="8:21" x14ac:dyDescent="0.25">
      <c r="H321" t="s">
        <v>254</v>
      </c>
      <c r="I321" t="s">
        <v>86</v>
      </c>
      <c r="J321" t="s">
        <v>87</v>
      </c>
      <c r="K321" t="s">
        <v>88</v>
      </c>
      <c r="L321" t="s">
        <v>89</v>
      </c>
      <c r="N321" t="s">
        <v>254</v>
      </c>
      <c r="O321" t="s">
        <v>86</v>
      </c>
      <c r="P321" t="s">
        <v>87</v>
      </c>
      <c r="Q321" t="s">
        <v>88</v>
      </c>
      <c r="R321" t="s">
        <v>89</v>
      </c>
      <c r="T321" t="s">
        <v>4923</v>
      </c>
      <c r="U321" t="s">
        <v>2657</v>
      </c>
    </row>
    <row r="322" spans="8:21" x14ac:dyDescent="0.25">
      <c r="H322" t="s">
        <v>254</v>
      </c>
      <c r="I322" t="s">
        <v>86</v>
      </c>
      <c r="J322" t="s">
        <v>87</v>
      </c>
      <c r="K322" t="s">
        <v>88</v>
      </c>
      <c r="L322" t="s">
        <v>89</v>
      </c>
      <c r="N322" t="s">
        <v>254</v>
      </c>
      <c r="O322" t="s">
        <v>86</v>
      </c>
      <c r="P322" t="s">
        <v>87</v>
      </c>
      <c r="Q322" t="s">
        <v>88</v>
      </c>
      <c r="R322" t="s">
        <v>89</v>
      </c>
      <c r="T322" t="s">
        <v>4870</v>
      </c>
      <c r="U322" t="s">
        <v>2657</v>
      </c>
    </row>
    <row r="323" spans="8:21" x14ac:dyDescent="0.25">
      <c r="H323" t="s">
        <v>254</v>
      </c>
      <c r="I323" t="s">
        <v>86</v>
      </c>
      <c r="J323" t="s">
        <v>87</v>
      </c>
      <c r="K323" t="s">
        <v>88</v>
      </c>
      <c r="L323" t="s">
        <v>89</v>
      </c>
      <c r="N323" t="s">
        <v>254</v>
      </c>
      <c r="O323" t="s">
        <v>86</v>
      </c>
      <c r="P323" t="s">
        <v>87</v>
      </c>
      <c r="Q323" t="s">
        <v>88</v>
      </c>
      <c r="R323" t="s">
        <v>89</v>
      </c>
      <c r="T323" t="s">
        <v>4644</v>
      </c>
      <c r="U323" t="s">
        <v>2657</v>
      </c>
    </row>
    <row r="324" spans="8:21" x14ac:dyDescent="0.25">
      <c r="H324" t="s">
        <v>254</v>
      </c>
      <c r="I324" t="s">
        <v>86</v>
      </c>
      <c r="J324" t="s">
        <v>87</v>
      </c>
      <c r="K324" t="s">
        <v>88</v>
      </c>
      <c r="L324" t="s">
        <v>89</v>
      </c>
      <c r="N324" t="s">
        <v>254</v>
      </c>
      <c r="O324" t="s">
        <v>86</v>
      </c>
      <c r="P324" t="s">
        <v>87</v>
      </c>
      <c r="Q324" t="s">
        <v>88</v>
      </c>
      <c r="R324" t="s">
        <v>89</v>
      </c>
      <c r="T324" t="s">
        <v>4644</v>
      </c>
      <c r="U324" t="s">
        <v>2657</v>
      </c>
    </row>
    <row r="325" spans="8:21" x14ac:dyDescent="0.25">
      <c r="H325" t="s">
        <v>254</v>
      </c>
      <c r="I325" t="s">
        <v>86</v>
      </c>
      <c r="J325" t="s">
        <v>87</v>
      </c>
      <c r="K325" t="s">
        <v>88</v>
      </c>
      <c r="L325" t="s">
        <v>89</v>
      </c>
      <c r="N325" t="s">
        <v>254</v>
      </c>
      <c r="O325" t="s">
        <v>86</v>
      </c>
      <c r="P325" t="s">
        <v>87</v>
      </c>
      <c r="Q325" t="s">
        <v>88</v>
      </c>
      <c r="R325" t="s">
        <v>89</v>
      </c>
      <c r="T325" t="s">
        <v>4617</v>
      </c>
      <c r="U325" t="s">
        <v>2657</v>
      </c>
    </row>
    <row r="326" spans="8:21" x14ac:dyDescent="0.25">
      <c r="H326" t="s">
        <v>254</v>
      </c>
      <c r="I326" t="s">
        <v>86</v>
      </c>
      <c r="J326" t="s">
        <v>87</v>
      </c>
      <c r="K326" t="s">
        <v>88</v>
      </c>
      <c r="L326" t="s">
        <v>89</v>
      </c>
      <c r="N326" t="s">
        <v>254</v>
      </c>
      <c r="O326" t="s">
        <v>86</v>
      </c>
      <c r="P326" t="s">
        <v>87</v>
      </c>
      <c r="Q326" t="s">
        <v>88</v>
      </c>
      <c r="R326" t="s">
        <v>89</v>
      </c>
      <c r="T326" t="s">
        <v>4617</v>
      </c>
      <c r="U326" t="s">
        <v>2657</v>
      </c>
    </row>
    <row r="327" spans="8:21" x14ac:dyDescent="0.25">
      <c r="H327" t="s">
        <v>254</v>
      </c>
      <c r="I327" t="s">
        <v>86</v>
      </c>
      <c r="J327" t="s">
        <v>87</v>
      </c>
      <c r="K327" t="s">
        <v>88</v>
      </c>
      <c r="L327" t="s">
        <v>89</v>
      </c>
      <c r="N327" t="s">
        <v>254</v>
      </c>
      <c r="O327" t="s">
        <v>86</v>
      </c>
      <c r="P327" t="s">
        <v>87</v>
      </c>
      <c r="Q327" t="s">
        <v>88</v>
      </c>
      <c r="R327" t="s">
        <v>89</v>
      </c>
      <c r="T327" t="s">
        <v>4724</v>
      </c>
      <c r="U327" t="s">
        <v>2657</v>
      </c>
    </row>
    <row r="328" spans="8:21" x14ac:dyDescent="0.25">
      <c r="H328" t="s">
        <v>254</v>
      </c>
      <c r="I328" t="s">
        <v>86</v>
      </c>
      <c r="J328" t="s">
        <v>87</v>
      </c>
      <c r="K328" t="s">
        <v>88</v>
      </c>
      <c r="L328" t="s">
        <v>89</v>
      </c>
      <c r="N328" t="s">
        <v>254</v>
      </c>
      <c r="O328" t="s">
        <v>86</v>
      </c>
      <c r="P328" t="s">
        <v>87</v>
      </c>
      <c r="Q328" t="s">
        <v>88</v>
      </c>
      <c r="R328" t="s">
        <v>89</v>
      </c>
      <c r="T328" t="s">
        <v>4724</v>
      </c>
      <c r="U328" t="s">
        <v>2657</v>
      </c>
    </row>
    <row r="329" spans="8:21" x14ac:dyDescent="0.25">
      <c r="H329" t="s">
        <v>254</v>
      </c>
      <c r="I329" t="s">
        <v>86</v>
      </c>
      <c r="J329" t="s">
        <v>87</v>
      </c>
      <c r="K329" t="s">
        <v>88</v>
      </c>
      <c r="L329" t="s">
        <v>89</v>
      </c>
      <c r="N329" t="s">
        <v>254</v>
      </c>
      <c r="O329" t="s">
        <v>86</v>
      </c>
      <c r="P329" t="s">
        <v>87</v>
      </c>
      <c r="Q329" t="s">
        <v>88</v>
      </c>
      <c r="R329" t="s">
        <v>89</v>
      </c>
      <c r="T329" t="s">
        <v>5107</v>
      </c>
      <c r="U329" t="s">
        <v>2657</v>
      </c>
    </row>
    <row r="330" spans="8:21" x14ac:dyDescent="0.25">
      <c r="H330" t="s">
        <v>254</v>
      </c>
      <c r="I330" t="s">
        <v>87</v>
      </c>
      <c r="J330" t="s">
        <v>88</v>
      </c>
      <c r="N330" t="s">
        <v>254</v>
      </c>
      <c r="O330" t="s">
        <v>86</v>
      </c>
      <c r="P330" t="s">
        <v>87</v>
      </c>
      <c r="Q330" t="s">
        <v>88</v>
      </c>
      <c r="R330" t="s">
        <v>89</v>
      </c>
      <c r="T330" t="s">
        <v>2676</v>
      </c>
      <c r="U330" t="s">
        <v>2681</v>
      </c>
    </row>
    <row r="331" spans="8:21" x14ac:dyDescent="0.25">
      <c r="H331" t="s">
        <v>254</v>
      </c>
      <c r="I331" t="s">
        <v>89</v>
      </c>
      <c r="J331" t="s">
        <v>87</v>
      </c>
      <c r="K331" t="s">
        <v>88</v>
      </c>
      <c r="N331" t="s">
        <v>254</v>
      </c>
      <c r="O331" t="s">
        <v>86</v>
      </c>
      <c r="P331" t="s">
        <v>87</v>
      </c>
      <c r="Q331" t="s">
        <v>88</v>
      </c>
      <c r="R331" t="s">
        <v>89</v>
      </c>
      <c r="T331" t="s">
        <v>2676</v>
      </c>
      <c r="U331" t="s">
        <v>2681</v>
      </c>
    </row>
    <row r="332" spans="8:21" x14ac:dyDescent="0.25">
      <c r="H332" t="s">
        <v>254</v>
      </c>
      <c r="I332" t="s">
        <v>86</v>
      </c>
      <c r="J332" t="s">
        <v>87</v>
      </c>
      <c r="K332" t="s">
        <v>88</v>
      </c>
      <c r="L332" t="s">
        <v>89</v>
      </c>
      <c r="N332" t="s">
        <v>254</v>
      </c>
      <c r="O332" t="s">
        <v>86</v>
      </c>
      <c r="P332" t="s">
        <v>87</v>
      </c>
      <c r="Q332" t="s">
        <v>88</v>
      </c>
      <c r="R332" t="s">
        <v>89</v>
      </c>
      <c r="T332" t="s">
        <v>2676</v>
      </c>
      <c r="U332" t="s">
        <v>2681</v>
      </c>
    </row>
    <row r="333" spans="8:21" x14ac:dyDescent="0.25">
      <c r="H333" t="s">
        <v>254</v>
      </c>
      <c r="I333" t="s">
        <v>86</v>
      </c>
      <c r="J333" t="s">
        <v>87</v>
      </c>
      <c r="K333" t="s">
        <v>88</v>
      </c>
      <c r="L333" t="s">
        <v>89</v>
      </c>
      <c r="N333" t="s">
        <v>254</v>
      </c>
      <c r="O333" t="s">
        <v>86</v>
      </c>
      <c r="P333" t="s">
        <v>87</v>
      </c>
      <c r="Q333" t="s">
        <v>88</v>
      </c>
      <c r="R333" t="s">
        <v>89</v>
      </c>
      <c r="T333" t="s">
        <v>2676</v>
      </c>
      <c r="U333" t="s">
        <v>2681</v>
      </c>
    </row>
    <row r="334" spans="8:21" x14ac:dyDescent="0.25">
      <c r="H334" s="180" t="s">
        <v>254</v>
      </c>
      <c r="I334" s="180" t="s">
        <v>89</v>
      </c>
      <c r="J334" s="180"/>
      <c r="K334" s="180"/>
      <c r="L334" s="180"/>
      <c r="N334" t="s">
        <v>254</v>
      </c>
      <c r="O334" t="s">
        <v>86</v>
      </c>
      <c r="P334" t="s">
        <v>87</v>
      </c>
      <c r="Q334" t="s">
        <v>88</v>
      </c>
      <c r="R334" t="s">
        <v>89</v>
      </c>
      <c r="T334" t="s">
        <v>2676</v>
      </c>
      <c r="U334" t="s">
        <v>2681</v>
      </c>
    </row>
    <row r="335" spans="8:21" x14ac:dyDescent="0.25">
      <c r="H335" t="s">
        <v>254</v>
      </c>
      <c r="I335" t="s">
        <v>86</v>
      </c>
      <c r="J335" t="s">
        <v>87</v>
      </c>
      <c r="K335" t="s">
        <v>88</v>
      </c>
      <c r="L335" t="s">
        <v>89</v>
      </c>
      <c r="N335" t="s">
        <v>254</v>
      </c>
      <c r="O335" t="s">
        <v>86</v>
      </c>
      <c r="P335" t="s">
        <v>87</v>
      </c>
      <c r="Q335" t="s">
        <v>88</v>
      </c>
      <c r="R335" t="s">
        <v>89</v>
      </c>
      <c r="T335" t="s">
        <v>2676</v>
      </c>
      <c r="U335" t="s">
        <v>2681</v>
      </c>
    </row>
    <row r="336" spans="8:21" x14ac:dyDescent="0.25">
      <c r="H336" t="s">
        <v>254</v>
      </c>
      <c r="I336" t="s">
        <v>86</v>
      </c>
      <c r="J336" t="s">
        <v>87</v>
      </c>
      <c r="K336" t="s">
        <v>88</v>
      </c>
      <c r="L336" t="s">
        <v>89</v>
      </c>
      <c r="N336" t="s">
        <v>254</v>
      </c>
      <c r="O336" t="s">
        <v>86</v>
      </c>
      <c r="P336" t="s">
        <v>87</v>
      </c>
      <c r="Q336" t="s">
        <v>88</v>
      </c>
      <c r="R336" t="s">
        <v>89</v>
      </c>
      <c r="T336" t="s">
        <v>2676</v>
      </c>
      <c r="U336" t="s">
        <v>2681</v>
      </c>
    </row>
    <row r="337" spans="8:21" x14ac:dyDescent="0.25">
      <c r="H337" t="s">
        <v>254</v>
      </c>
      <c r="I337" t="s">
        <v>86</v>
      </c>
      <c r="J337" t="s">
        <v>87</v>
      </c>
      <c r="K337" t="s">
        <v>88</v>
      </c>
      <c r="L337" t="s">
        <v>89</v>
      </c>
      <c r="N337" t="s">
        <v>254</v>
      </c>
      <c r="O337" t="s">
        <v>86</v>
      </c>
      <c r="P337" t="s">
        <v>87</v>
      </c>
      <c r="Q337" t="s">
        <v>88</v>
      </c>
      <c r="R337" t="s">
        <v>89</v>
      </c>
      <c r="T337" t="s">
        <v>2676</v>
      </c>
      <c r="U337" t="s">
        <v>2681</v>
      </c>
    </row>
    <row r="338" spans="8:21" x14ac:dyDescent="0.25">
      <c r="H338" t="s">
        <v>254</v>
      </c>
      <c r="I338" t="s">
        <v>86</v>
      </c>
      <c r="J338" t="s">
        <v>87</v>
      </c>
      <c r="K338" t="s">
        <v>88</v>
      </c>
      <c r="L338" t="s">
        <v>89</v>
      </c>
      <c r="N338" t="s">
        <v>254</v>
      </c>
      <c r="O338" t="s">
        <v>86</v>
      </c>
      <c r="P338" t="s">
        <v>87</v>
      </c>
      <c r="Q338" t="s">
        <v>88</v>
      </c>
      <c r="R338" t="s">
        <v>89</v>
      </c>
      <c r="T338" t="s">
        <v>5068</v>
      </c>
      <c r="U338" t="s">
        <v>2681</v>
      </c>
    </row>
    <row r="339" spans="8:21" x14ac:dyDescent="0.25">
      <c r="H339" t="s">
        <v>254</v>
      </c>
      <c r="I339" t="s">
        <v>87</v>
      </c>
      <c r="J339" t="s">
        <v>88</v>
      </c>
      <c r="N339" t="s">
        <v>254</v>
      </c>
      <c r="O339" t="s">
        <v>86</v>
      </c>
      <c r="P339" t="s">
        <v>87</v>
      </c>
      <c r="Q339" t="s">
        <v>88</v>
      </c>
      <c r="R339" t="s">
        <v>89</v>
      </c>
      <c r="T339" t="s">
        <v>5094</v>
      </c>
      <c r="U339" t="s">
        <v>2681</v>
      </c>
    </row>
    <row r="340" spans="8:21" x14ac:dyDescent="0.25">
      <c r="H340" t="s">
        <v>254</v>
      </c>
      <c r="I340" t="s">
        <v>86</v>
      </c>
      <c r="J340" t="s">
        <v>87</v>
      </c>
      <c r="K340" t="s">
        <v>88</v>
      </c>
      <c r="L340" t="s">
        <v>89</v>
      </c>
      <c r="N340" t="s">
        <v>254</v>
      </c>
      <c r="O340" t="s">
        <v>86</v>
      </c>
      <c r="P340" t="s">
        <v>87</v>
      </c>
      <c r="Q340" t="s">
        <v>88</v>
      </c>
      <c r="R340" t="s">
        <v>89</v>
      </c>
      <c r="T340" t="s">
        <v>5113</v>
      </c>
      <c r="U340" t="s">
        <v>2681</v>
      </c>
    </row>
    <row r="341" spans="8:21" x14ac:dyDescent="0.25">
      <c r="H341" t="s">
        <v>254</v>
      </c>
      <c r="I341" t="s">
        <v>86</v>
      </c>
      <c r="J341" t="s">
        <v>87</v>
      </c>
      <c r="K341" t="s">
        <v>88</v>
      </c>
      <c r="L341" t="s">
        <v>89</v>
      </c>
      <c r="N341" t="s">
        <v>254</v>
      </c>
      <c r="O341" t="s">
        <v>86</v>
      </c>
      <c r="P341" t="s">
        <v>87</v>
      </c>
      <c r="Q341" t="s">
        <v>88</v>
      </c>
      <c r="R341" t="s">
        <v>89</v>
      </c>
      <c r="T341" t="s">
        <v>5065</v>
      </c>
      <c r="U341" t="s">
        <v>2681</v>
      </c>
    </row>
    <row r="342" spans="8:21" x14ac:dyDescent="0.25">
      <c r="H342" t="s">
        <v>254</v>
      </c>
      <c r="I342" t="s">
        <v>86</v>
      </c>
      <c r="J342" t="s">
        <v>87</v>
      </c>
      <c r="K342" t="s">
        <v>88</v>
      </c>
      <c r="L342" t="s">
        <v>89</v>
      </c>
      <c r="N342" t="s">
        <v>254</v>
      </c>
      <c r="O342" t="s">
        <v>86</v>
      </c>
      <c r="P342" t="s">
        <v>87</v>
      </c>
      <c r="Q342" t="s">
        <v>88</v>
      </c>
      <c r="R342" t="s">
        <v>89</v>
      </c>
      <c r="T342" t="s">
        <v>5199</v>
      </c>
      <c r="U342" t="s">
        <v>2681</v>
      </c>
    </row>
    <row r="343" spans="8:21" x14ac:dyDescent="0.25">
      <c r="H343" t="s">
        <v>254</v>
      </c>
      <c r="I343" t="s">
        <v>86</v>
      </c>
      <c r="J343" t="s">
        <v>87</v>
      </c>
      <c r="K343" t="s">
        <v>88</v>
      </c>
      <c r="L343" t="s">
        <v>89</v>
      </c>
      <c r="N343" t="s">
        <v>254</v>
      </c>
      <c r="O343" t="s">
        <v>86</v>
      </c>
      <c r="P343" t="s">
        <v>87</v>
      </c>
      <c r="Q343" t="s">
        <v>88</v>
      </c>
      <c r="R343" t="s">
        <v>89</v>
      </c>
      <c r="T343" t="s">
        <v>2679</v>
      </c>
      <c r="U343" t="s">
        <v>2682</v>
      </c>
    </row>
    <row r="344" spans="8:21" x14ac:dyDescent="0.25">
      <c r="H344" t="s">
        <v>254</v>
      </c>
      <c r="I344" t="s">
        <v>86</v>
      </c>
      <c r="J344" t="s">
        <v>87</v>
      </c>
      <c r="K344" t="s">
        <v>88</v>
      </c>
      <c r="L344" t="s">
        <v>89</v>
      </c>
      <c r="N344" t="s">
        <v>254</v>
      </c>
      <c r="O344" t="s">
        <v>86</v>
      </c>
      <c r="P344" t="s">
        <v>87</v>
      </c>
      <c r="Q344" t="s">
        <v>88</v>
      </c>
      <c r="R344" t="s">
        <v>89</v>
      </c>
      <c r="T344" t="s">
        <v>2679</v>
      </c>
      <c r="U344" t="s">
        <v>2682</v>
      </c>
    </row>
    <row r="345" spans="8:21" x14ac:dyDescent="0.25">
      <c r="H345" s="180" t="s">
        <v>254</v>
      </c>
      <c r="I345" s="180" t="s">
        <v>88</v>
      </c>
      <c r="J345" s="180"/>
      <c r="K345" s="180"/>
      <c r="L345" s="180"/>
      <c r="N345" t="s">
        <v>254</v>
      </c>
      <c r="O345" t="s">
        <v>86</v>
      </c>
      <c r="P345" t="s">
        <v>87</v>
      </c>
      <c r="Q345" t="s">
        <v>88</v>
      </c>
      <c r="R345" t="s">
        <v>89</v>
      </c>
      <c r="T345" t="s">
        <v>2679</v>
      </c>
      <c r="U345" t="s">
        <v>2682</v>
      </c>
    </row>
    <row r="346" spans="8:21" x14ac:dyDescent="0.25">
      <c r="H346" t="s">
        <v>254</v>
      </c>
      <c r="I346" t="s">
        <v>86</v>
      </c>
      <c r="J346" t="s">
        <v>87</v>
      </c>
      <c r="K346" t="s">
        <v>88</v>
      </c>
      <c r="L346" t="s">
        <v>89</v>
      </c>
      <c r="N346" t="s">
        <v>254</v>
      </c>
      <c r="O346" t="s">
        <v>86</v>
      </c>
      <c r="P346" t="s">
        <v>87</v>
      </c>
      <c r="Q346" t="s">
        <v>88</v>
      </c>
      <c r="R346" t="s">
        <v>89</v>
      </c>
      <c r="T346" t="s">
        <v>5097</v>
      </c>
      <c r="U346" t="s">
        <v>2682</v>
      </c>
    </row>
    <row r="347" spans="8:21" x14ac:dyDescent="0.25">
      <c r="H347" t="s">
        <v>254</v>
      </c>
      <c r="I347" t="s">
        <v>86</v>
      </c>
      <c r="J347" t="s">
        <v>87</v>
      </c>
      <c r="K347" t="s">
        <v>88</v>
      </c>
      <c r="L347" t="s">
        <v>89</v>
      </c>
      <c r="N347" t="s">
        <v>254</v>
      </c>
      <c r="O347" t="s">
        <v>86</v>
      </c>
      <c r="P347" t="s">
        <v>87</v>
      </c>
      <c r="Q347" t="s">
        <v>88</v>
      </c>
      <c r="R347" t="s">
        <v>89</v>
      </c>
      <c r="T347" t="s">
        <v>2674</v>
      </c>
      <c r="U347" t="s">
        <v>2683</v>
      </c>
    </row>
    <row r="348" spans="8:21" x14ac:dyDescent="0.25">
      <c r="H348" t="s">
        <v>254</v>
      </c>
      <c r="I348" t="s">
        <v>86</v>
      </c>
      <c r="J348" t="s">
        <v>87</v>
      </c>
      <c r="K348" t="s">
        <v>88</v>
      </c>
      <c r="L348" t="s">
        <v>89</v>
      </c>
      <c r="N348" t="s">
        <v>254</v>
      </c>
      <c r="O348" t="s">
        <v>86</v>
      </c>
      <c r="P348" t="s">
        <v>87</v>
      </c>
      <c r="Q348" t="s">
        <v>88</v>
      </c>
      <c r="R348" t="s">
        <v>89</v>
      </c>
      <c r="T348" t="s">
        <v>2674</v>
      </c>
      <c r="U348" t="s">
        <v>2683</v>
      </c>
    </row>
    <row r="349" spans="8:21" x14ac:dyDescent="0.25">
      <c r="H349" t="s">
        <v>254</v>
      </c>
      <c r="I349" t="s">
        <v>86</v>
      </c>
      <c r="J349" t="s">
        <v>87</v>
      </c>
      <c r="K349" t="s">
        <v>88</v>
      </c>
      <c r="L349" t="s">
        <v>89</v>
      </c>
      <c r="N349" t="s">
        <v>254</v>
      </c>
      <c r="O349" t="s">
        <v>86</v>
      </c>
      <c r="P349" t="s">
        <v>87</v>
      </c>
      <c r="Q349" t="s">
        <v>88</v>
      </c>
      <c r="R349" t="s">
        <v>89</v>
      </c>
      <c r="T349" t="s">
        <v>2674</v>
      </c>
      <c r="U349" t="s">
        <v>2683</v>
      </c>
    </row>
    <row r="350" spans="8:21" x14ac:dyDescent="0.25">
      <c r="H350" t="s">
        <v>254</v>
      </c>
      <c r="I350" t="s">
        <v>86</v>
      </c>
      <c r="J350" t="s">
        <v>87</v>
      </c>
      <c r="K350" t="s">
        <v>88</v>
      </c>
      <c r="L350" t="s">
        <v>89</v>
      </c>
      <c r="N350" t="s">
        <v>254</v>
      </c>
      <c r="O350" t="s">
        <v>86</v>
      </c>
      <c r="P350" t="s">
        <v>87</v>
      </c>
      <c r="Q350" t="s">
        <v>88</v>
      </c>
      <c r="R350" t="s">
        <v>89</v>
      </c>
      <c r="T350" t="s">
        <v>2674</v>
      </c>
      <c r="U350" t="s">
        <v>2683</v>
      </c>
    </row>
    <row r="351" spans="8:21" x14ac:dyDescent="0.25">
      <c r="H351" t="s">
        <v>254</v>
      </c>
      <c r="I351" t="s">
        <v>86</v>
      </c>
      <c r="J351" t="s">
        <v>87</v>
      </c>
      <c r="K351" t="s">
        <v>88</v>
      </c>
      <c r="L351" t="s">
        <v>89</v>
      </c>
      <c r="N351" t="s">
        <v>254</v>
      </c>
      <c r="O351" t="s">
        <v>86</v>
      </c>
      <c r="P351" t="s">
        <v>87</v>
      </c>
      <c r="Q351" t="s">
        <v>88</v>
      </c>
      <c r="R351" t="s">
        <v>89</v>
      </c>
      <c r="T351" t="s">
        <v>2674</v>
      </c>
      <c r="U351" t="s">
        <v>2683</v>
      </c>
    </row>
    <row r="352" spans="8:21" x14ac:dyDescent="0.25">
      <c r="H352" t="s">
        <v>254</v>
      </c>
      <c r="I352" t="s">
        <v>87</v>
      </c>
      <c r="J352" t="s">
        <v>88</v>
      </c>
      <c r="N352" t="s">
        <v>254</v>
      </c>
      <c r="O352" t="s">
        <v>86</v>
      </c>
      <c r="P352" t="s">
        <v>87</v>
      </c>
      <c r="Q352" t="s">
        <v>88</v>
      </c>
      <c r="R352" t="s">
        <v>89</v>
      </c>
      <c r="T352" t="s">
        <v>2674</v>
      </c>
      <c r="U352" t="s">
        <v>2683</v>
      </c>
    </row>
    <row r="353" spans="8:21" x14ac:dyDescent="0.25">
      <c r="H353" t="s">
        <v>254</v>
      </c>
      <c r="I353" t="s">
        <v>86</v>
      </c>
      <c r="J353" t="s">
        <v>87</v>
      </c>
      <c r="K353" t="s">
        <v>88</v>
      </c>
      <c r="L353" t="s">
        <v>89</v>
      </c>
      <c r="N353" t="s">
        <v>254</v>
      </c>
      <c r="O353" t="s">
        <v>86</v>
      </c>
      <c r="P353" t="s">
        <v>87</v>
      </c>
      <c r="Q353" t="s">
        <v>88</v>
      </c>
      <c r="R353" t="s">
        <v>89</v>
      </c>
      <c r="T353" t="s">
        <v>2674</v>
      </c>
      <c r="U353" t="s">
        <v>2683</v>
      </c>
    </row>
    <row r="354" spans="8:21" x14ac:dyDescent="0.25">
      <c r="H354" t="s">
        <v>254</v>
      </c>
      <c r="I354" t="s">
        <v>86</v>
      </c>
      <c r="J354" t="s">
        <v>87</v>
      </c>
      <c r="K354" t="s">
        <v>88</v>
      </c>
      <c r="L354" t="s">
        <v>89</v>
      </c>
      <c r="N354" t="s">
        <v>254</v>
      </c>
      <c r="O354" t="s">
        <v>86</v>
      </c>
      <c r="P354" t="s">
        <v>87</v>
      </c>
      <c r="Q354" t="s">
        <v>88</v>
      </c>
      <c r="R354" t="s">
        <v>89</v>
      </c>
      <c r="T354" t="s">
        <v>2674</v>
      </c>
      <c r="U354" t="s">
        <v>2683</v>
      </c>
    </row>
    <row r="355" spans="8:21" x14ac:dyDescent="0.25">
      <c r="H355" t="s">
        <v>254</v>
      </c>
      <c r="I355" t="s">
        <v>86</v>
      </c>
      <c r="J355" t="s">
        <v>87</v>
      </c>
      <c r="N355" t="s">
        <v>254</v>
      </c>
      <c r="O355" t="s">
        <v>86</v>
      </c>
      <c r="P355" t="s">
        <v>87</v>
      </c>
      <c r="Q355" t="s">
        <v>88</v>
      </c>
      <c r="R355" t="s">
        <v>89</v>
      </c>
      <c r="T355" t="s">
        <v>2674</v>
      </c>
      <c r="U355" t="s">
        <v>2683</v>
      </c>
    </row>
    <row r="356" spans="8:21" x14ac:dyDescent="0.25">
      <c r="H356" t="s">
        <v>254</v>
      </c>
      <c r="I356" t="s">
        <v>86</v>
      </c>
      <c r="J356" t="s">
        <v>87</v>
      </c>
      <c r="K356" t="s">
        <v>88</v>
      </c>
      <c r="L356" t="s">
        <v>89</v>
      </c>
      <c r="N356" t="s">
        <v>254</v>
      </c>
      <c r="O356" t="s">
        <v>86</v>
      </c>
      <c r="P356" t="s">
        <v>87</v>
      </c>
      <c r="Q356" t="s">
        <v>88</v>
      </c>
      <c r="R356" t="s">
        <v>89</v>
      </c>
      <c r="T356" t="s">
        <v>2674</v>
      </c>
      <c r="U356" t="s">
        <v>2683</v>
      </c>
    </row>
    <row r="357" spans="8:21" x14ac:dyDescent="0.25">
      <c r="H357" t="s">
        <v>254</v>
      </c>
      <c r="I357" t="s">
        <v>86</v>
      </c>
      <c r="J357" t="s">
        <v>87</v>
      </c>
      <c r="K357" t="s">
        <v>88</v>
      </c>
      <c r="L357" t="s">
        <v>89</v>
      </c>
      <c r="N357" t="s">
        <v>254</v>
      </c>
      <c r="O357" t="s">
        <v>86</v>
      </c>
      <c r="P357" t="s">
        <v>87</v>
      </c>
      <c r="Q357" t="s">
        <v>88</v>
      </c>
      <c r="R357" t="s">
        <v>89</v>
      </c>
      <c r="T357" t="s">
        <v>2674</v>
      </c>
      <c r="U357" t="s">
        <v>2683</v>
      </c>
    </row>
    <row r="358" spans="8:21" x14ac:dyDescent="0.25">
      <c r="H358" t="s">
        <v>254</v>
      </c>
      <c r="I358" t="s">
        <v>86</v>
      </c>
      <c r="J358" t="s">
        <v>87</v>
      </c>
      <c r="K358" t="s">
        <v>88</v>
      </c>
      <c r="L358" t="s">
        <v>89</v>
      </c>
      <c r="N358" t="s">
        <v>254</v>
      </c>
      <c r="O358" t="s">
        <v>86</v>
      </c>
      <c r="P358" t="s">
        <v>87</v>
      </c>
      <c r="Q358" t="s">
        <v>88</v>
      </c>
      <c r="R358" t="s">
        <v>89</v>
      </c>
      <c r="T358" t="s">
        <v>2674</v>
      </c>
      <c r="U358" t="s">
        <v>2683</v>
      </c>
    </row>
    <row r="359" spans="8:21" x14ac:dyDescent="0.25">
      <c r="H359" t="s">
        <v>254</v>
      </c>
      <c r="I359" t="s">
        <v>86</v>
      </c>
      <c r="J359" t="s">
        <v>87</v>
      </c>
      <c r="K359" t="s">
        <v>88</v>
      </c>
      <c r="L359" t="s">
        <v>89</v>
      </c>
      <c r="N359" t="s">
        <v>254</v>
      </c>
      <c r="O359" t="s">
        <v>86</v>
      </c>
      <c r="P359" t="s">
        <v>87</v>
      </c>
      <c r="Q359" t="s">
        <v>88</v>
      </c>
      <c r="R359" t="s">
        <v>89</v>
      </c>
      <c r="T359" t="s">
        <v>2674</v>
      </c>
      <c r="U359" t="s">
        <v>2683</v>
      </c>
    </row>
    <row r="360" spans="8:21" x14ac:dyDescent="0.25">
      <c r="H360" t="s">
        <v>254</v>
      </c>
      <c r="I360" t="s">
        <v>86</v>
      </c>
      <c r="J360" t="s">
        <v>87</v>
      </c>
      <c r="K360" t="s">
        <v>88</v>
      </c>
      <c r="L360" t="s">
        <v>89</v>
      </c>
      <c r="N360" t="s">
        <v>254</v>
      </c>
      <c r="O360" t="s">
        <v>86</v>
      </c>
      <c r="P360" t="s">
        <v>87</v>
      </c>
      <c r="Q360" t="s">
        <v>88</v>
      </c>
      <c r="R360" t="s">
        <v>89</v>
      </c>
      <c r="T360" t="s">
        <v>5186</v>
      </c>
      <c r="U360" t="s">
        <v>2683</v>
      </c>
    </row>
    <row r="361" spans="8:21" x14ac:dyDescent="0.25">
      <c r="H361" t="s">
        <v>254</v>
      </c>
      <c r="I361" t="s">
        <v>86</v>
      </c>
      <c r="J361" t="s">
        <v>87</v>
      </c>
      <c r="K361" t="s">
        <v>88</v>
      </c>
      <c r="L361" t="s">
        <v>89</v>
      </c>
      <c r="N361" t="s">
        <v>254</v>
      </c>
      <c r="O361" t="s">
        <v>86</v>
      </c>
      <c r="P361" t="s">
        <v>87</v>
      </c>
      <c r="Q361" t="s">
        <v>88</v>
      </c>
      <c r="R361" t="s">
        <v>89</v>
      </c>
      <c r="T361" t="s">
        <v>46</v>
      </c>
      <c r="U361" t="s">
        <v>24</v>
      </c>
    </row>
    <row r="362" spans="8:21" x14ac:dyDescent="0.25">
      <c r="H362" t="s">
        <v>254</v>
      </c>
      <c r="I362" t="s">
        <v>86</v>
      </c>
      <c r="J362" t="s">
        <v>87</v>
      </c>
      <c r="K362" t="s">
        <v>88</v>
      </c>
      <c r="L362" t="s">
        <v>89</v>
      </c>
      <c r="N362" t="s">
        <v>254</v>
      </c>
      <c r="O362" t="s">
        <v>86</v>
      </c>
      <c r="P362" t="s">
        <v>87</v>
      </c>
      <c r="Q362" t="s">
        <v>88</v>
      </c>
      <c r="R362" t="s">
        <v>89</v>
      </c>
      <c r="T362" t="s">
        <v>46</v>
      </c>
      <c r="U362" t="s">
        <v>24</v>
      </c>
    </row>
    <row r="363" spans="8:21" x14ac:dyDescent="0.25">
      <c r="H363" t="s">
        <v>254</v>
      </c>
      <c r="I363" t="s">
        <v>86</v>
      </c>
      <c r="J363" t="s">
        <v>87</v>
      </c>
      <c r="K363" t="s">
        <v>88</v>
      </c>
      <c r="L363" t="s">
        <v>89</v>
      </c>
      <c r="N363" t="s">
        <v>254</v>
      </c>
      <c r="O363" t="s">
        <v>86</v>
      </c>
      <c r="P363" t="s">
        <v>87</v>
      </c>
      <c r="Q363" t="s">
        <v>88</v>
      </c>
      <c r="R363" t="s">
        <v>89</v>
      </c>
      <c r="T363" t="s">
        <v>46</v>
      </c>
      <c r="U363" t="s">
        <v>24</v>
      </c>
    </row>
    <row r="364" spans="8:21" x14ac:dyDescent="0.25">
      <c r="H364" t="s">
        <v>254</v>
      </c>
      <c r="I364" t="s">
        <v>86</v>
      </c>
      <c r="J364" t="s">
        <v>87</v>
      </c>
      <c r="K364" t="s">
        <v>88</v>
      </c>
      <c r="L364" t="s">
        <v>89</v>
      </c>
      <c r="N364" t="s">
        <v>254</v>
      </c>
      <c r="O364" t="s">
        <v>86</v>
      </c>
      <c r="P364" t="s">
        <v>87</v>
      </c>
      <c r="Q364" t="s">
        <v>88</v>
      </c>
      <c r="R364" t="s">
        <v>89</v>
      </c>
      <c r="T364" t="s">
        <v>46</v>
      </c>
      <c r="U364" t="s">
        <v>24</v>
      </c>
    </row>
    <row r="365" spans="8:21" x14ac:dyDescent="0.25">
      <c r="H365" t="s">
        <v>254</v>
      </c>
      <c r="I365" t="s">
        <v>86</v>
      </c>
      <c r="J365" t="s">
        <v>87</v>
      </c>
      <c r="K365" t="s">
        <v>88</v>
      </c>
      <c r="L365" t="s">
        <v>89</v>
      </c>
      <c r="N365" t="s">
        <v>254</v>
      </c>
      <c r="O365" t="s">
        <v>86</v>
      </c>
      <c r="P365" t="s">
        <v>87</v>
      </c>
      <c r="Q365" t="s">
        <v>88</v>
      </c>
      <c r="R365" t="s">
        <v>89</v>
      </c>
      <c r="T365" t="s">
        <v>46</v>
      </c>
      <c r="U365" t="s">
        <v>24</v>
      </c>
    </row>
    <row r="366" spans="8:21" x14ac:dyDescent="0.25">
      <c r="H366" t="s">
        <v>254</v>
      </c>
      <c r="I366" t="s">
        <v>86</v>
      </c>
      <c r="J366" t="s">
        <v>87</v>
      </c>
      <c r="K366" t="s">
        <v>88</v>
      </c>
      <c r="L366" t="s">
        <v>89</v>
      </c>
      <c r="N366" t="s">
        <v>254</v>
      </c>
      <c r="O366" t="s">
        <v>86</v>
      </c>
      <c r="P366" t="s">
        <v>87</v>
      </c>
      <c r="Q366" t="s">
        <v>88</v>
      </c>
      <c r="R366" t="s">
        <v>89</v>
      </c>
      <c r="T366" t="s">
        <v>46</v>
      </c>
      <c r="U366" t="s">
        <v>24</v>
      </c>
    </row>
    <row r="367" spans="8:21" x14ac:dyDescent="0.25">
      <c r="H367" t="s">
        <v>254</v>
      </c>
      <c r="I367" t="s">
        <v>86</v>
      </c>
      <c r="J367" t="s">
        <v>87</v>
      </c>
      <c r="K367" t="s">
        <v>88</v>
      </c>
      <c r="L367" t="s">
        <v>89</v>
      </c>
      <c r="N367" t="s">
        <v>254</v>
      </c>
      <c r="O367" t="s">
        <v>86</v>
      </c>
      <c r="P367" t="s">
        <v>87</v>
      </c>
      <c r="Q367" t="s">
        <v>88</v>
      </c>
      <c r="R367" t="s">
        <v>89</v>
      </c>
      <c r="T367" t="s">
        <v>46</v>
      </c>
      <c r="U367" t="s">
        <v>24</v>
      </c>
    </row>
    <row r="368" spans="8:21" x14ac:dyDescent="0.25">
      <c r="H368" t="s">
        <v>254</v>
      </c>
      <c r="I368" t="s">
        <v>86</v>
      </c>
      <c r="J368" t="s">
        <v>87</v>
      </c>
      <c r="K368" t="s">
        <v>88</v>
      </c>
      <c r="L368" t="s">
        <v>89</v>
      </c>
      <c r="N368" t="s">
        <v>254</v>
      </c>
      <c r="O368" t="s">
        <v>86</v>
      </c>
      <c r="P368" t="s">
        <v>87</v>
      </c>
      <c r="Q368" t="s">
        <v>88</v>
      </c>
      <c r="R368" t="s">
        <v>89</v>
      </c>
      <c r="T368" t="s">
        <v>46</v>
      </c>
      <c r="U368" t="s">
        <v>24</v>
      </c>
    </row>
    <row r="369" spans="8:21" x14ac:dyDescent="0.25">
      <c r="H369" t="s">
        <v>254</v>
      </c>
      <c r="I369" t="s">
        <v>86</v>
      </c>
      <c r="J369" t="s">
        <v>87</v>
      </c>
      <c r="K369" t="s">
        <v>88</v>
      </c>
      <c r="L369" t="s">
        <v>89</v>
      </c>
      <c r="N369" t="s">
        <v>254</v>
      </c>
      <c r="O369" t="s">
        <v>86</v>
      </c>
      <c r="P369" t="s">
        <v>87</v>
      </c>
      <c r="Q369" t="s">
        <v>88</v>
      </c>
      <c r="R369" t="s">
        <v>89</v>
      </c>
      <c r="T369" t="s">
        <v>46</v>
      </c>
      <c r="U369" t="s">
        <v>24</v>
      </c>
    </row>
    <row r="370" spans="8:21" x14ac:dyDescent="0.25">
      <c r="H370" t="s">
        <v>254</v>
      </c>
      <c r="I370" t="s">
        <v>87</v>
      </c>
      <c r="J370" t="s">
        <v>88</v>
      </c>
      <c r="N370" t="s">
        <v>254</v>
      </c>
      <c r="O370" t="s">
        <v>86</v>
      </c>
      <c r="P370" t="s">
        <v>87</v>
      </c>
      <c r="Q370" t="s">
        <v>88</v>
      </c>
      <c r="R370" t="s">
        <v>89</v>
      </c>
      <c r="T370" t="s">
        <v>46</v>
      </c>
      <c r="U370" t="s">
        <v>24</v>
      </c>
    </row>
    <row r="371" spans="8:21" x14ac:dyDescent="0.25">
      <c r="H371" t="s">
        <v>254</v>
      </c>
      <c r="I371" t="s">
        <v>86</v>
      </c>
      <c r="J371" t="s">
        <v>87</v>
      </c>
      <c r="N371" t="s">
        <v>254</v>
      </c>
      <c r="O371" t="s">
        <v>86</v>
      </c>
      <c r="P371" t="s">
        <v>87</v>
      </c>
      <c r="Q371" t="s">
        <v>88</v>
      </c>
      <c r="R371" t="s">
        <v>89</v>
      </c>
      <c r="T371" t="s">
        <v>46</v>
      </c>
      <c r="U371" t="s">
        <v>24</v>
      </c>
    </row>
    <row r="372" spans="8:21" x14ac:dyDescent="0.25">
      <c r="H372" t="s">
        <v>254</v>
      </c>
      <c r="I372" t="s">
        <v>88</v>
      </c>
      <c r="J372" t="s">
        <v>87</v>
      </c>
      <c r="K372" t="s">
        <v>89</v>
      </c>
      <c r="N372" t="s">
        <v>5998</v>
      </c>
      <c r="O372" t="s">
        <v>86</v>
      </c>
      <c r="P372" t="s">
        <v>87</v>
      </c>
      <c r="Q372" t="s">
        <v>88</v>
      </c>
      <c r="R372" t="s">
        <v>89</v>
      </c>
      <c r="T372" t="s">
        <v>46</v>
      </c>
      <c r="U372" t="s">
        <v>24</v>
      </c>
    </row>
    <row r="373" spans="8:21" x14ac:dyDescent="0.25">
      <c r="H373" t="s">
        <v>254</v>
      </c>
      <c r="I373" t="s">
        <v>86</v>
      </c>
      <c r="J373" t="s">
        <v>87</v>
      </c>
      <c r="K373" t="s">
        <v>88</v>
      </c>
      <c r="L373" t="s">
        <v>89</v>
      </c>
      <c r="N373" t="s">
        <v>7032</v>
      </c>
      <c r="O373" t="s">
        <v>86</v>
      </c>
      <c r="P373" t="s">
        <v>87</v>
      </c>
      <c r="Q373" t="s">
        <v>88</v>
      </c>
      <c r="R373" t="s">
        <v>89</v>
      </c>
      <c r="T373" t="s">
        <v>46</v>
      </c>
      <c r="U373" t="s">
        <v>24</v>
      </c>
    </row>
    <row r="374" spans="8:21" x14ac:dyDescent="0.25">
      <c r="H374" t="s">
        <v>254</v>
      </c>
      <c r="I374" t="s">
        <v>86</v>
      </c>
      <c r="J374" t="s">
        <v>87</v>
      </c>
      <c r="K374" t="s">
        <v>88</v>
      </c>
      <c r="L374" t="s">
        <v>89</v>
      </c>
      <c r="N374" t="s">
        <v>6433</v>
      </c>
      <c r="O374" t="s">
        <v>86</v>
      </c>
      <c r="P374" t="s">
        <v>87</v>
      </c>
      <c r="Q374" t="s">
        <v>88</v>
      </c>
      <c r="R374" t="s">
        <v>89</v>
      </c>
      <c r="T374" t="s">
        <v>46</v>
      </c>
      <c r="U374" t="s">
        <v>24</v>
      </c>
    </row>
    <row r="375" spans="8:21" x14ac:dyDescent="0.25">
      <c r="H375" t="s">
        <v>254</v>
      </c>
      <c r="I375" t="s">
        <v>86</v>
      </c>
      <c r="J375" t="s">
        <v>87</v>
      </c>
      <c r="K375" t="s">
        <v>88</v>
      </c>
      <c r="L375" t="s">
        <v>89</v>
      </c>
      <c r="N375" t="s">
        <v>7214</v>
      </c>
      <c r="O375" t="s">
        <v>86</v>
      </c>
      <c r="P375" t="s">
        <v>87</v>
      </c>
      <c r="Q375" t="s">
        <v>88</v>
      </c>
      <c r="R375" t="s">
        <v>89</v>
      </c>
      <c r="T375" t="s">
        <v>46</v>
      </c>
      <c r="U375" t="s">
        <v>24</v>
      </c>
    </row>
    <row r="376" spans="8:21" x14ac:dyDescent="0.25">
      <c r="H376" t="s">
        <v>254</v>
      </c>
      <c r="I376" t="s">
        <v>86</v>
      </c>
      <c r="J376" t="s">
        <v>87</v>
      </c>
      <c r="K376" t="s">
        <v>88</v>
      </c>
      <c r="L376" t="s">
        <v>89</v>
      </c>
      <c r="N376" t="s">
        <v>7214</v>
      </c>
      <c r="O376" t="s">
        <v>86</v>
      </c>
      <c r="P376" t="s">
        <v>87</v>
      </c>
      <c r="Q376" t="s">
        <v>88</v>
      </c>
      <c r="R376" t="s">
        <v>89</v>
      </c>
      <c r="T376" t="s">
        <v>46</v>
      </c>
      <c r="U376" t="s">
        <v>24</v>
      </c>
    </row>
    <row r="377" spans="8:21" x14ac:dyDescent="0.25">
      <c r="H377" t="s">
        <v>254</v>
      </c>
      <c r="I377" t="s">
        <v>87</v>
      </c>
      <c r="J377" t="s">
        <v>88</v>
      </c>
      <c r="N377" t="s">
        <v>7707</v>
      </c>
      <c r="O377" t="s">
        <v>86</v>
      </c>
      <c r="P377" t="s">
        <v>87</v>
      </c>
      <c r="Q377" t="s">
        <v>88</v>
      </c>
      <c r="R377" t="s">
        <v>89</v>
      </c>
      <c r="T377" t="s">
        <v>46</v>
      </c>
      <c r="U377" t="s">
        <v>24</v>
      </c>
    </row>
    <row r="378" spans="8:21" x14ac:dyDescent="0.25">
      <c r="H378" t="s">
        <v>254</v>
      </c>
      <c r="I378" t="s">
        <v>86</v>
      </c>
      <c r="J378" t="s">
        <v>87</v>
      </c>
      <c r="K378" t="s">
        <v>88</v>
      </c>
      <c r="L378" t="s">
        <v>89</v>
      </c>
      <c r="N378" t="s">
        <v>7276</v>
      </c>
      <c r="O378" t="s">
        <v>86</v>
      </c>
      <c r="P378" t="s">
        <v>87</v>
      </c>
      <c r="Q378" t="s">
        <v>88</v>
      </c>
      <c r="R378" t="s">
        <v>89</v>
      </c>
      <c r="T378" t="s">
        <v>46</v>
      </c>
      <c r="U378" t="s">
        <v>24</v>
      </c>
    </row>
    <row r="379" spans="8:21" x14ac:dyDescent="0.25">
      <c r="H379" t="s">
        <v>254</v>
      </c>
      <c r="I379" t="s">
        <v>86</v>
      </c>
      <c r="J379" t="s">
        <v>87</v>
      </c>
      <c r="K379" t="s">
        <v>88</v>
      </c>
      <c r="L379" t="s">
        <v>89</v>
      </c>
      <c r="N379" t="s">
        <v>7540</v>
      </c>
      <c r="O379" t="s">
        <v>86</v>
      </c>
      <c r="P379" t="s">
        <v>87</v>
      </c>
      <c r="Q379" t="s">
        <v>88</v>
      </c>
      <c r="R379" t="s">
        <v>89</v>
      </c>
      <c r="T379" t="s">
        <v>46</v>
      </c>
      <c r="U379" t="s">
        <v>24</v>
      </c>
    </row>
    <row r="380" spans="8:21" x14ac:dyDescent="0.25">
      <c r="H380" t="s">
        <v>254</v>
      </c>
      <c r="I380" t="s">
        <v>86</v>
      </c>
      <c r="J380" t="s">
        <v>87</v>
      </c>
      <c r="K380" t="s">
        <v>88</v>
      </c>
      <c r="L380" t="s">
        <v>89</v>
      </c>
      <c r="N380" t="s">
        <v>7409</v>
      </c>
      <c r="O380" t="s">
        <v>86</v>
      </c>
      <c r="P380" t="s">
        <v>87</v>
      </c>
      <c r="Q380" t="s">
        <v>88</v>
      </c>
      <c r="R380" t="s">
        <v>89</v>
      </c>
      <c r="T380" t="s">
        <v>46</v>
      </c>
      <c r="U380" t="s">
        <v>24</v>
      </c>
    </row>
    <row r="381" spans="8:21" x14ac:dyDescent="0.25">
      <c r="H381" t="s">
        <v>254</v>
      </c>
      <c r="I381" t="s">
        <v>86</v>
      </c>
      <c r="J381" t="s">
        <v>87</v>
      </c>
      <c r="K381" t="s">
        <v>88</v>
      </c>
      <c r="L381" t="s">
        <v>89</v>
      </c>
      <c r="N381" t="s">
        <v>7545</v>
      </c>
      <c r="O381" t="s">
        <v>86</v>
      </c>
      <c r="P381" t="s">
        <v>87</v>
      </c>
      <c r="Q381" t="s">
        <v>88</v>
      </c>
      <c r="R381" t="s">
        <v>89</v>
      </c>
      <c r="T381" t="s">
        <v>46</v>
      </c>
      <c r="U381" t="s">
        <v>24</v>
      </c>
    </row>
    <row r="382" spans="8:21" x14ac:dyDescent="0.25">
      <c r="H382" t="s">
        <v>254</v>
      </c>
      <c r="I382" t="s">
        <v>86</v>
      </c>
      <c r="J382" t="s">
        <v>87</v>
      </c>
      <c r="K382" t="s">
        <v>88</v>
      </c>
      <c r="L382" t="s">
        <v>89</v>
      </c>
      <c r="N382" t="s">
        <v>7020</v>
      </c>
      <c r="O382" t="s">
        <v>86</v>
      </c>
      <c r="P382" t="s">
        <v>87</v>
      </c>
      <c r="Q382" t="s">
        <v>88</v>
      </c>
      <c r="R382" t="s">
        <v>89</v>
      </c>
      <c r="T382" t="s">
        <v>46</v>
      </c>
      <c r="U382" t="s">
        <v>24</v>
      </c>
    </row>
    <row r="383" spans="8:21" x14ac:dyDescent="0.25">
      <c r="H383" t="s">
        <v>254</v>
      </c>
      <c r="I383" t="s">
        <v>86</v>
      </c>
      <c r="J383" t="s">
        <v>87</v>
      </c>
      <c r="K383" t="s">
        <v>88</v>
      </c>
      <c r="L383" t="s">
        <v>89</v>
      </c>
      <c r="N383" t="s">
        <v>6920</v>
      </c>
      <c r="O383" t="s">
        <v>86</v>
      </c>
      <c r="P383" t="s">
        <v>87</v>
      </c>
      <c r="Q383" t="s">
        <v>88</v>
      </c>
      <c r="R383" t="s">
        <v>89</v>
      </c>
      <c r="T383" t="s">
        <v>46</v>
      </c>
      <c r="U383" t="s">
        <v>24</v>
      </c>
    </row>
    <row r="384" spans="8:21" x14ac:dyDescent="0.25">
      <c r="H384" t="s">
        <v>254</v>
      </c>
      <c r="I384" t="s">
        <v>86</v>
      </c>
      <c r="J384" t="s">
        <v>87</v>
      </c>
      <c r="K384" t="s">
        <v>88</v>
      </c>
      <c r="L384" t="s">
        <v>89</v>
      </c>
      <c r="N384" t="s">
        <v>61</v>
      </c>
      <c r="O384" t="s">
        <v>56</v>
      </c>
      <c r="T384" t="s">
        <v>46</v>
      </c>
      <c r="U384" t="s">
        <v>24</v>
      </c>
    </row>
    <row r="385" spans="8:21" x14ac:dyDescent="0.25">
      <c r="H385" t="s">
        <v>254</v>
      </c>
      <c r="I385" t="s">
        <v>86</v>
      </c>
      <c r="J385" t="s">
        <v>87</v>
      </c>
      <c r="K385" t="s">
        <v>88</v>
      </c>
      <c r="L385" t="s">
        <v>89</v>
      </c>
      <c r="N385" t="s">
        <v>61</v>
      </c>
      <c r="O385" t="s">
        <v>56</v>
      </c>
      <c r="T385" t="s">
        <v>4861</v>
      </c>
      <c r="U385" t="s">
        <v>24</v>
      </c>
    </row>
    <row r="386" spans="8:21" x14ac:dyDescent="0.25">
      <c r="H386" t="s">
        <v>254</v>
      </c>
      <c r="I386" t="s">
        <v>86</v>
      </c>
      <c r="J386" t="s">
        <v>87</v>
      </c>
      <c r="K386" t="s">
        <v>88</v>
      </c>
      <c r="L386" t="s">
        <v>89</v>
      </c>
      <c r="N386" t="s">
        <v>61</v>
      </c>
      <c r="O386" t="s">
        <v>56</v>
      </c>
      <c r="T386" t="s">
        <v>4941</v>
      </c>
      <c r="U386" t="s">
        <v>24</v>
      </c>
    </row>
    <row r="387" spans="8:21" x14ac:dyDescent="0.25">
      <c r="H387" t="s">
        <v>254</v>
      </c>
      <c r="I387" t="s">
        <v>88</v>
      </c>
      <c r="J387" t="s">
        <v>89</v>
      </c>
      <c r="N387" t="s">
        <v>61</v>
      </c>
      <c r="O387" t="s">
        <v>56</v>
      </c>
      <c r="T387" t="s">
        <v>4794</v>
      </c>
      <c r="U387" t="s">
        <v>24</v>
      </c>
    </row>
    <row r="388" spans="8:21" x14ac:dyDescent="0.25">
      <c r="H388" t="s">
        <v>254</v>
      </c>
      <c r="I388" t="s">
        <v>86</v>
      </c>
      <c r="J388" t="s">
        <v>87</v>
      </c>
      <c r="K388" t="s">
        <v>88</v>
      </c>
      <c r="L388" t="s">
        <v>89</v>
      </c>
      <c r="N388" t="s">
        <v>62</v>
      </c>
      <c r="O388" t="s">
        <v>57</v>
      </c>
      <c r="T388" t="s">
        <v>39</v>
      </c>
      <c r="U388" t="s">
        <v>33</v>
      </c>
    </row>
    <row r="389" spans="8:21" x14ac:dyDescent="0.25">
      <c r="H389" t="s">
        <v>254</v>
      </c>
      <c r="I389" t="s">
        <v>86</v>
      </c>
      <c r="J389" t="s">
        <v>87</v>
      </c>
      <c r="K389" t="s">
        <v>88</v>
      </c>
      <c r="L389" t="s">
        <v>89</v>
      </c>
      <c r="N389" t="s">
        <v>62</v>
      </c>
      <c r="O389" t="s">
        <v>57</v>
      </c>
      <c r="T389" t="s">
        <v>39</v>
      </c>
      <c r="U389" t="s">
        <v>33</v>
      </c>
    </row>
    <row r="390" spans="8:21" x14ac:dyDescent="0.25">
      <c r="H390" t="s">
        <v>254</v>
      </c>
      <c r="I390" t="s">
        <v>86</v>
      </c>
      <c r="J390" t="s">
        <v>87</v>
      </c>
      <c r="K390" t="s">
        <v>88</v>
      </c>
      <c r="L390" t="s">
        <v>89</v>
      </c>
      <c r="N390" t="s">
        <v>6946</v>
      </c>
      <c r="O390" t="s">
        <v>56</v>
      </c>
      <c r="T390" t="s">
        <v>39</v>
      </c>
      <c r="U390" t="s">
        <v>33</v>
      </c>
    </row>
    <row r="391" spans="8:21" x14ac:dyDescent="0.25">
      <c r="H391" t="s">
        <v>254</v>
      </c>
      <c r="I391" t="s">
        <v>86</v>
      </c>
      <c r="J391" t="s">
        <v>87</v>
      </c>
      <c r="K391" t="s">
        <v>88</v>
      </c>
      <c r="L391" t="s">
        <v>89</v>
      </c>
      <c r="N391" t="s">
        <v>7052</v>
      </c>
      <c r="O391" t="s">
        <v>56</v>
      </c>
      <c r="T391" t="s">
        <v>39</v>
      </c>
      <c r="U391" t="s">
        <v>33</v>
      </c>
    </row>
    <row r="392" spans="8:21" x14ac:dyDescent="0.25">
      <c r="H392" t="s">
        <v>5998</v>
      </c>
      <c r="I392" t="s">
        <v>86</v>
      </c>
      <c r="J392" t="s">
        <v>87</v>
      </c>
      <c r="K392" t="s">
        <v>88</v>
      </c>
      <c r="L392" t="s">
        <v>89</v>
      </c>
      <c r="N392" t="s">
        <v>7365</v>
      </c>
      <c r="O392" t="s">
        <v>56</v>
      </c>
      <c r="T392" t="s">
        <v>39</v>
      </c>
      <c r="U392" t="s">
        <v>33</v>
      </c>
    </row>
    <row r="393" spans="8:21" x14ac:dyDescent="0.25">
      <c r="H393" t="s">
        <v>5214</v>
      </c>
      <c r="I393" t="s">
        <v>86</v>
      </c>
      <c r="J393" t="s">
        <v>87</v>
      </c>
      <c r="K393" t="s">
        <v>88</v>
      </c>
      <c r="L393" t="s">
        <v>89</v>
      </c>
      <c r="N393" t="s">
        <v>7598</v>
      </c>
      <c r="O393" t="s">
        <v>56</v>
      </c>
      <c r="T393" t="s">
        <v>39</v>
      </c>
      <c r="U393" t="s">
        <v>33</v>
      </c>
    </row>
    <row r="394" spans="8:21" x14ac:dyDescent="0.25">
      <c r="H394" t="s">
        <v>5214</v>
      </c>
      <c r="I394" t="s">
        <v>86</v>
      </c>
      <c r="J394" t="s">
        <v>87</v>
      </c>
      <c r="K394" t="s">
        <v>88</v>
      </c>
      <c r="L394" t="s">
        <v>89</v>
      </c>
      <c r="N394" t="s">
        <v>7858</v>
      </c>
      <c r="O394" t="s">
        <v>56</v>
      </c>
      <c r="T394" t="s">
        <v>256</v>
      </c>
      <c r="U394" t="s">
        <v>260</v>
      </c>
    </row>
    <row r="395" spans="8:21" x14ac:dyDescent="0.25">
      <c r="H395" t="s">
        <v>5214</v>
      </c>
      <c r="I395" t="s">
        <v>86</v>
      </c>
      <c r="J395" t="s">
        <v>87</v>
      </c>
      <c r="K395" t="s">
        <v>88</v>
      </c>
      <c r="L395" t="s">
        <v>89</v>
      </c>
      <c r="N395" t="s">
        <v>7914</v>
      </c>
      <c r="O395" t="s">
        <v>56</v>
      </c>
      <c r="T395" t="s">
        <v>256</v>
      </c>
      <c r="U395" t="s">
        <v>260</v>
      </c>
    </row>
    <row r="396" spans="8:21" x14ac:dyDescent="0.25">
      <c r="H396" t="s">
        <v>5214</v>
      </c>
      <c r="I396" t="s">
        <v>86</v>
      </c>
      <c r="J396" t="s">
        <v>87</v>
      </c>
      <c r="K396" t="s">
        <v>88</v>
      </c>
      <c r="L396" t="s">
        <v>89</v>
      </c>
      <c r="N396" t="s">
        <v>7069</v>
      </c>
      <c r="O396" t="s">
        <v>56</v>
      </c>
      <c r="T396" t="s">
        <v>256</v>
      </c>
      <c r="U396" t="s">
        <v>260</v>
      </c>
    </row>
    <row r="397" spans="8:21" x14ac:dyDescent="0.25">
      <c r="H397" t="s">
        <v>5214</v>
      </c>
      <c r="I397" t="s">
        <v>86</v>
      </c>
      <c r="J397" t="s">
        <v>87</v>
      </c>
      <c r="K397" t="s">
        <v>88</v>
      </c>
      <c r="L397" t="s">
        <v>89</v>
      </c>
      <c r="N397" t="s">
        <v>7347</v>
      </c>
      <c r="O397" t="s">
        <v>56</v>
      </c>
      <c r="T397" t="s">
        <v>256</v>
      </c>
      <c r="U397" t="s">
        <v>260</v>
      </c>
    </row>
    <row r="398" spans="8:21" x14ac:dyDescent="0.25">
      <c r="H398" t="s">
        <v>6546</v>
      </c>
      <c r="I398" t="s">
        <v>86</v>
      </c>
      <c r="J398" t="s">
        <v>87</v>
      </c>
      <c r="K398" t="s">
        <v>88</v>
      </c>
      <c r="L398" t="s">
        <v>89</v>
      </c>
      <c r="N398" t="s">
        <v>7846</v>
      </c>
      <c r="O398" t="s">
        <v>56</v>
      </c>
      <c r="T398" t="s">
        <v>256</v>
      </c>
      <c r="U398" t="s">
        <v>260</v>
      </c>
    </row>
    <row r="399" spans="8:21" x14ac:dyDescent="0.25">
      <c r="H399" t="s">
        <v>6433</v>
      </c>
      <c r="I399" t="s">
        <v>86</v>
      </c>
      <c r="J399" t="s">
        <v>87</v>
      </c>
      <c r="K399" t="s">
        <v>88</v>
      </c>
      <c r="L399" t="s">
        <v>89</v>
      </c>
      <c r="N399" t="s">
        <v>95</v>
      </c>
      <c r="O399" t="s">
        <v>94</v>
      </c>
      <c r="T399" t="s">
        <v>5077</v>
      </c>
      <c r="U399" t="s">
        <v>260</v>
      </c>
    </row>
    <row r="400" spans="8:21" x14ac:dyDescent="0.25">
      <c r="H400" t="s">
        <v>5290</v>
      </c>
      <c r="I400" t="s">
        <v>86</v>
      </c>
      <c r="J400" t="s">
        <v>87</v>
      </c>
      <c r="K400" t="s">
        <v>88</v>
      </c>
      <c r="L400" t="s">
        <v>89</v>
      </c>
      <c r="N400" t="s">
        <v>95</v>
      </c>
      <c r="O400" t="s">
        <v>94</v>
      </c>
      <c r="T400" t="s">
        <v>5145</v>
      </c>
      <c r="U400" t="s">
        <v>260</v>
      </c>
    </row>
    <row r="401" spans="8:21" x14ac:dyDescent="0.25">
      <c r="H401" t="s">
        <v>5290</v>
      </c>
      <c r="I401" t="s">
        <v>86</v>
      </c>
      <c r="J401" t="s">
        <v>87</v>
      </c>
      <c r="K401" t="s">
        <v>88</v>
      </c>
      <c r="L401" t="s">
        <v>89</v>
      </c>
      <c r="N401" t="s">
        <v>95</v>
      </c>
      <c r="O401" t="s">
        <v>94</v>
      </c>
      <c r="T401" t="s">
        <v>5061</v>
      </c>
      <c r="U401" t="s">
        <v>260</v>
      </c>
    </row>
    <row r="402" spans="8:21" x14ac:dyDescent="0.25">
      <c r="H402" t="s">
        <v>5290</v>
      </c>
      <c r="I402" t="s">
        <v>86</v>
      </c>
      <c r="J402" t="s">
        <v>87</v>
      </c>
      <c r="K402" t="s">
        <v>88</v>
      </c>
      <c r="L402" t="s">
        <v>89</v>
      </c>
      <c r="N402" t="s">
        <v>95</v>
      </c>
      <c r="O402" t="s">
        <v>94</v>
      </c>
      <c r="T402" t="s">
        <v>4578</v>
      </c>
      <c r="U402" t="s">
        <v>260</v>
      </c>
    </row>
    <row r="403" spans="8:21" x14ac:dyDescent="0.25">
      <c r="H403" t="s">
        <v>5670</v>
      </c>
      <c r="I403" t="s">
        <v>89</v>
      </c>
      <c r="J403" t="s">
        <v>87</v>
      </c>
      <c r="K403" t="s">
        <v>88</v>
      </c>
      <c r="N403" t="s">
        <v>95</v>
      </c>
      <c r="O403" t="s">
        <v>94</v>
      </c>
      <c r="T403" t="s">
        <v>4578</v>
      </c>
      <c r="U403" t="s">
        <v>260</v>
      </c>
    </row>
    <row r="404" spans="8:21" x14ac:dyDescent="0.25">
      <c r="H404" t="s">
        <v>5670</v>
      </c>
      <c r="I404" t="s">
        <v>86</v>
      </c>
      <c r="J404" t="s">
        <v>87</v>
      </c>
      <c r="K404" t="s">
        <v>88</v>
      </c>
      <c r="L404" t="s">
        <v>89</v>
      </c>
      <c r="N404" t="s">
        <v>95</v>
      </c>
      <c r="O404" t="s">
        <v>94</v>
      </c>
      <c r="T404" t="s">
        <v>5160</v>
      </c>
      <c r="U404" t="s">
        <v>33</v>
      </c>
    </row>
    <row r="405" spans="8:21" x14ac:dyDescent="0.25">
      <c r="H405" t="s">
        <v>6242</v>
      </c>
      <c r="I405" t="s">
        <v>86</v>
      </c>
      <c r="J405" t="s">
        <v>87</v>
      </c>
      <c r="K405" t="s">
        <v>88</v>
      </c>
      <c r="L405" t="s">
        <v>89</v>
      </c>
      <c r="N405" t="s">
        <v>95</v>
      </c>
      <c r="O405" t="s">
        <v>94</v>
      </c>
      <c r="T405" t="s">
        <v>4547</v>
      </c>
      <c r="U405" t="s">
        <v>33</v>
      </c>
    </row>
    <row r="406" spans="8:21" x14ac:dyDescent="0.25">
      <c r="H406" t="s">
        <v>5507</v>
      </c>
      <c r="I406" t="s">
        <v>86</v>
      </c>
      <c r="J406" t="s">
        <v>87</v>
      </c>
      <c r="K406" t="s">
        <v>88</v>
      </c>
      <c r="L406" t="s">
        <v>89</v>
      </c>
      <c r="N406" t="s">
        <v>95</v>
      </c>
      <c r="O406" t="s">
        <v>94</v>
      </c>
      <c r="T406" t="s">
        <v>4806</v>
      </c>
      <c r="U406" t="s">
        <v>33</v>
      </c>
    </row>
    <row r="407" spans="8:21" x14ac:dyDescent="0.25">
      <c r="H407" t="s">
        <v>5507</v>
      </c>
      <c r="I407" t="s">
        <v>86</v>
      </c>
      <c r="J407" t="s">
        <v>87</v>
      </c>
      <c r="K407" t="s">
        <v>88</v>
      </c>
      <c r="L407" t="s">
        <v>89</v>
      </c>
      <c r="N407" t="s">
        <v>95</v>
      </c>
      <c r="O407" t="s">
        <v>94</v>
      </c>
      <c r="T407" t="s">
        <v>4806</v>
      </c>
      <c r="U407" t="s">
        <v>33</v>
      </c>
    </row>
    <row r="408" spans="8:21" x14ac:dyDescent="0.25">
      <c r="H408" t="s">
        <v>5507</v>
      </c>
      <c r="I408" t="s">
        <v>86</v>
      </c>
      <c r="J408" t="s">
        <v>87</v>
      </c>
      <c r="K408" t="s">
        <v>88</v>
      </c>
      <c r="L408" t="s">
        <v>89</v>
      </c>
      <c r="N408" t="s">
        <v>95</v>
      </c>
      <c r="O408" t="s">
        <v>94</v>
      </c>
      <c r="T408" t="s">
        <v>4960</v>
      </c>
      <c r="U408" t="s">
        <v>33</v>
      </c>
    </row>
    <row r="409" spans="8:21" x14ac:dyDescent="0.25">
      <c r="H409" t="s">
        <v>5558</v>
      </c>
      <c r="I409" t="s">
        <v>86</v>
      </c>
      <c r="J409" t="s">
        <v>87</v>
      </c>
      <c r="K409" t="s">
        <v>88</v>
      </c>
      <c r="L409" t="s">
        <v>89</v>
      </c>
      <c r="N409" t="s">
        <v>95</v>
      </c>
      <c r="O409" t="s">
        <v>94</v>
      </c>
      <c r="T409" t="s">
        <v>4988</v>
      </c>
      <c r="U409" t="s">
        <v>33</v>
      </c>
    </row>
    <row r="410" spans="8:21" x14ac:dyDescent="0.25">
      <c r="H410" t="s">
        <v>5811</v>
      </c>
      <c r="I410" t="s">
        <v>86</v>
      </c>
      <c r="J410" t="s">
        <v>87</v>
      </c>
      <c r="K410" t="s">
        <v>88</v>
      </c>
      <c r="L410" t="s">
        <v>89</v>
      </c>
      <c r="N410" t="s">
        <v>95</v>
      </c>
      <c r="O410" t="s">
        <v>94</v>
      </c>
      <c r="T410" t="s">
        <v>5174</v>
      </c>
      <c r="U410" t="s">
        <v>33</v>
      </c>
    </row>
    <row r="411" spans="8:21" x14ac:dyDescent="0.25">
      <c r="H411" t="s">
        <v>6511</v>
      </c>
      <c r="I411" t="s">
        <v>86</v>
      </c>
      <c r="J411" t="s">
        <v>87</v>
      </c>
      <c r="K411" t="s">
        <v>88</v>
      </c>
      <c r="L411" t="s">
        <v>89</v>
      </c>
      <c r="N411" t="s">
        <v>95</v>
      </c>
      <c r="O411" t="s">
        <v>94</v>
      </c>
      <c r="T411" t="s">
        <v>5194</v>
      </c>
      <c r="U411" t="s">
        <v>33</v>
      </c>
    </row>
    <row r="412" spans="8:21" x14ac:dyDescent="0.25">
      <c r="H412" t="s">
        <v>5950</v>
      </c>
      <c r="I412" t="s">
        <v>86</v>
      </c>
      <c r="J412" t="s">
        <v>87</v>
      </c>
      <c r="K412" t="s">
        <v>88</v>
      </c>
      <c r="L412" t="s">
        <v>89</v>
      </c>
      <c r="N412" t="s">
        <v>95</v>
      </c>
      <c r="O412" t="s">
        <v>94</v>
      </c>
      <c r="T412" t="s">
        <v>5104</v>
      </c>
      <c r="U412" t="s">
        <v>33</v>
      </c>
    </row>
    <row r="413" spans="8:21" x14ac:dyDescent="0.25">
      <c r="H413" t="s">
        <v>6848</v>
      </c>
      <c r="I413" t="s">
        <v>86</v>
      </c>
      <c r="J413" t="s">
        <v>87</v>
      </c>
      <c r="K413" t="s">
        <v>88</v>
      </c>
      <c r="L413" t="s">
        <v>89</v>
      </c>
      <c r="N413" t="s">
        <v>95</v>
      </c>
      <c r="O413" t="s">
        <v>94</v>
      </c>
      <c r="T413" t="s">
        <v>5169</v>
      </c>
      <c r="U413" t="s">
        <v>33</v>
      </c>
    </row>
    <row r="414" spans="8:21" x14ac:dyDescent="0.25">
      <c r="H414" t="s">
        <v>6018</v>
      </c>
      <c r="I414" t="s">
        <v>86</v>
      </c>
      <c r="J414" t="s">
        <v>87</v>
      </c>
      <c r="K414" t="s">
        <v>88</v>
      </c>
      <c r="L414" t="s">
        <v>89</v>
      </c>
      <c r="N414" t="s">
        <v>95</v>
      </c>
      <c r="O414" t="s">
        <v>94</v>
      </c>
      <c r="T414" t="s">
        <v>5102</v>
      </c>
      <c r="U414" t="s">
        <v>33</v>
      </c>
    </row>
    <row r="415" spans="8:21" x14ac:dyDescent="0.25">
      <c r="H415" t="s">
        <v>5447</v>
      </c>
      <c r="I415" t="s">
        <v>86</v>
      </c>
      <c r="J415" t="s">
        <v>87</v>
      </c>
      <c r="K415" t="s">
        <v>88</v>
      </c>
      <c r="L415" t="s">
        <v>89</v>
      </c>
      <c r="N415" t="s">
        <v>95</v>
      </c>
      <c r="O415" t="s">
        <v>94</v>
      </c>
      <c r="T415" t="s">
        <v>4816</v>
      </c>
      <c r="U415" t="s">
        <v>33</v>
      </c>
    </row>
    <row r="416" spans="8:21" x14ac:dyDescent="0.25">
      <c r="H416" t="s">
        <v>5447</v>
      </c>
      <c r="I416" t="s">
        <v>86</v>
      </c>
      <c r="J416" t="s">
        <v>87</v>
      </c>
      <c r="K416" t="s">
        <v>88</v>
      </c>
      <c r="L416" t="s">
        <v>89</v>
      </c>
      <c r="N416" t="s">
        <v>95</v>
      </c>
      <c r="O416" t="s">
        <v>94</v>
      </c>
      <c r="T416" t="s">
        <v>40</v>
      </c>
      <c r="U416" t="s">
        <v>34</v>
      </c>
    </row>
    <row r="417" spans="8:21" x14ac:dyDescent="0.25">
      <c r="H417" t="s">
        <v>5447</v>
      </c>
      <c r="I417" t="s">
        <v>86</v>
      </c>
      <c r="J417" t="s">
        <v>87</v>
      </c>
      <c r="K417" t="s">
        <v>88</v>
      </c>
      <c r="L417" t="s">
        <v>89</v>
      </c>
      <c r="N417" t="s">
        <v>95</v>
      </c>
      <c r="O417" t="s">
        <v>94</v>
      </c>
      <c r="T417" t="s">
        <v>257</v>
      </c>
      <c r="U417" t="s">
        <v>261</v>
      </c>
    </row>
    <row r="418" spans="8:21" x14ac:dyDescent="0.25">
      <c r="H418" t="s">
        <v>5447</v>
      </c>
      <c r="I418" t="s">
        <v>86</v>
      </c>
      <c r="J418" t="s">
        <v>87</v>
      </c>
      <c r="K418" t="s">
        <v>88</v>
      </c>
      <c r="L418" t="s">
        <v>89</v>
      </c>
      <c r="N418" t="s">
        <v>95</v>
      </c>
      <c r="O418" t="s">
        <v>94</v>
      </c>
      <c r="T418" t="s">
        <v>257</v>
      </c>
      <c r="U418" t="s">
        <v>261</v>
      </c>
    </row>
    <row r="419" spans="8:21" x14ac:dyDescent="0.25">
      <c r="H419" t="s">
        <v>6025</v>
      </c>
      <c r="I419" t="s">
        <v>86</v>
      </c>
      <c r="J419" t="s">
        <v>87</v>
      </c>
      <c r="K419" t="s">
        <v>88</v>
      </c>
      <c r="L419" t="s">
        <v>89</v>
      </c>
      <c r="N419" t="s">
        <v>95</v>
      </c>
      <c r="O419" t="s">
        <v>94</v>
      </c>
      <c r="T419" t="s">
        <v>4846</v>
      </c>
      <c r="U419" t="s">
        <v>261</v>
      </c>
    </row>
    <row r="420" spans="8:21" x14ac:dyDescent="0.25">
      <c r="H420" t="s">
        <v>6025</v>
      </c>
      <c r="I420" t="s">
        <v>86</v>
      </c>
      <c r="J420" t="s">
        <v>87</v>
      </c>
      <c r="K420" t="s">
        <v>88</v>
      </c>
      <c r="L420" t="s">
        <v>89</v>
      </c>
      <c r="N420" t="s">
        <v>95</v>
      </c>
      <c r="O420" t="s">
        <v>94</v>
      </c>
      <c r="T420" t="s">
        <v>4942</v>
      </c>
      <c r="U420" t="s">
        <v>261</v>
      </c>
    </row>
    <row r="421" spans="8:21" x14ac:dyDescent="0.25">
      <c r="H421" t="s">
        <v>5617</v>
      </c>
      <c r="I421" t="s">
        <v>86</v>
      </c>
      <c r="J421" t="s">
        <v>87</v>
      </c>
      <c r="K421" t="s">
        <v>88</v>
      </c>
      <c r="L421" t="s">
        <v>89</v>
      </c>
      <c r="N421" t="s">
        <v>95</v>
      </c>
      <c r="O421" t="s">
        <v>94</v>
      </c>
      <c r="T421" t="s">
        <v>4942</v>
      </c>
      <c r="U421" t="s">
        <v>261</v>
      </c>
    </row>
    <row r="422" spans="8:21" x14ac:dyDescent="0.25">
      <c r="H422" t="s">
        <v>5537</v>
      </c>
      <c r="I422" t="s">
        <v>86</v>
      </c>
      <c r="J422" t="s">
        <v>87</v>
      </c>
      <c r="K422" t="s">
        <v>88</v>
      </c>
      <c r="L422" t="s">
        <v>89</v>
      </c>
      <c r="N422" t="s">
        <v>95</v>
      </c>
      <c r="O422" t="s">
        <v>94</v>
      </c>
      <c r="T422" t="s">
        <v>4999</v>
      </c>
      <c r="U422" t="s">
        <v>261</v>
      </c>
    </row>
    <row r="423" spans="8:21" x14ac:dyDescent="0.25">
      <c r="H423" t="s">
        <v>5378</v>
      </c>
      <c r="I423" t="s">
        <v>87</v>
      </c>
      <c r="J423" t="s">
        <v>88</v>
      </c>
      <c r="N423" t="s">
        <v>95</v>
      </c>
      <c r="O423" t="s">
        <v>94</v>
      </c>
      <c r="T423" t="s">
        <v>5125</v>
      </c>
      <c r="U423" t="s">
        <v>261</v>
      </c>
    </row>
    <row r="424" spans="8:21" x14ac:dyDescent="0.25">
      <c r="H424" t="s">
        <v>5378</v>
      </c>
      <c r="I424" t="s">
        <v>86</v>
      </c>
      <c r="J424" t="s">
        <v>87</v>
      </c>
      <c r="K424" t="s">
        <v>88</v>
      </c>
      <c r="L424" t="s">
        <v>89</v>
      </c>
      <c r="N424" t="s">
        <v>95</v>
      </c>
      <c r="O424" t="s">
        <v>94</v>
      </c>
      <c r="T424" t="s">
        <v>5170</v>
      </c>
      <c r="U424" t="s">
        <v>261</v>
      </c>
    </row>
    <row r="425" spans="8:21" x14ac:dyDescent="0.25">
      <c r="H425" t="s">
        <v>5378</v>
      </c>
      <c r="I425" t="s">
        <v>86</v>
      </c>
      <c r="J425" t="s">
        <v>87</v>
      </c>
      <c r="K425" t="s">
        <v>88</v>
      </c>
      <c r="L425" t="s">
        <v>89</v>
      </c>
      <c r="N425" t="s">
        <v>95</v>
      </c>
      <c r="O425" t="s">
        <v>94</v>
      </c>
      <c r="T425" t="s">
        <v>4646</v>
      </c>
      <c r="U425" t="s">
        <v>261</v>
      </c>
    </row>
    <row r="426" spans="8:21" x14ac:dyDescent="0.25">
      <c r="H426" t="s">
        <v>5705</v>
      </c>
      <c r="I426" t="s">
        <v>86</v>
      </c>
      <c r="J426" t="s">
        <v>87</v>
      </c>
      <c r="K426" t="s">
        <v>88</v>
      </c>
      <c r="L426" t="s">
        <v>89</v>
      </c>
      <c r="N426" t="s">
        <v>95</v>
      </c>
      <c r="O426" t="s">
        <v>94</v>
      </c>
      <c r="T426" t="s">
        <v>4520</v>
      </c>
      <c r="U426" t="s">
        <v>34</v>
      </c>
    </row>
    <row r="427" spans="8:21" x14ac:dyDescent="0.25">
      <c r="H427" t="s">
        <v>6039</v>
      </c>
      <c r="I427" t="s">
        <v>86</v>
      </c>
      <c r="J427" t="s">
        <v>87</v>
      </c>
      <c r="K427" t="s">
        <v>88</v>
      </c>
      <c r="L427" t="s">
        <v>89</v>
      </c>
      <c r="N427" t="s">
        <v>95</v>
      </c>
      <c r="O427" t="s">
        <v>94</v>
      </c>
      <c r="T427" t="s">
        <v>4562</v>
      </c>
      <c r="U427" t="s">
        <v>34</v>
      </c>
    </row>
    <row r="428" spans="8:21" x14ac:dyDescent="0.25">
      <c r="H428" t="s">
        <v>5544</v>
      </c>
      <c r="I428" t="s">
        <v>86</v>
      </c>
      <c r="J428" t="s">
        <v>87</v>
      </c>
      <c r="K428" t="s">
        <v>88</v>
      </c>
      <c r="L428" t="s">
        <v>89</v>
      </c>
      <c r="N428" t="s">
        <v>95</v>
      </c>
      <c r="O428" t="s">
        <v>94</v>
      </c>
      <c r="T428" t="s">
        <v>4934</v>
      </c>
      <c r="U428" t="s">
        <v>34</v>
      </c>
    </row>
    <row r="429" spans="8:21" x14ac:dyDescent="0.25">
      <c r="H429" t="s">
        <v>5927</v>
      </c>
      <c r="I429" t="s">
        <v>86</v>
      </c>
      <c r="J429" t="s">
        <v>87</v>
      </c>
      <c r="K429" t="s">
        <v>88</v>
      </c>
      <c r="L429" t="s">
        <v>89</v>
      </c>
      <c r="N429" t="s">
        <v>95</v>
      </c>
      <c r="O429" t="s">
        <v>94</v>
      </c>
      <c r="T429" t="s">
        <v>4571</v>
      </c>
      <c r="U429" t="s">
        <v>34</v>
      </c>
    </row>
    <row r="430" spans="8:21" x14ac:dyDescent="0.25">
      <c r="H430" t="s">
        <v>6755</v>
      </c>
      <c r="I430" t="s">
        <v>86</v>
      </c>
      <c r="J430" t="s">
        <v>87</v>
      </c>
      <c r="K430" t="s">
        <v>88</v>
      </c>
      <c r="L430" t="s">
        <v>89</v>
      </c>
      <c r="N430" t="s">
        <v>95</v>
      </c>
      <c r="O430" t="s">
        <v>94</v>
      </c>
      <c r="T430" t="s">
        <v>4571</v>
      </c>
      <c r="U430" t="s">
        <v>34</v>
      </c>
    </row>
    <row r="431" spans="8:21" x14ac:dyDescent="0.25">
      <c r="H431" t="s">
        <v>5339</v>
      </c>
      <c r="I431" t="s">
        <v>86</v>
      </c>
      <c r="J431" t="s">
        <v>87</v>
      </c>
      <c r="K431" t="s">
        <v>88</v>
      </c>
      <c r="L431" t="s">
        <v>89</v>
      </c>
      <c r="N431" t="s">
        <v>95</v>
      </c>
      <c r="O431" t="s">
        <v>94</v>
      </c>
      <c r="T431" t="s">
        <v>4571</v>
      </c>
      <c r="U431" t="s">
        <v>34</v>
      </c>
    </row>
    <row r="432" spans="8:21" x14ac:dyDescent="0.25">
      <c r="H432" t="s">
        <v>5948</v>
      </c>
      <c r="I432" t="s">
        <v>86</v>
      </c>
      <c r="J432" t="s">
        <v>87</v>
      </c>
      <c r="K432" t="s">
        <v>88</v>
      </c>
      <c r="L432" t="s">
        <v>89</v>
      </c>
      <c r="N432" t="s">
        <v>95</v>
      </c>
      <c r="O432" t="s">
        <v>94</v>
      </c>
      <c r="T432" t="s">
        <v>4903</v>
      </c>
      <c r="U432" t="s">
        <v>34</v>
      </c>
    </row>
    <row r="433" spans="8:21" x14ac:dyDescent="0.25">
      <c r="H433" t="s">
        <v>5463</v>
      </c>
      <c r="I433" t="s">
        <v>86</v>
      </c>
      <c r="J433" t="s">
        <v>87</v>
      </c>
      <c r="K433" t="s">
        <v>88</v>
      </c>
      <c r="L433" t="s">
        <v>89</v>
      </c>
      <c r="N433" t="s">
        <v>7594</v>
      </c>
      <c r="O433" t="s">
        <v>94</v>
      </c>
      <c r="T433" t="s">
        <v>4903</v>
      </c>
      <c r="U433" t="s">
        <v>34</v>
      </c>
    </row>
    <row r="434" spans="8:21" x14ac:dyDescent="0.25">
      <c r="H434" t="s">
        <v>5816</v>
      </c>
      <c r="I434" t="s">
        <v>86</v>
      </c>
      <c r="J434" t="s">
        <v>87</v>
      </c>
      <c r="K434" t="s">
        <v>88</v>
      </c>
      <c r="L434" t="s">
        <v>89</v>
      </c>
      <c r="N434" t="s">
        <v>7594</v>
      </c>
      <c r="O434" t="s">
        <v>94</v>
      </c>
      <c r="T434" t="s">
        <v>4696</v>
      </c>
      <c r="U434" t="s">
        <v>34</v>
      </c>
    </row>
    <row r="435" spans="8:21" x14ac:dyDescent="0.25">
      <c r="H435" t="s">
        <v>5619</v>
      </c>
      <c r="I435" t="s">
        <v>86</v>
      </c>
      <c r="J435" t="s">
        <v>87</v>
      </c>
      <c r="K435" t="s">
        <v>88</v>
      </c>
      <c r="L435" t="s">
        <v>89</v>
      </c>
      <c r="N435" t="s">
        <v>7401</v>
      </c>
      <c r="O435" t="s">
        <v>94</v>
      </c>
      <c r="T435" t="s">
        <v>5093</v>
      </c>
      <c r="U435" t="s">
        <v>34</v>
      </c>
    </row>
    <row r="436" spans="8:21" x14ac:dyDescent="0.25">
      <c r="H436" t="s">
        <v>5619</v>
      </c>
      <c r="I436" t="s">
        <v>89</v>
      </c>
      <c r="J436" t="s">
        <v>87</v>
      </c>
      <c r="K436" t="s">
        <v>88</v>
      </c>
      <c r="N436" t="s">
        <v>7068</v>
      </c>
      <c r="O436" t="s">
        <v>94</v>
      </c>
      <c r="T436" t="s">
        <v>5091</v>
      </c>
      <c r="U436" t="s">
        <v>34</v>
      </c>
    </row>
    <row r="437" spans="8:21" x14ac:dyDescent="0.25">
      <c r="H437" t="s">
        <v>6305</v>
      </c>
      <c r="I437" t="s">
        <v>86</v>
      </c>
      <c r="J437" t="s">
        <v>87</v>
      </c>
      <c r="K437" t="s">
        <v>88</v>
      </c>
      <c r="L437" t="s">
        <v>89</v>
      </c>
      <c r="N437" t="s">
        <v>7068</v>
      </c>
      <c r="O437" t="s">
        <v>94</v>
      </c>
      <c r="T437" t="s">
        <v>5176</v>
      </c>
      <c r="U437" t="s">
        <v>34</v>
      </c>
    </row>
    <row r="438" spans="8:21" x14ac:dyDescent="0.25">
      <c r="H438" t="s">
        <v>6387</v>
      </c>
      <c r="I438" t="s">
        <v>86</v>
      </c>
      <c r="J438" t="s">
        <v>87</v>
      </c>
      <c r="K438" t="s">
        <v>88</v>
      </c>
      <c r="L438" t="s">
        <v>89</v>
      </c>
      <c r="N438" t="s">
        <v>443</v>
      </c>
      <c r="O438" t="s">
        <v>444</v>
      </c>
      <c r="T438" t="s">
        <v>5101</v>
      </c>
      <c r="U438" t="s">
        <v>34</v>
      </c>
    </row>
    <row r="439" spans="8:21" x14ac:dyDescent="0.25">
      <c r="H439" t="s">
        <v>6387</v>
      </c>
      <c r="I439" t="s">
        <v>86</v>
      </c>
      <c r="J439" t="s">
        <v>87</v>
      </c>
      <c r="K439" t="s">
        <v>88</v>
      </c>
      <c r="L439" t="s">
        <v>89</v>
      </c>
      <c r="N439" t="s">
        <v>443</v>
      </c>
      <c r="O439" t="s">
        <v>444</v>
      </c>
      <c r="T439" t="s">
        <v>4677</v>
      </c>
      <c r="U439" t="s">
        <v>34</v>
      </c>
    </row>
    <row r="440" spans="8:21" x14ac:dyDescent="0.25">
      <c r="H440" t="s">
        <v>5241</v>
      </c>
      <c r="I440" t="s">
        <v>86</v>
      </c>
      <c r="J440" t="s">
        <v>87</v>
      </c>
      <c r="K440" t="s">
        <v>88</v>
      </c>
      <c r="L440" t="s">
        <v>89</v>
      </c>
      <c r="N440" t="s">
        <v>443</v>
      </c>
      <c r="O440" t="s">
        <v>444</v>
      </c>
      <c r="T440" t="s">
        <v>4677</v>
      </c>
      <c r="U440" t="s">
        <v>34</v>
      </c>
    </row>
    <row r="441" spans="8:21" x14ac:dyDescent="0.25">
      <c r="H441" t="s">
        <v>6106</v>
      </c>
      <c r="I441" t="s">
        <v>86</v>
      </c>
      <c r="J441" t="s">
        <v>87</v>
      </c>
      <c r="K441" t="s">
        <v>88</v>
      </c>
      <c r="L441" t="s">
        <v>89</v>
      </c>
      <c r="N441" t="s">
        <v>443</v>
      </c>
      <c r="O441" t="s">
        <v>444</v>
      </c>
      <c r="T441" t="s">
        <v>4899</v>
      </c>
      <c r="U441" t="s">
        <v>34</v>
      </c>
    </row>
    <row r="442" spans="8:21" x14ac:dyDescent="0.25">
      <c r="H442" t="s">
        <v>6106</v>
      </c>
      <c r="I442" t="s">
        <v>86</v>
      </c>
      <c r="J442" t="s">
        <v>87</v>
      </c>
      <c r="K442" t="s">
        <v>88</v>
      </c>
      <c r="L442" t="s">
        <v>89</v>
      </c>
      <c r="N442" t="s">
        <v>443</v>
      </c>
      <c r="O442" t="s">
        <v>444</v>
      </c>
      <c r="T442" t="s">
        <v>4544</v>
      </c>
      <c r="U442" t="s">
        <v>34</v>
      </c>
    </row>
    <row r="443" spans="8:21" x14ac:dyDescent="0.25">
      <c r="H443" t="s">
        <v>6106</v>
      </c>
      <c r="I443" t="s">
        <v>86</v>
      </c>
      <c r="J443" t="s">
        <v>87</v>
      </c>
      <c r="K443" t="s">
        <v>88</v>
      </c>
      <c r="L443" t="s">
        <v>89</v>
      </c>
      <c r="N443" t="s">
        <v>443</v>
      </c>
      <c r="O443" t="s">
        <v>444</v>
      </c>
      <c r="T443" t="s">
        <v>41</v>
      </c>
      <c r="U443" t="s">
        <v>35</v>
      </c>
    </row>
    <row r="444" spans="8:21" x14ac:dyDescent="0.25">
      <c r="H444" t="s">
        <v>6106</v>
      </c>
      <c r="I444" t="s">
        <v>86</v>
      </c>
      <c r="J444" t="s">
        <v>87</v>
      </c>
      <c r="K444" t="s">
        <v>88</v>
      </c>
      <c r="L444" t="s">
        <v>89</v>
      </c>
      <c r="N444" t="s">
        <v>7527</v>
      </c>
      <c r="O444" t="s">
        <v>444</v>
      </c>
      <c r="T444" t="s">
        <v>258</v>
      </c>
      <c r="U444" t="s">
        <v>262</v>
      </c>
    </row>
    <row r="445" spans="8:21" x14ac:dyDescent="0.25">
      <c r="H445" t="s">
        <v>5587</v>
      </c>
      <c r="I445" t="s">
        <v>86</v>
      </c>
      <c r="J445" t="s">
        <v>87</v>
      </c>
      <c r="K445" t="s">
        <v>88</v>
      </c>
      <c r="L445" t="s">
        <v>89</v>
      </c>
      <c r="N445" t="s">
        <v>7391</v>
      </c>
      <c r="O445" t="s">
        <v>444</v>
      </c>
      <c r="T445" t="s">
        <v>4606</v>
      </c>
      <c r="U445" t="s">
        <v>262</v>
      </c>
    </row>
    <row r="446" spans="8:21" x14ac:dyDescent="0.25">
      <c r="H446" t="s">
        <v>6374</v>
      </c>
      <c r="I446" t="s">
        <v>86</v>
      </c>
      <c r="J446" t="s">
        <v>87</v>
      </c>
      <c r="K446" t="s">
        <v>88</v>
      </c>
      <c r="L446" t="s">
        <v>89</v>
      </c>
      <c r="N446" t="s">
        <v>7737</v>
      </c>
      <c r="O446" t="s">
        <v>444</v>
      </c>
      <c r="T446" t="s">
        <v>4606</v>
      </c>
      <c r="U446" t="s">
        <v>262</v>
      </c>
    </row>
    <row r="447" spans="8:21" x14ac:dyDescent="0.25">
      <c r="H447" t="s">
        <v>5850</v>
      </c>
      <c r="I447" t="s">
        <v>86</v>
      </c>
      <c r="J447" t="s">
        <v>87</v>
      </c>
      <c r="K447" t="s">
        <v>88</v>
      </c>
      <c r="L447" t="s">
        <v>89</v>
      </c>
      <c r="N447" t="s">
        <v>7508</v>
      </c>
      <c r="O447" t="s">
        <v>444</v>
      </c>
      <c r="T447" t="s">
        <v>4606</v>
      </c>
      <c r="U447" t="s">
        <v>262</v>
      </c>
    </row>
    <row r="448" spans="8:21" x14ac:dyDescent="0.25">
      <c r="H448" t="s">
        <v>5850</v>
      </c>
      <c r="I448" t="s">
        <v>86</v>
      </c>
      <c r="J448" t="s">
        <v>87</v>
      </c>
      <c r="K448" t="s">
        <v>88</v>
      </c>
      <c r="L448" t="s">
        <v>89</v>
      </c>
      <c r="N448" t="s">
        <v>7175</v>
      </c>
      <c r="O448" t="s">
        <v>444</v>
      </c>
      <c r="T448" t="s">
        <v>5162</v>
      </c>
      <c r="U448" t="s">
        <v>262</v>
      </c>
    </row>
    <row r="449" spans="8:21" x14ac:dyDescent="0.25">
      <c r="H449" t="s">
        <v>5301</v>
      </c>
      <c r="I449" t="s">
        <v>86</v>
      </c>
      <c r="J449" t="s">
        <v>87</v>
      </c>
      <c r="K449" t="s">
        <v>88</v>
      </c>
      <c r="L449" t="s">
        <v>89</v>
      </c>
      <c r="N449" t="s">
        <v>7010</v>
      </c>
      <c r="O449" t="s">
        <v>444</v>
      </c>
      <c r="T449" t="s">
        <v>4765</v>
      </c>
      <c r="U449" t="s">
        <v>262</v>
      </c>
    </row>
    <row r="450" spans="8:21" x14ac:dyDescent="0.25">
      <c r="H450" t="s">
        <v>5301</v>
      </c>
      <c r="I450" t="s">
        <v>86</v>
      </c>
      <c r="J450" t="s">
        <v>87</v>
      </c>
      <c r="K450" t="s">
        <v>88</v>
      </c>
      <c r="L450" t="s">
        <v>89</v>
      </c>
      <c r="N450" t="s">
        <v>7862</v>
      </c>
      <c r="O450" t="s">
        <v>444</v>
      </c>
      <c r="T450" t="s">
        <v>4945</v>
      </c>
      <c r="U450" t="s">
        <v>262</v>
      </c>
    </row>
    <row r="451" spans="8:21" x14ac:dyDescent="0.25">
      <c r="H451" t="s">
        <v>5301</v>
      </c>
      <c r="I451" t="s">
        <v>86</v>
      </c>
      <c r="J451" t="s">
        <v>87</v>
      </c>
      <c r="K451" t="s">
        <v>88</v>
      </c>
      <c r="L451" t="s">
        <v>89</v>
      </c>
      <c r="N451" t="s">
        <v>47</v>
      </c>
      <c r="O451" t="s">
        <v>452</v>
      </c>
      <c r="T451" t="s">
        <v>4945</v>
      </c>
      <c r="U451" t="s">
        <v>262</v>
      </c>
    </row>
    <row r="452" spans="8:21" x14ac:dyDescent="0.25">
      <c r="H452" t="s">
        <v>5301</v>
      </c>
      <c r="I452" t="s">
        <v>86</v>
      </c>
      <c r="J452" t="s">
        <v>87</v>
      </c>
      <c r="K452" t="s">
        <v>88</v>
      </c>
      <c r="L452" t="s">
        <v>89</v>
      </c>
      <c r="N452" t="s">
        <v>47</v>
      </c>
      <c r="O452" t="s">
        <v>452</v>
      </c>
      <c r="T452" t="s">
        <v>4661</v>
      </c>
      <c r="U452" t="s">
        <v>262</v>
      </c>
    </row>
    <row r="453" spans="8:21" x14ac:dyDescent="0.25">
      <c r="H453" t="s">
        <v>5604</v>
      </c>
      <c r="I453" t="s">
        <v>86</v>
      </c>
      <c r="J453" t="s">
        <v>87</v>
      </c>
      <c r="K453" t="s">
        <v>88</v>
      </c>
      <c r="L453" t="s">
        <v>89</v>
      </c>
      <c r="N453" t="s">
        <v>47</v>
      </c>
      <c r="O453" t="s">
        <v>452</v>
      </c>
      <c r="T453" t="s">
        <v>4664</v>
      </c>
      <c r="U453" t="s">
        <v>262</v>
      </c>
    </row>
    <row r="454" spans="8:21" x14ac:dyDescent="0.25">
      <c r="H454" t="s">
        <v>5604</v>
      </c>
      <c r="I454" t="s">
        <v>86</v>
      </c>
      <c r="J454" t="s">
        <v>87</v>
      </c>
      <c r="K454" t="s">
        <v>88</v>
      </c>
      <c r="L454" t="s">
        <v>89</v>
      </c>
      <c r="N454" t="s">
        <v>47</v>
      </c>
      <c r="O454" t="s">
        <v>452</v>
      </c>
      <c r="T454" t="s">
        <v>4505</v>
      </c>
      <c r="U454" t="s">
        <v>262</v>
      </c>
    </row>
    <row r="455" spans="8:21" x14ac:dyDescent="0.25">
      <c r="H455" t="s">
        <v>5251</v>
      </c>
      <c r="I455" t="s">
        <v>86</v>
      </c>
      <c r="J455" t="s">
        <v>87</v>
      </c>
      <c r="K455" t="s">
        <v>88</v>
      </c>
      <c r="L455" t="s">
        <v>89</v>
      </c>
      <c r="N455" t="s">
        <v>47</v>
      </c>
      <c r="O455" t="s">
        <v>452</v>
      </c>
      <c r="T455" t="s">
        <v>4505</v>
      </c>
      <c r="U455" t="s">
        <v>262</v>
      </c>
    </row>
    <row r="456" spans="8:21" x14ac:dyDescent="0.25">
      <c r="H456" t="s">
        <v>5251</v>
      </c>
      <c r="I456" t="s">
        <v>86</v>
      </c>
      <c r="J456" t="s">
        <v>87</v>
      </c>
      <c r="K456" t="s">
        <v>88</v>
      </c>
      <c r="L456" t="s">
        <v>89</v>
      </c>
      <c r="N456" t="s">
        <v>47</v>
      </c>
      <c r="O456" t="s">
        <v>452</v>
      </c>
      <c r="T456" t="s">
        <v>4505</v>
      </c>
      <c r="U456" t="s">
        <v>262</v>
      </c>
    </row>
    <row r="457" spans="8:21" x14ac:dyDescent="0.25">
      <c r="H457" t="s">
        <v>5251</v>
      </c>
      <c r="I457" t="s">
        <v>86</v>
      </c>
      <c r="J457" t="s">
        <v>87</v>
      </c>
      <c r="K457" t="s">
        <v>88</v>
      </c>
      <c r="L457" t="s">
        <v>89</v>
      </c>
      <c r="N457" t="s">
        <v>47</v>
      </c>
      <c r="O457" t="s">
        <v>452</v>
      </c>
      <c r="T457" t="s">
        <v>4505</v>
      </c>
      <c r="U457" t="s">
        <v>262</v>
      </c>
    </row>
    <row r="458" spans="8:21" x14ac:dyDescent="0.25">
      <c r="H458" t="s">
        <v>5251</v>
      </c>
      <c r="I458" t="s">
        <v>86</v>
      </c>
      <c r="J458" t="s">
        <v>87</v>
      </c>
      <c r="K458" t="s">
        <v>88</v>
      </c>
      <c r="L458" t="s">
        <v>89</v>
      </c>
      <c r="N458" t="s">
        <v>47</v>
      </c>
      <c r="O458" t="s">
        <v>452</v>
      </c>
      <c r="T458" t="s">
        <v>4505</v>
      </c>
      <c r="U458" t="s">
        <v>262</v>
      </c>
    </row>
    <row r="459" spans="8:21" x14ac:dyDescent="0.25">
      <c r="H459" t="s">
        <v>5251</v>
      </c>
      <c r="I459" t="s">
        <v>86</v>
      </c>
      <c r="J459" t="s">
        <v>87</v>
      </c>
      <c r="K459" t="s">
        <v>88</v>
      </c>
      <c r="L459" t="s">
        <v>89</v>
      </c>
      <c r="N459" t="s">
        <v>47</v>
      </c>
      <c r="O459" t="s">
        <v>452</v>
      </c>
      <c r="T459" t="s">
        <v>4876</v>
      </c>
      <c r="U459" t="s">
        <v>262</v>
      </c>
    </row>
    <row r="460" spans="8:21" x14ac:dyDescent="0.25">
      <c r="H460" s="180" t="s">
        <v>90</v>
      </c>
      <c r="I460" s="180" t="s">
        <v>89</v>
      </c>
      <c r="J460" s="180"/>
      <c r="K460" s="180"/>
      <c r="L460" s="180"/>
      <c r="N460" t="s">
        <v>8093</v>
      </c>
      <c r="O460" t="s">
        <v>452</v>
      </c>
      <c r="T460" t="s">
        <v>4876</v>
      </c>
      <c r="U460" t="s">
        <v>262</v>
      </c>
    </row>
    <row r="461" spans="8:21" x14ac:dyDescent="0.25">
      <c r="H461" t="s">
        <v>90</v>
      </c>
      <c r="I461" t="s">
        <v>86</v>
      </c>
      <c r="N461" t="s">
        <v>48</v>
      </c>
      <c r="O461" t="s">
        <v>453</v>
      </c>
      <c r="T461" t="s">
        <v>5017</v>
      </c>
      <c r="U461" t="s">
        <v>262</v>
      </c>
    </row>
    <row r="462" spans="8:21" x14ac:dyDescent="0.25">
      <c r="H462" t="s">
        <v>90</v>
      </c>
      <c r="I462" t="s">
        <v>86</v>
      </c>
      <c r="N462" t="s">
        <v>48</v>
      </c>
      <c r="O462" t="s">
        <v>453</v>
      </c>
      <c r="T462" t="s">
        <v>5177</v>
      </c>
      <c r="U462" t="s">
        <v>262</v>
      </c>
    </row>
    <row r="463" spans="8:21" x14ac:dyDescent="0.25">
      <c r="H463" t="s">
        <v>90</v>
      </c>
      <c r="I463" t="s">
        <v>86</v>
      </c>
      <c r="N463" t="s">
        <v>48</v>
      </c>
      <c r="O463" t="s">
        <v>453</v>
      </c>
      <c r="T463" t="s">
        <v>5024</v>
      </c>
      <c r="U463" t="s">
        <v>262</v>
      </c>
    </row>
    <row r="464" spans="8:21" x14ac:dyDescent="0.25">
      <c r="H464" t="s">
        <v>90</v>
      </c>
      <c r="I464" t="s">
        <v>86</v>
      </c>
      <c r="N464" t="s">
        <v>48</v>
      </c>
      <c r="O464" t="s">
        <v>453</v>
      </c>
      <c r="T464" t="s">
        <v>5149</v>
      </c>
      <c r="U464" t="s">
        <v>262</v>
      </c>
    </row>
    <row r="465" spans="8:21" x14ac:dyDescent="0.25">
      <c r="H465" t="s">
        <v>90</v>
      </c>
      <c r="I465" t="s">
        <v>86</v>
      </c>
      <c r="N465" t="s">
        <v>5995</v>
      </c>
      <c r="O465" t="s">
        <v>453</v>
      </c>
      <c r="T465" t="s">
        <v>4608</v>
      </c>
      <c r="U465" t="s">
        <v>35</v>
      </c>
    </row>
    <row r="466" spans="8:21" x14ac:dyDescent="0.25">
      <c r="H466" t="s">
        <v>90</v>
      </c>
      <c r="I466" t="s">
        <v>86</v>
      </c>
      <c r="N466" t="s">
        <v>8020</v>
      </c>
      <c r="O466" t="s">
        <v>453</v>
      </c>
      <c r="T466" t="s">
        <v>4567</v>
      </c>
      <c r="U466" t="s">
        <v>35</v>
      </c>
    </row>
    <row r="467" spans="8:21" x14ac:dyDescent="0.25">
      <c r="H467" t="s">
        <v>90</v>
      </c>
      <c r="I467" t="s">
        <v>86</v>
      </c>
      <c r="N467" t="s">
        <v>49</v>
      </c>
      <c r="O467" t="s">
        <v>454</v>
      </c>
      <c r="T467" t="s">
        <v>4659</v>
      </c>
      <c r="U467" t="s">
        <v>35</v>
      </c>
    </row>
    <row r="468" spans="8:21" x14ac:dyDescent="0.25">
      <c r="H468" t="s">
        <v>90</v>
      </c>
      <c r="I468" t="s">
        <v>86</v>
      </c>
      <c r="N468" t="s">
        <v>49</v>
      </c>
      <c r="O468" t="s">
        <v>454</v>
      </c>
      <c r="T468" t="s">
        <v>4831</v>
      </c>
      <c r="U468" t="s">
        <v>35</v>
      </c>
    </row>
    <row r="469" spans="8:21" x14ac:dyDescent="0.25">
      <c r="H469" t="s">
        <v>90</v>
      </c>
      <c r="I469" t="s">
        <v>86</v>
      </c>
      <c r="N469" t="s">
        <v>49</v>
      </c>
      <c r="O469" t="s">
        <v>454</v>
      </c>
      <c r="T469" t="s">
        <v>4534</v>
      </c>
      <c r="U469" t="s">
        <v>35</v>
      </c>
    </row>
    <row r="470" spans="8:21" x14ac:dyDescent="0.25">
      <c r="H470" t="s">
        <v>90</v>
      </c>
      <c r="I470" t="s">
        <v>86</v>
      </c>
      <c r="N470" t="s">
        <v>49</v>
      </c>
      <c r="O470" t="s">
        <v>454</v>
      </c>
      <c r="T470" t="s">
        <v>4722</v>
      </c>
      <c r="U470" t="s">
        <v>35</v>
      </c>
    </row>
    <row r="471" spans="8:21" x14ac:dyDescent="0.25">
      <c r="H471" s="180" t="s">
        <v>90</v>
      </c>
      <c r="I471" s="180" t="s">
        <v>88</v>
      </c>
      <c r="J471" s="180"/>
      <c r="K471" s="180"/>
      <c r="L471" s="180"/>
      <c r="N471" t="s">
        <v>49</v>
      </c>
      <c r="O471" t="s">
        <v>454</v>
      </c>
      <c r="T471" t="s">
        <v>4823</v>
      </c>
      <c r="U471" t="s">
        <v>35</v>
      </c>
    </row>
    <row r="472" spans="8:21" x14ac:dyDescent="0.25">
      <c r="H472" t="s">
        <v>90</v>
      </c>
      <c r="I472" t="s">
        <v>86</v>
      </c>
      <c r="N472" t="s">
        <v>49</v>
      </c>
      <c r="O472" t="s">
        <v>454</v>
      </c>
      <c r="T472" t="s">
        <v>4833</v>
      </c>
      <c r="U472" t="s">
        <v>35</v>
      </c>
    </row>
    <row r="473" spans="8:21" x14ac:dyDescent="0.25">
      <c r="H473" t="s">
        <v>90</v>
      </c>
      <c r="I473" t="s">
        <v>86</v>
      </c>
      <c r="N473" t="s">
        <v>49</v>
      </c>
      <c r="O473" t="s">
        <v>454</v>
      </c>
      <c r="T473" t="s">
        <v>5052</v>
      </c>
      <c r="U473" t="s">
        <v>35</v>
      </c>
    </row>
    <row r="474" spans="8:21" x14ac:dyDescent="0.25">
      <c r="H474" t="s">
        <v>90</v>
      </c>
      <c r="I474" t="s">
        <v>86</v>
      </c>
      <c r="N474" t="s">
        <v>49</v>
      </c>
      <c r="O474" t="s">
        <v>454</v>
      </c>
      <c r="T474" t="s">
        <v>5148</v>
      </c>
      <c r="U474" t="s">
        <v>35</v>
      </c>
    </row>
    <row r="475" spans="8:21" x14ac:dyDescent="0.25">
      <c r="H475" t="s">
        <v>90</v>
      </c>
      <c r="I475" t="s">
        <v>86</v>
      </c>
      <c r="N475" t="s">
        <v>8075</v>
      </c>
      <c r="O475" t="s">
        <v>454</v>
      </c>
      <c r="T475" t="s">
        <v>5138</v>
      </c>
      <c r="U475" t="s">
        <v>35</v>
      </c>
    </row>
    <row r="476" spans="8:21" x14ac:dyDescent="0.25">
      <c r="H476" t="s">
        <v>90</v>
      </c>
      <c r="I476" t="s">
        <v>86</v>
      </c>
      <c r="N476" t="s">
        <v>7223</v>
      </c>
      <c r="O476" t="s">
        <v>454</v>
      </c>
      <c r="T476" t="s">
        <v>5144</v>
      </c>
      <c r="U476" t="s">
        <v>35</v>
      </c>
    </row>
    <row r="477" spans="8:21" x14ac:dyDescent="0.25">
      <c r="H477" t="s">
        <v>90</v>
      </c>
      <c r="I477" t="s">
        <v>86</v>
      </c>
      <c r="N477" t="s">
        <v>7662</v>
      </c>
      <c r="O477" t="s">
        <v>454</v>
      </c>
      <c r="T477" t="s">
        <v>5191</v>
      </c>
      <c r="U477" t="s">
        <v>35</v>
      </c>
    </row>
    <row r="478" spans="8:21" x14ac:dyDescent="0.25">
      <c r="H478" t="s">
        <v>90</v>
      </c>
      <c r="I478" t="s">
        <v>86</v>
      </c>
      <c r="N478" t="s">
        <v>7239</v>
      </c>
      <c r="O478" t="s">
        <v>454</v>
      </c>
      <c r="T478" t="s">
        <v>5051</v>
      </c>
      <c r="U478" t="s">
        <v>35</v>
      </c>
    </row>
    <row r="479" spans="8:21" x14ac:dyDescent="0.25">
      <c r="H479" t="s">
        <v>90</v>
      </c>
      <c r="I479" t="s">
        <v>86</v>
      </c>
      <c r="N479" t="s">
        <v>7239</v>
      </c>
      <c r="O479" t="s">
        <v>454</v>
      </c>
      <c r="T479" t="s">
        <v>5209</v>
      </c>
      <c r="U479" t="s">
        <v>35</v>
      </c>
    </row>
    <row r="480" spans="8:21" x14ac:dyDescent="0.25">
      <c r="H480" t="s">
        <v>90</v>
      </c>
      <c r="I480" t="s">
        <v>86</v>
      </c>
      <c r="N480" t="s">
        <v>7149</v>
      </c>
      <c r="O480" t="s">
        <v>454</v>
      </c>
      <c r="T480" t="s">
        <v>5158</v>
      </c>
      <c r="U480" t="s">
        <v>35</v>
      </c>
    </row>
    <row r="481" spans="8:21" x14ac:dyDescent="0.25">
      <c r="H481" t="s">
        <v>90</v>
      </c>
      <c r="I481" t="s">
        <v>86</v>
      </c>
      <c r="N481" t="s">
        <v>7149</v>
      </c>
      <c r="O481" t="s">
        <v>454</v>
      </c>
      <c r="T481" t="s">
        <v>2766</v>
      </c>
      <c r="U481" t="s">
        <v>2765</v>
      </c>
    </row>
    <row r="482" spans="8:21" x14ac:dyDescent="0.25">
      <c r="H482" t="s">
        <v>90</v>
      </c>
      <c r="I482" t="s">
        <v>86</v>
      </c>
      <c r="N482" t="s">
        <v>50</v>
      </c>
      <c r="O482" t="s">
        <v>455</v>
      </c>
      <c r="T482" t="s">
        <v>2766</v>
      </c>
      <c r="U482" t="s">
        <v>2765</v>
      </c>
    </row>
    <row r="483" spans="8:21" x14ac:dyDescent="0.25">
      <c r="H483" t="s">
        <v>90</v>
      </c>
      <c r="I483" t="s">
        <v>86</v>
      </c>
      <c r="N483" t="s">
        <v>50</v>
      </c>
      <c r="O483" t="s">
        <v>455</v>
      </c>
      <c r="T483" t="s">
        <v>2723</v>
      </c>
      <c r="U483" t="s">
        <v>2725</v>
      </c>
    </row>
    <row r="484" spans="8:21" x14ac:dyDescent="0.25">
      <c r="H484" t="s">
        <v>90</v>
      </c>
      <c r="I484" t="s">
        <v>86</v>
      </c>
      <c r="N484" t="s">
        <v>50</v>
      </c>
      <c r="O484" t="s">
        <v>455</v>
      </c>
      <c r="T484" t="s">
        <v>2723</v>
      </c>
      <c r="U484" t="s">
        <v>2725</v>
      </c>
    </row>
    <row r="485" spans="8:21" x14ac:dyDescent="0.25">
      <c r="H485" t="s">
        <v>90</v>
      </c>
      <c r="I485" t="s">
        <v>86</v>
      </c>
      <c r="N485" t="s">
        <v>50</v>
      </c>
      <c r="O485" t="s">
        <v>455</v>
      </c>
      <c r="T485" t="s">
        <v>122</v>
      </c>
      <c r="U485" t="s">
        <v>18</v>
      </c>
    </row>
    <row r="486" spans="8:21" x14ac:dyDescent="0.25">
      <c r="H486" t="s">
        <v>90</v>
      </c>
      <c r="I486" t="s">
        <v>86</v>
      </c>
      <c r="N486" t="s">
        <v>50</v>
      </c>
      <c r="O486" t="s">
        <v>455</v>
      </c>
      <c r="T486" t="s">
        <v>122</v>
      </c>
      <c r="U486" t="s">
        <v>18</v>
      </c>
    </row>
    <row r="487" spans="8:21" x14ac:dyDescent="0.25">
      <c r="H487" t="s">
        <v>90</v>
      </c>
      <c r="I487" t="s">
        <v>86</v>
      </c>
      <c r="N487" t="s">
        <v>7922</v>
      </c>
      <c r="O487" t="s">
        <v>455</v>
      </c>
      <c r="T487" t="s">
        <v>122</v>
      </c>
      <c r="U487" t="s">
        <v>18</v>
      </c>
    </row>
    <row r="488" spans="8:21" x14ac:dyDescent="0.25">
      <c r="H488" t="s">
        <v>90</v>
      </c>
      <c r="I488" t="s">
        <v>86</v>
      </c>
      <c r="N488" t="s">
        <v>7922</v>
      </c>
      <c r="O488" t="s">
        <v>455</v>
      </c>
      <c r="T488" t="s">
        <v>122</v>
      </c>
      <c r="U488" t="s">
        <v>18</v>
      </c>
    </row>
    <row r="489" spans="8:21" x14ac:dyDescent="0.25">
      <c r="H489" t="s">
        <v>90</v>
      </c>
      <c r="I489" t="s">
        <v>86</v>
      </c>
      <c r="N489" t="s">
        <v>7922</v>
      </c>
      <c r="O489" t="s">
        <v>455</v>
      </c>
      <c r="T489" t="s">
        <v>122</v>
      </c>
      <c r="U489" t="s">
        <v>18</v>
      </c>
    </row>
    <row r="490" spans="8:21" x14ac:dyDescent="0.25">
      <c r="H490" t="s">
        <v>90</v>
      </c>
      <c r="I490" t="s">
        <v>86</v>
      </c>
      <c r="N490" t="s">
        <v>7299</v>
      </c>
      <c r="O490" t="s">
        <v>455</v>
      </c>
      <c r="T490" t="s">
        <v>122</v>
      </c>
      <c r="U490" t="s">
        <v>18</v>
      </c>
    </row>
    <row r="491" spans="8:21" x14ac:dyDescent="0.25">
      <c r="H491" t="s">
        <v>90</v>
      </c>
      <c r="I491" t="s">
        <v>86</v>
      </c>
      <c r="N491" t="s">
        <v>7358</v>
      </c>
      <c r="O491" t="s">
        <v>455</v>
      </c>
      <c r="T491" t="s">
        <v>122</v>
      </c>
      <c r="U491" t="s">
        <v>18</v>
      </c>
    </row>
    <row r="492" spans="8:21" x14ac:dyDescent="0.25">
      <c r="H492" t="s">
        <v>90</v>
      </c>
      <c r="I492" t="s">
        <v>86</v>
      </c>
      <c r="N492" t="s">
        <v>7058</v>
      </c>
      <c r="O492" t="s">
        <v>455</v>
      </c>
      <c r="T492" t="s">
        <v>122</v>
      </c>
      <c r="U492" t="s">
        <v>18</v>
      </c>
    </row>
    <row r="493" spans="8:21" x14ac:dyDescent="0.25">
      <c r="H493" t="s">
        <v>90</v>
      </c>
      <c r="I493" t="s">
        <v>86</v>
      </c>
      <c r="N493" t="s">
        <v>7058</v>
      </c>
      <c r="O493" t="s">
        <v>455</v>
      </c>
      <c r="T493" t="s">
        <v>122</v>
      </c>
      <c r="U493" t="s">
        <v>18</v>
      </c>
    </row>
    <row r="494" spans="8:21" x14ac:dyDescent="0.25">
      <c r="H494" t="s">
        <v>90</v>
      </c>
      <c r="I494" t="s">
        <v>86</v>
      </c>
      <c r="N494" t="s">
        <v>7759</v>
      </c>
      <c r="O494" t="s">
        <v>455</v>
      </c>
      <c r="T494" t="s">
        <v>122</v>
      </c>
      <c r="U494" t="s">
        <v>18</v>
      </c>
    </row>
    <row r="495" spans="8:21" x14ac:dyDescent="0.25">
      <c r="H495" t="s">
        <v>5769</v>
      </c>
      <c r="I495" t="s">
        <v>86</v>
      </c>
      <c r="N495" t="s">
        <v>7478</v>
      </c>
      <c r="O495" t="s">
        <v>455</v>
      </c>
      <c r="T495" t="s">
        <v>122</v>
      </c>
      <c r="U495" t="s">
        <v>18</v>
      </c>
    </row>
    <row r="496" spans="8:21" x14ac:dyDescent="0.25">
      <c r="H496" t="s">
        <v>5857</v>
      </c>
      <c r="I496" t="s">
        <v>86</v>
      </c>
      <c r="N496" t="s">
        <v>51</v>
      </c>
      <c r="O496" t="s">
        <v>456</v>
      </c>
      <c r="T496" t="s">
        <v>122</v>
      </c>
      <c r="U496" t="s">
        <v>18</v>
      </c>
    </row>
    <row r="497" spans="8:24" x14ac:dyDescent="0.25">
      <c r="H497" t="s">
        <v>6834</v>
      </c>
      <c r="I497" t="s">
        <v>86</v>
      </c>
      <c r="N497" t="s">
        <v>8068</v>
      </c>
      <c r="O497" t="s">
        <v>456</v>
      </c>
      <c r="T497" t="s">
        <v>122</v>
      </c>
      <c r="U497" t="s">
        <v>18</v>
      </c>
    </row>
    <row r="498" spans="8:24" x14ac:dyDescent="0.25">
      <c r="H498" t="s">
        <v>5779</v>
      </c>
      <c r="I498" t="s">
        <v>86</v>
      </c>
      <c r="N498" t="s">
        <v>8057</v>
      </c>
      <c r="O498" t="s">
        <v>456</v>
      </c>
      <c r="T498" t="s">
        <v>122</v>
      </c>
      <c r="U498" t="s">
        <v>18</v>
      </c>
    </row>
    <row r="499" spans="8:24" x14ac:dyDescent="0.25">
      <c r="H499" t="s">
        <v>5779</v>
      </c>
      <c r="I499" t="s">
        <v>86</v>
      </c>
      <c r="N499" t="s">
        <v>5764</v>
      </c>
      <c r="O499" t="s">
        <v>456</v>
      </c>
      <c r="T499" t="s">
        <v>122</v>
      </c>
      <c r="U499" t="s">
        <v>18</v>
      </c>
    </row>
    <row r="500" spans="8:24" x14ac:dyDescent="0.25">
      <c r="H500" t="s">
        <v>5779</v>
      </c>
      <c r="I500" t="s">
        <v>86</v>
      </c>
      <c r="N500" t="s">
        <v>7251</v>
      </c>
      <c r="O500" t="s">
        <v>456</v>
      </c>
      <c r="T500" t="s">
        <v>122</v>
      </c>
      <c r="U500" t="s">
        <v>18</v>
      </c>
    </row>
    <row r="501" spans="8:24" x14ac:dyDescent="0.25">
      <c r="H501" t="s">
        <v>5779</v>
      </c>
      <c r="I501" t="s">
        <v>86</v>
      </c>
      <c r="N501" t="s">
        <v>8056</v>
      </c>
      <c r="O501" t="s">
        <v>456</v>
      </c>
      <c r="T501" t="s">
        <v>122</v>
      </c>
      <c r="U501" t="s">
        <v>18</v>
      </c>
    </row>
    <row r="502" spans="8:24" x14ac:dyDescent="0.25">
      <c r="H502" t="s">
        <v>5779</v>
      </c>
      <c r="I502" t="s">
        <v>86</v>
      </c>
      <c r="N502" t="s">
        <v>398</v>
      </c>
      <c r="O502" t="s">
        <v>399</v>
      </c>
      <c r="T502" t="s">
        <v>122</v>
      </c>
      <c r="U502" t="s">
        <v>18</v>
      </c>
    </row>
    <row r="503" spans="8:24" x14ac:dyDescent="0.25">
      <c r="H503" t="s">
        <v>5779</v>
      </c>
      <c r="I503" t="s">
        <v>86</v>
      </c>
      <c r="N503" t="s">
        <v>398</v>
      </c>
      <c r="O503" t="s">
        <v>399</v>
      </c>
      <c r="T503" t="s">
        <v>122</v>
      </c>
      <c r="U503" t="s">
        <v>18</v>
      </c>
    </row>
    <row r="504" spans="8:24" x14ac:dyDescent="0.25">
      <c r="H504" t="s">
        <v>5331</v>
      </c>
      <c r="I504" t="s">
        <v>86</v>
      </c>
      <c r="N504" t="s">
        <v>398</v>
      </c>
      <c r="O504" t="s">
        <v>399</v>
      </c>
      <c r="T504" t="s">
        <v>122</v>
      </c>
      <c r="U504" t="s">
        <v>18</v>
      </c>
    </row>
    <row r="505" spans="8:24" x14ac:dyDescent="0.25">
      <c r="H505" t="s">
        <v>5331</v>
      </c>
      <c r="I505" t="s">
        <v>86</v>
      </c>
      <c r="N505" t="s">
        <v>398</v>
      </c>
      <c r="O505" t="s">
        <v>399</v>
      </c>
      <c r="T505" t="s">
        <v>122</v>
      </c>
      <c r="U505" t="s">
        <v>18</v>
      </c>
    </row>
    <row r="506" spans="8:24" x14ac:dyDescent="0.25">
      <c r="H506" t="s">
        <v>6692</v>
      </c>
      <c r="I506" t="s">
        <v>86</v>
      </c>
      <c r="N506" t="s">
        <v>398</v>
      </c>
      <c r="O506" t="s">
        <v>399</v>
      </c>
      <c r="T506" t="s">
        <v>4892</v>
      </c>
      <c r="U506" t="s">
        <v>18</v>
      </c>
    </row>
    <row r="507" spans="8:24" x14ac:dyDescent="0.25">
      <c r="H507" t="s">
        <v>5867</v>
      </c>
      <c r="I507" t="s">
        <v>86</v>
      </c>
      <c r="N507" t="s">
        <v>398</v>
      </c>
      <c r="O507" t="s">
        <v>399</v>
      </c>
      <c r="T507" t="s">
        <v>4892</v>
      </c>
      <c r="U507" t="s">
        <v>18</v>
      </c>
    </row>
    <row r="508" spans="8:24" x14ac:dyDescent="0.25">
      <c r="H508" t="s">
        <v>5831</v>
      </c>
      <c r="I508" t="s">
        <v>86</v>
      </c>
      <c r="N508" t="s">
        <v>398</v>
      </c>
      <c r="O508" t="s">
        <v>399</v>
      </c>
      <c r="T508" t="s">
        <v>4749</v>
      </c>
      <c r="U508" t="s">
        <v>18</v>
      </c>
    </row>
    <row r="509" spans="8:24" x14ac:dyDescent="0.25">
      <c r="H509" t="s">
        <v>5345</v>
      </c>
      <c r="I509" t="s">
        <v>86</v>
      </c>
      <c r="N509" t="s">
        <v>398</v>
      </c>
      <c r="O509" t="s">
        <v>399</v>
      </c>
      <c r="T509" t="s">
        <v>2726</v>
      </c>
      <c r="U509" t="s">
        <v>2728</v>
      </c>
      <c r="V509" t="s">
        <v>2757</v>
      </c>
      <c r="W509" t="s">
        <v>2759</v>
      </c>
      <c r="X509" t="s">
        <v>2758</v>
      </c>
    </row>
    <row r="510" spans="8:24" x14ac:dyDescent="0.25">
      <c r="H510" t="s">
        <v>5345</v>
      </c>
      <c r="I510" t="s">
        <v>86</v>
      </c>
      <c r="N510" t="s">
        <v>398</v>
      </c>
      <c r="O510" t="s">
        <v>399</v>
      </c>
      <c r="T510" t="s">
        <v>2726</v>
      </c>
      <c r="U510" t="s">
        <v>2728</v>
      </c>
      <c r="V510" t="s">
        <v>2757</v>
      </c>
      <c r="W510" t="s">
        <v>2759</v>
      </c>
      <c r="X510" t="s">
        <v>2758</v>
      </c>
    </row>
    <row r="511" spans="8:24" x14ac:dyDescent="0.25">
      <c r="H511" t="s">
        <v>5345</v>
      </c>
      <c r="I511" t="s">
        <v>86</v>
      </c>
      <c r="N511" t="s">
        <v>398</v>
      </c>
      <c r="O511" t="s">
        <v>399</v>
      </c>
      <c r="T511" t="s">
        <v>2726</v>
      </c>
      <c r="U511" t="s">
        <v>2728</v>
      </c>
      <c r="V511" t="s">
        <v>2757</v>
      </c>
      <c r="W511" t="s">
        <v>2759</v>
      </c>
      <c r="X511" t="s">
        <v>2758</v>
      </c>
    </row>
    <row r="512" spans="8:24" x14ac:dyDescent="0.25">
      <c r="H512" t="s">
        <v>6783</v>
      </c>
      <c r="I512" t="s">
        <v>86</v>
      </c>
      <c r="N512" t="s">
        <v>398</v>
      </c>
      <c r="O512" t="s">
        <v>399</v>
      </c>
      <c r="T512" t="s">
        <v>2726</v>
      </c>
      <c r="U512" t="s">
        <v>2728</v>
      </c>
      <c r="V512" t="s">
        <v>2757</v>
      </c>
      <c r="W512" t="s">
        <v>2759</v>
      </c>
      <c r="X512" t="s">
        <v>2758</v>
      </c>
    </row>
    <row r="513" spans="8:24" x14ac:dyDescent="0.25">
      <c r="H513" t="s">
        <v>5933</v>
      </c>
      <c r="I513" t="s">
        <v>86</v>
      </c>
      <c r="N513" t="s">
        <v>398</v>
      </c>
      <c r="O513" t="s">
        <v>399</v>
      </c>
      <c r="T513" t="s">
        <v>2726</v>
      </c>
      <c r="U513" t="s">
        <v>2728</v>
      </c>
      <c r="V513" t="s">
        <v>2757</v>
      </c>
      <c r="W513" t="s">
        <v>2759</v>
      </c>
      <c r="X513" t="s">
        <v>2758</v>
      </c>
    </row>
    <row r="514" spans="8:24" x14ac:dyDescent="0.25">
      <c r="H514" t="s">
        <v>5706</v>
      </c>
      <c r="I514" t="s">
        <v>86</v>
      </c>
      <c r="N514" t="s">
        <v>398</v>
      </c>
      <c r="O514" t="s">
        <v>399</v>
      </c>
      <c r="T514" t="s">
        <v>2732</v>
      </c>
      <c r="U514" t="s">
        <v>2733</v>
      </c>
      <c r="V514" t="s">
        <v>7999</v>
      </c>
    </row>
    <row r="515" spans="8:24" x14ac:dyDescent="0.25">
      <c r="H515" t="s">
        <v>6853</v>
      </c>
      <c r="I515" t="s">
        <v>86</v>
      </c>
      <c r="N515" t="s">
        <v>398</v>
      </c>
      <c r="O515" t="s">
        <v>399</v>
      </c>
      <c r="T515" t="s">
        <v>2734</v>
      </c>
      <c r="U515" t="s">
        <v>2735</v>
      </c>
      <c r="V515" t="s">
        <v>8001</v>
      </c>
    </row>
    <row r="516" spans="8:24" x14ac:dyDescent="0.25">
      <c r="H516" t="s">
        <v>5299</v>
      </c>
      <c r="I516" t="s">
        <v>86</v>
      </c>
      <c r="N516" t="s">
        <v>398</v>
      </c>
      <c r="O516" t="s">
        <v>399</v>
      </c>
      <c r="T516" t="s">
        <v>2736</v>
      </c>
      <c r="U516" t="s">
        <v>2737</v>
      </c>
      <c r="V516" t="s">
        <v>7998</v>
      </c>
    </row>
    <row r="517" spans="8:24" x14ac:dyDescent="0.25">
      <c r="H517" t="s">
        <v>5299</v>
      </c>
      <c r="I517" t="s">
        <v>86</v>
      </c>
      <c r="N517" t="s">
        <v>398</v>
      </c>
      <c r="O517" t="s">
        <v>399</v>
      </c>
      <c r="T517" t="s">
        <v>2736</v>
      </c>
      <c r="U517" t="s">
        <v>2737</v>
      </c>
      <c r="V517" t="s">
        <v>7998</v>
      </c>
    </row>
    <row r="518" spans="8:24" x14ac:dyDescent="0.25">
      <c r="H518" t="s">
        <v>5299</v>
      </c>
      <c r="I518" t="s">
        <v>86</v>
      </c>
      <c r="N518" t="s">
        <v>398</v>
      </c>
      <c r="O518" t="s">
        <v>399</v>
      </c>
      <c r="T518" t="s">
        <v>2736</v>
      </c>
      <c r="U518" t="s">
        <v>2737</v>
      </c>
      <c r="V518" t="s">
        <v>7998</v>
      </c>
    </row>
    <row r="519" spans="8:24" x14ac:dyDescent="0.25">
      <c r="H519" t="s">
        <v>5299</v>
      </c>
      <c r="I519" t="s">
        <v>86</v>
      </c>
      <c r="N519" t="s">
        <v>398</v>
      </c>
      <c r="O519" t="s">
        <v>399</v>
      </c>
      <c r="T519" t="s">
        <v>2736</v>
      </c>
      <c r="U519" t="s">
        <v>2737</v>
      </c>
      <c r="V519" t="s">
        <v>7998</v>
      </c>
    </row>
    <row r="520" spans="8:24" x14ac:dyDescent="0.25">
      <c r="H520" t="s">
        <v>6241</v>
      </c>
      <c r="I520" t="s">
        <v>86</v>
      </c>
      <c r="N520" t="s">
        <v>400</v>
      </c>
      <c r="O520" t="s">
        <v>401</v>
      </c>
      <c r="T520" t="s">
        <v>2736</v>
      </c>
      <c r="U520" t="s">
        <v>2737</v>
      </c>
      <c r="V520" t="s">
        <v>7998</v>
      </c>
    </row>
    <row r="521" spans="8:24" x14ac:dyDescent="0.25">
      <c r="H521" t="s">
        <v>6083</v>
      </c>
      <c r="I521" t="s">
        <v>86</v>
      </c>
      <c r="N521" t="s">
        <v>400</v>
      </c>
      <c r="O521" t="s">
        <v>401</v>
      </c>
      <c r="T521" t="s">
        <v>2736</v>
      </c>
      <c r="U521" t="s">
        <v>2737</v>
      </c>
      <c r="V521" t="s">
        <v>7998</v>
      </c>
    </row>
    <row r="522" spans="8:24" x14ac:dyDescent="0.25">
      <c r="H522" t="s">
        <v>5542</v>
      </c>
      <c r="I522" t="s">
        <v>86</v>
      </c>
      <c r="N522" t="s">
        <v>400</v>
      </c>
      <c r="O522" t="s">
        <v>401</v>
      </c>
      <c r="T522" t="s">
        <v>2736</v>
      </c>
      <c r="U522" t="s">
        <v>2737</v>
      </c>
      <c r="V522" t="s">
        <v>7998</v>
      </c>
    </row>
    <row r="523" spans="8:24" x14ac:dyDescent="0.25">
      <c r="H523" t="s">
        <v>6713</v>
      </c>
      <c r="I523" t="s">
        <v>86</v>
      </c>
      <c r="N523" t="s">
        <v>400</v>
      </c>
      <c r="O523" t="s">
        <v>401</v>
      </c>
      <c r="T523" t="s">
        <v>2736</v>
      </c>
      <c r="U523" t="s">
        <v>2737</v>
      </c>
      <c r="V523" t="s">
        <v>7998</v>
      </c>
    </row>
    <row r="524" spans="8:24" x14ac:dyDescent="0.25">
      <c r="H524" t="s">
        <v>6073</v>
      </c>
      <c r="I524" t="s">
        <v>86</v>
      </c>
      <c r="N524" t="s">
        <v>400</v>
      </c>
      <c r="O524" t="s">
        <v>401</v>
      </c>
      <c r="T524" t="s">
        <v>2736</v>
      </c>
      <c r="U524" t="s">
        <v>2737</v>
      </c>
      <c r="V524" t="s">
        <v>7998</v>
      </c>
    </row>
    <row r="525" spans="8:24" x14ac:dyDescent="0.25">
      <c r="H525" t="s">
        <v>91</v>
      </c>
      <c r="I525" t="s">
        <v>87</v>
      </c>
      <c r="N525" t="s">
        <v>400</v>
      </c>
      <c r="O525" t="s">
        <v>401</v>
      </c>
      <c r="T525" t="s">
        <v>2736</v>
      </c>
      <c r="U525" t="s">
        <v>2737</v>
      </c>
      <c r="V525" t="s">
        <v>7998</v>
      </c>
    </row>
    <row r="526" spans="8:24" x14ac:dyDescent="0.25">
      <c r="H526" t="s">
        <v>91</v>
      </c>
      <c r="I526" t="s">
        <v>87</v>
      </c>
      <c r="N526" t="s">
        <v>400</v>
      </c>
      <c r="O526" t="s">
        <v>401</v>
      </c>
      <c r="T526" t="s">
        <v>2741</v>
      </c>
      <c r="U526" t="s">
        <v>2742</v>
      </c>
    </row>
    <row r="527" spans="8:24" x14ac:dyDescent="0.25">
      <c r="H527" t="s">
        <v>91</v>
      </c>
      <c r="I527" t="s">
        <v>87</v>
      </c>
      <c r="N527" t="s">
        <v>400</v>
      </c>
      <c r="O527" t="s">
        <v>401</v>
      </c>
      <c r="T527" t="s">
        <v>2741</v>
      </c>
      <c r="U527" t="s">
        <v>2742</v>
      </c>
    </row>
    <row r="528" spans="8:24" x14ac:dyDescent="0.25">
      <c r="H528" t="s">
        <v>91</v>
      </c>
      <c r="I528" t="s">
        <v>87</v>
      </c>
      <c r="N528" t="s">
        <v>400</v>
      </c>
      <c r="O528" t="s">
        <v>401</v>
      </c>
      <c r="T528" t="s">
        <v>2741</v>
      </c>
      <c r="U528" t="s">
        <v>2742</v>
      </c>
    </row>
    <row r="529" spans="8:21" x14ac:dyDescent="0.25">
      <c r="H529" t="s">
        <v>91</v>
      </c>
      <c r="I529" t="s">
        <v>87</v>
      </c>
      <c r="N529" t="s">
        <v>400</v>
      </c>
      <c r="O529" t="s">
        <v>401</v>
      </c>
      <c r="T529" t="s">
        <v>2741</v>
      </c>
      <c r="U529" t="s">
        <v>2742</v>
      </c>
    </row>
    <row r="530" spans="8:21" x14ac:dyDescent="0.25">
      <c r="H530" t="s">
        <v>91</v>
      </c>
      <c r="I530" t="s">
        <v>87</v>
      </c>
      <c r="N530" t="s">
        <v>400</v>
      </c>
      <c r="O530" t="s">
        <v>401</v>
      </c>
      <c r="T530" t="s">
        <v>2741</v>
      </c>
      <c r="U530" t="s">
        <v>2742</v>
      </c>
    </row>
    <row r="531" spans="8:21" x14ac:dyDescent="0.25">
      <c r="H531" t="s">
        <v>91</v>
      </c>
      <c r="I531" t="s">
        <v>87</v>
      </c>
      <c r="N531" t="s">
        <v>400</v>
      </c>
      <c r="O531" t="s">
        <v>401</v>
      </c>
      <c r="T531" t="s">
        <v>2741</v>
      </c>
      <c r="U531" t="s">
        <v>2742</v>
      </c>
    </row>
    <row r="532" spans="8:21" x14ac:dyDescent="0.25">
      <c r="H532" t="s">
        <v>91</v>
      </c>
      <c r="I532" t="s">
        <v>87</v>
      </c>
      <c r="N532" t="s">
        <v>400</v>
      </c>
      <c r="O532" t="s">
        <v>401</v>
      </c>
      <c r="T532" t="s">
        <v>2741</v>
      </c>
      <c r="U532" t="s">
        <v>2742</v>
      </c>
    </row>
    <row r="533" spans="8:21" x14ac:dyDescent="0.25">
      <c r="H533" t="s">
        <v>91</v>
      </c>
      <c r="I533" t="s">
        <v>87</v>
      </c>
      <c r="N533" t="s">
        <v>400</v>
      </c>
      <c r="O533" t="s">
        <v>401</v>
      </c>
      <c r="T533" t="s">
        <v>2741</v>
      </c>
      <c r="U533" t="s">
        <v>2742</v>
      </c>
    </row>
    <row r="534" spans="8:21" x14ac:dyDescent="0.25">
      <c r="H534" t="s">
        <v>91</v>
      </c>
      <c r="I534" t="s">
        <v>87</v>
      </c>
      <c r="N534" t="s">
        <v>400</v>
      </c>
      <c r="O534" t="s">
        <v>401</v>
      </c>
      <c r="T534" t="s">
        <v>2741</v>
      </c>
      <c r="U534" t="s">
        <v>2742</v>
      </c>
    </row>
    <row r="535" spans="8:21" x14ac:dyDescent="0.25">
      <c r="H535" t="s">
        <v>91</v>
      </c>
      <c r="I535" t="s">
        <v>87</v>
      </c>
      <c r="N535" t="s">
        <v>400</v>
      </c>
      <c r="O535" t="s">
        <v>401</v>
      </c>
      <c r="T535" t="s">
        <v>2741</v>
      </c>
      <c r="U535" t="s">
        <v>2742</v>
      </c>
    </row>
    <row r="536" spans="8:21" x14ac:dyDescent="0.25">
      <c r="H536" t="s">
        <v>91</v>
      </c>
      <c r="I536" t="s">
        <v>87</v>
      </c>
      <c r="N536" t="s">
        <v>400</v>
      </c>
      <c r="O536" t="s">
        <v>401</v>
      </c>
      <c r="T536" t="s">
        <v>2741</v>
      </c>
      <c r="U536" t="s">
        <v>2742</v>
      </c>
    </row>
    <row r="537" spans="8:21" x14ac:dyDescent="0.25">
      <c r="H537" t="s">
        <v>91</v>
      </c>
      <c r="I537" t="s">
        <v>87</v>
      </c>
      <c r="N537" t="s">
        <v>400</v>
      </c>
      <c r="O537" t="s">
        <v>401</v>
      </c>
      <c r="T537" t="s">
        <v>2741</v>
      </c>
      <c r="U537" t="s">
        <v>2742</v>
      </c>
    </row>
    <row r="538" spans="8:21" x14ac:dyDescent="0.25">
      <c r="H538" t="s">
        <v>6682</v>
      </c>
      <c r="I538" t="s">
        <v>87</v>
      </c>
      <c r="N538" t="s">
        <v>400</v>
      </c>
      <c r="O538" t="s">
        <v>401</v>
      </c>
      <c r="T538" t="s">
        <v>2741</v>
      </c>
      <c r="U538" t="s">
        <v>2742</v>
      </c>
    </row>
    <row r="539" spans="8:21" x14ac:dyDescent="0.25">
      <c r="H539" t="s">
        <v>6175</v>
      </c>
      <c r="I539" t="s">
        <v>87</v>
      </c>
      <c r="N539" t="s">
        <v>400</v>
      </c>
      <c r="O539" t="s">
        <v>401</v>
      </c>
      <c r="T539" t="s">
        <v>2741</v>
      </c>
      <c r="U539" t="s">
        <v>2742</v>
      </c>
    </row>
    <row r="540" spans="8:21" x14ac:dyDescent="0.25">
      <c r="H540" t="s">
        <v>5702</v>
      </c>
      <c r="I540" t="s">
        <v>87</v>
      </c>
      <c r="N540" t="s">
        <v>7946</v>
      </c>
      <c r="O540" t="s">
        <v>401</v>
      </c>
      <c r="T540" t="s">
        <v>2741</v>
      </c>
      <c r="U540" t="s">
        <v>2742</v>
      </c>
    </row>
    <row r="541" spans="8:21" x14ac:dyDescent="0.25">
      <c r="H541" t="s">
        <v>5485</v>
      </c>
      <c r="I541" t="s">
        <v>87</v>
      </c>
      <c r="N541" t="s">
        <v>7946</v>
      </c>
      <c r="O541" t="s">
        <v>401</v>
      </c>
      <c r="T541" t="s">
        <v>2741</v>
      </c>
      <c r="U541" t="s">
        <v>2742</v>
      </c>
    </row>
    <row r="542" spans="8:21" x14ac:dyDescent="0.25">
      <c r="H542" t="s">
        <v>5485</v>
      </c>
      <c r="I542" t="s">
        <v>87</v>
      </c>
      <c r="N542" t="s">
        <v>7321</v>
      </c>
      <c r="O542" t="s">
        <v>401</v>
      </c>
      <c r="T542" t="s">
        <v>2741</v>
      </c>
      <c r="U542" t="s">
        <v>2742</v>
      </c>
    </row>
    <row r="543" spans="8:21" x14ac:dyDescent="0.25">
      <c r="H543" t="s">
        <v>5485</v>
      </c>
      <c r="I543" t="s">
        <v>87</v>
      </c>
      <c r="N543" t="s">
        <v>7839</v>
      </c>
      <c r="O543" t="s">
        <v>401</v>
      </c>
      <c r="T543" t="s">
        <v>2741</v>
      </c>
      <c r="U543" t="s">
        <v>2742</v>
      </c>
    </row>
    <row r="544" spans="8:21" x14ac:dyDescent="0.25">
      <c r="H544" t="s">
        <v>5940</v>
      </c>
      <c r="I544" t="s">
        <v>87</v>
      </c>
      <c r="N544" t="s">
        <v>7839</v>
      </c>
      <c r="O544" t="s">
        <v>401</v>
      </c>
      <c r="T544" t="s">
        <v>2741</v>
      </c>
      <c r="U544" t="s">
        <v>2742</v>
      </c>
    </row>
    <row r="545" spans="8:21" x14ac:dyDescent="0.25">
      <c r="H545" t="s">
        <v>5254</v>
      </c>
      <c r="I545" t="s">
        <v>87</v>
      </c>
      <c r="N545" t="s">
        <v>6919</v>
      </c>
      <c r="O545" t="s">
        <v>401</v>
      </c>
      <c r="T545" t="s">
        <v>2741</v>
      </c>
      <c r="U545" t="s">
        <v>2742</v>
      </c>
    </row>
    <row r="546" spans="8:21" x14ac:dyDescent="0.25">
      <c r="H546" t="s">
        <v>5967</v>
      </c>
      <c r="I546" t="s">
        <v>87</v>
      </c>
      <c r="N546" t="s">
        <v>6919</v>
      </c>
      <c r="O546" t="s">
        <v>401</v>
      </c>
      <c r="T546" t="s">
        <v>2741</v>
      </c>
      <c r="U546" t="s">
        <v>2742</v>
      </c>
    </row>
    <row r="547" spans="8:21" x14ac:dyDescent="0.25">
      <c r="H547" t="s">
        <v>5375</v>
      </c>
      <c r="I547" t="s">
        <v>87</v>
      </c>
      <c r="N547" t="s">
        <v>391</v>
      </c>
      <c r="O547" t="s">
        <v>58</v>
      </c>
      <c r="P547" t="s">
        <v>59</v>
      </c>
      <c r="Q547" t="s">
        <v>60</v>
      </c>
      <c r="T547" t="s">
        <v>2741</v>
      </c>
      <c r="U547" t="s">
        <v>2742</v>
      </c>
    </row>
    <row r="548" spans="8:21" x14ac:dyDescent="0.25">
      <c r="H548" t="s">
        <v>6197</v>
      </c>
      <c r="I548" t="s">
        <v>87</v>
      </c>
      <c r="N548" t="s">
        <v>391</v>
      </c>
      <c r="O548" t="s">
        <v>58</v>
      </c>
      <c r="P548" t="s">
        <v>59</v>
      </c>
      <c r="Q548" t="s">
        <v>60</v>
      </c>
      <c r="T548" t="s">
        <v>2741</v>
      </c>
      <c r="U548" t="s">
        <v>2742</v>
      </c>
    </row>
    <row r="549" spans="8:21" x14ac:dyDescent="0.25">
      <c r="H549" t="s">
        <v>5943</v>
      </c>
      <c r="I549" t="s">
        <v>87</v>
      </c>
      <c r="N549" t="s">
        <v>391</v>
      </c>
      <c r="O549" t="s">
        <v>58</v>
      </c>
      <c r="P549" t="s">
        <v>59</v>
      </c>
      <c r="Q549" t="s">
        <v>60</v>
      </c>
      <c r="T549" t="s">
        <v>2741</v>
      </c>
      <c r="U549" t="s">
        <v>2742</v>
      </c>
    </row>
    <row r="550" spans="8:21" x14ac:dyDescent="0.25">
      <c r="H550" t="s">
        <v>6156</v>
      </c>
      <c r="I550" t="s">
        <v>87</v>
      </c>
      <c r="N550" t="s">
        <v>391</v>
      </c>
      <c r="O550" t="s">
        <v>58</v>
      </c>
      <c r="P550" t="s">
        <v>59</v>
      </c>
      <c r="Q550" t="s">
        <v>60</v>
      </c>
      <c r="T550" t="s">
        <v>2741</v>
      </c>
      <c r="U550" t="s">
        <v>2742</v>
      </c>
    </row>
    <row r="551" spans="8:21" x14ac:dyDescent="0.25">
      <c r="H551" t="s">
        <v>6270</v>
      </c>
      <c r="I551" t="s">
        <v>87</v>
      </c>
      <c r="N551" t="s">
        <v>391</v>
      </c>
      <c r="O551" t="s">
        <v>58</v>
      </c>
      <c r="P551" t="s">
        <v>59</v>
      </c>
      <c r="Q551" t="s">
        <v>60</v>
      </c>
      <c r="T551" t="s">
        <v>2741</v>
      </c>
      <c r="U551" t="s">
        <v>2742</v>
      </c>
    </row>
    <row r="552" spans="8:21" x14ac:dyDescent="0.25">
      <c r="H552" t="s">
        <v>5809</v>
      </c>
      <c r="I552" t="s">
        <v>87</v>
      </c>
      <c r="N552" t="s">
        <v>391</v>
      </c>
      <c r="O552" t="s">
        <v>58</v>
      </c>
      <c r="P552" t="s">
        <v>59</v>
      </c>
      <c r="Q552" t="s">
        <v>60</v>
      </c>
      <c r="T552" t="s">
        <v>2741</v>
      </c>
      <c r="U552" t="s">
        <v>2742</v>
      </c>
    </row>
    <row r="553" spans="8:21" x14ac:dyDescent="0.25">
      <c r="H553" t="s">
        <v>5809</v>
      </c>
      <c r="I553" t="s">
        <v>87</v>
      </c>
      <c r="N553" t="s">
        <v>391</v>
      </c>
      <c r="O553" t="s">
        <v>58</v>
      </c>
      <c r="P553" t="s">
        <v>59</v>
      </c>
      <c r="Q553" t="s">
        <v>60</v>
      </c>
      <c r="T553" t="s">
        <v>2741</v>
      </c>
      <c r="U553" t="s">
        <v>2742</v>
      </c>
    </row>
    <row r="554" spans="8:21" x14ac:dyDescent="0.25">
      <c r="H554" t="s">
        <v>6195</v>
      </c>
      <c r="I554" t="s">
        <v>87</v>
      </c>
      <c r="N554" t="s">
        <v>391</v>
      </c>
      <c r="O554" t="s">
        <v>58</v>
      </c>
      <c r="P554" t="s">
        <v>59</v>
      </c>
      <c r="Q554" t="s">
        <v>60</v>
      </c>
      <c r="T554" t="s">
        <v>2741</v>
      </c>
      <c r="U554" t="s">
        <v>2742</v>
      </c>
    </row>
    <row r="555" spans="8:21" x14ac:dyDescent="0.25">
      <c r="H555" t="s">
        <v>6099</v>
      </c>
      <c r="I555" t="s">
        <v>87</v>
      </c>
      <c r="N555" t="s">
        <v>391</v>
      </c>
      <c r="O555" t="s">
        <v>58</v>
      </c>
      <c r="P555" t="s">
        <v>59</v>
      </c>
      <c r="Q555" t="s">
        <v>60</v>
      </c>
      <c r="T555" t="s">
        <v>2741</v>
      </c>
      <c r="U555" t="s">
        <v>2742</v>
      </c>
    </row>
    <row r="556" spans="8:21" x14ac:dyDescent="0.25">
      <c r="H556" t="s">
        <v>92</v>
      </c>
      <c r="I556" t="s">
        <v>88</v>
      </c>
      <c r="N556" t="s">
        <v>391</v>
      </c>
      <c r="O556" t="s">
        <v>58</v>
      </c>
      <c r="P556" t="s">
        <v>59</v>
      </c>
      <c r="Q556" t="s">
        <v>60</v>
      </c>
      <c r="T556" t="s">
        <v>2741</v>
      </c>
      <c r="U556" t="s">
        <v>2742</v>
      </c>
    </row>
    <row r="557" spans="8:21" x14ac:dyDescent="0.25">
      <c r="H557" t="s">
        <v>92</v>
      </c>
      <c r="I557" t="s">
        <v>88</v>
      </c>
      <c r="N557" t="s">
        <v>391</v>
      </c>
      <c r="O557" t="s">
        <v>58</v>
      </c>
      <c r="P557" t="s">
        <v>59</v>
      </c>
      <c r="Q557" t="s">
        <v>60</v>
      </c>
      <c r="T557" t="s">
        <v>2741</v>
      </c>
      <c r="U557" t="s">
        <v>2742</v>
      </c>
    </row>
    <row r="558" spans="8:21" x14ac:dyDescent="0.25">
      <c r="H558" t="s">
        <v>92</v>
      </c>
      <c r="I558" t="s">
        <v>88</v>
      </c>
      <c r="N558" t="s">
        <v>391</v>
      </c>
      <c r="O558" t="s">
        <v>58</v>
      </c>
      <c r="P558" t="s">
        <v>59</v>
      </c>
      <c r="Q558" t="s">
        <v>60</v>
      </c>
      <c r="T558" t="s">
        <v>2741</v>
      </c>
      <c r="U558" t="s">
        <v>2742</v>
      </c>
    </row>
    <row r="559" spans="8:21" x14ac:dyDescent="0.25">
      <c r="H559" t="s">
        <v>92</v>
      </c>
      <c r="I559" t="s">
        <v>88</v>
      </c>
      <c r="N559" t="s">
        <v>391</v>
      </c>
      <c r="O559" t="s">
        <v>58</v>
      </c>
      <c r="P559" t="s">
        <v>59</v>
      </c>
      <c r="Q559" t="s">
        <v>60</v>
      </c>
      <c r="T559" t="s">
        <v>2741</v>
      </c>
      <c r="U559" t="s">
        <v>2742</v>
      </c>
    </row>
    <row r="560" spans="8:21" x14ac:dyDescent="0.25">
      <c r="H560" t="s">
        <v>92</v>
      </c>
      <c r="I560" t="s">
        <v>88</v>
      </c>
      <c r="N560" t="s">
        <v>391</v>
      </c>
      <c r="O560" t="s">
        <v>58</v>
      </c>
      <c r="P560" t="s">
        <v>59</v>
      </c>
      <c r="Q560" t="s">
        <v>60</v>
      </c>
      <c r="T560" t="s">
        <v>2741</v>
      </c>
      <c r="U560" t="s">
        <v>2742</v>
      </c>
    </row>
    <row r="561" spans="8:21" x14ac:dyDescent="0.25">
      <c r="H561" t="s">
        <v>92</v>
      </c>
      <c r="I561" t="s">
        <v>88</v>
      </c>
      <c r="N561" t="s">
        <v>391</v>
      </c>
      <c r="O561" t="s">
        <v>58</v>
      </c>
      <c r="P561" t="s">
        <v>59</v>
      </c>
      <c r="Q561" t="s">
        <v>60</v>
      </c>
      <c r="T561" t="s">
        <v>2741</v>
      </c>
      <c r="U561" t="s">
        <v>2742</v>
      </c>
    </row>
    <row r="562" spans="8:21" x14ac:dyDescent="0.25">
      <c r="H562" t="s">
        <v>92</v>
      </c>
      <c r="I562" t="s">
        <v>88</v>
      </c>
      <c r="N562" t="s">
        <v>391</v>
      </c>
      <c r="O562" t="s">
        <v>58</v>
      </c>
      <c r="P562" t="s">
        <v>59</v>
      </c>
      <c r="Q562" t="s">
        <v>60</v>
      </c>
      <c r="T562" t="s">
        <v>2741</v>
      </c>
      <c r="U562" t="s">
        <v>2742</v>
      </c>
    </row>
    <row r="563" spans="8:21" x14ac:dyDescent="0.25">
      <c r="H563" t="s">
        <v>92</v>
      </c>
      <c r="I563" t="s">
        <v>88</v>
      </c>
      <c r="N563" t="s">
        <v>391</v>
      </c>
      <c r="O563" t="s">
        <v>58</v>
      </c>
      <c r="P563" t="s">
        <v>59</v>
      </c>
      <c r="Q563" t="s">
        <v>60</v>
      </c>
      <c r="T563" t="s">
        <v>2741</v>
      </c>
      <c r="U563" t="s">
        <v>2742</v>
      </c>
    </row>
    <row r="564" spans="8:21" x14ac:dyDescent="0.25">
      <c r="H564" t="s">
        <v>92</v>
      </c>
      <c r="I564" t="s">
        <v>88</v>
      </c>
      <c r="N564" t="s">
        <v>391</v>
      </c>
      <c r="O564" t="s">
        <v>58</v>
      </c>
      <c r="P564" t="s">
        <v>59</v>
      </c>
      <c r="Q564" t="s">
        <v>60</v>
      </c>
      <c r="T564" t="s">
        <v>2741</v>
      </c>
      <c r="U564" t="s">
        <v>2742</v>
      </c>
    </row>
    <row r="565" spans="8:21" x14ac:dyDescent="0.25">
      <c r="H565" t="s">
        <v>92</v>
      </c>
      <c r="I565" t="s">
        <v>88</v>
      </c>
      <c r="N565" t="s">
        <v>391</v>
      </c>
      <c r="O565" t="s">
        <v>58</v>
      </c>
      <c r="P565" t="s">
        <v>59</v>
      </c>
      <c r="Q565" t="s">
        <v>60</v>
      </c>
      <c r="T565" t="s">
        <v>2741</v>
      </c>
      <c r="U565" t="s">
        <v>2742</v>
      </c>
    </row>
    <row r="566" spans="8:21" x14ac:dyDescent="0.25">
      <c r="H566" t="s">
        <v>92</v>
      </c>
      <c r="I566" t="s">
        <v>88</v>
      </c>
      <c r="N566" t="s">
        <v>391</v>
      </c>
      <c r="O566" t="s">
        <v>58</v>
      </c>
      <c r="P566" t="s">
        <v>59</v>
      </c>
      <c r="Q566" t="s">
        <v>60</v>
      </c>
      <c r="T566" t="s">
        <v>2741</v>
      </c>
      <c r="U566" t="s">
        <v>2742</v>
      </c>
    </row>
    <row r="567" spans="8:21" x14ac:dyDescent="0.25">
      <c r="H567" t="s">
        <v>92</v>
      </c>
      <c r="I567" t="s">
        <v>88</v>
      </c>
      <c r="N567" t="s">
        <v>391</v>
      </c>
      <c r="O567" t="s">
        <v>58</v>
      </c>
      <c r="P567" t="s">
        <v>59</v>
      </c>
      <c r="Q567" t="s">
        <v>60</v>
      </c>
      <c r="T567" t="s">
        <v>2741</v>
      </c>
      <c r="U567" t="s">
        <v>2742</v>
      </c>
    </row>
    <row r="568" spans="8:21" x14ac:dyDescent="0.25">
      <c r="H568" t="s">
        <v>6537</v>
      </c>
      <c r="I568" t="s">
        <v>88</v>
      </c>
      <c r="N568" t="s">
        <v>391</v>
      </c>
      <c r="O568" t="s">
        <v>58</v>
      </c>
      <c r="P568" t="s">
        <v>59</v>
      </c>
      <c r="Q568" t="s">
        <v>60</v>
      </c>
      <c r="T568" t="s">
        <v>2741</v>
      </c>
      <c r="U568" t="s">
        <v>2742</v>
      </c>
    </row>
    <row r="569" spans="8:21" x14ac:dyDescent="0.25">
      <c r="H569" t="s">
        <v>5968</v>
      </c>
      <c r="I569" t="s">
        <v>88</v>
      </c>
      <c r="N569" t="s">
        <v>391</v>
      </c>
      <c r="O569" t="s">
        <v>58</v>
      </c>
      <c r="P569" t="s">
        <v>59</v>
      </c>
      <c r="Q569" t="s">
        <v>60</v>
      </c>
      <c r="T569" t="s">
        <v>2741</v>
      </c>
      <c r="U569" t="s">
        <v>2742</v>
      </c>
    </row>
    <row r="570" spans="8:21" x14ac:dyDescent="0.25">
      <c r="H570" t="s">
        <v>5829</v>
      </c>
      <c r="I570" t="s">
        <v>88</v>
      </c>
      <c r="N570" t="s">
        <v>391</v>
      </c>
      <c r="O570" t="s">
        <v>58</v>
      </c>
      <c r="P570" t="s">
        <v>59</v>
      </c>
      <c r="Q570" t="s">
        <v>60</v>
      </c>
      <c r="T570" t="s">
        <v>2741</v>
      </c>
      <c r="U570" t="s">
        <v>2742</v>
      </c>
    </row>
    <row r="571" spans="8:21" x14ac:dyDescent="0.25">
      <c r="H571" t="s">
        <v>5963</v>
      </c>
      <c r="I571" t="s">
        <v>88</v>
      </c>
      <c r="N571" t="s">
        <v>391</v>
      </c>
      <c r="O571" t="s">
        <v>58</v>
      </c>
      <c r="P571" t="s">
        <v>59</v>
      </c>
      <c r="Q571" t="s">
        <v>60</v>
      </c>
      <c r="T571" t="s">
        <v>2741</v>
      </c>
      <c r="U571" t="s">
        <v>2742</v>
      </c>
    </row>
    <row r="572" spans="8:21" x14ac:dyDescent="0.25">
      <c r="H572" t="s">
        <v>6320</v>
      </c>
      <c r="I572" t="s">
        <v>88</v>
      </c>
      <c r="N572" t="s">
        <v>391</v>
      </c>
      <c r="O572" t="s">
        <v>58</v>
      </c>
      <c r="P572" t="s">
        <v>59</v>
      </c>
      <c r="Q572" t="s">
        <v>60</v>
      </c>
      <c r="T572" t="s">
        <v>2741</v>
      </c>
      <c r="U572" t="s">
        <v>2742</v>
      </c>
    </row>
    <row r="573" spans="8:21" x14ac:dyDescent="0.25">
      <c r="H573" t="s">
        <v>6061</v>
      </c>
      <c r="I573" t="s">
        <v>88</v>
      </c>
      <c r="N573" t="s">
        <v>391</v>
      </c>
      <c r="O573" t="s">
        <v>58</v>
      </c>
      <c r="P573" t="s">
        <v>59</v>
      </c>
      <c r="Q573" t="s">
        <v>60</v>
      </c>
      <c r="T573" t="s">
        <v>2741</v>
      </c>
      <c r="U573" t="s">
        <v>2742</v>
      </c>
    </row>
    <row r="574" spans="8:21" x14ac:dyDescent="0.25">
      <c r="H574" t="s">
        <v>93</v>
      </c>
      <c r="I574" t="s">
        <v>89</v>
      </c>
      <c r="N574" t="s">
        <v>391</v>
      </c>
      <c r="O574" t="s">
        <v>58</v>
      </c>
      <c r="P574" t="s">
        <v>59</v>
      </c>
      <c r="Q574" t="s">
        <v>60</v>
      </c>
      <c r="T574" t="s">
        <v>2741</v>
      </c>
      <c r="U574" t="s">
        <v>2742</v>
      </c>
    </row>
    <row r="575" spans="8:21" x14ac:dyDescent="0.25">
      <c r="H575" t="s">
        <v>6565</v>
      </c>
      <c r="I575" t="s">
        <v>89</v>
      </c>
      <c r="N575" t="s">
        <v>391</v>
      </c>
      <c r="O575" t="s">
        <v>58</v>
      </c>
      <c r="P575" t="s">
        <v>59</v>
      </c>
      <c r="Q575" t="s">
        <v>60</v>
      </c>
      <c r="T575" t="s">
        <v>2741</v>
      </c>
      <c r="U575" t="s">
        <v>2742</v>
      </c>
    </row>
    <row r="576" spans="8:21" x14ac:dyDescent="0.25">
      <c r="H576" t="s">
        <v>14</v>
      </c>
      <c r="I576" t="s">
        <v>6</v>
      </c>
      <c r="J576" t="s">
        <v>259</v>
      </c>
      <c r="N576" t="s">
        <v>391</v>
      </c>
      <c r="O576" t="s">
        <v>58</v>
      </c>
      <c r="P576" t="s">
        <v>59</v>
      </c>
      <c r="Q576" t="s">
        <v>60</v>
      </c>
      <c r="T576" t="s">
        <v>2741</v>
      </c>
      <c r="U576" t="s">
        <v>2742</v>
      </c>
    </row>
    <row r="577" spans="8:21" x14ac:dyDescent="0.25">
      <c r="H577" t="s">
        <v>14</v>
      </c>
      <c r="I577" t="s">
        <v>6</v>
      </c>
      <c r="J577" t="s">
        <v>259</v>
      </c>
      <c r="N577" t="s">
        <v>391</v>
      </c>
      <c r="O577" t="s">
        <v>58</v>
      </c>
      <c r="P577" t="s">
        <v>59</v>
      </c>
      <c r="Q577" t="s">
        <v>60</v>
      </c>
      <c r="T577" t="s">
        <v>2741</v>
      </c>
      <c r="U577" t="s">
        <v>2742</v>
      </c>
    </row>
    <row r="578" spans="8:21" x14ac:dyDescent="0.25">
      <c r="H578" t="s">
        <v>14</v>
      </c>
      <c r="I578" t="s">
        <v>259</v>
      </c>
      <c r="J578" t="s">
        <v>6</v>
      </c>
      <c r="N578" t="s">
        <v>391</v>
      </c>
      <c r="O578" t="s">
        <v>58</v>
      </c>
      <c r="P578" t="s">
        <v>59</v>
      </c>
      <c r="Q578" t="s">
        <v>60</v>
      </c>
      <c r="T578" t="s">
        <v>2741</v>
      </c>
      <c r="U578" t="s">
        <v>2742</v>
      </c>
    </row>
    <row r="579" spans="8:21" x14ac:dyDescent="0.25">
      <c r="H579" t="s">
        <v>14</v>
      </c>
      <c r="I579" t="s">
        <v>6</v>
      </c>
      <c r="J579" t="s">
        <v>259</v>
      </c>
      <c r="N579" t="s">
        <v>391</v>
      </c>
      <c r="O579" t="s">
        <v>58</v>
      </c>
      <c r="P579" t="s">
        <v>59</v>
      </c>
      <c r="Q579" t="s">
        <v>60</v>
      </c>
      <c r="T579" t="s">
        <v>2741</v>
      </c>
      <c r="U579" t="s">
        <v>2742</v>
      </c>
    </row>
    <row r="580" spans="8:21" x14ac:dyDescent="0.25">
      <c r="H580" t="s">
        <v>14</v>
      </c>
      <c r="I580" t="s">
        <v>259</v>
      </c>
      <c r="J580" t="s">
        <v>6</v>
      </c>
      <c r="N580" t="s">
        <v>391</v>
      </c>
      <c r="O580" t="s">
        <v>58</v>
      </c>
      <c r="P580" t="s">
        <v>59</v>
      </c>
      <c r="Q580" t="s">
        <v>60</v>
      </c>
      <c r="T580" t="s">
        <v>2741</v>
      </c>
      <c r="U580" t="s">
        <v>2742</v>
      </c>
    </row>
    <row r="581" spans="8:21" x14ac:dyDescent="0.25">
      <c r="H581" t="s">
        <v>6357</v>
      </c>
      <c r="I581" t="s">
        <v>6</v>
      </c>
      <c r="J581" t="s">
        <v>259</v>
      </c>
      <c r="N581" t="s">
        <v>391</v>
      </c>
      <c r="O581" t="s">
        <v>58</v>
      </c>
      <c r="P581" t="s">
        <v>59</v>
      </c>
      <c r="Q581" t="s">
        <v>60</v>
      </c>
      <c r="T581" t="s">
        <v>2741</v>
      </c>
      <c r="U581" t="s">
        <v>2742</v>
      </c>
    </row>
    <row r="582" spans="8:21" x14ac:dyDescent="0.25">
      <c r="H582" t="s">
        <v>5321</v>
      </c>
      <c r="I582" t="s">
        <v>6</v>
      </c>
      <c r="N582" t="s">
        <v>391</v>
      </c>
      <c r="O582" t="s">
        <v>58</v>
      </c>
      <c r="P582" t="s">
        <v>59</v>
      </c>
      <c r="Q582" t="s">
        <v>60</v>
      </c>
      <c r="T582" t="s">
        <v>2741</v>
      </c>
      <c r="U582" t="s">
        <v>2742</v>
      </c>
    </row>
    <row r="583" spans="8:21" x14ac:dyDescent="0.25">
      <c r="H583" t="s">
        <v>5571</v>
      </c>
      <c r="I583" t="s">
        <v>6</v>
      </c>
      <c r="J583" t="s">
        <v>259</v>
      </c>
      <c r="N583" t="s">
        <v>391</v>
      </c>
      <c r="O583" t="s">
        <v>58</v>
      </c>
      <c r="P583" t="s">
        <v>59</v>
      </c>
      <c r="Q583" t="s">
        <v>60</v>
      </c>
      <c r="T583" t="s">
        <v>2741</v>
      </c>
      <c r="U583" t="s">
        <v>2742</v>
      </c>
    </row>
    <row r="584" spans="8:21" x14ac:dyDescent="0.25">
      <c r="H584" t="s">
        <v>5848</v>
      </c>
      <c r="I584" t="s">
        <v>6</v>
      </c>
      <c r="N584" t="s">
        <v>391</v>
      </c>
      <c r="O584" t="s">
        <v>58</v>
      </c>
      <c r="P584" t="s">
        <v>59</v>
      </c>
      <c r="Q584" t="s">
        <v>60</v>
      </c>
      <c r="T584" t="s">
        <v>2741</v>
      </c>
      <c r="U584" t="s">
        <v>2742</v>
      </c>
    </row>
    <row r="585" spans="8:21" x14ac:dyDescent="0.25">
      <c r="H585" t="s">
        <v>6779</v>
      </c>
      <c r="I585" t="s">
        <v>6</v>
      </c>
      <c r="J585" t="s">
        <v>259</v>
      </c>
      <c r="N585" t="s">
        <v>391</v>
      </c>
      <c r="O585" t="s">
        <v>58</v>
      </c>
      <c r="P585" t="s">
        <v>59</v>
      </c>
      <c r="Q585" t="s">
        <v>60</v>
      </c>
      <c r="T585" t="s">
        <v>2741</v>
      </c>
      <c r="U585" t="s">
        <v>2742</v>
      </c>
    </row>
    <row r="586" spans="8:21" x14ac:dyDescent="0.25">
      <c r="H586" t="s">
        <v>5711</v>
      </c>
      <c r="I586" t="s">
        <v>259</v>
      </c>
      <c r="J586" t="s">
        <v>6</v>
      </c>
      <c r="N586" t="s">
        <v>391</v>
      </c>
      <c r="O586" t="s">
        <v>58</v>
      </c>
      <c r="P586" t="s">
        <v>59</v>
      </c>
      <c r="Q586" t="s">
        <v>60</v>
      </c>
      <c r="T586" t="s">
        <v>2741</v>
      </c>
      <c r="U586" t="s">
        <v>2742</v>
      </c>
    </row>
    <row r="587" spans="8:21" x14ac:dyDescent="0.25">
      <c r="H587" t="s">
        <v>95</v>
      </c>
      <c r="I587" t="s">
        <v>94</v>
      </c>
      <c r="N587" t="s">
        <v>391</v>
      </c>
      <c r="O587" t="s">
        <v>58</v>
      </c>
      <c r="P587" t="s">
        <v>59</v>
      </c>
      <c r="Q587" t="s">
        <v>60</v>
      </c>
      <c r="T587" t="s">
        <v>2741</v>
      </c>
      <c r="U587" t="s">
        <v>2742</v>
      </c>
    </row>
    <row r="588" spans="8:21" x14ac:dyDescent="0.25">
      <c r="H588" t="s">
        <v>95</v>
      </c>
      <c r="I588" t="s">
        <v>94</v>
      </c>
      <c r="N588" t="s">
        <v>391</v>
      </c>
      <c r="O588" t="s">
        <v>58</v>
      </c>
      <c r="P588" t="s">
        <v>59</v>
      </c>
      <c r="Q588" t="s">
        <v>60</v>
      </c>
      <c r="T588" t="s">
        <v>2741</v>
      </c>
      <c r="U588" t="s">
        <v>2742</v>
      </c>
    </row>
    <row r="589" spans="8:21" x14ac:dyDescent="0.25">
      <c r="H589" t="s">
        <v>95</v>
      </c>
      <c r="I589" t="s">
        <v>94</v>
      </c>
      <c r="N589" t="s">
        <v>391</v>
      </c>
      <c r="O589" t="s">
        <v>58</v>
      </c>
      <c r="P589" t="s">
        <v>59</v>
      </c>
      <c r="Q589" t="s">
        <v>60</v>
      </c>
      <c r="T589" t="s">
        <v>2741</v>
      </c>
      <c r="U589" t="s">
        <v>2742</v>
      </c>
    </row>
    <row r="590" spans="8:21" x14ac:dyDescent="0.25">
      <c r="H590" t="s">
        <v>95</v>
      </c>
      <c r="I590" t="s">
        <v>94</v>
      </c>
      <c r="N590" t="s">
        <v>391</v>
      </c>
      <c r="O590" t="s">
        <v>58</v>
      </c>
      <c r="P590" t="s">
        <v>59</v>
      </c>
      <c r="Q590" t="s">
        <v>60</v>
      </c>
      <c r="T590" t="s">
        <v>2741</v>
      </c>
      <c r="U590" t="s">
        <v>2742</v>
      </c>
    </row>
    <row r="591" spans="8:21" x14ac:dyDescent="0.25">
      <c r="H591" t="s">
        <v>95</v>
      </c>
      <c r="I591" t="s">
        <v>94</v>
      </c>
      <c r="N591" t="s">
        <v>391</v>
      </c>
      <c r="O591" t="s">
        <v>58</v>
      </c>
      <c r="P591" t="s">
        <v>59</v>
      </c>
      <c r="Q591" t="s">
        <v>60</v>
      </c>
      <c r="T591" t="s">
        <v>2741</v>
      </c>
      <c r="U591" t="s">
        <v>2742</v>
      </c>
    </row>
    <row r="592" spans="8:21" x14ac:dyDescent="0.25">
      <c r="H592" t="s">
        <v>95</v>
      </c>
      <c r="I592" t="s">
        <v>94</v>
      </c>
      <c r="N592" t="s">
        <v>391</v>
      </c>
      <c r="O592" t="s">
        <v>58</v>
      </c>
      <c r="P592" t="s">
        <v>59</v>
      </c>
      <c r="Q592" t="s">
        <v>60</v>
      </c>
      <c r="T592" t="s">
        <v>2741</v>
      </c>
      <c r="U592" t="s">
        <v>2742</v>
      </c>
    </row>
    <row r="593" spans="8:21" x14ac:dyDescent="0.25">
      <c r="H593" t="s">
        <v>95</v>
      </c>
      <c r="I593" t="s">
        <v>94</v>
      </c>
      <c r="N593" t="s">
        <v>391</v>
      </c>
      <c r="O593" t="s">
        <v>58</v>
      </c>
      <c r="P593" t="s">
        <v>59</v>
      </c>
      <c r="Q593" t="s">
        <v>60</v>
      </c>
      <c r="T593" t="s">
        <v>2741</v>
      </c>
      <c r="U593" t="s">
        <v>2742</v>
      </c>
    </row>
    <row r="594" spans="8:21" x14ac:dyDescent="0.25">
      <c r="H594" t="s">
        <v>95</v>
      </c>
      <c r="I594" t="s">
        <v>94</v>
      </c>
      <c r="N594" t="s">
        <v>391</v>
      </c>
      <c r="O594" t="s">
        <v>58</v>
      </c>
      <c r="P594" t="s">
        <v>59</v>
      </c>
      <c r="Q594" t="s">
        <v>60</v>
      </c>
      <c r="T594" t="s">
        <v>2741</v>
      </c>
      <c r="U594" t="s">
        <v>2742</v>
      </c>
    </row>
    <row r="595" spans="8:21" x14ac:dyDescent="0.25">
      <c r="H595" t="s">
        <v>95</v>
      </c>
      <c r="I595" t="s">
        <v>94</v>
      </c>
      <c r="N595" t="s">
        <v>391</v>
      </c>
      <c r="O595" t="s">
        <v>58</v>
      </c>
      <c r="P595" t="s">
        <v>59</v>
      </c>
      <c r="Q595" t="s">
        <v>60</v>
      </c>
      <c r="T595" t="s">
        <v>2741</v>
      </c>
      <c r="U595" t="s">
        <v>2742</v>
      </c>
    </row>
    <row r="596" spans="8:21" x14ac:dyDescent="0.25">
      <c r="H596" t="s">
        <v>95</v>
      </c>
      <c r="I596" t="s">
        <v>94</v>
      </c>
      <c r="N596" t="s">
        <v>391</v>
      </c>
      <c r="O596" t="s">
        <v>58</v>
      </c>
      <c r="P596" t="s">
        <v>59</v>
      </c>
      <c r="Q596" t="s">
        <v>60</v>
      </c>
      <c r="T596" t="s">
        <v>2741</v>
      </c>
      <c r="U596" t="s">
        <v>2742</v>
      </c>
    </row>
    <row r="597" spans="8:21" x14ac:dyDescent="0.25">
      <c r="H597" t="s">
        <v>95</v>
      </c>
      <c r="I597" t="s">
        <v>94</v>
      </c>
      <c r="N597" t="s">
        <v>391</v>
      </c>
      <c r="O597" t="s">
        <v>58</v>
      </c>
      <c r="P597" t="s">
        <v>59</v>
      </c>
      <c r="Q597" t="s">
        <v>60</v>
      </c>
      <c r="T597" t="s">
        <v>2741</v>
      </c>
      <c r="U597" t="s">
        <v>2742</v>
      </c>
    </row>
    <row r="598" spans="8:21" x14ac:dyDescent="0.25">
      <c r="H598" t="s">
        <v>95</v>
      </c>
      <c r="I598" t="s">
        <v>94</v>
      </c>
      <c r="N598" t="s">
        <v>391</v>
      </c>
      <c r="O598" t="s">
        <v>58</v>
      </c>
      <c r="P598" t="s">
        <v>59</v>
      </c>
      <c r="Q598" t="s">
        <v>60</v>
      </c>
      <c r="T598" t="s">
        <v>2741</v>
      </c>
      <c r="U598" t="s">
        <v>2742</v>
      </c>
    </row>
    <row r="599" spans="8:21" x14ac:dyDescent="0.25">
      <c r="H599" t="s">
        <v>95</v>
      </c>
      <c r="I599" t="s">
        <v>94</v>
      </c>
      <c r="N599" t="s">
        <v>391</v>
      </c>
      <c r="O599" t="s">
        <v>58</v>
      </c>
      <c r="P599" t="s">
        <v>59</v>
      </c>
      <c r="Q599" t="s">
        <v>60</v>
      </c>
      <c r="T599" t="s">
        <v>2741</v>
      </c>
      <c r="U599" t="s">
        <v>2742</v>
      </c>
    </row>
    <row r="600" spans="8:21" x14ac:dyDescent="0.25">
      <c r="H600" t="s">
        <v>95</v>
      </c>
      <c r="I600" t="s">
        <v>94</v>
      </c>
      <c r="N600" t="s">
        <v>391</v>
      </c>
      <c r="O600" t="s">
        <v>58</v>
      </c>
      <c r="P600" t="s">
        <v>59</v>
      </c>
      <c r="Q600" t="s">
        <v>60</v>
      </c>
      <c r="T600" t="s">
        <v>2741</v>
      </c>
      <c r="U600" t="s">
        <v>2742</v>
      </c>
    </row>
    <row r="601" spans="8:21" x14ac:dyDescent="0.25">
      <c r="H601" t="s">
        <v>95</v>
      </c>
      <c r="I601" t="s">
        <v>94</v>
      </c>
      <c r="N601" t="s">
        <v>391</v>
      </c>
      <c r="O601" t="s">
        <v>58</v>
      </c>
      <c r="P601" t="s">
        <v>59</v>
      </c>
      <c r="Q601" t="s">
        <v>60</v>
      </c>
      <c r="T601" t="s">
        <v>2741</v>
      </c>
      <c r="U601" t="s">
        <v>2742</v>
      </c>
    </row>
    <row r="602" spans="8:21" x14ac:dyDescent="0.25">
      <c r="H602" t="s">
        <v>95</v>
      </c>
      <c r="I602" t="s">
        <v>94</v>
      </c>
      <c r="N602" t="s">
        <v>391</v>
      </c>
      <c r="O602" t="s">
        <v>58</v>
      </c>
      <c r="P602" t="s">
        <v>59</v>
      </c>
      <c r="Q602" t="s">
        <v>60</v>
      </c>
      <c r="T602" t="s">
        <v>2741</v>
      </c>
      <c r="U602" t="s">
        <v>2742</v>
      </c>
    </row>
    <row r="603" spans="8:21" x14ac:dyDescent="0.25">
      <c r="H603" t="s">
        <v>95</v>
      </c>
      <c r="I603" t="s">
        <v>94</v>
      </c>
      <c r="N603" t="s">
        <v>391</v>
      </c>
      <c r="O603" t="s">
        <v>58</v>
      </c>
      <c r="P603" t="s">
        <v>59</v>
      </c>
      <c r="Q603" t="s">
        <v>60</v>
      </c>
      <c r="T603" t="s">
        <v>2741</v>
      </c>
      <c r="U603" t="s">
        <v>2742</v>
      </c>
    </row>
    <row r="604" spans="8:21" x14ac:dyDescent="0.25">
      <c r="H604" t="s">
        <v>95</v>
      </c>
      <c r="I604" t="s">
        <v>94</v>
      </c>
      <c r="N604" t="s">
        <v>391</v>
      </c>
      <c r="O604" t="s">
        <v>58</v>
      </c>
      <c r="P604" t="s">
        <v>59</v>
      </c>
      <c r="Q604" t="s">
        <v>60</v>
      </c>
      <c r="T604" t="s">
        <v>2741</v>
      </c>
      <c r="U604" t="s">
        <v>2742</v>
      </c>
    </row>
    <row r="605" spans="8:21" x14ac:dyDescent="0.25">
      <c r="H605" t="s">
        <v>95</v>
      </c>
      <c r="I605" t="s">
        <v>94</v>
      </c>
      <c r="N605" t="s">
        <v>391</v>
      </c>
      <c r="O605" t="s">
        <v>58</v>
      </c>
      <c r="P605" t="s">
        <v>59</v>
      </c>
      <c r="Q605" t="s">
        <v>60</v>
      </c>
      <c r="T605" t="s">
        <v>2741</v>
      </c>
      <c r="U605" t="s">
        <v>2742</v>
      </c>
    </row>
    <row r="606" spans="8:21" x14ac:dyDescent="0.25">
      <c r="H606" t="s">
        <v>95</v>
      </c>
      <c r="I606" t="s">
        <v>94</v>
      </c>
      <c r="N606" t="s">
        <v>391</v>
      </c>
      <c r="O606" t="s">
        <v>58</v>
      </c>
      <c r="P606" t="s">
        <v>59</v>
      </c>
      <c r="Q606" t="s">
        <v>60</v>
      </c>
      <c r="T606" t="s">
        <v>2741</v>
      </c>
      <c r="U606" t="s">
        <v>2742</v>
      </c>
    </row>
    <row r="607" spans="8:21" x14ac:dyDescent="0.25">
      <c r="H607" t="s">
        <v>95</v>
      </c>
      <c r="I607" t="s">
        <v>94</v>
      </c>
      <c r="N607" t="s">
        <v>391</v>
      </c>
      <c r="O607" t="s">
        <v>58</v>
      </c>
      <c r="P607" t="s">
        <v>59</v>
      </c>
      <c r="Q607" t="s">
        <v>60</v>
      </c>
      <c r="T607" t="s">
        <v>2741</v>
      </c>
      <c r="U607" t="s">
        <v>2742</v>
      </c>
    </row>
    <row r="608" spans="8:21" x14ac:dyDescent="0.25">
      <c r="H608" t="s">
        <v>95</v>
      </c>
      <c r="I608" t="s">
        <v>94</v>
      </c>
      <c r="N608" t="s">
        <v>391</v>
      </c>
      <c r="O608" t="s">
        <v>58</v>
      </c>
      <c r="P608" t="s">
        <v>59</v>
      </c>
      <c r="Q608" t="s">
        <v>60</v>
      </c>
      <c r="T608" t="s">
        <v>2741</v>
      </c>
      <c r="U608" t="s">
        <v>2742</v>
      </c>
    </row>
    <row r="609" spans="8:21" x14ac:dyDescent="0.25">
      <c r="H609" t="s">
        <v>95</v>
      </c>
      <c r="I609" t="s">
        <v>94</v>
      </c>
      <c r="N609" t="s">
        <v>391</v>
      </c>
      <c r="O609" t="s">
        <v>58</v>
      </c>
      <c r="P609" t="s">
        <v>59</v>
      </c>
      <c r="Q609" t="s">
        <v>60</v>
      </c>
      <c r="T609" t="s">
        <v>2741</v>
      </c>
      <c r="U609" t="s">
        <v>2742</v>
      </c>
    </row>
    <row r="610" spans="8:21" x14ac:dyDescent="0.25">
      <c r="H610" t="s">
        <v>95</v>
      </c>
      <c r="I610" t="s">
        <v>94</v>
      </c>
      <c r="N610" t="s">
        <v>391</v>
      </c>
      <c r="O610" t="s">
        <v>58</v>
      </c>
      <c r="P610" t="s">
        <v>59</v>
      </c>
      <c r="Q610" t="s">
        <v>60</v>
      </c>
      <c r="T610" t="s">
        <v>2741</v>
      </c>
      <c r="U610" t="s">
        <v>2742</v>
      </c>
    </row>
    <row r="611" spans="8:21" x14ac:dyDescent="0.25">
      <c r="H611" t="s">
        <v>95</v>
      </c>
      <c r="I611" t="s">
        <v>94</v>
      </c>
      <c r="N611" t="s">
        <v>7235</v>
      </c>
      <c r="O611" t="s">
        <v>58</v>
      </c>
      <c r="P611" t="s">
        <v>59</v>
      </c>
      <c r="Q611" t="s">
        <v>60</v>
      </c>
      <c r="T611" t="s">
        <v>2741</v>
      </c>
      <c r="U611" t="s">
        <v>2742</v>
      </c>
    </row>
    <row r="612" spans="8:21" x14ac:dyDescent="0.25">
      <c r="H612" t="s">
        <v>95</v>
      </c>
      <c r="I612" t="s">
        <v>94</v>
      </c>
      <c r="N612" t="s">
        <v>7235</v>
      </c>
      <c r="O612" t="s">
        <v>58</v>
      </c>
      <c r="P612" t="s">
        <v>59</v>
      </c>
      <c r="Q612" t="s">
        <v>60</v>
      </c>
      <c r="T612" t="s">
        <v>2741</v>
      </c>
      <c r="U612" t="s">
        <v>2742</v>
      </c>
    </row>
    <row r="613" spans="8:21" x14ac:dyDescent="0.25">
      <c r="H613" t="s">
        <v>95</v>
      </c>
      <c r="I613" t="s">
        <v>94</v>
      </c>
      <c r="N613" t="s">
        <v>7953</v>
      </c>
      <c r="O613" t="s">
        <v>58</v>
      </c>
      <c r="P613" t="s">
        <v>59</v>
      </c>
      <c r="Q613" t="s">
        <v>60</v>
      </c>
      <c r="T613" t="s">
        <v>2741</v>
      </c>
      <c r="U613" t="s">
        <v>2742</v>
      </c>
    </row>
    <row r="614" spans="8:21" x14ac:dyDescent="0.25">
      <c r="H614" t="s">
        <v>95</v>
      </c>
      <c r="I614" t="s">
        <v>94</v>
      </c>
      <c r="N614" t="s">
        <v>7610</v>
      </c>
      <c r="O614" t="s">
        <v>58</v>
      </c>
      <c r="P614" t="s">
        <v>59</v>
      </c>
      <c r="Q614" t="s">
        <v>60</v>
      </c>
      <c r="T614" t="s">
        <v>2741</v>
      </c>
      <c r="U614" t="s">
        <v>2742</v>
      </c>
    </row>
    <row r="615" spans="8:21" x14ac:dyDescent="0.25">
      <c r="H615" t="s">
        <v>95</v>
      </c>
      <c r="I615" t="s">
        <v>94</v>
      </c>
      <c r="N615" t="s">
        <v>7425</v>
      </c>
      <c r="O615" t="s">
        <v>58</v>
      </c>
      <c r="P615" t="s">
        <v>59</v>
      </c>
      <c r="Q615" t="s">
        <v>60</v>
      </c>
      <c r="T615" t="s">
        <v>2741</v>
      </c>
      <c r="U615" t="s">
        <v>2742</v>
      </c>
    </row>
    <row r="616" spans="8:21" x14ac:dyDescent="0.25">
      <c r="H616" t="s">
        <v>95</v>
      </c>
      <c r="I616" t="s">
        <v>94</v>
      </c>
      <c r="N616" t="s">
        <v>7330</v>
      </c>
      <c r="O616" t="s">
        <v>58</v>
      </c>
      <c r="P616" t="s">
        <v>59</v>
      </c>
      <c r="Q616" t="s">
        <v>60</v>
      </c>
      <c r="T616" t="s">
        <v>2741</v>
      </c>
      <c r="U616" t="s">
        <v>2742</v>
      </c>
    </row>
    <row r="617" spans="8:21" x14ac:dyDescent="0.25">
      <c r="H617" t="s">
        <v>95</v>
      </c>
      <c r="I617" t="s">
        <v>94</v>
      </c>
      <c r="N617" t="s">
        <v>7618</v>
      </c>
      <c r="O617" t="s">
        <v>58</v>
      </c>
      <c r="P617" t="s">
        <v>59</v>
      </c>
      <c r="Q617" t="s">
        <v>60</v>
      </c>
      <c r="T617" t="s">
        <v>2741</v>
      </c>
      <c r="U617" t="s">
        <v>2742</v>
      </c>
    </row>
    <row r="618" spans="8:21" x14ac:dyDescent="0.25">
      <c r="H618" t="s">
        <v>95</v>
      </c>
      <c r="I618" t="s">
        <v>94</v>
      </c>
      <c r="N618" t="s">
        <v>7026</v>
      </c>
      <c r="O618" t="s">
        <v>58</v>
      </c>
      <c r="P618" t="s">
        <v>59</v>
      </c>
      <c r="Q618" t="s">
        <v>60</v>
      </c>
      <c r="T618" t="s">
        <v>2741</v>
      </c>
      <c r="U618" t="s">
        <v>2742</v>
      </c>
    </row>
    <row r="619" spans="8:21" x14ac:dyDescent="0.25">
      <c r="H619" t="s">
        <v>95</v>
      </c>
      <c r="I619" t="s">
        <v>94</v>
      </c>
      <c r="N619" t="s">
        <v>7053</v>
      </c>
      <c r="O619" t="s">
        <v>58</v>
      </c>
      <c r="P619" t="s">
        <v>59</v>
      </c>
      <c r="Q619" t="s">
        <v>60</v>
      </c>
      <c r="T619" t="s">
        <v>2741</v>
      </c>
      <c r="U619" t="s">
        <v>2742</v>
      </c>
    </row>
    <row r="620" spans="8:21" x14ac:dyDescent="0.25">
      <c r="H620" t="s">
        <v>95</v>
      </c>
      <c r="I620" t="s">
        <v>94</v>
      </c>
      <c r="N620" t="s">
        <v>7323</v>
      </c>
      <c r="O620" t="s">
        <v>58</v>
      </c>
      <c r="P620" t="s">
        <v>59</v>
      </c>
      <c r="Q620" t="s">
        <v>60</v>
      </c>
      <c r="T620" t="s">
        <v>2741</v>
      </c>
      <c r="U620" t="s">
        <v>2742</v>
      </c>
    </row>
    <row r="621" spans="8:21" x14ac:dyDescent="0.25">
      <c r="H621" t="s">
        <v>95</v>
      </c>
      <c r="I621" t="s">
        <v>94</v>
      </c>
      <c r="N621" t="s">
        <v>7249</v>
      </c>
      <c r="O621" t="s">
        <v>58</v>
      </c>
      <c r="P621" t="s">
        <v>59</v>
      </c>
      <c r="Q621" t="s">
        <v>60</v>
      </c>
      <c r="T621" t="s">
        <v>2741</v>
      </c>
      <c r="U621" t="s">
        <v>2742</v>
      </c>
    </row>
    <row r="622" spans="8:21" x14ac:dyDescent="0.25">
      <c r="H622" t="s">
        <v>95</v>
      </c>
      <c r="I622" t="s">
        <v>94</v>
      </c>
      <c r="N622" t="s">
        <v>7249</v>
      </c>
      <c r="O622" t="s">
        <v>58</v>
      </c>
      <c r="P622" t="s">
        <v>59</v>
      </c>
      <c r="Q622" t="s">
        <v>60</v>
      </c>
      <c r="T622" t="s">
        <v>2741</v>
      </c>
      <c r="U622" t="s">
        <v>2742</v>
      </c>
    </row>
    <row r="623" spans="8:21" x14ac:dyDescent="0.25">
      <c r="H623" t="s">
        <v>95</v>
      </c>
      <c r="I623" t="s">
        <v>94</v>
      </c>
      <c r="N623" t="s">
        <v>7696</v>
      </c>
      <c r="O623" t="s">
        <v>58</v>
      </c>
      <c r="P623" t="s">
        <v>59</v>
      </c>
      <c r="Q623" t="s">
        <v>60</v>
      </c>
      <c r="T623" t="s">
        <v>2741</v>
      </c>
      <c r="U623" t="s">
        <v>2742</v>
      </c>
    </row>
    <row r="624" spans="8:21" x14ac:dyDescent="0.25">
      <c r="H624" t="s">
        <v>95</v>
      </c>
      <c r="I624" t="s">
        <v>94</v>
      </c>
      <c r="N624" t="s">
        <v>7113</v>
      </c>
      <c r="O624" t="s">
        <v>58</v>
      </c>
      <c r="P624" t="s">
        <v>59</v>
      </c>
      <c r="Q624" t="s">
        <v>60</v>
      </c>
      <c r="T624" t="s">
        <v>2741</v>
      </c>
      <c r="U624" t="s">
        <v>2742</v>
      </c>
    </row>
    <row r="625" spans="8:22" x14ac:dyDescent="0.25">
      <c r="H625" t="s">
        <v>95</v>
      </c>
      <c r="I625" t="s">
        <v>94</v>
      </c>
      <c r="N625" t="s">
        <v>7113</v>
      </c>
      <c r="O625" t="s">
        <v>58</v>
      </c>
      <c r="P625" t="s">
        <v>59</v>
      </c>
      <c r="Q625" t="s">
        <v>60</v>
      </c>
      <c r="T625" t="s">
        <v>2741</v>
      </c>
      <c r="U625" t="s">
        <v>2742</v>
      </c>
    </row>
    <row r="626" spans="8:22" x14ac:dyDescent="0.25">
      <c r="H626" t="s">
        <v>95</v>
      </c>
      <c r="I626" t="s">
        <v>94</v>
      </c>
      <c r="N626" t="s">
        <v>6918</v>
      </c>
      <c r="O626" t="s">
        <v>58</v>
      </c>
      <c r="P626" t="s">
        <v>59</v>
      </c>
      <c r="Q626" t="s">
        <v>60</v>
      </c>
      <c r="T626" t="s">
        <v>2741</v>
      </c>
      <c r="U626" t="s">
        <v>2742</v>
      </c>
    </row>
    <row r="627" spans="8:22" x14ac:dyDescent="0.25">
      <c r="H627" t="s">
        <v>95</v>
      </c>
      <c r="I627" t="s">
        <v>94</v>
      </c>
      <c r="N627" t="s">
        <v>6945</v>
      </c>
      <c r="O627" t="s">
        <v>58</v>
      </c>
      <c r="P627" t="s">
        <v>59</v>
      </c>
      <c r="Q627" t="s">
        <v>60</v>
      </c>
      <c r="T627" t="s">
        <v>416</v>
      </c>
      <c r="U627" t="s">
        <v>515</v>
      </c>
      <c r="V627" t="s">
        <v>535</v>
      </c>
    </row>
    <row r="628" spans="8:22" x14ac:dyDescent="0.25">
      <c r="H628" t="s">
        <v>95</v>
      </c>
      <c r="I628" t="s">
        <v>94</v>
      </c>
      <c r="N628" t="s">
        <v>7504</v>
      </c>
      <c r="O628" t="s">
        <v>58</v>
      </c>
      <c r="P628" t="s">
        <v>59</v>
      </c>
      <c r="Q628" t="s">
        <v>60</v>
      </c>
      <c r="T628" t="s">
        <v>416</v>
      </c>
      <c r="U628" t="s">
        <v>515</v>
      </c>
    </row>
    <row r="629" spans="8:22" x14ac:dyDescent="0.25">
      <c r="H629" t="s">
        <v>95</v>
      </c>
      <c r="I629" t="s">
        <v>94</v>
      </c>
      <c r="N629" t="s">
        <v>7472</v>
      </c>
      <c r="O629" t="s">
        <v>58</v>
      </c>
      <c r="P629" t="s">
        <v>59</v>
      </c>
      <c r="Q629" t="s">
        <v>60</v>
      </c>
      <c r="T629" t="s">
        <v>416</v>
      </c>
      <c r="U629" t="s">
        <v>515</v>
      </c>
      <c r="V629" t="s">
        <v>535</v>
      </c>
    </row>
    <row r="630" spans="8:22" x14ac:dyDescent="0.25">
      <c r="H630" t="s">
        <v>6620</v>
      </c>
      <c r="I630" t="s">
        <v>94</v>
      </c>
      <c r="N630" t="s">
        <v>7295</v>
      </c>
      <c r="O630" t="s">
        <v>58</v>
      </c>
      <c r="P630" t="s">
        <v>59</v>
      </c>
      <c r="Q630" t="s">
        <v>60</v>
      </c>
      <c r="T630" t="s">
        <v>416</v>
      </c>
      <c r="U630" t="s">
        <v>535</v>
      </c>
      <c r="V630" t="s">
        <v>515</v>
      </c>
    </row>
    <row r="631" spans="8:22" x14ac:dyDescent="0.25">
      <c r="H631" t="s">
        <v>6735</v>
      </c>
      <c r="I631" t="s">
        <v>94</v>
      </c>
      <c r="N631" t="s">
        <v>63</v>
      </c>
      <c r="O631" t="s">
        <v>58</v>
      </c>
      <c r="T631" t="s">
        <v>416</v>
      </c>
      <c r="U631" t="s">
        <v>515</v>
      </c>
      <c r="V631" t="s">
        <v>535</v>
      </c>
    </row>
    <row r="632" spans="8:22" x14ac:dyDescent="0.25">
      <c r="H632" t="s">
        <v>4858</v>
      </c>
      <c r="I632" t="s">
        <v>94</v>
      </c>
      <c r="N632" t="s">
        <v>63</v>
      </c>
      <c r="O632" t="s">
        <v>58</v>
      </c>
      <c r="T632" t="s">
        <v>553</v>
      </c>
      <c r="U632" t="s">
        <v>515</v>
      </c>
      <c r="V632" t="s">
        <v>535</v>
      </c>
    </row>
    <row r="633" spans="8:22" x14ac:dyDescent="0.25">
      <c r="H633" t="s">
        <v>5329</v>
      </c>
      <c r="I633" t="s">
        <v>94</v>
      </c>
      <c r="N633" t="s">
        <v>63</v>
      </c>
      <c r="O633" t="s">
        <v>58</v>
      </c>
      <c r="T633" t="s">
        <v>553</v>
      </c>
      <c r="U633" t="s">
        <v>515</v>
      </c>
      <c r="V633" t="s">
        <v>535</v>
      </c>
    </row>
    <row r="634" spans="8:22" x14ac:dyDescent="0.25">
      <c r="H634" t="s">
        <v>6478</v>
      </c>
      <c r="I634" t="s">
        <v>94</v>
      </c>
      <c r="N634" t="s">
        <v>63</v>
      </c>
      <c r="O634" t="s">
        <v>58</v>
      </c>
      <c r="T634" t="s">
        <v>553</v>
      </c>
      <c r="U634" t="s">
        <v>515</v>
      </c>
      <c r="V634" t="s">
        <v>535</v>
      </c>
    </row>
    <row r="635" spans="8:22" x14ac:dyDescent="0.25">
      <c r="H635" t="s">
        <v>6787</v>
      </c>
      <c r="I635" t="s">
        <v>94</v>
      </c>
      <c r="N635" t="s">
        <v>64</v>
      </c>
      <c r="O635" t="s">
        <v>59</v>
      </c>
      <c r="T635" t="s">
        <v>553</v>
      </c>
      <c r="U635" t="s">
        <v>515</v>
      </c>
      <c r="V635" t="s">
        <v>535</v>
      </c>
    </row>
    <row r="636" spans="8:22" x14ac:dyDescent="0.25">
      <c r="H636" t="s">
        <v>5382</v>
      </c>
      <c r="I636" t="s">
        <v>94</v>
      </c>
      <c r="N636" t="s">
        <v>64</v>
      </c>
      <c r="O636" t="s">
        <v>59</v>
      </c>
      <c r="T636" t="s">
        <v>553</v>
      </c>
      <c r="U636" t="s">
        <v>515</v>
      </c>
      <c r="V636" t="s">
        <v>535</v>
      </c>
    </row>
    <row r="637" spans="8:22" x14ac:dyDescent="0.25">
      <c r="H637" t="s">
        <v>5554</v>
      </c>
      <c r="I637" t="s">
        <v>94</v>
      </c>
      <c r="N637" t="s">
        <v>65</v>
      </c>
      <c r="O637" t="s">
        <v>60</v>
      </c>
      <c r="T637" t="s">
        <v>553</v>
      </c>
      <c r="U637" t="s">
        <v>515</v>
      </c>
      <c r="V637" t="s">
        <v>535</v>
      </c>
    </row>
    <row r="638" spans="8:22" x14ac:dyDescent="0.25">
      <c r="H638" t="s">
        <v>4541</v>
      </c>
      <c r="I638" t="s">
        <v>94</v>
      </c>
      <c r="N638" t="s">
        <v>403</v>
      </c>
      <c r="O638" t="s">
        <v>404</v>
      </c>
      <c r="T638" t="s">
        <v>553</v>
      </c>
      <c r="U638" t="s">
        <v>515</v>
      </c>
      <c r="V638" t="s">
        <v>535</v>
      </c>
    </row>
    <row r="639" spans="8:22" x14ac:dyDescent="0.25">
      <c r="H639" t="s">
        <v>6177</v>
      </c>
      <c r="I639" t="s">
        <v>94</v>
      </c>
      <c r="N639" t="s">
        <v>403</v>
      </c>
      <c r="O639" t="s">
        <v>404</v>
      </c>
      <c r="T639" t="s">
        <v>4713</v>
      </c>
      <c r="U639" t="s">
        <v>515</v>
      </c>
    </row>
    <row r="640" spans="8:22" x14ac:dyDescent="0.25">
      <c r="H640" t="s">
        <v>5238</v>
      </c>
      <c r="I640" t="s">
        <v>94</v>
      </c>
      <c r="N640" t="s">
        <v>403</v>
      </c>
      <c r="O640" t="s">
        <v>404</v>
      </c>
      <c r="T640" t="s">
        <v>4732</v>
      </c>
      <c r="U640" t="s">
        <v>515</v>
      </c>
    </row>
    <row r="641" spans="8:22" x14ac:dyDescent="0.25">
      <c r="H641" t="s">
        <v>5743</v>
      </c>
      <c r="I641" t="s">
        <v>94</v>
      </c>
      <c r="N641" t="s">
        <v>403</v>
      </c>
      <c r="O641" t="s">
        <v>404</v>
      </c>
      <c r="T641" t="s">
        <v>4838</v>
      </c>
      <c r="U641" t="s">
        <v>515</v>
      </c>
      <c r="V641" t="s">
        <v>535</v>
      </c>
    </row>
    <row r="642" spans="8:22" x14ac:dyDescent="0.25">
      <c r="H642" t="s">
        <v>5743</v>
      </c>
      <c r="I642" t="s">
        <v>94</v>
      </c>
      <c r="N642" t="s">
        <v>403</v>
      </c>
      <c r="O642" t="s">
        <v>404</v>
      </c>
      <c r="T642" t="s">
        <v>4742</v>
      </c>
      <c r="U642" t="s">
        <v>535</v>
      </c>
      <c r="V642" t="s">
        <v>515</v>
      </c>
    </row>
    <row r="643" spans="8:22" x14ac:dyDescent="0.25">
      <c r="H643" t="s">
        <v>5743</v>
      </c>
      <c r="I643" t="s">
        <v>94</v>
      </c>
      <c r="N643" t="s">
        <v>403</v>
      </c>
      <c r="O643" t="s">
        <v>404</v>
      </c>
      <c r="T643" t="s">
        <v>4910</v>
      </c>
      <c r="U643" t="s">
        <v>515</v>
      </c>
      <c r="V643" t="s">
        <v>535</v>
      </c>
    </row>
    <row r="644" spans="8:22" x14ac:dyDescent="0.25">
      <c r="H644" t="s">
        <v>5743</v>
      </c>
      <c r="I644" t="s">
        <v>94</v>
      </c>
      <c r="N644" t="s">
        <v>403</v>
      </c>
      <c r="O644" t="s">
        <v>404</v>
      </c>
      <c r="T644" t="s">
        <v>4582</v>
      </c>
      <c r="U644" t="s">
        <v>515</v>
      </c>
    </row>
    <row r="645" spans="8:22" x14ac:dyDescent="0.25">
      <c r="H645" t="s">
        <v>5743</v>
      </c>
      <c r="I645" t="s">
        <v>94</v>
      </c>
      <c r="N645" t="s">
        <v>403</v>
      </c>
      <c r="O645" t="s">
        <v>404</v>
      </c>
      <c r="T645" t="s">
        <v>137</v>
      </c>
      <c r="U645" t="s">
        <v>23</v>
      </c>
    </row>
    <row r="646" spans="8:22" x14ac:dyDescent="0.25">
      <c r="H646" t="s">
        <v>6721</v>
      </c>
      <c r="I646" t="s">
        <v>94</v>
      </c>
      <c r="N646" t="s">
        <v>403</v>
      </c>
      <c r="O646" t="s">
        <v>404</v>
      </c>
      <c r="T646" t="s">
        <v>137</v>
      </c>
      <c r="U646" t="s">
        <v>23</v>
      </c>
    </row>
    <row r="647" spans="8:22" x14ac:dyDescent="0.25">
      <c r="H647" t="s">
        <v>47</v>
      </c>
      <c r="I647" t="s">
        <v>452</v>
      </c>
      <c r="N647" t="s">
        <v>403</v>
      </c>
      <c r="O647" t="s">
        <v>404</v>
      </c>
      <c r="T647" t="s">
        <v>137</v>
      </c>
      <c r="U647" t="s">
        <v>23</v>
      </c>
    </row>
    <row r="648" spans="8:22" x14ac:dyDescent="0.25">
      <c r="H648" t="s">
        <v>47</v>
      </c>
      <c r="I648" t="s">
        <v>452</v>
      </c>
      <c r="N648" t="s">
        <v>403</v>
      </c>
      <c r="O648" t="s">
        <v>404</v>
      </c>
      <c r="T648" t="s">
        <v>137</v>
      </c>
      <c r="U648" t="s">
        <v>23</v>
      </c>
    </row>
    <row r="649" spans="8:22" x14ac:dyDescent="0.25">
      <c r="H649" t="s">
        <v>47</v>
      </c>
      <c r="I649" t="s">
        <v>452</v>
      </c>
      <c r="N649" t="s">
        <v>403</v>
      </c>
      <c r="O649" t="s">
        <v>404</v>
      </c>
      <c r="T649" t="s">
        <v>137</v>
      </c>
      <c r="U649" t="s">
        <v>23</v>
      </c>
    </row>
    <row r="650" spans="8:22" x14ac:dyDescent="0.25">
      <c r="H650" t="s">
        <v>47</v>
      </c>
      <c r="I650" t="s">
        <v>452</v>
      </c>
      <c r="N650" t="s">
        <v>403</v>
      </c>
      <c r="O650" t="s">
        <v>404</v>
      </c>
      <c r="T650" t="s">
        <v>137</v>
      </c>
      <c r="U650" t="s">
        <v>23</v>
      </c>
    </row>
    <row r="651" spans="8:22" x14ac:dyDescent="0.25">
      <c r="H651" t="s">
        <v>47</v>
      </c>
      <c r="I651" t="s">
        <v>452</v>
      </c>
      <c r="N651" t="s">
        <v>403</v>
      </c>
      <c r="O651" t="s">
        <v>404</v>
      </c>
      <c r="T651" t="s">
        <v>137</v>
      </c>
      <c r="U651" t="s">
        <v>23</v>
      </c>
    </row>
    <row r="652" spans="8:22" x14ac:dyDescent="0.25">
      <c r="H652" t="s">
        <v>47</v>
      </c>
      <c r="I652" t="s">
        <v>452</v>
      </c>
      <c r="N652" t="s">
        <v>46</v>
      </c>
      <c r="O652" t="s">
        <v>24</v>
      </c>
      <c r="T652" t="s">
        <v>2680</v>
      </c>
      <c r="U652" t="s">
        <v>2656</v>
      </c>
    </row>
    <row r="653" spans="8:22" x14ac:dyDescent="0.25">
      <c r="H653" t="s">
        <v>47</v>
      </c>
      <c r="I653" t="s">
        <v>452</v>
      </c>
      <c r="N653" t="s">
        <v>46</v>
      </c>
      <c r="O653" t="s">
        <v>24</v>
      </c>
      <c r="T653" t="s">
        <v>2680</v>
      </c>
      <c r="U653" t="s">
        <v>2656</v>
      </c>
    </row>
    <row r="654" spans="8:22" x14ac:dyDescent="0.25">
      <c r="H654" t="s">
        <v>47</v>
      </c>
      <c r="I654" t="s">
        <v>452</v>
      </c>
      <c r="N654" t="s">
        <v>46</v>
      </c>
      <c r="O654" t="s">
        <v>24</v>
      </c>
      <c r="T654" t="s">
        <v>2680</v>
      </c>
      <c r="U654" t="s">
        <v>2656</v>
      </c>
    </row>
    <row r="655" spans="8:22" x14ac:dyDescent="0.25">
      <c r="H655" t="s">
        <v>47</v>
      </c>
      <c r="I655" t="s">
        <v>452</v>
      </c>
      <c r="N655" t="s">
        <v>46</v>
      </c>
      <c r="O655" t="s">
        <v>24</v>
      </c>
      <c r="T655" t="s">
        <v>2680</v>
      </c>
      <c r="U655" t="s">
        <v>2656</v>
      </c>
    </row>
    <row r="656" spans="8:22" x14ac:dyDescent="0.25">
      <c r="H656" t="s">
        <v>47</v>
      </c>
      <c r="I656" t="s">
        <v>452</v>
      </c>
      <c r="N656" t="s">
        <v>46</v>
      </c>
      <c r="O656" t="s">
        <v>24</v>
      </c>
      <c r="T656" t="s">
        <v>2680</v>
      </c>
      <c r="U656" t="s">
        <v>2656</v>
      </c>
    </row>
    <row r="657" spans="8:21" x14ac:dyDescent="0.25">
      <c r="H657" t="s">
        <v>47</v>
      </c>
      <c r="I657" t="s">
        <v>452</v>
      </c>
      <c r="N657" t="s">
        <v>46</v>
      </c>
      <c r="O657" t="s">
        <v>24</v>
      </c>
      <c r="T657" t="s">
        <v>2680</v>
      </c>
      <c r="U657" t="s">
        <v>2656</v>
      </c>
    </row>
    <row r="658" spans="8:21" x14ac:dyDescent="0.25">
      <c r="H658" t="s">
        <v>47</v>
      </c>
      <c r="I658" t="s">
        <v>452</v>
      </c>
      <c r="N658" t="s">
        <v>46</v>
      </c>
      <c r="O658" t="s">
        <v>24</v>
      </c>
      <c r="T658" t="s">
        <v>2680</v>
      </c>
      <c r="U658" t="s">
        <v>2656</v>
      </c>
    </row>
    <row r="659" spans="8:21" x14ac:dyDescent="0.25">
      <c r="H659" t="s">
        <v>5894</v>
      </c>
      <c r="I659" t="s">
        <v>452</v>
      </c>
      <c r="N659" t="s">
        <v>46</v>
      </c>
      <c r="O659" t="s">
        <v>24</v>
      </c>
      <c r="T659" t="s">
        <v>2680</v>
      </c>
      <c r="U659" t="s">
        <v>2656</v>
      </c>
    </row>
    <row r="660" spans="8:21" x14ac:dyDescent="0.25">
      <c r="H660" t="s">
        <v>6749</v>
      </c>
      <c r="I660" t="s">
        <v>452</v>
      </c>
      <c r="N660" t="s">
        <v>46</v>
      </c>
      <c r="O660" t="s">
        <v>24</v>
      </c>
      <c r="T660" t="s">
        <v>2680</v>
      </c>
      <c r="U660" t="s">
        <v>2656</v>
      </c>
    </row>
    <row r="661" spans="8:21" x14ac:dyDescent="0.25">
      <c r="H661" t="s">
        <v>6615</v>
      </c>
      <c r="I661" t="s">
        <v>452</v>
      </c>
      <c r="N661" t="s">
        <v>46</v>
      </c>
      <c r="O661" t="s">
        <v>24</v>
      </c>
      <c r="T661" t="s">
        <v>2680</v>
      </c>
      <c r="U661" t="s">
        <v>2656</v>
      </c>
    </row>
    <row r="662" spans="8:21" x14ac:dyDescent="0.25">
      <c r="H662" t="s">
        <v>5260</v>
      </c>
      <c r="I662" t="s">
        <v>452</v>
      </c>
      <c r="N662" t="s">
        <v>46</v>
      </c>
      <c r="O662" t="s">
        <v>24</v>
      </c>
      <c r="T662" t="s">
        <v>2680</v>
      </c>
      <c r="U662" t="s">
        <v>2656</v>
      </c>
    </row>
    <row r="663" spans="8:21" x14ac:dyDescent="0.25">
      <c r="H663" t="s">
        <v>6438</v>
      </c>
      <c r="I663" t="s">
        <v>452</v>
      </c>
      <c r="N663" t="s">
        <v>46</v>
      </c>
      <c r="O663" t="s">
        <v>24</v>
      </c>
      <c r="T663" t="s">
        <v>2680</v>
      </c>
      <c r="U663" t="s">
        <v>2656</v>
      </c>
    </row>
    <row r="664" spans="8:21" x14ac:dyDescent="0.25">
      <c r="H664" t="s">
        <v>6657</v>
      </c>
      <c r="I664" t="s">
        <v>452</v>
      </c>
      <c r="N664" t="s">
        <v>46</v>
      </c>
      <c r="O664" t="s">
        <v>24</v>
      </c>
      <c r="T664" t="s">
        <v>2680</v>
      </c>
      <c r="U664" t="s">
        <v>2656</v>
      </c>
    </row>
    <row r="665" spans="8:21" x14ac:dyDescent="0.25">
      <c r="H665" t="s">
        <v>5219</v>
      </c>
      <c r="I665" t="s">
        <v>452</v>
      </c>
      <c r="N665" t="s">
        <v>46</v>
      </c>
      <c r="O665" t="s">
        <v>24</v>
      </c>
      <c r="T665" t="s">
        <v>2680</v>
      </c>
      <c r="U665" t="s">
        <v>2656</v>
      </c>
    </row>
    <row r="666" spans="8:21" x14ac:dyDescent="0.25">
      <c r="H666" t="s">
        <v>5521</v>
      </c>
      <c r="I666" t="s">
        <v>452</v>
      </c>
      <c r="N666" t="s">
        <v>46</v>
      </c>
      <c r="O666" t="s">
        <v>24</v>
      </c>
      <c r="T666" t="s">
        <v>2680</v>
      </c>
      <c r="U666" t="s">
        <v>2656</v>
      </c>
    </row>
    <row r="667" spans="8:21" x14ac:dyDescent="0.25">
      <c r="H667" t="s">
        <v>5521</v>
      </c>
      <c r="I667" t="s">
        <v>452</v>
      </c>
      <c r="N667" t="s">
        <v>46</v>
      </c>
      <c r="O667" t="s">
        <v>24</v>
      </c>
      <c r="T667" t="s">
        <v>4727</v>
      </c>
      <c r="U667" t="s">
        <v>2656</v>
      </c>
    </row>
    <row r="668" spans="8:21" x14ac:dyDescent="0.25">
      <c r="H668" t="s">
        <v>5770</v>
      </c>
      <c r="I668" t="s">
        <v>452</v>
      </c>
      <c r="N668" t="s">
        <v>46</v>
      </c>
      <c r="O668" t="s">
        <v>24</v>
      </c>
      <c r="T668" t="s">
        <v>4727</v>
      </c>
      <c r="U668" t="s">
        <v>2656</v>
      </c>
    </row>
    <row r="669" spans="8:21" x14ac:dyDescent="0.25">
      <c r="H669" t="s">
        <v>6208</v>
      </c>
      <c r="I669" t="s">
        <v>452</v>
      </c>
      <c r="N669" t="s">
        <v>46</v>
      </c>
      <c r="O669" t="s">
        <v>24</v>
      </c>
      <c r="T669" t="s">
        <v>2667</v>
      </c>
      <c r="U669" t="s">
        <v>2655</v>
      </c>
    </row>
    <row r="670" spans="8:21" x14ac:dyDescent="0.25">
      <c r="H670" t="s">
        <v>6353</v>
      </c>
      <c r="I670" t="s">
        <v>452</v>
      </c>
      <c r="N670" t="s">
        <v>46</v>
      </c>
      <c r="O670" t="s">
        <v>24</v>
      </c>
      <c r="T670" t="s">
        <v>2667</v>
      </c>
      <c r="U670" t="s">
        <v>2655</v>
      </c>
    </row>
    <row r="671" spans="8:21" x14ac:dyDescent="0.25">
      <c r="H671" t="s">
        <v>6840</v>
      </c>
      <c r="I671" t="s">
        <v>452</v>
      </c>
      <c r="N671" t="s">
        <v>46</v>
      </c>
      <c r="O671" t="s">
        <v>24</v>
      </c>
      <c r="T671" t="s">
        <v>2667</v>
      </c>
      <c r="U671" t="s">
        <v>2655</v>
      </c>
    </row>
    <row r="672" spans="8:21" x14ac:dyDescent="0.25">
      <c r="H672" t="s">
        <v>5911</v>
      </c>
      <c r="I672" t="s">
        <v>452</v>
      </c>
      <c r="N672" t="s">
        <v>39</v>
      </c>
      <c r="O672" t="s">
        <v>33</v>
      </c>
      <c r="T672" t="s">
        <v>2667</v>
      </c>
      <c r="U672" t="s">
        <v>2655</v>
      </c>
    </row>
    <row r="673" spans="8:21" x14ac:dyDescent="0.25">
      <c r="H673" t="s">
        <v>6279</v>
      </c>
      <c r="I673" t="s">
        <v>452</v>
      </c>
      <c r="N673" t="s">
        <v>39</v>
      </c>
      <c r="O673" t="s">
        <v>33</v>
      </c>
      <c r="T673" t="s">
        <v>2667</v>
      </c>
      <c r="U673" t="s">
        <v>2655</v>
      </c>
    </row>
    <row r="674" spans="8:21" x14ac:dyDescent="0.25">
      <c r="H674" t="s">
        <v>5609</v>
      </c>
      <c r="I674" t="s">
        <v>452</v>
      </c>
      <c r="N674" t="s">
        <v>39</v>
      </c>
      <c r="O674" t="s">
        <v>33</v>
      </c>
      <c r="T674" t="s">
        <v>2667</v>
      </c>
      <c r="U674" t="s">
        <v>2655</v>
      </c>
    </row>
    <row r="675" spans="8:21" x14ac:dyDescent="0.25">
      <c r="H675" t="s">
        <v>5609</v>
      </c>
      <c r="I675" t="s">
        <v>452</v>
      </c>
      <c r="N675" t="s">
        <v>39</v>
      </c>
      <c r="O675" t="s">
        <v>33</v>
      </c>
      <c r="T675" t="s">
        <v>2667</v>
      </c>
      <c r="U675" t="s">
        <v>2655</v>
      </c>
    </row>
    <row r="676" spans="8:21" x14ac:dyDescent="0.25">
      <c r="H676" t="s">
        <v>48</v>
      </c>
      <c r="I676" t="s">
        <v>453</v>
      </c>
      <c r="N676" t="s">
        <v>39</v>
      </c>
      <c r="O676" t="s">
        <v>33</v>
      </c>
      <c r="T676" t="s">
        <v>2667</v>
      </c>
      <c r="U676" t="s">
        <v>2655</v>
      </c>
    </row>
    <row r="677" spans="8:21" x14ac:dyDescent="0.25">
      <c r="H677" t="s">
        <v>48</v>
      </c>
      <c r="I677" t="s">
        <v>453</v>
      </c>
      <c r="N677" t="s">
        <v>39</v>
      </c>
      <c r="O677" t="s">
        <v>33</v>
      </c>
      <c r="T677" t="s">
        <v>2667</v>
      </c>
      <c r="U677" t="s">
        <v>2655</v>
      </c>
    </row>
    <row r="678" spans="8:21" x14ac:dyDescent="0.25">
      <c r="H678" t="s">
        <v>48</v>
      </c>
      <c r="I678" t="s">
        <v>453</v>
      </c>
      <c r="N678" t="s">
        <v>39</v>
      </c>
      <c r="O678" t="s">
        <v>33</v>
      </c>
      <c r="T678" t="s">
        <v>2667</v>
      </c>
      <c r="U678" t="s">
        <v>2655</v>
      </c>
    </row>
    <row r="679" spans="8:21" x14ac:dyDescent="0.25">
      <c r="H679" t="s">
        <v>5995</v>
      </c>
      <c r="I679" t="s">
        <v>453</v>
      </c>
      <c r="N679" t="s">
        <v>39</v>
      </c>
      <c r="O679" t="s">
        <v>33</v>
      </c>
      <c r="T679" t="s">
        <v>2667</v>
      </c>
      <c r="U679" t="s">
        <v>2655</v>
      </c>
    </row>
    <row r="680" spans="8:21" x14ac:dyDescent="0.25">
      <c r="H680" t="s">
        <v>6408</v>
      </c>
      <c r="I680" t="s">
        <v>453</v>
      </c>
      <c r="N680" t="s">
        <v>39</v>
      </c>
      <c r="O680" t="s">
        <v>33</v>
      </c>
      <c r="T680" t="s">
        <v>2667</v>
      </c>
      <c r="U680" t="s">
        <v>2655</v>
      </c>
    </row>
    <row r="681" spans="8:21" x14ac:dyDescent="0.25">
      <c r="H681" t="s">
        <v>6135</v>
      </c>
      <c r="I681" t="s">
        <v>453</v>
      </c>
      <c r="N681" t="s">
        <v>39</v>
      </c>
      <c r="O681" t="s">
        <v>33</v>
      </c>
      <c r="T681" t="s">
        <v>2667</v>
      </c>
      <c r="U681" t="s">
        <v>2655</v>
      </c>
    </row>
    <row r="682" spans="8:21" x14ac:dyDescent="0.25">
      <c r="H682" t="s">
        <v>5516</v>
      </c>
      <c r="I682" t="s">
        <v>453</v>
      </c>
      <c r="N682" t="s">
        <v>39</v>
      </c>
      <c r="O682" t="s">
        <v>33</v>
      </c>
      <c r="T682" t="s">
        <v>2667</v>
      </c>
      <c r="U682" t="s">
        <v>2655</v>
      </c>
    </row>
    <row r="683" spans="8:21" x14ac:dyDescent="0.25">
      <c r="H683" t="s">
        <v>5819</v>
      </c>
      <c r="I683" t="s">
        <v>453</v>
      </c>
      <c r="N683" t="s">
        <v>39</v>
      </c>
      <c r="O683" t="s">
        <v>33</v>
      </c>
      <c r="T683" t="s">
        <v>2667</v>
      </c>
      <c r="U683" t="s">
        <v>2655</v>
      </c>
    </row>
    <row r="684" spans="8:21" x14ac:dyDescent="0.25">
      <c r="H684" t="s">
        <v>5273</v>
      </c>
      <c r="I684" t="s">
        <v>453</v>
      </c>
      <c r="N684" t="s">
        <v>39</v>
      </c>
      <c r="O684" t="s">
        <v>33</v>
      </c>
      <c r="T684" t="s">
        <v>2667</v>
      </c>
      <c r="U684" t="s">
        <v>2655</v>
      </c>
    </row>
    <row r="685" spans="8:21" x14ac:dyDescent="0.25">
      <c r="H685" t="s">
        <v>5323</v>
      </c>
      <c r="I685" t="s">
        <v>453</v>
      </c>
      <c r="N685" t="s">
        <v>39</v>
      </c>
      <c r="O685" t="s">
        <v>33</v>
      </c>
      <c r="T685" t="s">
        <v>2667</v>
      </c>
      <c r="U685" t="s">
        <v>2655</v>
      </c>
    </row>
    <row r="686" spans="8:21" x14ac:dyDescent="0.25">
      <c r="H686" t="s">
        <v>5918</v>
      </c>
      <c r="I686" t="s">
        <v>453</v>
      </c>
      <c r="N686" t="s">
        <v>8081</v>
      </c>
      <c r="O686" t="s">
        <v>33</v>
      </c>
      <c r="T686" t="s">
        <v>2667</v>
      </c>
      <c r="U686" t="s">
        <v>2655</v>
      </c>
    </row>
    <row r="687" spans="8:21" x14ac:dyDescent="0.25">
      <c r="H687" t="s">
        <v>5918</v>
      </c>
      <c r="I687" t="s">
        <v>453</v>
      </c>
      <c r="N687" t="s">
        <v>7212</v>
      </c>
      <c r="O687" t="s">
        <v>33</v>
      </c>
      <c r="T687" t="s">
        <v>2667</v>
      </c>
      <c r="U687" t="s">
        <v>2655</v>
      </c>
    </row>
    <row r="688" spans="8:21" x14ac:dyDescent="0.25">
      <c r="H688" t="s">
        <v>5881</v>
      </c>
      <c r="I688" t="s">
        <v>453</v>
      </c>
      <c r="N688" t="s">
        <v>7212</v>
      </c>
      <c r="O688" t="s">
        <v>33</v>
      </c>
      <c r="T688" t="s">
        <v>2667</v>
      </c>
      <c r="U688" t="s">
        <v>2655</v>
      </c>
    </row>
    <row r="689" spans="8:21" x14ac:dyDescent="0.25">
      <c r="H689" t="s">
        <v>49</v>
      </c>
      <c r="I689" t="s">
        <v>454</v>
      </c>
      <c r="N689" t="s">
        <v>7212</v>
      </c>
      <c r="O689" t="s">
        <v>33</v>
      </c>
      <c r="T689" t="s">
        <v>2667</v>
      </c>
      <c r="U689" t="s">
        <v>2655</v>
      </c>
    </row>
    <row r="690" spans="8:21" x14ac:dyDescent="0.25">
      <c r="H690" t="s">
        <v>6745</v>
      </c>
      <c r="I690" t="s">
        <v>454</v>
      </c>
      <c r="N690" t="s">
        <v>7212</v>
      </c>
      <c r="O690" t="s">
        <v>33</v>
      </c>
      <c r="T690" t="s">
        <v>2667</v>
      </c>
      <c r="U690" t="s">
        <v>2655</v>
      </c>
    </row>
    <row r="691" spans="8:21" x14ac:dyDescent="0.25">
      <c r="H691" t="s">
        <v>6396</v>
      </c>
      <c r="I691" t="s">
        <v>454</v>
      </c>
      <c r="N691" t="s">
        <v>5652</v>
      </c>
      <c r="O691" t="s">
        <v>33</v>
      </c>
      <c r="T691" t="s">
        <v>2667</v>
      </c>
      <c r="U691" t="s">
        <v>2655</v>
      </c>
    </row>
    <row r="692" spans="8:21" x14ac:dyDescent="0.25">
      <c r="H692" t="s">
        <v>6549</v>
      </c>
      <c r="I692" t="s">
        <v>454</v>
      </c>
      <c r="N692" t="s">
        <v>5652</v>
      </c>
      <c r="O692" t="s">
        <v>33</v>
      </c>
      <c r="T692" t="s">
        <v>2667</v>
      </c>
      <c r="U692" t="s">
        <v>2655</v>
      </c>
    </row>
    <row r="693" spans="8:21" x14ac:dyDescent="0.25">
      <c r="H693" t="s">
        <v>5641</v>
      </c>
      <c r="I693" t="s">
        <v>454</v>
      </c>
      <c r="N693" t="s">
        <v>8094</v>
      </c>
      <c r="O693" t="s">
        <v>33</v>
      </c>
      <c r="T693" t="s">
        <v>2667</v>
      </c>
      <c r="U693" t="s">
        <v>2655</v>
      </c>
    </row>
    <row r="694" spans="8:21" x14ac:dyDescent="0.25">
      <c r="H694" t="s">
        <v>6759</v>
      </c>
      <c r="I694" t="s">
        <v>454</v>
      </c>
      <c r="N694" t="s">
        <v>8082</v>
      </c>
      <c r="O694" t="s">
        <v>33</v>
      </c>
      <c r="T694" t="s">
        <v>2667</v>
      </c>
      <c r="U694" t="s">
        <v>2655</v>
      </c>
    </row>
    <row r="695" spans="8:21" x14ac:dyDescent="0.25">
      <c r="H695" t="s">
        <v>5836</v>
      </c>
      <c r="I695" t="s">
        <v>454</v>
      </c>
      <c r="N695" t="s">
        <v>5787</v>
      </c>
      <c r="O695" t="s">
        <v>33</v>
      </c>
      <c r="T695" t="s">
        <v>2667</v>
      </c>
      <c r="U695" t="s">
        <v>2655</v>
      </c>
    </row>
    <row r="696" spans="8:21" x14ac:dyDescent="0.25">
      <c r="H696" t="s">
        <v>5836</v>
      </c>
      <c r="I696" t="s">
        <v>454</v>
      </c>
      <c r="N696" t="s">
        <v>7620</v>
      </c>
      <c r="O696" t="s">
        <v>33</v>
      </c>
      <c r="T696" t="s">
        <v>2667</v>
      </c>
      <c r="U696" t="s">
        <v>2655</v>
      </c>
    </row>
    <row r="697" spans="8:21" x14ac:dyDescent="0.25">
      <c r="H697" t="s">
        <v>5634</v>
      </c>
      <c r="I697" t="s">
        <v>454</v>
      </c>
      <c r="N697" t="s">
        <v>7651</v>
      </c>
      <c r="O697" t="s">
        <v>33</v>
      </c>
      <c r="T697" t="s">
        <v>2667</v>
      </c>
      <c r="U697" t="s">
        <v>2655</v>
      </c>
    </row>
    <row r="698" spans="8:21" x14ac:dyDescent="0.25">
      <c r="H698" t="s">
        <v>5494</v>
      </c>
      <c r="I698" t="s">
        <v>454</v>
      </c>
      <c r="N698" t="s">
        <v>8089</v>
      </c>
      <c r="O698" t="s">
        <v>34</v>
      </c>
      <c r="T698" t="s">
        <v>2667</v>
      </c>
      <c r="U698" t="s">
        <v>2655</v>
      </c>
    </row>
    <row r="699" spans="8:21" x14ac:dyDescent="0.25">
      <c r="H699" t="s">
        <v>50</v>
      </c>
      <c r="I699" t="s">
        <v>455</v>
      </c>
      <c r="N699" t="s">
        <v>8079</v>
      </c>
      <c r="O699" t="s">
        <v>34</v>
      </c>
      <c r="T699" t="s">
        <v>2667</v>
      </c>
      <c r="U699" t="s">
        <v>2655</v>
      </c>
    </row>
    <row r="700" spans="8:21" x14ac:dyDescent="0.25">
      <c r="H700" t="s">
        <v>6382</v>
      </c>
      <c r="I700" t="s">
        <v>455</v>
      </c>
      <c r="N700" t="s">
        <v>8079</v>
      </c>
      <c r="O700" t="s">
        <v>34</v>
      </c>
      <c r="T700" t="s">
        <v>2667</v>
      </c>
      <c r="U700" t="s">
        <v>2655</v>
      </c>
    </row>
    <row r="701" spans="8:21" x14ac:dyDescent="0.25">
      <c r="H701" t="s">
        <v>5719</v>
      </c>
      <c r="I701" t="s">
        <v>455</v>
      </c>
      <c r="N701" t="s">
        <v>6418</v>
      </c>
      <c r="O701" t="s">
        <v>34</v>
      </c>
      <c r="T701" t="s">
        <v>2667</v>
      </c>
      <c r="U701" t="s">
        <v>2655</v>
      </c>
    </row>
    <row r="702" spans="8:21" x14ac:dyDescent="0.25">
      <c r="H702" t="s">
        <v>5719</v>
      </c>
      <c r="I702" t="s">
        <v>455</v>
      </c>
      <c r="N702" t="s">
        <v>7127</v>
      </c>
      <c r="O702" t="s">
        <v>34</v>
      </c>
      <c r="T702" t="s">
        <v>2667</v>
      </c>
      <c r="U702" t="s">
        <v>2655</v>
      </c>
    </row>
    <row r="703" spans="8:21" x14ac:dyDescent="0.25">
      <c r="H703" t="s">
        <v>6490</v>
      </c>
      <c r="I703" t="s">
        <v>455</v>
      </c>
      <c r="N703" t="s">
        <v>7625</v>
      </c>
      <c r="O703" t="s">
        <v>34</v>
      </c>
      <c r="T703" t="s">
        <v>2667</v>
      </c>
      <c r="U703" t="s">
        <v>2655</v>
      </c>
    </row>
    <row r="704" spans="8:21" x14ac:dyDescent="0.25">
      <c r="H704" t="s">
        <v>5582</v>
      </c>
      <c r="I704" t="s">
        <v>455</v>
      </c>
      <c r="N704" t="s">
        <v>41</v>
      </c>
      <c r="O704" t="s">
        <v>35</v>
      </c>
      <c r="T704" t="s">
        <v>2667</v>
      </c>
      <c r="U704" t="s">
        <v>2655</v>
      </c>
    </row>
    <row r="705" spans="8:21" x14ac:dyDescent="0.25">
      <c r="H705" t="s">
        <v>5582</v>
      </c>
      <c r="I705" t="s">
        <v>455</v>
      </c>
      <c r="N705" t="s">
        <v>41</v>
      </c>
      <c r="O705" t="s">
        <v>35</v>
      </c>
      <c r="T705" t="s">
        <v>2667</v>
      </c>
      <c r="U705" t="s">
        <v>2655</v>
      </c>
    </row>
    <row r="706" spans="8:21" x14ac:dyDescent="0.25">
      <c r="H706" t="s">
        <v>5582</v>
      </c>
      <c r="I706" t="s">
        <v>455</v>
      </c>
      <c r="N706" t="s">
        <v>8088</v>
      </c>
      <c r="O706" t="s">
        <v>262</v>
      </c>
      <c r="T706" t="s">
        <v>2667</v>
      </c>
      <c r="U706" t="s">
        <v>2655</v>
      </c>
    </row>
    <row r="707" spans="8:21" x14ac:dyDescent="0.25">
      <c r="H707" t="s">
        <v>6673</v>
      </c>
      <c r="I707" t="s">
        <v>455</v>
      </c>
      <c r="N707" t="s">
        <v>8085</v>
      </c>
      <c r="O707" t="s">
        <v>262</v>
      </c>
      <c r="T707" t="s">
        <v>2667</v>
      </c>
      <c r="U707" t="s">
        <v>2655</v>
      </c>
    </row>
    <row r="708" spans="8:21" x14ac:dyDescent="0.25">
      <c r="H708" t="s">
        <v>6318</v>
      </c>
      <c r="I708" t="s">
        <v>455</v>
      </c>
      <c r="N708" t="s">
        <v>7136</v>
      </c>
      <c r="O708" t="s">
        <v>262</v>
      </c>
      <c r="T708" t="s">
        <v>2664</v>
      </c>
      <c r="U708" t="s">
        <v>2654</v>
      </c>
    </row>
    <row r="709" spans="8:21" x14ac:dyDescent="0.25">
      <c r="H709" t="s">
        <v>6318</v>
      </c>
      <c r="I709" t="s">
        <v>455</v>
      </c>
      <c r="N709" t="s">
        <v>7136</v>
      </c>
      <c r="O709" t="s">
        <v>262</v>
      </c>
      <c r="T709" t="s">
        <v>2664</v>
      </c>
      <c r="U709" t="s">
        <v>2654</v>
      </c>
    </row>
    <row r="710" spans="8:21" x14ac:dyDescent="0.25">
      <c r="H710" t="s">
        <v>5580</v>
      </c>
      <c r="I710" t="s">
        <v>455</v>
      </c>
      <c r="N710" t="s">
        <v>7136</v>
      </c>
      <c r="O710" t="s">
        <v>262</v>
      </c>
      <c r="T710" t="s">
        <v>2664</v>
      </c>
      <c r="U710" t="s">
        <v>2654</v>
      </c>
    </row>
    <row r="711" spans="8:21" x14ac:dyDescent="0.25">
      <c r="H711" t="s">
        <v>5580</v>
      </c>
      <c r="I711" t="s">
        <v>455</v>
      </c>
      <c r="N711" t="s">
        <v>7136</v>
      </c>
      <c r="O711" t="s">
        <v>262</v>
      </c>
      <c r="T711" t="s">
        <v>2664</v>
      </c>
      <c r="U711" t="s">
        <v>2654</v>
      </c>
    </row>
    <row r="712" spans="8:21" x14ac:dyDescent="0.25">
      <c r="H712" t="s">
        <v>4548</v>
      </c>
      <c r="I712" t="s">
        <v>455</v>
      </c>
      <c r="N712" t="s">
        <v>7049</v>
      </c>
      <c r="O712" t="s">
        <v>262</v>
      </c>
      <c r="T712" t="s">
        <v>2664</v>
      </c>
      <c r="U712" t="s">
        <v>2654</v>
      </c>
    </row>
    <row r="713" spans="8:21" x14ac:dyDescent="0.25">
      <c r="H713" t="s">
        <v>4768</v>
      </c>
      <c r="I713" t="s">
        <v>455</v>
      </c>
      <c r="N713" t="s">
        <v>7049</v>
      </c>
      <c r="O713" t="s">
        <v>262</v>
      </c>
      <c r="T713" t="s">
        <v>2664</v>
      </c>
      <c r="U713" t="s">
        <v>2654</v>
      </c>
    </row>
    <row r="714" spans="8:21" x14ac:dyDescent="0.25">
      <c r="H714" t="s">
        <v>6182</v>
      </c>
      <c r="I714" t="s">
        <v>455</v>
      </c>
      <c r="N714" t="s">
        <v>7464</v>
      </c>
      <c r="O714" t="s">
        <v>35</v>
      </c>
      <c r="T714" t="s">
        <v>2664</v>
      </c>
      <c r="U714" t="s">
        <v>2654</v>
      </c>
    </row>
    <row r="715" spans="8:21" x14ac:dyDescent="0.25">
      <c r="H715" t="s">
        <v>5839</v>
      </c>
      <c r="I715" t="s">
        <v>455</v>
      </c>
      <c r="N715" t="s">
        <v>4659</v>
      </c>
      <c r="O715" t="s">
        <v>35</v>
      </c>
      <c r="T715" t="s">
        <v>2664</v>
      </c>
      <c r="U715" t="s">
        <v>2654</v>
      </c>
    </row>
    <row r="716" spans="8:21" x14ac:dyDescent="0.25">
      <c r="H716" t="s">
        <v>5771</v>
      </c>
      <c r="I716" t="s">
        <v>456</v>
      </c>
      <c r="N716" t="s">
        <v>4659</v>
      </c>
      <c r="O716" t="s">
        <v>35</v>
      </c>
      <c r="T716" t="s">
        <v>2664</v>
      </c>
      <c r="U716" t="s">
        <v>2654</v>
      </c>
    </row>
    <row r="717" spans="8:21" x14ac:dyDescent="0.25">
      <c r="H717" t="s">
        <v>5551</v>
      </c>
      <c r="I717" t="s">
        <v>456</v>
      </c>
      <c r="N717" t="s">
        <v>2717</v>
      </c>
      <c r="O717" t="s">
        <v>2719</v>
      </c>
      <c r="T717" t="s">
        <v>2664</v>
      </c>
      <c r="U717" t="s">
        <v>2654</v>
      </c>
    </row>
    <row r="718" spans="8:21" x14ac:dyDescent="0.25">
      <c r="H718" t="s">
        <v>5979</v>
      </c>
      <c r="I718" t="s">
        <v>456</v>
      </c>
      <c r="N718" t="s">
        <v>2717</v>
      </c>
      <c r="O718" t="s">
        <v>2719</v>
      </c>
      <c r="T718" t="s">
        <v>2664</v>
      </c>
      <c r="U718" t="s">
        <v>2654</v>
      </c>
    </row>
    <row r="719" spans="8:21" x14ac:dyDescent="0.25">
      <c r="H719" t="s">
        <v>6435</v>
      </c>
      <c r="I719" t="s">
        <v>456</v>
      </c>
      <c r="N719" t="s">
        <v>2717</v>
      </c>
      <c r="O719" t="s">
        <v>2719</v>
      </c>
      <c r="T719" t="s">
        <v>2664</v>
      </c>
      <c r="U719" t="s">
        <v>2654</v>
      </c>
    </row>
    <row r="720" spans="8:21" x14ac:dyDescent="0.25">
      <c r="H720" t="s">
        <v>5764</v>
      </c>
      <c r="I720" t="s">
        <v>456</v>
      </c>
      <c r="N720" t="s">
        <v>2717</v>
      </c>
      <c r="O720" t="s">
        <v>2719</v>
      </c>
      <c r="T720" t="s">
        <v>4627</v>
      </c>
      <c r="U720" t="s">
        <v>2654</v>
      </c>
    </row>
    <row r="721" spans="8:21" x14ac:dyDescent="0.25">
      <c r="H721" t="s">
        <v>6786</v>
      </c>
      <c r="I721" t="s">
        <v>456</v>
      </c>
      <c r="N721" t="s">
        <v>2717</v>
      </c>
      <c r="O721" t="s">
        <v>2719</v>
      </c>
      <c r="T721" t="s">
        <v>5026</v>
      </c>
      <c r="U721" t="s">
        <v>2654</v>
      </c>
    </row>
    <row r="722" spans="8:21" x14ac:dyDescent="0.25">
      <c r="H722" t="s">
        <v>6602</v>
      </c>
      <c r="I722" t="s">
        <v>456</v>
      </c>
      <c r="N722" t="s">
        <v>2717</v>
      </c>
      <c r="O722" t="s">
        <v>2719</v>
      </c>
      <c r="T722" t="s">
        <v>4540</v>
      </c>
      <c r="U722" t="s">
        <v>2654</v>
      </c>
    </row>
    <row r="723" spans="8:21" x14ac:dyDescent="0.25">
      <c r="H723" t="s">
        <v>398</v>
      </c>
      <c r="I723" t="s">
        <v>399</v>
      </c>
      <c r="N723" t="s">
        <v>2717</v>
      </c>
      <c r="O723" t="s">
        <v>2719</v>
      </c>
      <c r="T723" t="s">
        <v>5095</v>
      </c>
      <c r="U723" t="s">
        <v>2654</v>
      </c>
    </row>
    <row r="724" spans="8:21" x14ac:dyDescent="0.25">
      <c r="H724" t="s">
        <v>398</v>
      </c>
      <c r="I724" t="s">
        <v>399</v>
      </c>
      <c r="N724" t="s">
        <v>2717</v>
      </c>
      <c r="O724" t="s">
        <v>2719</v>
      </c>
      <c r="T724" t="s">
        <v>5126</v>
      </c>
      <c r="U724" t="s">
        <v>2654</v>
      </c>
    </row>
    <row r="725" spans="8:21" x14ac:dyDescent="0.25">
      <c r="H725" t="s">
        <v>398</v>
      </c>
      <c r="I725" t="s">
        <v>399</v>
      </c>
      <c r="N725" t="s">
        <v>7296</v>
      </c>
      <c r="O725" t="s">
        <v>2719</v>
      </c>
      <c r="T725" t="s">
        <v>2677</v>
      </c>
      <c r="U725" t="s">
        <v>2684</v>
      </c>
    </row>
    <row r="726" spans="8:21" x14ac:dyDescent="0.25">
      <c r="H726" t="s">
        <v>398</v>
      </c>
      <c r="I726" t="s">
        <v>399</v>
      </c>
      <c r="N726" t="s">
        <v>7296</v>
      </c>
      <c r="O726" t="s">
        <v>2719</v>
      </c>
      <c r="T726" t="s">
        <v>2677</v>
      </c>
      <c r="U726" t="s">
        <v>2684</v>
      </c>
    </row>
    <row r="727" spans="8:21" x14ac:dyDescent="0.25">
      <c r="H727" t="s">
        <v>398</v>
      </c>
      <c r="I727" t="s">
        <v>399</v>
      </c>
      <c r="N727" t="s">
        <v>7782</v>
      </c>
      <c r="O727" t="s">
        <v>2719</v>
      </c>
      <c r="T727" t="s">
        <v>4615</v>
      </c>
      <c r="U727" t="s">
        <v>2684</v>
      </c>
    </row>
    <row r="728" spans="8:21" x14ac:dyDescent="0.25">
      <c r="H728" t="s">
        <v>6683</v>
      </c>
      <c r="I728" t="s">
        <v>399</v>
      </c>
      <c r="N728" t="s">
        <v>8024</v>
      </c>
      <c r="O728" t="s">
        <v>2719</v>
      </c>
      <c r="T728" t="s">
        <v>5178</v>
      </c>
      <c r="U728" t="s">
        <v>2684</v>
      </c>
    </row>
    <row r="729" spans="8:21" x14ac:dyDescent="0.25">
      <c r="H729" t="s">
        <v>5728</v>
      </c>
      <c r="I729" t="s">
        <v>399</v>
      </c>
      <c r="N729" t="s">
        <v>8023</v>
      </c>
      <c r="O729" t="s">
        <v>2719</v>
      </c>
      <c r="T729" t="s">
        <v>4953</v>
      </c>
      <c r="U729" t="s">
        <v>2684</v>
      </c>
    </row>
    <row r="730" spans="8:21" x14ac:dyDescent="0.25">
      <c r="H730" t="s">
        <v>400</v>
      </c>
      <c r="I730" t="s">
        <v>401</v>
      </c>
      <c r="N730" t="s">
        <v>8050</v>
      </c>
      <c r="O730" t="s">
        <v>2719</v>
      </c>
      <c r="T730" t="s">
        <v>4781</v>
      </c>
      <c r="U730" t="s">
        <v>2684</v>
      </c>
    </row>
    <row r="731" spans="8:21" x14ac:dyDescent="0.25">
      <c r="H731" t="s">
        <v>400</v>
      </c>
      <c r="I731" t="s">
        <v>401</v>
      </c>
      <c r="N731" t="s">
        <v>8027</v>
      </c>
      <c r="O731" t="s">
        <v>2719</v>
      </c>
      <c r="T731" t="s">
        <v>4781</v>
      </c>
      <c r="U731" t="s">
        <v>2684</v>
      </c>
    </row>
    <row r="732" spans="8:21" x14ac:dyDescent="0.25">
      <c r="H732" t="s">
        <v>400</v>
      </c>
      <c r="I732" t="s">
        <v>401</v>
      </c>
      <c r="N732" t="s">
        <v>7631</v>
      </c>
      <c r="O732" t="s">
        <v>2719</v>
      </c>
      <c r="T732" t="s">
        <v>2673</v>
      </c>
      <c r="U732" t="s">
        <v>2653</v>
      </c>
    </row>
    <row r="733" spans="8:21" x14ac:dyDescent="0.25">
      <c r="H733" t="s">
        <v>400</v>
      </c>
      <c r="I733" t="s">
        <v>401</v>
      </c>
      <c r="N733" t="s">
        <v>6974</v>
      </c>
      <c r="O733" t="s">
        <v>2719</v>
      </c>
      <c r="T733" t="s">
        <v>2673</v>
      </c>
      <c r="U733" t="s">
        <v>2653</v>
      </c>
    </row>
    <row r="734" spans="8:21" x14ac:dyDescent="0.25">
      <c r="H734" t="s">
        <v>400</v>
      </c>
      <c r="I734" t="s">
        <v>401</v>
      </c>
      <c r="N734" t="s">
        <v>6974</v>
      </c>
      <c r="O734" t="s">
        <v>2719</v>
      </c>
      <c r="T734" t="s">
        <v>2673</v>
      </c>
      <c r="U734" t="s">
        <v>2653</v>
      </c>
    </row>
    <row r="735" spans="8:21" x14ac:dyDescent="0.25">
      <c r="H735" t="s">
        <v>400</v>
      </c>
      <c r="I735" t="s">
        <v>401</v>
      </c>
      <c r="N735" t="s">
        <v>7287</v>
      </c>
      <c r="O735" t="s">
        <v>2719</v>
      </c>
      <c r="T735" t="s">
        <v>5080</v>
      </c>
      <c r="U735" t="s">
        <v>2653</v>
      </c>
    </row>
    <row r="736" spans="8:21" x14ac:dyDescent="0.25">
      <c r="H736" t="s">
        <v>400</v>
      </c>
      <c r="I736" t="s">
        <v>401</v>
      </c>
      <c r="N736" t="s">
        <v>7397</v>
      </c>
      <c r="O736" t="s">
        <v>2719</v>
      </c>
      <c r="T736" t="s">
        <v>5080</v>
      </c>
      <c r="U736" t="s">
        <v>2653</v>
      </c>
    </row>
    <row r="737" spans="8:21" x14ac:dyDescent="0.25">
      <c r="H737" t="s">
        <v>400</v>
      </c>
      <c r="I737" t="s">
        <v>401</v>
      </c>
      <c r="N737" t="s">
        <v>7410</v>
      </c>
      <c r="O737" t="s">
        <v>2719</v>
      </c>
      <c r="T737" t="s">
        <v>5080</v>
      </c>
      <c r="U737" t="s">
        <v>2653</v>
      </c>
    </row>
    <row r="738" spans="8:21" x14ac:dyDescent="0.25">
      <c r="H738" t="s">
        <v>400</v>
      </c>
      <c r="I738" t="s">
        <v>401</v>
      </c>
      <c r="N738" t="s">
        <v>7024</v>
      </c>
      <c r="O738" t="s">
        <v>2719</v>
      </c>
      <c r="T738" t="s">
        <v>5099</v>
      </c>
      <c r="U738" t="s">
        <v>2653</v>
      </c>
    </row>
    <row r="739" spans="8:21" x14ac:dyDescent="0.25">
      <c r="H739" t="s">
        <v>400</v>
      </c>
      <c r="I739" t="s">
        <v>401</v>
      </c>
      <c r="N739" t="s">
        <v>7024</v>
      </c>
      <c r="O739" t="s">
        <v>2719</v>
      </c>
      <c r="T739" t="s">
        <v>5029</v>
      </c>
      <c r="U739" t="s">
        <v>2653</v>
      </c>
    </row>
    <row r="740" spans="8:21" x14ac:dyDescent="0.25">
      <c r="H740" t="s">
        <v>400</v>
      </c>
      <c r="I740" t="s">
        <v>401</v>
      </c>
      <c r="N740" t="s">
        <v>7880</v>
      </c>
      <c r="O740" t="s">
        <v>2719</v>
      </c>
      <c r="T740" t="s">
        <v>5106</v>
      </c>
      <c r="U740" t="s">
        <v>2653</v>
      </c>
    </row>
    <row r="741" spans="8:21" x14ac:dyDescent="0.25">
      <c r="H741" t="s">
        <v>400</v>
      </c>
      <c r="I741" t="s">
        <v>401</v>
      </c>
      <c r="N741" t="s">
        <v>7852</v>
      </c>
      <c r="O741" t="s">
        <v>2719</v>
      </c>
      <c r="T741" t="s">
        <v>5139</v>
      </c>
      <c r="U741" t="s">
        <v>2653</v>
      </c>
    </row>
    <row r="742" spans="8:21" x14ac:dyDescent="0.25">
      <c r="H742" t="s">
        <v>400</v>
      </c>
      <c r="I742" t="s">
        <v>401</v>
      </c>
      <c r="N742" t="s">
        <v>8058</v>
      </c>
      <c r="O742" t="s">
        <v>2719</v>
      </c>
      <c r="T742" t="s">
        <v>5038</v>
      </c>
      <c r="U742" t="s">
        <v>2653</v>
      </c>
    </row>
    <row r="743" spans="8:21" x14ac:dyDescent="0.25">
      <c r="H743" t="s">
        <v>400</v>
      </c>
      <c r="I743" t="s">
        <v>401</v>
      </c>
      <c r="N743" t="s">
        <v>7206</v>
      </c>
      <c r="O743" t="s">
        <v>2719</v>
      </c>
      <c r="T743" t="s">
        <v>5038</v>
      </c>
      <c r="U743" t="s">
        <v>2653</v>
      </c>
    </row>
    <row r="744" spans="8:21" x14ac:dyDescent="0.25">
      <c r="H744" t="s">
        <v>400</v>
      </c>
      <c r="I744" t="s">
        <v>401</v>
      </c>
      <c r="N744" t="s">
        <v>7206</v>
      </c>
      <c r="O744" t="s">
        <v>2719</v>
      </c>
      <c r="T744" t="s">
        <v>2665</v>
      </c>
      <c r="U744" t="s">
        <v>2685</v>
      </c>
    </row>
    <row r="745" spans="8:21" x14ac:dyDescent="0.25">
      <c r="H745" t="s">
        <v>400</v>
      </c>
      <c r="I745" t="s">
        <v>401</v>
      </c>
      <c r="N745" t="s">
        <v>8017</v>
      </c>
      <c r="O745" t="s">
        <v>2719</v>
      </c>
      <c r="T745" t="s">
        <v>2665</v>
      </c>
      <c r="U745" t="s">
        <v>2685</v>
      </c>
    </row>
    <row r="746" spans="8:21" x14ac:dyDescent="0.25">
      <c r="H746" t="s">
        <v>400</v>
      </c>
      <c r="I746" t="s">
        <v>401</v>
      </c>
      <c r="N746" t="s">
        <v>8039</v>
      </c>
      <c r="O746" t="s">
        <v>2719</v>
      </c>
      <c r="T746" t="s">
        <v>5110</v>
      </c>
      <c r="U746" t="s">
        <v>2685</v>
      </c>
    </row>
    <row r="747" spans="8:21" x14ac:dyDescent="0.25">
      <c r="H747" t="s">
        <v>400</v>
      </c>
      <c r="I747" t="s">
        <v>401</v>
      </c>
      <c r="N747" t="s">
        <v>8034</v>
      </c>
      <c r="O747" t="s">
        <v>2719</v>
      </c>
      <c r="T747" t="s">
        <v>5103</v>
      </c>
      <c r="U747" t="s">
        <v>2685</v>
      </c>
    </row>
    <row r="748" spans="8:21" x14ac:dyDescent="0.25">
      <c r="H748" t="s">
        <v>391</v>
      </c>
      <c r="I748" t="s">
        <v>58</v>
      </c>
      <c r="J748" t="s">
        <v>59</v>
      </c>
      <c r="K748" t="s">
        <v>60</v>
      </c>
      <c r="N748" t="s">
        <v>8054</v>
      </c>
      <c r="O748" t="s">
        <v>2719</v>
      </c>
      <c r="T748" t="s">
        <v>5203</v>
      </c>
      <c r="U748" t="s">
        <v>2685</v>
      </c>
    </row>
    <row r="749" spans="8:21" x14ac:dyDescent="0.25">
      <c r="H749" t="s">
        <v>391</v>
      </c>
      <c r="I749" t="s">
        <v>58</v>
      </c>
      <c r="J749" t="s">
        <v>59</v>
      </c>
      <c r="K749" t="s">
        <v>60</v>
      </c>
      <c r="N749" t="s">
        <v>8036</v>
      </c>
      <c r="O749" t="s">
        <v>2719</v>
      </c>
      <c r="T749" t="s">
        <v>5043</v>
      </c>
      <c r="U749" t="s">
        <v>2685</v>
      </c>
    </row>
    <row r="750" spans="8:21" x14ac:dyDescent="0.25">
      <c r="H750" t="s">
        <v>391</v>
      </c>
      <c r="I750" t="s">
        <v>58</v>
      </c>
      <c r="J750" t="s">
        <v>59</v>
      </c>
      <c r="K750" t="s">
        <v>60</v>
      </c>
      <c r="N750" t="s">
        <v>8022</v>
      </c>
      <c r="O750" t="s">
        <v>2719</v>
      </c>
      <c r="T750" t="s">
        <v>5019</v>
      </c>
      <c r="U750" t="s">
        <v>2685</v>
      </c>
    </row>
    <row r="751" spans="8:21" x14ac:dyDescent="0.25">
      <c r="H751" t="s">
        <v>391</v>
      </c>
      <c r="I751" t="s">
        <v>58</v>
      </c>
      <c r="J751" t="s">
        <v>59</v>
      </c>
      <c r="K751" t="s">
        <v>60</v>
      </c>
      <c r="N751" t="s">
        <v>2720</v>
      </c>
      <c r="O751" t="s">
        <v>2722</v>
      </c>
      <c r="T751" t="s">
        <v>5190</v>
      </c>
      <c r="U751" t="s">
        <v>2653</v>
      </c>
    </row>
    <row r="752" spans="8:21" x14ac:dyDescent="0.25">
      <c r="H752" t="s">
        <v>391</v>
      </c>
      <c r="I752" t="s">
        <v>58</v>
      </c>
      <c r="J752" t="s">
        <v>59</v>
      </c>
      <c r="K752" t="s">
        <v>60</v>
      </c>
      <c r="N752" t="s">
        <v>2720</v>
      </c>
      <c r="O752" t="s">
        <v>2722</v>
      </c>
      <c r="T752" t="s">
        <v>5111</v>
      </c>
      <c r="U752" t="s">
        <v>2653</v>
      </c>
    </row>
    <row r="753" spans="8:21" x14ac:dyDescent="0.25">
      <c r="H753" t="s">
        <v>391</v>
      </c>
      <c r="I753" t="s">
        <v>58</v>
      </c>
      <c r="J753" t="s">
        <v>59</v>
      </c>
      <c r="K753" t="s">
        <v>60</v>
      </c>
      <c r="N753" t="s">
        <v>2720</v>
      </c>
      <c r="O753" t="s">
        <v>2722</v>
      </c>
      <c r="T753" t="s">
        <v>5021</v>
      </c>
      <c r="U753" t="s">
        <v>2653</v>
      </c>
    </row>
    <row r="754" spans="8:21" x14ac:dyDescent="0.25">
      <c r="H754" t="s">
        <v>391</v>
      </c>
      <c r="I754" t="s">
        <v>58</v>
      </c>
      <c r="J754" t="s">
        <v>59</v>
      </c>
      <c r="K754" t="s">
        <v>60</v>
      </c>
      <c r="N754" t="s">
        <v>2720</v>
      </c>
      <c r="O754" t="s">
        <v>2722</v>
      </c>
      <c r="T754" t="s">
        <v>5150</v>
      </c>
      <c r="U754" t="s">
        <v>2653</v>
      </c>
    </row>
    <row r="755" spans="8:21" x14ac:dyDescent="0.25">
      <c r="H755" t="s">
        <v>391</v>
      </c>
      <c r="I755" t="s">
        <v>58</v>
      </c>
      <c r="J755" t="s">
        <v>59</v>
      </c>
      <c r="K755" t="s">
        <v>60</v>
      </c>
      <c r="N755" t="s">
        <v>2720</v>
      </c>
      <c r="O755" t="s">
        <v>2722</v>
      </c>
      <c r="T755" t="s">
        <v>5121</v>
      </c>
      <c r="U755" t="s">
        <v>2653</v>
      </c>
    </row>
    <row r="756" spans="8:21" x14ac:dyDescent="0.25">
      <c r="H756" t="s">
        <v>391</v>
      </c>
      <c r="I756" t="s">
        <v>58</v>
      </c>
      <c r="J756" t="s">
        <v>59</v>
      </c>
      <c r="K756" t="s">
        <v>60</v>
      </c>
      <c r="N756" t="s">
        <v>2720</v>
      </c>
      <c r="O756" t="s">
        <v>2722</v>
      </c>
      <c r="T756" t="s">
        <v>5152</v>
      </c>
      <c r="U756" t="s">
        <v>2653</v>
      </c>
    </row>
    <row r="757" spans="8:21" x14ac:dyDescent="0.25">
      <c r="H757" t="s">
        <v>391</v>
      </c>
      <c r="I757" t="s">
        <v>58</v>
      </c>
      <c r="J757" t="s">
        <v>59</v>
      </c>
      <c r="K757" t="s">
        <v>60</v>
      </c>
      <c r="N757" t="s">
        <v>2720</v>
      </c>
      <c r="O757" t="s">
        <v>2722</v>
      </c>
      <c r="T757" t="s">
        <v>5184</v>
      </c>
      <c r="U757" t="s">
        <v>2653</v>
      </c>
    </row>
    <row r="758" spans="8:21" x14ac:dyDescent="0.25">
      <c r="H758" t="s">
        <v>391</v>
      </c>
      <c r="I758" t="s">
        <v>58</v>
      </c>
      <c r="J758" t="s">
        <v>59</v>
      </c>
      <c r="K758" t="s">
        <v>60</v>
      </c>
      <c r="N758" t="s">
        <v>2720</v>
      </c>
      <c r="O758" t="s">
        <v>2722</v>
      </c>
      <c r="T758" t="s">
        <v>5067</v>
      </c>
      <c r="U758" t="s">
        <v>2653</v>
      </c>
    </row>
    <row r="759" spans="8:21" x14ac:dyDescent="0.25">
      <c r="H759" t="s">
        <v>391</v>
      </c>
      <c r="I759" t="s">
        <v>58</v>
      </c>
      <c r="J759" t="s">
        <v>59</v>
      </c>
      <c r="K759" t="s">
        <v>60</v>
      </c>
      <c r="N759" t="s">
        <v>2720</v>
      </c>
      <c r="O759" t="s">
        <v>2722</v>
      </c>
      <c r="T759" t="s">
        <v>5031</v>
      </c>
      <c r="U759" t="s">
        <v>2653</v>
      </c>
    </row>
    <row r="760" spans="8:21" x14ac:dyDescent="0.25">
      <c r="H760" t="s">
        <v>391</v>
      </c>
      <c r="I760" t="s">
        <v>58</v>
      </c>
      <c r="J760" t="s">
        <v>59</v>
      </c>
      <c r="K760" t="s">
        <v>60</v>
      </c>
      <c r="N760" t="s">
        <v>2720</v>
      </c>
      <c r="O760" t="s">
        <v>2722</v>
      </c>
      <c r="T760" t="s">
        <v>5128</v>
      </c>
      <c r="U760" t="s">
        <v>2653</v>
      </c>
    </row>
    <row r="761" spans="8:21" x14ac:dyDescent="0.25">
      <c r="H761" t="s">
        <v>391</v>
      </c>
      <c r="I761" t="s">
        <v>58</v>
      </c>
      <c r="J761" t="s">
        <v>59</v>
      </c>
      <c r="K761" t="s">
        <v>60</v>
      </c>
      <c r="N761" t="s">
        <v>2720</v>
      </c>
      <c r="O761" t="s">
        <v>2722</v>
      </c>
      <c r="T761" t="s">
        <v>5053</v>
      </c>
      <c r="U761" t="s">
        <v>2653</v>
      </c>
    </row>
    <row r="762" spans="8:21" x14ac:dyDescent="0.25">
      <c r="H762" t="s">
        <v>391</v>
      </c>
      <c r="I762" t="s">
        <v>58</v>
      </c>
      <c r="J762" t="s">
        <v>59</v>
      </c>
      <c r="K762" t="s">
        <v>60</v>
      </c>
      <c r="N762" t="s">
        <v>2720</v>
      </c>
      <c r="O762" t="s">
        <v>2722</v>
      </c>
      <c r="T762" t="s">
        <v>4593</v>
      </c>
      <c r="U762" t="s">
        <v>2653</v>
      </c>
    </row>
    <row r="763" spans="8:21" x14ac:dyDescent="0.25">
      <c r="H763" t="s">
        <v>391</v>
      </c>
      <c r="I763" t="s">
        <v>58</v>
      </c>
      <c r="J763" t="s">
        <v>59</v>
      </c>
      <c r="K763" t="s">
        <v>60</v>
      </c>
      <c r="N763" t="s">
        <v>2720</v>
      </c>
      <c r="O763" t="s">
        <v>2722</v>
      </c>
      <c r="T763" t="s">
        <v>4717</v>
      </c>
      <c r="U763" t="s">
        <v>2653</v>
      </c>
    </row>
    <row r="764" spans="8:21" x14ac:dyDescent="0.25">
      <c r="H764" t="s">
        <v>391</v>
      </c>
      <c r="I764" t="s">
        <v>58</v>
      </c>
      <c r="J764" t="s">
        <v>59</v>
      </c>
      <c r="K764" t="s">
        <v>60</v>
      </c>
      <c r="N764" t="s">
        <v>2720</v>
      </c>
      <c r="O764" t="s">
        <v>2722</v>
      </c>
      <c r="T764" t="s">
        <v>2672</v>
      </c>
      <c r="U764" t="s">
        <v>2652</v>
      </c>
    </row>
    <row r="765" spans="8:21" x14ac:dyDescent="0.25">
      <c r="H765" t="s">
        <v>391</v>
      </c>
      <c r="I765" t="s">
        <v>58</v>
      </c>
      <c r="J765" t="s">
        <v>59</v>
      </c>
      <c r="K765" t="s">
        <v>60</v>
      </c>
      <c r="N765" t="s">
        <v>2720</v>
      </c>
      <c r="O765" t="s">
        <v>2722</v>
      </c>
      <c r="T765" t="s">
        <v>2672</v>
      </c>
      <c r="U765" t="s">
        <v>2652</v>
      </c>
    </row>
    <row r="766" spans="8:21" x14ac:dyDescent="0.25">
      <c r="H766" t="s">
        <v>391</v>
      </c>
      <c r="I766" t="s">
        <v>58</v>
      </c>
      <c r="J766" t="s">
        <v>59</v>
      </c>
      <c r="K766" t="s">
        <v>60</v>
      </c>
      <c r="N766" t="s">
        <v>2720</v>
      </c>
      <c r="O766" t="s">
        <v>2722</v>
      </c>
      <c r="T766" t="s">
        <v>2672</v>
      </c>
      <c r="U766" t="s">
        <v>2652</v>
      </c>
    </row>
    <row r="767" spans="8:21" x14ac:dyDescent="0.25">
      <c r="H767" t="s">
        <v>391</v>
      </c>
      <c r="I767" t="s">
        <v>58</v>
      </c>
      <c r="J767" t="s">
        <v>59</v>
      </c>
      <c r="K767" t="s">
        <v>60</v>
      </c>
      <c r="N767" t="s">
        <v>2720</v>
      </c>
      <c r="O767" t="s">
        <v>2722</v>
      </c>
      <c r="T767" t="s">
        <v>2672</v>
      </c>
      <c r="U767" t="s">
        <v>2652</v>
      </c>
    </row>
    <row r="768" spans="8:21" x14ac:dyDescent="0.25">
      <c r="H768" t="s">
        <v>391</v>
      </c>
      <c r="I768" t="s">
        <v>58</v>
      </c>
      <c r="J768" t="s">
        <v>59</v>
      </c>
      <c r="K768" t="s">
        <v>60</v>
      </c>
      <c r="N768" t="s">
        <v>2720</v>
      </c>
      <c r="O768" t="s">
        <v>2722</v>
      </c>
      <c r="T768" t="s">
        <v>2672</v>
      </c>
      <c r="U768" t="s">
        <v>2652</v>
      </c>
    </row>
    <row r="769" spans="8:21" x14ac:dyDescent="0.25">
      <c r="H769" t="s">
        <v>391</v>
      </c>
      <c r="I769" t="s">
        <v>58</v>
      </c>
      <c r="J769" t="s">
        <v>59</v>
      </c>
      <c r="K769" t="s">
        <v>60</v>
      </c>
      <c r="N769" t="s">
        <v>2720</v>
      </c>
      <c r="O769" t="s">
        <v>2722</v>
      </c>
      <c r="T769" t="s">
        <v>5105</v>
      </c>
      <c r="U769" t="s">
        <v>2652</v>
      </c>
    </row>
    <row r="770" spans="8:21" x14ac:dyDescent="0.25">
      <c r="H770" t="s">
        <v>63</v>
      </c>
      <c r="I770" t="s">
        <v>58</v>
      </c>
      <c r="N770" t="s">
        <v>2720</v>
      </c>
      <c r="O770" t="s">
        <v>2722</v>
      </c>
      <c r="T770" t="s">
        <v>5075</v>
      </c>
      <c r="U770" t="s">
        <v>2652</v>
      </c>
    </row>
    <row r="771" spans="8:21" x14ac:dyDescent="0.25">
      <c r="H771" t="s">
        <v>63</v>
      </c>
      <c r="I771" t="s">
        <v>58</v>
      </c>
      <c r="N771" t="s">
        <v>2720</v>
      </c>
      <c r="O771" t="s">
        <v>2722</v>
      </c>
      <c r="T771" t="s">
        <v>2686</v>
      </c>
      <c r="U771" t="s">
        <v>2687</v>
      </c>
    </row>
    <row r="772" spans="8:21" x14ac:dyDescent="0.25">
      <c r="H772" t="s">
        <v>63</v>
      </c>
      <c r="I772" t="s">
        <v>58</v>
      </c>
      <c r="N772" t="s">
        <v>2720</v>
      </c>
      <c r="O772" t="s">
        <v>2722</v>
      </c>
      <c r="T772" t="s">
        <v>5112</v>
      </c>
      <c r="U772" t="s">
        <v>2687</v>
      </c>
    </row>
    <row r="773" spans="8:21" x14ac:dyDescent="0.25">
      <c r="H773" t="s">
        <v>63</v>
      </c>
      <c r="I773" t="s">
        <v>58</v>
      </c>
      <c r="N773" t="s">
        <v>2720</v>
      </c>
      <c r="O773" t="s">
        <v>2722</v>
      </c>
      <c r="T773" t="s">
        <v>5056</v>
      </c>
      <c r="U773" t="s">
        <v>2687</v>
      </c>
    </row>
    <row r="774" spans="8:21" x14ac:dyDescent="0.25">
      <c r="H774" t="s">
        <v>63</v>
      </c>
      <c r="I774" t="s">
        <v>58</v>
      </c>
      <c r="N774" t="s">
        <v>2720</v>
      </c>
      <c r="O774" t="s">
        <v>2722</v>
      </c>
      <c r="T774" t="s">
        <v>5182</v>
      </c>
      <c r="U774" t="s">
        <v>2687</v>
      </c>
    </row>
    <row r="775" spans="8:21" x14ac:dyDescent="0.25">
      <c r="H775" t="s">
        <v>63</v>
      </c>
      <c r="I775" t="s">
        <v>58</v>
      </c>
      <c r="N775" t="s">
        <v>2720</v>
      </c>
      <c r="O775" t="s">
        <v>2722</v>
      </c>
      <c r="T775" t="s">
        <v>5136</v>
      </c>
      <c r="U775" t="s">
        <v>2687</v>
      </c>
    </row>
    <row r="776" spans="8:21" x14ac:dyDescent="0.25">
      <c r="H776" t="s">
        <v>63</v>
      </c>
      <c r="I776" t="s">
        <v>58</v>
      </c>
      <c r="N776" t="s">
        <v>2720</v>
      </c>
      <c r="O776" t="s">
        <v>2722</v>
      </c>
      <c r="T776" t="s">
        <v>5206</v>
      </c>
      <c r="U776" t="s">
        <v>2687</v>
      </c>
    </row>
    <row r="777" spans="8:21" x14ac:dyDescent="0.25">
      <c r="H777" t="s">
        <v>63</v>
      </c>
      <c r="I777" t="s">
        <v>58</v>
      </c>
      <c r="N777" t="s">
        <v>2720</v>
      </c>
      <c r="O777" t="s">
        <v>2722</v>
      </c>
      <c r="T777" t="s">
        <v>5036</v>
      </c>
      <c r="U777" t="s">
        <v>2652</v>
      </c>
    </row>
    <row r="778" spans="8:21" x14ac:dyDescent="0.25">
      <c r="H778" t="s">
        <v>63</v>
      </c>
      <c r="I778" t="s">
        <v>58</v>
      </c>
      <c r="N778" t="s">
        <v>2720</v>
      </c>
      <c r="O778" t="s">
        <v>2722</v>
      </c>
      <c r="T778" t="s">
        <v>5114</v>
      </c>
      <c r="U778" t="s">
        <v>2652</v>
      </c>
    </row>
    <row r="779" spans="8:21" x14ac:dyDescent="0.25">
      <c r="H779" t="s">
        <v>63</v>
      </c>
      <c r="I779" t="s">
        <v>58</v>
      </c>
      <c r="N779" t="s">
        <v>2720</v>
      </c>
      <c r="O779" t="s">
        <v>2722</v>
      </c>
      <c r="T779" t="s">
        <v>4780</v>
      </c>
      <c r="U779" t="s">
        <v>2652</v>
      </c>
    </row>
    <row r="780" spans="8:21" x14ac:dyDescent="0.25">
      <c r="H780" t="s">
        <v>63</v>
      </c>
      <c r="I780" t="s">
        <v>58</v>
      </c>
      <c r="N780" t="s">
        <v>2720</v>
      </c>
      <c r="O780" t="s">
        <v>2722</v>
      </c>
      <c r="T780" t="s">
        <v>4537</v>
      </c>
      <c r="U780" t="s">
        <v>2652</v>
      </c>
    </row>
    <row r="781" spans="8:21" x14ac:dyDescent="0.25">
      <c r="H781" t="s">
        <v>63</v>
      </c>
      <c r="I781" t="s">
        <v>58</v>
      </c>
      <c r="N781" t="s">
        <v>2720</v>
      </c>
      <c r="O781" t="s">
        <v>2722</v>
      </c>
      <c r="T781" t="s">
        <v>5057</v>
      </c>
      <c r="U781" t="s">
        <v>2652</v>
      </c>
    </row>
    <row r="782" spans="8:21" x14ac:dyDescent="0.25">
      <c r="H782" t="s">
        <v>63</v>
      </c>
      <c r="I782" t="s">
        <v>58</v>
      </c>
      <c r="N782" t="s">
        <v>2720</v>
      </c>
      <c r="O782" t="s">
        <v>2722</v>
      </c>
      <c r="T782" t="s">
        <v>5071</v>
      </c>
      <c r="U782" t="s">
        <v>2652</v>
      </c>
    </row>
    <row r="783" spans="8:21" x14ac:dyDescent="0.25">
      <c r="H783" t="s">
        <v>63</v>
      </c>
      <c r="I783" t="s">
        <v>58</v>
      </c>
      <c r="N783" t="s">
        <v>2720</v>
      </c>
      <c r="O783" t="s">
        <v>2722</v>
      </c>
      <c r="T783" t="s">
        <v>5137</v>
      </c>
      <c r="U783" t="s">
        <v>2652</v>
      </c>
    </row>
    <row r="784" spans="8:21" x14ac:dyDescent="0.25">
      <c r="H784" t="s">
        <v>63</v>
      </c>
      <c r="I784" t="s">
        <v>58</v>
      </c>
      <c r="N784" t="s">
        <v>2720</v>
      </c>
      <c r="O784" t="s">
        <v>2722</v>
      </c>
      <c r="T784" t="s">
        <v>5076</v>
      </c>
      <c r="U784" t="s">
        <v>2652</v>
      </c>
    </row>
    <row r="785" spans="8:21" x14ac:dyDescent="0.25">
      <c r="H785" t="s">
        <v>63</v>
      </c>
      <c r="I785" t="s">
        <v>58</v>
      </c>
      <c r="N785" t="s">
        <v>2720</v>
      </c>
      <c r="O785" t="s">
        <v>2722</v>
      </c>
      <c r="T785" t="s">
        <v>5059</v>
      </c>
      <c r="U785" t="s">
        <v>2652</v>
      </c>
    </row>
    <row r="786" spans="8:21" x14ac:dyDescent="0.25">
      <c r="H786" t="s">
        <v>403</v>
      </c>
      <c r="I786" t="s">
        <v>404</v>
      </c>
      <c r="N786" t="s">
        <v>2720</v>
      </c>
      <c r="O786" t="s">
        <v>2722</v>
      </c>
      <c r="T786" t="s">
        <v>5116</v>
      </c>
      <c r="U786" t="s">
        <v>2652</v>
      </c>
    </row>
    <row r="787" spans="8:21" x14ac:dyDescent="0.25">
      <c r="H787" t="s">
        <v>403</v>
      </c>
      <c r="I787" t="s">
        <v>404</v>
      </c>
      <c r="N787" t="s">
        <v>2720</v>
      </c>
      <c r="O787" t="s">
        <v>2722</v>
      </c>
      <c r="T787" t="s">
        <v>5045</v>
      </c>
      <c r="U787" t="s">
        <v>2652</v>
      </c>
    </row>
    <row r="788" spans="8:21" x14ac:dyDescent="0.25">
      <c r="H788" t="s">
        <v>403</v>
      </c>
      <c r="I788" t="s">
        <v>404</v>
      </c>
      <c r="N788" t="s">
        <v>2720</v>
      </c>
      <c r="O788" t="s">
        <v>2722</v>
      </c>
      <c r="T788" t="s">
        <v>4430</v>
      </c>
      <c r="U788" t="s">
        <v>4458</v>
      </c>
    </row>
    <row r="789" spans="8:21" x14ac:dyDescent="0.25">
      <c r="H789" t="s">
        <v>403</v>
      </c>
      <c r="I789" t="s">
        <v>404</v>
      </c>
      <c r="N789" t="s">
        <v>2720</v>
      </c>
      <c r="O789" t="s">
        <v>2722</v>
      </c>
      <c r="T789" t="s">
        <v>4430</v>
      </c>
      <c r="U789" t="s">
        <v>4458</v>
      </c>
    </row>
    <row r="790" spans="8:21" x14ac:dyDescent="0.25">
      <c r="H790" t="s">
        <v>403</v>
      </c>
      <c r="I790" t="s">
        <v>404</v>
      </c>
      <c r="N790" t="s">
        <v>2720</v>
      </c>
      <c r="O790" t="s">
        <v>2722</v>
      </c>
      <c r="T790" t="s">
        <v>4430</v>
      </c>
      <c r="U790" t="s">
        <v>4458</v>
      </c>
    </row>
    <row r="791" spans="8:21" x14ac:dyDescent="0.25">
      <c r="H791" t="s">
        <v>403</v>
      </c>
      <c r="I791" t="s">
        <v>404</v>
      </c>
      <c r="N791" t="s">
        <v>2720</v>
      </c>
      <c r="O791" t="s">
        <v>2722</v>
      </c>
      <c r="T791" t="s">
        <v>4430</v>
      </c>
      <c r="U791" t="s">
        <v>4458</v>
      </c>
    </row>
    <row r="792" spans="8:21" x14ac:dyDescent="0.25">
      <c r="H792" t="s">
        <v>403</v>
      </c>
      <c r="I792" t="s">
        <v>404</v>
      </c>
      <c r="N792" t="s">
        <v>2720</v>
      </c>
      <c r="O792" t="s">
        <v>2722</v>
      </c>
      <c r="T792" t="s">
        <v>4430</v>
      </c>
      <c r="U792" t="s">
        <v>4458</v>
      </c>
    </row>
    <row r="793" spans="8:21" x14ac:dyDescent="0.25">
      <c r="H793" t="s">
        <v>403</v>
      </c>
      <c r="I793" t="s">
        <v>404</v>
      </c>
      <c r="N793" t="s">
        <v>2720</v>
      </c>
      <c r="O793" t="s">
        <v>2722</v>
      </c>
      <c r="T793" t="s">
        <v>4430</v>
      </c>
      <c r="U793" t="s">
        <v>4458</v>
      </c>
    </row>
    <row r="794" spans="8:21" x14ac:dyDescent="0.25">
      <c r="H794" t="s">
        <v>403</v>
      </c>
      <c r="I794" t="s">
        <v>404</v>
      </c>
      <c r="N794" t="s">
        <v>2720</v>
      </c>
      <c r="O794" t="s">
        <v>2722</v>
      </c>
      <c r="T794" t="s">
        <v>4430</v>
      </c>
      <c r="U794" t="s">
        <v>4458</v>
      </c>
    </row>
    <row r="795" spans="8:21" x14ac:dyDescent="0.25">
      <c r="H795" t="s">
        <v>403</v>
      </c>
      <c r="I795" t="s">
        <v>404</v>
      </c>
      <c r="N795" t="s">
        <v>2720</v>
      </c>
      <c r="O795" t="s">
        <v>2722</v>
      </c>
      <c r="T795" t="s">
        <v>4430</v>
      </c>
      <c r="U795" t="s">
        <v>4458</v>
      </c>
    </row>
    <row r="796" spans="8:21" x14ac:dyDescent="0.25">
      <c r="H796" t="s">
        <v>403</v>
      </c>
      <c r="I796" t="s">
        <v>404</v>
      </c>
      <c r="N796" t="s">
        <v>2720</v>
      </c>
      <c r="O796" t="s">
        <v>2722</v>
      </c>
      <c r="T796" t="s">
        <v>4430</v>
      </c>
      <c r="U796" t="s">
        <v>4458</v>
      </c>
    </row>
    <row r="797" spans="8:21" x14ac:dyDescent="0.25">
      <c r="H797" t="s">
        <v>403</v>
      </c>
      <c r="I797" t="s">
        <v>404</v>
      </c>
      <c r="N797" t="s">
        <v>2720</v>
      </c>
      <c r="O797" t="s">
        <v>2722</v>
      </c>
      <c r="T797" t="s">
        <v>4430</v>
      </c>
      <c r="U797" t="s">
        <v>4458</v>
      </c>
    </row>
    <row r="798" spans="8:21" x14ac:dyDescent="0.25">
      <c r="H798" t="s">
        <v>403</v>
      </c>
      <c r="I798" t="s">
        <v>404</v>
      </c>
      <c r="N798" t="s">
        <v>2720</v>
      </c>
      <c r="O798" t="s">
        <v>2722</v>
      </c>
      <c r="T798" t="s">
        <v>4430</v>
      </c>
      <c r="U798" t="s">
        <v>4458</v>
      </c>
    </row>
    <row r="799" spans="8:21" x14ac:dyDescent="0.25">
      <c r="H799" t="s">
        <v>403</v>
      </c>
      <c r="I799" t="s">
        <v>404</v>
      </c>
      <c r="N799" t="s">
        <v>8035</v>
      </c>
      <c r="O799" t="s">
        <v>2722</v>
      </c>
      <c r="T799" t="s">
        <v>5032</v>
      </c>
      <c r="U799" t="s">
        <v>4458</v>
      </c>
    </row>
    <row r="800" spans="8:21" x14ac:dyDescent="0.25">
      <c r="H800" t="s">
        <v>403</v>
      </c>
      <c r="I800" t="s">
        <v>404</v>
      </c>
      <c r="N800" t="s">
        <v>8028</v>
      </c>
      <c r="O800" t="s">
        <v>2722</v>
      </c>
      <c r="T800" t="s">
        <v>537</v>
      </c>
      <c r="U800" t="s">
        <v>538</v>
      </c>
    </row>
    <row r="801" spans="8:21" x14ac:dyDescent="0.25">
      <c r="H801" t="s">
        <v>403</v>
      </c>
      <c r="I801" t="s">
        <v>404</v>
      </c>
      <c r="N801" t="s">
        <v>8044</v>
      </c>
      <c r="O801" t="s">
        <v>2722</v>
      </c>
      <c r="T801" t="s">
        <v>537</v>
      </c>
      <c r="U801" t="s">
        <v>538</v>
      </c>
    </row>
    <row r="802" spans="8:21" x14ac:dyDescent="0.25">
      <c r="H802" t="s">
        <v>46</v>
      </c>
      <c r="I802" t="s">
        <v>24</v>
      </c>
      <c r="N802" t="s">
        <v>8018</v>
      </c>
      <c r="O802" t="s">
        <v>2722</v>
      </c>
      <c r="T802" t="s">
        <v>537</v>
      </c>
      <c r="U802" t="s">
        <v>538</v>
      </c>
    </row>
    <row r="803" spans="8:21" x14ac:dyDescent="0.25">
      <c r="H803" t="s">
        <v>46</v>
      </c>
      <c r="I803" t="s">
        <v>24</v>
      </c>
      <c r="N803" t="s">
        <v>8018</v>
      </c>
      <c r="O803" t="s">
        <v>2722</v>
      </c>
      <c r="T803" t="s">
        <v>4604</v>
      </c>
      <c r="U803" t="s">
        <v>538</v>
      </c>
    </row>
    <row r="804" spans="8:21" x14ac:dyDescent="0.25">
      <c r="H804" t="s">
        <v>46</v>
      </c>
      <c r="I804" t="s">
        <v>24</v>
      </c>
      <c r="N804" t="s">
        <v>8049</v>
      </c>
      <c r="O804" t="s">
        <v>2722</v>
      </c>
      <c r="T804" t="s">
        <v>4995</v>
      </c>
      <c r="U804" t="s">
        <v>538</v>
      </c>
    </row>
    <row r="805" spans="8:21" x14ac:dyDescent="0.25">
      <c r="H805" t="s">
        <v>46</v>
      </c>
      <c r="I805" t="s">
        <v>24</v>
      </c>
      <c r="N805" t="s">
        <v>8037</v>
      </c>
      <c r="O805" t="s">
        <v>2722</v>
      </c>
      <c r="T805" t="s">
        <v>2743</v>
      </c>
      <c r="U805" t="s">
        <v>2744</v>
      </c>
    </row>
    <row r="806" spans="8:21" x14ac:dyDescent="0.25">
      <c r="H806" t="s">
        <v>46</v>
      </c>
      <c r="I806" t="s">
        <v>24</v>
      </c>
      <c r="N806" t="s">
        <v>8059</v>
      </c>
      <c r="O806" t="s">
        <v>2722</v>
      </c>
      <c r="T806" t="s">
        <v>5193</v>
      </c>
      <c r="U806" t="s">
        <v>2744</v>
      </c>
    </row>
    <row r="807" spans="8:21" x14ac:dyDescent="0.25">
      <c r="H807" t="s">
        <v>46</v>
      </c>
      <c r="I807" t="s">
        <v>24</v>
      </c>
      <c r="N807" t="s">
        <v>7197</v>
      </c>
      <c r="O807" t="s">
        <v>2722</v>
      </c>
      <c r="T807" t="s">
        <v>5151</v>
      </c>
      <c r="U807" t="s">
        <v>2744</v>
      </c>
    </row>
    <row r="808" spans="8:21" x14ac:dyDescent="0.25">
      <c r="H808" t="s">
        <v>46</v>
      </c>
      <c r="I808" t="s">
        <v>24</v>
      </c>
      <c r="N808" t="s">
        <v>7197</v>
      </c>
      <c r="O808" t="s">
        <v>2722</v>
      </c>
      <c r="T808" t="s">
        <v>2675</v>
      </c>
      <c r="U808" t="s">
        <v>2651</v>
      </c>
    </row>
    <row r="809" spans="8:21" x14ac:dyDescent="0.25">
      <c r="H809" t="s">
        <v>46</v>
      </c>
      <c r="I809" t="s">
        <v>24</v>
      </c>
      <c r="N809" t="s">
        <v>7197</v>
      </c>
      <c r="O809" t="s">
        <v>2722</v>
      </c>
      <c r="T809" t="s">
        <v>2675</v>
      </c>
      <c r="U809" t="s">
        <v>2651</v>
      </c>
    </row>
    <row r="810" spans="8:21" x14ac:dyDescent="0.25">
      <c r="H810" t="s">
        <v>46</v>
      </c>
      <c r="I810" t="s">
        <v>24</v>
      </c>
      <c r="N810" t="s">
        <v>7061</v>
      </c>
      <c r="O810" t="s">
        <v>2722</v>
      </c>
      <c r="T810" t="s">
        <v>2675</v>
      </c>
      <c r="U810" t="s">
        <v>2651</v>
      </c>
    </row>
    <row r="811" spans="8:21" x14ac:dyDescent="0.25">
      <c r="H811" t="s">
        <v>46</v>
      </c>
      <c r="I811" t="s">
        <v>24</v>
      </c>
      <c r="N811" t="s">
        <v>7061</v>
      </c>
      <c r="O811" t="s">
        <v>2722</v>
      </c>
      <c r="T811" t="s">
        <v>2675</v>
      </c>
      <c r="U811" t="s">
        <v>2651</v>
      </c>
    </row>
    <row r="812" spans="8:21" x14ac:dyDescent="0.25">
      <c r="H812" t="s">
        <v>46</v>
      </c>
      <c r="I812" t="s">
        <v>24</v>
      </c>
      <c r="N812" t="s">
        <v>7061</v>
      </c>
      <c r="O812" t="s">
        <v>2722</v>
      </c>
      <c r="T812" t="s">
        <v>2675</v>
      </c>
      <c r="U812" t="s">
        <v>2651</v>
      </c>
    </row>
    <row r="813" spans="8:21" x14ac:dyDescent="0.25">
      <c r="H813" t="s">
        <v>46</v>
      </c>
      <c r="I813" t="s">
        <v>24</v>
      </c>
      <c r="N813" t="s">
        <v>8029</v>
      </c>
      <c r="O813" t="s">
        <v>2722</v>
      </c>
      <c r="T813" t="s">
        <v>2675</v>
      </c>
      <c r="U813" t="s">
        <v>2651</v>
      </c>
    </row>
    <row r="814" spans="8:21" x14ac:dyDescent="0.25">
      <c r="H814" t="s">
        <v>46</v>
      </c>
      <c r="I814" t="s">
        <v>24</v>
      </c>
      <c r="N814" t="s">
        <v>8029</v>
      </c>
      <c r="O814" t="s">
        <v>2722</v>
      </c>
      <c r="T814" t="s">
        <v>4711</v>
      </c>
      <c r="U814" t="s">
        <v>2651</v>
      </c>
    </row>
    <row r="815" spans="8:21" x14ac:dyDescent="0.25">
      <c r="H815" t="s">
        <v>46</v>
      </c>
      <c r="I815" t="s">
        <v>24</v>
      </c>
      <c r="N815" t="s">
        <v>8041</v>
      </c>
      <c r="O815" t="s">
        <v>2722</v>
      </c>
      <c r="T815" t="s">
        <v>2745</v>
      </c>
      <c r="U815" t="s">
        <v>2746</v>
      </c>
    </row>
    <row r="816" spans="8:21" x14ac:dyDescent="0.25">
      <c r="H816" t="s">
        <v>46</v>
      </c>
      <c r="I816" t="s">
        <v>24</v>
      </c>
      <c r="N816" t="s">
        <v>8032</v>
      </c>
      <c r="O816" t="s">
        <v>2722</v>
      </c>
      <c r="T816" t="s">
        <v>2745</v>
      </c>
      <c r="U816" t="s">
        <v>2746</v>
      </c>
    </row>
    <row r="817" spans="8:21" x14ac:dyDescent="0.25">
      <c r="H817" t="s">
        <v>46</v>
      </c>
      <c r="I817" t="s">
        <v>24</v>
      </c>
      <c r="N817" t="s">
        <v>8055</v>
      </c>
      <c r="O817" t="s">
        <v>2722</v>
      </c>
      <c r="T817" t="s">
        <v>2745</v>
      </c>
      <c r="U817" t="s">
        <v>2746</v>
      </c>
    </row>
    <row r="818" spans="8:21" x14ac:dyDescent="0.25">
      <c r="H818" t="s">
        <v>46</v>
      </c>
      <c r="I818" t="s">
        <v>24</v>
      </c>
      <c r="N818" t="s">
        <v>8046</v>
      </c>
      <c r="O818" t="s">
        <v>2722</v>
      </c>
      <c r="T818" t="s">
        <v>2745</v>
      </c>
      <c r="U818" t="s">
        <v>2746</v>
      </c>
    </row>
    <row r="819" spans="8:21" x14ac:dyDescent="0.25">
      <c r="H819" t="s">
        <v>46</v>
      </c>
      <c r="I819" t="s">
        <v>24</v>
      </c>
      <c r="N819" t="s">
        <v>8053</v>
      </c>
      <c r="O819" t="s">
        <v>2722</v>
      </c>
      <c r="T819" t="s">
        <v>2745</v>
      </c>
      <c r="U819" t="s">
        <v>2746</v>
      </c>
    </row>
    <row r="820" spans="8:21" x14ac:dyDescent="0.25">
      <c r="H820" t="s">
        <v>46</v>
      </c>
      <c r="I820" t="s">
        <v>24</v>
      </c>
      <c r="N820" t="s">
        <v>8051</v>
      </c>
      <c r="O820" t="s">
        <v>2722</v>
      </c>
      <c r="T820" t="s">
        <v>2745</v>
      </c>
      <c r="U820" t="s">
        <v>2746</v>
      </c>
    </row>
    <row r="821" spans="8:21" x14ac:dyDescent="0.25">
      <c r="H821" t="s">
        <v>46</v>
      </c>
      <c r="I821" t="s">
        <v>24</v>
      </c>
      <c r="N821" t="s">
        <v>8031</v>
      </c>
      <c r="O821" t="s">
        <v>2722</v>
      </c>
      <c r="T821" t="s">
        <v>2745</v>
      </c>
      <c r="U821" t="s">
        <v>2746</v>
      </c>
    </row>
    <row r="822" spans="8:21" x14ac:dyDescent="0.25">
      <c r="H822" t="s">
        <v>46</v>
      </c>
      <c r="I822" t="s">
        <v>24</v>
      </c>
      <c r="N822" t="s">
        <v>8045</v>
      </c>
      <c r="O822" t="s">
        <v>2722</v>
      </c>
      <c r="T822" t="s">
        <v>2666</v>
      </c>
      <c r="U822" t="s">
        <v>2648</v>
      </c>
    </row>
    <row r="823" spans="8:21" x14ac:dyDescent="0.25">
      <c r="H823" t="s">
        <v>39</v>
      </c>
      <c r="I823" t="s">
        <v>33</v>
      </c>
      <c r="N823" t="s">
        <v>8033</v>
      </c>
      <c r="O823" t="s">
        <v>2722</v>
      </c>
      <c r="T823" t="s">
        <v>2666</v>
      </c>
      <c r="U823" t="s">
        <v>2648</v>
      </c>
    </row>
    <row r="824" spans="8:21" x14ac:dyDescent="0.25">
      <c r="H824" t="s">
        <v>39</v>
      </c>
      <c r="I824" t="s">
        <v>33</v>
      </c>
      <c r="N824" t="s">
        <v>8043</v>
      </c>
      <c r="O824" t="s">
        <v>2722</v>
      </c>
      <c r="T824" t="s">
        <v>2666</v>
      </c>
      <c r="U824" t="s">
        <v>2648</v>
      </c>
    </row>
    <row r="825" spans="8:21" x14ac:dyDescent="0.25">
      <c r="H825" t="s">
        <v>39</v>
      </c>
      <c r="I825" t="s">
        <v>33</v>
      </c>
      <c r="N825" t="s">
        <v>7526</v>
      </c>
      <c r="O825" t="s">
        <v>478</v>
      </c>
      <c r="T825" t="s">
        <v>5020</v>
      </c>
      <c r="U825" t="s">
        <v>2648</v>
      </c>
    </row>
    <row r="826" spans="8:21" x14ac:dyDescent="0.25">
      <c r="H826" t="s">
        <v>39</v>
      </c>
      <c r="I826" t="s">
        <v>33</v>
      </c>
      <c r="N826" t="s">
        <v>7520</v>
      </c>
      <c r="O826" t="s">
        <v>478</v>
      </c>
      <c r="T826" t="s">
        <v>5124</v>
      </c>
      <c r="U826" t="s">
        <v>2648</v>
      </c>
    </row>
    <row r="827" spans="8:21" x14ac:dyDescent="0.25">
      <c r="H827" t="s">
        <v>39</v>
      </c>
      <c r="I827" t="s">
        <v>33</v>
      </c>
      <c r="N827" t="s">
        <v>7582</v>
      </c>
      <c r="O827" t="s">
        <v>478</v>
      </c>
      <c r="T827" t="s">
        <v>4428</v>
      </c>
      <c r="U827" t="s">
        <v>4429</v>
      </c>
    </row>
    <row r="828" spans="8:21" x14ac:dyDescent="0.25">
      <c r="H828" t="s">
        <v>39</v>
      </c>
      <c r="I828" t="s">
        <v>33</v>
      </c>
      <c r="N828" t="s">
        <v>2766</v>
      </c>
      <c r="O828" t="s">
        <v>2765</v>
      </c>
      <c r="T828" t="s">
        <v>4428</v>
      </c>
      <c r="U828" t="s">
        <v>4429</v>
      </c>
    </row>
    <row r="829" spans="8:21" x14ac:dyDescent="0.25">
      <c r="H829" t="s">
        <v>39</v>
      </c>
      <c r="I829" t="s">
        <v>33</v>
      </c>
      <c r="N829" t="s">
        <v>2766</v>
      </c>
      <c r="O829" t="s">
        <v>2765</v>
      </c>
      <c r="T829" t="s">
        <v>4428</v>
      </c>
      <c r="U829" t="s">
        <v>4429</v>
      </c>
    </row>
    <row r="830" spans="8:21" x14ac:dyDescent="0.25">
      <c r="H830" t="s">
        <v>39</v>
      </c>
      <c r="I830" t="s">
        <v>33</v>
      </c>
      <c r="N830" t="s">
        <v>2723</v>
      </c>
      <c r="O830" t="s">
        <v>2725</v>
      </c>
      <c r="T830" t="s">
        <v>4428</v>
      </c>
      <c r="U830" t="s">
        <v>4429</v>
      </c>
    </row>
    <row r="831" spans="8:21" x14ac:dyDescent="0.25">
      <c r="H831" t="s">
        <v>39</v>
      </c>
      <c r="I831" t="s">
        <v>33</v>
      </c>
      <c r="N831" t="s">
        <v>2723</v>
      </c>
      <c r="O831" t="s">
        <v>2725</v>
      </c>
      <c r="T831" t="s">
        <v>4428</v>
      </c>
      <c r="U831" t="s">
        <v>4429</v>
      </c>
    </row>
    <row r="832" spans="8:21" x14ac:dyDescent="0.25">
      <c r="H832" t="s">
        <v>39</v>
      </c>
      <c r="I832" t="s">
        <v>33</v>
      </c>
      <c r="N832" t="s">
        <v>2723</v>
      </c>
      <c r="O832" t="s">
        <v>2725</v>
      </c>
      <c r="T832" t="s">
        <v>4428</v>
      </c>
      <c r="U832" t="s">
        <v>4429</v>
      </c>
    </row>
    <row r="833" spans="8:21" x14ac:dyDescent="0.25">
      <c r="H833" t="s">
        <v>39</v>
      </c>
      <c r="I833" t="s">
        <v>33</v>
      </c>
      <c r="N833" t="s">
        <v>2723</v>
      </c>
      <c r="O833" t="s">
        <v>2725</v>
      </c>
      <c r="T833" t="s">
        <v>4428</v>
      </c>
      <c r="U833" t="s">
        <v>4429</v>
      </c>
    </row>
    <row r="834" spans="8:21" x14ac:dyDescent="0.25">
      <c r="H834" t="s">
        <v>39</v>
      </c>
      <c r="I834" t="s">
        <v>33</v>
      </c>
      <c r="N834" t="s">
        <v>122</v>
      </c>
      <c r="O834" t="s">
        <v>18</v>
      </c>
      <c r="T834" t="s">
        <v>4428</v>
      </c>
      <c r="U834" t="s">
        <v>4429</v>
      </c>
    </row>
    <row r="835" spans="8:21" x14ac:dyDescent="0.25">
      <c r="H835" t="s">
        <v>39</v>
      </c>
      <c r="I835" t="s">
        <v>33</v>
      </c>
      <c r="N835" t="s">
        <v>122</v>
      </c>
      <c r="O835" t="s">
        <v>18</v>
      </c>
      <c r="T835" t="s">
        <v>4428</v>
      </c>
      <c r="U835" t="s">
        <v>4429</v>
      </c>
    </row>
    <row r="836" spans="8:21" x14ac:dyDescent="0.25">
      <c r="H836" t="s">
        <v>39</v>
      </c>
      <c r="I836" t="s">
        <v>33</v>
      </c>
      <c r="N836" t="s">
        <v>122</v>
      </c>
      <c r="O836" t="s">
        <v>18</v>
      </c>
      <c r="T836" t="s">
        <v>4428</v>
      </c>
      <c r="U836" t="s">
        <v>4429</v>
      </c>
    </row>
    <row r="837" spans="8:21" x14ac:dyDescent="0.25">
      <c r="H837" t="s">
        <v>39</v>
      </c>
      <c r="I837" t="s">
        <v>33</v>
      </c>
      <c r="N837" t="s">
        <v>122</v>
      </c>
      <c r="O837" t="s">
        <v>18</v>
      </c>
      <c r="T837" t="s">
        <v>4428</v>
      </c>
      <c r="U837" t="s">
        <v>4429</v>
      </c>
    </row>
    <row r="838" spans="8:21" x14ac:dyDescent="0.25">
      <c r="H838" t="s">
        <v>39</v>
      </c>
      <c r="I838" t="s">
        <v>33</v>
      </c>
      <c r="N838" t="s">
        <v>122</v>
      </c>
      <c r="O838" t="s">
        <v>18</v>
      </c>
      <c r="T838" t="s">
        <v>4428</v>
      </c>
      <c r="U838" t="s">
        <v>4429</v>
      </c>
    </row>
    <row r="839" spans="8:21" x14ac:dyDescent="0.25">
      <c r="H839" t="s">
        <v>39</v>
      </c>
      <c r="I839" t="s">
        <v>33</v>
      </c>
      <c r="N839" t="s">
        <v>122</v>
      </c>
      <c r="O839" t="s">
        <v>18</v>
      </c>
      <c r="T839" t="s">
        <v>418</v>
      </c>
      <c r="U839" t="s">
        <v>419</v>
      </c>
    </row>
    <row r="840" spans="8:21" x14ac:dyDescent="0.25">
      <c r="H840" t="s">
        <v>39</v>
      </c>
      <c r="I840" t="s">
        <v>33</v>
      </c>
      <c r="N840" t="s">
        <v>122</v>
      </c>
      <c r="O840" t="s">
        <v>18</v>
      </c>
      <c r="T840" t="s">
        <v>418</v>
      </c>
      <c r="U840" t="s">
        <v>419</v>
      </c>
    </row>
    <row r="841" spans="8:21" x14ac:dyDescent="0.25">
      <c r="H841" t="s">
        <v>39</v>
      </c>
      <c r="I841" t="s">
        <v>33</v>
      </c>
      <c r="N841" t="s">
        <v>122</v>
      </c>
      <c r="O841" t="s">
        <v>18</v>
      </c>
      <c r="T841" t="s">
        <v>418</v>
      </c>
      <c r="U841" t="s">
        <v>419</v>
      </c>
    </row>
    <row r="842" spans="8:21" x14ac:dyDescent="0.25">
      <c r="H842" t="s">
        <v>39</v>
      </c>
      <c r="I842" t="s">
        <v>33</v>
      </c>
      <c r="N842" t="s">
        <v>122</v>
      </c>
      <c r="O842" t="s">
        <v>18</v>
      </c>
      <c r="T842" t="s">
        <v>418</v>
      </c>
      <c r="U842" t="s">
        <v>419</v>
      </c>
    </row>
    <row r="843" spans="8:21" x14ac:dyDescent="0.25">
      <c r="H843" t="s">
        <v>39</v>
      </c>
      <c r="I843" t="s">
        <v>33</v>
      </c>
      <c r="N843" t="s">
        <v>122</v>
      </c>
      <c r="O843" t="s">
        <v>18</v>
      </c>
      <c r="T843" t="s">
        <v>418</v>
      </c>
      <c r="U843" t="s">
        <v>419</v>
      </c>
    </row>
    <row r="844" spans="8:21" x14ac:dyDescent="0.25">
      <c r="H844" t="s">
        <v>39</v>
      </c>
      <c r="I844" t="s">
        <v>33</v>
      </c>
      <c r="N844" t="s">
        <v>122</v>
      </c>
      <c r="O844" t="s">
        <v>18</v>
      </c>
      <c r="T844" t="s">
        <v>2663</v>
      </c>
      <c r="U844" t="s">
        <v>2649</v>
      </c>
    </row>
    <row r="845" spans="8:21" x14ac:dyDescent="0.25">
      <c r="H845" t="s">
        <v>39</v>
      </c>
      <c r="I845" t="s">
        <v>33</v>
      </c>
      <c r="N845" t="s">
        <v>122</v>
      </c>
      <c r="O845" t="s">
        <v>18</v>
      </c>
      <c r="T845" t="s">
        <v>2663</v>
      </c>
      <c r="U845" t="s">
        <v>2649</v>
      </c>
    </row>
    <row r="846" spans="8:21" x14ac:dyDescent="0.25">
      <c r="H846" t="s">
        <v>39</v>
      </c>
      <c r="I846" t="s">
        <v>33</v>
      </c>
      <c r="N846" t="s">
        <v>122</v>
      </c>
      <c r="O846" t="s">
        <v>18</v>
      </c>
      <c r="T846" t="s">
        <v>2663</v>
      </c>
      <c r="U846" t="s">
        <v>2649</v>
      </c>
    </row>
    <row r="847" spans="8:21" x14ac:dyDescent="0.25">
      <c r="H847" t="s">
        <v>39</v>
      </c>
      <c r="I847" t="s">
        <v>33</v>
      </c>
      <c r="N847" t="s">
        <v>122</v>
      </c>
      <c r="O847" t="s">
        <v>18</v>
      </c>
      <c r="T847" t="s">
        <v>2663</v>
      </c>
      <c r="U847" t="s">
        <v>2649</v>
      </c>
    </row>
    <row r="848" spans="8:21" x14ac:dyDescent="0.25">
      <c r="H848" t="s">
        <v>39</v>
      </c>
      <c r="I848" t="s">
        <v>33</v>
      </c>
      <c r="N848" t="s">
        <v>122</v>
      </c>
      <c r="O848" t="s">
        <v>18</v>
      </c>
      <c r="T848" t="s">
        <v>2663</v>
      </c>
      <c r="U848" t="s">
        <v>2649</v>
      </c>
    </row>
    <row r="849" spans="8:21" x14ac:dyDescent="0.25">
      <c r="H849" t="s">
        <v>39</v>
      </c>
      <c r="I849" t="s">
        <v>33</v>
      </c>
      <c r="N849" t="s">
        <v>122</v>
      </c>
      <c r="O849" t="s">
        <v>18</v>
      </c>
      <c r="T849" t="s">
        <v>2663</v>
      </c>
      <c r="U849" t="s">
        <v>2649</v>
      </c>
    </row>
    <row r="850" spans="8:21" x14ac:dyDescent="0.25">
      <c r="H850" t="s">
        <v>39</v>
      </c>
      <c r="I850" t="s">
        <v>33</v>
      </c>
      <c r="N850" t="s">
        <v>122</v>
      </c>
      <c r="O850" t="s">
        <v>18</v>
      </c>
      <c r="T850" t="s">
        <v>2663</v>
      </c>
      <c r="U850" t="s">
        <v>2649</v>
      </c>
    </row>
    <row r="851" spans="8:21" x14ac:dyDescent="0.25">
      <c r="H851" t="s">
        <v>39</v>
      </c>
      <c r="I851" t="s">
        <v>33</v>
      </c>
      <c r="N851" t="s">
        <v>122</v>
      </c>
      <c r="O851" t="s">
        <v>18</v>
      </c>
      <c r="T851" t="s">
        <v>2663</v>
      </c>
      <c r="U851" t="s">
        <v>2649</v>
      </c>
    </row>
    <row r="852" spans="8:21" x14ac:dyDescent="0.25">
      <c r="H852" t="s">
        <v>39</v>
      </c>
      <c r="I852" t="s">
        <v>33</v>
      </c>
      <c r="N852" t="s">
        <v>122</v>
      </c>
      <c r="O852" t="s">
        <v>18</v>
      </c>
      <c r="T852" t="s">
        <v>2663</v>
      </c>
      <c r="U852" t="s">
        <v>2649</v>
      </c>
    </row>
    <row r="853" spans="8:21" x14ac:dyDescent="0.25">
      <c r="H853" t="s">
        <v>39</v>
      </c>
      <c r="I853" t="s">
        <v>33</v>
      </c>
      <c r="N853" t="s">
        <v>122</v>
      </c>
      <c r="O853" t="s">
        <v>18</v>
      </c>
      <c r="T853" t="s">
        <v>2663</v>
      </c>
      <c r="U853" t="s">
        <v>2649</v>
      </c>
    </row>
    <row r="854" spans="8:21" x14ac:dyDescent="0.25">
      <c r="H854" t="s">
        <v>39</v>
      </c>
      <c r="I854" t="s">
        <v>33</v>
      </c>
      <c r="N854" t="s">
        <v>122</v>
      </c>
      <c r="O854" t="s">
        <v>18</v>
      </c>
      <c r="T854" t="s">
        <v>5197</v>
      </c>
      <c r="U854" t="s">
        <v>2649</v>
      </c>
    </row>
    <row r="855" spans="8:21" x14ac:dyDescent="0.25">
      <c r="H855" t="s">
        <v>39</v>
      </c>
      <c r="I855" t="s">
        <v>33</v>
      </c>
      <c r="N855" t="s">
        <v>122</v>
      </c>
      <c r="O855" t="s">
        <v>18</v>
      </c>
      <c r="T855" t="s">
        <v>4783</v>
      </c>
      <c r="U855" t="s">
        <v>2649</v>
      </c>
    </row>
    <row r="856" spans="8:21" x14ac:dyDescent="0.25">
      <c r="H856" t="s">
        <v>39</v>
      </c>
      <c r="I856" t="s">
        <v>33</v>
      </c>
      <c r="N856" t="s">
        <v>122</v>
      </c>
      <c r="O856" t="s">
        <v>18</v>
      </c>
      <c r="T856" t="s">
        <v>5175</v>
      </c>
      <c r="U856" t="s">
        <v>2649</v>
      </c>
    </row>
    <row r="857" spans="8:21" x14ac:dyDescent="0.25">
      <c r="H857" t="s">
        <v>39</v>
      </c>
      <c r="I857" t="s">
        <v>33</v>
      </c>
      <c r="N857" t="s">
        <v>122</v>
      </c>
      <c r="O857" t="s">
        <v>18</v>
      </c>
      <c r="T857" t="s">
        <v>4610</v>
      </c>
      <c r="U857" t="s">
        <v>2649</v>
      </c>
    </row>
    <row r="858" spans="8:21" x14ac:dyDescent="0.25">
      <c r="H858" t="s">
        <v>39</v>
      </c>
      <c r="I858" t="s">
        <v>33</v>
      </c>
      <c r="N858" t="s">
        <v>122</v>
      </c>
      <c r="O858" t="s">
        <v>18</v>
      </c>
      <c r="T858" t="s">
        <v>5063</v>
      </c>
      <c r="U858" t="s">
        <v>2649</v>
      </c>
    </row>
    <row r="859" spans="8:21" x14ac:dyDescent="0.25">
      <c r="H859" t="s">
        <v>39</v>
      </c>
      <c r="I859" t="s">
        <v>33</v>
      </c>
      <c r="N859" t="s">
        <v>122</v>
      </c>
      <c r="O859" t="s">
        <v>18</v>
      </c>
      <c r="T859" t="s">
        <v>4767</v>
      </c>
      <c r="U859" t="s">
        <v>2649</v>
      </c>
    </row>
    <row r="860" spans="8:21" x14ac:dyDescent="0.25">
      <c r="H860" t="s">
        <v>39</v>
      </c>
      <c r="I860" t="s">
        <v>33</v>
      </c>
      <c r="N860" t="s">
        <v>122</v>
      </c>
      <c r="O860" t="s">
        <v>18</v>
      </c>
      <c r="T860" t="s">
        <v>2669</v>
      </c>
      <c r="U860" t="s">
        <v>2650</v>
      </c>
    </row>
    <row r="861" spans="8:21" x14ac:dyDescent="0.25">
      <c r="H861" t="s">
        <v>39</v>
      </c>
      <c r="I861" t="s">
        <v>33</v>
      </c>
      <c r="N861" t="s">
        <v>122</v>
      </c>
      <c r="O861" t="s">
        <v>18</v>
      </c>
      <c r="T861" t="s">
        <v>2669</v>
      </c>
      <c r="U861" t="s">
        <v>8096</v>
      </c>
    </row>
    <row r="862" spans="8:21" x14ac:dyDescent="0.25">
      <c r="H862" t="s">
        <v>39</v>
      </c>
      <c r="I862" t="s">
        <v>33</v>
      </c>
      <c r="N862" t="s">
        <v>122</v>
      </c>
      <c r="O862" t="s">
        <v>18</v>
      </c>
      <c r="T862" t="s">
        <v>2669</v>
      </c>
      <c r="U862" t="s">
        <v>8096</v>
      </c>
    </row>
    <row r="863" spans="8:21" x14ac:dyDescent="0.25">
      <c r="H863" t="s">
        <v>39</v>
      </c>
      <c r="I863" t="s">
        <v>33</v>
      </c>
      <c r="N863" t="s">
        <v>122</v>
      </c>
      <c r="O863" t="s">
        <v>18</v>
      </c>
      <c r="T863" t="s">
        <v>2669</v>
      </c>
      <c r="U863" t="s">
        <v>2650</v>
      </c>
    </row>
    <row r="864" spans="8:21" x14ac:dyDescent="0.25">
      <c r="H864" t="s">
        <v>39</v>
      </c>
      <c r="I864" t="s">
        <v>33</v>
      </c>
      <c r="N864" t="s">
        <v>122</v>
      </c>
      <c r="O864" t="s">
        <v>18</v>
      </c>
      <c r="T864" t="s">
        <v>5147</v>
      </c>
      <c r="U864" t="s">
        <v>8096</v>
      </c>
    </row>
    <row r="865" spans="8:21" x14ac:dyDescent="0.25">
      <c r="H865" t="s">
        <v>39</v>
      </c>
      <c r="I865" t="s">
        <v>33</v>
      </c>
      <c r="N865" t="s">
        <v>122</v>
      </c>
      <c r="O865" t="s">
        <v>18</v>
      </c>
      <c r="T865" t="s">
        <v>5147</v>
      </c>
      <c r="U865" t="s">
        <v>2650</v>
      </c>
    </row>
    <row r="866" spans="8:21" x14ac:dyDescent="0.25">
      <c r="H866" t="s">
        <v>39</v>
      </c>
      <c r="I866" t="s">
        <v>33</v>
      </c>
      <c r="N866" t="s">
        <v>122</v>
      </c>
      <c r="O866" t="s">
        <v>18</v>
      </c>
      <c r="T866" t="s">
        <v>4531</v>
      </c>
      <c r="U866" t="s">
        <v>8096</v>
      </c>
    </row>
    <row r="867" spans="8:21" x14ac:dyDescent="0.25">
      <c r="H867" t="s">
        <v>256</v>
      </c>
      <c r="I867" t="s">
        <v>260</v>
      </c>
      <c r="N867" t="s">
        <v>122</v>
      </c>
      <c r="O867" t="s">
        <v>18</v>
      </c>
      <c r="T867" t="s">
        <v>4531</v>
      </c>
      <c r="U867" t="s">
        <v>2650</v>
      </c>
    </row>
    <row r="868" spans="8:21" x14ac:dyDescent="0.25">
      <c r="H868" t="s">
        <v>256</v>
      </c>
      <c r="I868" t="s">
        <v>260</v>
      </c>
      <c r="N868" t="s">
        <v>122</v>
      </c>
      <c r="O868" t="s">
        <v>18</v>
      </c>
      <c r="T868" t="s">
        <v>540</v>
      </c>
      <c r="U868" t="s">
        <v>541</v>
      </c>
    </row>
    <row r="869" spans="8:21" x14ac:dyDescent="0.25">
      <c r="H869" t="s">
        <v>256</v>
      </c>
      <c r="I869" t="s">
        <v>260</v>
      </c>
      <c r="N869" t="s">
        <v>122</v>
      </c>
      <c r="O869" t="s">
        <v>18</v>
      </c>
      <c r="T869" t="s">
        <v>540</v>
      </c>
      <c r="U869" t="s">
        <v>541</v>
      </c>
    </row>
    <row r="870" spans="8:21" x14ac:dyDescent="0.25">
      <c r="H870" t="s">
        <v>256</v>
      </c>
      <c r="I870" t="s">
        <v>260</v>
      </c>
      <c r="N870" t="s">
        <v>122</v>
      </c>
      <c r="O870" t="s">
        <v>18</v>
      </c>
      <c r="T870" t="s">
        <v>540</v>
      </c>
      <c r="U870" t="s">
        <v>541</v>
      </c>
    </row>
    <row r="871" spans="8:21" x14ac:dyDescent="0.25">
      <c r="H871" t="s">
        <v>256</v>
      </c>
      <c r="I871" t="s">
        <v>260</v>
      </c>
      <c r="N871" t="s">
        <v>122</v>
      </c>
      <c r="O871" t="s">
        <v>18</v>
      </c>
      <c r="T871" t="s">
        <v>540</v>
      </c>
      <c r="U871" t="s">
        <v>541</v>
      </c>
    </row>
    <row r="872" spans="8:21" x14ac:dyDescent="0.25">
      <c r="H872" t="s">
        <v>256</v>
      </c>
      <c r="I872" t="s">
        <v>260</v>
      </c>
      <c r="N872" t="s">
        <v>122</v>
      </c>
      <c r="O872" t="s">
        <v>18</v>
      </c>
      <c r="T872" t="s">
        <v>540</v>
      </c>
      <c r="U872" t="s">
        <v>541</v>
      </c>
    </row>
    <row r="873" spans="8:21" x14ac:dyDescent="0.25">
      <c r="H873" t="s">
        <v>256</v>
      </c>
      <c r="I873" t="s">
        <v>260</v>
      </c>
      <c r="N873" t="s">
        <v>122</v>
      </c>
      <c r="O873" t="s">
        <v>18</v>
      </c>
      <c r="T873" t="s">
        <v>540</v>
      </c>
      <c r="U873" t="s">
        <v>541</v>
      </c>
    </row>
    <row r="874" spans="8:21" x14ac:dyDescent="0.25">
      <c r="H874" t="s">
        <v>256</v>
      </c>
      <c r="I874" t="s">
        <v>260</v>
      </c>
      <c r="N874" t="s">
        <v>122</v>
      </c>
      <c r="O874" t="s">
        <v>18</v>
      </c>
      <c r="T874" t="s">
        <v>540</v>
      </c>
      <c r="U874" t="s">
        <v>541</v>
      </c>
    </row>
    <row r="875" spans="8:21" x14ac:dyDescent="0.25">
      <c r="H875" t="s">
        <v>256</v>
      </c>
      <c r="I875" t="s">
        <v>260</v>
      </c>
      <c r="N875" t="s">
        <v>122</v>
      </c>
      <c r="O875" t="s">
        <v>18</v>
      </c>
      <c r="T875" t="s">
        <v>540</v>
      </c>
      <c r="U875" t="s">
        <v>541</v>
      </c>
    </row>
    <row r="876" spans="8:21" x14ac:dyDescent="0.25">
      <c r="H876" t="s">
        <v>256</v>
      </c>
      <c r="I876" t="s">
        <v>260</v>
      </c>
      <c r="N876" t="s">
        <v>7331</v>
      </c>
      <c r="O876" t="s">
        <v>18</v>
      </c>
      <c r="T876" t="s">
        <v>540</v>
      </c>
      <c r="U876" t="s">
        <v>541</v>
      </c>
    </row>
    <row r="877" spans="8:21" x14ac:dyDescent="0.25">
      <c r="H877" t="s">
        <v>256</v>
      </c>
      <c r="I877" t="s">
        <v>260</v>
      </c>
      <c r="N877" t="s">
        <v>7331</v>
      </c>
      <c r="O877" t="s">
        <v>18</v>
      </c>
      <c r="T877" t="s">
        <v>540</v>
      </c>
      <c r="U877" t="s">
        <v>541</v>
      </c>
    </row>
    <row r="878" spans="8:21" x14ac:dyDescent="0.25">
      <c r="H878" t="s">
        <v>6125</v>
      </c>
      <c r="I878" t="s">
        <v>260</v>
      </c>
      <c r="N878" t="s">
        <v>7051</v>
      </c>
      <c r="O878" t="s">
        <v>18</v>
      </c>
      <c r="T878" t="s">
        <v>540</v>
      </c>
      <c r="U878" t="s">
        <v>541</v>
      </c>
    </row>
    <row r="879" spans="8:21" x14ac:dyDescent="0.25">
      <c r="H879" t="s">
        <v>6092</v>
      </c>
      <c r="I879" t="s">
        <v>260</v>
      </c>
      <c r="N879" t="s">
        <v>7891</v>
      </c>
      <c r="O879" t="s">
        <v>18</v>
      </c>
      <c r="T879" t="s">
        <v>540</v>
      </c>
      <c r="U879" t="s">
        <v>541</v>
      </c>
    </row>
    <row r="880" spans="8:21" x14ac:dyDescent="0.25">
      <c r="H880" t="s">
        <v>5546</v>
      </c>
      <c r="I880" t="s">
        <v>260</v>
      </c>
      <c r="N880" t="s">
        <v>7689</v>
      </c>
      <c r="O880" t="s">
        <v>18</v>
      </c>
      <c r="T880" t="s">
        <v>540</v>
      </c>
      <c r="U880" t="s">
        <v>541</v>
      </c>
    </row>
    <row r="881" spans="8:21" x14ac:dyDescent="0.25">
      <c r="H881" t="s">
        <v>5267</v>
      </c>
      <c r="I881" t="s">
        <v>260</v>
      </c>
      <c r="N881" t="s">
        <v>6937</v>
      </c>
      <c r="O881" t="s">
        <v>18</v>
      </c>
      <c r="T881" t="s">
        <v>540</v>
      </c>
      <c r="U881" t="s">
        <v>541</v>
      </c>
    </row>
    <row r="882" spans="8:21" x14ac:dyDescent="0.25">
      <c r="H882" t="s">
        <v>5476</v>
      </c>
      <c r="I882" t="s">
        <v>260</v>
      </c>
      <c r="N882" t="s">
        <v>6937</v>
      </c>
      <c r="O882" t="s">
        <v>18</v>
      </c>
      <c r="T882" t="s">
        <v>540</v>
      </c>
      <c r="U882" t="s">
        <v>541</v>
      </c>
    </row>
    <row r="883" spans="8:21" x14ac:dyDescent="0.25">
      <c r="H883" t="s">
        <v>6717</v>
      </c>
      <c r="I883" t="s">
        <v>260</v>
      </c>
      <c r="N883" t="s">
        <v>6937</v>
      </c>
      <c r="O883" t="s">
        <v>18</v>
      </c>
      <c r="T883" t="s">
        <v>540</v>
      </c>
      <c r="U883" t="s">
        <v>541</v>
      </c>
    </row>
    <row r="884" spans="8:21" x14ac:dyDescent="0.25">
      <c r="H884" t="s">
        <v>6221</v>
      </c>
      <c r="I884" t="s">
        <v>260</v>
      </c>
      <c r="N884" t="s">
        <v>7668</v>
      </c>
      <c r="O884" t="s">
        <v>18</v>
      </c>
      <c r="T884" t="s">
        <v>540</v>
      </c>
      <c r="U884" t="s">
        <v>541</v>
      </c>
    </row>
    <row r="885" spans="8:21" x14ac:dyDescent="0.25">
      <c r="H885" t="s">
        <v>6576</v>
      </c>
      <c r="I885" t="s">
        <v>260</v>
      </c>
      <c r="N885" t="s">
        <v>7770</v>
      </c>
      <c r="O885" t="s">
        <v>18</v>
      </c>
      <c r="T885" t="s">
        <v>540</v>
      </c>
      <c r="U885" t="s">
        <v>541</v>
      </c>
    </row>
    <row r="886" spans="8:21" x14ac:dyDescent="0.25">
      <c r="H886" t="s">
        <v>6034</v>
      </c>
      <c r="I886" t="s">
        <v>260</v>
      </c>
      <c r="N886" t="s">
        <v>7789</v>
      </c>
      <c r="O886" t="s">
        <v>18</v>
      </c>
      <c r="T886" t="s">
        <v>540</v>
      </c>
      <c r="U886" t="s">
        <v>541</v>
      </c>
    </row>
    <row r="887" spans="8:21" x14ac:dyDescent="0.25">
      <c r="H887" t="s">
        <v>6707</v>
      </c>
      <c r="I887" t="s">
        <v>260</v>
      </c>
      <c r="N887" t="s">
        <v>6903</v>
      </c>
      <c r="O887" t="s">
        <v>18</v>
      </c>
      <c r="T887" t="s">
        <v>540</v>
      </c>
      <c r="U887" t="s">
        <v>541</v>
      </c>
    </row>
    <row r="888" spans="8:21" x14ac:dyDescent="0.25">
      <c r="H888" t="s">
        <v>6276</v>
      </c>
      <c r="I888" t="s">
        <v>260</v>
      </c>
      <c r="N888" t="s">
        <v>4892</v>
      </c>
      <c r="O888" t="s">
        <v>18</v>
      </c>
      <c r="T888" t="s">
        <v>540</v>
      </c>
      <c r="U888" t="s">
        <v>541</v>
      </c>
    </row>
    <row r="889" spans="8:21" x14ac:dyDescent="0.25">
      <c r="H889" t="s">
        <v>6276</v>
      </c>
      <c r="I889" t="s">
        <v>260</v>
      </c>
      <c r="N889" t="s">
        <v>7234</v>
      </c>
      <c r="O889" t="s">
        <v>18</v>
      </c>
      <c r="T889" t="s">
        <v>543</v>
      </c>
      <c r="U889" t="s">
        <v>544</v>
      </c>
    </row>
    <row r="890" spans="8:21" x14ac:dyDescent="0.25">
      <c r="H890" t="s">
        <v>6503</v>
      </c>
      <c r="I890" t="s">
        <v>260</v>
      </c>
      <c r="N890" t="s">
        <v>7306</v>
      </c>
      <c r="O890" t="s">
        <v>18</v>
      </c>
      <c r="T890" t="s">
        <v>543</v>
      </c>
      <c r="U890" t="s">
        <v>544</v>
      </c>
    </row>
    <row r="891" spans="8:21" x14ac:dyDescent="0.25">
      <c r="H891" t="s">
        <v>5453</v>
      </c>
      <c r="I891" t="s">
        <v>260</v>
      </c>
      <c r="N891" t="s">
        <v>7076</v>
      </c>
      <c r="O891" t="s">
        <v>18</v>
      </c>
      <c r="T891" t="s">
        <v>543</v>
      </c>
      <c r="U891" t="s">
        <v>544</v>
      </c>
    </row>
    <row r="892" spans="8:21" x14ac:dyDescent="0.25">
      <c r="H892" t="s">
        <v>5453</v>
      </c>
      <c r="I892" t="s">
        <v>260</v>
      </c>
      <c r="N892" t="s">
        <v>4749</v>
      </c>
      <c r="O892" t="s">
        <v>18</v>
      </c>
      <c r="T892" t="s">
        <v>4771</v>
      </c>
      <c r="U892" t="s">
        <v>544</v>
      </c>
    </row>
    <row r="893" spans="8:21" x14ac:dyDescent="0.25">
      <c r="H893" t="s">
        <v>5742</v>
      </c>
      <c r="I893" t="s">
        <v>33</v>
      </c>
      <c r="N893" t="s">
        <v>4749</v>
      </c>
      <c r="O893" t="s">
        <v>18</v>
      </c>
      <c r="T893" t="s">
        <v>4618</v>
      </c>
      <c r="U893" t="s">
        <v>544</v>
      </c>
    </row>
    <row r="894" spans="8:21" x14ac:dyDescent="0.25">
      <c r="H894" t="s">
        <v>6259</v>
      </c>
      <c r="I894" t="s">
        <v>33</v>
      </c>
      <c r="N894" t="s">
        <v>2726</v>
      </c>
      <c r="O894" t="s">
        <v>2728</v>
      </c>
      <c r="P894" t="s">
        <v>2757</v>
      </c>
      <c r="Q894" t="s">
        <v>2759</v>
      </c>
      <c r="R894" t="s">
        <v>2758</v>
      </c>
      <c r="T894" t="s">
        <v>4789</v>
      </c>
      <c r="U894" t="s">
        <v>544</v>
      </c>
    </row>
    <row r="895" spans="8:21" x14ac:dyDescent="0.25">
      <c r="H895" t="s">
        <v>5246</v>
      </c>
      <c r="I895" t="s">
        <v>33</v>
      </c>
      <c r="N895" t="s">
        <v>2726</v>
      </c>
      <c r="O895" t="s">
        <v>2728</v>
      </c>
      <c r="P895" t="s">
        <v>2757</v>
      </c>
      <c r="Q895" t="s">
        <v>2759</v>
      </c>
      <c r="R895" t="s">
        <v>2758</v>
      </c>
      <c r="T895" t="s">
        <v>4786</v>
      </c>
      <c r="U895" t="s">
        <v>544</v>
      </c>
    </row>
    <row r="896" spans="8:21" x14ac:dyDescent="0.25">
      <c r="H896" t="s">
        <v>5487</v>
      </c>
      <c r="I896" t="s">
        <v>33</v>
      </c>
      <c r="N896" t="s">
        <v>2726</v>
      </c>
      <c r="O896" t="s">
        <v>2728</v>
      </c>
      <c r="P896" t="s">
        <v>2757</v>
      </c>
      <c r="Q896" t="s">
        <v>2759</v>
      </c>
      <c r="R896" t="s">
        <v>2758</v>
      </c>
      <c r="T896" t="s">
        <v>576</v>
      </c>
      <c r="U896" t="s">
        <v>577</v>
      </c>
    </row>
    <row r="897" spans="8:21" x14ac:dyDescent="0.25">
      <c r="H897" t="s">
        <v>5487</v>
      </c>
      <c r="I897" t="s">
        <v>33</v>
      </c>
      <c r="N897" t="s">
        <v>2726</v>
      </c>
      <c r="O897" t="s">
        <v>2728</v>
      </c>
      <c r="P897" t="s">
        <v>2757</v>
      </c>
      <c r="Q897" t="s">
        <v>2759</v>
      </c>
      <c r="R897" t="s">
        <v>2758</v>
      </c>
      <c r="T897" t="s">
        <v>576</v>
      </c>
      <c r="U897" t="s">
        <v>577</v>
      </c>
    </row>
    <row r="898" spans="8:21" x14ac:dyDescent="0.25">
      <c r="H898" t="s">
        <v>5487</v>
      </c>
      <c r="I898" t="s">
        <v>33</v>
      </c>
      <c r="N898" t="s">
        <v>2726</v>
      </c>
      <c r="O898" t="s">
        <v>2728</v>
      </c>
      <c r="P898" t="s">
        <v>2757</v>
      </c>
      <c r="Q898" t="s">
        <v>2759</v>
      </c>
      <c r="R898" t="s">
        <v>2758</v>
      </c>
      <c r="T898" t="s">
        <v>576</v>
      </c>
      <c r="U898" t="s">
        <v>577</v>
      </c>
    </row>
    <row r="899" spans="8:21" x14ac:dyDescent="0.25">
      <c r="H899" t="s">
        <v>6611</v>
      </c>
      <c r="I899" t="s">
        <v>33</v>
      </c>
      <c r="N899" t="s">
        <v>2726</v>
      </c>
      <c r="O899" t="s">
        <v>2728</v>
      </c>
      <c r="P899" t="s">
        <v>2757</v>
      </c>
      <c r="Q899" t="s">
        <v>2759</v>
      </c>
      <c r="R899" t="s">
        <v>2758</v>
      </c>
      <c r="T899" t="s">
        <v>576</v>
      </c>
      <c r="U899" t="s">
        <v>577</v>
      </c>
    </row>
    <row r="900" spans="8:21" x14ac:dyDescent="0.25">
      <c r="H900" t="s">
        <v>5250</v>
      </c>
      <c r="I900" t="s">
        <v>33</v>
      </c>
      <c r="N900" t="s">
        <v>2729</v>
      </c>
      <c r="O900" t="s">
        <v>2731</v>
      </c>
      <c r="P900" t="s">
        <v>8000</v>
      </c>
      <c r="T900" t="s">
        <v>309</v>
      </c>
      <c r="U900" t="s">
        <v>310</v>
      </c>
    </row>
    <row r="901" spans="8:21" x14ac:dyDescent="0.25">
      <c r="H901" t="s">
        <v>5790</v>
      </c>
      <c r="I901" t="s">
        <v>33</v>
      </c>
      <c r="N901" t="s">
        <v>2729</v>
      </c>
      <c r="O901" t="s">
        <v>2731</v>
      </c>
      <c r="P901" t="s">
        <v>8000</v>
      </c>
      <c r="T901" t="s">
        <v>4784</v>
      </c>
      <c r="U901" t="s">
        <v>310</v>
      </c>
    </row>
    <row r="902" spans="8:21" x14ac:dyDescent="0.25">
      <c r="H902" t="s">
        <v>6677</v>
      </c>
      <c r="I902" t="s">
        <v>33</v>
      </c>
      <c r="N902" t="s">
        <v>2729</v>
      </c>
      <c r="O902" t="s">
        <v>2731</v>
      </c>
      <c r="P902" t="s">
        <v>8000</v>
      </c>
      <c r="T902" t="s">
        <v>311</v>
      </c>
      <c r="U902" t="s">
        <v>312</v>
      </c>
    </row>
    <row r="903" spans="8:21" x14ac:dyDescent="0.25">
      <c r="H903" t="s">
        <v>5684</v>
      </c>
      <c r="I903" t="s">
        <v>33</v>
      </c>
      <c r="N903" t="s">
        <v>2729</v>
      </c>
      <c r="O903" t="s">
        <v>2731</v>
      </c>
      <c r="P903" t="s">
        <v>8000</v>
      </c>
      <c r="T903" t="s">
        <v>311</v>
      </c>
      <c r="U903" t="s">
        <v>312</v>
      </c>
    </row>
    <row r="904" spans="8:21" x14ac:dyDescent="0.25">
      <c r="H904" t="s">
        <v>5684</v>
      </c>
      <c r="I904" t="s">
        <v>33</v>
      </c>
      <c r="N904" t="s">
        <v>2732</v>
      </c>
      <c r="O904" t="s">
        <v>2733</v>
      </c>
      <c r="P904" t="s">
        <v>7999</v>
      </c>
      <c r="T904" t="s">
        <v>311</v>
      </c>
      <c r="U904" t="s">
        <v>312</v>
      </c>
    </row>
    <row r="905" spans="8:21" x14ac:dyDescent="0.25">
      <c r="H905" t="s">
        <v>5735</v>
      </c>
      <c r="I905" t="s">
        <v>33</v>
      </c>
      <c r="N905" t="s">
        <v>2732</v>
      </c>
      <c r="O905" t="s">
        <v>2733</v>
      </c>
      <c r="P905" t="s">
        <v>7999</v>
      </c>
      <c r="T905" t="s">
        <v>4542</v>
      </c>
      <c r="U905" t="s">
        <v>312</v>
      </c>
    </row>
    <row r="906" spans="8:21" x14ac:dyDescent="0.25">
      <c r="H906" t="s">
        <v>6653</v>
      </c>
      <c r="I906" t="s">
        <v>33</v>
      </c>
      <c r="N906" t="s">
        <v>2732</v>
      </c>
      <c r="O906" t="s">
        <v>2733</v>
      </c>
      <c r="P906" t="s">
        <v>7999</v>
      </c>
      <c r="T906" t="s">
        <v>4699</v>
      </c>
      <c r="U906" t="s">
        <v>312</v>
      </c>
    </row>
    <row r="907" spans="8:21" x14ac:dyDescent="0.25">
      <c r="H907" t="s">
        <v>6525</v>
      </c>
      <c r="I907" t="s">
        <v>33</v>
      </c>
      <c r="N907" t="s">
        <v>2732</v>
      </c>
      <c r="O907" t="s">
        <v>2733</v>
      </c>
      <c r="P907" t="s">
        <v>7999</v>
      </c>
      <c r="T907" t="s">
        <v>5054</v>
      </c>
      <c r="U907" t="s">
        <v>312</v>
      </c>
    </row>
    <row r="908" spans="8:21" x14ac:dyDescent="0.25">
      <c r="H908" t="s">
        <v>5652</v>
      </c>
      <c r="I908" t="s">
        <v>33</v>
      </c>
      <c r="N908" t="s">
        <v>2734</v>
      </c>
      <c r="O908" t="s">
        <v>2735</v>
      </c>
      <c r="P908" t="s">
        <v>8001</v>
      </c>
      <c r="T908" t="s">
        <v>4836</v>
      </c>
      <c r="U908" t="s">
        <v>312</v>
      </c>
    </row>
    <row r="909" spans="8:21" x14ac:dyDescent="0.25">
      <c r="H909" t="s">
        <v>5787</v>
      </c>
      <c r="I909" t="s">
        <v>33</v>
      </c>
      <c r="N909" t="s">
        <v>2736</v>
      </c>
      <c r="O909" t="s">
        <v>2737</v>
      </c>
      <c r="P909" t="s">
        <v>7998</v>
      </c>
      <c r="T909" t="s">
        <v>4595</v>
      </c>
      <c r="U909" t="s">
        <v>312</v>
      </c>
    </row>
    <row r="910" spans="8:21" x14ac:dyDescent="0.25">
      <c r="H910" t="s">
        <v>5787</v>
      </c>
      <c r="I910" t="s">
        <v>33</v>
      </c>
      <c r="N910" t="s">
        <v>2736</v>
      </c>
      <c r="O910" t="s">
        <v>2737</v>
      </c>
      <c r="P910" t="s">
        <v>7998</v>
      </c>
      <c r="T910" t="s">
        <v>4865</v>
      </c>
      <c r="U910" t="s">
        <v>312</v>
      </c>
    </row>
    <row r="911" spans="8:21" x14ac:dyDescent="0.25">
      <c r="H911" t="s">
        <v>5753</v>
      </c>
      <c r="I911" t="s">
        <v>33</v>
      </c>
      <c r="N911" t="s">
        <v>2736</v>
      </c>
      <c r="O911" t="s">
        <v>2737</v>
      </c>
      <c r="P911" t="s">
        <v>7998</v>
      </c>
      <c r="T911" t="s">
        <v>313</v>
      </c>
      <c r="U911" t="s">
        <v>314</v>
      </c>
    </row>
    <row r="912" spans="8:21" x14ac:dyDescent="0.25">
      <c r="H912" t="s">
        <v>5502</v>
      </c>
      <c r="I912" t="s">
        <v>33</v>
      </c>
      <c r="N912" t="s">
        <v>2736</v>
      </c>
      <c r="O912" t="s">
        <v>2737</v>
      </c>
      <c r="P912" t="s">
        <v>7998</v>
      </c>
      <c r="T912" t="s">
        <v>313</v>
      </c>
      <c r="U912" t="s">
        <v>314</v>
      </c>
    </row>
    <row r="913" spans="8:21" x14ac:dyDescent="0.25">
      <c r="H913" t="s">
        <v>6667</v>
      </c>
      <c r="I913" t="s">
        <v>33</v>
      </c>
      <c r="N913" t="s">
        <v>2736</v>
      </c>
      <c r="O913" t="s">
        <v>2737</v>
      </c>
      <c r="P913" t="s">
        <v>7998</v>
      </c>
      <c r="T913" t="s">
        <v>313</v>
      </c>
      <c r="U913" t="s">
        <v>314</v>
      </c>
    </row>
    <row r="914" spans="8:21" x14ac:dyDescent="0.25">
      <c r="H914" t="s">
        <v>6261</v>
      </c>
      <c r="I914" t="s">
        <v>33</v>
      </c>
      <c r="N914" t="s">
        <v>2736</v>
      </c>
      <c r="O914" t="s">
        <v>2737</v>
      </c>
      <c r="P914" t="s">
        <v>7998</v>
      </c>
      <c r="T914" t="s">
        <v>313</v>
      </c>
      <c r="U914" t="s">
        <v>314</v>
      </c>
    </row>
    <row r="915" spans="8:21" x14ac:dyDescent="0.25">
      <c r="H915" t="s">
        <v>5223</v>
      </c>
      <c r="I915" t="s">
        <v>33</v>
      </c>
      <c r="N915" t="s">
        <v>2736</v>
      </c>
      <c r="O915" t="s">
        <v>2737</v>
      </c>
      <c r="P915" t="s">
        <v>7998</v>
      </c>
      <c r="T915" t="s">
        <v>313</v>
      </c>
      <c r="U915" t="s">
        <v>314</v>
      </c>
    </row>
    <row r="916" spans="8:21" x14ac:dyDescent="0.25">
      <c r="H916" t="s">
        <v>6094</v>
      </c>
      <c r="I916" t="s">
        <v>33</v>
      </c>
      <c r="N916" t="s">
        <v>2736</v>
      </c>
      <c r="O916" t="s">
        <v>2737</v>
      </c>
      <c r="P916" t="s">
        <v>7998</v>
      </c>
      <c r="T916" t="s">
        <v>313</v>
      </c>
      <c r="U916" t="s">
        <v>314</v>
      </c>
    </row>
    <row r="917" spans="8:21" x14ac:dyDescent="0.25">
      <c r="H917" t="s">
        <v>6397</v>
      </c>
      <c r="I917" t="s">
        <v>33</v>
      </c>
      <c r="N917" t="s">
        <v>2736</v>
      </c>
      <c r="O917" t="s">
        <v>2737</v>
      </c>
      <c r="P917" t="s">
        <v>7998</v>
      </c>
      <c r="T917" t="s">
        <v>313</v>
      </c>
      <c r="U917" t="s">
        <v>314</v>
      </c>
    </row>
    <row r="918" spans="8:21" x14ac:dyDescent="0.25">
      <c r="H918" t="s">
        <v>5601</v>
      </c>
      <c r="I918" t="s">
        <v>33</v>
      </c>
      <c r="N918" t="s">
        <v>2736</v>
      </c>
      <c r="O918" t="s">
        <v>2737</v>
      </c>
      <c r="P918" t="s">
        <v>7998</v>
      </c>
      <c r="T918" t="s">
        <v>313</v>
      </c>
      <c r="U918" t="s">
        <v>314</v>
      </c>
    </row>
    <row r="919" spans="8:21" x14ac:dyDescent="0.25">
      <c r="H919" t="s">
        <v>5601</v>
      </c>
      <c r="I919" t="s">
        <v>33</v>
      </c>
      <c r="N919" t="s">
        <v>2736</v>
      </c>
      <c r="O919" t="s">
        <v>2737</v>
      </c>
      <c r="P919" t="s">
        <v>7998</v>
      </c>
      <c r="T919" t="s">
        <v>313</v>
      </c>
      <c r="U919" t="s">
        <v>314</v>
      </c>
    </row>
    <row r="920" spans="8:21" x14ac:dyDescent="0.25">
      <c r="H920" t="s">
        <v>5601</v>
      </c>
      <c r="I920" t="s">
        <v>33</v>
      </c>
      <c r="N920" t="s">
        <v>2736</v>
      </c>
      <c r="O920" t="s">
        <v>2737</v>
      </c>
      <c r="P920" t="s">
        <v>7998</v>
      </c>
      <c r="T920" t="s">
        <v>313</v>
      </c>
      <c r="U920" t="s">
        <v>314</v>
      </c>
    </row>
    <row r="921" spans="8:21" x14ac:dyDescent="0.25">
      <c r="H921" t="s">
        <v>6846</v>
      </c>
      <c r="I921" t="s">
        <v>33</v>
      </c>
      <c r="N921" t="s">
        <v>2736</v>
      </c>
      <c r="O921" t="s">
        <v>2737</v>
      </c>
      <c r="P921" t="s">
        <v>7998</v>
      </c>
      <c r="T921" t="s">
        <v>313</v>
      </c>
      <c r="U921" t="s">
        <v>314</v>
      </c>
    </row>
    <row r="922" spans="8:21" x14ac:dyDescent="0.25">
      <c r="H922" t="s">
        <v>5863</v>
      </c>
      <c r="I922" t="s">
        <v>33</v>
      </c>
      <c r="N922" t="s">
        <v>2736</v>
      </c>
      <c r="O922" t="s">
        <v>2737</v>
      </c>
      <c r="P922" t="s">
        <v>7998</v>
      </c>
      <c r="T922" t="s">
        <v>313</v>
      </c>
      <c r="U922" t="s">
        <v>314</v>
      </c>
    </row>
    <row r="923" spans="8:21" x14ac:dyDescent="0.25">
      <c r="H923" t="s">
        <v>5863</v>
      </c>
      <c r="I923" t="s">
        <v>33</v>
      </c>
      <c r="N923" t="s">
        <v>2741</v>
      </c>
      <c r="O923" t="s">
        <v>2742</v>
      </c>
      <c r="T923" t="s">
        <v>313</v>
      </c>
      <c r="U923" t="s">
        <v>314</v>
      </c>
    </row>
    <row r="924" spans="8:21" x14ac:dyDescent="0.25">
      <c r="H924" t="s">
        <v>6117</v>
      </c>
      <c r="I924" t="s">
        <v>33</v>
      </c>
      <c r="N924" t="s">
        <v>2741</v>
      </c>
      <c r="O924" t="s">
        <v>2742</v>
      </c>
      <c r="T924" t="s">
        <v>313</v>
      </c>
      <c r="U924" t="s">
        <v>314</v>
      </c>
    </row>
    <row r="925" spans="8:21" x14ac:dyDescent="0.25">
      <c r="H925" t="s">
        <v>6117</v>
      </c>
      <c r="I925" t="s">
        <v>33</v>
      </c>
      <c r="N925" t="s">
        <v>2741</v>
      </c>
      <c r="O925" t="s">
        <v>2742</v>
      </c>
      <c r="T925" t="s">
        <v>313</v>
      </c>
      <c r="U925" t="s">
        <v>314</v>
      </c>
    </row>
    <row r="926" spans="8:21" x14ac:dyDescent="0.25">
      <c r="H926" t="s">
        <v>6473</v>
      </c>
      <c r="I926" t="s">
        <v>33</v>
      </c>
      <c r="N926" t="s">
        <v>2741</v>
      </c>
      <c r="O926" t="s">
        <v>2742</v>
      </c>
      <c r="T926" t="s">
        <v>313</v>
      </c>
      <c r="U926" t="s">
        <v>314</v>
      </c>
    </row>
    <row r="927" spans="8:21" x14ac:dyDescent="0.25">
      <c r="H927" t="s">
        <v>40</v>
      </c>
      <c r="I927" t="s">
        <v>34</v>
      </c>
      <c r="N927" t="s">
        <v>2741</v>
      </c>
      <c r="O927" t="s">
        <v>2742</v>
      </c>
      <c r="T927" t="s">
        <v>313</v>
      </c>
      <c r="U927" t="s">
        <v>314</v>
      </c>
    </row>
    <row r="928" spans="8:21" x14ac:dyDescent="0.25">
      <c r="H928" t="s">
        <v>40</v>
      </c>
      <c r="I928" t="s">
        <v>34</v>
      </c>
      <c r="N928" t="s">
        <v>2741</v>
      </c>
      <c r="O928" t="s">
        <v>2742</v>
      </c>
      <c r="T928" t="s">
        <v>313</v>
      </c>
      <c r="U928" t="s">
        <v>314</v>
      </c>
    </row>
    <row r="929" spans="8:21" x14ac:dyDescent="0.25">
      <c r="H929" t="s">
        <v>40</v>
      </c>
      <c r="I929" t="s">
        <v>34</v>
      </c>
      <c r="N929" t="s">
        <v>2741</v>
      </c>
      <c r="O929" t="s">
        <v>2742</v>
      </c>
      <c r="T929" t="s">
        <v>313</v>
      </c>
      <c r="U929" t="s">
        <v>314</v>
      </c>
    </row>
    <row r="930" spans="8:21" x14ac:dyDescent="0.25">
      <c r="H930" t="s">
        <v>40</v>
      </c>
      <c r="I930" t="s">
        <v>34</v>
      </c>
      <c r="N930" t="s">
        <v>2741</v>
      </c>
      <c r="O930" t="s">
        <v>2742</v>
      </c>
      <c r="T930" t="s">
        <v>313</v>
      </c>
      <c r="U930" t="s">
        <v>314</v>
      </c>
    </row>
    <row r="931" spans="8:21" x14ac:dyDescent="0.25">
      <c r="H931" t="s">
        <v>40</v>
      </c>
      <c r="I931" t="s">
        <v>34</v>
      </c>
      <c r="N931" t="s">
        <v>2741</v>
      </c>
      <c r="O931" t="s">
        <v>2742</v>
      </c>
      <c r="T931" t="s">
        <v>313</v>
      </c>
      <c r="U931" t="s">
        <v>314</v>
      </c>
    </row>
    <row r="932" spans="8:21" x14ac:dyDescent="0.25">
      <c r="H932" t="s">
        <v>40</v>
      </c>
      <c r="I932" t="s">
        <v>34</v>
      </c>
      <c r="N932" t="s">
        <v>2741</v>
      </c>
      <c r="O932" t="s">
        <v>2742</v>
      </c>
      <c r="T932" t="s">
        <v>313</v>
      </c>
      <c r="U932" t="s">
        <v>314</v>
      </c>
    </row>
    <row r="933" spans="8:21" x14ac:dyDescent="0.25">
      <c r="H933" t="s">
        <v>40</v>
      </c>
      <c r="I933" t="s">
        <v>34</v>
      </c>
      <c r="N933" t="s">
        <v>2741</v>
      </c>
      <c r="O933" t="s">
        <v>2742</v>
      </c>
      <c r="T933" t="s">
        <v>313</v>
      </c>
      <c r="U933" t="s">
        <v>314</v>
      </c>
    </row>
    <row r="934" spans="8:21" x14ac:dyDescent="0.25">
      <c r="H934" t="s">
        <v>40</v>
      </c>
      <c r="I934" t="s">
        <v>34</v>
      </c>
      <c r="N934" t="s">
        <v>2741</v>
      </c>
      <c r="O934" t="s">
        <v>2742</v>
      </c>
      <c r="T934" t="s">
        <v>313</v>
      </c>
      <c r="U934" t="s">
        <v>314</v>
      </c>
    </row>
    <row r="935" spans="8:21" x14ac:dyDescent="0.25">
      <c r="H935" t="s">
        <v>40</v>
      </c>
      <c r="I935" t="s">
        <v>34</v>
      </c>
      <c r="N935" t="s">
        <v>2741</v>
      </c>
      <c r="O935" t="s">
        <v>2742</v>
      </c>
      <c r="T935" t="s">
        <v>4850</v>
      </c>
      <c r="U935" t="s">
        <v>314</v>
      </c>
    </row>
    <row r="936" spans="8:21" x14ac:dyDescent="0.25">
      <c r="H936" t="s">
        <v>40</v>
      </c>
      <c r="I936" t="s">
        <v>34</v>
      </c>
      <c r="N936" t="s">
        <v>2741</v>
      </c>
      <c r="O936" t="s">
        <v>2742</v>
      </c>
      <c r="T936" t="s">
        <v>4929</v>
      </c>
      <c r="U936" t="s">
        <v>314</v>
      </c>
    </row>
    <row r="937" spans="8:21" x14ac:dyDescent="0.25">
      <c r="H937" t="s">
        <v>40</v>
      </c>
      <c r="I937" t="s">
        <v>34</v>
      </c>
      <c r="N937" t="s">
        <v>2741</v>
      </c>
      <c r="O937" t="s">
        <v>2742</v>
      </c>
      <c r="T937" t="s">
        <v>4611</v>
      </c>
      <c r="U937" t="s">
        <v>314</v>
      </c>
    </row>
    <row r="938" spans="8:21" x14ac:dyDescent="0.25">
      <c r="H938" t="s">
        <v>40</v>
      </c>
      <c r="I938" t="s">
        <v>34</v>
      </c>
      <c r="N938" t="s">
        <v>2741</v>
      </c>
      <c r="O938" t="s">
        <v>2742</v>
      </c>
      <c r="T938" t="s">
        <v>315</v>
      </c>
      <c r="U938" t="s">
        <v>316</v>
      </c>
    </row>
    <row r="939" spans="8:21" x14ac:dyDescent="0.25">
      <c r="H939" t="s">
        <v>40</v>
      </c>
      <c r="I939" t="s">
        <v>34</v>
      </c>
      <c r="N939" t="s">
        <v>2741</v>
      </c>
      <c r="O939" t="s">
        <v>2742</v>
      </c>
      <c r="T939" t="s">
        <v>315</v>
      </c>
      <c r="U939" t="s">
        <v>316</v>
      </c>
    </row>
    <row r="940" spans="8:21" x14ac:dyDescent="0.25">
      <c r="H940" t="s">
        <v>40</v>
      </c>
      <c r="I940" t="s">
        <v>34</v>
      </c>
      <c r="N940" t="s">
        <v>2741</v>
      </c>
      <c r="O940" t="s">
        <v>2742</v>
      </c>
      <c r="T940" t="s">
        <v>315</v>
      </c>
      <c r="U940" t="s">
        <v>316</v>
      </c>
    </row>
    <row r="941" spans="8:21" x14ac:dyDescent="0.25">
      <c r="H941" t="s">
        <v>257</v>
      </c>
      <c r="I941" t="s">
        <v>261</v>
      </c>
      <c r="N941" t="s">
        <v>450</v>
      </c>
      <c r="O941" t="s">
        <v>451</v>
      </c>
      <c r="T941" t="s">
        <v>315</v>
      </c>
      <c r="U941" t="s">
        <v>316</v>
      </c>
    </row>
    <row r="942" spans="8:21" x14ac:dyDescent="0.25">
      <c r="H942" t="s">
        <v>257</v>
      </c>
      <c r="I942" t="s">
        <v>261</v>
      </c>
      <c r="N942" t="s">
        <v>450</v>
      </c>
      <c r="O942" t="s">
        <v>451</v>
      </c>
      <c r="T942" t="s">
        <v>4991</v>
      </c>
      <c r="U942" t="s">
        <v>316</v>
      </c>
    </row>
    <row r="943" spans="8:21" x14ac:dyDescent="0.25">
      <c r="H943" t="s">
        <v>257</v>
      </c>
      <c r="I943" t="s">
        <v>261</v>
      </c>
      <c r="N943" t="s">
        <v>450</v>
      </c>
      <c r="O943" t="s">
        <v>451</v>
      </c>
      <c r="T943" t="s">
        <v>4795</v>
      </c>
      <c r="U943" t="s">
        <v>481</v>
      </c>
    </row>
    <row r="944" spans="8:21" x14ac:dyDescent="0.25">
      <c r="H944" t="s">
        <v>257</v>
      </c>
      <c r="I944" t="s">
        <v>261</v>
      </c>
      <c r="N944" t="s">
        <v>450</v>
      </c>
      <c r="O944" t="s">
        <v>451</v>
      </c>
      <c r="T944" t="s">
        <v>4882</v>
      </c>
      <c r="U944" t="s">
        <v>481</v>
      </c>
    </row>
    <row r="945" spans="8:21" x14ac:dyDescent="0.25">
      <c r="H945" t="s">
        <v>257</v>
      </c>
      <c r="I945" t="s">
        <v>261</v>
      </c>
      <c r="N945" t="s">
        <v>450</v>
      </c>
      <c r="O945" t="s">
        <v>451</v>
      </c>
      <c r="T945" t="s">
        <v>4744</v>
      </c>
      <c r="U945" t="s">
        <v>481</v>
      </c>
    </row>
    <row r="946" spans="8:21" x14ac:dyDescent="0.25">
      <c r="H946" t="s">
        <v>257</v>
      </c>
      <c r="I946" t="s">
        <v>261</v>
      </c>
      <c r="N946" t="s">
        <v>450</v>
      </c>
      <c r="O946" t="s">
        <v>451</v>
      </c>
      <c r="T946" t="s">
        <v>4968</v>
      </c>
      <c r="U946" t="s">
        <v>481</v>
      </c>
    </row>
    <row r="947" spans="8:21" x14ac:dyDescent="0.25">
      <c r="H947" t="s">
        <v>257</v>
      </c>
      <c r="I947" t="s">
        <v>261</v>
      </c>
      <c r="N947" t="s">
        <v>7771</v>
      </c>
      <c r="O947" t="s">
        <v>451</v>
      </c>
      <c r="T947" t="s">
        <v>4740</v>
      </c>
      <c r="U947" t="s">
        <v>481</v>
      </c>
    </row>
    <row r="948" spans="8:21" x14ac:dyDescent="0.25">
      <c r="H948" t="s">
        <v>257</v>
      </c>
      <c r="I948" t="s">
        <v>261</v>
      </c>
      <c r="N948" t="s">
        <v>7291</v>
      </c>
      <c r="O948" t="s">
        <v>451</v>
      </c>
      <c r="T948" t="s">
        <v>4734</v>
      </c>
      <c r="U948" t="s">
        <v>481</v>
      </c>
    </row>
    <row r="949" spans="8:21" x14ac:dyDescent="0.25">
      <c r="H949" t="s">
        <v>257</v>
      </c>
      <c r="I949" t="s">
        <v>261</v>
      </c>
      <c r="N949" t="s">
        <v>7173</v>
      </c>
      <c r="O949" t="s">
        <v>451</v>
      </c>
      <c r="T949" t="s">
        <v>4734</v>
      </c>
      <c r="U949" t="s">
        <v>481</v>
      </c>
    </row>
    <row r="950" spans="8:21" x14ac:dyDescent="0.25">
      <c r="H950" t="s">
        <v>257</v>
      </c>
      <c r="I950" t="s">
        <v>261</v>
      </c>
      <c r="N950" t="s">
        <v>7304</v>
      </c>
      <c r="O950" t="s">
        <v>451</v>
      </c>
      <c r="T950" t="s">
        <v>482</v>
      </c>
      <c r="U950" t="s">
        <v>483</v>
      </c>
    </row>
    <row r="951" spans="8:21" x14ac:dyDescent="0.25">
      <c r="H951" t="s">
        <v>257</v>
      </c>
      <c r="I951" t="s">
        <v>261</v>
      </c>
      <c r="N951" t="s">
        <v>7459</v>
      </c>
      <c r="O951" t="s">
        <v>451</v>
      </c>
      <c r="T951" t="s">
        <v>482</v>
      </c>
      <c r="U951" t="s">
        <v>483</v>
      </c>
    </row>
    <row r="952" spans="8:21" x14ac:dyDescent="0.25">
      <c r="H952" t="s">
        <v>257</v>
      </c>
      <c r="I952" t="s">
        <v>261</v>
      </c>
      <c r="N952" t="s">
        <v>7459</v>
      </c>
      <c r="O952" t="s">
        <v>451</v>
      </c>
      <c r="T952" t="s">
        <v>482</v>
      </c>
      <c r="U952" t="s">
        <v>483</v>
      </c>
    </row>
    <row r="953" spans="8:21" x14ac:dyDescent="0.25">
      <c r="H953" t="s">
        <v>257</v>
      </c>
      <c r="I953" t="s">
        <v>261</v>
      </c>
      <c r="N953" t="s">
        <v>7459</v>
      </c>
      <c r="O953" t="s">
        <v>451</v>
      </c>
      <c r="T953" t="s">
        <v>482</v>
      </c>
      <c r="U953" t="s">
        <v>483</v>
      </c>
    </row>
    <row r="954" spans="8:21" x14ac:dyDescent="0.25">
      <c r="H954" t="s">
        <v>257</v>
      </c>
      <c r="I954" t="s">
        <v>261</v>
      </c>
      <c r="N954" t="s">
        <v>137</v>
      </c>
      <c r="O954" t="s">
        <v>23</v>
      </c>
      <c r="T954" t="s">
        <v>482</v>
      </c>
      <c r="U954" t="s">
        <v>483</v>
      </c>
    </row>
    <row r="955" spans="8:21" x14ac:dyDescent="0.25">
      <c r="H955" t="s">
        <v>257</v>
      </c>
      <c r="I955" t="s">
        <v>261</v>
      </c>
      <c r="N955" t="s">
        <v>137</v>
      </c>
      <c r="O955" t="s">
        <v>23</v>
      </c>
      <c r="T955" t="s">
        <v>482</v>
      </c>
      <c r="U955" t="s">
        <v>483</v>
      </c>
    </row>
    <row r="956" spans="8:21" x14ac:dyDescent="0.25">
      <c r="H956" t="s">
        <v>6414</v>
      </c>
      <c r="I956" t="s">
        <v>261</v>
      </c>
      <c r="N956" t="s">
        <v>137</v>
      </c>
      <c r="O956" t="s">
        <v>23</v>
      </c>
      <c r="T956" t="s">
        <v>482</v>
      </c>
      <c r="U956" t="s">
        <v>483</v>
      </c>
    </row>
    <row r="957" spans="8:21" x14ac:dyDescent="0.25">
      <c r="H957" t="s">
        <v>6250</v>
      </c>
      <c r="I957" t="s">
        <v>261</v>
      </c>
      <c r="N957" t="s">
        <v>137</v>
      </c>
      <c r="O957" t="s">
        <v>23</v>
      </c>
      <c r="T957" t="s">
        <v>482</v>
      </c>
      <c r="U957" t="s">
        <v>483</v>
      </c>
    </row>
    <row r="958" spans="8:21" x14ac:dyDescent="0.25">
      <c r="H958" t="s">
        <v>6313</v>
      </c>
      <c r="I958" t="s">
        <v>261</v>
      </c>
      <c r="N958" t="s">
        <v>137</v>
      </c>
      <c r="O958" t="s">
        <v>23</v>
      </c>
      <c r="T958" t="s">
        <v>482</v>
      </c>
      <c r="U958" t="s">
        <v>483</v>
      </c>
    </row>
    <row r="959" spans="8:21" x14ac:dyDescent="0.25">
      <c r="H959" t="s">
        <v>5691</v>
      </c>
      <c r="I959" t="s">
        <v>261</v>
      </c>
      <c r="N959" t="s">
        <v>137</v>
      </c>
      <c r="O959" t="s">
        <v>23</v>
      </c>
      <c r="T959" t="s">
        <v>482</v>
      </c>
      <c r="U959" t="s">
        <v>483</v>
      </c>
    </row>
    <row r="960" spans="8:21" x14ac:dyDescent="0.25">
      <c r="H960" t="s">
        <v>5691</v>
      </c>
      <c r="I960" t="s">
        <v>261</v>
      </c>
      <c r="N960" t="s">
        <v>137</v>
      </c>
      <c r="O960" t="s">
        <v>23</v>
      </c>
      <c r="T960" t="s">
        <v>482</v>
      </c>
      <c r="U960" t="s">
        <v>483</v>
      </c>
    </row>
    <row r="961" spans="8:21" x14ac:dyDescent="0.25">
      <c r="H961" t="s">
        <v>6420</v>
      </c>
      <c r="I961" t="s">
        <v>261</v>
      </c>
      <c r="N961" t="s">
        <v>45</v>
      </c>
      <c r="O961" t="s">
        <v>25</v>
      </c>
      <c r="T961" t="s">
        <v>482</v>
      </c>
      <c r="U961" t="s">
        <v>483</v>
      </c>
    </row>
    <row r="962" spans="8:21" x14ac:dyDescent="0.25">
      <c r="H962" t="s">
        <v>5441</v>
      </c>
      <c r="I962" t="s">
        <v>261</v>
      </c>
      <c r="N962" t="s">
        <v>45</v>
      </c>
      <c r="O962" t="s">
        <v>25</v>
      </c>
      <c r="T962" t="s">
        <v>482</v>
      </c>
      <c r="U962" t="s">
        <v>483</v>
      </c>
    </row>
    <row r="963" spans="8:21" x14ac:dyDescent="0.25">
      <c r="H963" t="s">
        <v>5221</v>
      </c>
      <c r="I963" t="s">
        <v>261</v>
      </c>
      <c r="N963" t="s">
        <v>7516</v>
      </c>
      <c r="O963" t="s">
        <v>25</v>
      </c>
      <c r="T963" t="s">
        <v>482</v>
      </c>
      <c r="U963" t="s">
        <v>483</v>
      </c>
    </row>
    <row r="964" spans="8:21" x14ac:dyDescent="0.25">
      <c r="H964" t="s">
        <v>5221</v>
      </c>
      <c r="I964" t="s">
        <v>261</v>
      </c>
      <c r="N964" t="s">
        <v>7219</v>
      </c>
      <c r="O964" t="s">
        <v>25</v>
      </c>
      <c r="T964" t="s">
        <v>482</v>
      </c>
      <c r="U964" t="s">
        <v>483</v>
      </c>
    </row>
    <row r="965" spans="8:21" x14ac:dyDescent="0.25">
      <c r="H965" t="s">
        <v>5775</v>
      </c>
      <c r="I965" t="s">
        <v>261</v>
      </c>
      <c r="N965" t="s">
        <v>7017</v>
      </c>
      <c r="O965" t="s">
        <v>25</v>
      </c>
      <c r="T965" t="s">
        <v>482</v>
      </c>
      <c r="U965" t="s">
        <v>483</v>
      </c>
    </row>
    <row r="966" spans="8:21" x14ac:dyDescent="0.25">
      <c r="H966" t="s">
        <v>5825</v>
      </c>
      <c r="I966" t="s">
        <v>261</v>
      </c>
      <c r="N966" t="s">
        <v>7841</v>
      </c>
      <c r="O966" t="s">
        <v>25</v>
      </c>
      <c r="T966" t="s">
        <v>482</v>
      </c>
      <c r="U966" t="s">
        <v>483</v>
      </c>
    </row>
    <row r="967" spans="8:21" x14ac:dyDescent="0.25">
      <c r="H967" t="s">
        <v>5972</v>
      </c>
      <c r="I967" t="s">
        <v>261</v>
      </c>
      <c r="N967" t="s">
        <v>7841</v>
      </c>
      <c r="O967" t="s">
        <v>25</v>
      </c>
      <c r="T967" t="s">
        <v>482</v>
      </c>
      <c r="U967" t="s">
        <v>483</v>
      </c>
    </row>
    <row r="968" spans="8:21" x14ac:dyDescent="0.25">
      <c r="H968" t="s">
        <v>5972</v>
      </c>
      <c r="I968" t="s">
        <v>261</v>
      </c>
      <c r="N968" t="s">
        <v>7354</v>
      </c>
      <c r="O968" t="s">
        <v>25</v>
      </c>
      <c r="T968" t="s">
        <v>482</v>
      </c>
      <c r="U968" t="s">
        <v>483</v>
      </c>
    </row>
    <row r="969" spans="8:21" x14ac:dyDescent="0.25">
      <c r="H969" t="s">
        <v>6163</v>
      </c>
      <c r="I969" t="s">
        <v>261</v>
      </c>
      <c r="N969" t="s">
        <v>17</v>
      </c>
      <c r="O969" t="s">
        <v>16</v>
      </c>
      <c r="T969" t="s">
        <v>482</v>
      </c>
      <c r="U969" t="s">
        <v>483</v>
      </c>
    </row>
    <row r="970" spans="8:21" x14ac:dyDescent="0.25">
      <c r="H970" t="s">
        <v>6429</v>
      </c>
      <c r="I970" t="s">
        <v>261</v>
      </c>
      <c r="N970" t="s">
        <v>7510</v>
      </c>
      <c r="O970" t="s">
        <v>16</v>
      </c>
      <c r="T970" t="s">
        <v>482</v>
      </c>
      <c r="U970" t="s">
        <v>483</v>
      </c>
    </row>
    <row r="971" spans="8:21" x14ac:dyDescent="0.25">
      <c r="H971" t="s">
        <v>6660</v>
      </c>
      <c r="I971" t="s">
        <v>261</v>
      </c>
      <c r="N971" t="s">
        <v>7550</v>
      </c>
      <c r="O971" t="s">
        <v>16</v>
      </c>
      <c r="T971" t="s">
        <v>482</v>
      </c>
      <c r="U971" t="s">
        <v>483</v>
      </c>
    </row>
    <row r="972" spans="8:21" x14ac:dyDescent="0.25">
      <c r="H972" t="s">
        <v>6539</v>
      </c>
      <c r="I972" t="s">
        <v>261</v>
      </c>
      <c r="N972" t="s">
        <v>22</v>
      </c>
      <c r="O972" t="s">
        <v>20</v>
      </c>
      <c r="T972" t="s">
        <v>482</v>
      </c>
      <c r="U972" t="s">
        <v>483</v>
      </c>
    </row>
    <row r="973" spans="8:21" x14ac:dyDescent="0.25">
      <c r="H973" t="s">
        <v>6370</v>
      </c>
      <c r="I973" t="s">
        <v>261</v>
      </c>
      <c r="N973" t="s">
        <v>22</v>
      </c>
      <c r="O973" t="s">
        <v>20</v>
      </c>
      <c r="T973" t="s">
        <v>482</v>
      </c>
      <c r="U973" t="s">
        <v>483</v>
      </c>
    </row>
    <row r="974" spans="8:21" x14ac:dyDescent="0.25">
      <c r="H974" t="s">
        <v>6333</v>
      </c>
      <c r="I974" t="s">
        <v>261</v>
      </c>
      <c r="N974" t="s">
        <v>22</v>
      </c>
      <c r="O974" t="s">
        <v>20</v>
      </c>
      <c r="T974" t="s">
        <v>482</v>
      </c>
      <c r="U974" t="s">
        <v>483</v>
      </c>
    </row>
    <row r="975" spans="8:21" x14ac:dyDescent="0.25">
      <c r="H975" t="s">
        <v>6509</v>
      </c>
      <c r="I975" t="s">
        <v>261</v>
      </c>
      <c r="N975" t="s">
        <v>22</v>
      </c>
      <c r="O975" t="s">
        <v>20</v>
      </c>
      <c r="T975" t="s">
        <v>482</v>
      </c>
      <c r="U975" t="s">
        <v>483</v>
      </c>
    </row>
    <row r="976" spans="8:21" x14ac:dyDescent="0.25">
      <c r="H976" t="s">
        <v>5627</v>
      </c>
      <c r="I976" t="s">
        <v>34</v>
      </c>
      <c r="N976" t="s">
        <v>22</v>
      </c>
      <c r="O976" t="s">
        <v>20</v>
      </c>
      <c r="T976" t="s">
        <v>482</v>
      </c>
      <c r="U976" t="s">
        <v>483</v>
      </c>
    </row>
    <row r="977" spans="8:23" x14ac:dyDescent="0.25">
      <c r="H977" t="s">
        <v>6013</v>
      </c>
      <c r="I977" t="s">
        <v>34</v>
      </c>
      <c r="N977" t="s">
        <v>22</v>
      </c>
      <c r="O977" t="s">
        <v>20</v>
      </c>
      <c r="T977" t="s">
        <v>482</v>
      </c>
      <c r="U977" t="s">
        <v>483</v>
      </c>
    </row>
    <row r="978" spans="8:23" x14ac:dyDescent="0.25">
      <c r="H978" t="s">
        <v>5599</v>
      </c>
      <c r="I978" t="s">
        <v>34</v>
      </c>
      <c r="N978" t="s">
        <v>22</v>
      </c>
      <c r="O978" t="s">
        <v>20</v>
      </c>
      <c r="T978" t="s">
        <v>482</v>
      </c>
      <c r="U978" t="s">
        <v>483</v>
      </c>
    </row>
    <row r="979" spans="8:23" x14ac:dyDescent="0.25">
      <c r="H979" t="s">
        <v>5525</v>
      </c>
      <c r="I979" t="s">
        <v>34</v>
      </c>
      <c r="N979" t="s">
        <v>22</v>
      </c>
      <c r="O979" t="s">
        <v>20</v>
      </c>
      <c r="T979" t="s">
        <v>482</v>
      </c>
      <c r="U979" t="s">
        <v>483</v>
      </c>
    </row>
    <row r="980" spans="8:23" x14ac:dyDescent="0.25">
      <c r="H980" t="s">
        <v>6418</v>
      </c>
      <c r="I980" t="s">
        <v>34</v>
      </c>
      <c r="N980" t="s">
        <v>22</v>
      </c>
      <c r="O980" t="s">
        <v>20</v>
      </c>
      <c r="T980" t="s">
        <v>482</v>
      </c>
      <c r="U980" t="s">
        <v>483</v>
      </c>
    </row>
    <row r="981" spans="8:23" x14ac:dyDescent="0.25">
      <c r="H981" t="s">
        <v>6161</v>
      </c>
      <c r="I981" t="s">
        <v>34</v>
      </c>
      <c r="N981" t="s">
        <v>8015</v>
      </c>
      <c r="O981" t="s">
        <v>20</v>
      </c>
      <c r="T981" t="s">
        <v>4796</v>
      </c>
      <c r="U981" t="s">
        <v>483</v>
      </c>
    </row>
    <row r="982" spans="8:23" x14ac:dyDescent="0.25">
      <c r="H982" t="s">
        <v>6161</v>
      </c>
      <c r="I982" t="s">
        <v>34</v>
      </c>
      <c r="N982" t="s">
        <v>6909</v>
      </c>
      <c r="O982" t="s">
        <v>20</v>
      </c>
      <c r="T982" t="s">
        <v>4796</v>
      </c>
      <c r="U982" t="s">
        <v>483</v>
      </c>
    </row>
    <row r="983" spans="8:23" x14ac:dyDescent="0.25">
      <c r="H983" t="s">
        <v>6650</v>
      </c>
      <c r="I983" t="s">
        <v>34</v>
      </c>
      <c r="N983" t="s">
        <v>6909</v>
      </c>
      <c r="O983" t="s">
        <v>20</v>
      </c>
      <c r="T983" t="s">
        <v>4814</v>
      </c>
      <c r="U983" t="s">
        <v>483</v>
      </c>
    </row>
    <row r="984" spans="8:23" x14ac:dyDescent="0.25">
      <c r="H984" t="s">
        <v>6797</v>
      </c>
      <c r="I984" t="s">
        <v>34</v>
      </c>
      <c r="N984" t="s">
        <v>7191</v>
      </c>
      <c r="O984" t="s">
        <v>20</v>
      </c>
      <c r="T984" t="s">
        <v>4708</v>
      </c>
      <c r="U984" t="s">
        <v>483</v>
      </c>
    </row>
    <row r="985" spans="8:23" x14ac:dyDescent="0.25">
      <c r="H985" t="s">
        <v>6486</v>
      </c>
      <c r="I985" t="s">
        <v>34</v>
      </c>
      <c r="N985" t="s">
        <v>7081</v>
      </c>
      <c r="O985" t="s">
        <v>20</v>
      </c>
      <c r="T985" t="s">
        <v>336</v>
      </c>
      <c r="U985" t="s">
        <v>337</v>
      </c>
    </row>
    <row r="986" spans="8:23" x14ac:dyDescent="0.25">
      <c r="H986" t="s">
        <v>6436</v>
      </c>
      <c r="I986" t="s">
        <v>34</v>
      </c>
      <c r="N986" t="s">
        <v>6999</v>
      </c>
      <c r="O986" t="s">
        <v>20</v>
      </c>
      <c r="T986" t="s">
        <v>4584</v>
      </c>
      <c r="U986" t="s">
        <v>337</v>
      </c>
    </row>
    <row r="987" spans="8:23" x14ac:dyDescent="0.25">
      <c r="H987" t="s">
        <v>6703</v>
      </c>
      <c r="I987" t="s">
        <v>34</v>
      </c>
      <c r="N987" t="s">
        <v>7792</v>
      </c>
      <c r="O987" t="s">
        <v>20</v>
      </c>
      <c r="T987" t="s">
        <v>4650</v>
      </c>
      <c r="U987" t="s">
        <v>337</v>
      </c>
    </row>
    <row r="988" spans="8:23" x14ac:dyDescent="0.25">
      <c r="H988" t="s">
        <v>5830</v>
      </c>
      <c r="I988" t="s">
        <v>34</v>
      </c>
      <c r="N988" t="s">
        <v>7428</v>
      </c>
      <c r="O988" t="s">
        <v>20</v>
      </c>
      <c r="T988" t="s">
        <v>578</v>
      </c>
      <c r="U988" t="s">
        <v>579</v>
      </c>
      <c r="V988" t="s">
        <v>2751</v>
      </c>
      <c r="W988" t="s">
        <v>2752</v>
      </c>
    </row>
    <row r="989" spans="8:23" x14ac:dyDescent="0.25">
      <c r="H989" t="s">
        <v>5830</v>
      </c>
      <c r="I989" t="s">
        <v>34</v>
      </c>
      <c r="N989" t="s">
        <v>5708</v>
      </c>
      <c r="O989" t="s">
        <v>20</v>
      </c>
      <c r="T989" t="s">
        <v>578</v>
      </c>
      <c r="U989" t="s">
        <v>579</v>
      </c>
      <c r="V989" t="s">
        <v>2751</v>
      </c>
      <c r="W989" t="s">
        <v>2752</v>
      </c>
    </row>
    <row r="990" spans="8:23" x14ac:dyDescent="0.25">
      <c r="H990" t="s">
        <v>6285</v>
      </c>
      <c r="I990" t="s">
        <v>34</v>
      </c>
      <c r="N990" t="s">
        <v>7807</v>
      </c>
      <c r="O990" t="s">
        <v>20</v>
      </c>
      <c r="T990" t="s">
        <v>578</v>
      </c>
      <c r="U990" t="s">
        <v>579</v>
      </c>
      <c r="V990" t="s">
        <v>2751</v>
      </c>
      <c r="W990" t="s">
        <v>2752</v>
      </c>
    </row>
    <row r="991" spans="8:23" x14ac:dyDescent="0.25">
      <c r="H991" t="s">
        <v>6341</v>
      </c>
      <c r="I991" t="s">
        <v>34</v>
      </c>
      <c r="N991" t="s">
        <v>7390</v>
      </c>
      <c r="O991" t="s">
        <v>20</v>
      </c>
      <c r="T991" t="s">
        <v>578</v>
      </c>
      <c r="U991" t="s">
        <v>579</v>
      </c>
      <c r="V991" t="s">
        <v>2751</v>
      </c>
      <c r="W991" t="s">
        <v>2752</v>
      </c>
    </row>
    <row r="992" spans="8:23" x14ac:dyDescent="0.25">
      <c r="H992" t="s">
        <v>258</v>
      </c>
      <c r="I992" t="s">
        <v>262</v>
      </c>
      <c r="N992" t="s">
        <v>6118</v>
      </c>
      <c r="O992" t="s">
        <v>20</v>
      </c>
      <c r="T992" t="s">
        <v>578</v>
      </c>
      <c r="U992" t="s">
        <v>579</v>
      </c>
      <c r="V992" t="s">
        <v>2751</v>
      </c>
      <c r="W992" t="s">
        <v>2752</v>
      </c>
    </row>
    <row r="993" spans="8:23" x14ac:dyDescent="0.25">
      <c r="H993" t="s">
        <v>5929</v>
      </c>
      <c r="I993" t="s">
        <v>262</v>
      </c>
      <c r="N993" t="s">
        <v>7672</v>
      </c>
      <c r="O993" t="s">
        <v>20</v>
      </c>
      <c r="T993" t="s">
        <v>578</v>
      </c>
      <c r="U993" t="s">
        <v>579</v>
      </c>
      <c r="V993" t="s">
        <v>2751</v>
      </c>
      <c r="W993" t="s">
        <v>2752</v>
      </c>
    </row>
    <row r="994" spans="8:23" x14ac:dyDescent="0.25">
      <c r="H994" t="s">
        <v>5929</v>
      </c>
      <c r="I994" t="s">
        <v>262</v>
      </c>
      <c r="N994" t="s">
        <v>7672</v>
      </c>
      <c r="O994" t="s">
        <v>20</v>
      </c>
      <c r="T994" t="s">
        <v>578</v>
      </c>
      <c r="U994" t="s">
        <v>579</v>
      </c>
      <c r="V994" t="s">
        <v>2751</v>
      </c>
      <c r="W994" t="s">
        <v>2752</v>
      </c>
    </row>
    <row r="995" spans="8:23" x14ac:dyDescent="0.25">
      <c r="H995" t="s">
        <v>5274</v>
      </c>
      <c r="I995" t="s">
        <v>262</v>
      </c>
      <c r="N995" t="s">
        <v>7844</v>
      </c>
      <c r="O995" t="s">
        <v>20</v>
      </c>
      <c r="T995" t="s">
        <v>578</v>
      </c>
      <c r="U995" t="s">
        <v>579</v>
      </c>
      <c r="V995" t="s">
        <v>2751</v>
      </c>
      <c r="W995" t="s">
        <v>2752</v>
      </c>
    </row>
    <row r="996" spans="8:23" x14ac:dyDescent="0.25">
      <c r="H996" t="s">
        <v>5274</v>
      </c>
      <c r="I996" t="s">
        <v>262</v>
      </c>
      <c r="N996" t="s">
        <v>8038</v>
      </c>
      <c r="O996" t="s">
        <v>20</v>
      </c>
      <c r="T996" t="s">
        <v>578</v>
      </c>
      <c r="U996" t="s">
        <v>579</v>
      </c>
      <c r="V996" t="s">
        <v>2751</v>
      </c>
      <c r="W996" t="s">
        <v>2752</v>
      </c>
    </row>
    <row r="997" spans="8:23" x14ac:dyDescent="0.25">
      <c r="H997" t="s">
        <v>5274</v>
      </c>
      <c r="I997" t="s">
        <v>262</v>
      </c>
      <c r="N997" t="s">
        <v>8038</v>
      </c>
      <c r="O997" t="s">
        <v>20</v>
      </c>
      <c r="T997" t="s">
        <v>578</v>
      </c>
      <c r="U997" t="s">
        <v>579</v>
      </c>
      <c r="V997" t="s">
        <v>2751</v>
      </c>
      <c r="W997" t="s">
        <v>2752</v>
      </c>
    </row>
    <row r="998" spans="8:23" x14ac:dyDescent="0.25">
      <c r="H998" t="s">
        <v>5594</v>
      </c>
      <c r="I998" t="s">
        <v>262</v>
      </c>
      <c r="N998" t="s">
        <v>123</v>
      </c>
      <c r="O998" t="s">
        <v>26</v>
      </c>
      <c r="T998" t="s">
        <v>578</v>
      </c>
      <c r="U998" t="s">
        <v>579</v>
      </c>
      <c r="V998" t="s">
        <v>2751</v>
      </c>
      <c r="W998" t="s">
        <v>2752</v>
      </c>
    </row>
    <row r="999" spans="8:23" x14ac:dyDescent="0.25">
      <c r="H999" t="s">
        <v>5594</v>
      </c>
      <c r="I999" t="s">
        <v>262</v>
      </c>
      <c r="N999" t="s">
        <v>123</v>
      </c>
      <c r="O999" t="s">
        <v>26</v>
      </c>
      <c r="T999" t="s">
        <v>578</v>
      </c>
      <c r="U999" t="s">
        <v>579</v>
      </c>
      <c r="V999" t="s">
        <v>2751</v>
      </c>
      <c r="W999" t="s">
        <v>2752</v>
      </c>
    </row>
    <row r="1000" spans="8:23" x14ac:dyDescent="0.25">
      <c r="H1000" t="s">
        <v>5423</v>
      </c>
      <c r="I1000" t="s">
        <v>262</v>
      </c>
      <c r="N1000" t="s">
        <v>123</v>
      </c>
      <c r="O1000" t="s">
        <v>26</v>
      </c>
      <c r="T1000" t="s">
        <v>578</v>
      </c>
      <c r="U1000" t="s">
        <v>579</v>
      </c>
      <c r="V1000" t="s">
        <v>2751</v>
      </c>
      <c r="W1000" t="s">
        <v>2752</v>
      </c>
    </row>
    <row r="1001" spans="8:23" x14ac:dyDescent="0.25">
      <c r="H1001" t="s">
        <v>5882</v>
      </c>
      <c r="I1001" t="s">
        <v>262</v>
      </c>
      <c r="N1001" t="s">
        <v>123</v>
      </c>
      <c r="O1001" t="s">
        <v>26</v>
      </c>
      <c r="T1001" t="s">
        <v>578</v>
      </c>
      <c r="U1001" t="s">
        <v>579</v>
      </c>
      <c r="V1001" t="s">
        <v>2751</v>
      </c>
      <c r="W1001" t="s">
        <v>2752</v>
      </c>
    </row>
    <row r="1002" spans="8:23" x14ac:dyDescent="0.25">
      <c r="H1002" t="s">
        <v>5286</v>
      </c>
      <c r="I1002" t="s">
        <v>262</v>
      </c>
      <c r="N1002" t="s">
        <v>123</v>
      </c>
      <c r="O1002" t="s">
        <v>26</v>
      </c>
      <c r="T1002" t="s">
        <v>578</v>
      </c>
      <c r="U1002" t="s">
        <v>579</v>
      </c>
      <c r="V1002" t="s">
        <v>2751</v>
      </c>
      <c r="W1002" t="s">
        <v>2752</v>
      </c>
    </row>
    <row r="1003" spans="8:23" x14ac:dyDescent="0.25">
      <c r="H1003" t="s">
        <v>5286</v>
      </c>
      <c r="I1003" t="s">
        <v>262</v>
      </c>
      <c r="N1003" t="s">
        <v>123</v>
      </c>
      <c r="O1003" t="s">
        <v>26</v>
      </c>
      <c r="T1003" t="s">
        <v>578</v>
      </c>
      <c r="U1003" t="s">
        <v>579</v>
      </c>
      <c r="V1003" t="s">
        <v>2751</v>
      </c>
      <c r="W1003" t="s">
        <v>2752</v>
      </c>
    </row>
    <row r="1004" spans="8:23" x14ac:dyDescent="0.25">
      <c r="H1004" t="s">
        <v>5217</v>
      </c>
      <c r="I1004" t="s">
        <v>262</v>
      </c>
      <c r="N1004" t="s">
        <v>123</v>
      </c>
      <c r="O1004" t="s">
        <v>26</v>
      </c>
      <c r="T1004" t="s">
        <v>578</v>
      </c>
      <c r="U1004" t="s">
        <v>579</v>
      </c>
      <c r="V1004" t="s">
        <v>2751</v>
      </c>
      <c r="W1004" t="s">
        <v>2752</v>
      </c>
    </row>
    <row r="1005" spans="8:23" x14ac:dyDescent="0.25">
      <c r="H1005" t="s">
        <v>6431</v>
      </c>
      <c r="I1005" t="s">
        <v>262</v>
      </c>
      <c r="N1005" t="s">
        <v>123</v>
      </c>
      <c r="O1005" t="s">
        <v>26</v>
      </c>
      <c r="T1005" t="s">
        <v>578</v>
      </c>
      <c r="U1005" t="s">
        <v>579</v>
      </c>
      <c r="V1005" t="s">
        <v>2751</v>
      </c>
      <c r="W1005" t="s">
        <v>2752</v>
      </c>
    </row>
    <row r="1006" spans="8:23" x14ac:dyDescent="0.25">
      <c r="H1006" t="s">
        <v>6367</v>
      </c>
      <c r="I1006" t="s">
        <v>262</v>
      </c>
      <c r="N1006" t="s">
        <v>123</v>
      </c>
      <c r="O1006" t="s">
        <v>26</v>
      </c>
      <c r="T1006" t="s">
        <v>4680</v>
      </c>
      <c r="U1006" t="s">
        <v>579</v>
      </c>
      <c r="V1006" t="s">
        <v>2751</v>
      </c>
      <c r="W1006" t="s">
        <v>2752</v>
      </c>
    </row>
    <row r="1007" spans="8:23" x14ac:dyDescent="0.25">
      <c r="H1007" t="s">
        <v>6237</v>
      </c>
      <c r="I1007" t="s">
        <v>262</v>
      </c>
      <c r="N1007" t="s">
        <v>123</v>
      </c>
      <c r="O1007" t="s">
        <v>26</v>
      </c>
      <c r="T1007" t="s">
        <v>4990</v>
      </c>
      <c r="U1007" t="s">
        <v>579</v>
      </c>
      <c r="V1007" t="s">
        <v>2751</v>
      </c>
      <c r="W1007" t="s">
        <v>2752</v>
      </c>
    </row>
    <row r="1008" spans="8:23" x14ac:dyDescent="0.25">
      <c r="H1008" t="s">
        <v>6237</v>
      </c>
      <c r="I1008" t="s">
        <v>262</v>
      </c>
      <c r="N1008" t="s">
        <v>123</v>
      </c>
      <c r="O1008" t="s">
        <v>26</v>
      </c>
      <c r="T1008" t="s">
        <v>4921</v>
      </c>
      <c r="U1008" t="s">
        <v>579</v>
      </c>
      <c r="V1008" t="s">
        <v>2751</v>
      </c>
      <c r="W1008" t="s">
        <v>2752</v>
      </c>
    </row>
    <row r="1009" spans="8:23" x14ac:dyDescent="0.25">
      <c r="H1009" t="s">
        <v>4765</v>
      </c>
      <c r="I1009" t="s">
        <v>262</v>
      </c>
      <c r="N1009" t="s">
        <v>123</v>
      </c>
      <c r="O1009" t="s">
        <v>26</v>
      </c>
      <c r="T1009" t="s">
        <v>4741</v>
      </c>
      <c r="U1009" t="s">
        <v>579</v>
      </c>
      <c r="V1009" t="s">
        <v>2751</v>
      </c>
      <c r="W1009" t="s">
        <v>2752</v>
      </c>
    </row>
    <row r="1010" spans="8:23" x14ac:dyDescent="0.25">
      <c r="H1010" t="s">
        <v>5748</v>
      </c>
      <c r="I1010" t="s">
        <v>262</v>
      </c>
      <c r="N1010" t="s">
        <v>123</v>
      </c>
      <c r="O1010" t="s">
        <v>26</v>
      </c>
      <c r="T1010" t="s">
        <v>4529</v>
      </c>
      <c r="U1010" t="s">
        <v>579</v>
      </c>
      <c r="V1010" t="s">
        <v>2751</v>
      </c>
      <c r="W1010" t="s">
        <v>2752</v>
      </c>
    </row>
    <row r="1011" spans="8:23" x14ac:dyDescent="0.25">
      <c r="H1011" t="s">
        <v>4505</v>
      </c>
      <c r="I1011" t="s">
        <v>262</v>
      </c>
      <c r="N1011" t="s">
        <v>123</v>
      </c>
      <c r="O1011" t="s">
        <v>26</v>
      </c>
      <c r="T1011" t="s">
        <v>2747</v>
      </c>
      <c r="U1011" t="s">
        <v>2748</v>
      </c>
    </row>
    <row r="1012" spans="8:23" x14ac:dyDescent="0.25">
      <c r="H1012" t="s">
        <v>5595</v>
      </c>
      <c r="I1012" t="s">
        <v>262</v>
      </c>
      <c r="N1012" t="s">
        <v>123</v>
      </c>
      <c r="O1012" t="s">
        <v>26</v>
      </c>
      <c r="T1012" t="s">
        <v>2747</v>
      </c>
      <c r="U1012" t="s">
        <v>2748</v>
      </c>
    </row>
    <row r="1013" spans="8:23" x14ac:dyDescent="0.25">
      <c r="H1013" t="s">
        <v>5334</v>
      </c>
      <c r="I1013" t="s">
        <v>262</v>
      </c>
      <c r="N1013" t="s">
        <v>123</v>
      </c>
      <c r="O1013" t="s">
        <v>26</v>
      </c>
      <c r="T1013" t="s">
        <v>2747</v>
      </c>
      <c r="U1013" t="s">
        <v>2748</v>
      </c>
    </row>
    <row r="1014" spans="8:23" x14ac:dyDescent="0.25">
      <c r="H1014" t="s">
        <v>6423</v>
      </c>
      <c r="I1014" t="s">
        <v>262</v>
      </c>
      <c r="N1014" t="s">
        <v>123</v>
      </c>
      <c r="O1014" t="s">
        <v>26</v>
      </c>
      <c r="T1014" t="s">
        <v>545</v>
      </c>
      <c r="U1014" t="s">
        <v>546</v>
      </c>
    </row>
    <row r="1015" spans="8:23" x14ac:dyDescent="0.25">
      <c r="H1015" t="s">
        <v>6002</v>
      </c>
      <c r="I1015" t="s">
        <v>262</v>
      </c>
      <c r="N1015" t="s">
        <v>123</v>
      </c>
      <c r="O1015" t="s">
        <v>26</v>
      </c>
      <c r="T1015" t="s">
        <v>545</v>
      </c>
      <c r="U1015" t="s">
        <v>546</v>
      </c>
    </row>
    <row r="1016" spans="8:23" x14ac:dyDescent="0.25">
      <c r="H1016" t="s">
        <v>5403</v>
      </c>
      <c r="I1016" t="s">
        <v>35</v>
      </c>
      <c r="N1016" t="s">
        <v>123</v>
      </c>
      <c r="O1016" t="s">
        <v>26</v>
      </c>
      <c r="T1016" t="s">
        <v>545</v>
      </c>
      <c r="U1016" t="s">
        <v>546</v>
      </c>
    </row>
    <row r="1017" spans="8:23" x14ac:dyDescent="0.25">
      <c r="H1017" t="s">
        <v>5403</v>
      </c>
      <c r="I1017" t="s">
        <v>35</v>
      </c>
      <c r="N1017" t="s">
        <v>123</v>
      </c>
      <c r="O1017" t="s">
        <v>26</v>
      </c>
      <c r="T1017" t="s">
        <v>545</v>
      </c>
      <c r="U1017" t="s">
        <v>546</v>
      </c>
    </row>
    <row r="1018" spans="8:23" x14ac:dyDescent="0.25">
      <c r="H1018" t="s">
        <v>5975</v>
      </c>
      <c r="I1018" t="s">
        <v>35</v>
      </c>
      <c r="N1018" t="s">
        <v>123</v>
      </c>
      <c r="O1018" t="s">
        <v>26</v>
      </c>
      <c r="T1018" t="s">
        <v>545</v>
      </c>
      <c r="U1018" t="s">
        <v>546</v>
      </c>
    </row>
    <row r="1019" spans="8:23" x14ac:dyDescent="0.25">
      <c r="H1019" t="s">
        <v>5797</v>
      </c>
      <c r="I1019" t="s">
        <v>35</v>
      </c>
      <c r="N1019" t="s">
        <v>123</v>
      </c>
      <c r="O1019" t="s">
        <v>26</v>
      </c>
      <c r="T1019" t="s">
        <v>545</v>
      </c>
      <c r="U1019" t="s">
        <v>546</v>
      </c>
    </row>
    <row r="1020" spans="8:23" x14ac:dyDescent="0.25">
      <c r="H1020" t="s">
        <v>6826</v>
      </c>
      <c r="I1020" t="s">
        <v>35</v>
      </c>
      <c r="N1020" t="s">
        <v>123</v>
      </c>
      <c r="O1020" t="s">
        <v>26</v>
      </c>
      <c r="T1020" t="s">
        <v>545</v>
      </c>
      <c r="U1020" t="s">
        <v>546</v>
      </c>
    </row>
    <row r="1021" spans="8:23" x14ac:dyDescent="0.25">
      <c r="H1021" t="s">
        <v>5628</v>
      </c>
      <c r="I1021" t="s">
        <v>35</v>
      </c>
      <c r="N1021" t="s">
        <v>123</v>
      </c>
      <c r="O1021" t="s">
        <v>26</v>
      </c>
      <c r="T1021" t="s">
        <v>545</v>
      </c>
      <c r="U1021" t="s">
        <v>546</v>
      </c>
    </row>
    <row r="1022" spans="8:23" x14ac:dyDescent="0.25">
      <c r="H1022" t="s">
        <v>4722</v>
      </c>
      <c r="I1022" t="s">
        <v>35</v>
      </c>
      <c r="N1022" t="s">
        <v>123</v>
      </c>
      <c r="O1022" t="s">
        <v>26</v>
      </c>
      <c r="T1022" t="s">
        <v>545</v>
      </c>
      <c r="U1022" t="s">
        <v>546</v>
      </c>
    </row>
    <row r="1023" spans="8:23" x14ac:dyDescent="0.25">
      <c r="H1023" t="s">
        <v>6246</v>
      </c>
      <c r="I1023" t="s">
        <v>35</v>
      </c>
      <c r="N1023" t="s">
        <v>123</v>
      </c>
      <c r="O1023" t="s">
        <v>26</v>
      </c>
      <c r="T1023" t="s">
        <v>545</v>
      </c>
      <c r="U1023" t="s">
        <v>546</v>
      </c>
    </row>
    <row r="1024" spans="8:23" x14ac:dyDescent="0.25">
      <c r="H1024" t="s">
        <v>6481</v>
      </c>
      <c r="I1024" t="s">
        <v>35</v>
      </c>
      <c r="N1024" t="s">
        <v>123</v>
      </c>
      <c r="O1024" t="s">
        <v>26</v>
      </c>
      <c r="T1024" t="s">
        <v>545</v>
      </c>
      <c r="U1024" t="s">
        <v>546</v>
      </c>
    </row>
    <row r="1025" spans="8:21" x14ac:dyDescent="0.25">
      <c r="H1025" t="s">
        <v>6239</v>
      </c>
      <c r="I1025" t="s">
        <v>35</v>
      </c>
      <c r="N1025" t="s">
        <v>123</v>
      </c>
      <c r="O1025" t="s">
        <v>26</v>
      </c>
      <c r="T1025" t="s">
        <v>545</v>
      </c>
      <c r="U1025" t="s">
        <v>546</v>
      </c>
    </row>
    <row r="1026" spans="8:21" x14ac:dyDescent="0.25">
      <c r="H1026" t="s">
        <v>5435</v>
      </c>
      <c r="I1026" t="s">
        <v>35</v>
      </c>
      <c r="N1026" t="s">
        <v>123</v>
      </c>
      <c r="O1026" t="s">
        <v>26</v>
      </c>
      <c r="T1026" t="s">
        <v>4911</v>
      </c>
      <c r="U1026" t="s">
        <v>546</v>
      </c>
    </row>
    <row r="1027" spans="8:21" x14ac:dyDescent="0.25">
      <c r="H1027" t="s">
        <v>5785</v>
      </c>
      <c r="I1027" t="s">
        <v>35</v>
      </c>
      <c r="N1027" t="s">
        <v>123</v>
      </c>
      <c r="O1027" t="s">
        <v>26</v>
      </c>
      <c r="T1027" t="s">
        <v>346</v>
      </c>
      <c r="U1027" t="s">
        <v>520</v>
      </c>
    </row>
    <row r="1028" spans="8:21" x14ac:dyDescent="0.25">
      <c r="H1028" t="s">
        <v>5785</v>
      </c>
      <c r="I1028" t="s">
        <v>35</v>
      </c>
      <c r="N1028" t="s">
        <v>123</v>
      </c>
      <c r="O1028" t="s">
        <v>26</v>
      </c>
      <c r="T1028" t="s">
        <v>346</v>
      </c>
      <c r="U1028" t="s">
        <v>520</v>
      </c>
    </row>
    <row r="1029" spans="8:21" x14ac:dyDescent="0.25">
      <c r="H1029" t="s">
        <v>550</v>
      </c>
      <c r="I1029" t="s">
        <v>551</v>
      </c>
      <c r="N1029" t="s">
        <v>123</v>
      </c>
      <c r="O1029" t="s">
        <v>26</v>
      </c>
      <c r="T1029" t="s">
        <v>346</v>
      </c>
      <c r="U1029" t="s">
        <v>520</v>
      </c>
    </row>
    <row r="1030" spans="8:21" x14ac:dyDescent="0.25">
      <c r="H1030" t="s">
        <v>550</v>
      </c>
      <c r="I1030" t="s">
        <v>551</v>
      </c>
      <c r="N1030" t="s">
        <v>123</v>
      </c>
      <c r="O1030" t="s">
        <v>26</v>
      </c>
      <c r="T1030" t="s">
        <v>4623</v>
      </c>
      <c r="U1030" t="s">
        <v>520</v>
      </c>
    </row>
    <row r="1031" spans="8:21" x14ac:dyDescent="0.25">
      <c r="H1031" t="s">
        <v>5704</v>
      </c>
      <c r="I1031" t="s">
        <v>551</v>
      </c>
      <c r="N1031" t="s">
        <v>123</v>
      </c>
      <c r="O1031" t="s">
        <v>26</v>
      </c>
      <c r="T1031" t="s">
        <v>4656</v>
      </c>
      <c r="U1031" t="s">
        <v>520</v>
      </c>
    </row>
    <row r="1032" spans="8:21" x14ac:dyDescent="0.25">
      <c r="H1032" t="s">
        <v>5957</v>
      </c>
      <c r="I1032" t="s">
        <v>478</v>
      </c>
      <c r="N1032" t="s">
        <v>123</v>
      </c>
      <c r="O1032" t="s">
        <v>26</v>
      </c>
      <c r="T1032" t="s">
        <v>4656</v>
      </c>
      <c r="U1032" t="s">
        <v>520</v>
      </c>
    </row>
    <row r="1033" spans="8:21" x14ac:dyDescent="0.25">
      <c r="H1033" t="s">
        <v>2766</v>
      </c>
      <c r="I1033" t="s">
        <v>2765</v>
      </c>
      <c r="N1033" t="s">
        <v>123</v>
      </c>
      <c r="O1033" t="s">
        <v>26</v>
      </c>
      <c r="T1033" t="s">
        <v>4878</v>
      </c>
      <c r="U1033" t="s">
        <v>520</v>
      </c>
    </row>
    <row r="1034" spans="8:21" x14ac:dyDescent="0.25">
      <c r="H1034" t="s">
        <v>2766</v>
      </c>
      <c r="I1034" t="s">
        <v>2765</v>
      </c>
      <c r="N1034" t="s">
        <v>123</v>
      </c>
      <c r="O1034" t="s">
        <v>26</v>
      </c>
      <c r="T1034" t="s">
        <v>4873</v>
      </c>
      <c r="U1034" t="s">
        <v>520</v>
      </c>
    </row>
    <row r="1035" spans="8:21" x14ac:dyDescent="0.25">
      <c r="H1035" t="s">
        <v>2766</v>
      </c>
      <c r="I1035" t="s">
        <v>2765</v>
      </c>
      <c r="N1035" t="s">
        <v>123</v>
      </c>
      <c r="O1035" t="s">
        <v>26</v>
      </c>
      <c r="T1035" t="s">
        <v>4856</v>
      </c>
      <c r="U1035" t="s">
        <v>520</v>
      </c>
    </row>
    <row r="1036" spans="8:21" x14ac:dyDescent="0.25">
      <c r="H1036" t="s">
        <v>2766</v>
      </c>
      <c r="I1036" t="s">
        <v>2765</v>
      </c>
      <c r="N1036" t="s">
        <v>123</v>
      </c>
      <c r="O1036" t="s">
        <v>26</v>
      </c>
      <c r="T1036" t="s">
        <v>4730</v>
      </c>
      <c r="U1036" t="s">
        <v>520</v>
      </c>
    </row>
    <row r="1037" spans="8:21" x14ac:dyDescent="0.25">
      <c r="H1037" t="s">
        <v>2766</v>
      </c>
      <c r="I1037" t="s">
        <v>2765</v>
      </c>
      <c r="N1037" t="s">
        <v>123</v>
      </c>
      <c r="O1037" t="s">
        <v>26</v>
      </c>
    </row>
    <row r="1038" spans="8:21" x14ac:dyDescent="0.25">
      <c r="H1038" t="s">
        <v>2766</v>
      </c>
      <c r="I1038" t="s">
        <v>2765</v>
      </c>
      <c r="N1038" t="s">
        <v>123</v>
      </c>
      <c r="O1038" t="s">
        <v>26</v>
      </c>
    </row>
    <row r="1039" spans="8:21" x14ac:dyDescent="0.25">
      <c r="H1039" t="s">
        <v>2766</v>
      </c>
      <c r="I1039" t="s">
        <v>2765</v>
      </c>
      <c r="N1039" t="s">
        <v>123</v>
      </c>
      <c r="O1039" t="s">
        <v>26</v>
      </c>
    </row>
    <row r="1040" spans="8:21" x14ac:dyDescent="0.25">
      <c r="H1040" t="s">
        <v>2723</v>
      </c>
      <c r="I1040" t="s">
        <v>2725</v>
      </c>
      <c r="N1040" t="s">
        <v>123</v>
      </c>
      <c r="O1040" t="s">
        <v>26</v>
      </c>
    </row>
    <row r="1041" spans="8:15" x14ac:dyDescent="0.25">
      <c r="H1041" t="s">
        <v>2723</v>
      </c>
      <c r="I1041" t="s">
        <v>2725</v>
      </c>
      <c r="N1041" t="s">
        <v>7168</v>
      </c>
      <c r="O1041" t="s">
        <v>26</v>
      </c>
    </row>
    <row r="1042" spans="8:15" x14ac:dyDescent="0.25">
      <c r="H1042" t="s">
        <v>2723</v>
      </c>
      <c r="I1042" t="s">
        <v>2725</v>
      </c>
      <c r="N1042" t="s">
        <v>7168</v>
      </c>
      <c r="O1042" t="s">
        <v>26</v>
      </c>
    </row>
    <row r="1043" spans="8:15" x14ac:dyDescent="0.25">
      <c r="H1043" t="s">
        <v>2723</v>
      </c>
      <c r="I1043" t="s">
        <v>2725</v>
      </c>
      <c r="N1043" t="s">
        <v>7168</v>
      </c>
      <c r="O1043" t="s">
        <v>26</v>
      </c>
    </row>
    <row r="1044" spans="8:15" x14ac:dyDescent="0.25">
      <c r="H1044" t="s">
        <v>2723</v>
      </c>
      <c r="I1044" t="s">
        <v>2725</v>
      </c>
      <c r="N1044" t="s">
        <v>8048</v>
      </c>
      <c r="O1044" t="s">
        <v>26</v>
      </c>
    </row>
    <row r="1045" spans="8:15" x14ac:dyDescent="0.25">
      <c r="H1045" t="s">
        <v>2723</v>
      </c>
      <c r="I1045" t="s">
        <v>2725</v>
      </c>
      <c r="N1045" t="s">
        <v>8042</v>
      </c>
      <c r="O1045" t="s">
        <v>26</v>
      </c>
    </row>
    <row r="1046" spans="8:15" x14ac:dyDescent="0.25">
      <c r="H1046" t="s">
        <v>2723</v>
      </c>
      <c r="I1046" t="s">
        <v>2725</v>
      </c>
      <c r="N1046" t="s">
        <v>8016</v>
      </c>
      <c r="O1046" t="s">
        <v>26</v>
      </c>
    </row>
    <row r="1047" spans="8:15" x14ac:dyDescent="0.25">
      <c r="H1047" t="s">
        <v>2723</v>
      </c>
      <c r="I1047" t="s">
        <v>2725</v>
      </c>
      <c r="N1047" t="s">
        <v>4430</v>
      </c>
      <c r="O1047" t="s">
        <v>4458</v>
      </c>
    </row>
    <row r="1048" spans="8:15" x14ac:dyDescent="0.25">
      <c r="H1048" t="s">
        <v>2723</v>
      </c>
      <c r="I1048" t="s">
        <v>2725</v>
      </c>
      <c r="N1048" t="s">
        <v>4430</v>
      </c>
      <c r="O1048" t="s">
        <v>4458</v>
      </c>
    </row>
    <row r="1049" spans="8:15" x14ac:dyDescent="0.25">
      <c r="H1049" t="s">
        <v>2723</v>
      </c>
      <c r="I1049" t="s">
        <v>2725</v>
      </c>
      <c r="N1049" t="s">
        <v>4430</v>
      </c>
      <c r="O1049" t="s">
        <v>4458</v>
      </c>
    </row>
    <row r="1050" spans="8:15" x14ac:dyDescent="0.25">
      <c r="H1050" t="s">
        <v>122</v>
      </c>
      <c r="I1050" t="s">
        <v>18</v>
      </c>
      <c r="N1050" t="s">
        <v>4430</v>
      </c>
      <c r="O1050" t="s">
        <v>4458</v>
      </c>
    </row>
    <row r="1051" spans="8:15" x14ac:dyDescent="0.25">
      <c r="H1051" t="s">
        <v>122</v>
      </c>
      <c r="I1051" t="s">
        <v>18</v>
      </c>
      <c r="N1051" t="s">
        <v>4430</v>
      </c>
      <c r="O1051" t="s">
        <v>4458</v>
      </c>
    </row>
    <row r="1052" spans="8:15" x14ac:dyDescent="0.25">
      <c r="H1052" t="s">
        <v>122</v>
      </c>
      <c r="I1052" t="s">
        <v>18</v>
      </c>
      <c r="N1052" t="s">
        <v>4430</v>
      </c>
      <c r="O1052" t="s">
        <v>4458</v>
      </c>
    </row>
    <row r="1053" spans="8:15" x14ac:dyDescent="0.25">
      <c r="H1053" t="s">
        <v>122</v>
      </c>
      <c r="I1053" t="s">
        <v>18</v>
      </c>
      <c r="N1053" t="s">
        <v>4430</v>
      </c>
      <c r="O1053" t="s">
        <v>4458</v>
      </c>
    </row>
    <row r="1054" spans="8:15" x14ac:dyDescent="0.25">
      <c r="H1054" t="s">
        <v>122</v>
      </c>
      <c r="I1054" t="s">
        <v>18</v>
      </c>
      <c r="N1054" t="s">
        <v>4430</v>
      </c>
      <c r="O1054" t="s">
        <v>4458</v>
      </c>
    </row>
    <row r="1055" spans="8:15" x14ac:dyDescent="0.25">
      <c r="H1055" t="s">
        <v>122</v>
      </c>
      <c r="I1055" t="s">
        <v>18</v>
      </c>
      <c r="N1055" t="s">
        <v>7470</v>
      </c>
      <c r="O1055" t="s">
        <v>4458</v>
      </c>
    </row>
    <row r="1056" spans="8:15" x14ac:dyDescent="0.25">
      <c r="H1056" t="s">
        <v>122</v>
      </c>
      <c r="I1056" t="s">
        <v>18</v>
      </c>
      <c r="N1056" t="s">
        <v>5806</v>
      </c>
      <c r="O1056" t="s">
        <v>4458</v>
      </c>
    </row>
    <row r="1057" spans="8:15" x14ac:dyDescent="0.25">
      <c r="H1057" t="s">
        <v>122</v>
      </c>
      <c r="I1057" t="s">
        <v>18</v>
      </c>
      <c r="N1057" t="s">
        <v>7041</v>
      </c>
      <c r="O1057" t="s">
        <v>4458</v>
      </c>
    </row>
    <row r="1058" spans="8:15" x14ac:dyDescent="0.25">
      <c r="H1058" t="s">
        <v>122</v>
      </c>
      <c r="I1058" t="s">
        <v>18</v>
      </c>
      <c r="N1058" t="s">
        <v>7041</v>
      </c>
      <c r="O1058" t="s">
        <v>4458</v>
      </c>
    </row>
    <row r="1059" spans="8:15" x14ac:dyDescent="0.25">
      <c r="H1059" t="s">
        <v>122</v>
      </c>
      <c r="I1059" t="s">
        <v>18</v>
      </c>
      <c r="N1059" t="s">
        <v>6879</v>
      </c>
      <c r="O1059" t="s">
        <v>4458</v>
      </c>
    </row>
    <row r="1060" spans="8:15" x14ac:dyDescent="0.25">
      <c r="H1060" t="s">
        <v>122</v>
      </c>
      <c r="I1060" t="s">
        <v>18</v>
      </c>
      <c r="N1060" t="s">
        <v>7188</v>
      </c>
      <c r="O1060" t="s">
        <v>28</v>
      </c>
    </row>
    <row r="1061" spans="8:15" x14ac:dyDescent="0.25">
      <c r="H1061" t="s">
        <v>122</v>
      </c>
      <c r="I1061" t="s">
        <v>18</v>
      </c>
      <c r="N1061" t="s">
        <v>7691</v>
      </c>
      <c r="O1061" t="s">
        <v>28</v>
      </c>
    </row>
    <row r="1062" spans="8:15" x14ac:dyDescent="0.25">
      <c r="H1062" t="s">
        <v>122</v>
      </c>
      <c r="I1062" t="s">
        <v>18</v>
      </c>
      <c r="N1062" t="s">
        <v>7161</v>
      </c>
      <c r="O1062" t="s">
        <v>28</v>
      </c>
    </row>
    <row r="1063" spans="8:15" x14ac:dyDescent="0.25">
      <c r="H1063" t="s">
        <v>122</v>
      </c>
      <c r="I1063" t="s">
        <v>18</v>
      </c>
      <c r="N1063" t="s">
        <v>6476</v>
      </c>
      <c r="O1063" t="s">
        <v>28</v>
      </c>
    </row>
    <row r="1064" spans="8:15" x14ac:dyDescent="0.25">
      <c r="H1064" t="s">
        <v>122</v>
      </c>
      <c r="I1064" t="s">
        <v>18</v>
      </c>
      <c r="N1064" t="s">
        <v>6476</v>
      </c>
      <c r="O1064" t="s">
        <v>28</v>
      </c>
    </row>
    <row r="1065" spans="8:15" x14ac:dyDescent="0.25">
      <c r="H1065" t="s">
        <v>122</v>
      </c>
      <c r="I1065" t="s">
        <v>18</v>
      </c>
      <c r="N1065" t="s">
        <v>6561</v>
      </c>
      <c r="O1065" t="s">
        <v>28</v>
      </c>
    </row>
    <row r="1066" spans="8:15" x14ac:dyDescent="0.25">
      <c r="H1066" t="s">
        <v>122</v>
      </c>
      <c r="I1066" t="s">
        <v>18</v>
      </c>
      <c r="N1066" t="s">
        <v>6561</v>
      </c>
      <c r="O1066" t="s">
        <v>28</v>
      </c>
    </row>
    <row r="1067" spans="8:15" x14ac:dyDescent="0.25">
      <c r="H1067" t="s">
        <v>122</v>
      </c>
      <c r="I1067" t="s">
        <v>18</v>
      </c>
      <c r="N1067" t="s">
        <v>8065</v>
      </c>
      <c r="O1067" t="s">
        <v>28</v>
      </c>
    </row>
    <row r="1068" spans="8:15" x14ac:dyDescent="0.25">
      <c r="H1068" t="s">
        <v>122</v>
      </c>
      <c r="I1068" t="s">
        <v>18</v>
      </c>
      <c r="N1068" t="s">
        <v>6952</v>
      </c>
      <c r="O1068" t="s">
        <v>28</v>
      </c>
    </row>
    <row r="1069" spans="8:15" x14ac:dyDescent="0.25">
      <c r="H1069" t="s">
        <v>122</v>
      </c>
      <c r="I1069" t="s">
        <v>18</v>
      </c>
      <c r="N1069" t="s">
        <v>7820</v>
      </c>
      <c r="O1069" t="s">
        <v>27</v>
      </c>
    </row>
    <row r="1070" spans="8:15" x14ac:dyDescent="0.25">
      <c r="H1070" t="s">
        <v>122</v>
      </c>
      <c r="I1070" t="s">
        <v>18</v>
      </c>
      <c r="N1070" t="s">
        <v>44</v>
      </c>
      <c r="O1070" t="s">
        <v>29</v>
      </c>
    </row>
    <row r="1071" spans="8:15" x14ac:dyDescent="0.25">
      <c r="H1071" t="s">
        <v>122</v>
      </c>
      <c r="I1071" t="s">
        <v>18</v>
      </c>
      <c r="N1071" t="s">
        <v>7125</v>
      </c>
      <c r="O1071" t="s">
        <v>274</v>
      </c>
    </row>
    <row r="1072" spans="8:15" x14ac:dyDescent="0.25">
      <c r="H1072" t="s">
        <v>122</v>
      </c>
      <c r="I1072" t="s">
        <v>18</v>
      </c>
      <c r="N1072" t="s">
        <v>8070</v>
      </c>
      <c r="O1072" t="s">
        <v>274</v>
      </c>
    </row>
    <row r="1073" spans="8:18" x14ac:dyDescent="0.25">
      <c r="H1073" t="s">
        <v>122</v>
      </c>
      <c r="I1073" t="s">
        <v>18</v>
      </c>
      <c r="N1073" t="s">
        <v>8077</v>
      </c>
      <c r="O1073" t="s">
        <v>274</v>
      </c>
    </row>
    <row r="1074" spans="8:18" x14ac:dyDescent="0.25">
      <c r="H1074" t="s">
        <v>6627</v>
      </c>
      <c r="I1074" t="s">
        <v>18</v>
      </c>
      <c r="N1074" t="s">
        <v>7817</v>
      </c>
      <c r="O1074" t="s">
        <v>274</v>
      </c>
    </row>
    <row r="1075" spans="8:18" x14ac:dyDescent="0.25">
      <c r="H1075" t="s">
        <v>6150</v>
      </c>
      <c r="I1075" t="s">
        <v>18</v>
      </c>
      <c r="N1075" t="s">
        <v>8060</v>
      </c>
      <c r="O1075" t="s">
        <v>274</v>
      </c>
    </row>
    <row r="1076" spans="8:18" x14ac:dyDescent="0.25">
      <c r="H1076" t="s">
        <v>2726</v>
      </c>
      <c r="I1076" t="s">
        <v>2728</v>
      </c>
      <c r="J1076" t="s">
        <v>2757</v>
      </c>
      <c r="K1076" t="s">
        <v>2759</v>
      </c>
      <c r="L1076" t="s">
        <v>2758</v>
      </c>
      <c r="N1076" t="s">
        <v>7751</v>
      </c>
      <c r="O1076" t="s">
        <v>274</v>
      </c>
    </row>
    <row r="1077" spans="8:18" x14ac:dyDescent="0.25">
      <c r="H1077" t="s">
        <v>2726</v>
      </c>
      <c r="I1077" t="s">
        <v>2728</v>
      </c>
      <c r="J1077" t="s">
        <v>2757</v>
      </c>
      <c r="K1077" t="s">
        <v>2759</v>
      </c>
      <c r="L1077" t="s">
        <v>2758</v>
      </c>
      <c r="N1077" t="s">
        <v>7319</v>
      </c>
      <c r="O1077" t="s">
        <v>274</v>
      </c>
    </row>
    <row r="1078" spans="8:18" x14ac:dyDescent="0.25">
      <c r="H1078" t="s">
        <v>2726</v>
      </c>
      <c r="I1078" t="s">
        <v>2728</v>
      </c>
      <c r="J1078" t="s">
        <v>2757</v>
      </c>
      <c r="K1078" t="s">
        <v>2759</v>
      </c>
      <c r="L1078" t="s">
        <v>2758</v>
      </c>
      <c r="N1078" t="s">
        <v>7895</v>
      </c>
      <c r="O1078" t="s">
        <v>274</v>
      </c>
    </row>
    <row r="1079" spans="8:18" x14ac:dyDescent="0.25">
      <c r="H1079" t="s">
        <v>2726</v>
      </c>
      <c r="I1079" t="s">
        <v>2728</v>
      </c>
      <c r="J1079" t="s">
        <v>2757</v>
      </c>
      <c r="K1079" t="s">
        <v>2759</v>
      </c>
      <c r="L1079" t="s">
        <v>2758</v>
      </c>
      <c r="N1079" t="s">
        <v>7014</v>
      </c>
      <c r="O1079" t="s">
        <v>274</v>
      </c>
    </row>
    <row r="1080" spans="8:18" x14ac:dyDescent="0.25">
      <c r="H1080" t="s">
        <v>2726</v>
      </c>
      <c r="I1080" t="s">
        <v>2728</v>
      </c>
      <c r="J1080" t="s">
        <v>2757</v>
      </c>
      <c r="K1080" t="s">
        <v>2759</v>
      </c>
      <c r="L1080" t="s">
        <v>2758</v>
      </c>
      <c r="N1080" t="s">
        <v>6934</v>
      </c>
      <c r="O1080" t="s">
        <v>29</v>
      </c>
    </row>
    <row r="1081" spans="8:18" x14ac:dyDescent="0.25">
      <c r="H1081" t="s">
        <v>2726</v>
      </c>
      <c r="I1081" t="s">
        <v>2728</v>
      </c>
      <c r="J1081" t="s">
        <v>2758</v>
      </c>
      <c r="K1081" t="s">
        <v>2759</v>
      </c>
      <c r="N1081" t="s">
        <v>6934</v>
      </c>
      <c r="O1081" t="s">
        <v>29</v>
      </c>
    </row>
    <row r="1082" spans="8:18" x14ac:dyDescent="0.25">
      <c r="H1082" t="s">
        <v>2726</v>
      </c>
      <c r="I1082" t="s">
        <v>2728</v>
      </c>
      <c r="J1082" t="s">
        <v>2758</v>
      </c>
      <c r="K1082" t="s">
        <v>2759</v>
      </c>
      <c r="N1082" t="s">
        <v>5429</v>
      </c>
      <c r="O1082" t="s">
        <v>29</v>
      </c>
    </row>
    <row r="1083" spans="8:18" x14ac:dyDescent="0.25">
      <c r="H1083" t="s">
        <v>2726</v>
      </c>
      <c r="I1083" t="s">
        <v>2728</v>
      </c>
      <c r="J1083" t="s">
        <v>2757</v>
      </c>
      <c r="K1083" t="s">
        <v>2759</v>
      </c>
      <c r="L1083" t="s">
        <v>2758</v>
      </c>
      <c r="N1083" t="s">
        <v>7227</v>
      </c>
      <c r="O1083" t="s">
        <v>29</v>
      </c>
    </row>
    <row r="1084" spans="8:18" x14ac:dyDescent="0.25">
      <c r="H1084" t="s">
        <v>2726</v>
      </c>
      <c r="I1084" t="s">
        <v>2728</v>
      </c>
      <c r="J1084" t="s">
        <v>2757</v>
      </c>
      <c r="K1084" t="s">
        <v>2759</v>
      </c>
      <c r="L1084" t="s">
        <v>2758</v>
      </c>
      <c r="N1084" t="s">
        <v>7897</v>
      </c>
      <c r="O1084" t="s">
        <v>29</v>
      </c>
    </row>
    <row r="1085" spans="8:18" x14ac:dyDescent="0.25">
      <c r="H1085" t="s">
        <v>2726</v>
      </c>
      <c r="I1085" t="s">
        <v>2728</v>
      </c>
      <c r="J1085" t="s">
        <v>2758</v>
      </c>
      <c r="K1085" t="s">
        <v>2759</v>
      </c>
      <c r="N1085" t="s">
        <v>8080</v>
      </c>
      <c r="O1085" t="s">
        <v>29</v>
      </c>
    </row>
    <row r="1086" spans="8:18" x14ac:dyDescent="0.25">
      <c r="H1086" t="s">
        <v>2726</v>
      </c>
      <c r="I1086" t="s">
        <v>2728</v>
      </c>
      <c r="J1086" t="s">
        <v>2758</v>
      </c>
      <c r="K1086" t="s">
        <v>2759</v>
      </c>
      <c r="N1086" t="s">
        <v>8095</v>
      </c>
      <c r="O1086" t="s">
        <v>29</v>
      </c>
    </row>
    <row r="1087" spans="8:18" x14ac:dyDescent="0.25">
      <c r="H1087" t="s">
        <v>2726</v>
      </c>
      <c r="I1087" t="s">
        <v>2728</v>
      </c>
      <c r="J1087" t="s">
        <v>2758</v>
      </c>
      <c r="K1087" t="s">
        <v>2759</v>
      </c>
      <c r="N1087" s="180" t="s">
        <v>457</v>
      </c>
      <c r="O1087" s="180" t="s">
        <v>458</v>
      </c>
      <c r="P1087" s="180"/>
      <c r="Q1087" s="180"/>
      <c r="R1087" s="180"/>
    </row>
    <row r="1088" spans="8:18" x14ac:dyDescent="0.25">
      <c r="H1088" t="s">
        <v>2729</v>
      </c>
      <c r="I1088" t="s">
        <v>2731</v>
      </c>
      <c r="J1088" t="s">
        <v>8000</v>
      </c>
      <c r="N1088" s="180" t="s">
        <v>457</v>
      </c>
      <c r="O1088" s="180" t="s">
        <v>458</v>
      </c>
      <c r="P1088" s="180"/>
      <c r="Q1088" s="180"/>
      <c r="R1088" s="180"/>
    </row>
    <row r="1089" spans="8:18" x14ac:dyDescent="0.25">
      <c r="H1089" t="s">
        <v>2729</v>
      </c>
      <c r="I1089" t="s">
        <v>2731</v>
      </c>
      <c r="J1089" t="s">
        <v>8000</v>
      </c>
      <c r="N1089" s="180" t="s">
        <v>457</v>
      </c>
      <c r="O1089" s="180" t="s">
        <v>348</v>
      </c>
      <c r="P1089" s="180"/>
      <c r="Q1089" s="180"/>
      <c r="R1089" s="180"/>
    </row>
    <row r="1090" spans="8:18" x14ac:dyDescent="0.25">
      <c r="H1090" t="s">
        <v>2729</v>
      </c>
      <c r="I1090" t="s">
        <v>2731</v>
      </c>
      <c r="J1090" t="s">
        <v>8000</v>
      </c>
      <c r="N1090" s="180" t="s">
        <v>457</v>
      </c>
      <c r="O1090" s="180" t="s">
        <v>458</v>
      </c>
      <c r="P1090" s="180"/>
      <c r="Q1090" s="180"/>
      <c r="R1090" s="180"/>
    </row>
    <row r="1091" spans="8:18" x14ac:dyDescent="0.25">
      <c r="H1091" t="s">
        <v>2732</v>
      </c>
      <c r="I1091" t="s">
        <v>2733</v>
      </c>
      <c r="J1091" t="s">
        <v>7999</v>
      </c>
      <c r="N1091" s="180" t="s">
        <v>457</v>
      </c>
      <c r="O1091" s="180" t="s">
        <v>458</v>
      </c>
      <c r="P1091" s="180"/>
      <c r="Q1091" s="180"/>
      <c r="R1091" s="180"/>
    </row>
    <row r="1092" spans="8:18" x14ac:dyDescent="0.25">
      <c r="H1092" t="s">
        <v>2732</v>
      </c>
      <c r="I1092" t="s">
        <v>2733</v>
      </c>
      <c r="J1092" t="s">
        <v>7999</v>
      </c>
      <c r="N1092" s="180" t="s">
        <v>457</v>
      </c>
      <c r="O1092" s="180" t="s">
        <v>458</v>
      </c>
      <c r="P1092" s="180"/>
      <c r="Q1092" s="180"/>
      <c r="R1092" s="180"/>
    </row>
    <row r="1093" spans="8:18" x14ac:dyDescent="0.25">
      <c r="H1093" t="s">
        <v>2732</v>
      </c>
      <c r="I1093" t="s">
        <v>2733</v>
      </c>
      <c r="J1093" t="s">
        <v>7999</v>
      </c>
      <c r="N1093" s="180" t="s">
        <v>457</v>
      </c>
      <c r="O1093" s="180" t="s">
        <v>458</v>
      </c>
      <c r="P1093" s="180"/>
      <c r="Q1093" s="180"/>
      <c r="R1093" s="180"/>
    </row>
    <row r="1094" spans="8:18" x14ac:dyDescent="0.25">
      <c r="H1094" t="s">
        <v>2732</v>
      </c>
      <c r="I1094" t="s">
        <v>2733</v>
      </c>
      <c r="J1094" t="s">
        <v>7999</v>
      </c>
      <c r="N1094" s="180" t="s">
        <v>457</v>
      </c>
      <c r="O1094" s="180" t="s">
        <v>348</v>
      </c>
      <c r="P1094" s="180"/>
      <c r="Q1094" s="180"/>
      <c r="R1094" s="180"/>
    </row>
    <row r="1095" spans="8:18" x14ac:dyDescent="0.25">
      <c r="H1095" t="s">
        <v>2732</v>
      </c>
      <c r="I1095" t="s">
        <v>2733</v>
      </c>
      <c r="J1095" t="s">
        <v>7999</v>
      </c>
      <c r="N1095" s="180" t="s">
        <v>457</v>
      </c>
      <c r="O1095" s="180" t="s">
        <v>458</v>
      </c>
      <c r="P1095" s="180"/>
      <c r="Q1095" s="180"/>
      <c r="R1095" s="180"/>
    </row>
    <row r="1096" spans="8:18" x14ac:dyDescent="0.25">
      <c r="H1096" t="s">
        <v>2732</v>
      </c>
      <c r="I1096" t="s">
        <v>2733</v>
      </c>
      <c r="J1096" t="s">
        <v>7999</v>
      </c>
      <c r="N1096" s="180" t="s">
        <v>457</v>
      </c>
      <c r="O1096" s="180" t="s">
        <v>458</v>
      </c>
      <c r="P1096" s="180"/>
      <c r="Q1096" s="180"/>
      <c r="R1096" s="180"/>
    </row>
    <row r="1097" spans="8:18" x14ac:dyDescent="0.25">
      <c r="H1097" t="s">
        <v>2732</v>
      </c>
      <c r="I1097" t="s">
        <v>2733</v>
      </c>
      <c r="J1097" t="s">
        <v>7999</v>
      </c>
      <c r="N1097" s="180" t="s">
        <v>457</v>
      </c>
      <c r="O1097" s="180" t="s">
        <v>458</v>
      </c>
      <c r="P1097" s="180"/>
      <c r="Q1097" s="180"/>
      <c r="R1097" s="180"/>
    </row>
    <row r="1098" spans="8:18" x14ac:dyDescent="0.25">
      <c r="H1098" t="s">
        <v>2732</v>
      </c>
      <c r="I1098" t="s">
        <v>2733</v>
      </c>
      <c r="J1098" t="s">
        <v>7999</v>
      </c>
      <c r="N1098" s="180" t="s">
        <v>457</v>
      </c>
      <c r="O1098" s="180" t="s">
        <v>350</v>
      </c>
      <c r="P1098" s="180"/>
      <c r="Q1098" s="180"/>
      <c r="R1098" s="180"/>
    </row>
    <row r="1099" spans="8:18" x14ac:dyDescent="0.25">
      <c r="H1099" t="s">
        <v>2732</v>
      </c>
      <c r="I1099" t="s">
        <v>2733</v>
      </c>
      <c r="J1099" t="s">
        <v>7999</v>
      </c>
      <c r="N1099" s="180" t="s">
        <v>457</v>
      </c>
      <c r="O1099" s="180" t="s">
        <v>458</v>
      </c>
      <c r="P1099" s="180"/>
      <c r="Q1099" s="180"/>
      <c r="R1099" s="180"/>
    </row>
    <row r="1100" spans="8:18" x14ac:dyDescent="0.25">
      <c r="H1100" t="s">
        <v>2732</v>
      </c>
      <c r="I1100" t="s">
        <v>2733</v>
      </c>
      <c r="J1100" t="s">
        <v>7999</v>
      </c>
      <c r="N1100" s="180" t="s">
        <v>457</v>
      </c>
      <c r="O1100" s="180" t="s">
        <v>458</v>
      </c>
      <c r="P1100" s="180"/>
      <c r="Q1100" s="180"/>
      <c r="R1100" s="180"/>
    </row>
    <row r="1101" spans="8:18" x14ac:dyDescent="0.25">
      <c r="H1101" t="s">
        <v>2732</v>
      </c>
      <c r="I1101" t="s">
        <v>2733</v>
      </c>
      <c r="J1101" t="s">
        <v>7999</v>
      </c>
      <c r="N1101" s="180" t="s">
        <v>457</v>
      </c>
      <c r="O1101" s="180" t="s">
        <v>458</v>
      </c>
      <c r="P1101" s="180"/>
      <c r="Q1101" s="180"/>
      <c r="R1101" s="180"/>
    </row>
    <row r="1102" spans="8:18" x14ac:dyDescent="0.25">
      <c r="H1102" t="s">
        <v>2732</v>
      </c>
      <c r="I1102" t="s">
        <v>2733</v>
      </c>
      <c r="J1102" t="s">
        <v>7999</v>
      </c>
      <c r="N1102" s="180" t="s">
        <v>457</v>
      </c>
      <c r="O1102" s="180" t="s">
        <v>458</v>
      </c>
      <c r="P1102" s="180"/>
      <c r="Q1102" s="180"/>
      <c r="R1102" s="180"/>
    </row>
    <row r="1103" spans="8:18" x14ac:dyDescent="0.25">
      <c r="H1103" t="s">
        <v>2732</v>
      </c>
      <c r="I1103" t="s">
        <v>2733</v>
      </c>
      <c r="J1103" t="s">
        <v>7999</v>
      </c>
      <c r="N1103" s="180" t="s">
        <v>457</v>
      </c>
      <c r="O1103" s="180" t="s">
        <v>352</v>
      </c>
      <c r="P1103" s="180"/>
      <c r="Q1103" s="180"/>
      <c r="R1103" s="180"/>
    </row>
    <row r="1104" spans="8:18" x14ac:dyDescent="0.25">
      <c r="H1104" t="s">
        <v>2732</v>
      </c>
      <c r="I1104" t="s">
        <v>2733</v>
      </c>
      <c r="J1104" t="s">
        <v>7999</v>
      </c>
      <c r="N1104" s="180" t="s">
        <v>457</v>
      </c>
      <c r="O1104" s="180" t="s">
        <v>348</v>
      </c>
      <c r="P1104" s="180"/>
      <c r="Q1104" s="180"/>
      <c r="R1104" s="180"/>
    </row>
    <row r="1105" spans="8:18" x14ac:dyDescent="0.25">
      <c r="H1105" t="s">
        <v>2732</v>
      </c>
      <c r="I1105" t="s">
        <v>2733</v>
      </c>
      <c r="J1105" t="s">
        <v>7999</v>
      </c>
      <c r="N1105" s="180" t="s">
        <v>457</v>
      </c>
      <c r="O1105" s="180" t="s">
        <v>458</v>
      </c>
      <c r="P1105" s="180"/>
      <c r="Q1105" s="180"/>
      <c r="R1105" s="180"/>
    </row>
    <row r="1106" spans="8:18" x14ac:dyDescent="0.25">
      <c r="H1106" t="s">
        <v>2732</v>
      </c>
      <c r="I1106" t="s">
        <v>2733</v>
      </c>
      <c r="J1106" t="s">
        <v>7999</v>
      </c>
      <c r="N1106" s="180" t="s">
        <v>457</v>
      </c>
      <c r="O1106" s="180" t="s">
        <v>458</v>
      </c>
      <c r="P1106" s="180"/>
      <c r="Q1106" s="180"/>
      <c r="R1106" s="180"/>
    </row>
    <row r="1107" spans="8:18" x14ac:dyDescent="0.25">
      <c r="H1107" t="s">
        <v>2732</v>
      </c>
      <c r="I1107" t="s">
        <v>2733</v>
      </c>
      <c r="J1107" t="s">
        <v>7999</v>
      </c>
      <c r="N1107" s="180" t="s">
        <v>457</v>
      </c>
      <c r="O1107" s="180" t="s">
        <v>458</v>
      </c>
      <c r="P1107" s="180"/>
      <c r="Q1107" s="180"/>
      <c r="R1107" s="180"/>
    </row>
    <row r="1108" spans="8:18" x14ac:dyDescent="0.25">
      <c r="H1108" t="s">
        <v>2732</v>
      </c>
      <c r="I1108" t="s">
        <v>2733</v>
      </c>
      <c r="J1108" t="s">
        <v>7999</v>
      </c>
      <c r="N1108" s="180" t="s">
        <v>457</v>
      </c>
      <c r="O1108" s="180" t="s">
        <v>458</v>
      </c>
      <c r="P1108" s="180"/>
      <c r="Q1108" s="180"/>
      <c r="R1108" s="180"/>
    </row>
    <row r="1109" spans="8:18" x14ac:dyDescent="0.25">
      <c r="H1109" t="s">
        <v>2732</v>
      </c>
      <c r="I1109" t="s">
        <v>2733</v>
      </c>
      <c r="J1109" t="s">
        <v>7999</v>
      </c>
      <c r="N1109" s="180" t="s">
        <v>457</v>
      </c>
      <c r="O1109" s="180" t="s">
        <v>348</v>
      </c>
      <c r="P1109" s="180"/>
      <c r="Q1109" s="180"/>
      <c r="R1109" s="180"/>
    </row>
    <row r="1110" spans="8:18" x14ac:dyDescent="0.25">
      <c r="H1110" t="s">
        <v>2732</v>
      </c>
      <c r="I1110" t="s">
        <v>2733</v>
      </c>
      <c r="J1110" t="s">
        <v>7999</v>
      </c>
      <c r="N1110" s="180" t="s">
        <v>457</v>
      </c>
      <c r="O1110" s="180" t="s">
        <v>458</v>
      </c>
      <c r="P1110" s="180"/>
      <c r="Q1110" s="180"/>
      <c r="R1110" s="180"/>
    </row>
    <row r="1111" spans="8:18" x14ac:dyDescent="0.25">
      <c r="H1111" t="s">
        <v>2734</v>
      </c>
      <c r="I1111" t="s">
        <v>2735</v>
      </c>
      <c r="J1111" t="s">
        <v>8001</v>
      </c>
      <c r="N1111" s="180" t="s">
        <v>457</v>
      </c>
      <c r="O1111" s="180" t="s">
        <v>458</v>
      </c>
      <c r="P1111" s="180"/>
      <c r="Q1111" s="180"/>
      <c r="R1111" s="180"/>
    </row>
    <row r="1112" spans="8:18" x14ac:dyDescent="0.25">
      <c r="H1112" t="s">
        <v>2734</v>
      </c>
      <c r="I1112" t="s">
        <v>2735</v>
      </c>
      <c r="J1112" t="s">
        <v>8001</v>
      </c>
      <c r="N1112" s="180" t="s">
        <v>457</v>
      </c>
      <c r="O1112" s="180" t="s">
        <v>458</v>
      </c>
      <c r="P1112" s="180"/>
      <c r="Q1112" s="180"/>
      <c r="R1112" s="180"/>
    </row>
    <row r="1113" spans="8:18" x14ac:dyDescent="0.25">
      <c r="H1113" t="s">
        <v>2734</v>
      </c>
      <c r="I1113" t="s">
        <v>2735</v>
      </c>
      <c r="J1113" t="s">
        <v>8001</v>
      </c>
      <c r="N1113" s="180" t="s">
        <v>457</v>
      </c>
      <c r="O1113" s="180" t="s">
        <v>458</v>
      </c>
      <c r="P1113" s="180"/>
      <c r="Q1113" s="180"/>
      <c r="R1113" s="180"/>
    </row>
    <row r="1114" spans="8:18" x14ac:dyDescent="0.25">
      <c r="H1114" t="s">
        <v>2734</v>
      </c>
      <c r="I1114" t="s">
        <v>2735</v>
      </c>
      <c r="J1114" t="s">
        <v>8001</v>
      </c>
      <c r="N1114" s="180" t="s">
        <v>457</v>
      </c>
      <c r="O1114" s="180" t="s">
        <v>352</v>
      </c>
      <c r="P1114" s="180"/>
      <c r="Q1114" s="180"/>
      <c r="R1114" s="180"/>
    </row>
    <row r="1115" spans="8:18" x14ac:dyDescent="0.25">
      <c r="H1115" t="s">
        <v>2734</v>
      </c>
      <c r="I1115" t="s">
        <v>2735</v>
      </c>
      <c r="J1115" t="s">
        <v>8001</v>
      </c>
      <c r="N1115" s="180" t="s">
        <v>457</v>
      </c>
      <c r="O1115" s="180" t="s">
        <v>458</v>
      </c>
      <c r="P1115" s="180"/>
      <c r="Q1115" s="180"/>
      <c r="R1115" s="180"/>
    </row>
    <row r="1116" spans="8:18" x14ac:dyDescent="0.25">
      <c r="H1116" t="s">
        <v>2736</v>
      </c>
      <c r="I1116" t="s">
        <v>2737</v>
      </c>
      <c r="J1116" t="s">
        <v>7998</v>
      </c>
      <c r="N1116" s="180" t="s">
        <v>457</v>
      </c>
      <c r="O1116" s="180" t="s">
        <v>348</v>
      </c>
      <c r="P1116" s="180"/>
      <c r="Q1116" s="180"/>
      <c r="R1116" s="180"/>
    </row>
    <row r="1117" spans="8:18" x14ac:dyDescent="0.25">
      <c r="H1117" t="s">
        <v>2736</v>
      </c>
      <c r="I1117" t="s">
        <v>2737</v>
      </c>
      <c r="J1117" t="s">
        <v>7998</v>
      </c>
      <c r="N1117" s="180" t="s">
        <v>457</v>
      </c>
      <c r="O1117" s="180" t="s">
        <v>458</v>
      </c>
      <c r="P1117" s="180"/>
      <c r="Q1117" s="180"/>
      <c r="R1117" s="180"/>
    </row>
    <row r="1118" spans="8:18" x14ac:dyDescent="0.25">
      <c r="H1118" t="s">
        <v>2736</v>
      </c>
      <c r="I1118" t="s">
        <v>2737</v>
      </c>
      <c r="J1118" t="s">
        <v>7998</v>
      </c>
      <c r="N1118" s="180" t="s">
        <v>457</v>
      </c>
      <c r="O1118" s="180" t="s">
        <v>458</v>
      </c>
      <c r="P1118" s="180"/>
      <c r="Q1118" s="180"/>
      <c r="R1118" s="180"/>
    </row>
    <row r="1119" spans="8:18" x14ac:dyDescent="0.25">
      <c r="H1119" t="s">
        <v>2736</v>
      </c>
      <c r="I1119" t="s">
        <v>2737</v>
      </c>
      <c r="J1119" t="s">
        <v>7998</v>
      </c>
      <c r="N1119" s="180" t="s">
        <v>457</v>
      </c>
      <c r="O1119" s="180" t="s">
        <v>458</v>
      </c>
      <c r="P1119" s="180"/>
      <c r="Q1119" s="180"/>
      <c r="R1119" s="180"/>
    </row>
    <row r="1120" spans="8:18" x14ac:dyDescent="0.25">
      <c r="H1120" t="s">
        <v>2736</v>
      </c>
      <c r="I1120" t="s">
        <v>2737</v>
      </c>
      <c r="J1120" t="s">
        <v>7998</v>
      </c>
      <c r="N1120" s="180" t="s">
        <v>457</v>
      </c>
      <c r="O1120" s="180" t="s">
        <v>458</v>
      </c>
      <c r="P1120" s="180"/>
      <c r="Q1120" s="180"/>
      <c r="R1120" s="180"/>
    </row>
    <row r="1121" spans="8:18" x14ac:dyDescent="0.25">
      <c r="H1121" t="s">
        <v>2736</v>
      </c>
      <c r="I1121" t="s">
        <v>2737</v>
      </c>
      <c r="J1121" t="s">
        <v>7998</v>
      </c>
      <c r="N1121" s="180" t="s">
        <v>457</v>
      </c>
      <c r="O1121" s="180" t="s">
        <v>458</v>
      </c>
      <c r="P1121" s="180"/>
      <c r="Q1121" s="180"/>
      <c r="R1121" s="180"/>
    </row>
    <row r="1122" spans="8:18" x14ac:dyDescent="0.25">
      <c r="H1122" t="s">
        <v>2736</v>
      </c>
      <c r="I1122" t="s">
        <v>2737</v>
      </c>
      <c r="J1122" t="s">
        <v>7998</v>
      </c>
      <c r="N1122" s="180" t="s">
        <v>457</v>
      </c>
      <c r="O1122" s="180" t="s">
        <v>348</v>
      </c>
      <c r="P1122" s="180"/>
      <c r="Q1122" s="180"/>
      <c r="R1122" s="180"/>
    </row>
    <row r="1123" spans="8:18" x14ac:dyDescent="0.25">
      <c r="H1123" t="s">
        <v>2736</v>
      </c>
      <c r="I1123" t="s">
        <v>2737</v>
      </c>
      <c r="J1123" t="s">
        <v>7998</v>
      </c>
      <c r="N1123" s="180" t="s">
        <v>457</v>
      </c>
      <c r="O1123" s="180" t="s">
        <v>458</v>
      </c>
      <c r="P1123" s="180"/>
      <c r="Q1123" s="180"/>
      <c r="R1123" s="180"/>
    </row>
    <row r="1124" spans="8:18" x14ac:dyDescent="0.25">
      <c r="H1124" t="s">
        <v>2736</v>
      </c>
      <c r="I1124" t="s">
        <v>2737</v>
      </c>
      <c r="J1124" t="s">
        <v>7998</v>
      </c>
      <c r="N1124" s="180" t="s">
        <v>457</v>
      </c>
      <c r="O1124" s="180" t="s">
        <v>352</v>
      </c>
      <c r="P1124" s="180"/>
      <c r="Q1124" s="180"/>
      <c r="R1124" s="180"/>
    </row>
    <row r="1125" spans="8:18" x14ac:dyDescent="0.25">
      <c r="H1125" t="s">
        <v>2741</v>
      </c>
      <c r="I1125" t="s">
        <v>2742</v>
      </c>
      <c r="N1125" s="180" t="s">
        <v>457</v>
      </c>
      <c r="O1125" s="180" t="s">
        <v>458</v>
      </c>
      <c r="P1125" s="180"/>
      <c r="Q1125" s="180"/>
      <c r="R1125" s="180"/>
    </row>
    <row r="1126" spans="8:18" x14ac:dyDescent="0.25">
      <c r="H1126" t="s">
        <v>2741</v>
      </c>
      <c r="I1126" t="s">
        <v>2742</v>
      </c>
      <c r="N1126" s="180" t="s">
        <v>457</v>
      </c>
      <c r="O1126" s="180" t="s">
        <v>458</v>
      </c>
      <c r="P1126" s="180"/>
      <c r="Q1126" s="180"/>
      <c r="R1126" s="180"/>
    </row>
    <row r="1127" spans="8:18" x14ac:dyDescent="0.25">
      <c r="H1127" t="s">
        <v>2741</v>
      </c>
      <c r="I1127" t="s">
        <v>2742</v>
      </c>
      <c r="N1127" s="180" t="s">
        <v>457</v>
      </c>
      <c r="O1127" s="180" t="s">
        <v>458</v>
      </c>
      <c r="P1127" s="180"/>
      <c r="Q1127" s="180"/>
      <c r="R1127" s="180"/>
    </row>
    <row r="1128" spans="8:18" x14ac:dyDescent="0.25">
      <c r="H1128" t="s">
        <v>2741</v>
      </c>
      <c r="I1128" t="s">
        <v>2742</v>
      </c>
      <c r="N1128" s="180" t="s">
        <v>457</v>
      </c>
      <c r="O1128" s="180" t="s">
        <v>458</v>
      </c>
      <c r="P1128" s="180"/>
      <c r="Q1128" s="180"/>
      <c r="R1128" s="180"/>
    </row>
    <row r="1129" spans="8:18" x14ac:dyDescent="0.25">
      <c r="H1129" t="s">
        <v>2741</v>
      </c>
      <c r="I1129" t="s">
        <v>2742</v>
      </c>
      <c r="N1129" s="180" t="s">
        <v>457</v>
      </c>
      <c r="O1129" s="180" t="s">
        <v>352</v>
      </c>
      <c r="P1129" s="180"/>
      <c r="Q1129" s="180"/>
      <c r="R1129" s="180"/>
    </row>
    <row r="1130" spans="8:18" x14ac:dyDescent="0.25">
      <c r="H1130" t="s">
        <v>2741</v>
      </c>
      <c r="I1130" t="s">
        <v>2742</v>
      </c>
      <c r="N1130" s="180" t="s">
        <v>457</v>
      </c>
      <c r="O1130" s="180" t="s">
        <v>352</v>
      </c>
      <c r="P1130" s="180"/>
      <c r="Q1130" s="180"/>
      <c r="R1130" s="180"/>
    </row>
    <row r="1131" spans="8:18" x14ac:dyDescent="0.25">
      <c r="H1131" t="s">
        <v>2741</v>
      </c>
      <c r="I1131" t="s">
        <v>2742</v>
      </c>
      <c r="N1131" s="180" t="s">
        <v>457</v>
      </c>
      <c r="O1131" s="180" t="s">
        <v>458</v>
      </c>
      <c r="P1131" s="180"/>
      <c r="Q1131" s="180"/>
      <c r="R1131" s="180"/>
    </row>
    <row r="1132" spans="8:18" x14ac:dyDescent="0.25">
      <c r="H1132" t="s">
        <v>2741</v>
      </c>
      <c r="I1132" t="s">
        <v>2742</v>
      </c>
      <c r="N1132" s="180" t="s">
        <v>457</v>
      </c>
      <c r="O1132" s="180" t="s">
        <v>352</v>
      </c>
      <c r="P1132" s="180"/>
      <c r="Q1132" s="180"/>
      <c r="R1132" s="180"/>
    </row>
    <row r="1133" spans="8:18" x14ac:dyDescent="0.25">
      <c r="H1133" t="s">
        <v>2741</v>
      </c>
      <c r="I1133" t="s">
        <v>2742</v>
      </c>
      <c r="N1133" s="180" t="s">
        <v>457</v>
      </c>
      <c r="O1133" s="180" t="s">
        <v>352</v>
      </c>
      <c r="P1133" s="180"/>
      <c r="Q1133" s="180"/>
      <c r="R1133" s="180"/>
    </row>
    <row r="1134" spans="8:18" x14ac:dyDescent="0.25">
      <c r="H1134" t="s">
        <v>2741</v>
      </c>
      <c r="I1134" t="s">
        <v>2742</v>
      </c>
      <c r="N1134" s="180" t="s">
        <v>457</v>
      </c>
      <c r="O1134" s="180" t="s">
        <v>348</v>
      </c>
      <c r="P1134" s="180"/>
      <c r="Q1134" s="180"/>
      <c r="R1134" s="180"/>
    </row>
    <row r="1135" spans="8:18" x14ac:dyDescent="0.25">
      <c r="H1135" t="s">
        <v>2741</v>
      </c>
      <c r="I1135" t="s">
        <v>2742</v>
      </c>
      <c r="N1135" s="180" t="s">
        <v>457</v>
      </c>
      <c r="O1135" s="180" t="s">
        <v>458</v>
      </c>
      <c r="P1135" s="180"/>
      <c r="Q1135" s="180"/>
      <c r="R1135" s="180"/>
    </row>
    <row r="1136" spans="8:18" x14ac:dyDescent="0.25">
      <c r="H1136" t="s">
        <v>2741</v>
      </c>
      <c r="I1136" t="s">
        <v>2742</v>
      </c>
      <c r="N1136" s="180" t="s">
        <v>457</v>
      </c>
      <c r="O1136" s="180" t="s">
        <v>348</v>
      </c>
      <c r="P1136" s="180"/>
      <c r="Q1136" s="180"/>
      <c r="R1136" s="180"/>
    </row>
    <row r="1137" spans="8:18" x14ac:dyDescent="0.25">
      <c r="H1137" t="s">
        <v>2741</v>
      </c>
      <c r="I1137" t="s">
        <v>2742</v>
      </c>
      <c r="N1137" s="180" t="s">
        <v>457</v>
      </c>
      <c r="O1137" s="180" t="s">
        <v>458</v>
      </c>
      <c r="P1137" s="180"/>
      <c r="Q1137" s="180"/>
      <c r="R1137" s="180"/>
    </row>
    <row r="1138" spans="8:18" x14ac:dyDescent="0.25">
      <c r="H1138" t="s">
        <v>2741</v>
      </c>
      <c r="I1138" t="s">
        <v>2742</v>
      </c>
      <c r="N1138" s="180" t="s">
        <v>457</v>
      </c>
      <c r="O1138" s="180" t="s">
        <v>350</v>
      </c>
      <c r="P1138" s="180"/>
      <c r="Q1138" s="180"/>
      <c r="R1138" s="180"/>
    </row>
    <row r="1139" spans="8:18" x14ac:dyDescent="0.25">
      <c r="H1139" t="s">
        <v>2741</v>
      </c>
      <c r="I1139" t="s">
        <v>2742</v>
      </c>
      <c r="N1139" s="180" t="s">
        <v>457</v>
      </c>
      <c r="O1139" s="180" t="s">
        <v>348</v>
      </c>
      <c r="P1139" s="180"/>
      <c r="Q1139" s="180"/>
      <c r="R1139" s="180"/>
    </row>
    <row r="1140" spans="8:18" x14ac:dyDescent="0.25">
      <c r="H1140" t="s">
        <v>2741</v>
      </c>
      <c r="I1140" t="s">
        <v>2742</v>
      </c>
      <c r="N1140" s="180" t="s">
        <v>457</v>
      </c>
      <c r="O1140" s="180" t="s">
        <v>350</v>
      </c>
      <c r="P1140" s="180"/>
      <c r="Q1140" s="180"/>
      <c r="R1140" s="180"/>
    </row>
    <row r="1141" spans="8:18" x14ac:dyDescent="0.25">
      <c r="H1141" t="s">
        <v>2741</v>
      </c>
      <c r="I1141" t="s">
        <v>2742</v>
      </c>
      <c r="N1141" s="180" t="s">
        <v>457</v>
      </c>
      <c r="O1141" s="180" t="s">
        <v>348</v>
      </c>
      <c r="P1141" s="180"/>
      <c r="Q1141" s="180"/>
      <c r="R1141" s="180"/>
    </row>
    <row r="1142" spans="8:18" x14ac:dyDescent="0.25">
      <c r="H1142" t="s">
        <v>2741</v>
      </c>
      <c r="I1142" t="s">
        <v>2742</v>
      </c>
      <c r="N1142" s="180" t="s">
        <v>457</v>
      </c>
      <c r="O1142" s="180" t="s">
        <v>458</v>
      </c>
      <c r="P1142" s="180"/>
      <c r="Q1142" s="180"/>
      <c r="R1142" s="180"/>
    </row>
    <row r="1143" spans="8:18" x14ac:dyDescent="0.25">
      <c r="H1143" t="s">
        <v>2741</v>
      </c>
      <c r="I1143" t="s">
        <v>2742</v>
      </c>
      <c r="N1143" s="180" t="s">
        <v>457</v>
      </c>
      <c r="O1143" s="180" t="s">
        <v>458</v>
      </c>
      <c r="P1143" s="180"/>
      <c r="Q1143" s="180"/>
      <c r="R1143" s="180"/>
    </row>
    <row r="1144" spans="8:18" x14ac:dyDescent="0.25">
      <c r="H1144" t="s">
        <v>2741</v>
      </c>
      <c r="I1144" t="s">
        <v>2742</v>
      </c>
      <c r="N1144" s="180" t="s">
        <v>457</v>
      </c>
      <c r="O1144" s="180" t="s">
        <v>458</v>
      </c>
      <c r="P1144" s="180"/>
      <c r="Q1144" s="180"/>
      <c r="R1144" s="180"/>
    </row>
    <row r="1145" spans="8:18" x14ac:dyDescent="0.25">
      <c r="H1145" t="s">
        <v>2741</v>
      </c>
      <c r="I1145" t="s">
        <v>2742</v>
      </c>
      <c r="N1145" s="180" t="s">
        <v>457</v>
      </c>
      <c r="O1145" s="180" t="s">
        <v>348</v>
      </c>
      <c r="P1145" s="180"/>
      <c r="Q1145" s="180"/>
      <c r="R1145" s="180"/>
    </row>
    <row r="1146" spans="8:18" x14ac:dyDescent="0.25">
      <c r="H1146" t="s">
        <v>2741</v>
      </c>
      <c r="I1146" t="s">
        <v>2742</v>
      </c>
      <c r="N1146" s="180" t="s">
        <v>457</v>
      </c>
      <c r="O1146" s="180" t="s">
        <v>458</v>
      </c>
      <c r="P1146" s="180"/>
      <c r="Q1146" s="180"/>
      <c r="R1146" s="180"/>
    </row>
    <row r="1147" spans="8:18" x14ac:dyDescent="0.25">
      <c r="H1147" t="s">
        <v>2741</v>
      </c>
      <c r="I1147" t="s">
        <v>2742</v>
      </c>
      <c r="N1147" s="180" t="s">
        <v>457</v>
      </c>
      <c r="O1147" s="180" t="s">
        <v>458</v>
      </c>
      <c r="P1147" s="180"/>
      <c r="Q1147" s="180"/>
      <c r="R1147" s="180"/>
    </row>
    <row r="1148" spans="8:18" x14ac:dyDescent="0.25">
      <c r="H1148" t="s">
        <v>2741</v>
      </c>
      <c r="I1148" t="s">
        <v>2742</v>
      </c>
      <c r="N1148" s="180" t="s">
        <v>457</v>
      </c>
      <c r="O1148" s="180" t="s">
        <v>458</v>
      </c>
      <c r="P1148" s="180"/>
      <c r="Q1148" s="180"/>
      <c r="R1148" s="180"/>
    </row>
    <row r="1149" spans="8:18" x14ac:dyDescent="0.25">
      <c r="H1149" t="s">
        <v>2741</v>
      </c>
      <c r="I1149" t="s">
        <v>2742</v>
      </c>
      <c r="N1149" s="180" t="s">
        <v>457</v>
      </c>
      <c r="O1149" s="180" t="s">
        <v>458</v>
      </c>
      <c r="P1149" s="180"/>
      <c r="Q1149" s="180"/>
      <c r="R1149" s="180"/>
    </row>
    <row r="1150" spans="8:18" x14ac:dyDescent="0.25">
      <c r="H1150" t="s">
        <v>2741</v>
      </c>
      <c r="I1150" t="s">
        <v>2742</v>
      </c>
      <c r="N1150" s="180" t="s">
        <v>457</v>
      </c>
      <c r="O1150" s="180" t="s">
        <v>350</v>
      </c>
      <c r="P1150" s="180"/>
      <c r="Q1150" s="180"/>
      <c r="R1150" s="180"/>
    </row>
    <row r="1151" spans="8:18" x14ac:dyDescent="0.25">
      <c r="H1151" t="s">
        <v>2741</v>
      </c>
      <c r="I1151" t="s">
        <v>2742</v>
      </c>
      <c r="N1151" s="180" t="s">
        <v>457</v>
      </c>
      <c r="O1151" s="180" t="s">
        <v>350</v>
      </c>
      <c r="P1151" s="180"/>
      <c r="Q1151" s="180"/>
      <c r="R1151" s="180"/>
    </row>
    <row r="1152" spans="8:18" x14ac:dyDescent="0.25">
      <c r="H1152" t="s">
        <v>2741</v>
      </c>
      <c r="I1152" t="s">
        <v>2742</v>
      </c>
      <c r="N1152" s="180" t="s">
        <v>457</v>
      </c>
      <c r="O1152" s="180" t="s">
        <v>348</v>
      </c>
      <c r="P1152" s="180"/>
      <c r="Q1152" s="180"/>
      <c r="R1152" s="180"/>
    </row>
    <row r="1153" spans="8:18" x14ac:dyDescent="0.25">
      <c r="H1153" t="s">
        <v>2741</v>
      </c>
      <c r="I1153" t="s">
        <v>2742</v>
      </c>
      <c r="N1153" s="180" t="s">
        <v>457</v>
      </c>
      <c r="O1153" s="180" t="s">
        <v>458</v>
      </c>
      <c r="P1153" s="180"/>
      <c r="Q1153" s="180"/>
      <c r="R1153" s="180"/>
    </row>
    <row r="1154" spans="8:18" x14ac:dyDescent="0.25">
      <c r="H1154" t="s">
        <v>2741</v>
      </c>
      <c r="I1154" t="s">
        <v>2742</v>
      </c>
      <c r="N1154" s="180" t="s">
        <v>457</v>
      </c>
      <c r="O1154" s="180" t="s">
        <v>348</v>
      </c>
      <c r="P1154" s="180"/>
      <c r="Q1154" s="180"/>
      <c r="R1154" s="180"/>
    </row>
    <row r="1155" spans="8:18" x14ac:dyDescent="0.25">
      <c r="H1155" t="s">
        <v>2741</v>
      </c>
      <c r="I1155" t="s">
        <v>2742</v>
      </c>
      <c r="N1155" s="180" t="s">
        <v>457</v>
      </c>
      <c r="O1155" s="180" t="s">
        <v>458</v>
      </c>
      <c r="P1155" s="180"/>
      <c r="Q1155" s="180"/>
      <c r="R1155" s="180"/>
    </row>
    <row r="1156" spans="8:18" x14ac:dyDescent="0.25">
      <c r="H1156" t="s">
        <v>2741</v>
      </c>
      <c r="I1156" t="s">
        <v>2742</v>
      </c>
      <c r="N1156" s="180" t="s">
        <v>457</v>
      </c>
      <c r="O1156" s="180" t="s">
        <v>350</v>
      </c>
      <c r="P1156" s="180"/>
      <c r="Q1156" s="180"/>
      <c r="R1156" s="180"/>
    </row>
    <row r="1157" spans="8:18" x14ac:dyDescent="0.25">
      <c r="H1157" t="s">
        <v>2741</v>
      </c>
      <c r="I1157" t="s">
        <v>2742</v>
      </c>
      <c r="N1157" s="180" t="s">
        <v>457</v>
      </c>
      <c r="O1157" s="180" t="s">
        <v>458</v>
      </c>
      <c r="P1157" s="180"/>
      <c r="Q1157" s="180"/>
      <c r="R1157" s="180"/>
    </row>
    <row r="1158" spans="8:18" x14ac:dyDescent="0.25">
      <c r="H1158" t="s">
        <v>2741</v>
      </c>
      <c r="I1158" t="s">
        <v>2742</v>
      </c>
      <c r="N1158" s="180" t="s">
        <v>457</v>
      </c>
      <c r="O1158" s="180" t="s">
        <v>458</v>
      </c>
      <c r="P1158" s="180"/>
      <c r="Q1158" s="180"/>
      <c r="R1158" s="180"/>
    </row>
    <row r="1159" spans="8:18" x14ac:dyDescent="0.25">
      <c r="H1159" t="s">
        <v>2741</v>
      </c>
      <c r="I1159" t="s">
        <v>2742</v>
      </c>
      <c r="N1159" s="180" t="s">
        <v>457</v>
      </c>
      <c r="O1159" s="180" t="s">
        <v>350</v>
      </c>
      <c r="P1159" s="180"/>
      <c r="Q1159" s="180"/>
      <c r="R1159" s="180"/>
    </row>
    <row r="1160" spans="8:18" x14ac:dyDescent="0.25">
      <c r="H1160" t="s">
        <v>2741</v>
      </c>
      <c r="I1160" t="s">
        <v>2742</v>
      </c>
      <c r="N1160" s="180" t="s">
        <v>457</v>
      </c>
      <c r="O1160" s="180" t="s">
        <v>458</v>
      </c>
      <c r="P1160" s="180"/>
      <c r="Q1160" s="180"/>
      <c r="R1160" s="180"/>
    </row>
    <row r="1161" spans="8:18" x14ac:dyDescent="0.25">
      <c r="H1161" t="s">
        <v>2741</v>
      </c>
      <c r="I1161" t="s">
        <v>2742</v>
      </c>
      <c r="N1161" s="180" t="s">
        <v>457</v>
      </c>
      <c r="O1161" s="180" t="s">
        <v>458</v>
      </c>
      <c r="P1161" s="180"/>
      <c r="Q1161" s="180"/>
      <c r="R1161" s="180"/>
    </row>
    <row r="1162" spans="8:18" x14ac:dyDescent="0.25">
      <c r="H1162" t="s">
        <v>2741</v>
      </c>
      <c r="I1162" t="s">
        <v>2742</v>
      </c>
      <c r="N1162" s="180" t="s">
        <v>457</v>
      </c>
      <c r="O1162" s="180" t="s">
        <v>348</v>
      </c>
      <c r="P1162" s="180"/>
      <c r="Q1162" s="180"/>
      <c r="R1162" s="180"/>
    </row>
    <row r="1163" spans="8:18" x14ac:dyDescent="0.25">
      <c r="H1163" t="s">
        <v>2741</v>
      </c>
      <c r="I1163" t="s">
        <v>2742</v>
      </c>
      <c r="N1163" s="180" t="s">
        <v>457</v>
      </c>
      <c r="O1163" s="180" t="s">
        <v>352</v>
      </c>
      <c r="P1163" s="180"/>
      <c r="Q1163" s="180"/>
      <c r="R1163" s="180"/>
    </row>
    <row r="1164" spans="8:18" x14ac:dyDescent="0.25">
      <c r="H1164" t="s">
        <v>2741</v>
      </c>
      <c r="I1164" t="s">
        <v>2742</v>
      </c>
      <c r="N1164" s="180" t="s">
        <v>457</v>
      </c>
      <c r="O1164" s="180" t="s">
        <v>348</v>
      </c>
      <c r="P1164" s="180"/>
      <c r="Q1164" s="180"/>
      <c r="R1164" s="180"/>
    </row>
    <row r="1165" spans="8:18" x14ac:dyDescent="0.25">
      <c r="H1165" t="s">
        <v>2741</v>
      </c>
      <c r="I1165" t="s">
        <v>2742</v>
      </c>
      <c r="N1165" s="180" t="s">
        <v>457</v>
      </c>
      <c r="O1165" s="180" t="s">
        <v>458</v>
      </c>
      <c r="P1165" s="180"/>
      <c r="Q1165" s="180"/>
      <c r="R1165" s="180"/>
    </row>
    <row r="1166" spans="8:18" x14ac:dyDescent="0.25">
      <c r="H1166" t="s">
        <v>2741</v>
      </c>
      <c r="I1166" t="s">
        <v>2742</v>
      </c>
      <c r="N1166" s="180" t="s">
        <v>457</v>
      </c>
      <c r="O1166" s="180" t="s">
        <v>350</v>
      </c>
      <c r="P1166" s="180"/>
      <c r="Q1166" s="180"/>
      <c r="R1166" s="180"/>
    </row>
    <row r="1167" spans="8:18" x14ac:dyDescent="0.25">
      <c r="H1167" t="s">
        <v>2741</v>
      </c>
      <c r="I1167" t="s">
        <v>2742</v>
      </c>
      <c r="N1167" s="180" t="s">
        <v>457</v>
      </c>
      <c r="O1167" s="180" t="s">
        <v>352</v>
      </c>
      <c r="P1167" s="180"/>
      <c r="Q1167" s="180"/>
      <c r="R1167" s="180"/>
    </row>
    <row r="1168" spans="8:18" x14ac:dyDescent="0.25">
      <c r="H1168" t="s">
        <v>2741</v>
      </c>
      <c r="I1168" t="s">
        <v>2742</v>
      </c>
      <c r="N1168" s="180" t="s">
        <v>457</v>
      </c>
      <c r="O1168" s="180" t="s">
        <v>458</v>
      </c>
      <c r="P1168" s="180"/>
      <c r="Q1168" s="180"/>
      <c r="R1168" s="180"/>
    </row>
    <row r="1169" spans="8:18" x14ac:dyDescent="0.25">
      <c r="H1169" t="s">
        <v>2741</v>
      </c>
      <c r="I1169" t="s">
        <v>2742</v>
      </c>
      <c r="N1169" s="180" t="s">
        <v>457</v>
      </c>
      <c r="O1169" s="180" t="s">
        <v>350</v>
      </c>
      <c r="P1169" s="180"/>
      <c r="Q1169" s="180"/>
      <c r="R1169" s="180"/>
    </row>
    <row r="1170" spans="8:18" x14ac:dyDescent="0.25">
      <c r="H1170" t="s">
        <v>2741</v>
      </c>
      <c r="I1170" t="s">
        <v>2742</v>
      </c>
      <c r="N1170" s="180" t="s">
        <v>457</v>
      </c>
      <c r="O1170" s="180" t="s">
        <v>458</v>
      </c>
      <c r="P1170" s="180"/>
      <c r="Q1170" s="180"/>
      <c r="R1170" s="180"/>
    </row>
    <row r="1171" spans="8:18" x14ac:dyDescent="0.25">
      <c r="H1171" t="s">
        <v>2741</v>
      </c>
      <c r="I1171" t="s">
        <v>2742</v>
      </c>
      <c r="N1171" s="180" t="s">
        <v>457</v>
      </c>
      <c r="O1171" s="180" t="s">
        <v>348</v>
      </c>
      <c r="P1171" s="180"/>
      <c r="Q1171" s="180"/>
      <c r="R1171" s="180"/>
    </row>
    <row r="1172" spans="8:18" x14ac:dyDescent="0.25">
      <c r="H1172" t="s">
        <v>2741</v>
      </c>
      <c r="I1172" t="s">
        <v>2742</v>
      </c>
      <c r="N1172" s="180" t="s">
        <v>457</v>
      </c>
      <c r="O1172" s="180" t="s">
        <v>458</v>
      </c>
      <c r="P1172" s="180"/>
      <c r="Q1172" s="180"/>
      <c r="R1172" s="180"/>
    </row>
    <row r="1173" spans="8:18" x14ac:dyDescent="0.25">
      <c r="H1173" t="s">
        <v>2741</v>
      </c>
      <c r="I1173" t="s">
        <v>2742</v>
      </c>
      <c r="N1173" s="180" t="s">
        <v>457</v>
      </c>
      <c r="O1173" s="180" t="s">
        <v>458</v>
      </c>
      <c r="P1173" s="180"/>
      <c r="Q1173" s="180"/>
      <c r="R1173" s="180"/>
    </row>
    <row r="1174" spans="8:18" x14ac:dyDescent="0.25">
      <c r="H1174" t="s">
        <v>2741</v>
      </c>
      <c r="I1174" t="s">
        <v>2742</v>
      </c>
      <c r="N1174" s="180" t="s">
        <v>457</v>
      </c>
      <c r="O1174" s="180" t="s">
        <v>350</v>
      </c>
      <c r="P1174" s="180"/>
      <c r="Q1174" s="180"/>
      <c r="R1174" s="180"/>
    </row>
    <row r="1175" spans="8:18" x14ac:dyDescent="0.25">
      <c r="H1175" t="s">
        <v>2741</v>
      </c>
      <c r="I1175" t="s">
        <v>2742</v>
      </c>
      <c r="N1175" s="180" t="s">
        <v>457</v>
      </c>
      <c r="O1175" s="180" t="s">
        <v>458</v>
      </c>
      <c r="P1175" s="180"/>
      <c r="Q1175" s="180"/>
      <c r="R1175" s="180"/>
    </row>
    <row r="1176" spans="8:18" x14ac:dyDescent="0.25">
      <c r="H1176" t="s">
        <v>2741</v>
      </c>
      <c r="I1176" t="s">
        <v>2742</v>
      </c>
      <c r="N1176" s="180" t="s">
        <v>457</v>
      </c>
      <c r="O1176" s="180" t="s">
        <v>348</v>
      </c>
      <c r="P1176" s="180"/>
      <c r="Q1176" s="180"/>
      <c r="R1176" s="180"/>
    </row>
    <row r="1177" spans="8:18" x14ac:dyDescent="0.25">
      <c r="H1177" t="s">
        <v>2741</v>
      </c>
      <c r="I1177" t="s">
        <v>2742</v>
      </c>
      <c r="N1177" s="180" t="s">
        <v>457</v>
      </c>
      <c r="O1177" s="180" t="s">
        <v>458</v>
      </c>
      <c r="P1177" s="180"/>
      <c r="Q1177" s="180"/>
      <c r="R1177" s="180"/>
    </row>
    <row r="1178" spans="8:18" x14ac:dyDescent="0.25">
      <c r="H1178" t="s">
        <v>2741</v>
      </c>
      <c r="I1178" t="s">
        <v>2742</v>
      </c>
      <c r="N1178" s="180" t="s">
        <v>457</v>
      </c>
      <c r="O1178" s="180" t="s">
        <v>458</v>
      </c>
      <c r="P1178" s="180"/>
      <c r="Q1178" s="180"/>
      <c r="R1178" s="180"/>
    </row>
    <row r="1179" spans="8:18" x14ac:dyDescent="0.25">
      <c r="H1179" t="s">
        <v>2741</v>
      </c>
      <c r="I1179" t="s">
        <v>2742</v>
      </c>
      <c r="N1179" s="180" t="s">
        <v>457</v>
      </c>
      <c r="O1179" s="180" t="s">
        <v>352</v>
      </c>
      <c r="P1179" s="180"/>
      <c r="Q1179" s="180"/>
      <c r="R1179" s="180"/>
    </row>
    <row r="1180" spans="8:18" x14ac:dyDescent="0.25">
      <c r="H1180" t="s">
        <v>2741</v>
      </c>
      <c r="I1180" t="s">
        <v>2742</v>
      </c>
      <c r="N1180" s="180" t="s">
        <v>457</v>
      </c>
      <c r="O1180" s="180" t="s">
        <v>458</v>
      </c>
      <c r="P1180" s="180"/>
      <c r="Q1180" s="180"/>
      <c r="R1180" s="180"/>
    </row>
    <row r="1181" spans="8:18" x14ac:dyDescent="0.25">
      <c r="H1181" t="s">
        <v>2741</v>
      </c>
      <c r="I1181" t="s">
        <v>2742</v>
      </c>
      <c r="N1181" s="180" t="s">
        <v>457</v>
      </c>
      <c r="O1181" s="180" t="s">
        <v>348</v>
      </c>
      <c r="P1181" s="180"/>
      <c r="Q1181" s="180"/>
      <c r="R1181" s="180"/>
    </row>
    <row r="1182" spans="8:18" x14ac:dyDescent="0.25">
      <c r="H1182" t="s">
        <v>2741</v>
      </c>
      <c r="I1182" t="s">
        <v>2742</v>
      </c>
      <c r="N1182" s="180" t="s">
        <v>457</v>
      </c>
      <c r="O1182" s="180" t="s">
        <v>458</v>
      </c>
      <c r="P1182" s="180"/>
      <c r="Q1182" s="180"/>
      <c r="R1182" s="180"/>
    </row>
    <row r="1183" spans="8:18" x14ac:dyDescent="0.25">
      <c r="H1183" t="s">
        <v>2741</v>
      </c>
      <c r="I1183" t="s">
        <v>2742</v>
      </c>
      <c r="N1183" s="180" t="s">
        <v>457</v>
      </c>
      <c r="O1183" s="180" t="s">
        <v>458</v>
      </c>
      <c r="P1183" s="180"/>
      <c r="Q1183" s="180"/>
      <c r="R1183" s="180"/>
    </row>
    <row r="1184" spans="8:18" x14ac:dyDescent="0.25">
      <c r="H1184" t="s">
        <v>2741</v>
      </c>
      <c r="I1184" t="s">
        <v>2742</v>
      </c>
      <c r="N1184" s="180" t="s">
        <v>457</v>
      </c>
      <c r="O1184" s="180" t="s">
        <v>458</v>
      </c>
      <c r="P1184" s="180"/>
      <c r="Q1184" s="180"/>
      <c r="R1184" s="180"/>
    </row>
    <row r="1185" spans="8:18" x14ac:dyDescent="0.25">
      <c r="H1185" t="s">
        <v>2741</v>
      </c>
      <c r="I1185" t="s">
        <v>2742</v>
      </c>
      <c r="N1185" s="180" t="s">
        <v>457</v>
      </c>
      <c r="O1185" s="180" t="s">
        <v>458</v>
      </c>
      <c r="P1185" s="180"/>
      <c r="Q1185" s="180"/>
      <c r="R1185" s="180"/>
    </row>
    <row r="1186" spans="8:18" x14ac:dyDescent="0.25">
      <c r="H1186" t="s">
        <v>2741</v>
      </c>
      <c r="I1186" t="s">
        <v>2742</v>
      </c>
      <c r="N1186" s="180" t="s">
        <v>457</v>
      </c>
      <c r="O1186" s="180" t="s">
        <v>458</v>
      </c>
      <c r="P1186" s="180"/>
      <c r="Q1186" s="180"/>
      <c r="R1186" s="180"/>
    </row>
    <row r="1187" spans="8:18" x14ac:dyDescent="0.25">
      <c r="H1187" t="s">
        <v>2741</v>
      </c>
      <c r="I1187" t="s">
        <v>2742</v>
      </c>
      <c r="N1187" s="180" t="s">
        <v>457</v>
      </c>
      <c r="O1187" s="180" t="s">
        <v>458</v>
      </c>
      <c r="P1187" s="180"/>
      <c r="Q1187" s="180"/>
      <c r="R1187" s="180"/>
    </row>
    <row r="1188" spans="8:18" x14ac:dyDescent="0.25">
      <c r="H1188" t="s">
        <v>2741</v>
      </c>
      <c r="I1188" t="s">
        <v>2742</v>
      </c>
      <c r="N1188" s="180" t="s">
        <v>457</v>
      </c>
      <c r="O1188" s="180" t="s">
        <v>458</v>
      </c>
      <c r="P1188" s="180"/>
      <c r="Q1188" s="180"/>
      <c r="R1188" s="180"/>
    </row>
    <row r="1189" spans="8:18" x14ac:dyDescent="0.25">
      <c r="H1189" t="s">
        <v>2741</v>
      </c>
      <c r="I1189" t="s">
        <v>2742</v>
      </c>
      <c r="N1189" s="180" t="s">
        <v>457</v>
      </c>
      <c r="O1189" s="180" t="s">
        <v>352</v>
      </c>
      <c r="P1189" s="180"/>
      <c r="Q1189" s="180"/>
      <c r="R1189" s="180"/>
    </row>
    <row r="1190" spans="8:18" x14ac:dyDescent="0.25">
      <c r="H1190" t="s">
        <v>2741</v>
      </c>
      <c r="I1190" t="s">
        <v>2742</v>
      </c>
      <c r="N1190" s="180" t="s">
        <v>457</v>
      </c>
      <c r="O1190" s="180" t="s">
        <v>458</v>
      </c>
      <c r="P1190" s="180"/>
      <c r="Q1190" s="180"/>
      <c r="R1190" s="180"/>
    </row>
    <row r="1191" spans="8:18" x14ac:dyDescent="0.25">
      <c r="H1191" t="s">
        <v>2741</v>
      </c>
      <c r="I1191" t="s">
        <v>2742</v>
      </c>
      <c r="N1191" s="180" t="s">
        <v>457</v>
      </c>
      <c r="O1191" s="180" t="s">
        <v>458</v>
      </c>
      <c r="P1191" s="180"/>
      <c r="Q1191" s="180"/>
      <c r="R1191" s="180"/>
    </row>
    <row r="1192" spans="8:18" x14ac:dyDescent="0.25">
      <c r="H1192" t="s">
        <v>2741</v>
      </c>
      <c r="I1192" t="s">
        <v>2742</v>
      </c>
      <c r="N1192" s="180" t="s">
        <v>457</v>
      </c>
      <c r="O1192" s="180" t="s">
        <v>348</v>
      </c>
      <c r="P1192" s="180"/>
      <c r="Q1192" s="180"/>
      <c r="R1192" s="180"/>
    </row>
    <row r="1193" spans="8:18" x14ac:dyDescent="0.25">
      <c r="H1193" t="s">
        <v>2741</v>
      </c>
      <c r="I1193" t="s">
        <v>2742</v>
      </c>
      <c r="N1193" s="180" t="s">
        <v>457</v>
      </c>
      <c r="O1193" s="180" t="s">
        <v>350</v>
      </c>
      <c r="P1193" s="180"/>
      <c r="Q1193" s="180"/>
      <c r="R1193" s="180"/>
    </row>
    <row r="1194" spans="8:18" x14ac:dyDescent="0.25">
      <c r="H1194" t="s">
        <v>2741</v>
      </c>
      <c r="I1194" t="s">
        <v>2742</v>
      </c>
      <c r="N1194" s="180" t="s">
        <v>457</v>
      </c>
      <c r="O1194" s="180" t="s">
        <v>458</v>
      </c>
      <c r="P1194" s="180"/>
      <c r="Q1194" s="180"/>
      <c r="R1194" s="180"/>
    </row>
    <row r="1195" spans="8:18" x14ac:dyDescent="0.25">
      <c r="H1195" t="s">
        <v>2741</v>
      </c>
      <c r="I1195" t="s">
        <v>2742</v>
      </c>
      <c r="N1195" s="180" t="s">
        <v>457</v>
      </c>
      <c r="O1195" s="180" t="s">
        <v>458</v>
      </c>
      <c r="P1195" s="180"/>
      <c r="Q1195" s="180"/>
      <c r="R1195" s="180"/>
    </row>
    <row r="1196" spans="8:18" x14ac:dyDescent="0.25">
      <c r="H1196" t="s">
        <v>2741</v>
      </c>
      <c r="I1196" t="s">
        <v>2742</v>
      </c>
      <c r="N1196" s="180" t="s">
        <v>457</v>
      </c>
      <c r="O1196" s="180" t="s">
        <v>348</v>
      </c>
      <c r="P1196" s="180"/>
      <c r="Q1196" s="180"/>
      <c r="R1196" s="180"/>
    </row>
    <row r="1197" spans="8:18" x14ac:dyDescent="0.25">
      <c r="H1197" t="s">
        <v>2741</v>
      </c>
      <c r="I1197" t="s">
        <v>2742</v>
      </c>
      <c r="N1197" s="180" t="s">
        <v>457</v>
      </c>
      <c r="O1197" s="180" t="s">
        <v>458</v>
      </c>
      <c r="P1197" s="180"/>
      <c r="Q1197" s="180"/>
      <c r="R1197" s="180"/>
    </row>
    <row r="1198" spans="8:18" x14ac:dyDescent="0.25">
      <c r="H1198" t="s">
        <v>2741</v>
      </c>
      <c r="I1198" t="s">
        <v>2742</v>
      </c>
      <c r="N1198" s="180" t="s">
        <v>457</v>
      </c>
      <c r="O1198" s="180" t="s">
        <v>458</v>
      </c>
      <c r="P1198" s="180"/>
      <c r="Q1198" s="180"/>
      <c r="R1198" s="180"/>
    </row>
    <row r="1199" spans="8:18" x14ac:dyDescent="0.25">
      <c r="H1199" t="s">
        <v>2741</v>
      </c>
      <c r="I1199" t="s">
        <v>2742</v>
      </c>
      <c r="N1199" s="180" t="s">
        <v>457</v>
      </c>
      <c r="O1199" s="180" t="s">
        <v>352</v>
      </c>
      <c r="P1199" s="180"/>
      <c r="Q1199" s="180"/>
      <c r="R1199" s="180"/>
    </row>
    <row r="1200" spans="8:18" x14ac:dyDescent="0.25">
      <c r="H1200" t="s">
        <v>2741</v>
      </c>
      <c r="I1200" t="s">
        <v>2742</v>
      </c>
      <c r="N1200" s="180" t="s">
        <v>457</v>
      </c>
      <c r="O1200" s="180" t="s">
        <v>348</v>
      </c>
      <c r="P1200" s="180"/>
      <c r="Q1200" s="180"/>
      <c r="R1200" s="180"/>
    </row>
    <row r="1201" spans="8:18" x14ac:dyDescent="0.25">
      <c r="H1201" t="s">
        <v>2741</v>
      </c>
      <c r="I1201" t="s">
        <v>2742</v>
      </c>
      <c r="N1201" s="180" t="s">
        <v>457</v>
      </c>
      <c r="O1201" s="180" t="s">
        <v>458</v>
      </c>
      <c r="P1201" s="180"/>
      <c r="Q1201" s="180"/>
      <c r="R1201" s="180"/>
    </row>
    <row r="1202" spans="8:18" x14ac:dyDescent="0.25">
      <c r="H1202" t="s">
        <v>2741</v>
      </c>
      <c r="I1202" t="s">
        <v>2742</v>
      </c>
      <c r="N1202" s="180" t="s">
        <v>457</v>
      </c>
      <c r="O1202" s="180" t="s">
        <v>458</v>
      </c>
      <c r="P1202" s="180"/>
      <c r="Q1202" s="180"/>
      <c r="R1202" s="180"/>
    </row>
    <row r="1203" spans="8:18" x14ac:dyDescent="0.25">
      <c r="H1203" t="s">
        <v>2741</v>
      </c>
      <c r="I1203" t="s">
        <v>2742</v>
      </c>
      <c r="N1203" s="180" t="s">
        <v>457</v>
      </c>
      <c r="O1203" s="180" t="s">
        <v>458</v>
      </c>
      <c r="P1203" s="180"/>
      <c r="Q1203" s="180"/>
      <c r="R1203" s="180"/>
    </row>
    <row r="1204" spans="8:18" x14ac:dyDescent="0.25">
      <c r="H1204" t="s">
        <v>2741</v>
      </c>
      <c r="I1204" t="s">
        <v>2742</v>
      </c>
      <c r="N1204" s="180" t="s">
        <v>457</v>
      </c>
      <c r="O1204" s="180" t="s">
        <v>458</v>
      </c>
      <c r="P1204" s="180"/>
      <c r="Q1204" s="180"/>
      <c r="R1204" s="180"/>
    </row>
    <row r="1205" spans="8:18" x14ac:dyDescent="0.25">
      <c r="H1205" t="s">
        <v>2741</v>
      </c>
      <c r="I1205" t="s">
        <v>2742</v>
      </c>
      <c r="N1205" s="180" t="s">
        <v>457</v>
      </c>
      <c r="O1205" s="180" t="s">
        <v>458</v>
      </c>
      <c r="P1205" s="180"/>
      <c r="Q1205" s="180"/>
      <c r="R1205" s="180"/>
    </row>
    <row r="1206" spans="8:18" x14ac:dyDescent="0.25">
      <c r="H1206" t="s">
        <v>2741</v>
      </c>
      <c r="I1206" t="s">
        <v>2742</v>
      </c>
      <c r="N1206" s="180" t="s">
        <v>457</v>
      </c>
      <c r="O1206" s="180" t="s">
        <v>458</v>
      </c>
      <c r="P1206" s="180"/>
      <c r="Q1206" s="180"/>
      <c r="R1206" s="180"/>
    </row>
    <row r="1207" spans="8:18" x14ac:dyDescent="0.25">
      <c r="H1207" t="s">
        <v>2741</v>
      </c>
      <c r="I1207" t="s">
        <v>2742</v>
      </c>
      <c r="N1207" s="180" t="s">
        <v>457</v>
      </c>
      <c r="O1207" s="180" t="s">
        <v>352</v>
      </c>
      <c r="P1207" s="180"/>
      <c r="Q1207" s="180"/>
      <c r="R1207" s="180"/>
    </row>
    <row r="1208" spans="8:18" x14ac:dyDescent="0.25">
      <c r="H1208" t="s">
        <v>2741</v>
      </c>
      <c r="I1208" t="s">
        <v>2742</v>
      </c>
      <c r="N1208" s="180" t="s">
        <v>457</v>
      </c>
      <c r="O1208" s="180" t="s">
        <v>458</v>
      </c>
      <c r="P1208" s="180"/>
      <c r="Q1208" s="180"/>
      <c r="R1208" s="180"/>
    </row>
    <row r="1209" spans="8:18" x14ac:dyDescent="0.25">
      <c r="H1209" t="s">
        <v>2741</v>
      </c>
      <c r="I1209" t="s">
        <v>2742</v>
      </c>
      <c r="N1209" s="180" t="s">
        <v>457</v>
      </c>
      <c r="O1209" s="180" t="s">
        <v>352</v>
      </c>
      <c r="P1209" s="180"/>
      <c r="Q1209" s="180"/>
      <c r="R1209" s="180"/>
    </row>
    <row r="1210" spans="8:18" x14ac:dyDescent="0.25">
      <c r="H1210" t="s">
        <v>2741</v>
      </c>
      <c r="I1210" t="s">
        <v>2742</v>
      </c>
      <c r="N1210" s="180" t="s">
        <v>457</v>
      </c>
      <c r="O1210" s="180" t="s">
        <v>458</v>
      </c>
      <c r="P1210" s="180"/>
      <c r="Q1210" s="180"/>
      <c r="R1210" s="180"/>
    </row>
    <row r="1211" spans="8:18" x14ac:dyDescent="0.25">
      <c r="H1211" t="s">
        <v>2741</v>
      </c>
      <c r="I1211" t="s">
        <v>2742</v>
      </c>
      <c r="N1211" s="180" t="s">
        <v>8052</v>
      </c>
      <c r="O1211" s="180" t="s">
        <v>458</v>
      </c>
      <c r="P1211" s="180"/>
      <c r="Q1211" s="180"/>
      <c r="R1211" s="180"/>
    </row>
    <row r="1212" spans="8:18" x14ac:dyDescent="0.25">
      <c r="H1212" t="s">
        <v>2741</v>
      </c>
      <c r="I1212" t="s">
        <v>2742</v>
      </c>
      <c r="N1212" s="180" t="s">
        <v>6939</v>
      </c>
      <c r="O1212" s="180" t="s">
        <v>348</v>
      </c>
      <c r="P1212" s="180"/>
      <c r="Q1212" s="180"/>
      <c r="R1212" s="180"/>
    </row>
    <row r="1213" spans="8:18" x14ac:dyDescent="0.25">
      <c r="H1213" t="s">
        <v>2741</v>
      </c>
      <c r="I1213" t="s">
        <v>2742</v>
      </c>
      <c r="N1213" s="180" t="s">
        <v>6939</v>
      </c>
      <c r="O1213" s="180" t="s">
        <v>350</v>
      </c>
      <c r="P1213" s="180"/>
      <c r="Q1213" s="180"/>
      <c r="R1213" s="180"/>
    </row>
    <row r="1214" spans="8:18" x14ac:dyDescent="0.25">
      <c r="H1214" t="s">
        <v>2741</v>
      </c>
      <c r="I1214" t="s">
        <v>2742</v>
      </c>
      <c r="N1214" s="180" t="s">
        <v>7375</v>
      </c>
      <c r="O1214" s="180" t="s">
        <v>458</v>
      </c>
      <c r="P1214" s="180"/>
      <c r="Q1214" s="180"/>
      <c r="R1214" s="180"/>
    </row>
    <row r="1215" spans="8:18" x14ac:dyDescent="0.25">
      <c r="H1215" t="s">
        <v>2741</v>
      </c>
      <c r="I1215" t="s">
        <v>2742</v>
      </c>
      <c r="N1215" s="180" t="s">
        <v>7375</v>
      </c>
      <c r="O1215" s="180" t="s">
        <v>348</v>
      </c>
      <c r="P1215" s="180"/>
      <c r="Q1215" s="180"/>
      <c r="R1215" s="180"/>
    </row>
    <row r="1216" spans="8:18" x14ac:dyDescent="0.25">
      <c r="H1216" t="s">
        <v>2741</v>
      </c>
      <c r="I1216" t="s">
        <v>2742</v>
      </c>
      <c r="N1216" s="180" t="s">
        <v>6875</v>
      </c>
      <c r="O1216" s="180" t="s">
        <v>458</v>
      </c>
      <c r="P1216" s="180"/>
      <c r="Q1216" s="180"/>
      <c r="R1216" s="180"/>
    </row>
    <row r="1217" spans="8:18" x14ac:dyDescent="0.25">
      <c r="H1217" t="s">
        <v>2741</v>
      </c>
      <c r="I1217" t="s">
        <v>2742</v>
      </c>
      <c r="N1217" s="180" t="s">
        <v>6875</v>
      </c>
      <c r="O1217" s="180" t="s">
        <v>348</v>
      </c>
      <c r="P1217" s="180"/>
      <c r="Q1217" s="180"/>
      <c r="R1217" s="180"/>
    </row>
    <row r="1218" spans="8:18" x14ac:dyDescent="0.25">
      <c r="H1218" t="s">
        <v>2741</v>
      </c>
      <c r="I1218" t="s">
        <v>2742</v>
      </c>
      <c r="N1218" s="180" t="s">
        <v>6875</v>
      </c>
      <c r="O1218" s="180" t="s">
        <v>458</v>
      </c>
      <c r="P1218" s="180"/>
      <c r="Q1218" s="180"/>
      <c r="R1218" s="180"/>
    </row>
    <row r="1219" spans="8:18" x14ac:dyDescent="0.25">
      <c r="H1219" t="s">
        <v>2741</v>
      </c>
      <c r="I1219" t="s">
        <v>2742</v>
      </c>
      <c r="N1219" s="180" t="s">
        <v>6875</v>
      </c>
      <c r="O1219" s="180" t="s">
        <v>350</v>
      </c>
      <c r="P1219" s="180"/>
      <c r="Q1219" s="180"/>
      <c r="R1219" s="180"/>
    </row>
    <row r="1220" spans="8:18" x14ac:dyDescent="0.25">
      <c r="H1220" t="s">
        <v>2741</v>
      </c>
      <c r="I1220" t="s">
        <v>2742</v>
      </c>
      <c r="N1220" s="180" t="s">
        <v>7134</v>
      </c>
      <c r="O1220" s="180" t="s">
        <v>458</v>
      </c>
      <c r="P1220" s="180"/>
      <c r="Q1220" s="180"/>
      <c r="R1220" s="180"/>
    </row>
    <row r="1221" spans="8:18" x14ac:dyDescent="0.25">
      <c r="H1221" t="s">
        <v>2741</v>
      </c>
      <c r="I1221" t="s">
        <v>2742</v>
      </c>
      <c r="N1221" s="180" t="s">
        <v>7134</v>
      </c>
      <c r="O1221" s="180" t="s">
        <v>458</v>
      </c>
      <c r="P1221" s="180"/>
      <c r="Q1221" s="180"/>
      <c r="R1221" s="180"/>
    </row>
    <row r="1222" spans="8:18" x14ac:dyDescent="0.25">
      <c r="H1222" t="s">
        <v>2741</v>
      </c>
      <c r="I1222" t="s">
        <v>2742</v>
      </c>
      <c r="N1222" s="180" t="s">
        <v>7134</v>
      </c>
      <c r="O1222" s="180" t="s">
        <v>458</v>
      </c>
      <c r="P1222" s="180"/>
      <c r="Q1222" s="180"/>
      <c r="R1222" s="180"/>
    </row>
    <row r="1223" spans="8:18" x14ac:dyDescent="0.25">
      <c r="H1223" t="s">
        <v>2741</v>
      </c>
      <c r="I1223" t="s">
        <v>2742</v>
      </c>
      <c r="N1223" s="180" t="s">
        <v>7134</v>
      </c>
      <c r="O1223" s="180" t="s">
        <v>458</v>
      </c>
      <c r="P1223" s="180"/>
      <c r="Q1223" s="180"/>
      <c r="R1223" s="180"/>
    </row>
    <row r="1224" spans="8:18" x14ac:dyDescent="0.25">
      <c r="H1224" t="s">
        <v>2741</v>
      </c>
      <c r="I1224" t="s">
        <v>2742</v>
      </c>
      <c r="N1224" s="180" t="s">
        <v>7308</v>
      </c>
      <c r="O1224" s="180" t="s">
        <v>348</v>
      </c>
      <c r="P1224" s="180"/>
      <c r="Q1224" s="180"/>
      <c r="R1224" s="180"/>
    </row>
    <row r="1225" spans="8:18" x14ac:dyDescent="0.25">
      <c r="H1225" t="s">
        <v>2741</v>
      </c>
      <c r="I1225" t="s">
        <v>2742</v>
      </c>
      <c r="N1225" s="180" t="s">
        <v>7308</v>
      </c>
      <c r="O1225" s="180" t="s">
        <v>348</v>
      </c>
      <c r="P1225" s="180"/>
      <c r="Q1225" s="180"/>
      <c r="R1225" s="180"/>
    </row>
    <row r="1226" spans="8:18" x14ac:dyDescent="0.25">
      <c r="H1226" t="s">
        <v>2741</v>
      </c>
      <c r="I1226" t="s">
        <v>2742</v>
      </c>
      <c r="N1226" s="180" t="s">
        <v>7308</v>
      </c>
      <c r="O1226" s="180" t="s">
        <v>352</v>
      </c>
      <c r="P1226" s="180"/>
      <c r="Q1226" s="180"/>
      <c r="R1226" s="180"/>
    </row>
    <row r="1227" spans="8:18" x14ac:dyDescent="0.25">
      <c r="H1227" t="s">
        <v>2741</v>
      </c>
      <c r="I1227" t="s">
        <v>2742</v>
      </c>
      <c r="N1227" s="180" t="s">
        <v>7492</v>
      </c>
      <c r="O1227" s="180" t="s">
        <v>350</v>
      </c>
      <c r="P1227" s="180"/>
      <c r="Q1227" s="180"/>
      <c r="R1227" s="180"/>
    </row>
    <row r="1228" spans="8:18" x14ac:dyDescent="0.25">
      <c r="H1228" t="s">
        <v>2741</v>
      </c>
      <c r="I1228" t="s">
        <v>2742</v>
      </c>
      <c r="N1228" s="180" t="s">
        <v>7492</v>
      </c>
      <c r="O1228" s="180" t="s">
        <v>348</v>
      </c>
      <c r="P1228" s="180"/>
      <c r="Q1228" s="180"/>
      <c r="R1228" s="180"/>
    </row>
    <row r="1229" spans="8:18" x14ac:dyDescent="0.25">
      <c r="H1229" t="s">
        <v>2741</v>
      </c>
      <c r="I1229" t="s">
        <v>2742</v>
      </c>
      <c r="N1229" s="180" t="s">
        <v>7492</v>
      </c>
      <c r="O1229" s="180" t="s">
        <v>350</v>
      </c>
      <c r="P1229" s="180"/>
      <c r="Q1229" s="180"/>
      <c r="R1229" s="180"/>
    </row>
    <row r="1230" spans="8:18" x14ac:dyDescent="0.25">
      <c r="H1230" t="s">
        <v>2741</v>
      </c>
      <c r="I1230" t="s">
        <v>2742</v>
      </c>
      <c r="N1230" s="180" t="s">
        <v>7492</v>
      </c>
      <c r="O1230" s="180" t="s">
        <v>458</v>
      </c>
      <c r="P1230" s="180"/>
      <c r="Q1230" s="180"/>
      <c r="R1230" s="180"/>
    </row>
    <row r="1231" spans="8:18" x14ac:dyDescent="0.25">
      <c r="H1231" t="s">
        <v>2741</v>
      </c>
      <c r="I1231" t="s">
        <v>2742</v>
      </c>
      <c r="N1231" s="180" t="s">
        <v>6904</v>
      </c>
      <c r="O1231" s="180" t="s">
        <v>458</v>
      </c>
      <c r="P1231" s="180"/>
      <c r="Q1231" s="180"/>
      <c r="R1231" s="180"/>
    </row>
    <row r="1232" spans="8:18" x14ac:dyDescent="0.25">
      <c r="H1232" t="s">
        <v>2741</v>
      </c>
      <c r="I1232" t="s">
        <v>2742</v>
      </c>
      <c r="N1232" s="180" t="s">
        <v>6904</v>
      </c>
      <c r="O1232" s="180" t="s">
        <v>348</v>
      </c>
      <c r="P1232" s="180"/>
      <c r="Q1232" s="180"/>
      <c r="R1232" s="180"/>
    </row>
    <row r="1233" spans="8:18" x14ac:dyDescent="0.25">
      <c r="H1233" t="s">
        <v>2741</v>
      </c>
      <c r="I1233" t="s">
        <v>2742</v>
      </c>
      <c r="N1233" s="180" t="s">
        <v>6904</v>
      </c>
      <c r="O1233" s="180" t="s">
        <v>458</v>
      </c>
      <c r="P1233" s="180"/>
      <c r="Q1233" s="180"/>
      <c r="R1233" s="180"/>
    </row>
    <row r="1234" spans="8:18" x14ac:dyDescent="0.25">
      <c r="H1234" t="s">
        <v>2741</v>
      </c>
      <c r="I1234" t="s">
        <v>2742</v>
      </c>
      <c r="N1234" s="180" t="s">
        <v>6883</v>
      </c>
      <c r="O1234" s="180" t="s">
        <v>458</v>
      </c>
      <c r="P1234" s="180"/>
      <c r="Q1234" s="180"/>
      <c r="R1234" s="180"/>
    </row>
    <row r="1235" spans="8:18" x14ac:dyDescent="0.25">
      <c r="H1235" t="s">
        <v>2741</v>
      </c>
      <c r="I1235" t="s">
        <v>2742</v>
      </c>
      <c r="N1235" s="180" t="s">
        <v>6883</v>
      </c>
      <c r="O1235" s="180" t="s">
        <v>458</v>
      </c>
      <c r="P1235" s="180"/>
      <c r="Q1235" s="180"/>
      <c r="R1235" s="180"/>
    </row>
    <row r="1236" spans="8:18" x14ac:dyDescent="0.25">
      <c r="H1236" t="s">
        <v>2741</v>
      </c>
      <c r="I1236" t="s">
        <v>2742</v>
      </c>
      <c r="N1236" s="180" t="s">
        <v>7915</v>
      </c>
      <c r="O1236" s="180" t="s">
        <v>458</v>
      </c>
      <c r="P1236" s="180"/>
      <c r="Q1236" s="180"/>
      <c r="R1236" s="180"/>
    </row>
    <row r="1237" spans="8:18" x14ac:dyDescent="0.25">
      <c r="H1237" t="s">
        <v>2741</v>
      </c>
      <c r="I1237" t="s">
        <v>2742</v>
      </c>
      <c r="N1237" s="180" t="s">
        <v>7805</v>
      </c>
      <c r="O1237" s="180" t="s">
        <v>348</v>
      </c>
      <c r="P1237" s="180"/>
      <c r="Q1237" s="180"/>
      <c r="R1237" s="180"/>
    </row>
    <row r="1238" spans="8:18" x14ac:dyDescent="0.25">
      <c r="H1238" t="s">
        <v>2741</v>
      </c>
      <c r="I1238" t="s">
        <v>2742</v>
      </c>
      <c r="N1238" s="180" t="s">
        <v>7381</v>
      </c>
      <c r="O1238" s="180" t="s">
        <v>348</v>
      </c>
      <c r="P1238" s="180"/>
      <c r="Q1238" s="180"/>
      <c r="R1238" s="180"/>
    </row>
    <row r="1239" spans="8:18" x14ac:dyDescent="0.25">
      <c r="H1239" t="s">
        <v>2741</v>
      </c>
      <c r="I1239" t="s">
        <v>2742</v>
      </c>
      <c r="N1239" s="180" t="s">
        <v>7381</v>
      </c>
      <c r="O1239" s="180" t="s">
        <v>458</v>
      </c>
      <c r="P1239" s="180"/>
      <c r="Q1239" s="180"/>
      <c r="R1239" s="180"/>
    </row>
    <row r="1240" spans="8:18" x14ac:dyDescent="0.25">
      <c r="H1240" t="s">
        <v>2741</v>
      </c>
      <c r="I1240" t="s">
        <v>2742</v>
      </c>
      <c r="N1240" s="180" t="s">
        <v>8021</v>
      </c>
      <c r="O1240" s="180" t="s">
        <v>458</v>
      </c>
      <c r="P1240" s="180"/>
      <c r="Q1240" s="180"/>
      <c r="R1240" s="180"/>
    </row>
    <row r="1241" spans="8:18" x14ac:dyDescent="0.25">
      <c r="H1241" t="s">
        <v>2741</v>
      </c>
      <c r="I1241" t="s">
        <v>2742</v>
      </c>
      <c r="N1241" s="180" t="s">
        <v>8019</v>
      </c>
      <c r="O1241" s="180" t="s">
        <v>350</v>
      </c>
      <c r="P1241" s="180"/>
      <c r="Q1241" s="180"/>
      <c r="R1241" s="180"/>
    </row>
    <row r="1242" spans="8:18" x14ac:dyDescent="0.25">
      <c r="H1242" t="s">
        <v>2741</v>
      </c>
      <c r="I1242" t="s">
        <v>2742</v>
      </c>
      <c r="N1242" t="s">
        <v>459</v>
      </c>
      <c r="O1242" t="s">
        <v>458</v>
      </c>
      <c r="P1242" t="s">
        <v>348</v>
      </c>
    </row>
    <row r="1243" spans="8:18" x14ac:dyDescent="0.25">
      <c r="H1243" t="s">
        <v>2741</v>
      </c>
      <c r="I1243" t="s">
        <v>2742</v>
      </c>
      <c r="N1243" t="s">
        <v>459</v>
      </c>
      <c r="O1243" t="s">
        <v>458</v>
      </c>
      <c r="P1243" t="s">
        <v>348</v>
      </c>
    </row>
    <row r="1244" spans="8:18" x14ac:dyDescent="0.25">
      <c r="H1244" t="s">
        <v>2741</v>
      </c>
      <c r="I1244" t="s">
        <v>2742</v>
      </c>
      <c r="N1244" t="s">
        <v>459</v>
      </c>
      <c r="O1244" t="s">
        <v>458</v>
      </c>
      <c r="P1244" t="s">
        <v>348</v>
      </c>
    </row>
    <row r="1245" spans="8:18" x14ac:dyDescent="0.25">
      <c r="H1245" t="s">
        <v>2741</v>
      </c>
      <c r="I1245" t="s">
        <v>2742</v>
      </c>
      <c r="N1245" t="s">
        <v>459</v>
      </c>
      <c r="O1245" t="s">
        <v>458</v>
      </c>
      <c r="P1245" t="s">
        <v>348</v>
      </c>
    </row>
    <row r="1246" spans="8:18" x14ac:dyDescent="0.25">
      <c r="H1246" t="s">
        <v>2741</v>
      </c>
      <c r="I1246" t="s">
        <v>2742</v>
      </c>
      <c r="N1246" t="s">
        <v>459</v>
      </c>
      <c r="O1246" t="s">
        <v>458</v>
      </c>
      <c r="P1246" t="s">
        <v>348</v>
      </c>
    </row>
    <row r="1247" spans="8:18" x14ac:dyDescent="0.25">
      <c r="H1247" t="s">
        <v>2741</v>
      </c>
      <c r="I1247" t="s">
        <v>2742</v>
      </c>
      <c r="N1247" t="s">
        <v>459</v>
      </c>
      <c r="O1247" t="s">
        <v>458</v>
      </c>
      <c r="P1247" t="s">
        <v>348</v>
      </c>
    </row>
    <row r="1248" spans="8:18" x14ac:dyDescent="0.25">
      <c r="H1248" t="s">
        <v>2741</v>
      </c>
      <c r="I1248" t="s">
        <v>2742</v>
      </c>
      <c r="N1248" t="s">
        <v>459</v>
      </c>
      <c r="O1248" t="s">
        <v>458</v>
      </c>
      <c r="P1248" t="s">
        <v>350</v>
      </c>
    </row>
    <row r="1249" spans="8:18" x14ac:dyDescent="0.25">
      <c r="H1249" t="s">
        <v>2741</v>
      </c>
      <c r="I1249" t="s">
        <v>2742</v>
      </c>
      <c r="N1249" t="s">
        <v>459</v>
      </c>
      <c r="O1249" t="s">
        <v>458</v>
      </c>
      <c r="P1249" t="s">
        <v>348</v>
      </c>
    </row>
    <row r="1250" spans="8:18" x14ac:dyDescent="0.25">
      <c r="H1250" t="s">
        <v>2741</v>
      </c>
      <c r="I1250" t="s">
        <v>2742</v>
      </c>
      <c r="N1250" t="s">
        <v>459</v>
      </c>
      <c r="O1250" t="s">
        <v>458</v>
      </c>
      <c r="P1250" t="s">
        <v>348</v>
      </c>
    </row>
    <row r="1251" spans="8:18" x14ac:dyDescent="0.25">
      <c r="H1251" t="s">
        <v>2741</v>
      </c>
      <c r="I1251" t="s">
        <v>2742</v>
      </c>
      <c r="N1251" t="s">
        <v>459</v>
      </c>
      <c r="O1251" t="s">
        <v>458</v>
      </c>
      <c r="P1251" t="s">
        <v>348</v>
      </c>
    </row>
    <row r="1252" spans="8:18" x14ac:dyDescent="0.25">
      <c r="H1252" t="s">
        <v>2741</v>
      </c>
      <c r="I1252" t="s">
        <v>2742</v>
      </c>
      <c r="N1252" t="s">
        <v>459</v>
      </c>
      <c r="O1252" t="s">
        <v>458</v>
      </c>
      <c r="P1252" t="s">
        <v>348</v>
      </c>
    </row>
    <row r="1253" spans="8:18" x14ac:dyDescent="0.25">
      <c r="H1253" t="s">
        <v>2741</v>
      </c>
      <c r="I1253" t="s">
        <v>2742</v>
      </c>
      <c r="N1253" t="s">
        <v>459</v>
      </c>
      <c r="O1253" t="s">
        <v>458</v>
      </c>
      <c r="P1253" t="s">
        <v>348</v>
      </c>
    </row>
    <row r="1254" spans="8:18" x14ac:dyDescent="0.25">
      <c r="H1254" t="s">
        <v>2741</v>
      </c>
      <c r="I1254" t="s">
        <v>2742</v>
      </c>
      <c r="N1254" t="s">
        <v>7498</v>
      </c>
      <c r="O1254" t="s">
        <v>458</v>
      </c>
      <c r="P1254" t="s">
        <v>352</v>
      </c>
    </row>
    <row r="1255" spans="8:18" x14ac:dyDescent="0.25">
      <c r="H1255" t="s">
        <v>2741</v>
      </c>
      <c r="I1255" t="s">
        <v>2742</v>
      </c>
      <c r="N1255" t="s">
        <v>7312</v>
      </c>
      <c r="O1255" t="s">
        <v>458</v>
      </c>
      <c r="P1255" t="s">
        <v>348</v>
      </c>
    </row>
    <row r="1256" spans="8:18" x14ac:dyDescent="0.25">
      <c r="H1256" t="s">
        <v>2741</v>
      </c>
      <c r="I1256" t="s">
        <v>2742</v>
      </c>
      <c r="N1256" t="s">
        <v>7496</v>
      </c>
      <c r="O1256" t="s">
        <v>458</v>
      </c>
      <c r="P1256" t="s">
        <v>348</v>
      </c>
    </row>
    <row r="1257" spans="8:18" x14ac:dyDescent="0.25">
      <c r="H1257" t="s">
        <v>2741</v>
      </c>
      <c r="I1257" t="s">
        <v>2742</v>
      </c>
      <c r="N1257" t="s">
        <v>460</v>
      </c>
      <c r="O1257" t="s">
        <v>458</v>
      </c>
      <c r="P1257" t="s">
        <v>352</v>
      </c>
      <c r="Q1257" t="s">
        <v>348</v>
      </c>
      <c r="R1257" t="s">
        <v>350</v>
      </c>
    </row>
    <row r="1258" spans="8:18" x14ac:dyDescent="0.25">
      <c r="H1258" t="s">
        <v>2741</v>
      </c>
      <c r="I1258" t="s">
        <v>2742</v>
      </c>
      <c r="N1258" t="s">
        <v>460</v>
      </c>
      <c r="O1258" t="s">
        <v>458</v>
      </c>
      <c r="P1258" t="s">
        <v>352</v>
      </c>
      <c r="Q1258" t="s">
        <v>348</v>
      </c>
      <c r="R1258" t="s">
        <v>350</v>
      </c>
    </row>
    <row r="1259" spans="8:18" x14ac:dyDescent="0.25">
      <c r="H1259" t="s">
        <v>2741</v>
      </c>
      <c r="I1259" t="s">
        <v>2742</v>
      </c>
      <c r="N1259" t="s">
        <v>460</v>
      </c>
      <c r="O1259" t="s">
        <v>458</v>
      </c>
      <c r="P1259" t="s">
        <v>352</v>
      </c>
      <c r="Q1259" t="s">
        <v>348</v>
      </c>
      <c r="R1259" t="s">
        <v>350</v>
      </c>
    </row>
    <row r="1260" spans="8:18" x14ac:dyDescent="0.25">
      <c r="H1260" t="s">
        <v>2741</v>
      </c>
      <c r="I1260" t="s">
        <v>2742</v>
      </c>
      <c r="N1260" t="s">
        <v>460</v>
      </c>
      <c r="O1260" t="s">
        <v>458</v>
      </c>
      <c r="P1260" t="s">
        <v>352</v>
      </c>
      <c r="Q1260" t="s">
        <v>348</v>
      </c>
      <c r="R1260" t="s">
        <v>350</v>
      </c>
    </row>
    <row r="1261" spans="8:18" x14ac:dyDescent="0.25">
      <c r="H1261" t="s">
        <v>2741</v>
      </c>
      <c r="I1261" t="s">
        <v>2742</v>
      </c>
      <c r="N1261" t="s">
        <v>460</v>
      </c>
      <c r="O1261" t="s">
        <v>458</v>
      </c>
      <c r="P1261" t="s">
        <v>352</v>
      </c>
      <c r="Q1261" t="s">
        <v>348</v>
      </c>
      <c r="R1261" t="s">
        <v>350</v>
      </c>
    </row>
    <row r="1262" spans="8:18" x14ac:dyDescent="0.25">
      <c r="H1262" t="s">
        <v>2741</v>
      </c>
      <c r="I1262" t="s">
        <v>2742</v>
      </c>
      <c r="N1262" t="s">
        <v>460</v>
      </c>
      <c r="O1262" t="s">
        <v>458</v>
      </c>
      <c r="P1262" t="s">
        <v>352</v>
      </c>
      <c r="Q1262" t="s">
        <v>348</v>
      </c>
      <c r="R1262" t="s">
        <v>350</v>
      </c>
    </row>
    <row r="1263" spans="8:18" x14ac:dyDescent="0.25">
      <c r="H1263" t="s">
        <v>2741</v>
      </c>
      <c r="I1263" t="s">
        <v>2742</v>
      </c>
      <c r="N1263" t="s">
        <v>460</v>
      </c>
      <c r="O1263" t="s">
        <v>458</v>
      </c>
      <c r="P1263" t="s">
        <v>352</v>
      </c>
      <c r="Q1263" t="s">
        <v>348</v>
      </c>
      <c r="R1263" t="s">
        <v>350</v>
      </c>
    </row>
    <row r="1264" spans="8:18" x14ac:dyDescent="0.25">
      <c r="H1264" t="s">
        <v>2741</v>
      </c>
      <c r="I1264" t="s">
        <v>2742</v>
      </c>
      <c r="N1264" t="s">
        <v>460</v>
      </c>
      <c r="O1264" t="s">
        <v>458</v>
      </c>
      <c r="P1264" t="s">
        <v>352</v>
      </c>
      <c r="Q1264" t="s">
        <v>348</v>
      </c>
      <c r="R1264" t="s">
        <v>350</v>
      </c>
    </row>
    <row r="1265" spans="8:18" x14ac:dyDescent="0.25">
      <c r="H1265" t="s">
        <v>2741</v>
      </c>
      <c r="I1265" t="s">
        <v>2742</v>
      </c>
      <c r="N1265" t="s">
        <v>460</v>
      </c>
      <c r="O1265" t="s">
        <v>458</v>
      </c>
      <c r="P1265" t="s">
        <v>352</v>
      </c>
      <c r="Q1265" t="s">
        <v>348</v>
      </c>
      <c r="R1265" t="s">
        <v>350</v>
      </c>
    </row>
    <row r="1266" spans="8:18" x14ac:dyDescent="0.25">
      <c r="H1266" t="s">
        <v>2741</v>
      </c>
      <c r="I1266" t="s">
        <v>2742</v>
      </c>
      <c r="N1266" t="s">
        <v>460</v>
      </c>
      <c r="O1266" t="s">
        <v>458</v>
      </c>
      <c r="P1266" t="s">
        <v>352</v>
      </c>
      <c r="Q1266" t="s">
        <v>348</v>
      </c>
      <c r="R1266" t="s">
        <v>350</v>
      </c>
    </row>
    <row r="1267" spans="8:18" x14ac:dyDescent="0.25">
      <c r="H1267" t="s">
        <v>2741</v>
      </c>
      <c r="I1267" t="s">
        <v>2742</v>
      </c>
      <c r="N1267" t="s">
        <v>460</v>
      </c>
      <c r="O1267" t="s">
        <v>458</v>
      </c>
      <c r="P1267" t="s">
        <v>352</v>
      </c>
      <c r="Q1267" t="s">
        <v>348</v>
      </c>
      <c r="R1267" t="s">
        <v>350</v>
      </c>
    </row>
    <row r="1268" spans="8:18" x14ac:dyDescent="0.25">
      <c r="H1268" t="s">
        <v>2741</v>
      </c>
      <c r="I1268" t="s">
        <v>2742</v>
      </c>
      <c r="N1268" t="s">
        <v>460</v>
      </c>
      <c r="O1268" t="s">
        <v>458</v>
      </c>
      <c r="P1268" t="s">
        <v>352</v>
      </c>
      <c r="Q1268" t="s">
        <v>348</v>
      </c>
      <c r="R1268" t="s">
        <v>350</v>
      </c>
    </row>
    <row r="1269" spans="8:18" x14ac:dyDescent="0.25">
      <c r="H1269" t="s">
        <v>2741</v>
      </c>
      <c r="I1269" t="s">
        <v>2742</v>
      </c>
      <c r="N1269" t="s">
        <v>460</v>
      </c>
      <c r="O1269" t="s">
        <v>458</v>
      </c>
      <c r="P1269" t="s">
        <v>352</v>
      </c>
      <c r="Q1269" t="s">
        <v>348</v>
      </c>
      <c r="R1269" t="s">
        <v>350</v>
      </c>
    </row>
    <row r="1270" spans="8:18" x14ac:dyDescent="0.25">
      <c r="H1270" t="s">
        <v>2741</v>
      </c>
      <c r="I1270" t="s">
        <v>2742</v>
      </c>
      <c r="N1270" t="s">
        <v>460</v>
      </c>
      <c r="O1270" t="s">
        <v>458</v>
      </c>
      <c r="P1270" t="s">
        <v>352</v>
      </c>
      <c r="Q1270" t="s">
        <v>348</v>
      </c>
      <c r="R1270" t="s">
        <v>350</v>
      </c>
    </row>
    <row r="1271" spans="8:18" x14ac:dyDescent="0.25">
      <c r="H1271" t="s">
        <v>2741</v>
      </c>
      <c r="I1271" t="s">
        <v>2742</v>
      </c>
      <c r="N1271" t="s">
        <v>460</v>
      </c>
      <c r="O1271" t="s">
        <v>458</v>
      </c>
      <c r="P1271" t="s">
        <v>352</v>
      </c>
      <c r="Q1271" t="s">
        <v>348</v>
      </c>
      <c r="R1271" t="s">
        <v>350</v>
      </c>
    </row>
    <row r="1272" spans="8:18" x14ac:dyDescent="0.25">
      <c r="H1272" t="s">
        <v>2741</v>
      </c>
      <c r="I1272" t="s">
        <v>2742</v>
      </c>
      <c r="N1272" t="s">
        <v>460</v>
      </c>
      <c r="O1272" t="s">
        <v>458</v>
      </c>
      <c r="P1272" t="s">
        <v>352</v>
      </c>
      <c r="Q1272" t="s">
        <v>348</v>
      </c>
      <c r="R1272" t="s">
        <v>350</v>
      </c>
    </row>
    <row r="1273" spans="8:18" x14ac:dyDescent="0.25">
      <c r="H1273" t="s">
        <v>2741</v>
      </c>
      <c r="I1273" t="s">
        <v>2742</v>
      </c>
      <c r="N1273" t="s">
        <v>460</v>
      </c>
      <c r="O1273" t="s">
        <v>458</v>
      </c>
      <c r="P1273" t="s">
        <v>352</v>
      </c>
      <c r="Q1273" t="s">
        <v>348</v>
      </c>
      <c r="R1273" t="s">
        <v>350</v>
      </c>
    </row>
    <row r="1274" spans="8:18" x14ac:dyDescent="0.25">
      <c r="H1274" t="s">
        <v>2741</v>
      </c>
      <c r="I1274" t="s">
        <v>2742</v>
      </c>
      <c r="N1274" t="s">
        <v>460</v>
      </c>
      <c r="O1274" t="s">
        <v>458</v>
      </c>
      <c r="P1274" t="s">
        <v>352</v>
      </c>
      <c r="Q1274" t="s">
        <v>348</v>
      </c>
      <c r="R1274" t="s">
        <v>350</v>
      </c>
    </row>
    <row r="1275" spans="8:18" x14ac:dyDescent="0.25">
      <c r="H1275" t="s">
        <v>2741</v>
      </c>
      <c r="I1275" t="s">
        <v>2742</v>
      </c>
      <c r="N1275" t="s">
        <v>460</v>
      </c>
      <c r="O1275" t="s">
        <v>458</v>
      </c>
      <c r="P1275" t="s">
        <v>352</v>
      </c>
      <c r="Q1275" t="s">
        <v>348</v>
      </c>
      <c r="R1275" t="s">
        <v>350</v>
      </c>
    </row>
    <row r="1276" spans="8:18" x14ac:dyDescent="0.25">
      <c r="H1276" t="s">
        <v>2741</v>
      </c>
      <c r="I1276" t="s">
        <v>2742</v>
      </c>
      <c r="N1276" t="s">
        <v>460</v>
      </c>
      <c r="O1276" t="s">
        <v>458</v>
      </c>
      <c r="P1276" t="s">
        <v>352</v>
      </c>
      <c r="Q1276" t="s">
        <v>348</v>
      </c>
      <c r="R1276" t="s">
        <v>350</v>
      </c>
    </row>
    <row r="1277" spans="8:18" x14ac:dyDescent="0.25">
      <c r="H1277" t="s">
        <v>2741</v>
      </c>
      <c r="I1277" t="s">
        <v>2742</v>
      </c>
      <c r="N1277" t="s">
        <v>460</v>
      </c>
      <c r="O1277" t="s">
        <v>458</v>
      </c>
      <c r="P1277" t="s">
        <v>352</v>
      </c>
      <c r="Q1277" t="s">
        <v>348</v>
      </c>
      <c r="R1277" t="s">
        <v>350</v>
      </c>
    </row>
    <row r="1278" spans="8:18" x14ac:dyDescent="0.25">
      <c r="H1278" t="s">
        <v>2741</v>
      </c>
      <c r="I1278" t="s">
        <v>2742</v>
      </c>
      <c r="N1278" t="s">
        <v>460</v>
      </c>
      <c r="O1278" t="s">
        <v>458</v>
      </c>
      <c r="P1278" t="s">
        <v>352</v>
      </c>
      <c r="Q1278" t="s">
        <v>348</v>
      </c>
      <c r="R1278" t="s">
        <v>350</v>
      </c>
    </row>
    <row r="1279" spans="8:18" x14ac:dyDescent="0.25">
      <c r="H1279" t="s">
        <v>2741</v>
      </c>
      <c r="I1279" t="s">
        <v>2742</v>
      </c>
      <c r="N1279" t="s">
        <v>460</v>
      </c>
      <c r="O1279" t="s">
        <v>458</v>
      </c>
      <c r="P1279" t="s">
        <v>352</v>
      </c>
      <c r="Q1279" t="s">
        <v>348</v>
      </c>
      <c r="R1279" t="s">
        <v>350</v>
      </c>
    </row>
    <row r="1280" spans="8:18" x14ac:dyDescent="0.25">
      <c r="H1280" t="s">
        <v>2741</v>
      </c>
      <c r="I1280" t="s">
        <v>2742</v>
      </c>
      <c r="N1280" t="s">
        <v>460</v>
      </c>
      <c r="O1280" t="s">
        <v>458</v>
      </c>
      <c r="P1280" t="s">
        <v>352</v>
      </c>
      <c r="Q1280" t="s">
        <v>348</v>
      </c>
      <c r="R1280" t="s">
        <v>350</v>
      </c>
    </row>
    <row r="1281" spans="8:18" x14ac:dyDescent="0.25">
      <c r="H1281" t="s">
        <v>2741</v>
      </c>
      <c r="I1281" t="s">
        <v>2742</v>
      </c>
      <c r="N1281" t="s">
        <v>460</v>
      </c>
      <c r="O1281" t="s">
        <v>458</v>
      </c>
      <c r="P1281" t="s">
        <v>352</v>
      </c>
      <c r="Q1281" t="s">
        <v>348</v>
      </c>
      <c r="R1281" t="s">
        <v>350</v>
      </c>
    </row>
    <row r="1282" spans="8:18" x14ac:dyDescent="0.25">
      <c r="H1282" t="s">
        <v>2741</v>
      </c>
      <c r="I1282" t="s">
        <v>2742</v>
      </c>
      <c r="N1282" t="s">
        <v>460</v>
      </c>
      <c r="O1282" t="s">
        <v>458</v>
      </c>
      <c r="P1282" t="s">
        <v>352</v>
      </c>
      <c r="Q1282" t="s">
        <v>348</v>
      </c>
      <c r="R1282" t="s">
        <v>350</v>
      </c>
    </row>
    <row r="1283" spans="8:18" x14ac:dyDescent="0.25">
      <c r="H1283" t="s">
        <v>2741</v>
      </c>
      <c r="I1283" t="s">
        <v>2742</v>
      </c>
      <c r="N1283" t="s">
        <v>460</v>
      </c>
      <c r="O1283" t="s">
        <v>458</v>
      </c>
      <c r="P1283" t="s">
        <v>352</v>
      </c>
      <c r="Q1283" t="s">
        <v>348</v>
      </c>
      <c r="R1283" t="s">
        <v>350</v>
      </c>
    </row>
    <row r="1284" spans="8:18" x14ac:dyDescent="0.25">
      <c r="H1284" t="s">
        <v>2741</v>
      </c>
      <c r="I1284" t="s">
        <v>2742</v>
      </c>
      <c r="N1284" t="s">
        <v>460</v>
      </c>
      <c r="O1284" t="s">
        <v>458</v>
      </c>
      <c r="P1284" t="s">
        <v>352</v>
      </c>
      <c r="Q1284" t="s">
        <v>348</v>
      </c>
      <c r="R1284" t="s">
        <v>350</v>
      </c>
    </row>
    <row r="1285" spans="8:18" x14ac:dyDescent="0.25">
      <c r="H1285" t="s">
        <v>2741</v>
      </c>
      <c r="I1285" t="s">
        <v>2742</v>
      </c>
      <c r="N1285" t="s">
        <v>460</v>
      </c>
      <c r="O1285" t="s">
        <v>458</v>
      </c>
      <c r="P1285" t="s">
        <v>352</v>
      </c>
      <c r="Q1285" t="s">
        <v>348</v>
      </c>
      <c r="R1285" t="s">
        <v>350</v>
      </c>
    </row>
    <row r="1286" spans="8:18" x14ac:dyDescent="0.25">
      <c r="H1286" t="s">
        <v>2741</v>
      </c>
      <c r="I1286" t="s">
        <v>2742</v>
      </c>
      <c r="N1286" t="s">
        <v>460</v>
      </c>
      <c r="O1286" t="s">
        <v>458</v>
      </c>
      <c r="P1286" t="s">
        <v>352</v>
      </c>
      <c r="Q1286" t="s">
        <v>348</v>
      </c>
      <c r="R1286" t="s">
        <v>350</v>
      </c>
    </row>
    <row r="1287" spans="8:18" x14ac:dyDescent="0.25">
      <c r="H1287" t="s">
        <v>2741</v>
      </c>
      <c r="I1287" t="s">
        <v>2742</v>
      </c>
      <c r="N1287" t="s">
        <v>460</v>
      </c>
      <c r="O1287" t="s">
        <v>458</v>
      </c>
      <c r="P1287" t="s">
        <v>352</v>
      </c>
      <c r="Q1287" t="s">
        <v>348</v>
      </c>
      <c r="R1287" t="s">
        <v>350</v>
      </c>
    </row>
    <row r="1288" spans="8:18" x14ac:dyDescent="0.25">
      <c r="H1288" t="s">
        <v>2741</v>
      </c>
      <c r="I1288" t="s">
        <v>2742</v>
      </c>
      <c r="N1288" t="s">
        <v>460</v>
      </c>
      <c r="O1288" t="s">
        <v>458</v>
      </c>
      <c r="P1288" t="s">
        <v>352</v>
      </c>
      <c r="Q1288" t="s">
        <v>348</v>
      </c>
      <c r="R1288" t="s">
        <v>350</v>
      </c>
    </row>
    <row r="1289" spans="8:18" x14ac:dyDescent="0.25">
      <c r="H1289" t="s">
        <v>2741</v>
      </c>
      <c r="I1289" t="s">
        <v>2742</v>
      </c>
      <c r="N1289" t="s">
        <v>460</v>
      </c>
      <c r="O1289" t="s">
        <v>458</v>
      </c>
      <c r="P1289" t="s">
        <v>352</v>
      </c>
      <c r="Q1289" t="s">
        <v>348</v>
      </c>
      <c r="R1289" t="s">
        <v>350</v>
      </c>
    </row>
    <row r="1290" spans="8:18" x14ac:dyDescent="0.25">
      <c r="H1290" t="s">
        <v>2741</v>
      </c>
      <c r="I1290" t="s">
        <v>2742</v>
      </c>
      <c r="N1290" t="s">
        <v>460</v>
      </c>
      <c r="O1290" t="s">
        <v>458</v>
      </c>
      <c r="P1290" t="s">
        <v>352</v>
      </c>
      <c r="Q1290" t="s">
        <v>348</v>
      </c>
      <c r="R1290" t="s">
        <v>350</v>
      </c>
    </row>
    <row r="1291" spans="8:18" x14ac:dyDescent="0.25">
      <c r="H1291" t="s">
        <v>2741</v>
      </c>
      <c r="I1291" t="s">
        <v>2742</v>
      </c>
      <c r="N1291" t="s">
        <v>460</v>
      </c>
      <c r="O1291" t="s">
        <v>458</v>
      </c>
      <c r="P1291" t="s">
        <v>352</v>
      </c>
      <c r="Q1291" t="s">
        <v>348</v>
      </c>
      <c r="R1291" t="s">
        <v>350</v>
      </c>
    </row>
    <row r="1292" spans="8:18" x14ac:dyDescent="0.25">
      <c r="H1292" t="s">
        <v>2741</v>
      </c>
      <c r="I1292" t="s">
        <v>2742</v>
      </c>
      <c r="N1292" t="s">
        <v>460</v>
      </c>
      <c r="O1292" t="s">
        <v>458</v>
      </c>
      <c r="P1292" t="s">
        <v>352</v>
      </c>
      <c r="Q1292" t="s">
        <v>348</v>
      </c>
      <c r="R1292" t="s">
        <v>350</v>
      </c>
    </row>
    <row r="1293" spans="8:18" x14ac:dyDescent="0.25">
      <c r="H1293" t="s">
        <v>2741</v>
      </c>
      <c r="I1293" t="s">
        <v>2742</v>
      </c>
      <c r="N1293" t="s">
        <v>460</v>
      </c>
      <c r="O1293" t="s">
        <v>458</v>
      </c>
      <c r="P1293" t="s">
        <v>352</v>
      </c>
      <c r="Q1293" t="s">
        <v>348</v>
      </c>
      <c r="R1293" t="s">
        <v>350</v>
      </c>
    </row>
    <row r="1294" spans="8:18" x14ac:dyDescent="0.25">
      <c r="H1294" t="s">
        <v>2741</v>
      </c>
      <c r="I1294" t="s">
        <v>2742</v>
      </c>
      <c r="N1294" t="s">
        <v>460</v>
      </c>
      <c r="O1294" t="s">
        <v>458</v>
      </c>
      <c r="P1294" t="s">
        <v>352</v>
      </c>
      <c r="Q1294" t="s">
        <v>348</v>
      </c>
      <c r="R1294" t="s">
        <v>350</v>
      </c>
    </row>
    <row r="1295" spans="8:18" x14ac:dyDescent="0.25">
      <c r="H1295" t="s">
        <v>2741</v>
      </c>
      <c r="I1295" t="s">
        <v>2742</v>
      </c>
      <c r="N1295" t="s">
        <v>460</v>
      </c>
      <c r="O1295" t="s">
        <v>458</v>
      </c>
      <c r="P1295" t="s">
        <v>352</v>
      </c>
      <c r="Q1295" t="s">
        <v>348</v>
      </c>
      <c r="R1295" t="s">
        <v>350</v>
      </c>
    </row>
    <row r="1296" spans="8:18" x14ac:dyDescent="0.25">
      <c r="H1296" t="s">
        <v>2741</v>
      </c>
      <c r="I1296" t="s">
        <v>2742</v>
      </c>
      <c r="N1296" t="s">
        <v>460</v>
      </c>
      <c r="O1296" t="s">
        <v>458</v>
      </c>
      <c r="P1296" t="s">
        <v>352</v>
      </c>
      <c r="Q1296" t="s">
        <v>348</v>
      </c>
      <c r="R1296" t="s">
        <v>350</v>
      </c>
    </row>
    <row r="1297" spans="8:18" x14ac:dyDescent="0.25">
      <c r="H1297" t="s">
        <v>2741</v>
      </c>
      <c r="I1297" t="s">
        <v>2742</v>
      </c>
      <c r="N1297" t="s">
        <v>460</v>
      </c>
      <c r="O1297" t="s">
        <v>458</v>
      </c>
      <c r="P1297" t="s">
        <v>352</v>
      </c>
      <c r="Q1297" t="s">
        <v>348</v>
      </c>
      <c r="R1297" t="s">
        <v>350</v>
      </c>
    </row>
    <row r="1298" spans="8:18" x14ac:dyDescent="0.25">
      <c r="H1298" t="s">
        <v>2741</v>
      </c>
      <c r="I1298" t="s">
        <v>2742</v>
      </c>
      <c r="N1298" t="s">
        <v>460</v>
      </c>
      <c r="O1298" t="s">
        <v>458</v>
      </c>
      <c r="P1298" t="s">
        <v>352</v>
      </c>
      <c r="Q1298" t="s">
        <v>348</v>
      </c>
      <c r="R1298" t="s">
        <v>350</v>
      </c>
    </row>
    <row r="1299" spans="8:18" x14ac:dyDescent="0.25">
      <c r="H1299" t="s">
        <v>2741</v>
      </c>
      <c r="I1299" t="s">
        <v>2742</v>
      </c>
      <c r="N1299" t="s">
        <v>7395</v>
      </c>
      <c r="O1299" t="s">
        <v>458</v>
      </c>
      <c r="P1299" t="s">
        <v>352</v>
      </c>
      <c r="Q1299" t="s">
        <v>348</v>
      </c>
      <c r="R1299" t="s">
        <v>350</v>
      </c>
    </row>
    <row r="1300" spans="8:18" x14ac:dyDescent="0.25">
      <c r="H1300" t="s">
        <v>2741</v>
      </c>
      <c r="I1300" t="s">
        <v>2742</v>
      </c>
      <c r="N1300" t="s">
        <v>278</v>
      </c>
      <c r="O1300" t="s">
        <v>279</v>
      </c>
    </row>
    <row r="1301" spans="8:18" x14ac:dyDescent="0.25">
      <c r="H1301" t="s">
        <v>2741</v>
      </c>
      <c r="I1301" t="s">
        <v>2742</v>
      </c>
      <c r="N1301" t="s">
        <v>278</v>
      </c>
      <c r="O1301" t="s">
        <v>279</v>
      </c>
    </row>
    <row r="1302" spans="8:18" x14ac:dyDescent="0.25">
      <c r="H1302" t="s">
        <v>2741</v>
      </c>
      <c r="I1302" t="s">
        <v>2742</v>
      </c>
      <c r="N1302" t="s">
        <v>278</v>
      </c>
      <c r="O1302" t="s">
        <v>279</v>
      </c>
    </row>
    <row r="1303" spans="8:18" x14ac:dyDescent="0.25">
      <c r="H1303" t="s">
        <v>2741</v>
      </c>
      <c r="I1303" t="s">
        <v>2742</v>
      </c>
      <c r="N1303" t="s">
        <v>278</v>
      </c>
      <c r="O1303" t="s">
        <v>279</v>
      </c>
    </row>
    <row r="1304" spans="8:18" x14ac:dyDescent="0.25">
      <c r="H1304" t="s">
        <v>2741</v>
      </c>
      <c r="I1304" t="s">
        <v>2742</v>
      </c>
      <c r="N1304" t="s">
        <v>7930</v>
      </c>
      <c r="O1304" t="s">
        <v>279</v>
      </c>
    </row>
    <row r="1305" spans="8:18" x14ac:dyDescent="0.25">
      <c r="H1305" t="s">
        <v>2741</v>
      </c>
      <c r="I1305" t="s">
        <v>2742</v>
      </c>
      <c r="N1305" t="s">
        <v>7930</v>
      </c>
      <c r="O1305" t="s">
        <v>279</v>
      </c>
    </row>
    <row r="1306" spans="8:18" x14ac:dyDescent="0.25">
      <c r="H1306" t="s">
        <v>2741</v>
      </c>
      <c r="I1306" t="s">
        <v>2742</v>
      </c>
      <c r="N1306" t="s">
        <v>8090</v>
      </c>
      <c r="O1306" t="s">
        <v>279</v>
      </c>
    </row>
    <row r="1307" spans="8:18" x14ac:dyDescent="0.25">
      <c r="H1307" t="s">
        <v>2741</v>
      </c>
      <c r="I1307" t="s">
        <v>2742</v>
      </c>
      <c r="N1307" t="s">
        <v>7580</v>
      </c>
      <c r="O1307" t="s">
        <v>279</v>
      </c>
    </row>
    <row r="1308" spans="8:18" x14ac:dyDescent="0.25">
      <c r="H1308" t="s">
        <v>2741</v>
      </c>
      <c r="I1308" t="s">
        <v>2742</v>
      </c>
      <c r="N1308" t="s">
        <v>7556</v>
      </c>
      <c r="O1308" t="s">
        <v>279</v>
      </c>
    </row>
    <row r="1309" spans="8:18" x14ac:dyDescent="0.25">
      <c r="H1309" t="s">
        <v>2741</v>
      </c>
      <c r="I1309" t="s">
        <v>2742</v>
      </c>
      <c r="N1309" t="s">
        <v>7556</v>
      </c>
      <c r="O1309" t="s">
        <v>279</v>
      </c>
    </row>
    <row r="1310" spans="8:18" x14ac:dyDescent="0.25">
      <c r="H1310" t="s">
        <v>2741</v>
      </c>
      <c r="I1310" t="s">
        <v>2742</v>
      </c>
      <c r="N1310" t="s">
        <v>8073</v>
      </c>
      <c r="O1310" t="s">
        <v>279</v>
      </c>
    </row>
    <row r="1311" spans="8:18" x14ac:dyDescent="0.25">
      <c r="H1311" t="s">
        <v>2741</v>
      </c>
      <c r="I1311" t="s">
        <v>2742</v>
      </c>
      <c r="N1311" t="s">
        <v>6906</v>
      </c>
      <c r="O1311" t="s">
        <v>279</v>
      </c>
    </row>
    <row r="1312" spans="8:18" x14ac:dyDescent="0.25">
      <c r="H1312" t="s">
        <v>2741</v>
      </c>
      <c r="I1312" t="s">
        <v>2742</v>
      </c>
      <c r="N1312" t="s">
        <v>6906</v>
      </c>
      <c r="O1312" t="s">
        <v>279</v>
      </c>
    </row>
    <row r="1313" spans="8:15" x14ac:dyDescent="0.25">
      <c r="H1313" t="s">
        <v>2741</v>
      </c>
      <c r="I1313" t="s">
        <v>2742</v>
      </c>
      <c r="N1313" t="s">
        <v>7293</v>
      </c>
      <c r="O1313" t="s">
        <v>279</v>
      </c>
    </row>
    <row r="1314" spans="8:15" x14ac:dyDescent="0.25">
      <c r="H1314" t="s">
        <v>2741</v>
      </c>
      <c r="I1314" t="s">
        <v>2742</v>
      </c>
      <c r="N1314" t="s">
        <v>7293</v>
      </c>
      <c r="O1314" t="s">
        <v>279</v>
      </c>
    </row>
    <row r="1315" spans="8:15" x14ac:dyDescent="0.25">
      <c r="H1315" t="s">
        <v>2741</v>
      </c>
      <c r="I1315" t="s">
        <v>2742</v>
      </c>
      <c r="N1315" t="s">
        <v>7385</v>
      </c>
      <c r="O1315" t="s">
        <v>279</v>
      </c>
    </row>
    <row r="1316" spans="8:15" x14ac:dyDescent="0.25">
      <c r="H1316" t="s">
        <v>2741</v>
      </c>
      <c r="I1316" t="s">
        <v>2742</v>
      </c>
      <c r="N1316" t="s">
        <v>6917</v>
      </c>
      <c r="O1316" t="s">
        <v>279</v>
      </c>
    </row>
    <row r="1317" spans="8:15" x14ac:dyDescent="0.25">
      <c r="H1317" t="s">
        <v>2741</v>
      </c>
      <c r="I1317" t="s">
        <v>2742</v>
      </c>
      <c r="N1317" t="s">
        <v>7814</v>
      </c>
      <c r="O1317" t="s">
        <v>279</v>
      </c>
    </row>
    <row r="1318" spans="8:15" x14ac:dyDescent="0.25">
      <c r="H1318" t="s">
        <v>2741</v>
      </c>
      <c r="I1318" t="s">
        <v>2742</v>
      </c>
      <c r="N1318" t="s">
        <v>7389</v>
      </c>
      <c r="O1318" t="s">
        <v>279</v>
      </c>
    </row>
    <row r="1319" spans="8:15" x14ac:dyDescent="0.25">
      <c r="H1319" t="s">
        <v>2741</v>
      </c>
      <c r="I1319" t="s">
        <v>2742</v>
      </c>
      <c r="N1319" t="s">
        <v>7389</v>
      </c>
      <c r="O1319" t="s">
        <v>279</v>
      </c>
    </row>
    <row r="1320" spans="8:15" x14ac:dyDescent="0.25">
      <c r="H1320" t="s">
        <v>2741</v>
      </c>
      <c r="I1320" t="s">
        <v>2742</v>
      </c>
      <c r="N1320" t="s">
        <v>7679</v>
      </c>
      <c r="O1320" t="s">
        <v>279</v>
      </c>
    </row>
    <row r="1321" spans="8:15" x14ac:dyDescent="0.25">
      <c r="H1321" t="s">
        <v>2741</v>
      </c>
      <c r="I1321" t="s">
        <v>2742</v>
      </c>
      <c r="N1321" t="s">
        <v>7695</v>
      </c>
      <c r="O1321" t="s">
        <v>279</v>
      </c>
    </row>
    <row r="1322" spans="8:15" x14ac:dyDescent="0.25">
      <c r="H1322" t="s">
        <v>2741</v>
      </c>
      <c r="I1322" t="s">
        <v>2742</v>
      </c>
      <c r="N1322" t="s">
        <v>8078</v>
      </c>
      <c r="O1322" t="s">
        <v>277</v>
      </c>
    </row>
    <row r="1323" spans="8:15" x14ac:dyDescent="0.25">
      <c r="H1323" t="s">
        <v>2741</v>
      </c>
      <c r="I1323" t="s">
        <v>2742</v>
      </c>
      <c r="N1323" t="s">
        <v>8063</v>
      </c>
      <c r="O1323" t="s">
        <v>277</v>
      </c>
    </row>
    <row r="1324" spans="8:15" x14ac:dyDescent="0.25">
      <c r="H1324" t="s">
        <v>2741</v>
      </c>
      <c r="I1324" t="s">
        <v>2742</v>
      </c>
      <c r="N1324" t="s">
        <v>8063</v>
      </c>
      <c r="O1324" t="s">
        <v>277</v>
      </c>
    </row>
    <row r="1325" spans="8:15" x14ac:dyDescent="0.25">
      <c r="H1325" t="s">
        <v>2741</v>
      </c>
      <c r="I1325" t="s">
        <v>2742</v>
      </c>
      <c r="N1325" t="s">
        <v>7338</v>
      </c>
      <c r="O1325" t="s">
        <v>277</v>
      </c>
    </row>
    <row r="1326" spans="8:15" x14ac:dyDescent="0.25">
      <c r="H1326" t="s">
        <v>416</v>
      </c>
      <c r="I1326" t="s">
        <v>515</v>
      </c>
      <c r="N1326" t="s">
        <v>7338</v>
      </c>
      <c r="O1326" t="s">
        <v>277</v>
      </c>
    </row>
    <row r="1327" spans="8:15" x14ac:dyDescent="0.25">
      <c r="H1327" t="s">
        <v>416</v>
      </c>
      <c r="I1327" t="s">
        <v>515</v>
      </c>
      <c r="N1327" t="s">
        <v>280</v>
      </c>
      <c r="O1327" t="s">
        <v>281</v>
      </c>
    </row>
    <row r="1328" spans="8:15" x14ac:dyDescent="0.25">
      <c r="H1328" t="s">
        <v>6644</v>
      </c>
      <c r="I1328" t="s">
        <v>515</v>
      </c>
      <c r="N1328" t="s">
        <v>280</v>
      </c>
      <c r="O1328" t="s">
        <v>281</v>
      </c>
    </row>
    <row r="1329" spans="8:15" x14ac:dyDescent="0.25">
      <c r="H1329" t="s">
        <v>6107</v>
      </c>
      <c r="I1329" t="s">
        <v>515</v>
      </c>
      <c r="N1329" t="s">
        <v>280</v>
      </c>
      <c r="O1329" t="s">
        <v>281</v>
      </c>
    </row>
    <row r="1330" spans="8:15" x14ac:dyDescent="0.25">
      <c r="H1330" t="s">
        <v>5985</v>
      </c>
      <c r="I1330" t="s">
        <v>515</v>
      </c>
      <c r="N1330" t="s">
        <v>280</v>
      </c>
      <c r="O1330" t="s">
        <v>281</v>
      </c>
    </row>
    <row r="1331" spans="8:15" x14ac:dyDescent="0.25">
      <c r="H1331" t="s">
        <v>137</v>
      </c>
      <c r="I1331" t="s">
        <v>23</v>
      </c>
      <c r="N1331" t="s">
        <v>280</v>
      </c>
      <c r="O1331" t="s">
        <v>281</v>
      </c>
    </row>
    <row r="1332" spans="8:15" x14ac:dyDescent="0.25">
      <c r="H1332" t="s">
        <v>137</v>
      </c>
      <c r="I1332" t="s">
        <v>23</v>
      </c>
      <c r="N1332" t="s">
        <v>280</v>
      </c>
      <c r="O1332" t="s">
        <v>281</v>
      </c>
    </row>
    <row r="1333" spans="8:15" x14ac:dyDescent="0.25">
      <c r="H1333" t="s">
        <v>137</v>
      </c>
      <c r="I1333" t="s">
        <v>23</v>
      </c>
      <c r="N1333" t="s">
        <v>280</v>
      </c>
      <c r="O1333" t="s">
        <v>281</v>
      </c>
    </row>
    <row r="1334" spans="8:15" x14ac:dyDescent="0.25">
      <c r="H1334" t="s">
        <v>137</v>
      </c>
      <c r="I1334" t="s">
        <v>23</v>
      </c>
      <c r="N1334" t="s">
        <v>280</v>
      </c>
      <c r="O1334" t="s">
        <v>281</v>
      </c>
    </row>
    <row r="1335" spans="8:15" x14ac:dyDescent="0.25">
      <c r="H1335" t="s">
        <v>137</v>
      </c>
      <c r="I1335" t="s">
        <v>23</v>
      </c>
      <c r="N1335" t="s">
        <v>280</v>
      </c>
      <c r="O1335" t="s">
        <v>281</v>
      </c>
    </row>
    <row r="1336" spans="8:15" x14ac:dyDescent="0.25">
      <c r="H1336" t="s">
        <v>137</v>
      </c>
      <c r="I1336" t="s">
        <v>23</v>
      </c>
      <c r="N1336" t="s">
        <v>280</v>
      </c>
      <c r="O1336" t="s">
        <v>281</v>
      </c>
    </row>
    <row r="1337" spans="8:15" x14ac:dyDescent="0.25">
      <c r="H1337" t="s">
        <v>137</v>
      </c>
      <c r="I1337" t="s">
        <v>23</v>
      </c>
      <c r="N1337" t="s">
        <v>280</v>
      </c>
      <c r="O1337" t="s">
        <v>281</v>
      </c>
    </row>
    <row r="1338" spans="8:15" x14ac:dyDescent="0.25">
      <c r="H1338" t="s">
        <v>137</v>
      </c>
      <c r="I1338" t="s">
        <v>23</v>
      </c>
      <c r="N1338" t="s">
        <v>280</v>
      </c>
      <c r="O1338" t="s">
        <v>281</v>
      </c>
    </row>
    <row r="1339" spans="8:15" x14ac:dyDescent="0.25">
      <c r="H1339" t="s">
        <v>137</v>
      </c>
      <c r="I1339" t="s">
        <v>23</v>
      </c>
      <c r="N1339" t="s">
        <v>280</v>
      </c>
      <c r="O1339" t="s">
        <v>281</v>
      </c>
    </row>
    <row r="1340" spans="8:15" x14ac:dyDescent="0.25">
      <c r="H1340" t="s">
        <v>45</v>
      </c>
      <c r="I1340" t="s">
        <v>25</v>
      </c>
      <c r="N1340" t="s">
        <v>280</v>
      </c>
      <c r="O1340" t="s">
        <v>281</v>
      </c>
    </row>
    <row r="1341" spans="8:15" x14ac:dyDescent="0.25">
      <c r="H1341" t="s">
        <v>45</v>
      </c>
      <c r="I1341" t="s">
        <v>25</v>
      </c>
      <c r="N1341" t="s">
        <v>280</v>
      </c>
      <c r="O1341" t="s">
        <v>281</v>
      </c>
    </row>
    <row r="1342" spans="8:15" x14ac:dyDescent="0.25">
      <c r="H1342" t="s">
        <v>45</v>
      </c>
      <c r="I1342" t="s">
        <v>25</v>
      </c>
      <c r="N1342" t="s">
        <v>280</v>
      </c>
      <c r="O1342" t="s">
        <v>281</v>
      </c>
    </row>
    <row r="1343" spans="8:15" x14ac:dyDescent="0.25">
      <c r="H1343" t="s">
        <v>45</v>
      </c>
      <c r="I1343" t="s">
        <v>25</v>
      </c>
      <c r="N1343" t="s">
        <v>280</v>
      </c>
      <c r="O1343" t="s">
        <v>281</v>
      </c>
    </row>
    <row r="1344" spans="8:15" x14ac:dyDescent="0.25">
      <c r="H1344" t="s">
        <v>45</v>
      </c>
      <c r="I1344" t="s">
        <v>25</v>
      </c>
      <c r="N1344" t="s">
        <v>280</v>
      </c>
      <c r="O1344" t="s">
        <v>281</v>
      </c>
    </row>
    <row r="1345" spans="8:15" x14ac:dyDescent="0.25">
      <c r="H1345" t="s">
        <v>45</v>
      </c>
      <c r="I1345" t="s">
        <v>25</v>
      </c>
      <c r="N1345" t="s">
        <v>280</v>
      </c>
      <c r="O1345" t="s">
        <v>281</v>
      </c>
    </row>
    <row r="1346" spans="8:15" x14ac:dyDescent="0.25">
      <c r="H1346" t="s">
        <v>45</v>
      </c>
      <c r="I1346" t="s">
        <v>25</v>
      </c>
      <c r="N1346" t="s">
        <v>280</v>
      </c>
      <c r="O1346" t="s">
        <v>281</v>
      </c>
    </row>
    <row r="1347" spans="8:15" x14ac:dyDescent="0.25">
      <c r="H1347" t="s">
        <v>45</v>
      </c>
      <c r="I1347" t="s">
        <v>25</v>
      </c>
      <c r="N1347" t="s">
        <v>280</v>
      </c>
      <c r="O1347" t="s">
        <v>281</v>
      </c>
    </row>
    <row r="1348" spans="8:15" x14ac:dyDescent="0.25">
      <c r="H1348" t="s">
        <v>45</v>
      </c>
      <c r="I1348" t="s">
        <v>25</v>
      </c>
      <c r="N1348" t="s">
        <v>280</v>
      </c>
      <c r="O1348" t="s">
        <v>281</v>
      </c>
    </row>
    <row r="1349" spans="8:15" x14ac:dyDescent="0.25">
      <c r="H1349" t="s">
        <v>45</v>
      </c>
      <c r="I1349" t="s">
        <v>25</v>
      </c>
      <c r="N1349" t="s">
        <v>280</v>
      </c>
      <c r="O1349" t="s">
        <v>281</v>
      </c>
    </row>
    <row r="1350" spans="8:15" x14ac:dyDescent="0.25">
      <c r="H1350" t="s">
        <v>45</v>
      </c>
      <c r="I1350" t="s">
        <v>25</v>
      </c>
      <c r="N1350" t="s">
        <v>280</v>
      </c>
      <c r="O1350" t="s">
        <v>281</v>
      </c>
    </row>
    <row r="1351" spans="8:15" x14ac:dyDescent="0.25">
      <c r="H1351" t="s">
        <v>6502</v>
      </c>
      <c r="I1351" t="s">
        <v>25</v>
      </c>
      <c r="N1351" t="s">
        <v>7336</v>
      </c>
      <c r="O1351" t="s">
        <v>281</v>
      </c>
    </row>
    <row r="1352" spans="8:15" x14ac:dyDescent="0.25">
      <c r="H1352" t="s">
        <v>6274</v>
      </c>
      <c r="I1352" t="s">
        <v>25</v>
      </c>
      <c r="N1352" t="s">
        <v>7094</v>
      </c>
      <c r="O1352" t="s">
        <v>281</v>
      </c>
    </row>
    <row r="1353" spans="8:15" x14ac:dyDescent="0.25">
      <c r="H1353" t="s">
        <v>6489</v>
      </c>
      <c r="I1353" t="s">
        <v>25</v>
      </c>
      <c r="N1353" t="s">
        <v>7094</v>
      </c>
      <c r="O1353" t="s">
        <v>281</v>
      </c>
    </row>
    <row r="1354" spans="8:15" x14ac:dyDescent="0.25">
      <c r="H1354" t="s">
        <v>5812</v>
      </c>
      <c r="I1354" t="s">
        <v>25</v>
      </c>
      <c r="N1354" t="s">
        <v>7094</v>
      </c>
      <c r="O1354" t="s">
        <v>281</v>
      </c>
    </row>
    <row r="1355" spans="8:15" x14ac:dyDescent="0.25">
      <c r="H1355" t="s">
        <v>5614</v>
      </c>
      <c r="I1355" t="s">
        <v>25</v>
      </c>
      <c r="N1355" t="s">
        <v>283</v>
      </c>
      <c r="O1355" t="s">
        <v>284</v>
      </c>
    </row>
    <row r="1356" spans="8:15" x14ac:dyDescent="0.25">
      <c r="H1356" t="s">
        <v>6049</v>
      </c>
      <c r="I1356" t="s">
        <v>25</v>
      </c>
      <c r="N1356" t="s">
        <v>283</v>
      </c>
      <c r="O1356" t="s">
        <v>284</v>
      </c>
    </row>
    <row r="1357" spans="8:15" x14ac:dyDescent="0.25">
      <c r="H1357" t="s">
        <v>15</v>
      </c>
      <c r="I1357" t="s">
        <v>7</v>
      </c>
      <c r="J1357" t="s">
        <v>16</v>
      </c>
      <c r="N1357" t="s">
        <v>283</v>
      </c>
      <c r="O1357" t="s">
        <v>284</v>
      </c>
    </row>
    <row r="1358" spans="8:15" x14ac:dyDescent="0.25">
      <c r="H1358" t="s">
        <v>15</v>
      </c>
      <c r="I1358" t="s">
        <v>7</v>
      </c>
      <c r="J1358" t="s">
        <v>16</v>
      </c>
      <c r="N1358" t="s">
        <v>283</v>
      </c>
      <c r="O1358" t="s">
        <v>284</v>
      </c>
    </row>
    <row r="1359" spans="8:15" x14ac:dyDescent="0.25">
      <c r="H1359" t="s">
        <v>15</v>
      </c>
      <c r="I1359" t="s">
        <v>7</v>
      </c>
      <c r="J1359" t="s">
        <v>16</v>
      </c>
      <c r="N1359" t="s">
        <v>283</v>
      </c>
      <c r="O1359" t="s">
        <v>284</v>
      </c>
    </row>
    <row r="1360" spans="8:15" x14ac:dyDescent="0.25">
      <c r="H1360" t="s">
        <v>17</v>
      </c>
      <c r="I1360" t="s">
        <v>16</v>
      </c>
      <c r="N1360" t="s">
        <v>283</v>
      </c>
      <c r="O1360" t="s">
        <v>284</v>
      </c>
    </row>
    <row r="1361" spans="8:15" x14ac:dyDescent="0.25">
      <c r="H1361" t="s">
        <v>17</v>
      </c>
      <c r="I1361" t="s">
        <v>16</v>
      </c>
      <c r="N1361" t="s">
        <v>283</v>
      </c>
      <c r="O1361" t="s">
        <v>284</v>
      </c>
    </row>
    <row r="1362" spans="8:15" x14ac:dyDescent="0.25">
      <c r="H1362" t="s">
        <v>17</v>
      </c>
      <c r="I1362" t="s">
        <v>16</v>
      </c>
      <c r="N1362" t="s">
        <v>283</v>
      </c>
      <c r="O1362" t="s">
        <v>284</v>
      </c>
    </row>
    <row r="1363" spans="8:15" x14ac:dyDescent="0.25">
      <c r="H1363" t="s">
        <v>17</v>
      </c>
      <c r="I1363" t="s">
        <v>16</v>
      </c>
      <c r="N1363" t="s">
        <v>283</v>
      </c>
      <c r="O1363" t="s">
        <v>284</v>
      </c>
    </row>
    <row r="1364" spans="8:15" x14ac:dyDescent="0.25">
      <c r="H1364" t="s">
        <v>5612</v>
      </c>
      <c r="I1364" t="s">
        <v>16</v>
      </c>
      <c r="N1364" t="s">
        <v>283</v>
      </c>
      <c r="O1364" t="s">
        <v>284</v>
      </c>
    </row>
    <row r="1365" spans="8:15" x14ac:dyDescent="0.25">
      <c r="H1365" t="s">
        <v>5384</v>
      </c>
      <c r="I1365" t="s">
        <v>7</v>
      </c>
      <c r="J1365" t="s">
        <v>16</v>
      </c>
      <c r="N1365" t="s">
        <v>283</v>
      </c>
      <c r="O1365" t="s">
        <v>284</v>
      </c>
    </row>
    <row r="1366" spans="8:15" x14ac:dyDescent="0.25">
      <c r="H1366" t="s">
        <v>22</v>
      </c>
      <c r="I1366" t="s">
        <v>20</v>
      </c>
      <c r="N1366" t="s">
        <v>283</v>
      </c>
      <c r="O1366" t="s">
        <v>284</v>
      </c>
    </row>
    <row r="1367" spans="8:15" x14ac:dyDescent="0.25">
      <c r="H1367" t="s">
        <v>22</v>
      </c>
      <c r="I1367" t="s">
        <v>20</v>
      </c>
      <c r="N1367" t="s">
        <v>7910</v>
      </c>
      <c r="O1367" t="s">
        <v>284</v>
      </c>
    </row>
    <row r="1368" spans="8:15" x14ac:dyDescent="0.25">
      <c r="H1368" t="s">
        <v>22</v>
      </c>
      <c r="I1368" t="s">
        <v>20</v>
      </c>
      <c r="N1368" t="s">
        <v>7716</v>
      </c>
      <c r="O1368" t="s">
        <v>284</v>
      </c>
    </row>
    <row r="1369" spans="8:15" x14ac:dyDescent="0.25">
      <c r="H1369" t="s">
        <v>22</v>
      </c>
      <c r="I1369" t="s">
        <v>20</v>
      </c>
      <c r="N1369" t="s">
        <v>7954</v>
      </c>
      <c r="O1369" t="s">
        <v>284</v>
      </c>
    </row>
    <row r="1370" spans="8:15" x14ac:dyDescent="0.25">
      <c r="H1370" t="s">
        <v>22</v>
      </c>
      <c r="I1370" t="s">
        <v>20</v>
      </c>
      <c r="N1370" t="s">
        <v>7364</v>
      </c>
      <c r="O1370" t="s">
        <v>284</v>
      </c>
    </row>
    <row r="1371" spans="8:15" x14ac:dyDescent="0.25">
      <c r="H1371" t="s">
        <v>22</v>
      </c>
      <c r="I1371" t="s">
        <v>20</v>
      </c>
      <c r="N1371" t="s">
        <v>7002</v>
      </c>
      <c r="O1371" t="s">
        <v>284</v>
      </c>
    </row>
    <row r="1372" spans="8:15" x14ac:dyDescent="0.25">
      <c r="H1372" t="s">
        <v>22</v>
      </c>
      <c r="I1372" t="s">
        <v>20</v>
      </c>
      <c r="N1372" t="s">
        <v>6895</v>
      </c>
      <c r="O1372" t="s">
        <v>284</v>
      </c>
    </row>
    <row r="1373" spans="8:15" x14ac:dyDescent="0.25">
      <c r="H1373" t="s">
        <v>5397</v>
      </c>
      <c r="I1373" t="s">
        <v>20</v>
      </c>
      <c r="N1373" t="s">
        <v>286</v>
      </c>
      <c r="O1373" t="s">
        <v>287</v>
      </c>
    </row>
    <row r="1374" spans="8:15" x14ac:dyDescent="0.25">
      <c r="H1374" t="s">
        <v>5410</v>
      </c>
      <c r="I1374" t="s">
        <v>20</v>
      </c>
      <c r="N1374" t="s">
        <v>286</v>
      </c>
      <c r="O1374" t="s">
        <v>287</v>
      </c>
    </row>
    <row r="1375" spans="8:15" x14ac:dyDescent="0.25">
      <c r="H1375" t="s">
        <v>5410</v>
      </c>
      <c r="I1375" t="s">
        <v>20</v>
      </c>
      <c r="N1375" t="s">
        <v>286</v>
      </c>
      <c r="O1375" t="s">
        <v>287</v>
      </c>
    </row>
    <row r="1376" spans="8:15" x14ac:dyDescent="0.25">
      <c r="H1376" t="s">
        <v>5390</v>
      </c>
      <c r="I1376" t="s">
        <v>20</v>
      </c>
      <c r="N1376" t="s">
        <v>286</v>
      </c>
      <c r="O1376" t="s">
        <v>287</v>
      </c>
    </row>
    <row r="1377" spans="8:15" x14ac:dyDescent="0.25">
      <c r="H1377" t="s">
        <v>6315</v>
      </c>
      <c r="I1377" t="s">
        <v>20</v>
      </c>
      <c r="N1377" t="s">
        <v>286</v>
      </c>
      <c r="O1377" t="s">
        <v>287</v>
      </c>
    </row>
    <row r="1378" spans="8:15" x14ac:dyDescent="0.25">
      <c r="H1378" t="s">
        <v>6315</v>
      </c>
      <c r="I1378" t="s">
        <v>20</v>
      </c>
      <c r="N1378" t="s">
        <v>286</v>
      </c>
      <c r="O1378" t="s">
        <v>287</v>
      </c>
    </row>
    <row r="1379" spans="8:15" x14ac:dyDescent="0.25">
      <c r="H1379" t="s">
        <v>5708</v>
      </c>
      <c r="I1379" t="s">
        <v>20</v>
      </c>
      <c r="N1379" t="s">
        <v>286</v>
      </c>
      <c r="O1379" t="s">
        <v>287</v>
      </c>
    </row>
    <row r="1380" spans="8:15" x14ac:dyDescent="0.25">
      <c r="H1380" t="s">
        <v>5640</v>
      </c>
      <c r="I1380" t="s">
        <v>20</v>
      </c>
      <c r="N1380" t="s">
        <v>286</v>
      </c>
      <c r="O1380" t="s">
        <v>287</v>
      </c>
    </row>
    <row r="1381" spans="8:15" x14ac:dyDescent="0.25">
      <c r="H1381" t="s">
        <v>5258</v>
      </c>
      <c r="I1381" t="s">
        <v>20</v>
      </c>
      <c r="N1381" t="s">
        <v>286</v>
      </c>
      <c r="O1381" t="s">
        <v>287</v>
      </c>
    </row>
    <row r="1382" spans="8:15" x14ac:dyDescent="0.25">
      <c r="H1382" t="s">
        <v>6118</v>
      </c>
      <c r="I1382" t="s">
        <v>20</v>
      </c>
      <c r="N1382" t="s">
        <v>286</v>
      </c>
      <c r="O1382" t="s">
        <v>287</v>
      </c>
    </row>
    <row r="1383" spans="8:15" x14ac:dyDescent="0.25">
      <c r="H1383" t="s">
        <v>6859</v>
      </c>
      <c r="I1383" t="s">
        <v>20</v>
      </c>
      <c r="N1383" t="s">
        <v>286</v>
      </c>
      <c r="O1383" t="s">
        <v>287</v>
      </c>
    </row>
    <row r="1384" spans="8:15" x14ac:dyDescent="0.25">
      <c r="H1384" t="s">
        <v>123</v>
      </c>
      <c r="I1384" t="s">
        <v>26</v>
      </c>
      <c r="N1384" t="s">
        <v>286</v>
      </c>
      <c r="O1384" t="s">
        <v>287</v>
      </c>
    </row>
    <row r="1385" spans="8:15" x14ac:dyDescent="0.25">
      <c r="H1385" t="s">
        <v>123</v>
      </c>
      <c r="I1385" t="s">
        <v>26</v>
      </c>
      <c r="N1385" t="s">
        <v>286</v>
      </c>
      <c r="O1385" t="s">
        <v>287</v>
      </c>
    </row>
    <row r="1386" spans="8:15" x14ac:dyDescent="0.25">
      <c r="H1386" t="s">
        <v>123</v>
      </c>
      <c r="I1386" t="s">
        <v>26</v>
      </c>
      <c r="N1386" t="s">
        <v>286</v>
      </c>
      <c r="O1386" t="s">
        <v>287</v>
      </c>
    </row>
    <row r="1387" spans="8:15" x14ac:dyDescent="0.25">
      <c r="H1387" t="s">
        <v>123</v>
      </c>
      <c r="I1387" t="s">
        <v>26</v>
      </c>
      <c r="N1387" t="s">
        <v>286</v>
      </c>
      <c r="O1387" t="s">
        <v>287</v>
      </c>
    </row>
    <row r="1388" spans="8:15" x14ac:dyDescent="0.25">
      <c r="H1388" t="s">
        <v>123</v>
      </c>
      <c r="I1388" t="s">
        <v>26</v>
      </c>
      <c r="N1388" t="s">
        <v>286</v>
      </c>
      <c r="O1388" t="s">
        <v>287</v>
      </c>
    </row>
    <row r="1389" spans="8:15" x14ac:dyDescent="0.25">
      <c r="H1389" t="s">
        <v>123</v>
      </c>
      <c r="I1389" t="s">
        <v>26</v>
      </c>
      <c r="N1389" t="s">
        <v>286</v>
      </c>
      <c r="O1389" t="s">
        <v>287</v>
      </c>
    </row>
    <row r="1390" spans="8:15" x14ac:dyDescent="0.25">
      <c r="H1390" t="s">
        <v>123</v>
      </c>
      <c r="I1390" t="s">
        <v>26</v>
      </c>
      <c r="N1390" t="s">
        <v>286</v>
      </c>
      <c r="O1390" t="s">
        <v>287</v>
      </c>
    </row>
    <row r="1391" spans="8:15" x14ac:dyDescent="0.25">
      <c r="H1391" t="s">
        <v>123</v>
      </c>
      <c r="I1391" t="s">
        <v>26</v>
      </c>
      <c r="N1391" t="s">
        <v>286</v>
      </c>
      <c r="O1391" t="s">
        <v>287</v>
      </c>
    </row>
    <row r="1392" spans="8:15" x14ac:dyDescent="0.25">
      <c r="H1392" t="s">
        <v>123</v>
      </c>
      <c r="I1392" t="s">
        <v>26</v>
      </c>
      <c r="N1392" t="s">
        <v>286</v>
      </c>
      <c r="O1392" t="s">
        <v>287</v>
      </c>
    </row>
    <row r="1393" spans="8:15" x14ac:dyDescent="0.25">
      <c r="H1393" t="s">
        <v>123</v>
      </c>
      <c r="I1393" t="s">
        <v>26</v>
      </c>
      <c r="N1393" t="s">
        <v>286</v>
      </c>
      <c r="O1393" t="s">
        <v>287</v>
      </c>
    </row>
    <row r="1394" spans="8:15" x14ac:dyDescent="0.25">
      <c r="H1394" t="s">
        <v>123</v>
      </c>
      <c r="I1394" t="s">
        <v>26</v>
      </c>
      <c r="N1394" t="s">
        <v>286</v>
      </c>
      <c r="O1394" t="s">
        <v>287</v>
      </c>
    </row>
    <row r="1395" spans="8:15" x14ac:dyDescent="0.25">
      <c r="H1395" t="s">
        <v>123</v>
      </c>
      <c r="I1395" t="s">
        <v>26</v>
      </c>
      <c r="N1395" t="s">
        <v>286</v>
      </c>
      <c r="O1395" t="s">
        <v>287</v>
      </c>
    </row>
    <row r="1396" spans="8:15" x14ac:dyDescent="0.25">
      <c r="H1396" t="s">
        <v>123</v>
      </c>
      <c r="I1396" t="s">
        <v>26</v>
      </c>
      <c r="N1396" t="s">
        <v>286</v>
      </c>
      <c r="O1396" t="s">
        <v>287</v>
      </c>
    </row>
    <row r="1397" spans="8:15" x14ac:dyDescent="0.25">
      <c r="H1397" t="s">
        <v>123</v>
      </c>
      <c r="I1397" t="s">
        <v>26</v>
      </c>
      <c r="N1397" t="s">
        <v>286</v>
      </c>
      <c r="O1397" t="s">
        <v>287</v>
      </c>
    </row>
    <row r="1398" spans="8:15" x14ac:dyDescent="0.25">
      <c r="H1398" t="s">
        <v>123</v>
      </c>
      <c r="I1398" t="s">
        <v>26</v>
      </c>
      <c r="N1398" t="s">
        <v>7745</v>
      </c>
      <c r="O1398" t="s">
        <v>287</v>
      </c>
    </row>
    <row r="1399" spans="8:15" x14ac:dyDescent="0.25">
      <c r="H1399" t="s">
        <v>123</v>
      </c>
      <c r="I1399" t="s">
        <v>26</v>
      </c>
      <c r="N1399" t="s">
        <v>7745</v>
      </c>
      <c r="O1399" t="s">
        <v>287</v>
      </c>
    </row>
    <row r="1400" spans="8:15" x14ac:dyDescent="0.25">
      <c r="H1400" t="s">
        <v>123</v>
      </c>
      <c r="I1400" t="s">
        <v>26</v>
      </c>
      <c r="N1400" t="s">
        <v>289</v>
      </c>
      <c r="O1400" t="s">
        <v>290</v>
      </c>
    </row>
    <row r="1401" spans="8:15" x14ac:dyDescent="0.25">
      <c r="H1401" t="s">
        <v>5236</v>
      </c>
      <c r="I1401" t="s">
        <v>26</v>
      </c>
      <c r="N1401" t="s">
        <v>289</v>
      </c>
      <c r="O1401" t="s">
        <v>290</v>
      </c>
    </row>
    <row r="1402" spans="8:15" x14ac:dyDescent="0.25">
      <c r="H1402" t="s">
        <v>6071</v>
      </c>
      <c r="I1402" t="s">
        <v>26</v>
      </c>
      <c r="N1402" t="s">
        <v>289</v>
      </c>
      <c r="O1402" t="s">
        <v>290</v>
      </c>
    </row>
    <row r="1403" spans="8:15" x14ac:dyDescent="0.25">
      <c r="H1403" t="s">
        <v>5511</v>
      </c>
      <c r="I1403" t="s">
        <v>26</v>
      </c>
      <c r="N1403" t="s">
        <v>289</v>
      </c>
      <c r="O1403" t="s">
        <v>582</v>
      </c>
    </row>
    <row r="1404" spans="8:15" x14ac:dyDescent="0.25">
      <c r="H1404" t="s">
        <v>5538</v>
      </c>
      <c r="I1404" t="s">
        <v>26</v>
      </c>
      <c r="N1404" t="s">
        <v>289</v>
      </c>
      <c r="O1404" t="s">
        <v>290</v>
      </c>
    </row>
    <row r="1405" spans="8:15" x14ac:dyDescent="0.25">
      <c r="H1405" t="s">
        <v>6153</v>
      </c>
      <c r="I1405" t="s">
        <v>26</v>
      </c>
      <c r="N1405" t="s">
        <v>289</v>
      </c>
      <c r="O1405" t="s">
        <v>290</v>
      </c>
    </row>
    <row r="1406" spans="8:15" x14ac:dyDescent="0.25">
      <c r="H1406" t="s">
        <v>5793</v>
      </c>
      <c r="I1406" t="s">
        <v>26</v>
      </c>
      <c r="N1406" t="s">
        <v>289</v>
      </c>
      <c r="O1406" t="s">
        <v>290</v>
      </c>
    </row>
    <row r="1407" spans="8:15" x14ac:dyDescent="0.25">
      <c r="H1407" t="s">
        <v>6101</v>
      </c>
      <c r="I1407" t="s">
        <v>26</v>
      </c>
      <c r="N1407" t="s">
        <v>289</v>
      </c>
      <c r="O1407" t="s">
        <v>582</v>
      </c>
    </row>
    <row r="1408" spans="8:15" x14ac:dyDescent="0.25">
      <c r="H1408" t="s">
        <v>6454</v>
      </c>
      <c r="I1408" t="s">
        <v>26</v>
      </c>
      <c r="N1408" t="s">
        <v>289</v>
      </c>
      <c r="O1408" t="s">
        <v>290</v>
      </c>
    </row>
    <row r="1409" spans="8:15" x14ac:dyDescent="0.25">
      <c r="H1409" t="s">
        <v>6741</v>
      </c>
      <c r="I1409" t="s">
        <v>26</v>
      </c>
      <c r="N1409" t="s">
        <v>289</v>
      </c>
      <c r="O1409" t="s">
        <v>290</v>
      </c>
    </row>
    <row r="1410" spans="8:15" x14ac:dyDescent="0.25">
      <c r="H1410" t="s">
        <v>5279</v>
      </c>
      <c r="I1410" t="s">
        <v>26</v>
      </c>
      <c r="N1410" t="s">
        <v>289</v>
      </c>
      <c r="O1410" t="s">
        <v>290</v>
      </c>
    </row>
    <row r="1411" spans="8:15" x14ac:dyDescent="0.25">
      <c r="H1411" t="s">
        <v>6750</v>
      </c>
      <c r="I1411" t="s">
        <v>26</v>
      </c>
      <c r="N1411" t="s">
        <v>289</v>
      </c>
      <c r="O1411" t="s">
        <v>290</v>
      </c>
    </row>
    <row r="1412" spans="8:15" x14ac:dyDescent="0.25">
      <c r="H1412" t="s">
        <v>5782</v>
      </c>
      <c r="I1412" t="s">
        <v>26</v>
      </c>
      <c r="N1412" t="s">
        <v>289</v>
      </c>
      <c r="O1412" t="s">
        <v>582</v>
      </c>
    </row>
    <row r="1413" spans="8:15" x14ac:dyDescent="0.25">
      <c r="H1413" t="s">
        <v>5782</v>
      </c>
      <c r="I1413" t="s">
        <v>26</v>
      </c>
      <c r="N1413" t="s">
        <v>289</v>
      </c>
      <c r="O1413" t="s">
        <v>290</v>
      </c>
    </row>
    <row r="1414" spans="8:15" x14ac:dyDescent="0.25">
      <c r="H1414" t="s">
        <v>6217</v>
      </c>
      <c r="I1414" t="s">
        <v>26</v>
      </c>
      <c r="N1414" t="s">
        <v>289</v>
      </c>
      <c r="O1414" t="s">
        <v>582</v>
      </c>
    </row>
    <row r="1415" spans="8:15" x14ac:dyDescent="0.25">
      <c r="H1415" t="s">
        <v>5359</v>
      </c>
      <c r="I1415" t="s">
        <v>26</v>
      </c>
      <c r="N1415" t="s">
        <v>289</v>
      </c>
      <c r="O1415" t="s">
        <v>290</v>
      </c>
    </row>
    <row r="1416" spans="8:15" x14ac:dyDescent="0.25">
      <c r="H1416" t="s">
        <v>6096</v>
      </c>
      <c r="I1416" t="s">
        <v>26</v>
      </c>
      <c r="N1416" t="s">
        <v>289</v>
      </c>
      <c r="O1416" t="s">
        <v>290</v>
      </c>
    </row>
    <row r="1417" spans="8:15" x14ac:dyDescent="0.25">
      <c r="H1417" t="s">
        <v>6373</v>
      </c>
      <c r="I1417" t="s">
        <v>26</v>
      </c>
      <c r="N1417" t="s">
        <v>289</v>
      </c>
      <c r="O1417" t="s">
        <v>517</v>
      </c>
    </row>
    <row r="1418" spans="8:15" x14ac:dyDescent="0.25">
      <c r="H1418" t="s">
        <v>4430</v>
      </c>
      <c r="I1418" t="s">
        <v>4458</v>
      </c>
      <c r="N1418" t="s">
        <v>289</v>
      </c>
      <c r="O1418" t="s">
        <v>290</v>
      </c>
    </row>
    <row r="1419" spans="8:15" x14ac:dyDescent="0.25">
      <c r="H1419" t="s">
        <v>4430</v>
      </c>
      <c r="I1419" t="s">
        <v>4458</v>
      </c>
      <c r="N1419" t="s">
        <v>289</v>
      </c>
      <c r="O1419" t="s">
        <v>290</v>
      </c>
    </row>
    <row r="1420" spans="8:15" x14ac:dyDescent="0.25">
      <c r="H1420" t="s">
        <v>4430</v>
      </c>
      <c r="I1420" t="s">
        <v>4458</v>
      </c>
      <c r="N1420" t="s">
        <v>289</v>
      </c>
      <c r="O1420" t="s">
        <v>290</v>
      </c>
    </row>
    <row r="1421" spans="8:15" x14ac:dyDescent="0.25">
      <c r="H1421" t="s">
        <v>4430</v>
      </c>
      <c r="I1421" t="s">
        <v>4458</v>
      </c>
      <c r="N1421" t="s">
        <v>289</v>
      </c>
      <c r="O1421" t="s">
        <v>290</v>
      </c>
    </row>
    <row r="1422" spans="8:15" x14ac:dyDescent="0.25">
      <c r="H1422" t="s">
        <v>4430</v>
      </c>
      <c r="I1422" t="s">
        <v>4458</v>
      </c>
      <c r="N1422" t="s">
        <v>289</v>
      </c>
      <c r="O1422" t="s">
        <v>290</v>
      </c>
    </row>
    <row r="1423" spans="8:15" x14ac:dyDescent="0.25">
      <c r="H1423" t="s">
        <v>4430</v>
      </c>
      <c r="I1423" t="s">
        <v>4458</v>
      </c>
      <c r="N1423" t="s">
        <v>289</v>
      </c>
      <c r="O1423" t="s">
        <v>290</v>
      </c>
    </row>
    <row r="1424" spans="8:15" x14ac:dyDescent="0.25">
      <c r="H1424" t="s">
        <v>4430</v>
      </c>
      <c r="I1424" t="s">
        <v>4458</v>
      </c>
      <c r="N1424" t="s">
        <v>289</v>
      </c>
      <c r="O1424" t="s">
        <v>290</v>
      </c>
    </row>
    <row r="1425" spans="8:15" x14ac:dyDescent="0.25">
      <c r="H1425" t="s">
        <v>4430</v>
      </c>
      <c r="I1425" t="s">
        <v>4458</v>
      </c>
      <c r="N1425" t="s">
        <v>289</v>
      </c>
      <c r="O1425" t="s">
        <v>290</v>
      </c>
    </row>
    <row r="1426" spans="8:15" x14ac:dyDescent="0.25">
      <c r="H1426" t="s">
        <v>4430</v>
      </c>
      <c r="I1426" t="s">
        <v>4458</v>
      </c>
      <c r="N1426" t="s">
        <v>289</v>
      </c>
      <c r="O1426" t="s">
        <v>290</v>
      </c>
    </row>
    <row r="1427" spans="8:15" x14ac:dyDescent="0.25">
      <c r="H1427" t="s">
        <v>4430</v>
      </c>
      <c r="I1427" t="s">
        <v>4458</v>
      </c>
      <c r="N1427" t="s">
        <v>289</v>
      </c>
      <c r="O1427" t="s">
        <v>290</v>
      </c>
    </row>
    <row r="1428" spans="8:15" x14ac:dyDescent="0.25">
      <c r="H1428" t="s">
        <v>4430</v>
      </c>
      <c r="I1428" t="s">
        <v>4458</v>
      </c>
      <c r="N1428" t="s">
        <v>289</v>
      </c>
      <c r="O1428" t="s">
        <v>290</v>
      </c>
    </row>
    <row r="1429" spans="8:15" x14ac:dyDescent="0.25">
      <c r="H1429" t="s">
        <v>4430</v>
      </c>
      <c r="I1429" t="s">
        <v>4458</v>
      </c>
      <c r="N1429" t="s">
        <v>289</v>
      </c>
      <c r="O1429" t="s">
        <v>290</v>
      </c>
    </row>
    <row r="1430" spans="8:15" x14ac:dyDescent="0.25">
      <c r="H1430" t="s">
        <v>4430</v>
      </c>
      <c r="I1430" t="s">
        <v>4458</v>
      </c>
      <c r="N1430" t="s">
        <v>289</v>
      </c>
      <c r="O1430" t="s">
        <v>290</v>
      </c>
    </row>
    <row r="1431" spans="8:15" x14ac:dyDescent="0.25">
      <c r="H1431" t="s">
        <v>4430</v>
      </c>
      <c r="I1431" t="s">
        <v>4458</v>
      </c>
      <c r="N1431" t="s">
        <v>289</v>
      </c>
      <c r="O1431" t="s">
        <v>290</v>
      </c>
    </row>
    <row r="1432" spans="8:15" x14ac:dyDescent="0.25">
      <c r="H1432" t="s">
        <v>4430</v>
      </c>
      <c r="I1432" t="s">
        <v>4458</v>
      </c>
      <c r="N1432" t="s">
        <v>289</v>
      </c>
      <c r="O1432" t="s">
        <v>290</v>
      </c>
    </row>
    <row r="1433" spans="8:15" x14ac:dyDescent="0.25">
      <c r="H1433" t="s">
        <v>4430</v>
      </c>
      <c r="I1433" t="s">
        <v>4458</v>
      </c>
      <c r="N1433" t="s">
        <v>289</v>
      </c>
      <c r="O1433" t="s">
        <v>290</v>
      </c>
    </row>
    <row r="1434" spans="8:15" x14ac:dyDescent="0.25">
      <c r="H1434" t="s">
        <v>4430</v>
      </c>
      <c r="I1434" t="s">
        <v>4458</v>
      </c>
      <c r="N1434" t="s">
        <v>289</v>
      </c>
      <c r="O1434" t="s">
        <v>290</v>
      </c>
    </row>
    <row r="1435" spans="8:15" x14ac:dyDescent="0.25">
      <c r="H1435" t="s">
        <v>6705</v>
      </c>
      <c r="I1435" t="s">
        <v>4458</v>
      </c>
      <c r="N1435" t="s">
        <v>289</v>
      </c>
      <c r="O1435" t="s">
        <v>290</v>
      </c>
    </row>
    <row r="1436" spans="8:15" x14ac:dyDescent="0.25">
      <c r="H1436" t="s">
        <v>5806</v>
      </c>
      <c r="I1436" t="s">
        <v>4458</v>
      </c>
      <c r="N1436" t="s">
        <v>289</v>
      </c>
      <c r="O1436" t="s">
        <v>290</v>
      </c>
    </row>
    <row r="1437" spans="8:15" x14ac:dyDescent="0.25">
      <c r="H1437" t="s">
        <v>6330</v>
      </c>
      <c r="I1437" t="s">
        <v>4458</v>
      </c>
      <c r="N1437" t="s">
        <v>289</v>
      </c>
      <c r="O1437" t="s">
        <v>290</v>
      </c>
    </row>
    <row r="1438" spans="8:15" x14ac:dyDescent="0.25">
      <c r="H1438" t="s">
        <v>5532</v>
      </c>
      <c r="I1438" t="s">
        <v>4458</v>
      </c>
      <c r="N1438" t="s">
        <v>289</v>
      </c>
      <c r="O1438" t="s">
        <v>290</v>
      </c>
    </row>
    <row r="1439" spans="8:15" x14ac:dyDescent="0.25">
      <c r="H1439" t="s">
        <v>6635</v>
      </c>
      <c r="I1439" t="s">
        <v>4458</v>
      </c>
      <c r="N1439" t="s">
        <v>289</v>
      </c>
      <c r="O1439" t="s">
        <v>517</v>
      </c>
    </row>
    <row r="1440" spans="8:15" x14ac:dyDescent="0.25">
      <c r="H1440" t="s">
        <v>6801</v>
      </c>
      <c r="I1440" t="s">
        <v>28</v>
      </c>
      <c r="N1440" t="s">
        <v>289</v>
      </c>
      <c r="O1440" t="s">
        <v>290</v>
      </c>
    </row>
    <row r="1441" spans="8:15" x14ac:dyDescent="0.25">
      <c r="H1441" t="s">
        <v>6189</v>
      </c>
      <c r="I1441" t="s">
        <v>28</v>
      </c>
      <c r="N1441" t="s">
        <v>289</v>
      </c>
      <c r="O1441" t="s">
        <v>517</v>
      </c>
    </row>
    <row r="1442" spans="8:15" x14ac:dyDescent="0.25">
      <c r="H1442" t="s">
        <v>6189</v>
      </c>
      <c r="I1442" t="s">
        <v>28</v>
      </c>
      <c r="N1442" t="s">
        <v>289</v>
      </c>
      <c r="O1442" t="s">
        <v>290</v>
      </c>
    </row>
    <row r="1443" spans="8:15" x14ac:dyDescent="0.25">
      <c r="H1443" t="s">
        <v>6111</v>
      </c>
      <c r="I1443" t="s">
        <v>28</v>
      </c>
      <c r="N1443" t="s">
        <v>289</v>
      </c>
      <c r="O1443" t="s">
        <v>290</v>
      </c>
    </row>
    <row r="1444" spans="8:15" x14ac:dyDescent="0.25">
      <c r="H1444" t="s">
        <v>5664</v>
      </c>
      <c r="I1444" t="s">
        <v>28</v>
      </c>
      <c r="N1444" t="s">
        <v>289</v>
      </c>
      <c r="O1444" t="s">
        <v>290</v>
      </c>
    </row>
    <row r="1445" spans="8:15" x14ac:dyDescent="0.25">
      <c r="H1445" t="s">
        <v>6600</v>
      </c>
      <c r="I1445" t="s">
        <v>28</v>
      </c>
      <c r="N1445" t="s">
        <v>289</v>
      </c>
      <c r="O1445" t="s">
        <v>290</v>
      </c>
    </row>
    <row r="1446" spans="8:15" x14ac:dyDescent="0.25">
      <c r="H1446" t="s">
        <v>6236</v>
      </c>
      <c r="I1446" t="s">
        <v>28</v>
      </c>
      <c r="N1446" t="s">
        <v>289</v>
      </c>
      <c r="O1446" t="s">
        <v>290</v>
      </c>
    </row>
    <row r="1447" spans="8:15" x14ac:dyDescent="0.25">
      <c r="H1447" t="s">
        <v>6561</v>
      </c>
      <c r="I1447" t="s">
        <v>28</v>
      </c>
      <c r="N1447" t="s">
        <v>289</v>
      </c>
      <c r="O1447" t="s">
        <v>290</v>
      </c>
    </row>
    <row r="1448" spans="8:15" x14ac:dyDescent="0.25">
      <c r="H1448" t="s">
        <v>6105</v>
      </c>
      <c r="I1448" t="s">
        <v>27</v>
      </c>
      <c r="N1448" t="s">
        <v>289</v>
      </c>
      <c r="O1448" t="s">
        <v>290</v>
      </c>
    </row>
    <row r="1449" spans="8:15" x14ac:dyDescent="0.25">
      <c r="H1449" t="s">
        <v>5308</v>
      </c>
      <c r="I1449" t="s">
        <v>27</v>
      </c>
      <c r="N1449" t="s">
        <v>289</v>
      </c>
      <c r="O1449" t="s">
        <v>290</v>
      </c>
    </row>
    <row r="1450" spans="8:15" x14ac:dyDescent="0.25">
      <c r="H1450" t="s">
        <v>5341</v>
      </c>
      <c r="I1450" t="s">
        <v>27</v>
      </c>
      <c r="N1450" t="s">
        <v>289</v>
      </c>
      <c r="O1450" t="s">
        <v>290</v>
      </c>
    </row>
    <row r="1451" spans="8:15" x14ac:dyDescent="0.25">
      <c r="H1451" t="s">
        <v>5341</v>
      </c>
      <c r="I1451" t="s">
        <v>27</v>
      </c>
      <c r="N1451" t="s">
        <v>7333</v>
      </c>
      <c r="O1451" t="s">
        <v>582</v>
      </c>
    </row>
    <row r="1452" spans="8:15" x14ac:dyDescent="0.25">
      <c r="H1452" t="s">
        <v>6457</v>
      </c>
      <c r="I1452" t="s">
        <v>27</v>
      </c>
      <c r="N1452" t="s">
        <v>6955</v>
      </c>
      <c r="O1452" t="s">
        <v>290</v>
      </c>
    </row>
    <row r="1453" spans="8:15" x14ac:dyDescent="0.25">
      <c r="H1453" t="s">
        <v>5818</v>
      </c>
      <c r="I1453" t="s">
        <v>27</v>
      </c>
      <c r="N1453" t="s">
        <v>7083</v>
      </c>
      <c r="O1453" t="s">
        <v>290</v>
      </c>
    </row>
    <row r="1454" spans="8:15" x14ac:dyDescent="0.25">
      <c r="H1454" t="s">
        <v>6180</v>
      </c>
      <c r="I1454" t="s">
        <v>27</v>
      </c>
      <c r="N1454" t="s">
        <v>418</v>
      </c>
      <c r="O1454" t="s">
        <v>419</v>
      </c>
    </row>
    <row r="1455" spans="8:15" x14ac:dyDescent="0.25">
      <c r="H1455" t="s">
        <v>6075</v>
      </c>
      <c r="I1455" t="s">
        <v>27</v>
      </c>
      <c r="N1455" t="s">
        <v>418</v>
      </c>
      <c r="O1455" t="s">
        <v>419</v>
      </c>
    </row>
    <row r="1456" spans="8:15" x14ac:dyDescent="0.25">
      <c r="H1456" t="s">
        <v>5418</v>
      </c>
      <c r="I1456" t="s">
        <v>27</v>
      </c>
      <c r="N1456" t="s">
        <v>418</v>
      </c>
      <c r="O1456" t="s">
        <v>419</v>
      </c>
    </row>
    <row r="1457" spans="8:15" x14ac:dyDescent="0.25">
      <c r="H1457" t="s">
        <v>5478</v>
      </c>
      <c r="I1457" t="s">
        <v>27</v>
      </c>
      <c r="N1457" t="s">
        <v>418</v>
      </c>
      <c r="O1457" t="s">
        <v>419</v>
      </c>
    </row>
    <row r="1458" spans="8:15" x14ac:dyDescent="0.25">
      <c r="H1458" t="s">
        <v>5478</v>
      </c>
      <c r="I1458" t="s">
        <v>27</v>
      </c>
      <c r="N1458" t="s">
        <v>7870</v>
      </c>
      <c r="O1458" t="s">
        <v>419</v>
      </c>
    </row>
    <row r="1459" spans="8:15" x14ac:dyDescent="0.25">
      <c r="H1459" t="s">
        <v>44</v>
      </c>
      <c r="I1459" t="s">
        <v>29</v>
      </c>
      <c r="N1459" t="s">
        <v>7228</v>
      </c>
      <c r="O1459" t="s">
        <v>419</v>
      </c>
    </row>
    <row r="1460" spans="8:15" x14ac:dyDescent="0.25">
      <c r="H1460" t="s">
        <v>44</v>
      </c>
      <c r="I1460" t="s">
        <v>29</v>
      </c>
      <c r="N1460" t="s">
        <v>291</v>
      </c>
      <c r="O1460" t="s">
        <v>292</v>
      </c>
    </row>
    <row r="1461" spans="8:15" x14ac:dyDescent="0.25">
      <c r="H1461" t="s">
        <v>44</v>
      </c>
      <c r="I1461" t="s">
        <v>29</v>
      </c>
      <c r="N1461" t="s">
        <v>293</v>
      </c>
      <c r="O1461" t="s">
        <v>294</v>
      </c>
    </row>
    <row r="1462" spans="8:15" x14ac:dyDescent="0.25">
      <c r="H1462" t="s">
        <v>44</v>
      </c>
      <c r="I1462" t="s">
        <v>29</v>
      </c>
      <c r="N1462" t="s">
        <v>293</v>
      </c>
      <c r="O1462" t="s">
        <v>294</v>
      </c>
    </row>
    <row r="1463" spans="8:15" x14ac:dyDescent="0.25">
      <c r="H1463" t="s">
        <v>44</v>
      </c>
      <c r="I1463" t="s">
        <v>29</v>
      </c>
      <c r="N1463" t="s">
        <v>293</v>
      </c>
      <c r="O1463" t="s">
        <v>294</v>
      </c>
    </row>
    <row r="1464" spans="8:15" x14ac:dyDescent="0.25">
      <c r="H1464" t="s">
        <v>273</v>
      </c>
      <c r="I1464" t="s">
        <v>274</v>
      </c>
      <c r="N1464" t="s">
        <v>293</v>
      </c>
      <c r="O1464" t="s">
        <v>294</v>
      </c>
    </row>
    <row r="1465" spans="8:15" x14ac:dyDescent="0.25">
      <c r="H1465" t="s">
        <v>273</v>
      </c>
      <c r="I1465" t="s">
        <v>274</v>
      </c>
      <c r="N1465" t="s">
        <v>293</v>
      </c>
      <c r="O1465" t="s">
        <v>294</v>
      </c>
    </row>
    <row r="1466" spans="8:15" x14ac:dyDescent="0.25">
      <c r="H1466" t="s">
        <v>273</v>
      </c>
      <c r="I1466" t="s">
        <v>279</v>
      </c>
      <c r="N1466" t="s">
        <v>293</v>
      </c>
      <c r="O1466" t="s">
        <v>294</v>
      </c>
    </row>
    <row r="1467" spans="8:15" x14ac:dyDescent="0.25">
      <c r="H1467" t="s">
        <v>5675</v>
      </c>
      <c r="I1467" t="s">
        <v>274</v>
      </c>
      <c r="N1467" t="s">
        <v>293</v>
      </c>
      <c r="O1467" t="s">
        <v>294</v>
      </c>
    </row>
    <row r="1468" spans="8:15" x14ac:dyDescent="0.25">
      <c r="H1468" t="s">
        <v>5675</v>
      </c>
      <c r="I1468" t="s">
        <v>274</v>
      </c>
      <c r="N1468" t="s">
        <v>293</v>
      </c>
      <c r="O1468" t="s">
        <v>294</v>
      </c>
    </row>
    <row r="1469" spans="8:15" x14ac:dyDescent="0.25">
      <c r="H1469" t="s">
        <v>6699</v>
      </c>
      <c r="I1469" t="s">
        <v>274</v>
      </c>
      <c r="N1469" t="s">
        <v>293</v>
      </c>
      <c r="O1469" t="s">
        <v>294</v>
      </c>
    </row>
    <row r="1470" spans="8:15" x14ac:dyDescent="0.25">
      <c r="H1470" t="s">
        <v>6398</v>
      </c>
      <c r="I1470" t="s">
        <v>274</v>
      </c>
      <c r="N1470" t="s">
        <v>293</v>
      </c>
      <c r="O1470" t="s">
        <v>294</v>
      </c>
    </row>
    <row r="1471" spans="8:15" x14ac:dyDescent="0.25">
      <c r="H1471" t="s">
        <v>6398</v>
      </c>
      <c r="I1471" t="s">
        <v>274</v>
      </c>
      <c r="N1471" t="s">
        <v>293</v>
      </c>
      <c r="O1471" t="s">
        <v>294</v>
      </c>
    </row>
    <row r="1472" spans="8:15" x14ac:dyDescent="0.25">
      <c r="H1472" t="s">
        <v>5562</v>
      </c>
      <c r="I1472" t="s">
        <v>274</v>
      </c>
      <c r="N1472" t="s">
        <v>293</v>
      </c>
      <c r="O1472" t="s">
        <v>294</v>
      </c>
    </row>
    <row r="1473" spans="8:15" x14ac:dyDescent="0.25">
      <c r="H1473" t="s">
        <v>6795</v>
      </c>
      <c r="I1473" t="s">
        <v>274</v>
      </c>
      <c r="N1473" t="s">
        <v>293</v>
      </c>
      <c r="O1473" t="s">
        <v>294</v>
      </c>
    </row>
    <row r="1474" spans="8:15" x14ac:dyDescent="0.25">
      <c r="H1474" t="s">
        <v>6450</v>
      </c>
      <c r="I1474" t="s">
        <v>274</v>
      </c>
      <c r="N1474" t="s">
        <v>293</v>
      </c>
      <c r="O1474" t="s">
        <v>294</v>
      </c>
    </row>
    <row r="1475" spans="8:15" x14ac:dyDescent="0.25">
      <c r="H1475" t="s">
        <v>6045</v>
      </c>
      <c r="I1475" t="s">
        <v>274</v>
      </c>
      <c r="N1475" t="s">
        <v>7178</v>
      </c>
      <c r="O1475" t="s">
        <v>294</v>
      </c>
    </row>
    <row r="1476" spans="8:15" x14ac:dyDescent="0.25">
      <c r="H1476" t="s">
        <v>6045</v>
      </c>
      <c r="I1476" t="s">
        <v>274</v>
      </c>
      <c r="N1476" t="s">
        <v>8066</v>
      </c>
      <c r="O1476" t="s">
        <v>294</v>
      </c>
    </row>
    <row r="1477" spans="8:15" x14ac:dyDescent="0.25">
      <c r="H1477" t="s">
        <v>5365</v>
      </c>
      <c r="I1477" t="s">
        <v>274</v>
      </c>
      <c r="N1477" t="s">
        <v>7117</v>
      </c>
      <c r="O1477" t="s">
        <v>292</v>
      </c>
    </row>
    <row r="1478" spans="8:15" x14ac:dyDescent="0.25">
      <c r="H1478" t="s">
        <v>5365</v>
      </c>
      <c r="I1478" t="s">
        <v>274</v>
      </c>
      <c r="N1478" t="s">
        <v>7117</v>
      </c>
      <c r="O1478" t="s">
        <v>292</v>
      </c>
    </row>
    <row r="1479" spans="8:15" x14ac:dyDescent="0.25">
      <c r="H1479" t="s">
        <v>5716</v>
      </c>
      <c r="I1479" t="s">
        <v>274</v>
      </c>
      <c r="N1479" t="s">
        <v>7129</v>
      </c>
      <c r="O1479" t="s">
        <v>292</v>
      </c>
    </row>
    <row r="1480" spans="8:15" x14ac:dyDescent="0.25">
      <c r="H1480" t="s">
        <v>5226</v>
      </c>
      <c r="I1480" t="s">
        <v>274</v>
      </c>
      <c r="N1480" t="s">
        <v>7129</v>
      </c>
      <c r="O1480" t="s">
        <v>292</v>
      </c>
    </row>
    <row r="1481" spans="8:15" x14ac:dyDescent="0.25">
      <c r="H1481" t="s">
        <v>5625</v>
      </c>
      <c r="I1481" t="s">
        <v>29</v>
      </c>
      <c r="N1481" t="s">
        <v>7129</v>
      </c>
      <c r="O1481" t="s">
        <v>292</v>
      </c>
    </row>
    <row r="1482" spans="8:15" x14ac:dyDescent="0.25">
      <c r="H1482" t="s">
        <v>5429</v>
      </c>
      <c r="I1482" t="s">
        <v>29</v>
      </c>
      <c r="N1482" t="s">
        <v>7129</v>
      </c>
      <c r="O1482" t="s">
        <v>292</v>
      </c>
    </row>
    <row r="1483" spans="8:15" x14ac:dyDescent="0.25">
      <c r="H1483" t="s">
        <v>5629</v>
      </c>
      <c r="I1483" t="s">
        <v>29</v>
      </c>
      <c r="N1483" t="s">
        <v>300</v>
      </c>
      <c r="O1483" t="s">
        <v>301</v>
      </c>
    </row>
    <row r="1484" spans="8:15" x14ac:dyDescent="0.25">
      <c r="H1484" t="s">
        <v>5629</v>
      </c>
      <c r="I1484" t="s">
        <v>29</v>
      </c>
      <c r="N1484" t="s">
        <v>8072</v>
      </c>
      <c r="O1484" t="s">
        <v>301</v>
      </c>
    </row>
    <row r="1485" spans="8:15" x14ac:dyDescent="0.25">
      <c r="H1485" t="s">
        <v>5266</v>
      </c>
      <c r="I1485" t="s">
        <v>29</v>
      </c>
      <c r="N1485" t="s">
        <v>8072</v>
      </c>
      <c r="O1485" t="s">
        <v>301</v>
      </c>
    </row>
    <row r="1486" spans="8:15" x14ac:dyDescent="0.25">
      <c r="H1486" t="s">
        <v>6393</v>
      </c>
      <c r="I1486" t="s">
        <v>29</v>
      </c>
      <c r="N1486" t="s">
        <v>7415</v>
      </c>
      <c r="O1486" t="s">
        <v>301</v>
      </c>
    </row>
    <row r="1487" spans="8:15" x14ac:dyDescent="0.25">
      <c r="H1487" t="s">
        <v>276</v>
      </c>
      <c r="I1487" t="s">
        <v>277</v>
      </c>
      <c r="N1487" t="s">
        <v>7415</v>
      </c>
      <c r="O1487" t="s">
        <v>301</v>
      </c>
    </row>
    <row r="1488" spans="8:15" x14ac:dyDescent="0.25">
      <c r="H1488" t="s">
        <v>276</v>
      </c>
      <c r="I1488" t="s">
        <v>277</v>
      </c>
      <c r="N1488" t="s">
        <v>7733</v>
      </c>
      <c r="O1488" t="s">
        <v>301</v>
      </c>
    </row>
    <row r="1489" spans="8:15" x14ac:dyDescent="0.25">
      <c r="H1489" t="s">
        <v>276</v>
      </c>
      <c r="I1489" t="s">
        <v>277</v>
      </c>
      <c r="N1489" t="s">
        <v>302</v>
      </c>
      <c r="O1489" t="s">
        <v>303</v>
      </c>
    </row>
    <row r="1490" spans="8:15" x14ac:dyDescent="0.25">
      <c r="H1490" t="s">
        <v>276</v>
      </c>
      <c r="I1490" t="s">
        <v>277</v>
      </c>
      <c r="N1490" t="s">
        <v>302</v>
      </c>
      <c r="O1490" t="s">
        <v>303</v>
      </c>
    </row>
    <row r="1491" spans="8:15" x14ac:dyDescent="0.25">
      <c r="H1491" t="s">
        <v>276</v>
      </c>
      <c r="I1491" t="s">
        <v>277</v>
      </c>
      <c r="N1491" t="s">
        <v>304</v>
      </c>
      <c r="O1491" t="s">
        <v>305</v>
      </c>
    </row>
    <row r="1492" spans="8:15" x14ac:dyDescent="0.25">
      <c r="H1492" t="s">
        <v>276</v>
      </c>
      <c r="I1492" t="s">
        <v>277</v>
      </c>
      <c r="N1492" t="s">
        <v>304</v>
      </c>
      <c r="O1492" t="s">
        <v>305</v>
      </c>
    </row>
    <row r="1493" spans="8:15" x14ac:dyDescent="0.25">
      <c r="H1493" t="s">
        <v>276</v>
      </c>
      <c r="I1493" t="s">
        <v>277</v>
      </c>
      <c r="N1493" t="s">
        <v>304</v>
      </c>
      <c r="O1493" t="s">
        <v>305</v>
      </c>
    </row>
    <row r="1494" spans="8:15" x14ac:dyDescent="0.25">
      <c r="H1494" t="s">
        <v>276</v>
      </c>
      <c r="I1494" t="s">
        <v>277</v>
      </c>
      <c r="N1494" t="s">
        <v>304</v>
      </c>
      <c r="O1494" t="s">
        <v>305</v>
      </c>
    </row>
    <row r="1495" spans="8:15" x14ac:dyDescent="0.25">
      <c r="H1495" t="s">
        <v>276</v>
      </c>
      <c r="I1495" t="s">
        <v>277</v>
      </c>
      <c r="N1495" t="s">
        <v>7726</v>
      </c>
      <c r="O1495" t="s">
        <v>305</v>
      </c>
    </row>
    <row r="1496" spans="8:15" x14ac:dyDescent="0.25">
      <c r="H1496" t="s">
        <v>276</v>
      </c>
      <c r="I1496" t="s">
        <v>277</v>
      </c>
      <c r="N1496" t="s">
        <v>7485</v>
      </c>
      <c r="O1496" t="s">
        <v>305</v>
      </c>
    </row>
    <row r="1497" spans="8:15" x14ac:dyDescent="0.25">
      <c r="H1497" t="s">
        <v>276</v>
      </c>
      <c r="I1497" t="s">
        <v>277</v>
      </c>
      <c r="N1497" t="s">
        <v>7485</v>
      </c>
      <c r="O1497" t="s">
        <v>305</v>
      </c>
    </row>
    <row r="1498" spans="8:15" x14ac:dyDescent="0.25">
      <c r="H1498" t="s">
        <v>276</v>
      </c>
      <c r="I1498" t="s">
        <v>277</v>
      </c>
      <c r="N1498" t="s">
        <v>7513</v>
      </c>
      <c r="O1498" t="s">
        <v>303</v>
      </c>
    </row>
    <row r="1499" spans="8:15" x14ac:dyDescent="0.25">
      <c r="H1499" t="s">
        <v>276</v>
      </c>
      <c r="I1499" t="s">
        <v>277</v>
      </c>
      <c r="N1499" t="s">
        <v>7535</v>
      </c>
      <c r="O1499" t="s">
        <v>303</v>
      </c>
    </row>
    <row r="1500" spans="8:15" x14ac:dyDescent="0.25">
      <c r="H1500" t="s">
        <v>276</v>
      </c>
      <c r="I1500" t="s">
        <v>277</v>
      </c>
      <c r="N1500" t="s">
        <v>306</v>
      </c>
      <c r="O1500" t="s">
        <v>307</v>
      </c>
    </row>
    <row r="1501" spans="8:15" x14ac:dyDescent="0.25">
      <c r="H1501" t="s">
        <v>276</v>
      </c>
      <c r="I1501" t="s">
        <v>277</v>
      </c>
      <c r="N1501" t="s">
        <v>306</v>
      </c>
      <c r="O1501" t="s">
        <v>307</v>
      </c>
    </row>
    <row r="1502" spans="8:15" x14ac:dyDescent="0.25">
      <c r="H1502" t="s">
        <v>276</v>
      </c>
      <c r="I1502" t="s">
        <v>277</v>
      </c>
      <c r="N1502" t="s">
        <v>306</v>
      </c>
      <c r="O1502" t="s">
        <v>307</v>
      </c>
    </row>
    <row r="1503" spans="8:15" x14ac:dyDescent="0.25">
      <c r="H1503" t="s">
        <v>276</v>
      </c>
      <c r="I1503" t="s">
        <v>277</v>
      </c>
      <c r="N1503" t="s">
        <v>306</v>
      </c>
      <c r="O1503" t="s">
        <v>307</v>
      </c>
    </row>
    <row r="1504" spans="8:15" x14ac:dyDescent="0.25">
      <c r="H1504" t="s">
        <v>276</v>
      </c>
      <c r="I1504" t="s">
        <v>277</v>
      </c>
      <c r="N1504" t="s">
        <v>306</v>
      </c>
      <c r="O1504" t="s">
        <v>307</v>
      </c>
    </row>
    <row r="1505" spans="8:15" x14ac:dyDescent="0.25">
      <c r="H1505" t="s">
        <v>276</v>
      </c>
      <c r="I1505" t="s">
        <v>277</v>
      </c>
      <c r="N1505" t="s">
        <v>306</v>
      </c>
      <c r="O1505" t="s">
        <v>307</v>
      </c>
    </row>
    <row r="1506" spans="8:15" x14ac:dyDescent="0.25">
      <c r="H1506" t="s">
        <v>276</v>
      </c>
      <c r="I1506" t="s">
        <v>277</v>
      </c>
      <c r="N1506" t="s">
        <v>306</v>
      </c>
      <c r="O1506" t="s">
        <v>307</v>
      </c>
    </row>
    <row r="1507" spans="8:15" x14ac:dyDescent="0.25">
      <c r="H1507" t="s">
        <v>276</v>
      </c>
      <c r="I1507" t="s">
        <v>277</v>
      </c>
      <c r="N1507" t="s">
        <v>306</v>
      </c>
      <c r="O1507" t="s">
        <v>307</v>
      </c>
    </row>
    <row r="1508" spans="8:15" x14ac:dyDescent="0.25">
      <c r="H1508" t="s">
        <v>276</v>
      </c>
      <c r="I1508" t="s">
        <v>277</v>
      </c>
      <c r="N1508" t="s">
        <v>306</v>
      </c>
      <c r="O1508" t="s">
        <v>307</v>
      </c>
    </row>
    <row r="1509" spans="8:15" x14ac:dyDescent="0.25">
      <c r="H1509" t="s">
        <v>278</v>
      </c>
      <c r="I1509" t="s">
        <v>279</v>
      </c>
      <c r="N1509" t="s">
        <v>7341</v>
      </c>
      <c r="O1509" t="s">
        <v>307</v>
      </c>
    </row>
    <row r="1510" spans="8:15" x14ac:dyDescent="0.25">
      <c r="H1510" t="s">
        <v>278</v>
      </c>
      <c r="I1510" t="s">
        <v>279</v>
      </c>
      <c r="N1510" t="s">
        <v>7731</v>
      </c>
      <c r="O1510" t="s">
        <v>307</v>
      </c>
    </row>
    <row r="1511" spans="8:15" x14ac:dyDescent="0.25">
      <c r="H1511" t="s">
        <v>278</v>
      </c>
      <c r="I1511" t="s">
        <v>279</v>
      </c>
      <c r="N1511" t="s">
        <v>7439</v>
      </c>
      <c r="O1511" t="s">
        <v>307</v>
      </c>
    </row>
    <row r="1512" spans="8:15" x14ac:dyDescent="0.25">
      <c r="H1512" t="s">
        <v>278</v>
      </c>
      <c r="I1512" t="s">
        <v>279</v>
      </c>
      <c r="N1512" t="s">
        <v>7289</v>
      </c>
      <c r="O1512" t="s">
        <v>307</v>
      </c>
    </row>
    <row r="1513" spans="8:15" x14ac:dyDescent="0.25">
      <c r="H1513" t="s">
        <v>278</v>
      </c>
      <c r="I1513" t="s">
        <v>279</v>
      </c>
      <c r="N1513" t="s">
        <v>7195</v>
      </c>
      <c r="O1513" t="s">
        <v>307</v>
      </c>
    </row>
    <row r="1514" spans="8:15" x14ac:dyDescent="0.25">
      <c r="H1514" t="s">
        <v>278</v>
      </c>
      <c r="I1514" t="s">
        <v>279</v>
      </c>
      <c r="N1514" t="s">
        <v>7152</v>
      </c>
      <c r="O1514" t="s">
        <v>307</v>
      </c>
    </row>
    <row r="1515" spans="8:15" x14ac:dyDescent="0.25">
      <c r="H1515" t="s">
        <v>278</v>
      </c>
      <c r="I1515" t="s">
        <v>279</v>
      </c>
      <c r="N1515" t="s">
        <v>7046</v>
      </c>
      <c r="O1515" t="s">
        <v>307</v>
      </c>
    </row>
    <row r="1516" spans="8:15" x14ac:dyDescent="0.25">
      <c r="H1516" t="s">
        <v>278</v>
      </c>
      <c r="I1516" t="s">
        <v>279</v>
      </c>
      <c r="N1516" t="s">
        <v>7046</v>
      </c>
      <c r="O1516" t="s">
        <v>307</v>
      </c>
    </row>
    <row r="1517" spans="8:15" x14ac:dyDescent="0.25">
      <c r="H1517" t="s">
        <v>278</v>
      </c>
      <c r="I1517" t="s">
        <v>279</v>
      </c>
      <c r="N1517" t="s">
        <v>309</v>
      </c>
      <c r="O1517" t="s">
        <v>310</v>
      </c>
    </row>
    <row r="1518" spans="8:15" x14ac:dyDescent="0.25">
      <c r="H1518" t="s">
        <v>278</v>
      </c>
      <c r="I1518" t="s">
        <v>279</v>
      </c>
      <c r="N1518" t="s">
        <v>309</v>
      </c>
      <c r="O1518" t="s">
        <v>310</v>
      </c>
    </row>
    <row r="1519" spans="8:15" x14ac:dyDescent="0.25">
      <c r="H1519" t="s">
        <v>278</v>
      </c>
      <c r="I1519" t="s">
        <v>279</v>
      </c>
      <c r="N1519" t="s">
        <v>309</v>
      </c>
      <c r="O1519" t="s">
        <v>310</v>
      </c>
    </row>
    <row r="1520" spans="8:15" x14ac:dyDescent="0.25">
      <c r="H1520" t="s">
        <v>278</v>
      </c>
      <c r="I1520" t="s">
        <v>279</v>
      </c>
      <c r="N1520" t="s">
        <v>309</v>
      </c>
      <c r="O1520" t="s">
        <v>310</v>
      </c>
    </row>
    <row r="1521" spans="8:15" x14ac:dyDescent="0.25">
      <c r="H1521" t="s">
        <v>278</v>
      </c>
      <c r="I1521" t="s">
        <v>279</v>
      </c>
      <c r="N1521" t="s">
        <v>309</v>
      </c>
      <c r="O1521" t="s">
        <v>310</v>
      </c>
    </row>
    <row r="1522" spans="8:15" x14ac:dyDescent="0.25">
      <c r="H1522" t="s">
        <v>278</v>
      </c>
      <c r="I1522" t="s">
        <v>279</v>
      </c>
      <c r="N1522" t="s">
        <v>309</v>
      </c>
      <c r="O1522" t="s">
        <v>310</v>
      </c>
    </row>
    <row r="1523" spans="8:15" x14ac:dyDescent="0.25">
      <c r="H1523" t="s">
        <v>278</v>
      </c>
      <c r="I1523" t="s">
        <v>279</v>
      </c>
      <c r="N1523" t="s">
        <v>309</v>
      </c>
      <c r="O1523" t="s">
        <v>310</v>
      </c>
    </row>
    <row r="1524" spans="8:15" x14ac:dyDescent="0.25">
      <c r="H1524" t="s">
        <v>5773</v>
      </c>
      <c r="I1524" t="s">
        <v>279</v>
      </c>
      <c r="N1524" t="s">
        <v>309</v>
      </c>
      <c r="O1524" t="s">
        <v>310</v>
      </c>
    </row>
    <row r="1525" spans="8:15" x14ac:dyDescent="0.25">
      <c r="H1525" t="s">
        <v>5730</v>
      </c>
      <c r="I1525" t="s">
        <v>279</v>
      </c>
      <c r="N1525" t="s">
        <v>309</v>
      </c>
      <c r="O1525" t="s">
        <v>310</v>
      </c>
    </row>
    <row r="1526" spans="8:15" x14ac:dyDescent="0.25">
      <c r="H1526" t="s">
        <v>5590</v>
      </c>
      <c r="I1526" t="s">
        <v>279</v>
      </c>
      <c r="N1526" t="s">
        <v>309</v>
      </c>
      <c r="O1526" t="s">
        <v>310</v>
      </c>
    </row>
    <row r="1527" spans="8:15" x14ac:dyDescent="0.25">
      <c r="H1527" t="s">
        <v>5740</v>
      </c>
      <c r="I1527" t="s">
        <v>279</v>
      </c>
      <c r="N1527" t="s">
        <v>309</v>
      </c>
      <c r="O1527" t="s">
        <v>310</v>
      </c>
    </row>
    <row r="1528" spans="8:15" x14ac:dyDescent="0.25">
      <c r="H1528" t="s">
        <v>6009</v>
      </c>
      <c r="I1528" t="s">
        <v>279</v>
      </c>
      <c r="N1528" t="s">
        <v>309</v>
      </c>
      <c r="O1528" t="s">
        <v>310</v>
      </c>
    </row>
    <row r="1529" spans="8:15" x14ac:dyDescent="0.25">
      <c r="H1529" t="s">
        <v>6178</v>
      </c>
      <c r="I1529" t="s">
        <v>279</v>
      </c>
      <c r="N1529" t="s">
        <v>309</v>
      </c>
      <c r="O1529" t="s">
        <v>310</v>
      </c>
    </row>
    <row r="1530" spans="8:15" x14ac:dyDescent="0.25">
      <c r="H1530" t="s">
        <v>5621</v>
      </c>
      <c r="I1530" t="s">
        <v>279</v>
      </c>
      <c r="N1530" t="s">
        <v>7918</v>
      </c>
      <c r="O1530" t="s">
        <v>310</v>
      </c>
    </row>
    <row r="1531" spans="8:15" x14ac:dyDescent="0.25">
      <c r="H1531" t="s">
        <v>6712</v>
      </c>
      <c r="I1531" t="s">
        <v>279</v>
      </c>
      <c r="N1531" t="s">
        <v>6871</v>
      </c>
      <c r="O1531" t="s">
        <v>310</v>
      </c>
    </row>
    <row r="1532" spans="8:15" x14ac:dyDescent="0.25">
      <c r="H1532" t="s">
        <v>5731</v>
      </c>
      <c r="I1532" t="s">
        <v>279</v>
      </c>
      <c r="N1532" t="s">
        <v>7315</v>
      </c>
      <c r="O1532" t="s">
        <v>310</v>
      </c>
    </row>
    <row r="1533" spans="8:15" x14ac:dyDescent="0.25">
      <c r="H1533" t="s">
        <v>5731</v>
      </c>
      <c r="I1533" t="s">
        <v>279</v>
      </c>
      <c r="N1533" t="s">
        <v>7110</v>
      </c>
      <c r="O1533" t="s">
        <v>310</v>
      </c>
    </row>
    <row r="1534" spans="8:15" x14ac:dyDescent="0.25">
      <c r="H1534" t="s">
        <v>6768</v>
      </c>
      <c r="I1534" t="s">
        <v>279</v>
      </c>
      <c r="N1534" t="s">
        <v>7833</v>
      </c>
      <c r="O1534" t="s">
        <v>310</v>
      </c>
    </row>
    <row r="1535" spans="8:15" x14ac:dyDescent="0.25">
      <c r="H1535" t="s">
        <v>6278</v>
      </c>
      <c r="I1535" t="s">
        <v>279</v>
      </c>
      <c r="N1535" t="s">
        <v>7502</v>
      </c>
      <c r="O1535" t="s">
        <v>310</v>
      </c>
    </row>
    <row r="1536" spans="8:15" x14ac:dyDescent="0.25">
      <c r="H1536" t="s">
        <v>5992</v>
      </c>
      <c r="I1536" t="s">
        <v>279</v>
      </c>
      <c r="N1536" t="s">
        <v>7939</v>
      </c>
      <c r="O1536" t="s">
        <v>310</v>
      </c>
    </row>
    <row r="1537" spans="8:15" x14ac:dyDescent="0.25">
      <c r="H1537" t="s">
        <v>5658</v>
      </c>
      <c r="I1537" t="s">
        <v>279</v>
      </c>
      <c r="N1537" t="s">
        <v>7386</v>
      </c>
      <c r="O1537" t="s">
        <v>310</v>
      </c>
    </row>
    <row r="1538" spans="8:15" x14ac:dyDescent="0.25">
      <c r="H1538" t="s">
        <v>5284</v>
      </c>
      <c r="I1538" t="s">
        <v>279</v>
      </c>
      <c r="N1538" t="s">
        <v>7386</v>
      </c>
      <c r="O1538" t="s">
        <v>310</v>
      </c>
    </row>
    <row r="1539" spans="8:15" x14ac:dyDescent="0.25">
      <c r="H1539" t="s">
        <v>5566</v>
      </c>
      <c r="I1539" t="s">
        <v>279</v>
      </c>
      <c r="N1539" t="s">
        <v>311</v>
      </c>
      <c r="O1539" t="s">
        <v>312</v>
      </c>
    </row>
    <row r="1540" spans="8:15" x14ac:dyDescent="0.25">
      <c r="H1540" t="s">
        <v>5481</v>
      </c>
      <c r="I1540" t="s">
        <v>277</v>
      </c>
      <c r="N1540" t="s">
        <v>311</v>
      </c>
      <c r="O1540" t="s">
        <v>312</v>
      </c>
    </row>
    <row r="1541" spans="8:15" x14ac:dyDescent="0.25">
      <c r="H1541" t="s">
        <v>5993</v>
      </c>
      <c r="I1541" t="s">
        <v>277</v>
      </c>
      <c r="N1541" t="s">
        <v>311</v>
      </c>
      <c r="O1541" t="s">
        <v>312</v>
      </c>
    </row>
    <row r="1542" spans="8:15" x14ac:dyDescent="0.25">
      <c r="H1542" t="s">
        <v>6185</v>
      </c>
      <c r="I1542" t="s">
        <v>277</v>
      </c>
      <c r="N1542" t="s">
        <v>311</v>
      </c>
      <c r="O1542" t="s">
        <v>312</v>
      </c>
    </row>
    <row r="1543" spans="8:15" x14ac:dyDescent="0.25">
      <c r="H1543" t="s">
        <v>280</v>
      </c>
      <c r="I1543" t="s">
        <v>281</v>
      </c>
      <c r="N1543" t="s">
        <v>311</v>
      </c>
      <c r="O1543" t="s">
        <v>312</v>
      </c>
    </row>
    <row r="1544" spans="8:15" x14ac:dyDescent="0.25">
      <c r="H1544" t="s">
        <v>280</v>
      </c>
      <c r="I1544" t="s">
        <v>281</v>
      </c>
      <c r="N1544" t="s">
        <v>311</v>
      </c>
      <c r="O1544" t="s">
        <v>312</v>
      </c>
    </row>
    <row r="1545" spans="8:15" x14ac:dyDescent="0.25">
      <c r="H1545" t="s">
        <v>280</v>
      </c>
      <c r="I1545" t="s">
        <v>281</v>
      </c>
      <c r="N1545" t="s">
        <v>311</v>
      </c>
      <c r="O1545" t="s">
        <v>312</v>
      </c>
    </row>
    <row r="1546" spans="8:15" x14ac:dyDescent="0.25">
      <c r="H1546" t="s">
        <v>280</v>
      </c>
      <c r="I1546" t="s">
        <v>281</v>
      </c>
      <c r="N1546" t="s">
        <v>311</v>
      </c>
      <c r="O1546" t="s">
        <v>312</v>
      </c>
    </row>
    <row r="1547" spans="8:15" x14ac:dyDescent="0.25">
      <c r="H1547" t="s">
        <v>280</v>
      </c>
      <c r="I1547" t="s">
        <v>281</v>
      </c>
      <c r="N1547" t="s">
        <v>311</v>
      </c>
      <c r="O1547" t="s">
        <v>312</v>
      </c>
    </row>
    <row r="1548" spans="8:15" x14ac:dyDescent="0.25">
      <c r="H1548" t="s">
        <v>280</v>
      </c>
      <c r="I1548" t="s">
        <v>281</v>
      </c>
      <c r="N1548" t="s">
        <v>311</v>
      </c>
      <c r="O1548" t="s">
        <v>312</v>
      </c>
    </row>
    <row r="1549" spans="8:15" x14ac:dyDescent="0.25">
      <c r="H1549" t="s">
        <v>280</v>
      </c>
      <c r="I1549" t="s">
        <v>281</v>
      </c>
      <c r="N1549" t="s">
        <v>311</v>
      </c>
      <c r="O1549" t="s">
        <v>312</v>
      </c>
    </row>
    <row r="1550" spans="8:15" x14ac:dyDescent="0.25">
      <c r="H1550" t="s">
        <v>280</v>
      </c>
      <c r="I1550" t="s">
        <v>281</v>
      </c>
      <c r="N1550" t="s">
        <v>311</v>
      </c>
      <c r="O1550" t="s">
        <v>312</v>
      </c>
    </row>
    <row r="1551" spans="8:15" x14ac:dyDescent="0.25">
      <c r="H1551" t="s">
        <v>280</v>
      </c>
      <c r="I1551" t="s">
        <v>281</v>
      </c>
      <c r="N1551" t="s">
        <v>311</v>
      </c>
      <c r="O1551" t="s">
        <v>312</v>
      </c>
    </row>
    <row r="1552" spans="8:15" x14ac:dyDescent="0.25">
      <c r="H1552" t="s">
        <v>280</v>
      </c>
      <c r="I1552" t="s">
        <v>281</v>
      </c>
      <c r="N1552" t="s">
        <v>311</v>
      </c>
      <c r="O1552" t="s">
        <v>312</v>
      </c>
    </row>
    <row r="1553" spans="8:15" x14ac:dyDescent="0.25">
      <c r="H1553" t="s">
        <v>280</v>
      </c>
      <c r="I1553" t="s">
        <v>281</v>
      </c>
      <c r="N1553" t="s">
        <v>311</v>
      </c>
      <c r="O1553" t="s">
        <v>312</v>
      </c>
    </row>
    <row r="1554" spans="8:15" x14ac:dyDescent="0.25">
      <c r="H1554" t="s">
        <v>280</v>
      </c>
      <c r="I1554" t="s">
        <v>281</v>
      </c>
      <c r="N1554" t="s">
        <v>311</v>
      </c>
      <c r="O1554" t="s">
        <v>312</v>
      </c>
    </row>
    <row r="1555" spans="8:15" x14ac:dyDescent="0.25">
      <c r="H1555" t="s">
        <v>280</v>
      </c>
      <c r="I1555" t="s">
        <v>281</v>
      </c>
      <c r="N1555" t="s">
        <v>311</v>
      </c>
      <c r="O1555" t="s">
        <v>312</v>
      </c>
    </row>
    <row r="1556" spans="8:15" x14ac:dyDescent="0.25">
      <c r="H1556" t="s">
        <v>280</v>
      </c>
      <c r="I1556" t="s">
        <v>281</v>
      </c>
      <c r="N1556" t="s">
        <v>311</v>
      </c>
      <c r="O1556" t="s">
        <v>312</v>
      </c>
    </row>
    <row r="1557" spans="8:15" x14ac:dyDescent="0.25">
      <c r="H1557" t="s">
        <v>280</v>
      </c>
      <c r="I1557" t="s">
        <v>281</v>
      </c>
      <c r="N1557" t="s">
        <v>311</v>
      </c>
      <c r="O1557" t="s">
        <v>312</v>
      </c>
    </row>
    <row r="1558" spans="8:15" x14ac:dyDescent="0.25">
      <c r="H1558" t="s">
        <v>280</v>
      </c>
      <c r="I1558" t="s">
        <v>281</v>
      </c>
      <c r="N1558" t="s">
        <v>311</v>
      </c>
      <c r="O1558" t="s">
        <v>312</v>
      </c>
    </row>
    <row r="1559" spans="8:15" x14ac:dyDescent="0.25">
      <c r="H1559" t="s">
        <v>280</v>
      </c>
      <c r="I1559" t="s">
        <v>281</v>
      </c>
      <c r="N1559" t="s">
        <v>311</v>
      </c>
      <c r="O1559" t="s">
        <v>312</v>
      </c>
    </row>
    <row r="1560" spans="8:15" x14ac:dyDescent="0.25">
      <c r="H1560" t="s">
        <v>280</v>
      </c>
      <c r="I1560" t="s">
        <v>281</v>
      </c>
      <c r="N1560" t="s">
        <v>311</v>
      </c>
      <c r="O1560" t="s">
        <v>312</v>
      </c>
    </row>
    <row r="1561" spans="8:15" x14ac:dyDescent="0.25">
      <c r="H1561" t="s">
        <v>280</v>
      </c>
      <c r="I1561" t="s">
        <v>281</v>
      </c>
      <c r="N1561" t="s">
        <v>311</v>
      </c>
      <c r="O1561" t="s">
        <v>312</v>
      </c>
    </row>
    <row r="1562" spans="8:15" x14ac:dyDescent="0.25">
      <c r="H1562" t="s">
        <v>280</v>
      </c>
      <c r="I1562" t="s">
        <v>281</v>
      </c>
      <c r="N1562" t="s">
        <v>311</v>
      </c>
      <c r="O1562" t="s">
        <v>312</v>
      </c>
    </row>
    <row r="1563" spans="8:15" x14ac:dyDescent="0.25">
      <c r="H1563" t="s">
        <v>280</v>
      </c>
      <c r="I1563" t="s">
        <v>281</v>
      </c>
      <c r="N1563" t="s">
        <v>311</v>
      </c>
      <c r="O1563" t="s">
        <v>312</v>
      </c>
    </row>
    <row r="1564" spans="8:15" x14ac:dyDescent="0.25">
      <c r="H1564" t="s">
        <v>280</v>
      </c>
      <c r="I1564" t="s">
        <v>281</v>
      </c>
      <c r="N1564" t="s">
        <v>311</v>
      </c>
      <c r="O1564" t="s">
        <v>312</v>
      </c>
    </row>
    <row r="1565" spans="8:15" x14ac:dyDescent="0.25">
      <c r="H1565" t="s">
        <v>280</v>
      </c>
      <c r="I1565" t="s">
        <v>281</v>
      </c>
      <c r="N1565" t="s">
        <v>311</v>
      </c>
      <c r="O1565" t="s">
        <v>312</v>
      </c>
    </row>
    <row r="1566" spans="8:15" x14ac:dyDescent="0.25">
      <c r="H1566" t="s">
        <v>280</v>
      </c>
      <c r="I1566" t="s">
        <v>281</v>
      </c>
      <c r="N1566" t="s">
        <v>6391</v>
      </c>
      <c r="O1566" t="s">
        <v>312</v>
      </c>
    </row>
    <row r="1567" spans="8:15" x14ac:dyDescent="0.25">
      <c r="H1567" t="s">
        <v>280</v>
      </c>
      <c r="I1567" t="s">
        <v>281</v>
      </c>
      <c r="N1567" t="s">
        <v>7455</v>
      </c>
      <c r="O1567" t="s">
        <v>312</v>
      </c>
    </row>
    <row r="1568" spans="8:15" x14ac:dyDescent="0.25">
      <c r="H1568" t="s">
        <v>280</v>
      </c>
      <c r="I1568" t="s">
        <v>281</v>
      </c>
      <c r="N1568" t="s">
        <v>7438</v>
      </c>
      <c r="O1568" t="s">
        <v>312</v>
      </c>
    </row>
    <row r="1569" spans="8:15" x14ac:dyDescent="0.25">
      <c r="H1569" t="s">
        <v>280</v>
      </c>
      <c r="I1569" t="s">
        <v>281</v>
      </c>
      <c r="N1569" t="s">
        <v>7454</v>
      </c>
      <c r="O1569" t="s">
        <v>312</v>
      </c>
    </row>
    <row r="1570" spans="8:15" x14ac:dyDescent="0.25">
      <c r="H1570" t="s">
        <v>280</v>
      </c>
      <c r="I1570" t="s">
        <v>281</v>
      </c>
      <c r="N1570" t="s">
        <v>6943</v>
      </c>
      <c r="O1570" t="s">
        <v>312</v>
      </c>
    </row>
    <row r="1571" spans="8:15" x14ac:dyDescent="0.25">
      <c r="H1571" t="s">
        <v>280</v>
      </c>
      <c r="I1571" t="s">
        <v>281</v>
      </c>
      <c r="N1571" t="s">
        <v>7690</v>
      </c>
      <c r="O1571" t="s">
        <v>312</v>
      </c>
    </row>
    <row r="1572" spans="8:15" x14ac:dyDescent="0.25">
      <c r="H1572" t="s">
        <v>280</v>
      </c>
      <c r="I1572" t="s">
        <v>281</v>
      </c>
      <c r="N1572" t="s">
        <v>7008</v>
      </c>
      <c r="O1572" t="s">
        <v>312</v>
      </c>
    </row>
    <row r="1573" spans="8:15" x14ac:dyDescent="0.25">
      <c r="H1573" t="s">
        <v>280</v>
      </c>
      <c r="I1573" t="s">
        <v>281</v>
      </c>
      <c r="N1573" t="s">
        <v>7890</v>
      </c>
      <c r="O1573" t="s">
        <v>312</v>
      </c>
    </row>
    <row r="1574" spans="8:15" x14ac:dyDescent="0.25">
      <c r="H1574" t="s">
        <v>280</v>
      </c>
      <c r="I1574" t="s">
        <v>281</v>
      </c>
      <c r="N1574" t="s">
        <v>7595</v>
      </c>
      <c r="O1574" t="s">
        <v>312</v>
      </c>
    </row>
    <row r="1575" spans="8:15" x14ac:dyDescent="0.25">
      <c r="H1575" t="s">
        <v>283</v>
      </c>
      <c r="I1575" t="s">
        <v>284</v>
      </c>
      <c r="N1575" t="s">
        <v>7050</v>
      </c>
      <c r="O1575" t="s">
        <v>312</v>
      </c>
    </row>
    <row r="1576" spans="8:15" x14ac:dyDescent="0.25">
      <c r="H1576" t="s">
        <v>283</v>
      </c>
      <c r="I1576" t="s">
        <v>284</v>
      </c>
      <c r="N1576" t="s">
        <v>313</v>
      </c>
      <c r="O1576" t="s">
        <v>314</v>
      </c>
    </row>
    <row r="1577" spans="8:15" x14ac:dyDescent="0.25">
      <c r="H1577" t="s">
        <v>283</v>
      </c>
      <c r="I1577" t="s">
        <v>284</v>
      </c>
      <c r="N1577" t="s">
        <v>313</v>
      </c>
      <c r="O1577" t="s">
        <v>314</v>
      </c>
    </row>
    <row r="1578" spans="8:15" x14ac:dyDescent="0.25">
      <c r="H1578" t="s">
        <v>283</v>
      </c>
      <c r="I1578" t="s">
        <v>284</v>
      </c>
      <c r="N1578" t="s">
        <v>313</v>
      </c>
      <c r="O1578" t="s">
        <v>314</v>
      </c>
    </row>
    <row r="1579" spans="8:15" x14ac:dyDescent="0.25">
      <c r="H1579" t="s">
        <v>283</v>
      </c>
      <c r="I1579" t="s">
        <v>284</v>
      </c>
      <c r="N1579" t="s">
        <v>313</v>
      </c>
      <c r="O1579" t="s">
        <v>314</v>
      </c>
    </row>
    <row r="1580" spans="8:15" x14ac:dyDescent="0.25">
      <c r="H1580" t="s">
        <v>283</v>
      </c>
      <c r="I1580" t="s">
        <v>284</v>
      </c>
      <c r="N1580" t="s">
        <v>313</v>
      </c>
      <c r="O1580" t="s">
        <v>314</v>
      </c>
    </row>
    <row r="1581" spans="8:15" x14ac:dyDescent="0.25">
      <c r="H1581" t="s">
        <v>283</v>
      </c>
      <c r="I1581" t="s">
        <v>284</v>
      </c>
      <c r="N1581" t="s">
        <v>313</v>
      </c>
      <c r="O1581" t="s">
        <v>314</v>
      </c>
    </row>
    <row r="1582" spans="8:15" x14ac:dyDescent="0.25">
      <c r="H1582" t="s">
        <v>283</v>
      </c>
      <c r="I1582" t="s">
        <v>284</v>
      </c>
      <c r="N1582" t="s">
        <v>313</v>
      </c>
      <c r="O1582" t="s">
        <v>314</v>
      </c>
    </row>
    <row r="1583" spans="8:15" x14ac:dyDescent="0.25">
      <c r="H1583" t="s">
        <v>6447</v>
      </c>
      <c r="I1583" t="s">
        <v>284</v>
      </c>
      <c r="N1583" t="s">
        <v>313</v>
      </c>
      <c r="O1583" t="s">
        <v>314</v>
      </c>
    </row>
    <row r="1584" spans="8:15" x14ac:dyDescent="0.25">
      <c r="H1584" t="s">
        <v>5379</v>
      </c>
      <c r="I1584" t="s">
        <v>284</v>
      </c>
      <c r="N1584" t="s">
        <v>313</v>
      </c>
      <c r="O1584" t="s">
        <v>314</v>
      </c>
    </row>
    <row r="1585" spans="8:15" x14ac:dyDescent="0.25">
      <c r="H1585" t="s">
        <v>6808</v>
      </c>
      <c r="I1585" t="s">
        <v>284</v>
      </c>
      <c r="N1585" t="s">
        <v>313</v>
      </c>
      <c r="O1585" t="s">
        <v>314</v>
      </c>
    </row>
    <row r="1586" spans="8:15" x14ac:dyDescent="0.25">
      <c r="H1586" t="s">
        <v>5980</v>
      </c>
      <c r="I1586" t="s">
        <v>284</v>
      </c>
      <c r="N1586" t="s">
        <v>313</v>
      </c>
      <c r="O1586" t="s">
        <v>314</v>
      </c>
    </row>
    <row r="1587" spans="8:15" x14ac:dyDescent="0.25">
      <c r="H1587" t="s">
        <v>5980</v>
      </c>
      <c r="I1587" t="s">
        <v>284</v>
      </c>
      <c r="N1587" t="s">
        <v>313</v>
      </c>
      <c r="O1587" t="s">
        <v>314</v>
      </c>
    </row>
    <row r="1588" spans="8:15" x14ac:dyDescent="0.25">
      <c r="H1588" t="s">
        <v>6134</v>
      </c>
      <c r="I1588" t="s">
        <v>284</v>
      </c>
      <c r="N1588" t="s">
        <v>313</v>
      </c>
      <c r="O1588" t="s">
        <v>314</v>
      </c>
    </row>
    <row r="1589" spans="8:15" x14ac:dyDescent="0.25">
      <c r="H1589" t="s">
        <v>5374</v>
      </c>
      <c r="I1589" t="s">
        <v>284</v>
      </c>
      <c r="N1589" t="s">
        <v>313</v>
      </c>
      <c r="O1589" t="s">
        <v>314</v>
      </c>
    </row>
    <row r="1590" spans="8:15" x14ac:dyDescent="0.25">
      <c r="H1590" t="s">
        <v>6437</v>
      </c>
      <c r="I1590" t="s">
        <v>284</v>
      </c>
      <c r="N1590" t="s">
        <v>313</v>
      </c>
      <c r="O1590" t="s">
        <v>314</v>
      </c>
    </row>
    <row r="1591" spans="8:15" x14ac:dyDescent="0.25">
      <c r="H1591" t="s">
        <v>6437</v>
      </c>
      <c r="I1591" t="s">
        <v>284</v>
      </c>
      <c r="N1591" t="s">
        <v>313</v>
      </c>
      <c r="O1591" t="s">
        <v>314</v>
      </c>
    </row>
    <row r="1592" spans="8:15" x14ac:dyDescent="0.25">
      <c r="H1592" t="s">
        <v>5622</v>
      </c>
      <c r="I1592" t="s">
        <v>284</v>
      </c>
      <c r="N1592" t="s">
        <v>313</v>
      </c>
      <c r="O1592" t="s">
        <v>314</v>
      </c>
    </row>
    <row r="1593" spans="8:15" x14ac:dyDescent="0.25">
      <c r="H1593" t="s">
        <v>286</v>
      </c>
      <c r="I1593" t="s">
        <v>287</v>
      </c>
      <c r="N1593" t="s">
        <v>313</v>
      </c>
      <c r="O1593" t="s">
        <v>314</v>
      </c>
    </row>
    <row r="1594" spans="8:15" x14ac:dyDescent="0.25">
      <c r="H1594" t="s">
        <v>286</v>
      </c>
      <c r="I1594" t="s">
        <v>287</v>
      </c>
      <c r="N1594" t="s">
        <v>313</v>
      </c>
      <c r="O1594" t="s">
        <v>314</v>
      </c>
    </row>
    <row r="1595" spans="8:15" x14ac:dyDescent="0.25">
      <c r="H1595" t="s">
        <v>286</v>
      </c>
      <c r="I1595" t="s">
        <v>287</v>
      </c>
      <c r="N1595" t="s">
        <v>313</v>
      </c>
      <c r="O1595" t="s">
        <v>314</v>
      </c>
    </row>
    <row r="1596" spans="8:15" x14ac:dyDescent="0.25">
      <c r="H1596" t="s">
        <v>286</v>
      </c>
      <c r="I1596" t="s">
        <v>287</v>
      </c>
      <c r="N1596" t="s">
        <v>313</v>
      </c>
      <c r="O1596" t="s">
        <v>314</v>
      </c>
    </row>
    <row r="1597" spans="8:15" x14ac:dyDescent="0.25">
      <c r="H1597" t="s">
        <v>286</v>
      </c>
      <c r="I1597" t="s">
        <v>287</v>
      </c>
      <c r="N1597" t="s">
        <v>313</v>
      </c>
      <c r="O1597" t="s">
        <v>314</v>
      </c>
    </row>
    <row r="1598" spans="8:15" x14ac:dyDescent="0.25">
      <c r="H1598" t="s">
        <v>286</v>
      </c>
      <c r="I1598" t="s">
        <v>287</v>
      </c>
      <c r="N1598" t="s">
        <v>313</v>
      </c>
      <c r="O1598" t="s">
        <v>314</v>
      </c>
    </row>
    <row r="1599" spans="8:15" x14ac:dyDescent="0.25">
      <c r="H1599" t="s">
        <v>286</v>
      </c>
      <c r="I1599" t="s">
        <v>287</v>
      </c>
      <c r="N1599" t="s">
        <v>313</v>
      </c>
      <c r="O1599" t="s">
        <v>314</v>
      </c>
    </row>
    <row r="1600" spans="8:15" x14ac:dyDescent="0.25">
      <c r="H1600" t="s">
        <v>286</v>
      </c>
      <c r="I1600" t="s">
        <v>287</v>
      </c>
      <c r="N1600" t="s">
        <v>313</v>
      </c>
      <c r="O1600" t="s">
        <v>314</v>
      </c>
    </row>
    <row r="1601" spans="8:15" x14ac:dyDescent="0.25">
      <c r="H1601" t="s">
        <v>286</v>
      </c>
      <c r="I1601" t="s">
        <v>287</v>
      </c>
      <c r="N1601" t="s">
        <v>313</v>
      </c>
      <c r="O1601" t="s">
        <v>314</v>
      </c>
    </row>
    <row r="1602" spans="8:15" x14ac:dyDescent="0.25">
      <c r="H1602" t="s">
        <v>286</v>
      </c>
      <c r="I1602" t="s">
        <v>287</v>
      </c>
      <c r="N1602" t="s">
        <v>313</v>
      </c>
      <c r="O1602" t="s">
        <v>314</v>
      </c>
    </row>
    <row r="1603" spans="8:15" x14ac:dyDescent="0.25">
      <c r="H1603" t="s">
        <v>286</v>
      </c>
      <c r="I1603" t="s">
        <v>287</v>
      </c>
      <c r="N1603" t="s">
        <v>313</v>
      </c>
      <c r="O1603" t="s">
        <v>314</v>
      </c>
    </row>
    <row r="1604" spans="8:15" x14ac:dyDescent="0.25">
      <c r="H1604" t="s">
        <v>286</v>
      </c>
      <c r="I1604" t="s">
        <v>287</v>
      </c>
      <c r="N1604" t="s">
        <v>313</v>
      </c>
      <c r="O1604" t="s">
        <v>314</v>
      </c>
    </row>
    <row r="1605" spans="8:15" x14ac:dyDescent="0.25">
      <c r="H1605" t="s">
        <v>286</v>
      </c>
      <c r="I1605" t="s">
        <v>287</v>
      </c>
      <c r="N1605" t="s">
        <v>313</v>
      </c>
      <c r="O1605" t="s">
        <v>314</v>
      </c>
    </row>
    <row r="1606" spans="8:15" x14ac:dyDescent="0.25">
      <c r="H1606" t="s">
        <v>286</v>
      </c>
      <c r="I1606" t="s">
        <v>287</v>
      </c>
      <c r="N1606" t="s">
        <v>313</v>
      </c>
      <c r="O1606" t="s">
        <v>314</v>
      </c>
    </row>
    <row r="1607" spans="8:15" x14ac:dyDescent="0.25">
      <c r="H1607" t="s">
        <v>286</v>
      </c>
      <c r="I1607" t="s">
        <v>287</v>
      </c>
      <c r="N1607" t="s">
        <v>313</v>
      </c>
      <c r="O1607" t="s">
        <v>314</v>
      </c>
    </row>
    <row r="1608" spans="8:15" x14ac:dyDescent="0.25">
      <c r="H1608" t="s">
        <v>286</v>
      </c>
      <c r="I1608" t="s">
        <v>287</v>
      </c>
      <c r="N1608" t="s">
        <v>313</v>
      </c>
      <c r="O1608" t="s">
        <v>314</v>
      </c>
    </row>
    <row r="1609" spans="8:15" x14ac:dyDescent="0.25">
      <c r="H1609" t="s">
        <v>286</v>
      </c>
      <c r="I1609" t="s">
        <v>287</v>
      </c>
      <c r="N1609" t="s">
        <v>313</v>
      </c>
      <c r="O1609" t="s">
        <v>314</v>
      </c>
    </row>
    <row r="1610" spans="8:15" x14ac:dyDescent="0.25">
      <c r="H1610" t="s">
        <v>286</v>
      </c>
      <c r="I1610" t="s">
        <v>287</v>
      </c>
      <c r="N1610" t="s">
        <v>313</v>
      </c>
      <c r="O1610" t="s">
        <v>314</v>
      </c>
    </row>
    <row r="1611" spans="8:15" x14ac:dyDescent="0.25">
      <c r="H1611" t="s">
        <v>286</v>
      </c>
      <c r="I1611" t="s">
        <v>287</v>
      </c>
      <c r="N1611" t="s">
        <v>313</v>
      </c>
      <c r="O1611" t="s">
        <v>314</v>
      </c>
    </row>
    <row r="1612" spans="8:15" x14ac:dyDescent="0.25">
      <c r="H1612" t="s">
        <v>286</v>
      </c>
      <c r="I1612" t="s">
        <v>287</v>
      </c>
      <c r="N1612" t="s">
        <v>313</v>
      </c>
      <c r="O1612" t="s">
        <v>314</v>
      </c>
    </row>
    <row r="1613" spans="8:15" x14ac:dyDescent="0.25">
      <c r="H1613" t="s">
        <v>286</v>
      </c>
      <c r="I1613" t="s">
        <v>287</v>
      </c>
      <c r="N1613" t="s">
        <v>313</v>
      </c>
      <c r="O1613" t="s">
        <v>314</v>
      </c>
    </row>
    <row r="1614" spans="8:15" x14ac:dyDescent="0.25">
      <c r="H1614" t="s">
        <v>5433</v>
      </c>
      <c r="I1614" t="s">
        <v>287</v>
      </c>
      <c r="N1614" t="s">
        <v>313</v>
      </c>
      <c r="O1614" t="s">
        <v>314</v>
      </c>
    </row>
    <row r="1615" spans="8:15" x14ac:dyDescent="0.25">
      <c r="H1615" t="s">
        <v>6361</v>
      </c>
      <c r="I1615" t="s">
        <v>287</v>
      </c>
      <c r="N1615" t="s">
        <v>313</v>
      </c>
      <c r="O1615" t="s">
        <v>314</v>
      </c>
    </row>
    <row r="1616" spans="8:15" x14ac:dyDescent="0.25">
      <c r="H1616" t="s">
        <v>5461</v>
      </c>
      <c r="I1616" t="s">
        <v>287</v>
      </c>
      <c r="N1616" t="s">
        <v>313</v>
      </c>
      <c r="O1616" t="s">
        <v>314</v>
      </c>
    </row>
    <row r="1617" spans="8:15" x14ac:dyDescent="0.25">
      <c r="H1617" t="s">
        <v>7976</v>
      </c>
      <c r="I1617" t="s">
        <v>287</v>
      </c>
      <c r="N1617" t="s">
        <v>313</v>
      </c>
      <c r="O1617" t="s">
        <v>314</v>
      </c>
    </row>
    <row r="1618" spans="8:15" x14ac:dyDescent="0.25">
      <c r="H1618" t="s">
        <v>6167</v>
      </c>
      <c r="I1618" t="s">
        <v>287</v>
      </c>
      <c r="N1618" t="s">
        <v>313</v>
      </c>
      <c r="O1618" t="s">
        <v>314</v>
      </c>
    </row>
    <row r="1619" spans="8:15" x14ac:dyDescent="0.25">
      <c r="H1619" t="s">
        <v>7979</v>
      </c>
      <c r="I1619" t="s">
        <v>287</v>
      </c>
      <c r="N1619" t="s">
        <v>313</v>
      </c>
      <c r="O1619" t="s">
        <v>314</v>
      </c>
    </row>
    <row r="1620" spans="8:15" x14ac:dyDescent="0.25">
      <c r="H1620" t="s">
        <v>5559</v>
      </c>
      <c r="I1620" t="s">
        <v>287</v>
      </c>
      <c r="N1620" t="s">
        <v>313</v>
      </c>
      <c r="O1620" t="s">
        <v>314</v>
      </c>
    </row>
    <row r="1621" spans="8:15" x14ac:dyDescent="0.25">
      <c r="H1621" t="s">
        <v>5739</v>
      </c>
      <c r="I1621" t="s">
        <v>287</v>
      </c>
      <c r="N1621" t="s">
        <v>313</v>
      </c>
      <c r="O1621" t="s">
        <v>314</v>
      </c>
    </row>
    <row r="1622" spans="8:15" x14ac:dyDescent="0.25">
      <c r="H1622" t="s">
        <v>6131</v>
      </c>
      <c r="I1622" t="s">
        <v>287</v>
      </c>
      <c r="N1622" t="s">
        <v>313</v>
      </c>
      <c r="O1622" t="s">
        <v>314</v>
      </c>
    </row>
    <row r="1623" spans="8:15" x14ac:dyDescent="0.25">
      <c r="H1623" t="s">
        <v>289</v>
      </c>
      <c r="I1623" t="s">
        <v>290</v>
      </c>
      <c r="N1623" t="s">
        <v>313</v>
      </c>
      <c r="O1623" t="s">
        <v>314</v>
      </c>
    </row>
    <row r="1624" spans="8:15" x14ac:dyDescent="0.25">
      <c r="H1624" t="s">
        <v>289</v>
      </c>
      <c r="I1624" t="s">
        <v>290</v>
      </c>
      <c r="N1624" t="s">
        <v>313</v>
      </c>
      <c r="O1624" t="s">
        <v>314</v>
      </c>
    </row>
    <row r="1625" spans="8:15" x14ac:dyDescent="0.25">
      <c r="H1625" t="s">
        <v>289</v>
      </c>
      <c r="I1625" t="s">
        <v>290</v>
      </c>
      <c r="N1625" t="s">
        <v>313</v>
      </c>
      <c r="O1625" t="s">
        <v>314</v>
      </c>
    </row>
    <row r="1626" spans="8:15" x14ac:dyDescent="0.25">
      <c r="H1626" t="s">
        <v>289</v>
      </c>
      <c r="I1626" t="s">
        <v>290</v>
      </c>
      <c r="N1626" t="s">
        <v>313</v>
      </c>
      <c r="O1626" t="s">
        <v>314</v>
      </c>
    </row>
    <row r="1627" spans="8:15" x14ac:dyDescent="0.25">
      <c r="H1627" t="s">
        <v>289</v>
      </c>
      <c r="I1627" t="s">
        <v>290</v>
      </c>
      <c r="N1627" t="s">
        <v>313</v>
      </c>
      <c r="O1627" t="s">
        <v>314</v>
      </c>
    </row>
    <row r="1628" spans="8:15" x14ac:dyDescent="0.25">
      <c r="H1628" t="s">
        <v>289</v>
      </c>
      <c r="I1628" t="s">
        <v>290</v>
      </c>
      <c r="N1628" t="s">
        <v>313</v>
      </c>
      <c r="O1628" t="s">
        <v>316</v>
      </c>
    </row>
    <row r="1629" spans="8:15" x14ac:dyDescent="0.25">
      <c r="H1629" t="s">
        <v>289</v>
      </c>
      <c r="I1629" t="s">
        <v>290</v>
      </c>
      <c r="J1629" t="s">
        <v>582</v>
      </c>
      <c r="N1629" t="s">
        <v>313</v>
      </c>
      <c r="O1629" t="s">
        <v>314</v>
      </c>
    </row>
    <row r="1630" spans="8:15" x14ac:dyDescent="0.25">
      <c r="H1630" t="s">
        <v>289</v>
      </c>
      <c r="I1630" t="s">
        <v>582</v>
      </c>
      <c r="N1630" t="s">
        <v>313</v>
      </c>
      <c r="O1630" t="s">
        <v>314</v>
      </c>
    </row>
    <row r="1631" spans="8:15" x14ac:dyDescent="0.25">
      <c r="H1631" t="s">
        <v>289</v>
      </c>
      <c r="I1631" t="s">
        <v>582</v>
      </c>
      <c r="N1631" t="s">
        <v>313</v>
      </c>
      <c r="O1631" t="s">
        <v>314</v>
      </c>
    </row>
    <row r="1632" spans="8:15" x14ac:dyDescent="0.25">
      <c r="H1632" t="s">
        <v>289</v>
      </c>
      <c r="I1632" t="s">
        <v>290</v>
      </c>
      <c r="N1632" t="s">
        <v>313</v>
      </c>
      <c r="O1632" t="s">
        <v>314</v>
      </c>
    </row>
    <row r="1633" spans="8:15" x14ac:dyDescent="0.25">
      <c r="H1633" t="s">
        <v>289</v>
      </c>
      <c r="I1633" t="s">
        <v>290</v>
      </c>
      <c r="N1633" t="s">
        <v>313</v>
      </c>
      <c r="O1633" t="s">
        <v>314</v>
      </c>
    </row>
    <row r="1634" spans="8:15" x14ac:dyDescent="0.25">
      <c r="H1634" t="s">
        <v>289</v>
      </c>
      <c r="I1634" t="s">
        <v>290</v>
      </c>
      <c r="N1634" t="s">
        <v>313</v>
      </c>
      <c r="O1634" t="s">
        <v>314</v>
      </c>
    </row>
    <row r="1635" spans="8:15" x14ac:dyDescent="0.25">
      <c r="H1635" t="s">
        <v>289</v>
      </c>
      <c r="I1635" t="s">
        <v>290</v>
      </c>
      <c r="N1635" t="s">
        <v>313</v>
      </c>
      <c r="O1635" t="s">
        <v>314</v>
      </c>
    </row>
    <row r="1636" spans="8:15" x14ac:dyDescent="0.25">
      <c r="H1636" t="s">
        <v>289</v>
      </c>
      <c r="I1636" t="s">
        <v>290</v>
      </c>
      <c r="J1636" t="s">
        <v>582</v>
      </c>
      <c r="N1636" t="s">
        <v>313</v>
      </c>
      <c r="O1636" t="s">
        <v>314</v>
      </c>
    </row>
    <row r="1637" spans="8:15" x14ac:dyDescent="0.25">
      <c r="H1637" t="s">
        <v>289</v>
      </c>
      <c r="I1637" t="s">
        <v>290</v>
      </c>
      <c r="N1637" t="s">
        <v>313</v>
      </c>
      <c r="O1637" t="s">
        <v>314</v>
      </c>
    </row>
    <row r="1638" spans="8:15" x14ac:dyDescent="0.25">
      <c r="H1638" t="s">
        <v>289</v>
      </c>
      <c r="I1638" t="s">
        <v>290</v>
      </c>
      <c r="N1638" t="s">
        <v>313</v>
      </c>
      <c r="O1638" t="s">
        <v>314</v>
      </c>
    </row>
    <row r="1639" spans="8:15" x14ac:dyDescent="0.25">
      <c r="H1639" t="s">
        <v>289</v>
      </c>
      <c r="I1639" t="s">
        <v>582</v>
      </c>
      <c r="N1639" t="s">
        <v>313</v>
      </c>
      <c r="O1639" t="s">
        <v>314</v>
      </c>
    </row>
    <row r="1640" spans="8:15" x14ac:dyDescent="0.25">
      <c r="H1640" t="s">
        <v>289</v>
      </c>
      <c r="I1640" t="s">
        <v>290</v>
      </c>
      <c r="N1640" t="s">
        <v>313</v>
      </c>
      <c r="O1640" t="s">
        <v>314</v>
      </c>
    </row>
    <row r="1641" spans="8:15" x14ac:dyDescent="0.25">
      <c r="H1641" t="s">
        <v>289</v>
      </c>
      <c r="I1641" t="s">
        <v>290</v>
      </c>
      <c r="N1641" t="s">
        <v>313</v>
      </c>
      <c r="O1641" t="s">
        <v>314</v>
      </c>
    </row>
    <row r="1642" spans="8:15" x14ac:dyDescent="0.25">
      <c r="H1642" t="s">
        <v>289</v>
      </c>
      <c r="I1642" t="s">
        <v>582</v>
      </c>
      <c r="N1642" t="s">
        <v>313</v>
      </c>
      <c r="O1642" t="s">
        <v>314</v>
      </c>
    </row>
    <row r="1643" spans="8:15" x14ac:dyDescent="0.25">
      <c r="H1643" t="s">
        <v>289</v>
      </c>
      <c r="I1643" t="s">
        <v>290</v>
      </c>
      <c r="J1643" t="s">
        <v>582</v>
      </c>
      <c r="N1643" t="s">
        <v>313</v>
      </c>
      <c r="O1643" t="s">
        <v>314</v>
      </c>
    </row>
    <row r="1644" spans="8:15" x14ac:dyDescent="0.25">
      <c r="H1644" t="s">
        <v>289</v>
      </c>
      <c r="I1644" t="s">
        <v>582</v>
      </c>
      <c r="N1644" t="s">
        <v>313</v>
      </c>
      <c r="O1644" t="s">
        <v>314</v>
      </c>
    </row>
    <row r="1645" spans="8:15" x14ac:dyDescent="0.25">
      <c r="H1645" t="s">
        <v>289</v>
      </c>
      <c r="I1645" t="s">
        <v>290</v>
      </c>
      <c r="N1645" t="s">
        <v>313</v>
      </c>
      <c r="O1645" t="s">
        <v>314</v>
      </c>
    </row>
    <row r="1646" spans="8:15" x14ac:dyDescent="0.25">
      <c r="H1646" t="s">
        <v>289</v>
      </c>
      <c r="I1646" t="s">
        <v>290</v>
      </c>
      <c r="J1646" t="s">
        <v>582</v>
      </c>
      <c r="N1646" t="s">
        <v>313</v>
      </c>
      <c r="O1646" t="s">
        <v>314</v>
      </c>
    </row>
    <row r="1647" spans="8:15" x14ac:dyDescent="0.25">
      <c r="H1647" t="s">
        <v>289</v>
      </c>
      <c r="I1647" t="s">
        <v>290</v>
      </c>
      <c r="N1647" t="s">
        <v>313</v>
      </c>
      <c r="O1647" t="s">
        <v>314</v>
      </c>
    </row>
    <row r="1648" spans="8:15" x14ac:dyDescent="0.25">
      <c r="H1648" t="s">
        <v>289</v>
      </c>
      <c r="I1648" t="s">
        <v>582</v>
      </c>
      <c r="N1648" t="s">
        <v>313</v>
      </c>
      <c r="O1648" t="s">
        <v>314</v>
      </c>
    </row>
    <row r="1649" spans="8:15" x14ac:dyDescent="0.25">
      <c r="H1649" t="s">
        <v>289</v>
      </c>
      <c r="I1649" t="s">
        <v>290</v>
      </c>
      <c r="J1649" t="s">
        <v>582</v>
      </c>
      <c r="N1649" t="s">
        <v>313</v>
      </c>
      <c r="O1649" t="s">
        <v>314</v>
      </c>
    </row>
    <row r="1650" spans="8:15" x14ac:dyDescent="0.25">
      <c r="H1650" t="s">
        <v>289</v>
      </c>
      <c r="I1650" t="s">
        <v>517</v>
      </c>
      <c r="N1650" t="s">
        <v>313</v>
      </c>
      <c r="O1650" t="s">
        <v>314</v>
      </c>
    </row>
    <row r="1651" spans="8:15" x14ac:dyDescent="0.25">
      <c r="H1651" t="s">
        <v>289</v>
      </c>
      <c r="I1651" t="s">
        <v>290</v>
      </c>
      <c r="N1651" t="s">
        <v>313</v>
      </c>
      <c r="O1651" t="s">
        <v>314</v>
      </c>
    </row>
    <row r="1652" spans="8:15" x14ac:dyDescent="0.25">
      <c r="H1652" t="s">
        <v>289</v>
      </c>
      <c r="I1652" t="s">
        <v>582</v>
      </c>
      <c r="N1652" t="s">
        <v>313</v>
      </c>
      <c r="O1652" t="s">
        <v>314</v>
      </c>
    </row>
    <row r="1653" spans="8:15" x14ac:dyDescent="0.25">
      <c r="H1653" t="s">
        <v>289</v>
      </c>
      <c r="I1653" t="s">
        <v>290</v>
      </c>
      <c r="N1653" t="s">
        <v>313</v>
      </c>
      <c r="O1653" t="s">
        <v>314</v>
      </c>
    </row>
    <row r="1654" spans="8:15" x14ac:dyDescent="0.25">
      <c r="H1654" t="s">
        <v>289</v>
      </c>
      <c r="I1654" t="s">
        <v>290</v>
      </c>
      <c r="N1654" t="s">
        <v>313</v>
      </c>
      <c r="O1654" t="s">
        <v>314</v>
      </c>
    </row>
    <row r="1655" spans="8:15" x14ac:dyDescent="0.25">
      <c r="H1655" t="s">
        <v>289</v>
      </c>
      <c r="I1655" t="s">
        <v>582</v>
      </c>
      <c r="N1655" t="s">
        <v>313</v>
      </c>
      <c r="O1655" t="s">
        <v>314</v>
      </c>
    </row>
    <row r="1656" spans="8:15" x14ac:dyDescent="0.25">
      <c r="H1656" t="s">
        <v>289</v>
      </c>
      <c r="I1656" t="s">
        <v>290</v>
      </c>
      <c r="N1656" t="s">
        <v>313</v>
      </c>
      <c r="O1656" t="s">
        <v>314</v>
      </c>
    </row>
    <row r="1657" spans="8:15" x14ac:dyDescent="0.25">
      <c r="H1657" t="s">
        <v>289</v>
      </c>
      <c r="I1657" t="s">
        <v>582</v>
      </c>
      <c r="J1657" t="s">
        <v>290</v>
      </c>
      <c r="N1657" t="s">
        <v>313</v>
      </c>
      <c r="O1657" t="s">
        <v>314</v>
      </c>
    </row>
    <row r="1658" spans="8:15" x14ac:dyDescent="0.25">
      <c r="H1658" t="s">
        <v>289</v>
      </c>
      <c r="I1658" t="s">
        <v>290</v>
      </c>
      <c r="N1658" t="s">
        <v>313</v>
      </c>
      <c r="O1658" t="s">
        <v>316</v>
      </c>
    </row>
    <row r="1659" spans="8:15" x14ac:dyDescent="0.25">
      <c r="H1659" t="s">
        <v>289</v>
      </c>
      <c r="I1659" t="s">
        <v>582</v>
      </c>
      <c r="N1659" t="s">
        <v>313</v>
      </c>
      <c r="O1659" t="s">
        <v>316</v>
      </c>
    </row>
    <row r="1660" spans="8:15" x14ac:dyDescent="0.25">
      <c r="H1660" t="s">
        <v>289</v>
      </c>
      <c r="I1660" t="s">
        <v>517</v>
      </c>
      <c r="N1660" t="s">
        <v>313</v>
      </c>
      <c r="O1660" t="s">
        <v>314</v>
      </c>
    </row>
    <row r="1661" spans="8:15" x14ac:dyDescent="0.25">
      <c r="H1661" t="s">
        <v>5457</v>
      </c>
      <c r="I1661" t="s">
        <v>290</v>
      </c>
      <c r="N1661" t="s">
        <v>313</v>
      </c>
      <c r="O1661" t="s">
        <v>314</v>
      </c>
    </row>
    <row r="1662" spans="8:15" x14ac:dyDescent="0.25">
      <c r="H1662" t="s">
        <v>5459</v>
      </c>
      <c r="I1662" t="s">
        <v>290</v>
      </c>
      <c r="J1662" t="s">
        <v>582</v>
      </c>
      <c r="N1662" t="s">
        <v>313</v>
      </c>
      <c r="O1662" t="s">
        <v>314</v>
      </c>
    </row>
    <row r="1663" spans="8:15" x14ac:dyDescent="0.25">
      <c r="H1663" t="s">
        <v>5560</v>
      </c>
      <c r="I1663" t="s">
        <v>582</v>
      </c>
      <c r="J1663" t="s">
        <v>290</v>
      </c>
      <c r="N1663" t="s">
        <v>313</v>
      </c>
      <c r="O1663" t="s">
        <v>314</v>
      </c>
    </row>
    <row r="1664" spans="8:15" x14ac:dyDescent="0.25">
      <c r="H1664" t="s">
        <v>5287</v>
      </c>
      <c r="I1664" t="s">
        <v>290</v>
      </c>
      <c r="J1664" t="s">
        <v>582</v>
      </c>
      <c r="N1664" t="s">
        <v>313</v>
      </c>
      <c r="O1664" t="s">
        <v>314</v>
      </c>
    </row>
    <row r="1665" spans="8:15" x14ac:dyDescent="0.25">
      <c r="H1665" t="s">
        <v>5287</v>
      </c>
      <c r="I1665" t="s">
        <v>290</v>
      </c>
      <c r="N1665" t="s">
        <v>313</v>
      </c>
      <c r="O1665" t="s">
        <v>314</v>
      </c>
    </row>
    <row r="1666" spans="8:15" x14ac:dyDescent="0.25">
      <c r="H1666" t="s">
        <v>5287</v>
      </c>
      <c r="I1666" t="s">
        <v>290</v>
      </c>
      <c r="N1666" t="s">
        <v>313</v>
      </c>
      <c r="O1666" t="s">
        <v>314</v>
      </c>
    </row>
    <row r="1667" spans="8:15" x14ac:dyDescent="0.25">
      <c r="H1667" t="s">
        <v>5287</v>
      </c>
      <c r="I1667" t="s">
        <v>290</v>
      </c>
      <c r="N1667" t="s">
        <v>313</v>
      </c>
      <c r="O1667" t="s">
        <v>314</v>
      </c>
    </row>
    <row r="1668" spans="8:15" x14ac:dyDescent="0.25">
      <c r="H1668" t="s">
        <v>5287</v>
      </c>
      <c r="I1668" t="s">
        <v>290</v>
      </c>
      <c r="N1668" t="s">
        <v>313</v>
      </c>
      <c r="O1668" t="s">
        <v>314</v>
      </c>
    </row>
    <row r="1669" spans="8:15" x14ac:dyDescent="0.25">
      <c r="H1669" t="s">
        <v>5287</v>
      </c>
      <c r="I1669" t="s">
        <v>290</v>
      </c>
      <c r="N1669" t="s">
        <v>313</v>
      </c>
      <c r="O1669" t="s">
        <v>314</v>
      </c>
    </row>
    <row r="1670" spans="8:15" x14ac:dyDescent="0.25">
      <c r="H1670" t="s">
        <v>5287</v>
      </c>
      <c r="I1670" t="s">
        <v>290</v>
      </c>
      <c r="J1670" t="s">
        <v>582</v>
      </c>
      <c r="N1670" t="s">
        <v>313</v>
      </c>
      <c r="O1670" t="s">
        <v>314</v>
      </c>
    </row>
    <row r="1671" spans="8:15" x14ac:dyDescent="0.25">
      <c r="H1671" t="s">
        <v>5896</v>
      </c>
      <c r="I1671" t="s">
        <v>290</v>
      </c>
      <c r="N1671" t="s">
        <v>313</v>
      </c>
      <c r="O1671" t="s">
        <v>314</v>
      </c>
    </row>
    <row r="1672" spans="8:15" x14ac:dyDescent="0.25">
      <c r="H1672" t="s">
        <v>516</v>
      </c>
      <c r="I1672" t="s">
        <v>517</v>
      </c>
      <c r="N1672" t="s">
        <v>313</v>
      </c>
      <c r="O1672" t="s">
        <v>314</v>
      </c>
    </row>
    <row r="1673" spans="8:15" x14ac:dyDescent="0.25">
      <c r="H1673" t="s">
        <v>516</v>
      </c>
      <c r="I1673" t="s">
        <v>517</v>
      </c>
      <c r="N1673" t="s">
        <v>313</v>
      </c>
      <c r="O1673" t="s">
        <v>314</v>
      </c>
    </row>
    <row r="1674" spans="8:15" x14ac:dyDescent="0.25">
      <c r="H1674" t="s">
        <v>516</v>
      </c>
      <c r="I1674" t="s">
        <v>517</v>
      </c>
      <c r="N1674" t="s">
        <v>313</v>
      </c>
      <c r="O1674" t="s">
        <v>314</v>
      </c>
    </row>
    <row r="1675" spans="8:15" x14ac:dyDescent="0.25">
      <c r="H1675" t="s">
        <v>418</v>
      </c>
      <c r="I1675" t="s">
        <v>419</v>
      </c>
      <c r="N1675" t="s">
        <v>313</v>
      </c>
      <c r="O1675" t="s">
        <v>314</v>
      </c>
    </row>
    <row r="1676" spans="8:15" x14ac:dyDescent="0.25">
      <c r="H1676" t="s">
        <v>418</v>
      </c>
      <c r="I1676" t="s">
        <v>419</v>
      </c>
      <c r="N1676" t="s">
        <v>313</v>
      </c>
      <c r="O1676" t="s">
        <v>314</v>
      </c>
    </row>
    <row r="1677" spans="8:15" x14ac:dyDescent="0.25">
      <c r="H1677" t="s">
        <v>418</v>
      </c>
      <c r="I1677" t="s">
        <v>419</v>
      </c>
      <c r="N1677" t="s">
        <v>313</v>
      </c>
      <c r="O1677" t="s">
        <v>314</v>
      </c>
    </row>
    <row r="1678" spans="8:15" x14ac:dyDescent="0.25">
      <c r="H1678" t="s">
        <v>418</v>
      </c>
      <c r="I1678" t="s">
        <v>419</v>
      </c>
      <c r="N1678" t="s">
        <v>313</v>
      </c>
      <c r="O1678" t="s">
        <v>314</v>
      </c>
    </row>
    <row r="1679" spans="8:15" x14ac:dyDescent="0.25">
      <c r="H1679" t="s">
        <v>418</v>
      </c>
      <c r="I1679" t="s">
        <v>419</v>
      </c>
      <c r="N1679" t="s">
        <v>313</v>
      </c>
      <c r="O1679" t="s">
        <v>314</v>
      </c>
    </row>
    <row r="1680" spans="8:15" x14ac:dyDescent="0.25">
      <c r="H1680" t="s">
        <v>418</v>
      </c>
      <c r="I1680" t="s">
        <v>419</v>
      </c>
      <c r="N1680" t="s">
        <v>313</v>
      </c>
      <c r="O1680" t="s">
        <v>314</v>
      </c>
    </row>
    <row r="1681" spans="8:15" x14ac:dyDescent="0.25">
      <c r="H1681" t="s">
        <v>418</v>
      </c>
      <c r="I1681" t="s">
        <v>419</v>
      </c>
      <c r="N1681" t="s">
        <v>313</v>
      </c>
      <c r="O1681" t="s">
        <v>314</v>
      </c>
    </row>
    <row r="1682" spans="8:15" x14ac:dyDescent="0.25">
      <c r="H1682" t="s">
        <v>418</v>
      </c>
      <c r="I1682" t="s">
        <v>419</v>
      </c>
      <c r="N1682" t="s">
        <v>313</v>
      </c>
      <c r="O1682" t="s">
        <v>314</v>
      </c>
    </row>
    <row r="1683" spans="8:15" x14ac:dyDescent="0.25">
      <c r="H1683" t="s">
        <v>418</v>
      </c>
      <c r="I1683" t="s">
        <v>419</v>
      </c>
      <c r="N1683" t="s">
        <v>313</v>
      </c>
      <c r="O1683" t="s">
        <v>314</v>
      </c>
    </row>
    <row r="1684" spans="8:15" x14ac:dyDescent="0.25">
      <c r="H1684" t="s">
        <v>418</v>
      </c>
      <c r="I1684" t="s">
        <v>419</v>
      </c>
      <c r="N1684" t="s">
        <v>313</v>
      </c>
      <c r="O1684" t="s">
        <v>314</v>
      </c>
    </row>
    <row r="1685" spans="8:15" x14ac:dyDescent="0.25">
      <c r="H1685" t="s">
        <v>418</v>
      </c>
      <c r="I1685" t="s">
        <v>419</v>
      </c>
      <c r="N1685" t="s">
        <v>313</v>
      </c>
      <c r="O1685" t="s">
        <v>314</v>
      </c>
    </row>
    <row r="1686" spans="8:15" x14ac:dyDescent="0.25">
      <c r="H1686" t="s">
        <v>418</v>
      </c>
      <c r="I1686" t="s">
        <v>419</v>
      </c>
      <c r="N1686" t="s">
        <v>313</v>
      </c>
      <c r="O1686" t="s">
        <v>314</v>
      </c>
    </row>
    <row r="1687" spans="8:15" x14ac:dyDescent="0.25">
      <c r="H1687" t="s">
        <v>2443</v>
      </c>
      <c r="I1687" t="s">
        <v>2445</v>
      </c>
      <c r="N1687" t="s">
        <v>313</v>
      </c>
      <c r="O1687" t="s">
        <v>314</v>
      </c>
    </row>
    <row r="1688" spans="8:15" x14ac:dyDescent="0.25">
      <c r="H1688" t="s">
        <v>2443</v>
      </c>
      <c r="I1688" t="s">
        <v>2445</v>
      </c>
      <c r="N1688" t="s">
        <v>313</v>
      </c>
      <c r="O1688" t="s">
        <v>314</v>
      </c>
    </row>
    <row r="1689" spans="8:15" x14ac:dyDescent="0.25">
      <c r="H1689" t="s">
        <v>2443</v>
      </c>
      <c r="I1689" t="s">
        <v>2445</v>
      </c>
      <c r="N1689" t="s">
        <v>313</v>
      </c>
      <c r="O1689" t="s">
        <v>314</v>
      </c>
    </row>
    <row r="1690" spans="8:15" x14ac:dyDescent="0.25">
      <c r="H1690" t="s">
        <v>2443</v>
      </c>
      <c r="I1690" t="s">
        <v>2445</v>
      </c>
      <c r="N1690" t="s">
        <v>313</v>
      </c>
      <c r="O1690" t="s">
        <v>314</v>
      </c>
    </row>
    <row r="1691" spans="8:15" x14ac:dyDescent="0.25">
      <c r="H1691" t="s">
        <v>2443</v>
      </c>
      <c r="I1691" t="s">
        <v>2445</v>
      </c>
      <c r="N1691" t="s">
        <v>313</v>
      </c>
      <c r="O1691" t="s">
        <v>314</v>
      </c>
    </row>
    <row r="1692" spans="8:15" x14ac:dyDescent="0.25">
      <c r="H1692" t="s">
        <v>2443</v>
      </c>
      <c r="I1692" t="s">
        <v>2445</v>
      </c>
      <c r="N1692" t="s">
        <v>313</v>
      </c>
      <c r="O1692" t="s">
        <v>314</v>
      </c>
    </row>
    <row r="1693" spans="8:15" x14ac:dyDescent="0.25">
      <c r="H1693" t="s">
        <v>333</v>
      </c>
      <c r="I1693" t="s">
        <v>334</v>
      </c>
      <c r="N1693" t="s">
        <v>313</v>
      </c>
      <c r="O1693" t="s">
        <v>314</v>
      </c>
    </row>
    <row r="1694" spans="8:15" x14ac:dyDescent="0.25">
      <c r="H1694" t="s">
        <v>333</v>
      </c>
      <c r="I1694" t="s">
        <v>334</v>
      </c>
      <c r="N1694" t="s">
        <v>313</v>
      </c>
      <c r="O1694" t="s">
        <v>314</v>
      </c>
    </row>
    <row r="1695" spans="8:15" x14ac:dyDescent="0.25">
      <c r="H1695" t="s">
        <v>295</v>
      </c>
      <c r="I1695" t="s">
        <v>296</v>
      </c>
      <c r="N1695" t="s">
        <v>313</v>
      </c>
      <c r="O1695" t="s">
        <v>314</v>
      </c>
    </row>
    <row r="1696" spans="8:15" x14ac:dyDescent="0.25">
      <c r="H1696" t="s">
        <v>295</v>
      </c>
      <c r="I1696" t="s">
        <v>296</v>
      </c>
      <c r="N1696" t="s">
        <v>313</v>
      </c>
      <c r="O1696" t="s">
        <v>314</v>
      </c>
    </row>
    <row r="1697" spans="8:15" x14ac:dyDescent="0.25">
      <c r="H1697" t="s">
        <v>295</v>
      </c>
      <c r="I1697" t="s">
        <v>296</v>
      </c>
      <c r="J1697" t="s">
        <v>298</v>
      </c>
      <c r="N1697" t="s">
        <v>313</v>
      </c>
      <c r="O1697" t="s">
        <v>314</v>
      </c>
    </row>
    <row r="1698" spans="8:15" x14ac:dyDescent="0.25">
      <c r="H1698" t="s">
        <v>295</v>
      </c>
      <c r="I1698" t="s">
        <v>296</v>
      </c>
      <c r="N1698" t="s">
        <v>313</v>
      </c>
      <c r="O1698" t="s">
        <v>314</v>
      </c>
    </row>
    <row r="1699" spans="8:15" x14ac:dyDescent="0.25">
      <c r="H1699" t="s">
        <v>295</v>
      </c>
      <c r="I1699" t="s">
        <v>296</v>
      </c>
      <c r="N1699" t="s">
        <v>313</v>
      </c>
      <c r="O1699" t="s">
        <v>314</v>
      </c>
    </row>
    <row r="1700" spans="8:15" x14ac:dyDescent="0.25">
      <c r="H1700" t="s">
        <v>295</v>
      </c>
      <c r="I1700" t="s">
        <v>296</v>
      </c>
      <c r="N1700" t="s">
        <v>313</v>
      </c>
      <c r="O1700" t="s">
        <v>314</v>
      </c>
    </row>
    <row r="1701" spans="8:15" x14ac:dyDescent="0.25">
      <c r="H1701" t="s">
        <v>295</v>
      </c>
      <c r="I1701" t="s">
        <v>296</v>
      </c>
      <c r="N1701" t="s">
        <v>313</v>
      </c>
      <c r="O1701" t="s">
        <v>314</v>
      </c>
    </row>
    <row r="1702" spans="8:15" x14ac:dyDescent="0.25">
      <c r="H1702" t="s">
        <v>295</v>
      </c>
      <c r="I1702" t="s">
        <v>296</v>
      </c>
      <c r="N1702" t="s">
        <v>313</v>
      </c>
      <c r="O1702" t="s">
        <v>314</v>
      </c>
    </row>
    <row r="1703" spans="8:15" x14ac:dyDescent="0.25">
      <c r="H1703" t="s">
        <v>295</v>
      </c>
      <c r="I1703" t="s">
        <v>298</v>
      </c>
      <c r="J1703" t="s">
        <v>296</v>
      </c>
      <c r="N1703" t="s">
        <v>313</v>
      </c>
      <c r="O1703" t="s">
        <v>314</v>
      </c>
    </row>
    <row r="1704" spans="8:15" x14ac:dyDescent="0.25">
      <c r="H1704" t="s">
        <v>295</v>
      </c>
      <c r="I1704" t="s">
        <v>296</v>
      </c>
      <c r="N1704" t="s">
        <v>313</v>
      </c>
      <c r="O1704" t="s">
        <v>314</v>
      </c>
    </row>
    <row r="1705" spans="8:15" x14ac:dyDescent="0.25">
      <c r="H1705" t="s">
        <v>295</v>
      </c>
      <c r="I1705" t="s">
        <v>296</v>
      </c>
      <c r="N1705" t="s">
        <v>313</v>
      </c>
      <c r="O1705" t="s">
        <v>314</v>
      </c>
    </row>
    <row r="1706" spans="8:15" x14ac:dyDescent="0.25">
      <c r="H1706" t="s">
        <v>295</v>
      </c>
      <c r="I1706" t="s">
        <v>296</v>
      </c>
      <c r="N1706" t="s">
        <v>313</v>
      </c>
      <c r="O1706" t="s">
        <v>314</v>
      </c>
    </row>
    <row r="1707" spans="8:15" x14ac:dyDescent="0.25">
      <c r="H1707" t="s">
        <v>295</v>
      </c>
      <c r="I1707" t="s">
        <v>296</v>
      </c>
      <c r="N1707" t="s">
        <v>313</v>
      </c>
      <c r="O1707" t="s">
        <v>314</v>
      </c>
    </row>
    <row r="1708" spans="8:15" x14ac:dyDescent="0.25">
      <c r="H1708" t="s">
        <v>295</v>
      </c>
      <c r="I1708" t="s">
        <v>296</v>
      </c>
      <c r="N1708" t="s">
        <v>313</v>
      </c>
      <c r="O1708" t="s">
        <v>314</v>
      </c>
    </row>
    <row r="1709" spans="8:15" x14ac:dyDescent="0.25">
      <c r="H1709" t="s">
        <v>295</v>
      </c>
      <c r="I1709" t="s">
        <v>298</v>
      </c>
      <c r="J1709" t="s">
        <v>296</v>
      </c>
      <c r="N1709" t="s">
        <v>313</v>
      </c>
      <c r="O1709" t="s">
        <v>314</v>
      </c>
    </row>
    <row r="1710" spans="8:15" x14ac:dyDescent="0.25">
      <c r="H1710" t="s">
        <v>295</v>
      </c>
      <c r="I1710" t="s">
        <v>296</v>
      </c>
      <c r="N1710" t="s">
        <v>313</v>
      </c>
      <c r="O1710" t="s">
        <v>314</v>
      </c>
    </row>
    <row r="1711" spans="8:15" x14ac:dyDescent="0.25">
      <c r="H1711" t="s">
        <v>7969</v>
      </c>
      <c r="I1711" t="s">
        <v>296</v>
      </c>
      <c r="N1711" t="s">
        <v>313</v>
      </c>
      <c r="O1711" t="s">
        <v>314</v>
      </c>
    </row>
    <row r="1712" spans="8:15" x14ac:dyDescent="0.25">
      <c r="H1712" t="s">
        <v>7969</v>
      </c>
      <c r="I1712" t="s">
        <v>296</v>
      </c>
      <c r="N1712" t="s">
        <v>313</v>
      </c>
      <c r="O1712" t="s">
        <v>314</v>
      </c>
    </row>
    <row r="1713" spans="8:15" x14ac:dyDescent="0.25">
      <c r="H1713" t="s">
        <v>297</v>
      </c>
      <c r="I1713" t="s">
        <v>298</v>
      </c>
      <c r="N1713" t="s">
        <v>313</v>
      </c>
      <c r="O1713" t="s">
        <v>314</v>
      </c>
    </row>
    <row r="1714" spans="8:15" x14ac:dyDescent="0.25">
      <c r="H1714" t="s">
        <v>6228</v>
      </c>
      <c r="I1714" t="s">
        <v>296</v>
      </c>
      <c r="N1714" t="s">
        <v>313</v>
      </c>
      <c r="O1714" t="s">
        <v>314</v>
      </c>
    </row>
    <row r="1715" spans="8:15" x14ac:dyDescent="0.25">
      <c r="H1715" t="s">
        <v>5387</v>
      </c>
      <c r="I1715" t="s">
        <v>296</v>
      </c>
      <c r="J1715" t="s">
        <v>298</v>
      </c>
      <c r="N1715" t="s">
        <v>313</v>
      </c>
      <c r="O1715" t="s">
        <v>314</v>
      </c>
    </row>
    <row r="1716" spans="8:15" x14ac:dyDescent="0.25">
      <c r="H1716" t="s">
        <v>5387</v>
      </c>
      <c r="I1716" t="s">
        <v>296</v>
      </c>
      <c r="N1716" t="s">
        <v>313</v>
      </c>
      <c r="O1716" t="s">
        <v>314</v>
      </c>
    </row>
    <row r="1717" spans="8:15" x14ac:dyDescent="0.25">
      <c r="H1717" t="s">
        <v>5387</v>
      </c>
      <c r="I1717" t="s">
        <v>296</v>
      </c>
      <c r="N1717" t="s">
        <v>313</v>
      </c>
      <c r="O1717" t="s">
        <v>314</v>
      </c>
    </row>
    <row r="1718" spans="8:15" x14ac:dyDescent="0.25">
      <c r="H1718" t="s">
        <v>5387</v>
      </c>
      <c r="I1718" t="s">
        <v>296</v>
      </c>
      <c r="N1718" t="s">
        <v>313</v>
      </c>
      <c r="O1718" t="s">
        <v>314</v>
      </c>
    </row>
    <row r="1719" spans="8:15" x14ac:dyDescent="0.25">
      <c r="H1719" s="180" t="s">
        <v>5283</v>
      </c>
      <c r="I1719" s="180" t="s">
        <v>296</v>
      </c>
      <c r="J1719" s="180" t="s">
        <v>298</v>
      </c>
      <c r="K1719" s="180" t="s">
        <v>259</v>
      </c>
      <c r="L1719" s="180"/>
      <c r="N1719" t="s">
        <v>313</v>
      </c>
      <c r="O1719" t="s">
        <v>314</v>
      </c>
    </row>
    <row r="1720" spans="8:15" x14ac:dyDescent="0.25">
      <c r="H1720" t="s">
        <v>5355</v>
      </c>
      <c r="I1720" t="s">
        <v>296</v>
      </c>
      <c r="N1720" t="s">
        <v>313</v>
      </c>
      <c r="O1720" t="s">
        <v>314</v>
      </c>
    </row>
    <row r="1721" spans="8:15" x14ac:dyDescent="0.25">
      <c r="H1721" t="s">
        <v>5355</v>
      </c>
      <c r="I1721" t="s">
        <v>296</v>
      </c>
      <c r="N1721" t="s">
        <v>313</v>
      </c>
      <c r="O1721" t="s">
        <v>314</v>
      </c>
    </row>
    <row r="1722" spans="8:15" x14ac:dyDescent="0.25">
      <c r="H1722" t="s">
        <v>5355</v>
      </c>
      <c r="I1722" t="s">
        <v>296</v>
      </c>
      <c r="J1722" t="s">
        <v>298</v>
      </c>
      <c r="N1722" t="s">
        <v>313</v>
      </c>
      <c r="O1722" t="s">
        <v>314</v>
      </c>
    </row>
    <row r="1723" spans="8:15" x14ac:dyDescent="0.25">
      <c r="H1723" t="s">
        <v>5355</v>
      </c>
      <c r="I1723" t="s">
        <v>296</v>
      </c>
      <c r="N1723" t="s">
        <v>313</v>
      </c>
      <c r="O1723" t="s">
        <v>314</v>
      </c>
    </row>
    <row r="1724" spans="8:15" x14ac:dyDescent="0.25">
      <c r="H1724" t="s">
        <v>6805</v>
      </c>
      <c r="I1724" t="s">
        <v>296</v>
      </c>
      <c r="J1724" t="s">
        <v>298</v>
      </c>
      <c r="N1724" t="s">
        <v>313</v>
      </c>
      <c r="O1724" t="s">
        <v>314</v>
      </c>
    </row>
    <row r="1725" spans="8:15" x14ac:dyDescent="0.25">
      <c r="H1725" t="s">
        <v>6695</v>
      </c>
      <c r="I1725" t="s">
        <v>296</v>
      </c>
      <c r="N1725" t="s">
        <v>313</v>
      </c>
      <c r="O1725" t="s">
        <v>314</v>
      </c>
    </row>
    <row r="1726" spans="8:15" x14ac:dyDescent="0.25">
      <c r="H1726" t="s">
        <v>6617</v>
      </c>
      <c r="I1726" t="s">
        <v>296</v>
      </c>
      <c r="N1726" t="s">
        <v>313</v>
      </c>
      <c r="O1726" t="s">
        <v>314</v>
      </c>
    </row>
    <row r="1727" spans="8:15" x14ac:dyDescent="0.25">
      <c r="H1727" t="s">
        <v>5426</v>
      </c>
      <c r="I1727" t="s">
        <v>296</v>
      </c>
      <c r="N1727" t="s">
        <v>313</v>
      </c>
      <c r="O1727" t="s">
        <v>314</v>
      </c>
    </row>
    <row r="1728" spans="8:15" x14ac:dyDescent="0.25">
      <c r="H1728" t="s">
        <v>5514</v>
      </c>
      <c r="I1728" t="s">
        <v>296</v>
      </c>
      <c r="J1728" t="s">
        <v>298</v>
      </c>
      <c r="N1728" t="s">
        <v>313</v>
      </c>
      <c r="O1728" t="s">
        <v>314</v>
      </c>
    </row>
    <row r="1729" spans="8:15" x14ac:dyDescent="0.25">
      <c r="H1729" t="s">
        <v>5921</v>
      </c>
      <c r="I1729" t="s">
        <v>296</v>
      </c>
      <c r="J1729" t="s">
        <v>298</v>
      </c>
      <c r="N1729" t="s">
        <v>313</v>
      </c>
      <c r="O1729" t="s">
        <v>314</v>
      </c>
    </row>
    <row r="1730" spans="8:15" x14ac:dyDescent="0.25">
      <c r="H1730" t="s">
        <v>5921</v>
      </c>
      <c r="I1730" t="s">
        <v>296</v>
      </c>
      <c r="J1730" t="s">
        <v>298</v>
      </c>
      <c r="N1730" t="s">
        <v>313</v>
      </c>
      <c r="O1730" t="s">
        <v>314</v>
      </c>
    </row>
    <row r="1731" spans="8:15" x14ac:dyDescent="0.25">
      <c r="H1731" t="s">
        <v>5921</v>
      </c>
      <c r="I1731" t="s">
        <v>296</v>
      </c>
      <c r="J1731" t="s">
        <v>298</v>
      </c>
      <c r="N1731" t="s">
        <v>313</v>
      </c>
      <c r="O1731" t="s">
        <v>314</v>
      </c>
    </row>
    <row r="1732" spans="8:15" x14ac:dyDescent="0.25">
      <c r="H1732" t="s">
        <v>6854</v>
      </c>
      <c r="I1732" t="s">
        <v>296</v>
      </c>
      <c r="N1732" t="s">
        <v>313</v>
      </c>
      <c r="O1732" t="s">
        <v>314</v>
      </c>
    </row>
    <row r="1733" spans="8:15" x14ac:dyDescent="0.25">
      <c r="H1733" t="s">
        <v>5411</v>
      </c>
      <c r="I1733" t="s">
        <v>296</v>
      </c>
      <c r="N1733" t="s">
        <v>313</v>
      </c>
      <c r="O1733" t="s">
        <v>314</v>
      </c>
    </row>
    <row r="1734" spans="8:15" x14ac:dyDescent="0.25">
      <c r="H1734" t="s">
        <v>5592</v>
      </c>
      <c r="I1734" t="s">
        <v>296</v>
      </c>
      <c r="N1734" t="s">
        <v>5721</v>
      </c>
      <c r="O1734" t="s">
        <v>314</v>
      </c>
    </row>
    <row r="1735" spans="8:15" x14ac:dyDescent="0.25">
      <c r="H1735" t="s">
        <v>6523</v>
      </c>
      <c r="I1735" t="s">
        <v>296</v>
      </c>
      <c r="J1735" t="s">
        <v>298</v>
      </c>
      <c r="N1735" t="s">
        <v>7661</v>
      </c>
      <c r="O1735" t="s">
        <v>314</v>
      </c>
    </row>
    <row r="1736" spans="8:15" x14ac:dyDescent="0.25">
      <c r="H1736" t="s">
        <v>5244</v>
      </c>
      <c r="I1736" t="s">
        <v>296</v>
      </c>
      <c r="N1736" t="s">
        <v>7285</v>
      </c>
      <c r="O1736" t="s">
        <v>314</v>
      </c>
    </row>
    <row r="1737" spans="8:15" x14ac:dyDescent="0.25">
      <c r="H1737" t="s">
        <v>6269</v>
      </c>
      <c r="I1737" t="s">
        <v>298</v>
      </c>
      <c r="J1737" t="s">
        <v>296</v>
      </c>
      <c r="N1737" t="s">
        <v>7369</v>
      </c>
      <c r="O1737" t="s">
        <v>314</v>
      </c>
    </row>
    <row r="1738" spans="8:15" x14ac:dyDescent="0.25">
      <c r="H1738" t="s">
        <v>5815</v>
      </c>
      <c r="I1738" t="s">
        <v>296</v>
      </c>
      <c r="N1738" t="s">
        <v>7694</v>
      </c>
      <c r="O1738" t="s">
        <v>314</v>
      </c>
    </row>
    <row r="1739" spans="8:15" x14ac:dyDescent="0.25">
      <c r="H1739" t="s">
        <v>5846</v>
      </c>
      <c r="I1739" t="s">
        <v>296</v>
      </c>
      <c r="N1739" t="s">
        <v>7063</v>
      </c>
      <c r="O1739" t="s">
        <v>314</v>
      </c>
    </row>
    <row r="1740" spans="8:15" x14ac:dyDescent="0.25">
      <c r="H1740" t="s">
        <v>306</v>
      </c>
      <c r="I1740" t="s">
        <v>307</v>
      </c>
      <c r="N1740" t="s">
        <v>7063</v>
      </c>
      <c r="O1740" t="s">
        <v>314</v>
      </c>
    </row>
    <row r="1741" spans="8:15" x14ac:dyDescent="0.25">
      <c r="H1741" t="s">
        <v>306</v>
      </c>
      <c r="I1741" t="s">
        <v>307</v>
      </c>
      <c r="N1741" t="s">
        <v>7183</v>
      </c>
      <c r="O1741" t="s">
        <v>314</v>
      </c>
    </row>
    <row r="1742" spans="8:15" x14ac:dyDescent="0.25">
      <c r="H1742" t="s">
        <v>306</v>
      </c>
      <c r="I1742" t="s">
        <v>307</v>
      </c>
      <c r="N1742" t="s">
        <v>7728</v>
      </c>
      <c r="O1742" t="s">
        <v>314</v>
      </c>
    </row>
    <row r="1743" spans="8:15" x14ac:dyDescent="0.25">
      <c r="H1743" t="s">
        <v>306</v>
      </c>
      <c r="I1743" t="s">
        <v>307</v>
      </c>
      <c r="N1743" t="s">
        <v>6897</v>
      </c>
      <c r="O1743" t="s">
        <v>314</v>
      </c>
    </row>
    <row r="1744" spans="8:15" x14ac:dyDescent="0.25">
      <c r="H1744" t="s">
        <v>306</v>
      </c>
      <c r="I1744" t="s">
        <v>307</v>
      </c>
      <c r="N1744" t="s">
        <v>6897</v>
      </c>
      <c r="O1744" t="s">
        <v>314</v>
      </c>
    </row>
    <row r="1745" spans="8:15" x14ac:dyDescent="0.25">
      <c r="H1745" t="s">
        <v>306</v>
      </c>
      <c r="I1745" t="s">
        <v>307</v>
      </c>
      <c r="N1745" t="s">
        <v>7655</v>
      </c>
      <c r="O1745" t="s">
        <v>314</v>
      </c>
    </row>
    <row r="1746" spans="8:15" x14ac:dyDescent="0.25">
      <c r="H1746" t="s">
        <v>306</v>
      </c>
      <c r="I1746" t="s">
        <v>307</v>
      </c>
      <c r="N1746" t="s">
        <v>4611</v>
      </c>
      <c r="O1746" t="s">
        <v>314</v>
      </c>
    </row>
    <row r="1747" spans="8:15" x14ac:dyDescent="0.25">
      <c r="H1747" t="s">
        <v>306</v>
      </c>
      <c r="I1747" t="s">
        <v>307</v>
      </c>
      <c r="N1747" t="s">
        <v>7141</v>
      </c>
      <c r="O1747" t="s">
        <v>314</v>
      </c>
    </row>
    <row r="1748" spans="8:15" x14ac:dyDescent="0.25">
      <c r="H1748" t="s">
        <v>306</v>
      </c>
      <c r="I1748" t="s">
        <v>307</v>
      </c>
      <c r="N1748" t="s">
        <v>7949</v>
      </c>
      <c r="O1748" t="s">
        <v>314</v>
      </c>
    </row>
    <row r="1749" spans="8:15" x14ac:dyDescent="0.25">
      <c r="H1749" t="s">
        <v>306</v>
      </c>
      <c r="I1749" t="s">
        <v>307</v>
      </c>
      <c r="N1749" t="s">
        <v>6978</v>
      </c>
      <c r="O1749" t="s">
        <v>314</v>
      </c>
    </row>
    <row r="1750" spans="8:15" x14ac:dyDescent="0.25">
      <c r="H1750" t="s">
        <v>306</v>
      </c>
      <c r="I1750" t="s">
        <v>307</v>
      </c>
      <c r="N1750" t="s">
        <v>7608</v>
      </c>
      <c r="O1750" t="s">
        <v>314</v>
      </c>
    </row>
    <row r="1751" spans="8:15" x14ac:dyDescent="0.25">
      <c r="H1751" t="s">
        <v>306</v>
      </c>
      <c r="I1751" t="s">
        <v>307</v>
      </c>
      <c r="N1751" t="s">
        <v>6976</v>
      </c>
      <c r="O1751" t="s">
        <v>314</v>
      </c>
    </row>
    <row r="1752" spans="8:15" x14ac:dyDescent="0.25">
      <c r="H1752" t="s">
        <v>306</v>
      </c>
      <c r="I1752" t="s">
        <v>307</v>
      </c>
      <c r="N1752" t="s">
        <v>7708</v>
      </c>
      <c r="O1752" t="s">
        <v>314</v>
      </c>
    </row>
    <row r="1753" spans="8:15" x14ac:dyDescent="0.25">
      <c r="H1753" t="s">
        <v>5523</v>
      </c>
      <c r="I1753" t="s">
        <v>307</v>
      </c>
      <c r="N1753" t="s">
        <v>7911</v>
      </c>
      <c r="O1753" t="s">
        <v>314</v>
      </c>
    </row>
    <row r="1754" spans="8:15" x14ac:dyDescent="0.25">
      <c r="H1754" t="s">
        <v>309</v>
      </c>
      <c r="I1754" t="s">
        <v>310</v>
      </c>
      <c r="N1754" t="s">
        <v>6977</v>
      </c>
      <c r="O1754" t="s">
        <v>314</v>
      </c>
    </row>
    <row r="1755" spans="8:15" x14ac:dyDescent="0.25">
      <c r="H1755" t="s">
        <v>309</v>
      </c>
      <c r="I1755" t="s">
        <v>310</v>
      </c>
      <c r="N1755" t="s">
        <v>315</v>
      </c>
      <c r="O1755" t="s">
        <v>316</v>
      </c>
    </row>
    <row r="1756" spans="8:15" x14ac:dyDescent="0.25">
      <c r="H1756" t="s">
        <v>309</v>
      </c>
      <c r="I1756" t="s">
        <v>310</v>
      </c>
      <c r="N1756" t="s">
        <v>315</v>
      </c>
      <c r="O1756" t="s">
        <v>316</v>
      </c>
    </row>
    <row r="1757" spans="8:15" x14ac:dyDescent="0.25">
      <c r="H1757" t="s">
        <v>309</v>
      </c>
      <c r="I1757" t="s">
        <v>310</v>
      </c>
      <c r="N1757" t="s">
        <v>315</v>
      </c>
      <c r="O1757" t="s">
        <v>316</v>
      </c>
    </row>
    <row r="1758" spans="8:15" x14ac:dyDescent="0.25">
      <c r="H1758" t="s">
        <v>309</v>
      </c>
      <c r="I1758" t="s">
        <v>310</v>
      </c>
      <c r="N1758" t="s">
        <v>315</v>
      </c>
      <c r="O1758" t="s">
        <v>316</v>
      </c>
    </row>
    <row r="1759" spans="8:15" x14ac:dyDescent="0.25">
      <c r="H1759" t="s">
        <v>5974</v>
      </c>
      <c r="I1759" t="s">
        <v>310</v>
      </c>
      <c r="N1759" t="s">
        <v>315</v>
      </c>
      <c r="O1759" t="s">
        <v>316</v>
      </c>
    </row>
    <row r="1760" spans="8:15" x14ac:dyDescent="0.25">
      <c r="H1760" t="s">
        <v>5616</v>
      </c>
      <c r="I1760" t="s">
        <v>310</v>
      </c>
      <c r="N1760" t="s">
        <v>315</v>
      </c>
      <c r="O1760" t="s">
        <v>316</v>
      </c>
    </row>
    <row r="1761" spans="8:15" x14ac:dyDescent="0.25">
      <c r="H1761" t="s">
        <v>6452</v>
      </c>
      <c r="I1761" t="s">
        <v>310</v>
      </c>
      <c r="N1761" t="s">
        <v>315</v>
      </c>
      <c r="O1761" t="s">
        <v>316</v>
      </c>
    </row>
    <row r="1762" spans="8:15" x14ac:dyDescent="0.25">
      <c r="H1762" t="s">
        <v>6686</v>
      </c>
      <c r="I1762" t="s">
        <v>310</v>
      </c>
      <c r="N1762" t="s">
        <v>315</v>
      </c>
      <c r="O1762" t="s">
        <v>316</v>
      </c>
    </row>
    <row r="1763" spans="8:15" x14ac:dyDescent="0.25">
      <c r="H1763" t="s">
        <v>6652</v>
      </c>
      <c r="I1763" t="s">
        <v>310</v>
      </c>
      <c r="N1763" t="s">
        <v>315</v>
      </c>
      <c r="O1763" t="s">
        <v>316</v>
      </c>
    </row>
    <row r="1764" spans="8:15" x14ac:dyDescent="0.25">
      <c r="H1764" t="s">
        <v>311</v>
      </c>
      <c r="I1764" t="s">
        <v>312</v>
      </c>
      <c r="N1764" t="s">
        <v>315</v>
      </c>
      <c r="O1764" t="s">
        <v>316</v>
      </c>
    </row>
    <row r="1765" spans="8:15" x14ac:dyDescent="0.25">
      <c r="H1765" t="s">
        <v>311</v>
      </c>
      <c r="I1765" t="s">
        <v>312</v>
      </c>
      <c r="N1765" t="s">
        <v>315</v>
      </c>
      <c r="O1765" t="s">
        <v>316</v>
      </c>
    </row>
    <row r="1766" spans="8:15" x14ac:dyDescent="0.25">
      <c r="H1766" t="s">
        <v>311</v>
      </c>
      <c r="I1766" t="s">
        <v>312</v>
      </c>
      <c r="N1766" t="s">
        <v>315</v>
      </c>
      <c r="O1766" t="s">
        <v>316</v>
      </c>
    </row>
    <row r="1767" spans="8:15" x14ac:dyDescent="0.25">
      <c r="H1767" t="s">
        <v>311</v>
      </c>
      <c r="I1767" t="s">
        <v>312</v>
      </c>
      <c r="N1767" t="s">
        <v>315</v>
      </c>
      <c r="O1767" t="s">
        <v>316</v>
      </c>
    </row>
    <row r="1768" spans="8:15" x14ac:dyDescent="0.25">
      <c r="H1768" t="s">
        <v>311</v>
      </c>
      <c r="I1768" t="s">
        <v>312</v>
      </c>
      <c r="N1768" t="s">
        <v>315</v>
      </c>
      <c r="O1768" t="s">
        <v>316</v>
      </c>
    </row>
    <row r="1769" spans="8:15" x14ac:dyDescent="0.25">
      <c r="H1769" t="s">
        <v>311</v>
      </c>
      <c r="I1769" t="s">
        <v>312</v>
      </c>
      <c r="N1769" t="s">
        <v>315</v>
      </c>
      <c r="O1769" t="s">
        <v>316</v>
      </c>
    </row>
    <row r="1770" spans="8:15" x14ac:dyDescent="0.25">
      <c r="H1770" t="s">
        <v>311</v>
      </c>
      <c r="I1770" t="s">
        <v>312</v>
      </c>
      <c r="N1770" t="s">
        <v>315</v>
      </c>
      <c r="O1770" t="s">
        <v>316</v>
      </c>
    </row>
    <row r="1771" spans="8:15" x14ac:dyDescent="0.25">
      <c r="H1771" t="s">
        <v>311</v>
      </c>
      <c r="I1771" t="s">
        <v>312</v>
      </c>
      <c r="N1771" t="s">
        <v>315</v>
      </c>
      <c r="O1771" t="s">
        <v>316</v>
      </c>
    </row>
    <row r="1772" spans="8:15" x14ac:dyDescent="0.25">
      <c r="H1772" t="s">
        <v>311</v>
      </c>
      <c r="I1772" t="s">
        <v>312</v>
      </c>
      <c r="N1772" t="s">
        <v>315</v>
      </c>
      <c r="O1772" t="s">
        <v>316</v>
      </c>
    </row>
    <row r="1773" spans="8:15" x14ac:dyDescent="0.25">
      <c r="H1773" t="s">
        <v>311</v>
      </c>
      <c r="I1773" t="s">
        <v>312</v>
      </c>
      <c r="N1773" t="s">
        <v>315</v>
      </c>
      <c r="O1773" t="s">
        <v>316</v>
      </c>
    </row>
    <row r="1774" spans="8:15" x14ac:dyDescent="0.25">
      <c r="H1774" t="s">
        <v>311</v>
      </c>
      <c r="I1774" t="s">
        <v>312</v>
      </c>
      <c r="N1774" t="s">
        <v>315</v>
      </c>
      <c r="O1774" t="s">
        <v>316</v>
      </c>
    </row>
    <row r="1775" spans="8:15" x14ac:dyDescent="0.25">
      <c r="H1775" t="s">
        <v>311</v>
      </c>
      <c r="I1775" t="s">
        <v>312</v>
      </c>
      <c r="N1775" t="s">
        <v>315</v>
      </c>
      <c r="O1775" t="s">
        <v>316</v>
      </c>
    </row>
    <row r="1776" spans="8:15" x14ac:dyDescent="0.25">
      <c r="H1776" t="s">
        <v>311</v>
      </c>
      <c r="I1776" t="s">
        <v>312</v>
      </c>
      <c r="N1776" t="s">
        <v>315</v>
      </c>
      <c r="O1776" t="s">
        <v>316</v>
      </c>
    </row>
    <row r="1777" spans="8:15" x14ac:dyDescent="0.25">
      <c r="H1777" t="s">
        <v>311</v>
      </c>
      <c r="I1777" t="s">
        <v>312</v>
      </c>
      <c r="N1777" t="s">
        <v>315</v>
      </c>
      <c r="O1777" t="s">
        <v>316</v>
      </c>
    </row>
    <row r="1778" spans="8:15" x14ac:dyDescent="0.25">
      <c r="H1778" t="s">
        <v>311</v>
      </c>
      <c r="I1778" t="s">
        <v>312</v>
      </c>
      <c r="N1778" t="s">
        <v>315</v>
      </c>
      <c r="O1778" t="s">
        <v>316</v>
      </c>
    </row>
    <row r="1779" spans="8:15" x14ac:dyDescent="0.25">
      <c r="H1779" t="s">
        <v>311</v>
      </c>
      <c r="I1779" t="s">
        <v>312</v>
      </c>
      <c r="N1779" t="s">
        <v>315</v>
      </c>
      <c r="O1779" t="s">
        <v>316</v>
      </c>
    </row>
    <row r="1780" spans="8:15" x14ac:dyDescent="0.25">
      <c r="H1780" t="s">
        <v>311</v>
      </c>
      <c r="I1780" t="s">
        <v>312</v>
      </c>
      <c r="N1780" t="s">
        <v>315</v>
      </c>
      <c r="O1780" t="s">
        <v>316</v>
      </c>
    </row>
    <row r="1781" spans="8:15" x14ac:dyDescent="0.25">
      <c r="H1781" t="s">
        <v>311</v>
      </c>
      <c r="I1781" t="s">
        <v>312</v>
      </c>
      <c r="N1781" t="s">
        <v>315</v>
      </c>
      <c r="O1781" t="s">
        <v>316</v>
      </c>
    </row>
    <row r="1782" spans="8:15" x14ac:dyDescent="0.25">
      <c r="H1782" t="s">
        <v>311</v>
      </c>
      <c r="I1782" t="s">
        <v>312</v>
      </c>
      <c r="N1782" t="s">
        <v>315</v>
      </c>
      <c r="O1782" t="s">
        <v>316</v>
      </c>
    </row>
    <row r="1783" spans="8:15" x14ac:dyDescent="0.25">
      <c r="H1783" t="s">
        <v>311</v>
      </c>
      <c r="I1783" t="s">
        <v>312</v>
      </c>
      <c r="N1783" t="s">
        <v>315</v>
      </c>
      <c r="O1783" t="s">
        <v>316</v>
      </c>
    </row>
    <row r="1784" spans="8:15" x14ac:dyDescent="0.25">
      <c r="H1784" t="s">
        <v>311</v>
      </c>
      <c r="I1784" t="s">
        <v>312</v>
      </c>
      <c r="N1784" t="s">
        <v>315</v>
      </c>
      <c r="O1784" t="s">
        <v>316</v>
      </c>
    </row>
    <row r="1785" spans="8:15" x14ac:dyDescent="0.25">
      <c r="H1785" t="s">
        <v>311</v>
      </c>
      <c r="I1785" t="s">
        <v>312</v>
      </c>
      <c r="N1785" t="s">
        <v>315</v>
      </c>
      <c r="O1785" t="s">
        <v>316</v>
      </c>
    </row>
    <row r="1786" spans="8:15" x14ac:dyDescent="0.25">
      <c r="H1786" t="s">
        <v>311</v>
      </c>
      <c r="I1786" t="s">
        <v>312</v>
      </c>
      <c r="N1786" t="s">
        <v>315</v>
      </c>
      <c r="O1786" t="s">
        <v>316</v>
      </c>
    </row>
    <row r="1787" spans="8:15" x14ac:dyDescent="0.25">
      <c r="H1787" t="s">
        <v>311</v>
      </c>
      <c r="I1787" t="s">
        <v>312</v>
      </c>
      <c r="N1787" t="s">
        <v>315</v>
      </c>
      <c r="O1787" t="s">
        <v>316</v>
      </c>
    </row>
    <row r="1788" spans="8:15" x14ac:dyDescent="0.25">
      <c r="H1788" t="s">
        <v>311</v>
      </c>
      <c r="I1788" t="s">
        <v>312</v>
      </c>
      <c r="N1788" t="s">
        <v>315</v>
      </c>
      <c r="O1788" t="s">
        <v>316</v>
      </c>
    </row>
    <row r="1789" spans="8:15" x14ac:dyDescent="0.25">
      <c r="H1789" t="s">
        <v>311</v>
      </c>
      <c r="I1789" t="s">
        <v>312</v>
      </c>
      <c r="N1789" t="s">
        <v>315</v>
      </c>
      <c r="O1789" t="s">
        <v>316</v>
      </c>
    </row>
    <row r="1790" spans="8:15" x14ac:dyDescent="0.25">
      <c r="H1790" t="s">
        <v>311</v>
      </c>
      <c r="I1790" t="s">
        <v>312</v>
      </c>
      <c r="N1790" t="s">
        <v>315</v>
      </c>
      <c r="O1790" t="s">
        <v>316</v>
      </c>
    </row>
    <row r="1791" spans="8:15" x14ac:dyDescent="0.25">
      <c r="H1791" t="s">
        <v>311</v>
      </c>
      <c r="I1791" t="s">
        <v>312</v>
      </c>
      <c r="N1791" t="s">
        <v>315</v>
      </c>
      <c r="O1791" t="s">
        <v>316</v>
      </c>
    </row>
    <row r="1792" spans="8:15" x14ac:dyDescent="0.25">
      <c r="H1792" t="s">
        <v>311</v>
      </c>
      <c r="I1792" t="s">
        <v>312</v>
      </c>
      <c r="N1792" t="s">
        <v>315</v>
      </c>
      <c r="O1792" t="s">
        <v>316</v>
      </c>
    </row>
    <row r="1793" spans="8:15" x14ac:dyDescent="0.25">
      <c r="H1793" t="s">
        <v>311</v>
      </c>
      <c r="I1793" t="s">
        <v>312</v>
      </c>
      <c r="N1793" t="s">
        <v>315</v>
      </c>
      <c r="O1793" t="s">
        <v>316</v>
      </c>
    </row>
    <row r="1794" spans="8:15" x14ac:dyDescent="0.25">
      <c r="H1794" t="s">
        <v>311</v>
      </c>
      <c r="I1794" t="s">
        <v>312</v>
      </c>
      <c r="N1794" t="s">
        <v>315</v>
      </c>
      <c r="O1794" t="s">
        <v>316</v>
      </c>
    </row>
    <row r="1795" spans="8:15" x14ac:dyDescent="0.25">
      <c r="H1795" t="s">
        <v>311</v>
      </c>
      <c r="I1795" t="s">
        <v>312</v>
      </c>
      <c r="N1795" t="s">
        <v>315</v>
      </c>
      <c r="O1795" t="s">
        <v>316</v>
      </c>
    </row>
    <row r="1796" spans="8:15" x14ac:dyDescent="0.25">
      <c r="H1796" t="s">
        <v>311</v>
      </c>
      <c r="I1796" t="s">
        <v>312</v>
      </c>
      <c r="N1796" t="s">
        <v>315</v>
      </c>
      <c r="O1796" t="s">
        <v>316</v>
      </c>
    </row>
    <row r="1797" spans="8:15" x14ac:dyDescent="0.25">
      <c r="H1797" t="s">
        <v>311</v>
      </c>
      <c r="I1797" t="s">
        <v>312</v>
      </c>
      <c r="N1797" t="s">
        <v>315</v>
      </c>
      <c r="O1797" t="s">
        <v>316</v>
      </c>
    </row>
    <row r="1798" spans="8:15" x14ac:dyDescent="0.25">
      <c r="H1798" t="s">
        <v>311</v>
      </c>
      <c r="I1798" t="s">
        <v>312</v>
      </c>
      <c r="N1798" t="s">
        <v>315</v>
      </c>
      <c r="O1798" t="s">
        <v>316</v>
      </c>
    </row>
    <row r="1799" spans="8:15" x14ac:dyDescent="0.25">
      <c r="H1799" t="s">
        <v>311</v>
      </c>
      <c r="I1799" t="s">
        <v>312</v>
      </c>
      <c r="N1799" t="s">
        <v>315</v>
      </c>
      <c r="O1799" t="s">
        <v>316</v>
      </c>
    </row>
    <row r="1800" spans="8:15" x14ac:dyDescent="0.25">
      <c r="H1800" t="s">
        <v>311</v>
      </c>
      <c r="I1800" t="s">
        <v>312</v>
      </c>
      <c r="N1800" t="s">
        <v>315</v>
      </c>
      <c r="O1800" t="s">
        <v>316</v>
      </c>
    </row>
    <row r="1801" spans="8:15" x14ac:dyDescent="0.25">
      <c r="H1801" t="s">
        <v>311</v>
      </c>
      <c r="I1801" t="s">
        <v>312</v>
      </c>
      <c r="N1801" t="s">
        <v>315</v>
      </c>
      <c r="O1801" t="s">
        <v>316</v>
      </c>
    </row>
    <row r="1802" spans="8:15" x14ac:dyDescent="0.25">
      <c r="H1802" t="s">
        <v>311</v>
      </c>
      <c r="I1802" t="s">
        <v>312</v>
      </c>
      <c r="N1802" t="s">
        <v>315</v>
      </c>
      <c r="O1802" t="s">
        <v>316</v>
      </c>
    </row>
    <row r="1803" spans="8:15" x14ac:dyDescent="0.25">
      <c r="H1803" t="s">
        <v>311</v>
      </c>
      <c r="I1803" t="s">
        <v>312</v>
      </c>
      <c r="N1803" t="s">
        <v>315</v>
      </c>
      <c r="O1803" t="s">
        <v>316</v>
      </c>
    </row>
    <row r="1804" spans="8:15" x14ac:dyDescent="0.25">
      <c r="H1804" t="s">
        <v>311</v>
      </c>
      <c r="I1804" t="s">
        <v>312</v>
      </c>
      <c r="N1804" t="s">
        <v>7093</v>
      </c>
      <c r="O1804" t="s">
        <v>316</v>
      </c>
    </row>
    <row r="1805" spans="8:15" x14ac:dyDescent="0.25">
      <c r="H1805" t="s">
        <v>311</v>
      </c>
      <c r="I1805" t="s">
        <v>312</v>
      </c>
      <c r="N1805" t="s">
        <v>7185</v>
      </c>
      <c r="O1805" t="s">
        <v>316</v>
      </c>
    </row>
    <row r="1806" spans="8:15" x14ac:dyDescent="0.25">
      <c r="H1806" t="s">
        <v>311</v>
      </c>
      <c r="I1806" t="s">
        <v>312</v>
      </c>
      <c r="N1806" t="s">
        <v>6869</v>
      </c>
      <c r="O1806" t="s">
        <v>316</v>
      </c>
    </row>
    <row r="1807" spans="8:15" x14ac:dyDescent="0.25">
      <c r="H1807" t="s">
        <v>311</v>
      </c>
      <c r="I1807" t="s">
        <v>312</v>
      </c>
      <c r="N1807" t="s">
        <v>7100</v>
      </c>
      <c r="O1807" t="s">
        <v>316</v>
      </c>
    </row>
    <row r="1808" spans="8:15" x14ac:dyDescent="0.25">
      <c r="H1808" t="s">
        <v>311</v>
      </c>
      <c r="I1808" t="s">
        <v>312</v>
      </c>
      <c r="N1808" t="s">
        <v>7507</v>
      </c>
      <c r="O1808" t="s">
        <v>316</v>
      </c>
    </row>
    <row r="1809" spans="8:15" x14ac:dyDescent="0.25">
      <c r="H1809" t="s">
        <v>311</v>
      </c>
      <c r="I1809" t="s">
        <v>312</v>
      </c>
      <c r="N1809" t="s">
        <v>7590</v>
      </c>
      <c r="O1809" t="s">
        <v>316</v>
      </c>
    </row>
    <row r="1810" spans="8:15" x14ac:dyDescent="0.25">
      <c r="H1810" t="s">
        <v>311</v>
      </c>
      <c r="I1810" t="s">
        <v>312</v>
      </c>
      <c r="N1810" t="s">
        <v>6987</v>
      </c>
      <c r="O1810" t="s">
        <v>316</v>
      </c>
    </row>
    <row r="1811" spans="8:15" x14ac:dyDescent="0.25">
      <c r="H1811" t="s">
        <v>311</v>
      </c>
      <c r="I1811" t="s">
        <v>312</v>
      </c>
      <c r="N1811" t="s">
        <v>7180</v>
      </c>
      <c r="O1811" t="s">
        <v>316</v>
      </c>
    </row>
    <row r="1812" spans="8:15" x14ac:dyDescent="0.25">
      <c r="H1812" t="s">
        <v>311</v>
      </c>
      <c r="I1812" t="s">
        <v>312</v>
      </c>
      <c r="N1812" t="s">
        <v>4991</v>
      </c>
      <c r="O1812" t="s">
        <v>316</v>
      </c>
    </row>
    <row r="1813" spans="8:15" x14ac:dyDescent="0.25">
      <c r="H1813" t="s">
        <v>5467</v>
      </c>
      <c r="I1813" t="s">
        <v>312</v>
      </c>
      <c r="N1813" t="s">
        <v>7483</v>
      </c>
      <c r="O1813" t="s">
        <v>316</v>
      </c>
    </row>
    <row r="1814" spans="8:15" x14ac:dyDescent="0.25">
      <c r="H1814" t="s">
        <v>5714</v>
      </c>
      <c r="I1814" t="s">
        <v>312</v>
      </c>
      <c r="N1814" t="s">
        <v>7035</v>
      </c>
      <c r="O1814" t="s">
        <v>316</v>
      </c>
    </row>
    <row r="1815" spans="8:15" x14ac:dyDescent="0.25">
      <c r="H1815" t="s">
        <v>5853</v>
      </c>
      <c r="I1815" t="s">
        <v>312</v>
      </c>
      <c r="N1815" t="s">
        <v>7756</v>
      </c>
      <c r="O1815" t="s">
        <v>316</v>
      </c>
    </row>
    <row r="1816" spans="8:15" x14ac:dyDescent="0.25">
      <c r="H1816" t="s">
        <v>6379</v>
      </c>
      <c r="I1816" t="s">
        <v>312</v>
      </c>
      <c r="N1816" t="s">
        <v>7436</v>
      </c>
      <c r="O1816" t="s">
        <v>316</v>
      </c>
    </row>
    <row r="1817" spans="8:15" x14ac:dyDescent="0.25">
      <c r="H1817" t="s">
        <v>6379</v>
      </c>
      <c r="I1817" t="s">
        <v>312</v>
      </c>
      <c r="N1817" t="s">
        <v>7607</v>
      </c>
      <c r="O1817" t="s">
        <v>316</v>
      </c>
    </row>
    <row r="1818" spans="8:15" x14ac:dyDescent="0.25">
      <c r="H1818" t="s">
        <v>6391</v>
      </c>
      <c r="I1818" t="s">
        <v>312</v>
      </c>
      <c r="N1818" t="s">
        <v>7784</v>
      </c>
      <c r="O1818" t="s">
        <v>316</v>
      </c>
    </row>
    <row r="1819" spans="8:15" x14ac:dyDescent="0.25">
      <c r="H1819" t="s">
        <v>6391</v>
      </c>
      <c r="I1819" t="s">
        <v>312</v>
      </c>
      <c r="N1819" t="s">
        <v>7368</v>
      </c>
      <c r="O1819" t="s">
        <v>316</v>
      </c>
    </row>
    <row r="1820" spans="8:15" x14ac:dyDescent="0.25">
      <c r="H1820" t="s">
        <v>6498</v>
      </c>
      <c r="I1820" t="s">
        <v>312</v>
      </c>
      <c r="N1820" t="s">
        <v>7115</v>
      </c>
      <c r="O1820" t="s">
        <v>316</v>
      </c>
    </row>
    <row r="1821" spans="8:15" x14ac:dyDescent="0.25">
      <c r="H1821" t="s">
        <v>6498</v>
      </c>
      <c r="I1821" t="s">
        <v>312</v>
      </c>
      <c r="N1821" t="s">
        <v>7517</v>
      </c>
      <c r="O1821" t="s">
        <v>316</v>
      </c>
    </row>
    <row r="1822" spans="8:15" x14ac:dyDescent="0.25">
      <c r="H1822" t="s">
        <v>5745</v>
      </c>
      <c r="I1822" t="s">
        <v>312</v>
      </c>
      <c r="N1822" t="s">
        <v>6950</v>
      </c>
      <c r="O1822" t="s">
        <v>316</v>
      </c>
    </row>
    <row r="1823" spans="8:15" x14ac:dyDescent="0.25">
      <c r="H1823" t="s">
        <v>5745</v>
      </c>
      <c r="I1823" t="s">
        <v>312</v>
      </c>
      <c r="N1823" t="s">
        <v>318</v>
      </c>
      <c r="O1823" t="s">
        <v>317</v>
      </c>
    </row>
    <row r="1824" spans="8:15" x14ac:dyDescent="0.25">
      <c r="H1824" t="s">
        <v>5745</v>
      </c>
      <c r="I1824" t="s">
        <v>312</v>
      </c>
      <c r="N1824" t="s">
        <v>318</v>
      </c>
      <c r="O1824" t="s">
        <v>317</v>
      </c>
    </row>
    <row r="1825" spans="8:15" x14ac:dyDescent="0.25">
      <c r="H1825" t="s">
        <v>5327</v>
      </c>
      <c r="I1825" t="s">
        <v>312</v>
      </c>
      <c r="N1825" t="s">
        <v>318</v>
      </c>
      <c r="O1825" t="s">
        <v>317</v>
      </c>
    </row>
    <row r="1826" spans="8:15" x14ac:dyDescent="0.25">
      <c r="H1826" t="s">
        <v>5781</v>
      </c>
      <c r="I1826" t="s">
        <v>312</v>
      </c>
      <c r="N1826" t="s">
        <v>318</v>
      </c>
      <c r="O1826" t="s">
        <v>317</v>
      </c>
    </row>
    <row r="1827" spans="8:15" x14ac:dyDescent="0.25">
      <c r="H1827" t="s">
        <v>5910</v>
      </c>
      <c r="I1827" t="s">
        <v>312</v>
      </c>
      <c r="N1827" t="s">
        <v>318</v>
      </c>
      <c r="O1827" t="s">
        <v>317</v>
      </c>
    </row>
    <row r="1828" spans="8:15" x14ac:dyDescent="0.25">
      <c r="H1828" t="s">
        <v>5314</v>
      </c>
      <c r="I1828" t="s">
        <v>312</v>
      </c>
      <c r="N1828" t="s">
        <v>318</v>
      </c>
      <c r="O1828" t="s">
        <v>317</v>
      </c>
    </row>
    <row r="1829" spans="8:15" x14ac:dyDescent="0.25">
      <c r="H1829" t="s">
        <v>5314</v>
      </c>
      <c r="I1829" t="s">
        <v>312</v>
      </c>
      <c r="N1829" t="s">
        <v>318</v>
      </c>
      <c r="O1829" t="s">
        <v>317</v>
      </c>
    </row>
    <row r="1830" spans="8:15" x14ac:dyDescent="0.25">
      <c r="H1830" t="s">
        <v>313</v>
      </c>
      <c r="I1830" t="s">
        <v>314</v>
      </c>
      <c r="N1830" t="s">
        <v>318</v>
      </c>
      <c r="O1830" t="s">
        <v>317</v>
      </c>
    </row>
    <row r="1831" spans="8:15" x14ac:dyDescent="0.25">
      <c r="H1831" t="s">
        <v>313</v>
      </c>
      <c r="I1831" t="s">
        <v>314</v>
      </c>
      <c r="N1831" t="s">
        <v>7991</v>
      </c>
      <c r="O1831" t="s">
        <v>7992</v>
      </c>
    </row>
    <row r="1832" spans="8:15" x14ac:dyDescent="0.25">
      <c r="H1832" t="s">
        <v>313</v>
      </c>
      <c r="I1832" t="s">
        <v>314</v>
      </c>
      <c r="N1832" t="s">
        <v>7991</v>
      </c>
      <c r="O1832" t="s">
        <v>7992</v>
      </c>
    </row>
    <row r="1833" spans="8:15" x14ac:dyDescent="0.25">
      <c r="H1833" t="s">
        <v>313</v>
      </c>
      <c r="I1833" t="s">
        <v>314</v>
      </c>
      <c r="N1833" t="s">
        <v>7991</v>
      </c>
      <c r="O1833" t="s">
        <v>7992</v>
      </c>
    </row>
    <row r="1834" spans="8:15" x14ac:dyDescent="0.25">
      <c r="H1834" t="s">
        <v>313</v>
      </c>
      <c r="I1834" t="s">
        <v>314</v>
      </c>
      <c r="N1834" t="s">
        <v>7991</v>
      </c>
      <c r="O1834" t="s">
        <v>7992</v>
      </c>
    </row>
    <row r="1835" spans="8:15" x14ac:dyDescent="0.25">
      <c r="H1835" t="s">
        <v>313</v>
      </c>
      <c r="I1835" t="s">
        <v>314</v>
      </c>
      <c r="N1835" t="s">
        <v>7991</v>
      </c>
      <c r="O1835" t="s">
        <v>7992</v>
      </c>
    </row>
    <row r="1836" spans="8:15" x14ac:dyDescent="0.25">
      <c r="H1836" t="s">
        <v>313</v>
      </c>
      <c r="I1836" t="s">
        <v>314</v>
      </c>
      <c r="N1836" t="s">
        <v>7991</v>
      </c>
      <c r="O1836" t="s">
        <v>7992</v>
      </c>
    </row>
    <row r="1837" spans="8:15" x14ac:dyDescent="0.25">
      <c r="H1837" t="s">
        <v>313</v>
      </c>
      <c r="I1837" t="s">
        <v>314</v>
      </c>
      <c r="N1837" t="s">
        <v>7991</v>
      </c>
      <c r="O1837" t="s">
        <v>7992</v>
      </c>
    </row>
    <row r="1838" spans="8:15" x14ac:dyDescent="0.25">
      <c r="H1838" t="s">
        <v>313</v>
      </c>
      <c r="I1838" t="s">
        <v>314</v>
      </c>
      <c r="N1838" t="s">
        <v>7991</v>
      </c>
      <c r="O1838" t="s">
        <v>7992</v>
      </c>
    </row>
    <row r="1839" spans="8:15" x14ac:dyDescent="0.25">
      <c r="H1839" t="s">
        <v>313</v>
      </c>
      <c r="I1839" t="s">
        <v>314</v>
      </c>
      <c r="N1839" t="s">
        <v>7991</v>
      </c>
      <c r="O1839" t="s">
        <v>7992</v>
      </c>
    </row>
    <row r="1840" spans="8:15" x14ac:dyDescent="0.25">
      <c r="H1840" t="s">
        <v>313</v>
      </c>
      <c r="I1840" t="s">
        <v>314</v>
      </c>
      <c r="N1840" t="s">
        <v>7991</v>
      </c>
      <c r="O1840" t="s">
        <v>7992</v>
      </c>
    </row>
    <row r="1841" spans="8:18" x14ac:dyDescent="0.25">
      <c r="H1841" t="s">
        <v>313</v>
      </c>
      <c r="I1841" t="s">
        <v>314</v>
      </c>
      <c r="N1841" t="s">
        <v>392</v>
      </c>
      <c r="O1841" t="s">
        <v>343</v>
      </c>
      <c r="P1841" t="s">
        <v>339</v>
      </c>
    </row>
    <row r="1842" spans="8:18" x14ac:dyDescent="0.25">
      <c r="H1842" t="s">
        <v>313</v>
      </c>
      <c r="I1842" t="s">
        <v>314</v>
      </c>
      <c r="N1842" t="s">
        <v>392</v>
      </c>
      <c r="O1842" t="s">
        <v>343</v>
      </c>
      <c r="P1842" t="s">
        <v>339</v>
      </c>
    </row>
    <row r="1843" spans="8:18" x14ac:dyDescent="0.25">
      <c r="H1843" t="s">
        <v>313</v>
      </c>
      <c r="I1843" t="s">
        <v>314</v>
      </c>
      <c r="N1843" s="180" t="s">
        <v>392</v>
      </c>
      <c r="O1843" s="180" t="s">
        <v>2748</v>
      </c>
      <c r="P1843" s="180"/>
      <c r="Q1843" s="180"/>
      <c r="R1843" s="180"/>
    </row>
    <row r="1844" spans="8:18" x14ac:dyDescent="0.25">
      <c r="H1844" t="s">
        <v>313</v>
      </c>
      <c r="I1844" t="s">
        <v>314</v>
      </c>
      <c r="N1844" s="180" t="s">
        <v>392</v>
      </c>
      <c r="O1844" s="180" t="s">
        <v>2748</v>
      </c>
      <c r="P1844" s="180"/>
      <c r="Q1844" s="180"/>
      <c r="R1844" s="180"/>
    </row>
    <row r="1845" spans="8:18" x14ac:dyDescent="0.25">
      <c r="H1845" t="s">
        <v>313</v>
      </c>
      <c r="I1845" t="s">
        <v>314</v>
      </c>
      <c r="N1845" t="s">
        <v>392</v>
      </c>
      <c r="O1845" t="s">
        <v>343</v>
      </c>
      <c r="P1845" t="s">
        <v>339</v>
      </c>
    </row>
    <row r="1846" spans="8:18" x14ac:dyDescent="0.25">
      <c r="H1846" t="s">
        <v>313</v>
      </c>
      <c r="I1846" t="s">
        <v>314</v>
      </c>
      <c r="N1846" t="s">
        <v>392</v>
      </c>
      <c r="O1846" t="s">
        <v>343</v>
      </c>
      <c r="P1846" t="s">
        <v>339</v>
      </c>
    </row>
    <row r="1847" spans="8:18" x14ac:dyDescent="0.25">
      <c r="H1847" t="s">
        <v>313</v>
      </c>
      <c r="I1847" t="s">
        <v>314</v>
      </c>
      <c r="N1847" t="s">
        <v>392</v>
      </c>
      <c r="O1847" t="s">
        <v>343</v>
      </c>
      <c r="P1847" t="s">
        <v>339</v>
      </c>
    </row>
    <row r="1848" spans="8:18" x14ac:dyDescent="0.25">
      <c r="H1848" t="s">
        <v>313</v>
      </c>
      <c r="I1848" t="s">
        <v>314</v>
      </c>
      <c r="N1848" t="s">
        <v>392</v>
      </c>
      <c r="O1848" t="s">
        <v>339</v>
      </c>
      <c r="P1848" t="s">
        <v>343</v>
      </c>
      <c r="Q1848" t="s">
        <v>341</v>
      </c>
      <c r="R1848" t="s">
        <v>345</v>
      </c>
    </row>
    <row r="1849" spans="8:18" x14ac:dyDescent="0.25">
      <c r="H1849" t="s">
        <v>313</v>
      </c>
      <c r="I1849" t="s">
        <v>314</v>
      </c>
      <c r="N1849" t="s">
        <v>392</v>
      </c>
      <c r="O1849" t="s">
        <v>339</v>
      </c>
      <c r="P1849" t="s">
        <v>343</v>
      </c>
      <c r="Q1849" t="s">
        <v>341</v>
      </c>
      <c r="R1849" t="s">
        <v>345</v>
      </c>
    </row>
    <row r="1850" spans="8:18" x14ac:dyDescent="0.25">
      <c r="H1850" t="s">
        <v>313</v>
      </c>
      <c r="I1850" t="s">
        <v>314</v>
      </c>
      <c r="N1850" t="s">
        <v>392</v>
      </c>
      <c r="O1850" t="s">
        <v>343</v>
      </c>
      <c r="P1850" t="s">
        <v>339</v>
      </c>
    </row>
    <row r="1851" spans="8:18" x14ac:dyDescent="0.25">
      <c r="H1851" t="s">
        <v>313</v>
      </c>
      <c r="I1851" t="s">
        <v>314</v>
      </c>
      <c r="N1851" t="s">
        <v>392</v>
      </c>
      <c r="O1851" t="s">
        <v>343</v>
      </c>
      <c r="P1851" t="s">
        <v>339</v>
      </c>
    </row>
    <row r="1852" spans="8:18" x14ac:dyDescent="0.25">
      <c r="H1852" t="s">
        <v>313</v>
      </c>
      <c r="I1852" t="s">
        <v>314</v>
      </c>
      <c r="N1852" t="s">
        <v>392</v>
      </c>
      <c r="O1852" t="s">
        <v>343</v>
      </c>
      <c r="P1852" t="s">
        <v>339</v>
      </c>
    </row>
    <row r="1853" spans="8:18" x14ac:dyDescent="0.25">
      <c r="H1853" t="s">
        <v>313</v>
      </c>
      <c r="I1853" t="s">
        <v>314</v>
      </c>
      <c r="N1853" t="s">
        <v>392</v>
      </c>
      <c r="O1853" t="s">
        <v>343</v>
      </c>
      <c r="P1853" t="s">
        <v>339</v>
      </c>
    </row>
    <row r="1854" spans="8:18" x14ac:dyDescent="0.25">
      <c r="H1854" t="s">
        <v>313</v>
      </c>
      <c r="I1854" t="s">
        <v>314</v>
      </c>
      <c r="N1854" t="s">
        <v>392</v>
      </c>
      <c r="O1854" t="s">
        <v>343</v>
      </c>
      <c r="P1854" t="s">
        <v>339</v>
      </c>
    </row>
    <row r="1855" spans="8:18" x14ac:dyDescent="0.25">
      <c r="H1855" t="s">
        <v>313</v>
      </c>
      <c r="I1855" t="s">
        <v>314</v>
      </c>
      <c r="N1855" s="180" t="s">
        <v>392</v>
      </c>
      <c r="O1855" s="180" t="s">
        <v>2748</v>
      </c>
      <c r="P1855" s="180"/>
      <c r="Q1855" s="180"/>
      <c r="R1855" s="180"/>
    </row>
    <row r="1856" spans="8:18" x14ac:dyDescent="0.25">
      <c r="H1856" t="s">
        <v>313</v>
      </c>
      <c r="I1856" t="s">
        <v>314</v>
      </c>
      <c r="N1856" t="s">
        <v>392</v>
      </c>
      <c r="O1856" t="s">
        <v>343</v>
      </c>
      <c r="P1856" t="s">
        <v>339</v>
      </c>
    </row>
    <row r="1857" spans="8:18" x14ac:dyDescent="0.25">
      <c r="H1857" t="s">
        <v>313</v>
      </c>
      <c r="I1857" t="s">
        <v>314</v>
      </c>
      <c r="N1857" t="s">
        <v>392</v>
      </c>
      <c r="O1857" t="s">
        <v>343</v>
      </c>
      <c r="P1857" t="s">
        <v>339</v>
      </c>
    </row>
    <row r="1858" spans="8:18" x14ac:dyDescent="0.25">
      <c r="H1858" t="s">
        <v>313</v>
      </c>
      <c r="I1858" t="s">
        <v>314</v>
      </c>
      <c r="N1858" t="s">
        <v>392</v>
      </c>
      <c r="O1858" t="s">
        <v>339</v>
      </c>
      <c r="P1858" t="s">
        <v>343</v>
      </c>
      <c r="Q1858" t="s">
        <v>341</v>
      </c>
      <c r="R1858" t="s">
        <v>345</v>
      </c>
    </row>
    <row r="1859" spans="8:18" x14ac:dyDescent="0.25">
      <c r="H1859" t="s">
        <v>313</v>
      </c>
      <c r="I1859" t="s">
        <v>314</v>
      </c>
      <c r="N1859" s="180" t="s">
        <v>392</v>
      </c>
      <c r="O1859" s="180" t="s">
        <v>2748</v>
      </c>
      <c r="P1859" s="180"/>
      <c r="Q1859" s="180"/>
      <c r="R1859" s="180"/>
    </row>
    <row r="1860" spans="8:18" x14ac:dyDescent="0.25">
      <c r="H1860" t="s">
        <v>313</v>
      </c>
      <c r="I1860" t="s">
        <v>314</v>
      </c>
      <c r="N1860" s="180" t="s">
        <v>392</v>
      </c>
      <c r="O1860" s="180" t="s">
        <v>2748</v>
      </c>
      <c r="P1860" s="180"/>
      <c r="Q1860" s="180"/>
      <c r="R1860" s="180"/>
    </row>
    <row r="1861" spans="8:18" x14ac:dyDescent="0.25">
      <c r="H1861" t="s">
        <v>313</v>
      </c>
      <c r="I1861" t="s">
        <v>314</v>
      </c>
      <c r="N1861" t="s">
        <v>392</v>
      </c>
      <c r="O1861" t="s">
        <v>343</v>
      </c>
      <c r="P1861" t="s">
        <v>339</v>
      </c>
    </row>
    <row r="1862" spans="8:18" x14ac:dyDescent="0.25">
      <c r="H1862" t="s">
        <v>313</v>
      </c>
      <c r="I1862" t="s">
        <v>314</v>
      </c>
      <c r="N1862" t="s">
        <v>8074</v>
      </c>
      <c r="O1862" t="s">
        <v>339</v>
      </c>
      <c r="P1862" t="s">
        <v>343</v>
      </c>
      <c r="Q1862" t="s">
        <v>292</v>
      </c>
    </row>
    <row r="1863" spans="8:18" x14ac:dyDescent="0.25">
      <c r="H1863" t="s">
        <v>313</v>
      </c>
      <c r="I1863" t="s">
        <v>314</v>
      </c>
      <c r="N1863" t="s">
        <v>8074</v>
      </c>
      <c r="O1863" t="s">
        <v>343</v>
      </c>
      <c r="P1863" t="s">
        <v>339</v>
      </c>
    </row>
    <row r="1864" spans="8:18" x14ac:dyDescent="0.25">
      <c r="H1864" t="s">
        <v>313</v>
      </c>
      <c r="I1864" t="s">
        <v>314</v>
      </c>
      <c r="N1864" t="s">
        <v>8083</v>
      </c>
      <c r="O1864" t="s">
        <v>343</v>
      </c>
      <c r="P1864" t="s">
        <v>339</v>
      </c>
    </row>
    <row r="1865" spans="8:18" x14ac:dyDescent="0.25">
      <c r="H1865" t="s">
        <v>313</v>
      </c>
      <c r="I1865" t="s">
        <v>314</v>
      </c>
      <c r="N1865" s="180" t="s">
        <v>8067</v>
      </c>
      <c r="O1865" s="180" t="s">
        <v>2748</v>
      </c>
      <c r="P1865" s="180"/>
      <c r="Q1865" s="180"/>
      <c r="R1865" s="180"/>
    </row>
    <row r="1866" spans="8:18" x14ac:dyDescent="0.25">
      <c r="H1866" t="s">
        <v>313</v>
      </c>
      <c r="I1866" t="s">
        <v>314</v>
      </c>
      <c r="N1866" t="s">
        <v>8087</v>
      </c>
      <c r="O1866" t="s">
        <v>343</v>
      </c>
      <c r="P1866" t="s">
        <v>339</v>
      </c>
    </row>
    <row r="1867" spans="8:18" x14ac:dyDescent="0.25">
      <c r="H1867" t="s">
        <v>313</v>
      </c>
      <c r="I1867" t="s">
        <v>314</v>
      </c>
      <c r="N1867" s="180" t="s">
        <v>6867</v>
      </c>
      <c r="O1867" s="180" t="s">
        <v>2748</v>
      </c>
      <c r="P1867" s="180"/>
      <c r="Q1867" s="180"/>
      <c r="R1867" s="180"/>
    </row>
    <row r="1868" spans="8:18" x14ac:dyDescent="0.25">
      <c r="H1868" t="s">
        <v>313</v>
      </c>
      <c r="I1868" t="s">
        <v>314</v>
      </c>
      <c r="N1868" s="180" t="s">
        <v>6867</v>
      </c>
      <c r="O1868" s="180" t="s">
        <v>2748</v>
      </c>
      <c r="P1868" s="180"/>
      <c r="Q1868" s="180"/>
      <c r="R1868" s="180"/>
    </row>
    <row r="1869" spans="8:18" x14ac:dyDescent="0.25">
      <c r="H1869" t="s">
        <v>313</v>
      </c>
      <c r="I1869" t="s">
        <v>314</v>
      </c>
      <c r="N1869" s="180" t="s">
        <v>6867</v>
      </c>
      <c r="O1869" s="180" t="s">
        <v>2748</v>
      </c>
      <c r="P1869" s="180"/>
      <c r="Q1869" s="180"/>
      <c r="R1869" s="180"/>
    </row>
    <row r="1870" spans="8:18" x14ac:dyDescent="0.25">
      <c r="H1870" t="s">
        <v>313</v>
      </c>
      <c r="I1870" t="s">
        <v>314</v>
      </c>
      <c r="N1870" t="s">
        <v>6867</v>
      </c>
      <c r="O1870" t="s">
        <v>339</v>
      </c>
      <c r="P1870" t="s">
        <v>343</v>
      </c>
      <c r="Q1870" t="s">
        <v>341</v>
      </c>
      <c r="R1870" t="s">
        <v>345</v>
      </c>
    </row>
    <row r="1871" spans="8:18" x14ac:dyDescent="0.25">
      <c r="H1871" t="s">
        <v>313</v>
      </c>
      <c r="I1871" t="s">
        <v>314</v>
      </c>
      <c r="N1871" s="180" t="s">
        <v>6867</v>
      </c>
      <c r="O1871" s="180" t="s">
        <v>2748</v>
      </c>
      <c r="P1871" s="180"/>
      <c r="Q1871" s="180"/>
      <c r="R1871" s="180"/>
    </row>
    <row r="1872" spans="8:18" x14ac:dyDescent="0.25">
      <c r="H1872" t="s">
        <v>313</v>
      </c>
      <c r="I1872" t="s">
        <v>314</v>
      </c>
      <c r="N1872" t="s">
        <v>7786</v>
      </c>
      <c r="O1872" t="s">
        <v>339</v>
      </c>
      <c r="P1872" t="s">
        <v>343</v>
      </c>
      <c r="Q1872" t="s">
        <v>341</v>
      </c>
      <c r="R1872" t="s">
        <v>345</v>
      </c>
    </row>
    <row r="1873" spans="8:18" x14ac:dyDescent="0.25">
      <c r="H1873" t="s">
        <v>313</v>
      </c>
      <c r="I1873" t="s">
        <v>314</v>
      </c>
      <c r="N1873" t="s">
        <v>7537</v>
      </c>
      <c r="O1873" t="s">
        <v>339</v>
      </c>
      <c r="P1873" t="s">
        <v>343</v>
      </c>
      <c r="Q1873" t="s">
        <v>341</v>
      </c>
      <c r="R1873" t="s">
        <v>345</v>
      </c>
    </row>
    <row r="1874" spans="8:18" x14ac:dyDescent="0.25">
      <c r="H1874" t="s">
        <v>313</v>
      </c>
      <c r="I1874" t="s">
        <v>314</v>
      </c>
      <c r="N1874" t="s">
        <v>7753</v>
      </c>
      <c r="O1874" t="s">
        <v>339</v>
      </c>
      <c r="P1874" t="s">
        <v>343</v>
      </c>
      <c r="Q1874" t="s">
        <v>341</v>
      </c>
      <c r="R1874" t="s">
        <v>345</v>
      </c>
    </row>
    <row r="1875" spans="8:18" x14ac:dyDescent="0.25">
      <c r="H1875" t="s">
        <v>313</v>
      </c>
      <c r="I1875" t="s">
        <v>314</v>
      </c>
      <c r="N1875" t="s">
        <v>6993</v>
      </c>
      <c r="O1875" t="s">
        <v>339</v>
      </c>
      <c r="P1875" t="s">
        <v>343</v>
      </c>
    </row>
    <row r="1876" spans="8:18" x14ac:dyDescent="0.25">
      <c r="H1876" t="s">
        <v>313</v>
      </c>
      <c r="I1876" t="s">
        <v>314</v>
      </c>
      <c r="N1876" t="s">
        <v>6993</v>
      </c>
      <c r="O1876" t="s">
        <v>339</v>
      </c>
      <c r="P1876" t="s">
        <v>343</v>
      </c>
    </row>
    <row r="1877" spans="8:18" x14ac:dyDescent="0.25">
      <c r="H1877" t="s">
        <v>313</v>
      </c>
      <c r="I1877" t="s">
        <v>314</v>
      </c>
      <c r="N1877" t="s">
        <v>6993</v>
      </c>
      <c r="O1877" t="s">
        <v>339</v>
      </c>
      <c r="P1877" t="s">
        <v>343</v>
      </c>
    </row>
    <row r="1878" spans="8:18" x14ac:dyDescent="0.25">
      <c r="H1878" t="s">
        <v>313</v>
      </c>
      <c r="I1878" t="s">
        <v>314</v>
      </c>
      <c r="N1878" t="s">
        <v>6912</v>
      </c>
      <c r="O1878" t="s">
        <v>339</v>
      </c>
      <c r="P1878" t="s">
        <v>343</v>
      </c>
      <c r="Q1878" t="s">
        <v>341</v>
      </c>
    </row>
    <row r="1879" spans="8:18" x14ac:dyDescent="0.25">
      <c r="H1879" t="s">
        <v>313</v>
      </c>
      <c r="I1879" t="s">
        <v>314</v>
      </c>
      <c r="N1879" t="s">
        <v>6912</v>
      </c>
      <c r="O1879" t="s">
        <v>339</v>
      </c>
      <c r="P1879" t="s">
        <v>343</v>
      </c>
      <c r="Q1879" t="s">
        <v>341</v>
      </c>
    </row>
    <row r="1880" spans="8:18" x14ac:dyDescent="0.25">
      <c r="H1880" t="s">
        <v>313</v>
      </c>
      <c r="I1880" t="s">
        <v>314</v>
      </c>
      <c r="N1880" t="s">
        <v>7405</v>
      </c>
      <c r="O1880" t="s">
        <v>339</v>
      </c>
      <c r="P1880" t="s">
        <v>343</v>
      </c>
      <c r="Q1880" t="s">
        <v>292</v>
      </c>
    </row>
    <row r="1881" spans="8:18" x14ac:dyDescent="0.25">
      <c r="H1881" t="s">
        <v>313</v>
      </c>
      <c r="I1881" t="s">
        <v>314</v>
      </c>
      <c r="N1881" t="s">
        <v>7957</v>
      </c>
      <c r="O1881" t="s">
        <v>339</v>
      </c>
      <c r="P1881" t="s">
        <v>343</v>
      </c>
      <c r="Q1881" t="s">
        <v>341</v>
      </c>
      <c r="R1881" t="s">
        <v>345</v>
      </c>
    </row>
    <row r="1882" spans="8:18" x14ac:dyDescent="0.25">
      <c r="H1882" t="s">
        <v>313</v>
      </c>
      <c r="I1882" t="s">
        <v>314</v>
      </c>
      <c r="N1882" t="s">
        <v>8086</v>
      </c>
      <c r="O1882" t="s">
        <v>343</v>
      </c>
      <c r="P1882" t="s">
        <v>339</v>
      </c>
    </row>
    <row r="1883" spans="8:18" x14ac:dyDescent="0.25">
      <c r="H1883" t="s">
        <v>313</v>
      </c>
      <c r="I1883" t="s">
        <v>314</v>
      </c>
      <c r="N1883" t="s">
        <v>8086</v>
      </c>
      <c r="O1883" t="s">
        <v>343</v>
      </c>
      <c r="P1883" t="s">
        <v>339</v>
      </c>
    </row>
    <row r="1884" spans="8:18" x14ac:dyDescent="0.25">
      <c r="H1884" t="s">
        <v>313</v>
      </c>
      <c r="I1884" t="s">
        <v>314</v>
      </c>
      <c r="N1884" t="s">
        <v>8061</v>
      </c>
      <c r="O1884" t="s">
        <v>343</v>
      </c>
      <c r="P1884" t="s">
        <v>339</v>
      </c>
    </row>
    <row r="1885" spans="8:18" x14ac:dyDescent="0.25">
      <c r="H1885" t="s">
        <v>313</v>
      </c>
      <c r="I1885" t="s">
        <v>314</v>
      </c>
      <c r="N1885" t="s">
        <v>8069</v>
      </c>
      <c r="O1885" t="s">
        <v>343</v>
      </c>
      <c r="P1885" t="s">
        <v>339</v>
      </c>
    </row>
    <row r="1886" spans="8:18" x14ac:dyDescent="0.25">
      <c r="H1886" t="s">
        <v>313</v>
      </c>
      <c r="I1886" t="s">
        <v>314</v>
      </c>
      <c r="N1886" t="s">
        <v>338</v>
      </c>
      <c r="O1886" t="s">
        <v>339</v>
      </c>
    </row>
    <row r="1887" spans="8:18" x14ac:dyDescent="0.25">
      <c r="H1887" t="s">
        <v>313</v>
      </c>
      <c r="I1887" t="s">
        <v>314</v>
      </c>
      <c r="N1887" t="s">
        <v>338</v>
      </c>
      <c r="O1887" t="s">
        <v>339</v>
      </c>
    </row>
    <row r="1888" spans="8:18" x14ac:dyDescent="0.25">
      <c r="H1888" t="s">
        <v>313</v>
      </c>
      <c r="I1888" t="s">
        <v>314</v>
      </c>
      <c r="N1888" t="s">
        <v>338</v>
      </c>
      <c r="O1888" t="s">
        <v>339</v>
      </c>
    </row>
    <row r="1889" spans="8:15" x14ac:dyDescent="0.25">
      <c r="H1889" t="s">
        <v>313</v>
      </c>
      <c r="I1889" t="s">
        <v>314</v>
      </c>
      <c r="N1889" t="s">
        <v>6927</v>
      </c>
      <c r="O1889" t="s">
        <v>341</v>
      </c>
    </row>
    <row r="1890" spans="8:15" x14ac:dyDescent="0.25">
      <c r="H1890" t="s">
        <v>313</v>
      </c>
      <c r="I1890" t="s">
        <v>314</v>
      </c>
      <c r="N1890" t="s">
        <v>6927</v>
      </c>
      <c r="O1890" t="s">
        <v>341</v>
      </c>
    </row>
    <row r="1891" spans="8:15" x14ac:dyDescent="0.25">
      <c r="H1891" t="s">
        <v>313</v>
      </c>
      <c r="I1891" t="s">
        <v>314</v>
      </c>
      <c r="N1891" t="s">
        <v>7712</v>
      </c>
      <c r="O1891" t="s">
        <v>341</v>
      </c>
    </row>
    <row r="1892" spans="8:15" x14ac:dyDescent="0.25">
      <c r="H1892" t="s">
        <v>313</v>
      </c>
      <c r="I1892" t="s">
        <v>314</v>
      </c>
      <c r="N1892" t="s">
        <v>7443</v>
      </c>
      <c r="O1892" t="s">
        <v>339</v>
      </c>
    </row>
    <row r="1893" spans="8:15" x14ac:dyDescent="0.25">
      <c r="H1893" t="s">
        <v>313</v>
      </c>
      <c r="I1893" t="s">
        <v>314</v>
      </c>
      <c r="N1893" t="s">
        <v>7380</v>
      </c>
      <c r="O1893" t="s">
        <v>339</v>
      </c>
    </row>
    <row r="1894" spans="8:15" x14ac:dyDescent="0.25">
      <c r="H1894" t="s">
        <v>313</v>
      </c>
      <c r="I1894" t="s">
        <v>314</v>
      </c>
      <c r="N1894" t="s">
        <v>2747</v>
      </c>
      <c r="O1894" t="s">
        <v>2748</v>
      </c>
    </row>
    <row r="1895" spans="8:15" x14ac:dyDescent="0.25">
      <c r="H1895" t="s">
        <v>313</v>
      </c>
      <c r="I1895" t="s">
        <v>314</v>
      </c>
      <c r="N1895" t="s">
        <v>2747</v>
      </c>
      <c r="O1895" t="s">
        <v>2748</v>
      </c>
    </row>
    <row r="1896" spans="8:15" x14ac:dyDescent="0.25">
      <c r="H1896" t="s">
        <v>313</v>
      </c>
      <c r="I1896" t="s">
        <v>314</v>
      </c>
      <c r="N1896" t="s">
        <v>545</v>
      </c>
      <c r="O1896" t="s">
        <v>546</v>
      </c>
    </row>
    <row r="1897" spans="8:15" x14ac:dyDescent="0.25">
      <c r="H1897" t="s">
        <v>313</v>
      </c>
      <c r="I1897" t="s">
        <v>314</v>
      </c>
      <c r="N1897" t="s">
        <v>545</v>
      </c>
      <c r="O1897" t="s">
        <v>546</v>
      </c>
    </row>
    <row r="1898" spans="8:15" x14ac:dyDescent="0.25">
      <c r="H1898" t="s">
        <v>313</v>
      </c>
      <c r="I1898" t="s">
        <v>314</v>
      </c>
      <c r="N1898" t="s">
        <v>545</v>
      </c>
      <c r="O1898" t="s">
        <v>546</v>
      </c>
    </row>
    <row r="1899" spans="8:15" x14ac:dyDescent="0.25">
      <c r="H1899" t="s">
        <v>313</v>
      </c>
      <c r="I1899" t="s">
        <v>314</v>
      </c>
      <c r="N1899" t="s">
        <v>545</v>
      </c>
      <c r="O1899" t="s">
        <v>546</v>
      </c>
    </row>
    <row r="1900" spans="8:15" x14ac:dyDescent="0.25">
      <c r="H1900" t="s">
        <v>313</v>
      </c>
      <c r="I1900" t="s">
        <v>314</v>
      </c>
      <c r="N1900" t="s">
        <v>545</v>
      </c>
      <c r="O1900" t="s">
        <v>546</v>
      </c>
    </row>
    <row r="1901" spans="8:15" x14ac:dyDescent="0.25">
      <c r="H1901" t="s">
        <v>313</v>
      </c>
      <c r="I1901" t="s">
        <v>314</v>
      </c>
      <c r="N1901" t="s">
        <v>545</v>
      </c>
      <c r="O1901" t="s">
        <v>546</v>
      </c>
    </row>
    <row r="1902" spans="8:15" x14ac:dyDescent="0.25">
      <c r="H1902" t="s">
        <v>313</v>
      </c>
      <c r="I1902" t="s">
        <v>314</v>
      </c>
      <c r="N1902" t="s">
        <v>545</v>
      </c>
      <c r="O1902" t="s">
        <v>546</v>
      </c>
    </row>
    <row r="1903" spans="8:15" x14ac:dyDescent="0.25">
      <c r="H1903" t="s">
        <v>313</v>
      </c>
      <c r="I1903" t="s">
        <v>314</v>
      </c>
      <c r="N1903" t="s">
        <v>545</v>
      </c>
      <c r="O1903" t="s">
        <v>546</v>
      </c>
    </row>
    <row r="1904" spans="8:15" x14ac:dyDescent="0.25">
      <c r="H1904" t="s">
        <v>313</v>
      </c>
      <c r="I1904" t="s">
        <v>314</v>
      </c>
      <c r="N1904" t="s">
        <v>545</v>
      </c>
      <c r="O1904" t="s">
        <v>546</v>
      </c>
    </row>
    <row r="1905" spans="8:15" x14ac:dyDescent="0.25">
      <c r="H1905" t="s">
        <v>313</v>
      </c>
      <c r="I1905" t="s">
        <v>314</v>
      </c>
      <c r="N1905" t="s">
        <v>545</v>
      </c>
      <c r="O1905" t="s">
        <v>546</v>
      </c>
    </row>
    <row r="1906" spans="8:15" x14ac:dyDescent="0.25">
      <c r="H1906" t="s">
        <v>313</v>
      </c>
      <c r="I1906" t="s">
        <v>314</v>
      </c>
      <c r="N1906" t="s">
        <v>545</v>
      </c>
      <c r="O1906" t="s">
        <v>546</v>
      </c>
    </row>
    <row r="1907" spans="8:15" x14ac:dyDescent="0.25">
      <c r="H1907" t="s">
        <v>313</v>
      </c>
      <c r="I1907" t="s">
        <v>314</v>
      </c>
      <c r="N1907" t="s">
        <v>545</v>
      </c>
      <c r="O1907" t="s">
        <v>546</v>
      </c>
    </row>
    <row r="1908" spans="8:15" x14ac:dyDescent="0.25">
      <c r="H1908" t="s">
        <v>313</v>
      </c>
      <c r="I1908" t="s">
        <v>314</v>
      </c>
      <c r="N1908" t="s">
        <v>545</v>
      </c>
      <c r="O1908" t="s">
        <v>546</v>
      </c>
    </row>
    <row r="1909" spans="8:15" x14ac:dyDescent="0.25">
      <c r="H1909" t="s">
        <v>313</v>
      </c>
      <c r="I1909" t="s">
        <v>314</v>
      </c>
      <c r="N1909" t="s">
        <v>545</v>
      </c>
      <c r="O1909" t="s">
        <v>546</v>
      </c>
    </row>
    <row r="1910" spans="8:15" x14ac:dyDescent="0.25">
      <c r="H1910" t="s">
        <v>313</v>
      </c>
      <c r="I1910" t="s">
        <v>314</v>
      </c>
      <c r="N1910" t="s">
        <v>545</v>
      </c>
      <c r="O1910" t="s">
        <v>546</v>
      </c>
    </row>
    <row r="1911" spans="8:15" x14ac:dyDescent="0.25">
      <c r="H1911" t="s">
        <v>313</v>
      </c>
      <c r="I1911" t="s">
        <v>314</v>
      </c>
      <c r="N1911" t="s">
        <v>545</v>
      </c>
      <c r="O1911" t="s">
        <v>546</v>
      </c>
    </row>
    <row r="1912" spans="8:15" x14ac:dyDescent="0.25">
      <c r="H1912" t="s">
        <v>313</v>
      </c>
      <c r="I1912" t="s">
        <v>314</v>
      </c>
      <c r="N1912" t="s">
        <v>545</v>
      </c>
      <c r="O1912" t="s">
        <v>546</v>
      </c>
    </row>
    <row r="1913" spans="8:15" x14ac:dyDescent="0.25">
      <c r="H1913" t="s">
        <v>313</v>
      </c>
      <c r="I1913" t="s">
        <v>314</v>
      </c>
      <c r="N1913" t="s">
        <v>545</v>
      </c>
      <c r="O1913" t="s">
        <v>546</v>
      </c>
    </row>
    <row r="1914" spans="8:15" x14ac:dyDescent="0.25">
      <c r="H1914" t="s">
        <v>313</v>
      </c>
      <c r="I1914" t="s">
        <v>314</v>
      </c>
      <c r="N1914" t="s">
        <v>545</v>
      </c>
      <c r="O1914" t="s">
        <v>546</v>
      </c>
    </row>
    <row r="1915" spans="8:15" x14ac:dyDescent="0.25">
      <c r="H1915" t="s">
        <v>313</v>
      </c>
      <c r="I1915" t="s">
        <v>314</v>
      </c>
      <c r="N1915" t="s">
        <v>545</v>
      </c>
      <c r="O1915" t="s">
        <v>546</v>
      </c>
    </row>
    <row r="1916" spans="8:15" x14ac:dyDescent="0.25">
      <c r="H1916" t="s">
        <v>313</v>
      </c>
      <c r="I1916" t="s">
        <v>314</v>
      </c>
      <c r="N1916" t="s">
        <v>545</v>
      </c>
      <c r="O1916" t="s">
        <v>546</v>
      </c>
    </row>
    <row r="1917" spans="8:15" x14ac:dyDescent="0.25">
      <c r="H1917" t="s">
        <v>313</v>
      </c>
      <c r="I1917" t="s">
        <v>314</v>
      </c>
      <c r="N1917" t="s">
        <v>545</v>
      </c>
      <c r="O1917" t="s">
        <v>546</v>
      </c>
    </row>
    <row r="1918" spans="8:15" x14ac:dyDescent="0.25">
      <c r="H1918" t="s">
        <v>313</v>
      </c>
      <c r="I1918" t="s">
        <v>314</v>
      </c>
      <c r="N1918" t="s">
        <v>545</v>
      </c>
      <c r="O1918" t="s">
        <v>546</v>
      </c>
    </row>
    <row r="1919" spans="8:15" x14ac:dyDescent="0.25">
      <c r="H1919" t="s">
        <v>313</v>
      </c>
      <c r="I1919" t="s">
        <v>314</v>
      </c>
      <c r="N1919" t="s">
        <v>545</v>
      </c>
      <c r="O1919" t="s">
        <v>546</v>
      </c>
    </row>
    <row r="1920" spans="8:15" x14ac:dyDescent="0.25">
      <c r="H1920" t="s">
        <v>313</v>
      </c>
      <c r="I1920" t="s">
        <v>314</v>
      </c>
      <c r="N1920" t="s">
        <v>545</v>
      </c>
      <c r="O1920" t="s">
        <v>546</v>
      </c>
    </row>
    <row r="1921" spans="8:15" x14ac:dyDescent="0.25">
      <c r="H1921" t="s">
        <v>313</v>
      </c>
      <c r="I1921" t="s">
        <v>314</v>
      </c>
      <c r="N1921" t="s">
        <v>545</v>
      </c>
      <c r="O1921" t="s">
        <v>546</v>
      </c>
    </row>
    <row r="1922" spans="8:15" x14ac:dyDescent="0.25">
      <c r="H1922" t="s">
        <v>313</v>
      </c>
      <c r="I1922" t="s">
        <v>314</v>
      </c>
      <c r="N1922" t="s">
        <v>545</v>
      </c>
      <c r="O1922" t="s">
        <v>546</v>
      </c>
    </row>
    <row r="1923" spans="8:15" x14ac:dyDescent="0.25">
      <c r="H1923" t="s">
        <v>313</v>
      </c>
      <c r="I1923" t="s">
        <v>314</v>
      </c>
      <c r="N1923" t="s">
        <v>545</v>
      </c>
      <c r="O1923" t="s">
        <v>546</v>
      </c>
    </row>
    <row r="1924" spans="8:15" x14ac:dyDescent="0.25">
      <c r="H1924" t="s">
        <v>313</v>
      </c>
      <c r="I1924" t="s">
        <v>314</v>
      </c>
      <c r="N1924" t="s">
        <v>545</v>
      </c>
      <c r="O1924" t="s">
        <v>546</v>
      </c>
    </row>
    <row r="1925" spans="8:15" x14ac:dyDescent="0.25">
      <c r="H1925" t="s">
        <v>313</v>
      </c>
      <c r="I1925" t="s">
        <v>314</v>
      </c>
      <c r="N1925" t="s">
        <v>545</v>
      </c>
      <c r="O1925" t="s">
        <v>546</v>
      </c>
    </row>
    <row r="1926" spans="8:15" x14ac:dyDescent="0.25">
      <c r="H1926" t="s">
        <v>313</v>
      </c>
      <c r="I1926" t="s">
        <v>314</v>
      </c>
      <c r="N1926" t="s">
        <v>545</v>
      </c>
      <c r="O1926" t="s">
        <v>546</v>
      </c>
    </row>
    <row r="1927" spans="8:15" x14ac:dyDescent="0.25">
      <c r="H1927" t="s">
        <v>313</v>
      </c>
      <c r="I1927" t="s">
        <v>314</v>
      </c>
      <c r="N1927" t="s">
        <v>545</v>
      </c>
      <c r="O1927" t="s">
        <v>546</v>
      </c>
    </row>
    <row r="1928" spans="8:15" x14ac:dyDescent="0.25">
      <c r="H1928" t="s">
        <v>313</v>
      </c>
      <c r="I1928" t="s">
        <v>314</v>
      </c>
      <c r="N1928" t="s">
        <v>545</v>
      </c>
      <c r="O1928" t="s">
        <v>546</v>
      </c>
    </row>
    <row r="1929" spans="8:15" x14ac:dyDescent="0.25">
      <c r="H1929" t="s">
        <v>313</v>
      </c>
      <c r="I1929" t="s">
        <v>314</v>
      </c>
      <c r="N1929" t="s">
        <v>545</v>
      </c>
      <c r="O1929" t="s">
        <v>546</v>
      </c>
    </row>
    <row r="1930" spans="8:15" x14ac:dyDescent="0.25">
      <c r="H1930" t="s">
        <v>313</v>
      </c>
      <c r="I1930" t="s">
        <v>314</v>
      </c>
      <c r="N1930" t="s">
        <v>545</v>
      </c>
      <c r="O1930" t="s">
        <v>546</v>
      </c>
    </row>
    <row r="1931" spans="8:15" x14ac:dyDescent="0.25">
      <c r="H1931" t="s">
        <v>313</v>
      </c>
      <c r="I1931" t="s">
        <v>314</v>
      </c>
      <c r="N1931" t="s">
        <v>545</v>
      </c>
      <c r="O1931" t="s">
        <v>546</v>
      </c>
    </row>
    <row r="1932" spans="8:15" x14ac:dyDescent="0.25">
      <c r="H1932" t="s">
        <v>313</v>
      </c>
      <c r="I1932" t="s">
        <v>314</v>
      </c>
      <c r="N1932" t="s">
        <v>545</v>
      </c>
      <c r="O1932" t="s">
        <v>546</v>
      </c>
    </row>
    <row r="1933" spans="8:15" x14ac:dyDescent="0.25">
      <c r="H1933" t="s">
        <v>313</v>
      </c>
      <c r="I1933" t="s">
        <v>314</v>
      </c>
      <c r="N1933" t="s">
        <v>545</v>
      </c>
      <c r="O1933" t="s">
        <v>546</v>
      </c>
    </row>
    <row r="1934" spans="8:15" x14ac:dyDescent="0.25">
      <c r="H1934" t="s">
        <v>313</v>
      </c>
      <c r="I1934" t="s">
        <v>314</v>
      </c>
      <c r="N1934" t="s">
        <v>545</v>
      </c>
      <c r="O1934" t="s">
        <v>546</v>
      </c>
    </row>
    <row r="1935" spans="8:15" x14ac:dyDescent="0.25">
      <c r="H1935" t="s">
        <v>313</v>
      </c>
      <c r="I1935" t="s">
        <v>314</v>
      </c>
      <c r="N1935" t="s">
        <v>545</v>
      </c>
      <c r="O1935" t="s">
        <v>546</v>
      </c>
    </row>
    <row r="1936" spans="8:15" x14ac:dyDescent="0.25">
      <c r="H1936" t="s">
        <v>313</v>
      </c>
      <c r="I1936" t="s">
        <v>314</v>
      </c>
      <c r="N1936" t="s">
        <v>7114</v>
      </c>
      <c r="O1936" t="s">
        <v>546</v>
      </c>
    </row>
    <row r="1937" spans="8:19" x14ac:dyDescent="0.25">
      <c r="H1937" t="s">
        <v>313</v>
      </c>
      <c r="I1937" t="s">
        <v>314</v>
      </c>
      <c r="N1937" t="s">
        <v>7114</v>
      </c>
      <c r="O1937" t="s">
        <v>546</v>
      </c>
    </row>
    <row r="1938" spans="8:19" x14ac:dyDescent="0.25">
      <c r="H1938" t="s">
        <v>313</v>
      </c>
      <c r="I1938" t="s">
        <v>314</v>
      </c>
      <c r="N1938" t="s">
        <v>7114</v>
      </c>
      <c r="O1938" t="s">
        <v>546</v>
      </c>
    </row>
    <row r="1939" spans="8:19" x14ac:dyDescent="0.25">
      <c r="H1939" t="s">
        <v>313</v>
      </c>
      <c r="I1939" t="s">
        <v>314</v>
      </c>
      <c r="N1939" t="s">
        <v>7106</v>
      </c>
      <c r="O1939" t="s">
        <v>546</v>
      </c>
    </row>
    <row r="1940" spans="8:19" x14ac:dyDescent="0.25">
      <c r="H1940" t="s">
        <v>313</v>
      </c>
      <c r="I1940" t="s">
        <v>314</v>
      </c>
      <c r="N1940" t="s">
        <v>7106</v>
      </c>
      <c r="O1940" t="s">
        <v>546</v>
      </c>
    </row>
    <row r="1941" spans="8:19" x14ac:dyDescent="0.25">
      <c r="H1941" t="s">
        <v>313</v>
      </c>
      <c r="I1941" t="s">
        <v>314</v>
      </c>
      <c r="N1941" t="s">
        <v>393</v>
      </c>
      <c r="O1941" t="s">
        <v>348</v>
      </c>
      <c r="P1941" t="s">
        <v>350</v>
      </c>
      <c r="Q1941" t="s">
        <v>352</v>
      </c>
    </row>
    <row r="1942" spans="8:19" x14ac:dyDescent="0.25">
      <c r="H1942" t="s">
        <v>313</v>
      </c>
      <c r="I1942" t="s">
        <v>314</v>
      </c>
      <c r="N1942" t="s">
        <v>393</v>
      </c>
      <c r="O1942" t="s">
        <v>348</v>
      </c>
      <c r="P1942" t="s">
        <v>350</v>
      </c>
      <c r="Q1942" t="s">
        <v>352</v>
      </c>
      <c r="S1942" t="s">
        <v>8097</v>
      </c>
    </row>
    <row r="1943" spans="8:19" x14ac:dyDescent="0.25">
      <c r="H1943" t="s">
        <v>313</v>
      </c>
      <c r="I1943" t="s">
        <v>314</v>
      </c>
      <c r="N1943" t="s">
        <v>393</v>
      </c>
      <c r="O1943" t="s">
        <v>348</v>
      </c>
      <c r="P1943" t="s">
        <v>350</v>
      </c>
      <c r="Q1943" t="s">
        <v>352</v>
      </c>
    </row>
    <row r="1944" spans="8:19" x14ac:dyDescent="0.25">
      <c r="H1944" t="s">
        <v>313</v>
      </c>
      <c r="I1944" t="s">
        <v>314</v>
      </c>
      <c r="N1944" t="s">
        <v>393</v>
      </c>
      <c r="O1944" t="s">
        <v>348</v>
      </c>
      <c r="P1944" t="s">
        <v>350</v>
      </c>
      <c r="Q1944" t="s">
        <v>352</v>
      </c>
    </row>
    <row r="1945" spans="8:19" x14ac:dyDescent="0.25">
      <c r="H1945" t="s">
        <v>313</v>
      </c>
      <c r="I1945" t="s">
        <v>314</v>
      </c>
      <c r="N1945" t="s">
        <v>393</v>
      </c>
      <c r="O1945" t="s">
        <v>348</v>
      </c>
      <c r="P1945" t="s">
        <v>350</v>
      </c>
      <c r="Q1945" t="s">
        <v>352</v>
      </c>
    </row>
    <row r="1946" spans="8:19" x14ac:dyDescent="0.25">
      <c r="H1946" t="s">
        <v>313</v>
      </c>
      <c r="I1946" t="s">
        <v>314</v>
      </c>
      <c r="N1946" t="s">
        <v>393</v>
      </c>
      <c r="O1946" t="s">
        <v>348</v>
      </c>
      <c r="P1946" t="s">
        <v>350</v>
      </c>
      <c r="Q1946" t="s">
        <v>352</v>
      </c>
    </row>
    <row r="1947" spans="8:19" x14ac:dyDescent="0.25">
      <c r="H1947" t="s">
        <v>313</v>
      </c>
      <c r="I1947" t="s">
        <v>314</v>
      </c>
      <c r="N1947" t="s">
        <v>393</v>
      </c>
      <c r="O1947" t="s">
        <v>348</v>
      </c>
      <c r="P1947" t="s">
        <v>350</v>
      </c>
      <c r="Q1947" t="s">
        <v>352</v>
      </c>
    </row>
    <row r="1948" spans="8:19" x14ac:dyDescent="0.25">
      <c r="H1948" t="s">
        <v>313</v>
      </c>
      <c r="I1948" t="s">
        <v>314</v>
      </c>
      <c r="N1948" t="s">
        <v>393</v>
      </c>
      <c r="O1948" t="s">
        <v>348</v>
      </c>
      <c r="P1948" t="s">
        <v>350</v>
      </c>
      <c r="Q1948" t="s">
        <v>352</v>
      </c>
    </row>
    <row r="1949" spans="8:19" x14ac:dyDescent="0.25">
      <c r="H1949" t="s">
        <v>313</v>
      </c>
      <c r="I1949" t="s">
        <v>314</v>
      </c>
      <c r="N1949" t="s">
        <v>7403</v>
      </c>
      <c r="O1949" t="s">
        <v>348</v>
      </c>
      <c r="P1949" t="s">
        <v>350</v>
      </c>
      <c r="Q1949" t="s">
        <v>352</v>
      </c>
    </row>
    <row r="1950" spans="8:19" x14ac:dyDescent="0.25">
      <c r="H1950" t="s">
        <v>313</v>
      </c>
      <c r="I1950" t="s">
        <v>314</v>
      </c>
      <c r="N1950" t="s">
        <v>7402</v>
      </c>
      <c r="O1950" t="s">
        <v>348</v>
      </c>
      <c r="P1950" t="s">
        <v>350</v>
      </c>
      <c r="Q1950" t="s">
        <v>352</v>
      </c>
    </row>
    <row r="1951" spans="8:19" x14ac:dyDescent="0.25">
      <c r="H1951" t="s">
        <v>313</v>
      </c>
      <c r="I1951" t="s">
        <v>314</v>
      </c>
      <c r="N1951" t="s">
        <v>6874</v>
      </c>
      <c r="O1951" t="s">
        <v>348</v>
      </c>
      <c r="P1951" t="s">
        <v>350</v>
      </c>
      <c r="Q1951" t="s">
        <v>352</v>
      </c>
    </row>
    <row r="1952" spans="8:19" x14ac:dyDescent="0.25">
      <c r="H1952" t="s">
        <v>313</v>
      </c>
      <c r="I1952" t="s">
        <v>314</v>
      </c>
      <c r="N1952" t="s">
        <v>7435</v>
      </c>
      <c r="O1952" t="s">
        <v>348</v>
      </c>
      <c r="P1952" t="s">
        <v>350</v>
      </c>
      <c r="Q1952" t="s">
        <v>352</v>
      </c>
    </row>
    <row r="1953" spans="8:17" x14ac:dyDescent="0.25">
      <c r="H1953" t="s">
        <v>313</v>
      </c>
      <c r="I1953" t="s">
        <v>314</v>
      </c>
      <c r="N1953" t="s">
        <v>7761</v>
      </c>
      <c r="O1953" t="s">
        <v>348</v>
      </c>
      <c r="P1953" t="s">
        <v>350</v>
      </c>
      <c r="Q1953" t="s">
        <v>352</v>
      </c>
    </row>
    <row r="1954" spans="8:17" x14ac:dyDescent="0.25">
      <c r="H1954" t="s">
        <v>313</v>
      </c>
      <c r="I1954" t="s">
        <v>314</v>
      </c>
      <c r="N1954" t="s">
        <v>7523</v>
      </c>
      <c r="O1954" t="s">
        <v>348</v>
      </c>
      <c r="P1954" t="s">
        <v>350</v>
      </c>
      <c r="Q1954" t="s">
        <v>352</v>
      </c>
    </row>
    <row r="1955" spans="8:17" x14ac:dyDescent="0.25">
      <c r="H1955" t="s">
        <v>313</v>
      </c>
      <c r="I1955" t="s">
        <v>314</v>
      </c>
      <c r="N1955" t="s">
        <v>7079</v>
      </c>
      <c r="O1955" t="s">
        <v>348</v>
      </c>
      <c r="P1955" t="s">
        <v>350</v>
      </c>
      <c r="Q1955" t="s">
        <v>352</v>
      </c>
    </row>
    <row r="1956" spans="8:17" x14ac:dyDescent="0.25">
      <c r="H1956" t="s">
        <v>313</v>
      </c>
      <c r="I1956" t="s">
        <v>314</v>
      </c>
      <c r="N1956" t="s">
        <v>7912</v>
      </c>
      <c r="O1956" t="s">
        <v>348</v>
      </c>
      <c r="P1956" t="s">
        <v>350</v>
      </c>
      <c r="Q1956" t="s">
        <v>352</v>
      </c>
    </row>
    <row r="1957" spans="8:17" x14ac:dyDescent="0.25">
      <c r="H1957" t="s">
        <v>313</v>
      </c>
      <c r="I1957" t="s">
        <v>314</v>
      </c>
    </row>
    <row r="1958" spans="8:17" x14ac:dyDescent="0.25">
      <c r="H1958" t="s">
        <v>313</v>
      </c>
      <c r="I1958" t="s">
        <v>314</v>
      </c>
    </row>
    <row r="1959" spans="8:17" x14ac:dyDescent="0.25">
      <c r="H1959" t="s">
        <v>313</v>
      </c>
      <c r="I1959" t="s">
        <v>314</v>
      </c>
    </row>
    <row r="1960" spans="8:17" x14ac:dyDescent="0.25">
      <c r="H1960" t="s">
        <v>313</v>
      </c>
      <c r="I1960" t="s">
        <v>314</v>
      </c>
    </row>
    <row r="1961" spans="8:17" x14ac:dyDescent="0.25">
      <c r="H1961" t="s">
        <v>313</v>
      </c>
      <c r="I1961" t="s">
        <v>314</v>
      </c>
    </row>
    <row r="1962" spans="8:17" x14ac:dyDescent="0.25">
      <c r="H1962" t="s">
        <v>313</v>
      </c>
      <c r="I1962" t="s">
        <v>314</v>
      </c>
    </row>
    <row r="1963" spans="8:17" x14ac:dyDescent="0.25">
      <c r="H1963" t="s">
        <v>313</v>
      </c>
      <c r="I1963" t="s">
        <v>314</v>
      </c>
    </row>
    <row r="1964" spans="8:17" x14ac:dyDescent="0.25">
      <c r="H1964" t="s">
        <v>313</v>
      </c>
      <c r="I1964" t="s">
        <v>314</v>
      </c>
    </row>
    <row r="1965" spans="8:17" x14ac:dyDescent="0.25">
      <c r="H1965" t="s">
        <v>313</v>
      </c>
      <c r="I1965" t="s">
        <v>314</v>
      </c>
    </row>
    <row r="1966" spans="8:17" x14ac:dyDescent="0.25">
      <c r="H1966" t="s">
        <v>313</v>
      </c>
      <c r="I1966" t="s">
        <v>314</v>
      </c>
    </row>
    <row r="1967" spans="8:17" x14ac:dyDescent="0.25">
      <c r="H1967" t="s">
        <v>313</v>
      </c>
      <c r="I1967" t="s">
        <v>314</v>
      </c>
    </row>
    <row r="1968" spans="8:17" x14ac:dyDescent="0.25">
      <c r="H1968" t="s">
        <v>313</v>
      </c>
      <c r="I1968" t="s">
        <v>314</v>
      </c>
    </row>
    <row r="1969" spans="8:9" x14ac:dyDescent="0.25">
      <c r="H1969" t="s">
        <v>313</v>
      </c>
      <c r="I1969" t="s">
        <v>314</v>
      </c>
    </row>
    <row r="1970" spans="8:9" x14ac:dyDescent="0.25">
      <c r="H1970" t="s">
        <v>313</v>
      </c>
      <c r="I1970" t="s">
        <v>314</v>
      </c>
    </row>
    <row r="1971" spans="8:9" x14ac:dyDescent="0.25">
      <c r="H1971" t="s">
        <v>313</v>
      </c>
      <c r="I1971" t="s">
        <v>314</v>
      </c>
    </row>
    <row r="1972" spans="8:9" x14ac:dyDescent="0.25">
      <c r="H1972" t="s">
        <v>313</v>
      </c>
      <c r="I1972" t="s">
        <v>314</v>
      </c>
    </row>
    <row r="1973" spans="8:9" x14ac:dyDescent="0.25">
      <c r="H1973" t="s">
        <v>313</v>
      </c>
      <c r="I1973" t="s">
        <v>314</v>
      </c>
    </row>
    <row r="1974" spans="8:9" x14ac:dyDescent="0.25">
      <c r="H1974" t="s">
        <v>313</v>
      </c>
      <c r="I1974" t="s">
        <v>314</v>
      </c>
    </row>
    <row r="1975" spans="8:9" x14ac:dyDescent="0.25">
      <c r="H1975" t="s">
        <v>313</v>
      </c>
      <c r="I1975" t="s">
        <v>314</v>
      </c>
    </row>
    <row r="1976" spans="8:9" x14ac:dyDescent="0.25">
      <c r="H1976" t="s">
        <v>313</v>
      </c>
      <c r="I1976" t="s">
        <v>314</v>
      </c>
    </row>
    <row r="1977" spans="8:9" x14ac:dyDescent="0.25">
      <c r="H1977" t="s">
        <v>313</v>
      </c>
      <c r="I1977" t="s">
        <v>314</v>
      </c>
    </row>
    <row r="1978" spans="8:9" x14ac:dyDescent="0.25">
      <c r="H1978" t="s">
        <v>313</v>
      </c>
      <c r="I1978" t="s">
        <v>314</v>
      </c>
    </row>
    <row r="1979" spans="8:9" x14ac:dyDescent="0.25">
      <c r="H1979" t="s">
        <v>313</v>
      </c>
      <c r="I1979" t="s">
        <v>314</v>
      </c>
    </row>
    <row r="1980" spans="8:9" x14ac:dyDescent="0.25">
      <c r="H1980" t="s">
        <v>313</v>
      </c>
      <c r="I1980" t="s">
        <v>314</v>
      </c>
    </row>
    <row r="1981" spans="8:9" x14ac:dyDescent="0.25">
      <c r="H1981" t="s">
        <v>313</v>
      </c>
      <c r="I1981" t="s">
        <v>314</v>
      </c>
    </row>
    <row r="1982" spans="8:9" x14ac:dyDescent="0.25">
      <c r="H1982" t="s">
        <v>313</v>
      </c>
      <c r="I1982" t="s">
        <v>314</v>
      </c>
    </row>
    <row r="1983" spans="8:9" x14ac:dyDescent="0.25">
      <c r="H1983" t="s">
        <v>313</v>
      </c>
      <c r="I1983" t="s">
        <v>314</v>
      </c>
    </row>
    <row r="1984" spans="8:9" x14ac:dyDescent="0.25">
      <c r="H1984" t="s">
        <v>313</v>
      </c>
      <c r="I1984" t="s">
        <v>314</v>
      </c>
    </row>
    <row r="1985" spans="8:9" x14ac:dyDescent="0.25">
      <c r="H1985" t="s">
        <v>313</v>
      </c>
      <c r="I1985" t="s">
        <v>314</v>
      </c>
    </row>
    <row r="1986" spans="8:9" x14ac:dyDescent="0.25">
      <c r="H1986" t="s">
        <v>313</v>
      </c>
      <c r="I1986" t="s">
        <v>314</v>
      </c>
    </row>
    <row r="1987" spans="8:9" x14ac:dyDescent="0.25">
      <c r="H1987" t="s">
        <v>313</v>
      </c>
      <c r="I1987" t="s">
        <v>314</v>
      </c>
    </row>
    <row r="1988" spans="8:9" x14ac:dyDescent="0.25">
      <c r="H1988" t="s">
        <v>313</v>
      </c>
      <c r="I1988" t="s">
        <v>314</v>
      </c>
    </row>
    <row r="1989" spans="8:9" x14ac:dyDescent="0.25">
      <c r="H1989" t="s">
        <v>313</v>
      </c>
      <c r="I1989" t="s">
        <v>314</v>
      </c>
    </row>
    <row r="1990" spans="8:9" x14ac:dyDescent="0.25">
      <c r="H1990" t="s">
        <v>313</v>
      </c>
      <c r="I1990" t="s">
        <v>314</v>
      </c>
    </row>
    <row r="1991" spans="8:9" x14ac:dyDescent="0.25">
      <c r="H1991" t="s">
        <v>313</v>
      </c>
      <c r="I1991" t="s">
        <v>314</v>
      </c>
    </row>
    <row r="1992" spans="8:9" x14ac:dyDescent="0.25">
      <c r="H1992" t="s">
        <v>313</v>
      </c>
      <c r="I1992" t="s">
        <v>314</v>
      </c>
    </row>
    <row r="1993" spans="8:9" x14ac:dyDescent="0.25">
      <c r="H1993" t="s">
        <v>313</v>
      </c>
      <c r="I1993" t="s">
        <v>314</v>
      </c>
    </row>
    <row r="1994" spans="8:9" x14ac:dyDescent="0.25">
      <c r="H1994" t="s">
        <v>313</v>
      </c>
      <c r="I1994" t="s">
        <v>314</v>
      </c>
    </row>
    <row r="1995" spans="8:9" x14ac:dyDescent="0.25">
      <c r="H1995" t="s">
        <v>313</v>
      </c>
      <c r="I1995" t="s">
        <v>314</v>
      </c>
    </row>
    <row r="1996" spans="8:9" x14ac:dyDescent="0.25">
      <c r="H1996" t="s">
        <v>313</v>
      </c>
      <c r="I1996" t="s">
        <v>314</v>
      </c>
    </row>
    <row r="1997" spans="8:9" x14ac:dyDescent="0.25">
      <c r="H1997" t="s">
        <v>313</v>
      </c>
      <c r="I1997" t="s">
        <v>314</v>
      </c>
    </row>
    <row r="1998" spans="8:9" x14ac:dyDescent="0.25">
      <c r="H1998" t="s">
        <v>313</v>
      </c>
      <c r="I1998" t="s">
        <v>314</v>
      </c>
    </row>
    <row r="1999" spans="8:9" x14ac:dyDescent="0.25">
      <c r="H1999" t="s">
        <v>313</v>
      </c>
      <c r="I1999" t="s">
        <v>314</v>
      </c>
    </row>
    <row r="2000" spans="8:9" x14ac:dyDescent="0.25">
      <c r="H2000" t="s">
        <v>313</v>
      </c>
      <c r="I2000" t="s">
        <v>314</v>
      </c>
    </row>
    <row r="2001" spans="8:9" x14ac:dyDescent="0.25">
      <c r="H2001" t="s">
        <v>313</v>
      </c>
      <c r="I2001" t="s">
        <v>314</v>
      </c>
    </row>
    <row r="2002" spans="8:9" x14ac:dyDescent="0.25">
      <c r="H2002" t="s">
        <v>313</v>
      </c>
      <c r="I2002" t="s">
        <v>314</v>
      </c>
    </row>
    <row r="2003" spans="8:9" x14ac:dyDescent="0.25">
      <c r="H2003" t="s">
        <v>313</v>
      </c>
      <c r="I2003" t="s">
        <v>314</v>
      </c>
    </row>
    <row r="2004" spans="8:9" x14ac:dyDescent="0.25">
      <c r="H2004" t="s">
        <v>313</v>
      </c>
      <c r="I2004" t="s">
        <v>314</v>
      </c>
    </row>
    <row r="2005" spans="8:9" x14ac:dyDescent="0.25">
      <c r="H2005" t="s">
        <v>313</v>
      </c>
      <c r="I2005" t="s">
        <v>314</v>
      </c>
    </row>
    <row r="2006" spans="8:9" x14ac:dyDescent="0.25">
      <c r="H2006" t="s">
        <v>313</v>
      </c>
      <c r="I2006" t="s">
        <v>314</v>
      </c>
    </row>
    <row r="2007" spans="8:9" x14ac:dyDescent="0.25">
      <c r="H2007" t="s">
        <v>313</v>
      </c>
      <c r="I2007" t="s">
        <v>314</v>
      </c>
    </row>
    <row r="2008" spans="8:9" x14ac:dyDescent="0.25">
      <c r="H2008" t="s">
        <v>313</v>
      </c>
      <c r="I2008" t="s">
        <v>314</v>
      </c>
    </row>
    <row r="2009" spans="8:9" x14ac:dyDescent="0.25">
      <c r="H2009" t="s">
        <v>313</v>
      </c>
      <c r="I2009" t="s">
        <v>314</v>
      </c>
    </row>
    <row r="2010" spans="8:9" x14ac:dyDescent="0.25">
      <c r="H2010" t="s">
        <v>5642</v>
      </c>
      <c r="I2010" t="s">
        <v>314</v>
      </c>
    </row>
    <row r="2011" spans="8:9" x14ac:dyDescent="0.25">
      <c r="H2011" t="s">
        <v>5642</v>
      </c>
      <c r="I2011" t="s">
        <v>314</v>
      </c>
    </row>
    <row r="2012" spans="8:9" x14ac:dyDescent="0.25">
      <c r="H2012" t="s">
        <v>5642</v>
      </c>
      <c r="I2012" t="s">
        <v>314</v>
      </c>
    </row>
    <row r="2013" spans="8:9" x14ac:dyDescent="0.25">
      <c r="H2013" t="s">
        <v>5642</v>
      </c>
      <c r="I2013" t="s">
        <v>314</v>
      </c>
    </row>
    <row r="2014" spans="8:9" x14ac:dyDescent="0.25">
      <c r="H2014" t="s">
        <v>6058</v>
      </c>
      <c r="I2014" t="s">
        <v>314</v>
      </c>
    </row>
    <row r="2015" spans="8:9" x14ac:dyDescent="0.25">
      <c r="H2015" t="s">
        <v>6058</v>
      </c>
      <c r="I2015" t="s">
        <v>314</v>
      </c>
    </row>
    <row r="2016" spans="8:9" x14ac:dyDescent="0.25">
      <c r="H2016" t="s">
        <v>6192</v>
      </c>
      <c r="I2016" t="s">
        <v>314</v>
      </c>
    </row>
    <row r="2017" spans="8:9" x14ac:dyDescent="0.25">
      <c r="H2017" t="s">
        <v>6192</v>
      </c>
      <c r="I2017" t="s">
        <v>314</v>
      </c>
    </row>
    <row r="2018" spans="8:9" x14ac:dyDescent="0.25">
      <c r="H2018" t="s">
        <v>6192</v>
      </c>
      <c r="I2018" t="s">
        <v>314</v>
      </c>
    </row>
    <row r="2019" spans="8:9" x14ac:dyDescent="0.25">
      <c r="H2019" t="s">
        <v>5474</v>
      </c>
      <c r="I2019" t="s">
        <v>314</v>
      </c>
    </row>
    <row r="2020" spans="8:9" x14ac:dyDescent="0.25">
      <c r="H2020" t="s">
        <v>5474</v>
      </c>
      <c r="I2020" t="s">
        <v>314</v>
      </c>
    </row>
    <row r="2021" spans="8:9" x14ac:dyDescent="0.25">
      <c r="H2021" t="s">
        <v>5955</v>
      </c>
      <c r="I2021" t="s">
        <v>314</v>
      </c>
    </row>
    <row r="2022" spans="8:9" x14ac:dyDescent="0.25">
      <c r="H2022" t="s">
        <v>5955</v>
      </c>
      <c r="I2022" t="s">
        <v>314</v>
      </c>
    </row>
    <row r="2023" spans="8:9" x14ac:dyDescent="0.25">
      <c r="H2023" t="s">
        <v>5955</v>
      </c>
      <c r="I2023" t="s">
        <v>314</v>
      </c>
    </row>
    <row r="2024" spans="8:9" x14ac:dyDescent="0.25">
      <c r="H2024" t="s">
        <v>5510</v>
      </c>
      <c r="I2024" t="s">
        <v>314</v>
      </c>
    </row>
    <row r="2025" spans="8:9" x14ac:dyDescent="0.25">
      <c r="H2025" t="s">
        <v>5510</v>
      </c>
      <c r="I2025" t="s">
        <v>314</v>
      </c>
    </row>
    <row r="2026" spans="8:9" x14ac:dyDescent="0.25">
      <c r="H2026" t="s">
        <v>5545</v>
      </c>
      <c r="I2026" t="s">
        <v>314</v>
      </c>
    </row>
    <row r="2027" spans="8:9" x14ac:dyDescent="0.25">
      <c r="H2027" t="s">
        <v>5545</v>
      </c>
      <c r="I2027" t="s">
        <v>314</v>
      </c>
    </row>
    <row r="2028" spans="8:9" x14ac:dyDescent="0.25">
      <c r="H2028" t="s">
        <v>5545</v>
      </c>
      <c r="I2028" t="s">
        <v>314</v>
      </c>
    </row>
    <row r="2029" spans="8:9" x14ac:dyDescent="0.25">
      <c r="H2029" t="s">
        <v>6199</v>
      </c>
      <c r="I2029" t="s">
        <v>314</v>
      </c>
    </row>
    <row r="2030" spans="8:9" x14ac:dyDescent="0.25">
      <c r="H2030" t="s">
        <v>6199</v>
      </c>
      <c r="I2030" t="s">
        <v>314</v>
      </c>
    </row>
    <row r="2031" spans="8:9" x14ac:dyDescent="0.25">
      <c r="H2031" t="s">
        <v>5661</v>
      </c>
      <c r="I2031" t="s">
        <v>314</v>
      </c>
    </row>
    <row r="2032" spans="8:9" x14ac:dyDescent="0.25">
      <c r="H2032" t="s">
        <v>5661</v>
      </c>
      <c r="I2032" t="s">
        <v>314</v>
      </c>
    </row>
    <row r="2033" spans="8:9" x14ac:dyDescent="0.25">
      <c r="H2033" t="s">
        <v>5889</v>
      </c>
      <c r="I2033" t="s">
        <v>314</v>
      </c>
    </row>
    <row r="2034" spans="8:9" x14ac:dyDescent="0.25">
      <c r="H2034" t="s">
        <v>4850</v>
      </c>
      <c r="I2034" t="s">
        <v>314</v>
      </c>
    </row>
    <row r="2035" spans="8:9" x14ac:dyDescent="0.25">
      <c r="H2035" t="s">
        <v>4850</v>
      </c>
      <c r="I2035" t="s">
        <v>314</v>
      </c>
    </row>
    <row r="2036" spans="8:9" x14ac:dyDescent="0.25">
      <c r="H2036" t="s">
        <v>5385</v>
      </c>
      <c r="I2036" t="s">
        <v>314</v>
      </c>
    </row>
    <row r="2037" spans="8:9" x14ac:dyDescent="0.25">
      <c r="H2037" t="s">
        <v>5637</v>
      </c>
      <c r="I2037" t="s">
        <v>314</v>
      </c>
    </row>
    <row r="2038" spans="8:9" x14ac:dyDescent="0.25">
      <c r="H2038" t="s">
        <v>5637</v>
      </c>
      <c r="I2038" t="s">
        <v>314</v>
      </c>
    </row>
    <row r="2039" spans="8:9" x14ac:dyDescent="0.25">
      <c r="H2039" t="s">
        <v>6659</v>
      </c>
      <c r="I2039" t="s">
        <v>314</v>
      </c>
    </row>
    <row r="2040" spans="8:9" x14ac:dyDescent="0.25">
      <c r="H2040" t="s">
        <v>5667</v>
      </c>
      <c r="I2040" t="s">
        <v>314</v>
      </c>
    </row>
    <row r="2041" spans="8:9" x14ac:dyDescent="0.25">
      <c r="H2041" t="s">
        <v>5667</v>
      </c>
      <c r="I2041" t="s">
        <v>314</v>
      </c>
    </row>
    <row r="2042" spans="8:9" x14ac:dyDescent="0.25">
      <c r="H2042" t="s">
        <v>4929</v>
      </c>
      <c r="I2042" t="s">
        <v>314</v>
      </c>
    </row>
    <row r="2043" spans="8:9" x14ac:dyDescent="0.25">
      <c r="H2043" t="s">
        <v>4929</v>
      </c>
      <c r="I2043" t="s">
        <v>314</v>
      </c>
    </row>
    <row r="2044" spans="8:9" x14ac:dyDescent="0.25">
      <c r="H2044" t="s">
        <v>4929</v>
      </c>
      <c r="I2044" t="s">
        <v>314</v>
      </c>
    </row>
    <row r="2045" spans="8:9" x14ac:dyDescent="0.25">
      <c r="H2045" t="s">
        <v>4929</v>
      </c>
      <c r="I2045" t="s">
        <v>314</v>
      </c>
    </row>
    <row r="2046" spans="8:9" x14ac:dyDescent="0.25">
      <c r="H2046" t="s">
        <v>4929</v>
      </c>
      <c r="I2046" t="s">
        <v>314</v>
      </c>
    </row>
    <row r="2047" spans="8:9" x14ac:dyDescent="0.25">
      <c r="H2047" t="s">
        <v>4929</v>
      </c>
      <c r="I2047" t="s">
        <v>314</v>
      </c>
    </row>
    <row r="2048" spans="8:9" x14ac:dyDescent="0.25">
      <c r="H2048" t="s">
        <v>4929</v>
      </c>
      <c r="I2048" t="s">
        <v>314</v>
      </c>
    </row>
    <row r="2049" spans="8:9" x14ac:dyDescent="0.25">
      <c r="H2049" t="s">
        <v>6443</v>
      </c>
      <c r="I2049" t="s">
        <v>314</v>
      </c>
    </row>
    <row r="2050" spans="8:9" x14ac:dyDescent="0.25">
      <c r="H2050" t="s">
        <v>5316</v>
      </c>
      <c r="I2050" t="s">
        <v>314</v>
      </c>
    </row>
    <row r="2051" spans="8:9" x14ac:dyDescent="0.25">
      <c r="H2051" t="s">
        <v>5316</v>
      </c>
      <c r="I2051" t="s">
        <v>314</v>
      </c>
    </row>
    <row r="2052" spans="8:9" x14ac:dyDescent="0.25">
      <c r="H2052" t="s">
        <v>5316</v>
      </c>
      <c r="I2052" t="s">
        <v>314</v>
      </c>
    </row>
    <row r="2053" spans="8:9" x14ac:dyDescent="0.25">
      <c r="H2053" t="s">
        <v>5316</v>
      </c>
      <c r="I2053" t="s">
        <v>314</v>
      </c>
    </row>
    <row r="2054" spans="8:9" x14ac:dyDescent="0.25">
      <c r="H2054" t="s">
        <v>6340</v>
      </c>
      <c r="I2054" t="s">
        <v>314</v>
      </c>
    </row>
    <row r="2055" spans="8:9" x14ac:dyDescent="0.25">
      <c r="H2055" t="s">
        <v>6263</v>
      </c>
      <c r="I2055" t="s">
        <v>314</v>
      </c>
    </row>
    <row r="2056" spans="8:9" x14ac:dyDescent="0.25">
      <c r="H2056" t="s">
        <v>5777</v>
      </c>
      <c r="I2056" t="s">
        <v>314</v>
      </c>
    </row>
    <row r="2057" spans="8:9" x14ac:dyDescent="0.25">
      <c r="H2057" t="s">
        <v>6056</v>
      </c>
      <c r="I2057" t="s">
        <v>314</v>
      </c>
    </row>
    <row r="2058" spans="8:9" x14ac:dyDescent="0.25">
      <c r="H2058" t="s">
        <v>5823</v>
      </c>
      <c r="I2058" t="s">
        <v>314</v>
      </c>
    </row>
    <row r="2059" spans="8:9" x14ac:dyDescent="0.25">
      <c r="H2059" t="s">
        <v>5659</v>
      </c>
      <c r="I2059" t="s">
        <v>314</v>
      </c>
    </row>
    <row r="2060" spans="8:9" x14ac:dyDescent="0.25">
      <c r="H2060" t="s">
        <v>5659</v>
      </c>
      <c r="I2060" t="s">
        <v>314</v>
      </c>
    </row>
    <row r="2061" spans="8:9" x14ac:dyDescent="0.25">
      <c r="H2061" t="s">
        <v>5721</v>
      </c>
      <c r="I2061" t="s">
        <v>314</v>
      </c>
    </row>
    <row r="2062" spans="8:9" x14ac:dyDescent="0.25">
      <c r="H2062" t="s">
        <v>5586</v>
      </c>
      <c r="I2062" t="s">
        <v>314</v>
      </c>
    </row>
    <row r="2063" spans="8:9" x14ac:dyDescent="0.25">
      <c r="H2063" t="s">
        <v>5586</v>
      </c>
      <c r="I2063" t="s">
        <v>314</v>
      </c>
    </row>
    <row r="2064" spans="8:9" x14ac:dyDescent="0.25">
      <c r="H2064" t="s">
        <v>6733</v>
      </c>
      <c r="I2064" t="s">
        <v>314</v>
      </c>
    </row>
    <row r="2065" spans="8:9" x14ac:dyDescent="0.25">
      <c r="H2065" t="s">
        <v>6553</v>
      </c>
      <c r="I2065" t="s">
        <v>314</v>
      </c>
    </row>
    <row r="2066" spans="8:9" x14ac:dyDescent="0.25">
      <c r="H2066" t="s">
        <v>5432</v>
      </c>
      <c r="I2066" t="s">
        <v>314</v>
      </c>
    </row>
    <row r="2067" spans="8:9" x14ac:dyDescent="0.25">
      <c r="H2067" t="s">
        <v>5432</v>
      </c>
      <c r="I2067" t="s">
        <v>314</v>
      </c>
    </row>
    <row r="2068" spans="8:9" x14ac:dyDescent="0.25">
      <c r="H2068" t="s">
        <v>5432</v>
      </c>
      <c r="I2068" t="s">
        <v>314</v>
      </c>
    </row>
    <row r="2069" spans="8:9" x14ac:dyDescent="0.25">
      <c r="H2069" t="s">
        <v>5432</v>
      </c>
      <c r="I2069" t="s">
        <v>314</v>
      </c>
    </row>
    <row r="2070" spans="8:9" x14ac:dyDescent="0.25">
      <c r="H2070" t="s">
        <v>5432</v>
      </c>
      <c r="I2070" t="s">
        <v>314</v>
      </c>
    </row>
    <row r="2071" spans="8:9" x14ac:dyDescent="0.25">
      <c r="H2071" t="s">
        <v>5293</v>
      </c>
      <c r="I2071" t="s">
        <v>314</v>
      </c>
    </row>
    <row r="2072" spans="8:9" x14ac:dyDescent="0.25">
      <c r="H2072" t="s">
        <v>5293</v>
      </c>
      <c r="I2072" t="s">
        <v>314</v>
      </c>
    </row>
    <row r="2073" spans="8:9" x14ac:dyDescent="0.25">
      <c r="H2073" t="s">
        <v>5293</v>
      </c>
      <c r="I2073" t="s">
        <v>314</v>
      </c>
    </row>
    <row r="2074" spans="8:9" x14ac:dyDescent="0.25">
      <c r="H2074" t="s">
        <v>5293</v>
      </c>
      <c r="I2074" t="s">
        <v>314</v>
      </c>
    </row>
    <row r="2075" spans="8:9" x14ac:dyDescent="0.25">
      <c r="H2075" t="s">
        <v>5293</v>
      </c>
      <c r="I2075" t="s">
        <v>314</v>
      </c>
    </row>
    <row r="2076" spans="8:9" x14ac:dyDescent="0.25">
      <c r="H2076" t="s">
        <v>5293</v>
      </c>
      <c r="I2076" t="s">
        <v>314</v>
      </c>
    </row>
    <row r="2077" spans="8:9" x14ac:dyDescent="0.25">
      <c r="H2077" t="s">
        <v>5293</v>
      </c>
      <c r="I2077" t="s">
        <v>314</v>
      </c>
    </row>
    <row r="2078" spans="8:9" x14ac:dyDescent="0.25">
      <c r="H2078" t="s">
        <v>5293</v>
      </c>
      <c r="I2078" t="s">
        <v>314</v>
      </c>
    </row>
    <row r="2079" spans="8:9" x14ac:dyDescent="0.25">
      <c r="H2079" t="s">
        <v>5834</v>
      </c>
      <c r="I2079" t="s">
        <v>314</v>
      </c>
    </row>
    <row r="2080" spans="8:9" x14ac:dyDescent="0.25">
      <c r="H2080" t="s">
        <v>5834</v>
      </c>
      <c r="I2080" t="s">
        <v>314</v>
      </c>
    </row>
    <row r="2081" spans="8:9" x14ac:dyDescent="0.25">
      <c r="H2081" t="s">
        <v>5834</v>
      </c>
      <c r="I2081" t="s">
        <v>314</v>
      </c>
    </row>
    <row r="2082" spans="8:9" x14ac:dyDescent="0.25">
      <c r="H2082" t="s">
        <v>6155</v>
      </c>
      <c r="I2082" t="s">
        <v>314</v>
      </c>
    </row>
    <row r="2083" spans="8:9" x14ac:dyDescent="0.25">
      <c r="H2083" t="s">
        <v>6014</v>
      </c>
      <c r="I2083" t="s">
        <v>314</v>
      </c>
    </row>
    <row r="2084" spans="8:9" x14ac:dyDescent="0.25">
      <c r="H2084" t="s">
        <v>315</v>
      </c>
      <c r="I2084" t="s">
        <v>316</v>
      </c>
    </row>
    <row r="2085" spans="8:9" x14ac:dyDescent="0.25">
      <c r="H2085" t="s">
        <v>315</v>
      </c>
      <c r="I2085" t="s">
        <v>316</v>
      </c>
    </row>
    <row r="2086" spans="8:9" x14ac:dyDescent="0.25">
      <c r="H2086" t="s">
        <v>315</v>
      </c>
      <c r="I2086" t="s">
        <v>316</v>
      </c>
    </row>
    <row r="2087" spans="8:9" x14ac:dyDescent="0.25">
      <c r="H2087" t="s">
        <v>315</v>
      </c>
      <c r="I2087" t="s">
        <v>316</v>
      </c>
    </row>
    <row r="2088" spans="8:9" x14ac:dyDescent="0.25">
      <c r="H2088" t="s">
        <v>315</v>
      </c>
      <c r="I2088" t="s">
        <v>316</v>
      </c>
    </row>
    <row r="2089" spans="8:9" x14ac:dyDescent="0.25">
      <c r="H2089" t="s">
        <v>315</v>
      </c>
      <c r="I2089" t="s">
        <v>316</v>
      </c>
    </row>
    <row r="2090" spans="8:9" x14ac:dyDescent="0.25">
      <c r="H2090" t="s">
        <v>315</v>
      </c>
      <c r="I2090" t="s">
        <v>316</v>
      </c>
    </row>
    <row r="2091" spans="8:9" x14ac:dyDescent="0.25">
      <c r="H2091" t="s">
        <v>315</v>
      </c>
      <c r="I2091" t="s">
        <v>316</v>
      </c>
    </row>
    <row r="2092" spans="8:9" x14ac:dyDescent="0.25">
      <c r="H2092" t="s">
        <v>315</v>
      </c>
      <c r="I2092" t="s">
        <v>316</v>
      </c>
    </row>
    <row r="2093" spans="8:9" x14ac:dyDescent="0.25">
      <c r="H2093" t="s">
        <v>315</v>
      </c>
      <c r="I2093" t="s">
        <v>316</v>
      </c>
    </row>
    <row r="2094" spans="8:9" x14ac:dyDescent="0.25">
      <c r="H2094" t="s">
        <v>315</v>
      </c>
      <c r="I2094" t="s">
        <v>316</v>
      </c>
    </row>
    <row r="2095" spans="8:9" x14ac:dyDescent="0.25">
      <c r="H2095" t="s">
        <v>315</v>
      </c>
      <c r="I2095" t="s">
        <v>316</v>
      </c>
    </row>
    <row r="2096" spans="8:9" x14ac:dyDescent="0.25">
      <c r="H2096" t="s">
        <v>315</v>
      </c>
      <c r="I2096" t="s">
        <v>316</v>
      </c>
    </row>
    <row r="2097" spans="8:9" x14ac:dyDescent="0.25">
      <c r="H2097" t="s">
        <v>315</v>
      </c>
      <c r="I2097" t="s">
        <v>316</v>
      </c>
    </row>
    <row r="2098" spans="8:9" x14ac:dyDescent="0.25">
      <c r="H2098" t="s">
        <v>315</v>
      </c>
      <c r="I2098" t="s">
        <v>316</v>
      </c>
    </row>
    <row r="2099" spans="8:9" x14ac:dyDescent="0.25">
      <c r="H2099" t="s">
        <v>315</v>
      </c>
      <c r="I2099" t="s">
        <v>316</v>
      </c>
    </row>
    <row r="2100" spans="8:9" x14ac:dyDescent="0.25">
      <c r="H2100" t="s">
        <v>315</v>
      </c>
      <c r="I2100" t="s">
        <v>316</v>
      </c>
    </row>
    <row r="2101" spans="8:9" x14ac:dyDescent="0.25">
      <c r="H2101" t="s">
        <v>315</v>
      </c>
      <c r="I2101" t="s">
        <v>316</v>
      </c>
    </row>
    <row r="2102" spans="8:9" x14ac:dyDescent="0.25">
      <c r="H2102" t="s">
        <v>315</v>
      </c>
      <c r="I2102" t="s">
        <v>316</v>
      </c>
    </row>
    <row r="2103" spans="8:9" x14ac:dyDescent="0.25">
      <c r="H2103" t="s">
        <v>315</v>
      </c>
      <c r="I2103" t="s">
        <v>316</v>
      </c>
    </row>
    <row r="2104" spans="8:9" x14ac:dyDescent="0.25">
      <c r="H2104" t="s">
        <v>315</v>
      </c>
      <c r="I2104" t="s">
        <v>316</v>
      </c>
    </row>
    <row r="2105" spans="8:9" x14ac:dyDescent="0.25">
      <c r="H2105" t="s">
        <v>315</v>
      </c>
      <c r="I2105" t="s">
        <v>316</v>
      </c>
    </row>
    <row r="2106" spans="8:9" x14ac:dyDescent="0.25">
      <c r="H2106" t="s">
        <v>315</v>
      </c>
      <c r="I2106" t="s">
        <v>316</v>
      </c>
    </row>
    <row r="2107" spans="8:9" x14ac:dyDescent="0.25">
      <c r="H2107" t="s">
        <v>315</v>
      </c>
      <c r="I2107" t="s">
        <v>316</v>
      </c>
    </row>
    <row r="2108" spans="8:9" x14ac:dyDescent="0.25">
      <c r="H2108" t="s">
        <v>315</v>
      </c>
      <c r="I2108" t="s">
        <v>316</v>
      </c>
    </row>
    <row r="2109" spans="8:9" x14ac:dyDescent="0.25">
      <c r="H2109" t="s">
        <v>315</v>
      </c>
      <c r="I2109" t="s">
        <v>316</v>
      </c>
    </row>
    <row r="2110" spans="8:9" x14ac:dyDescent="0.25">
      <c r="H2110" t="s">
        <v>315</v>
      </c>
      <c r="I2110" t="s">
        <v>316</v>
      </c>
    </row>
    <row r="2111" spans="8:9" x14ac:dyDescent="0.25">
      <c r="H2111" t="s">
        <v>315</v>
      </c>
      <c r="I2111" t="s">
        <v>316</v>
      </c>
    </row>
    <row r="2112" spans="8:9" x14ac:dyDescent="0.25">
      <c r="H2112" t="s">
        <v>315</v>
      </c>
      <c r="I2112" t="s">
        <v>316</v>
      </c>
    </row>
    <row r="2113" spans="8:9" x14ac:dyDescent="0.25">
      <c r="H2113" t="s">
        <v>315</v>
      </c>
      <c r="I2113" t="s">
        <v>316</v>
      </c>
    </row>
    <row r="2114" spans="8:9" x14ac:dyDescent="0.25">
      <c r="H2114" t="s">
        <v>315</v>
      </c>
      <c r="I2114" t="s">
        <v>316</v>
      </c>
    </row>
    <row r="2115" spans="8:9" x14ac:dyDescent="0.25">
      <c r="H2115" t="s">
        <v>315</v>
      </c>
      <c r="I2115" t="s">
        <v>316</v>
      </c>
    </row>
    <row r="2116" spans="8:9" x14ac:dyDescent="0.25">
      <c r="H2116" t="s">
        <v>315</v>
      </c>
      <c r="I2116" t="s">
        <v>316</v>
      </c>
    </row>
    <row r="2117" spans="8:9" x14ac:dyDescent="0.25">
      <c r="H2117" t="s">
        <v>6625</v>
      </c>
      <c r="I2117" t="s">
        <v>316</v>
      </c>
    </row>
    <row r="2118" spans="8:9" x14ac:dyDescent="0.25">
      <c r="H2118" t="s">
        <v>5755</v>
      </c>
      <c r="I2118" t="s">
        <v>316</v>
      </c>
    </row>
    <row r="2119" spans="8:9" x14ac:dyDescent="0.25">
      <c r="H2119" t="s">
        <v>5733</v>
      </c>
      <c r="I2119" t="s">
        <v>316</v>
      </c>
    </row>
    <row r="2120" spans="8:9" x14ac:dyDescent="0.25">
      <c r="H2120" t="s">
        <v>6145</v>
      </c>
      <c r="I2120" t="s">
        <v>316</v>
      </c>
    </row>
    <row r="2121" spans="8:9" x14ac:dyDescent="0.25">
      <c r="H2121" t="s">
        <v>4991</v>
      </c>
      <c r="I2121" t="s">
        <v>316</v>
      </c>
    </row>
    <row r="2122" spans="8:9" x14ac:dyDescent="0.25">
      <c r="H2122" t="s">
        <v>6547</v>
      </c>
      <c r="I2122" t="s">
        <v>316</v>
      </c>
    </row>
    <row r="2123" spans="8:9" x14ac:dyDescent="0.25">
      <c r="H2123" t="s">
        <v>318</v>
      </c>
      <c r="I2123" t="s">
        <v>317</v>
      </c>
    </row>
    <row r="2124" spans="8:9" x14ac:dyDescent="0.25">
      <c r="H2124" t="s">
        <v>318</v>
      </c>
      <c r="I2124" t="s">
        <v>317</v>
      </c>
    </row>
    <row r="2125" spans="8:9" x14ac:dyDescent="0.25">
      <c r="H2125" t="s">
        <v>318</v>
      </c>
      <c r="I2125" t="s">
        <v>317</v>
      </c>
    </row>
    <row r="2126" spans="8:9" x14ac:dyDescent="0.25">
      <c r="H2126" t="s">
        <v>318</v>
      </c>
      <c r="I2126" t="s">
        <v>317</v>
      </c>
    </row>
    <row r="2127" spans="8:9" x14ac:dyDescent="0.25">
      <c r="H2127" t="s">
        <v>318</v>
      </c>
      <c r="I2127" t="s">
        <v>317</v>
      </c>
    </row>
    <row r="2128" spans="8:9" x14ac:dyDescent="0.25">
      <c r="H2128" t="s">
        <v>318</v>
      </c>
      <c r="I2128" t="s">
        <v>317</v>
      </c>
    </row>
    <row r="2129" spans="8:9" x14ac:dyDescent="0.25">
      <c r="H2129" t="s">
        <v>318</v>
      </c>
      <c r="I2129" t="s">
        <v>317</v>
      </c>
    </row>
    <row r="2130" spans="8:9" x14ac:dyDescent="0.25">
      <c r="H2130" t="s">
        <v>318</v>
      </c>
      <c r="I2130" t="s">
        <v>317</v>
      </c>
    </row>
    <row r="2131" spans="8:9" x14ac:dyDescent="0.25">
      <c r="H2131" t="s">
        <v>318</v>
      </c>
      <c r="I2131" t="s">
        <v>317</v>
      </c>
    </row>
    <row r="2132" spans="8:9" x14ac:dyDescent="0.25">
      <c r="H2132" t="s">
        <v>318</v>
      </c>
      <c r="I2132" t="s">
        <v>317</v>
      </c>
    </row>
    <row r="2133" spans="8:9" x14ac:dyDescent="0.25">
      <c r="H2133" t="s">
        <v>318</v>
      </c>
      <c r="I2133" t="s">
        <v>317</v>
      </c>
    </row>
    <row r="2134" spans="8:9" x14ac:dyDescent="0.25">
      <c r="H2134" t="s">
        <v>318</v>
      </c>
      <c r="I2134" t="s">
        <v>317</v>
      </c>
    </row>
    <row r="2135" spans="8:9" x14ac:dyDescent="0.25">
      <c r="H2135" t="s">
        <v>318</v>
      </c>
      <c r="I2135" t="s">
        <v>317</v>
      </c>
    </row>
    <row r="2136" spans="8:9" x14ac:dyDescent="0.25">
      <c r="H2136" t="s">
        <v>318</v>
      </c>
      <c r="I2136" t="s">
        <v>317</v>
      </c>
    </row>
    <row r="2137" spans="8:9" x14ac:dyDescent="0.25">
      <c r="H2137" t="s">
        <v>318</v>
      </c>
      <c r="I2137" t="s">
        <v>317</v>
      </c>
    </row>
    <row r="2138" spans="8:9" x14ac:dyDescent="0.25">
      <c r="H2138" t="s">
        <v>318</v>
      </c>
      <c r="I2138" t="s">
        <v>317</v>
      </c>
    </row>
    <row r="2139" spans="8:9" x14ac:dyDescent="0.25">
      <c r="H2139" t="s">
        <v>318</v>
      </c>
      <c r="I2139" t="s">
        <v>317</v>
      </c>
    </row>
    <row r="2140" spans="8:9" x14ac:dyDescent="0.25">
      <c r="H2140" t="s">
        <v>318</v>
      </c>
      <c r="I2140" t="s">
        <v>317</v>
      </c>
    </row>
    <row r="2141" spans="8:9" x14ac:dyDescent="0.25">
      <c r="H2141" t="s">
        <v>318</v>
      </c>
      <c r="I2141" t="s">
        <v>317</v>
      </c>
    </row>
    <row r="2142" spans="8:9" x14ac:dyDescent="0.25">
      <c r="H2142" t="s">
        <v>318</v>
      </c>
      <c r="I2142" t="s">
        <v>317</v>
      </c>
    </row>
    <row r="2143" spans="8:9" x14ac:dyDescent="0.25">
      <c r="H2143" t="s">
        <v>318</v>
      </c>
      <c r="I2143" t="s">
        <v>317</v>
      </c>
    </row>
    <row r="2144" spans="8:9" x14ac:dyDescent="0.25">
      <c r="H2144" t="s">
        <v>318</v>
      </c>
      <c r="I2144" t="s">
        <v>317</v>
      </c>
    </row>
    <row r="2145" spans="8:9" x14ac:dyDescent="0.25">
      <c r="H2145" t="s">
        <v>318</v>
      </c>
      <c r="I2145" t="s">
        <v>317</v>
      </c>
    </row>
    <row r="2146" spans="8:9" x14ac:dyDescent="0.25">
      <c r="H2146" t="s">
        <v>318</v>
      </c>
      <c r="I2146" t="s">
        <v>317</v>
      </c>
    </row>
    <row r="2147" spans="8:9" x14ac:dyDescent="0.25">
      <c r="H2147" t="s">
        <v>318</v>
      </c>
      <c r="I2147" t="s">
        <v>317</v>
      </c>
    </row>
    <row r="2148" spans="8:9" x14ac:dyDescent="0.25">
      <c r="H2148" t="s">
        <v>318</v>
      </c>
      <c r="I2148" t="s">
        <v>317</v>
      </c>
    </row>
    <row r="2149" spans="8:9" x14ac:dyDescent="0.25">
      <c r="H2149" t="s">
        <v>318</v>
      </c>
      <c r="I2149" t="s">
        <v>317</v>
      </c>
    </row>
    <row r="2150" spans="8:9" x14ac:dyDescent="0.25">
      <c r="H2150" t="s">
        <v>318</v>
      </c>
      <c r="I2150" t="s">
        <v>317</v>
      </c>
    </row>
    <row r="2151" spans="8:9" x14ac:dyDescent="0.25">
      <c r="H2151" t="s">
        <v>318</v>
      </c>
      <c r="I2151" t="s">
        <v>317</v>
      </c>
    </row>
    <row r="2152" spans="8:9" x14ac:dyDescent="0.25">
      <c r="H2152" t="s">
        <v>318</v>
      </c>
      <c r="I2152" t="s">
        <v>317</v>
      </c>
    </row>
    <row r="2153" spans="8:9" x14ac:dyDescent="0.25">
      <c r="H2153" t="s">
        <v>318</v>
      </c>
      <c r="I2153" t="s">
        <v>317</v>
      </c>
    </row>
    <row r="2154" spans="8:9" x14ac:dyDescent="0.25">
      <c r="H2154" t="s">
        <v>6648</v>
      </c>
      <c r="I2154" t="s">
        <v>317</v>
      </c>
    </row>
    <row r="2155" spans="8:9" x14ac:dyDescent="0.25">
      <c r="H2155" t="s">
        <v>6648</v>
      </c>
      <c r="I2155" t="s">
        <v>317</v>
      </c>
    </row>
    <row r="2156" spans="8:9" x14ac:dyDescent="0.25">
      <c r="H2156" t="s">
        <v>6638</v>
      </c>
      <c r="I2156" t="s">
        <v>317</v>
      </c>
    </row>
    <row r="2157" spans="8:9" x14ac:dyDescent="0.25">
      <c r="H2157" t="s">
        <v>6172</v>
      </c>
      <c r="I2157" t="s">
        <v>317</v>
      </c>
    </row>
    <row r="2158" spans="8:9" x14ac:dyDescent="0.25">
      <c r="H2158" t="s">
        <v>6121</v>
      </c>
      <c r="I2158" t="s">
        <v>317</v>
      </c>
    </row>
    <row r="2159" spans="8:9" x14ac:dyDescent="0.25">
      <c r="H2159" t="s">
        <v>6121</v>
      </c>
      <c r="I2159" t="s">
        <v>317</v>
      </c>
    </row>
    <row r="2160" spans="8:9" x14ac:dyDescent="0.25">
      <c r="H2160" t="s">
        <v>6121</v>
      </c>
      <c r="I2160" t="s">
        <v>317</v>
      </c>
    </row>
    <row r="2161" spans="8:9" x14ac:dyDescent="0.25">
      <c r="H2161" t="s">
        <v>5904</v>
      </c>
      <c r="I2161" t="s">
        <v>317</v>
      </c>
    </row>
    <row r="2162" spans="8:9" x14ac:dyDescent="0.25">
      <c r="H2162" t="s">
        <v>5904</v>
      </c>
      <c r="I2162" t="s">
        <v>317</v>
      </c>
    </row>
    <row r="2163" spans="8:9" x14ac:dyDescent="0.25">
      <c r="H2163" t="s">
        <v>6789</v>
      </c>
      <c r="I2163" t="s">
        <v>317</v>
      </c>
    </row>
    <row r="2164" spans="8:9" x14ac:dyDescent="0.25">
      <c r="H2164" t="s">
        <v>6425</v>
      </c>
      <c r="I2164" t="s">
        <v>317</v>
      </c>
    </row>
    <row r="2165" spans="8:9" x14ac:dyDescent="0.25">
      <c r="H2165" t="s">
        <v>5362</v>
      </c>
      <c r="I2165" t="s">
        <v>317</v>
      </c>
    </row>
    <row r="2166" spans="8:9" x14ac:dyDescent="0.25">
      <c r="H2166" t="s">
        <v>5264</v>
      </c>
      <c r="I2166" t="s">
        <v>317</v>
      </c>
    </row>
    <row r="2167" spans="8:9" x14ac:dyDescent="0.25">
      <c r="H2167" t="s">
        <v>5264</v>
      </c>
      <c r="I2167" t="s">
        <v>317</v>
      </c>
    </row>
    <row r="2168" spans="8:9" x14ac:dyDescent="0.25">
      <c r="H2168" t="s">
        <v>5264</v>
      </c>
      <c r="I2168" t="s">
        <v>317</v>
      </c>
    </row>
    <row r="2169" spans="8:9" x14ac:dyDescent="0.25">
      <c r="H2169" t="s">
        <v>336</v>
      </c>
      <c r="I2169" t="s">
        <v>337</v>
      </c>
    </row>
    <row r="2170" spans="8:9" x14ac:dyDescent="0.25">
      <c r="H2170" t="s">
        <v>336</v>
      </c>
      <c r="I2170" t="s">
        <v>337</v>
      </c>
    </row>
    <row r="2171" spans="8:9" x14ac:dyDescent="0.25">
      <c r="H2171" t="s">
        <v>336</v>
      </c>
      <c r="I2171" t="s">
        <v>337</v>
      </c>
    </row>
    <row r="2172" spans="8:9" x14ac:dyDescent="0.25">
      <c r="H2172" t="s">
        <v>336</v>
      </c>
      <c r="I2172" t="s">
        <v>337</v>
      </c>
    </row>
    <row r="2173" spans="8:9" x14ac:dyDescent="0.25">
      <c r="H2173" t="s">
        <v>6335</v>
      </c>
      <c r="I2173" t="s">
        <v>337</v>
      </c>
    </row>
    <row r="2174" spans="8:9" x14ac:dyDescent="0.25">
      <c r="H2174" t="s">
        <v>6032</v>
      </c>
      <c r="I2174" t="s">
        <v>337</v>
      </c>
    </row>
    <row r="2175" spans="8:9" x14ac:dyDescent="0.25">
      <c r="H2175" t="s">
        <v>5443</v>
      </c>
      <c r="I2175" t="s">
        <v>337</v>
      </c>
    </row>
    <row r="2176" spans="8:9" x14ac:dyDescent="0.25">
      <c r="H2176" t="s">
        <v>6046</v>
      </c>
      <c r="I2176" t="s">
        <v>337</v>
      </c>
    </row>
    <row r="2177" spans="8:12" x14ac:dyDescent="0.25">
      <c r="H2177" t="s">
        <v>5646</v>
      </c>
      <c r="I2177" t="s">
        <v>337</v>
      </c>
    </row>
    <row r="2178" spans="8:12" x14ac:dyDescent="0.25">
      <c r="H2178" t="s">
        <v>5901</v>
      </c>
      <c r="I2178" t="s">
        <v>337</v>
      </c>
    </row>
    <row r="2179" spans="8:12" x14ac:dyDescent="0.25">
      <c r="H2179" t="s">
        <v>6645</v>
      </c>
      <c r="I2179" t="s">
        <v>337</v>
      </c>
    </row>
    <row r="2180" spans="8:12" x14ac:dyDescent="0.25">
      <c r="H2180" t="s">
        <v>4584</v>
      </c>
      <c r="I2180" t="s">
        <v>337</v>
      </c>
    </row>
    <row r="2181" spans="8:12" x14ac:dyDescent="0.25">
      <c r="H2181" t="s">
        <v>4650</v>
      </c>
      <c r="I2181" t="s">
        <v>337</v>
      </c>
    </row>
    <row r="2182" spans="8:12" x14ac:dyDescent="0.25">
      <c r="H2182" t="s">
        <v>5307</v>
      </c>
      <c r="I2182" t="s">
        <v>337</v>
      </c>
    </row>
    <row r="2183" spans="8:12" x14ac:dyDescent="0.25">
      <c r="H2183" t="s">
        <v>5401</v>
      </c>
      <c r="I2183" t="s">
        <v>337</v>
      </c>
    </row>
    <row r="2184" spans="8:12" x14ac:dyDescent="0.25">
      <c r="H2184" t="s">
        <v>392</v>
      </c>
      <c r="I2184" t="s">
        <v>339</v>
      </c>
      <c r="J2184" t="s">
        <v>343</v>
      </c>
      <c r="K2184" t="s">
        <v>341</v>
      </c>
      <c r="L2184" t="s">
        <v>345</v>
      </c>
    </row>
    <row r="2185" spans="8:12" x14ac:dyDescent="0.25">
      <c r="H2185" t="s">
        <v>392</v>
      </c>
      <c r="I2185" t="s">
        <v>339</v>
      </c>
      <c r="J2185" t="s">
        <v>343</v>
      </c>
      <c r="K2185" t="s">
        <v>341</v>
      </c>
      <c r="L2185" t="s">
        <v>345</v>
      </c>
    </row>
    <row r="2186" spans="8:12" x14ac:dyDescent="0.25">
      <c r="H2186" t="s">
        <v>392</v>
      </c>
      <c r="I2186" t="s">
        <v>339</v>
      </c>
      <c r="J2186" t="s">
        <v>343</v>
      </c>
      <c r="K2186" t="s">
        <v>341</v>
      </c>
      <c r="L2186" t="s">
        <v>345</v>
      </c>
    </row>
    <row r="2187" spans="8:12" x14ac:dyDescent="0.25">
      <c r="H2187" t="s">
        <v>392</v>
      </c>
      <c r="I2187" t="s">
        <v>339</v>
      </c>
      <c r="J2187" t="s">
        <v>343</v>
      </c>
      <c r="K2187" t="s">
        <v>341</v>
      </c>
      <c r="L2187" t="s">
        <v>345</v>
      </c>
    </row>
    <row r="2188" spans="8:12" x14ac:dyDescent="0.25">
      <c r="H2188" t="s">
        <v>5864</v>
      </c>
      <c r="I2188" t="s">
        <v>339</v>
      </c>
      <c r="J2188" t="s">
        <v>343</v>
      </c>
      <c r="K2188" t="s">
        <v>341</v>
      </c>
      <c r="L2188" t="s">
        <v>345</v>
      </c>
    </row>
    <row r="2189" spans="8:12" x14ac:dyDescent="0.25">
      <c r="H2189" t="s">
        <v>6348</v>
      </c>
      <c r="I2189" t="s">
        <v>339</v>
      </c>
      <c r="J2189" t="s">
        <v>343</v>
      </c>
      <c r="K2189" t="s">
        <v>341</v>
      </c>
      <c r="L2189" t="s">
        <v>345</v>
      </c>
    </row>
    <row r="2190" spans="8:12" x14ac:dyDescent="0.25">
      <c r="H2190" t="s">
        <v>5288</v>
      </c>
      <c r="I2190" t="s">
        <v>339</v>
      </c>
      <c r="J2190" t="s">
        <v>343</v>
      </c>
      <c r="K2190" t="s">
        <v>421</v>
      </c>
    </row>
    <row r="2191" spans="8:12" x14ac:dyDescent="0.25">
      <c r="H2191" t="s">
        <v>5288</v>
      </c>
      <c r="I2191" t="s">
        <v>339</v>
      </c>
      <c r="J2191" t="s">
        <v>343</v>
      </c>
      <c r="K2191" t="s">
        <v>341</v>
      </c>
      <c r="L2191" t="s">
        <v>345</v>
      </c>
    </row>
    <row r="2192" spans="8:12" x14ac:dyDescent="0.25">
      <c r="H2192" t="s">
        <v>5288</v>
      </c>
      <c r="I2192" t="s">
        <v>339</v>
      </c>
      <c r="J2192" t="s">
        <v>343</v>
      </c>
      <c r="K2192" t="s">
        <v>421</v>
      </c>
    </row>
    <row r="2193" spans="8:12" x14ac:dyDescent="0.25">
      <c r="H2193" t="s">
        <v>5288</v>
      </c>
      <c r="I2193" t="s">
        <v>339</v>
      </c>
      <c r="J2193" t="s">
        <v>343</v>
      </c>
      <c r="K2193" t="s">
        <v>421</v>
      </c>
    </row>
    <row r="2194" spans="8:12" x14ac:dyDescent="0.25">
      <c r="H2194" t="s">
        <v>5288</v>
      </c>
      <c r="I2194" t="s">
        <v>339</v>
      </c>
      <c r="J2194" t="s">
        <v>343</v>
      </c>
      <c r="K2194" t="s">
        <v>421</v>
      </c>
    </row>
    <row r="2195" spans="8:12" x14ac:dyDescent="0.25">
      <c r="H2195" t="s">
        <v>5288</v>
      </c>
      <c r="I2195" t="s">
        <v>339</v>
      </c>
      <c r="J2195" t="s">
        <v>343</v>
      </c>
      <c r="K2195" t="s">
        <v>421</v>
      </c>
    </row>
    <row r="2196" spans="8:12" x14ac:dyDescent="0.25">
      <c r="H2196" s="180" t="s">
        <v>338</v>
      </c>
      <c r="I2196" s="180" t="s">
        <v>339</v>
      </c>
      <c r="J2196" s="180" t="s">
        <v>341</v>
      </c>
      <c r="K2196" s="180" t="s">
        <v>343</v>
      </c>
      <c r="L2196" s="180" t="s">
        <v>345</v>
      </c>
    </row>
    <row r="2197" spans="8:12" x14ac:dyDescent="0.25">
      <c r="H2197" t="s">
        <v>338</v>
      </c>
      <c r="I2197" t="s">
        <v>339</v>
      </c>
    </row>
    <row r="2198" spans="8:12" x14ac:dyDescent="0.25">
      <c r="H2198" s="180" t="s">
        <v>338</v>
      </c>
      <c r="I2198" s="180" t="s">
        <v>345</v>
      </c>
      <c r="J2198" s="180"/>
      <c r="K2198" s="180"/>
      <c r="L2198" s="180"/>
    </row>
    <row r="2199" spans="8:12" x14ac:dyDescent="0.25">
      <c r="H2199" s="180" t="s">
        <v>338</v>
      </c>
      <c r="I2199" s="180" t="s">
        <v>339</v>
      </c>
      <c r="J2199" s="180" t="s">
        <v>343</v>
      </c>
      <c r="K2199" s="180"/>
      <c r="L2199" s="180"/>
    </row>
    <row r="2200" spans="8:12" x14ac:dyDescent="0.25">
      <c r="H2200" s="180" t="s">
        <v>338</v>
      </c>
      <c r="I2200" s="180" t="s">
        <v>345</v>
      </c>
      <c r="J2200" s="180" t="s">
        <v>341</v>
      </c>
      <c r="K2200" s="180"/>
      <c r="L2200" s="180"/>
    </row>
    <row r="2201" spans="8:12" x14ac:dyDescent="0.25">
      <c r="H2201" s="180" t="s">
        <v>338</v>
      </c>
      <c r="I2201" s="180" t="s">
        <v>2748</v>
      </c>
      <c r="J2201" s="180"/>
      <c r="K2201" s="180"/>
      <c r="L2201" s="180"/>
    </row>
    <row r="2202" spans="8:12" x14ac:dyDescent="0.25">
      <c r="H2202" s="180" t="s">
        <v>338</v>
      </c>
      <c r="I2202" s="180" t="s">
        <v>339</v>
      </c>
      <c r="J2202" s="180" t="s">
        <v>343</v>
      </c>
      <c r="K2202" s="180"/>
      <c r="L2202" s="180"/>
    </row>
    <row r="2203" spans="8:12" x14ac:dyDescent="0.25">
      <c r="H2203" s="180" t="s">
        <v>338</v>
      </c>
      <c r="I2203" s="180" t="s">
        <v>2748</v>
      </c>
      <c r="J2203" s="180"/>
      <c r="K2203" s="180"/>
      <c r="L2203" s="180"/>
    </row>
    <row r="2204" spans="8:12" x14ac:dyDescent="0.25">
      <c r="H2204" s="180" t="s">
        <v>338</v>
      </c>
      <c r="I2204" s="180" t="s">
        <v>2748</v>
      </c>
      <c r="J2204" s="180"/>
      <c r="K2204" s="180"/>
      <c r="L2204" s="180"/>
    </row>
    <row r="2205" spans="8:12" x14ac:dyDescent="0.25">
      <c r="H2205" s="180" t="s">
        <v>338</v>
      </c>
      <c r="I2205" s="180" t="s">
        <v>343</v>
      </c>
      <c r="J2205" s="180" t="s">
        <v>343</v>
      </c>
      <c r="K2205" s="180"/>
      <c r="L2205" s="180"/>
    </row>
    <row r="2206" spans="8:12" x14ac:dyDescent="0.25">
      <c r="H2206" s="180" t="s">
        <v>338</v>
      </c>
      <c r="I2206" s="180" t="s">
        <v>2748</v>
      </c>
      <c r="J2206" s="180"/>
      <c r="K2206" s="180"/>
      <c r="L2206" s="180"/>
    </row>
    <row r="2207" spans="8:12" x14ac:dyDescent="0.25">
      <c r="H2207" s="180" t="s">
        <v>338</v>
      </c>
      <c r="I2207" s="180" t="s">
        <v>345</v>
      </c>
      <c r="J2207" s="180" t="s">
        <v>341</v>
      </c>
      <c r="K2207" s="180"/>
      <c r="L2207" s="180"/>
    </row>
    <row r="2208" spans="8:12" x14ac:dyDescent="0.25">
      <c r="H2208" s="180" t="s">
        <v>338</v>
      </c>
      <c r="I2208" s="180" t="s">
        <v>2748</v>
      </c>
      <c r="J2208" s="180"/>
      <c r="K2208" s="180"/>
      <c r="L2208" s="180"/>
    </row>
    <row r="2209" spans="8:12" x14ac:dyDescent="0.25">
      <c r="H2209" s="180" t="s">
        <v>338</v>
      </c>
      <c r="I2209" s="180" t="s">
        <v>345</v>
      </c>
      <c r="J2209" s="180" t="s">
        <v>341</v>
      </c>
      <c r="K2209" s="180"/>
      <c r="L2209" s="180"/>
    </row>
    <row r="2210" spans="8:12" x14ac:dyDescent="0.25">
      <c r="H2210" s="180" t="s">
        <v>338</v>
      </c>
      <c r="I2210" s="180" t="s">
        <v>339</v>
      </c>
      <c r="J2210" s="180" t="s">
        <v>343</v>
      </c>
      <c r="K2210" s="180"/>
      <c r="L2210" s="180"/>
    </row>
    <row r="2211" spans="8:12" x14ac:dyDescent="0.25">
      <c r="H2211" s="180" t="s">
        <v>338</v>
      </c>
      <c r="I2211" s="180" t="s">
        <v>339</v>
      </c>
      <c r="J2211" s="180" t="s">
        <v>343</v>
      </c>
      <c r="K2211" s="180"/>
      <c r="L2211" s="180"/>
    </row>
    <row r="2212" spans="8:12" x14ac:dyDescent="0.25">
      <c r="H2212" s="180" t="s">
        <v>338</v>
      </c>
      <c r="I2212" s="180" t="s">
        <v>343</v>
      </c>
      <c r="J2212" s="180" t="s">
        <v>343</v>
      </c>
      <c r="K2212" s="180"/>
      <c r="L2212" s="180"/>
    </row>
    <row r="2213" spans="8:12" x14ac:dyDescent="0.25">
      <c r="H2213" t="s">
        <v>340</v>
      </c>
      <c r="I2213" t="s">
        <v>341</v>
      </c>
    </row>
    <row r="2214" spans="8:12" x14ac:dyDescent="0.25">
      <c r="H2214" t="s">
        <v>340</v>
      </c>
      <c r="I2214" t="s">
        <v>341</v>
      </c>
    </row>
    <row r="2215" spans="8:12" x14ac:dyDescent="0.25">
      <c r="H2215" t="s">
        <v>340</v>
      </c>
      <c r="I2215" t="s">
        <v>341</v>
      </c>
    </row>
    <row r="2216" spans="8:12" x14ac:dyDescent="0.25">
      <c r="H2216" t="s">
        <v>340</v>
      </c>
      <c r="I2216" t="s">
        <v>341</v>
      </c>
    </row>
    <row r="2217" spans="8:12" x14ac:dyDescent="0.25">
      <c r="H2217" t="s">
        <v>340</v>
      </c>
      <c r="I2217" t="s">
        <v>341</v>
      </c>
    </row>
    <row r="2218" spans="8:12" x14ac:dyDescent="0.25">
      <c r="H2218" t="s">
        <v>340</v>
      </c>
      <c r="I2218" t="s">
        <v>341</v>
      </c>
    </row>
    <row r="2219" spans="8:12" x14ac:dyDescent="0.25">
      <c r="H2219" t="s">
        <v>340</v>
      </c>
      <c r="I2219" t="s">
        <v>341</v>
      </c>
    </row>
    <row r="2220" spans="8:12" x14ac:dyDescent="0.25">
      <c r="H2220" t="s">
        <v>5336</v>
      </c>
      <c r="I2220" t="s">
        <v>341</v>
      </c>
    </row>
    <row r="2221" spans="8:12" x14ac:dyDescent="0.25">
      <c r="H2221" t="s">
        <v>5336</v>
      </c>
      <c r="I2221" t="s">
        <v>341</v>
      </c>
    </row>
    <row r="2222" spans="8:12" x14ac:dyDescent="0.25">
      <c r="H2222" t="s">
        <v>5336</v>
      </c>
      <c r="I2222" t="s">
        <v>341</v>
      </c>
    </row>
    <row r="2223" spans="8:12" x14ac:dyDescent="0.25">
      <c r="H2223" t="s">
        <v>5295</v>
      </c>
      <c r="I2223" t="s">
        <v>341</v>
      </c>
    </row>
    <row r="2224" spans="8:12" x14ac:dyDescent="0.25">
      <c r="H2224" t="s">
        <v>5534</v>
      </c>
      <c r="I2224" t="s">
        <v>341</v>
      </c>
    </row>
    <row r="2225" spans="8:12" x14ac:dyDescent="0.25">
      <c r="H2225" t="s">
        <v>5534</v>
      </c>
      <c r="I2225" t="s">
        <v>341</v>
      </c>
    </row>
    <row r="2226" spans="8:12" x14ac:dyDescent="0.25">
      <c r="H2226" t="s">
        <v>6665</v>
      </c>
      <c r="I2226" t="s">
        <v>341</v>
      </c>
    </row>
    <row r="2227" spans="8:12" x14ac:dyDescent="0.25">
      <c r="H2227" t="s">
        <v>5439</v>
      </c>
      <c r="I2227" t="s">
        <v>341</v>
      </c>
    </row>
    <row r="2228" spans="8:12" x14ac:dyDescent="0.25">
      <c r="H2228" s="180" t="s">
        <v>8012</v>
      </c>
      <c r="I2228" s="180" t="s">
        <v>339</v>
      </c>
      <c r="J2228" s="180" t="s">
        <v>341</v>
      </c>
      <c r="K2228" s="180" t="s">
        <v>343</v>
      </c>
      <c r="L2228" s="180" t="s">
        <v>345</v>
      </c>
    </row>
    <row r="2229" spans="8:12" x14ac:dyDescent="0.25">
      <c r="H2229" s="180" t="s">
        <v>6739</v>
      </c>
      <c r="I2229" s="180" t="s">
        <v>2748</v>
      </c>
      <c r="J2229" s="180"/>
      <c r="K2229" s="180"/>
      <c r="L2229" s="180"/>
    </row>
    <row r="2230" spans="8:12" x14ac:dyDescent="0.25">
      <c r="H2230" s="180" t="s">
        <v>6047</v>
      </c>
      <c r="I2230" s="180" t="s">
        <v>339</v>
      </c>
      <c r="J2230" s="180" t="s">
        <v>341</v>
      </c>
      <c r="K2230" s="180" t="s">
        <v>343</v>
      </c>
      <c r="L2230" s="180" t="s">
        <v>345</v>
      </c>
    </row>
    <row r="2231" spans="8:12" x14ac:dyDescent="0.25">
      <c r="H2231" s="180" t="s">
        <v>6427</v>
      </c>
      <c r="I2231" s="180" t="s">
        <v>339</v>
      </c>
      <c r="J2231" s="180" t="s">
        <v>341</v>
      </c>
      <c r="K2231" s="180" t="s">
        <v>343</v>
      </c>
      <c r="L2231" s="180" t="s">
        <v>345</v>
      </c>
    </row>
    <row r="2232" spans="8:12" x14ac:dyDescent="0.25">
      <c r="H2232" s="180" t="s">
        <v>6427</v>
      </c>
      <c r="I2232" s="180" t="s">
        <v>339</v>
      </c>
      <c r="J2232" s="180" t="s">
        <v>341</v>
      </c>
      <c r="K2232" s="180" t="s">
        <v>343</v>
      </c>
      <c r="L2232" s="180" t="s">
        <v>345</v>
      </c>
    </row>
    <row r="2233" spans="8:12" x14ac:dyDescent="0.25">
      <c r="H2233" t="s">
        <v>6448</v>
      </c>
      <c r="I2233" t="s">
        <v>339</v>
      </c>
    </row>
    <row r="2234" spans="8:12" x14ac:dyDescent="0.25">
      <c r="H2234" t="s">
        <v>5318</v>
      </c>
      <c r="I2234" t="s">
        <v>339</v>
      </c>
    </row>
    <row r="2235" spans="8:12" x14ac:dyDescent="0.25">
      <c r="H2235" t="s">
        <v>5318</v>
      </c>
      <c r="I2235" t="s">
        <v>339</v>
      </c>
    </row>
    <row r="2236" spans="8:12" x14ac:dyDescent="0.25">
      <c r="H2236" t="s">
        <v>5318</v>
      </c>
      <c r="I2236" t="s">
        <v>339</v>
      </c>
    </row>
    <row r="2237" spans="8:12" x14ac:dyDescent="0.25">
      <c r="H2237" t="s">
        <v>5437</v>
      </c>
      <c r="I2237" t="s">
        <v>339</v>
      </c>
    </row>
    <row r="2238" spans="8:12" x14ac:dyDescent="0.25">
      <c r="H2238" s="180" t="s">
        <v>5437</v>
      </c>
      <c r="I2238" s="180" t="s">
        <v>339</v>
      </c>
      <c r="J2238" s="180" t="s">
        <v>343</v>
      </c>
      <c r="K2238" s="180"/>
      <c r="L2238" s="180"/>
    </row>
    <row r="2239" spans="8:12" x14ac:dyDescent="0.25">
      <c r="H2239" s="180" t="s">
        <v>5732</v>
      </c>
      <c r="I2239" s="180" t="s">
        <v>339</v>
      </c>
      <c r="J2239" s="180" t="s">
        <v>343</v>
      </c>
      <c r="K2239" s="180"/>
      <c r="L2239" s="180"/>
    </row>
    <row r="2240" spans="8:12" x14ac:dyDescent="0.25">
      <c r="H2240" t="s">
        <v>5276</v>
      </c>
      <c r="I2240" t="s">
        <v>339</v>
      </c>
    </row>
    <row r="2241" spans="8:12" x14ac:dyDescent="0.25">
      <c r="H2241" t="s">
        <v>5276</v>
      </c>
      <c r="I2241" t="s">
        <v>339</v>
      </c>
    </row>
    <row r="2242" spans="8:12" x14ac:dyDescent="0.25">
      <c r="H2242" s="180" t="s">
        <v>5891</v>
      </c>
      <c r="I2242" s="180" t="s">
        <v>339</v>
      </c>
      <c r="J2242" s="180" t="s">
        <v>341</v>
      </c>
      <c r="K2242" s="180" t="s">
        <v>343</v>
      </c>
      <c r="L2242" s="180" t="s">
        <v>345</v>
      </c>
    </row>
    <row r="2243" spans="8:12" x14ac:dyDescent="0.25">
      <c r="H2243" t="s">
        <v>5505</v>
      </c>
      <c r="I2243" t="s">
        <v>339</v>
      </c>
    </row>
    <row r="2244" spans="8:12" x14ac:dyDescent="0.25">
      <c r="H2244" t="s">
        <v>5859</v>
      </c>
      <c r="I2244" t="s">
        <v>339</v>
      </c>
    </row>
    <row r="2245" spans="8:12" x14ac:dyDescent="0.25">
      <c r="H2245" t="s">
        <v>6813</v>
      </c>
      <c r="I2245" t="s">
        <v>345</v>
      </c>
    </row>
    <row r="2246" spans="8:12" x14ac:dyDescent="0.25">
      <c r="H2246" t="s">
        <v>5914</v>
      </c>
      <c r="I2246" t="s">
        <v>345</v>
      </c>
    </row>
    <row r="2247" spans="8:12" x14ac:dyDescent="0.25">
      <c r="H2247" t="s">
        <v>5574</v>
      </c>
      <c r="I2247" t="s">
        <v>343</v>
      </c>
    </row>
    <row r="2248" spans="8:12" x14ac:dyDescent="0.25">
      <c r="H2248" t="s">
        <v>5574</v>
      </c>
      <c r="I2248" t="s">
        <v>343</v>
      </c>
    </row>
    <row r="2249" spans="8:12" x14ac:dyDescent="0.25">
      <c r="H2249" t="s">
        <v>6771</v>
      </c>
      <c r="I2249" t="s">
        <v>343</v>
      </c>
    </row>
    <row r="2250" spans="8:12" x14ac:dyDescent="0.25">
      <c r="H2250" t="s">
        <v>422</v>
      </c>
      <c r="I2250" t="s">
        <v>442</v>
      </c>
    </row>
    <row r="2251" spans="8:12" x14ac:dyDescent="0.25">
      <c r="H2251" t="s">
        <v>422</v>
      </c>
      <c r="I2251" t="s">
        <v>442</v>
      </c>
    </row>
    <row r="2252" spans="8:12" x14ac:dyDescent="0.25">
      <c r="H2252" t="s">
        <v>422</v>
      </c>
      <c r="I2252" t="s">
        <v>442</v>
      </c>
    </row>
    <row r="2253" spans="8:12" x14ac:dyDescent="0.25">
      <c r="H2253" t="s">
        <v>2749</v>
      </c>
      <c r="I2253" t="s">
        <v>2750</v>
      </c>
    </row>
    <row r="2254" spans="8:12" x14ac:dyDescent="0.25">
      <c r="H2254" t="s">
        <v>461</v>
      </c>
      <c r="I2254" t="s">
        <v>462</v>
      </c>
    </row>
    <row r="2255" spans="8:12" x14ac:dyDescent="0.25">
      <c r="H2255" t="s">
        <v>463</v>
      </c>
      <c r="I2255" t="s">
        <v>484</v>
      </c>
    </row>
    <row r="2256" spans="8:12" x14ac:dyDescent="0.25">
      <c r="H2256" t="s">
        <v>463</v>
      </c>
      <c r="I2256" t="s">
        <v>484</v>
      </c>
    </row>
    <row r="2257" spans="8:9" x14ac:dyDescent="0.25">
      <c r="H2257" t="s">
        <v>463</v>
      </c>
      <c r="I2257" t="s">
        <v>484</v>
      </c>
    </row>
    <row r="2258" spans="8:9" x14ac:dyDescent="0.25">
      <c r="H2258" t="s">
        <v>463</v>
      </c>
      <c r="I2258" t="s">
        <v>484</v>
      </c>
    </row>
    <row r="2259" spans="8:9" x14ac:dyDescent="0.25">
      <c r="H2259" t="s">
        <v>463</v>
      </c>
      <c r="I2259" t="s">
        <v>484</v>
      </c>
    </row>
    <row r="2260" spans="8:9" x14ac:dyDescent="0.25">
      <c r="H2260" t="s">
        <v>8013</v>
      </c>
      <c r="I2260" t="s">
        <v>484</v>
      </c>
    </row>
    <row r="2261" spans="8:9" x14ac:dyDescent="0.25">
      <c r="H2261" t="s">
        <v>8013</v>
      </c>
      <c r="I2261" t="s">
        <v>484</v>
      </c>
    </row>
    <row r="2262" spans="8:9" x14ac:dyDescent="0.25">
      <c r="H2262" t="s">
        <v>6016</v>
      </c>
      <c r="I2262" t="s">
        <v>484</v>
      </c>
    </row>
    <row r="2263" spans="8:9" x14ac:dyDescent="0.25">
      <c r="H2263" t="s">
        <v>5700</v>
      </c>
      <c r="I2263" t="s">
        <v>484</v>
      </c>
    </row>
    <row r="2264" spans="8:9" x14ac:dyDescent="0.25">
      <c r="H2264" t="s">
        <v>5700</v>
      </c>
      <c r="I2264" t="s">
        <v>484</v>
      </c>
    </row>
    <row r="2265" spans="8:9" x14ac:dyDescent="0.25">
      <c r="H2265" t="s">
        <v>6582</v>
      </c>
      <c r="I2265" t="s">
        <v>484</v>
      </c>
    </row>
    <row r="2266" spans="8:9" x14ac:dyDescent="0.25">
      <c r="H2266" t="s">
        <v>5565</v>
      </c>
      <c r="I2266" t="s">
        <v>484</v>
      </c>
    </row>
    <row r="2267" spans="8:9" x14ac:dyDescent="0.25">
      <c r="H2267" t="s">
        <v>5512</v>
      </c>
      <c r="I2267" t="s">
        <v>484</v>
      </c>
    </row>
    <row r="2268" spans="8:9" x14ac:dyDescent="0.25">
      <c r="H2268" t="s">
        <v>5875</v>
      </c>
      <c r="I2268" t="s">
        <v>462</v>
      </c>
    </row>
    <row r="2269" spans="8:9" x14ac:dyDescent="0.25">
      <c r="H2269" t="s">
        <v>545</v>
      </c>
      <c r="I2269" t="s">
        <v>546</v>
      </c>
    </row>
    <row r="2270" spans="8:9" x14ac:dyDescent="0.25">
      <c r="H2270" t="s">
        <v>545</v>
      </c>
      <c r="I2270" t="s">
        <v>546</v>
      </c>
    </row>
    <row r="2271" spans="8:9" x14ac:dyDescent="0.25">
      <c r="H2271" t="s">
        <v>545</v>
      </c>
      <c r="I2271" t="s">
        <v>546</v>
      </c>
    </row>
    <row r="2272" spans="8:9" x14ac:dyDescent="0.25">
      <c r="H2272" t="s">
        <v>545</v>
      </c>
      <c r="I2272" t="s">
        <v>546</v>
      </c>
    </row>
    <row r="2273" spans="8:9" x14ac:dyDescent="0.25">
      <c r="H2273" t="s">
        <v>545</v>
      </c>
      <c r="I2273" t="s">
        <v>546</v>
      </c>
    </row>
    <row r="2274" spans="8:9" x14ac:dyDescent="0.25">
      <c r="H2274" t="s">
        <v>545</v>
      </c>
      <c r="I2274" t="s">
        <v>546</v>
      </c>
    </row>
    <row r="2275" spans="8:9" x14ac:dyDescent="0.25">
      <c r="H2275" t="s">
        <v>545</v>
      </c>
      <c r="I2275" t="s">
        <v>546</v>
      </c>
    </row>
    <row r="2276" spans="8:9" x14ac:dyDescent="0.25">
      <c r="H2276" t="s">
        <v>545</v>
      </c>
      <c r="I2276" t="s">
        <v>546</v>
      </c>
    </row>
    <row r="2277" spans="8:9" x14ac:dyDescent="0.25">
      <c r="H2277" t="s">
        <v>545</v>
      </c>
      <c r="I2277" t="s">
        <v>546</v>
      </c>
    </row>
    <row r="2278" spans="8:9" x14ac:dyDescent="0.25">
      <c r="H2278" t="s">
        <v>545</v>
      </c>
      <c r="I2278" t="s">
        <v>546</v>
      </c>
    </row>
    <row r="2279" spans="8:9" x14ac:dyDescent="0.25">
      <c r="H2279" t="s">
        <v>545</v>
      </c>
      <c r="I2279" t="s">
        <v>546</v>
      </c>
    </row>
    <row r="2280" spans="8:9" x14ac:dyDescent="0.25">
      <c r="H2280" t="s">
        <v>545</v>
      </c>
      <c r="I2280" t="s">
        <v>546</v>
      </c>
    </row>
    <row r="2281" spans="8:9" x14ac:dyDescent="0.25">
      <c r="H2281" t="s">
        <v>545</v>
      </c>
      <c r="I2281" t="s">
        <v>546</v>
      </c>
    </row>
    <row r="2282" spans="8:9" x14ac:dyDescent="0.25">
      <c r="H2282" t="s">
        <v>545</v>
      </c>
      <c r="I2282" t="s">
        <v>546</v>
      </c>
    </row>
    <row r="2283" spans="8:9" x14ac:dyDescent="0.25">
      <c r="H2283" t="s">
        <v>545</v>
      </c>
      <c r="I2283" t="s">
        <v>546</v>
      </c>
    </row>
    <row r="2284" spans="8:9" x14ac:dyDescent="0.25">
      <c r="H2284" t="s">
        <v>545</v>
      </c>
      <c r="I2284" t="s">
        <v>546</v>
      </c>
    </row>
    <row r="2285" spans="8:9" x14ac:dyDescent="0.25">
      <c r="H2285" t="s">
        <v>545</v>
      </c>
      <c r="I2285" t="s">
        <v>546</v>
      </c>
    </row>
    <row r="2286" spans="8:9" x14ac:dyDescent="0.25">
      <c r="H2286" t="s">
        <v>545</v>
      </c>
      <c r="I2286" t="s">
        <v>546</v>
      </c>
    </row>
    <row r="2287" spans="8:9" x14ac:dyDescent="0.25">
      <c r="H2287" t="s">
        <v>545</v>
      </c>
      <c r="I2287" t="s">
        <v>546</v>
      </c>
    </row>
    <row r="2288" spans="8:9" x14ac:dyDescent="0.25">
      <c r="H2288" t="s">
        <v>545</v>
      </c>
      <c r="I2288" t="s">
        <v>546</v>
      </c>
    </row>
    <row r="2289" spans="8:9" x14ac:dyDescent="0.25">
      <c r="H2289" t="s">
        <v>545</v>
      </c>
      <c r="I2289" t="s">
        <v>546</v>
      </c>
    </row>
    <row r="2290" spans="8:9" x14ac:dyDescent="0.25">
      <c r="H2290" t="s">
        <v>545</v>
      </c>
      <c r="I2290" t="s">
        <v>546</v>
      </c>
    </row>
    <row r="2291" spans="8:9" x14ac:dyDescent="0.25">
      <c r="H2291" t="s">
        <v>545</v>
      </c>
      <c r="I2291" t="s">
        <v>546</v>
      </c>
    </row>
    <row r="2292" spans="8:9" x14ac:dyDescent="0.25">
      <c r="H2292" t="s">
        <v>545</v>
      </c>
      <c r="I2292" t="s">
        <v>546</v>
      </c>
    </row>
    <row r="2293" spans="8:9" x14ac:dyDescent="0.25">
      <c r="H2293" t="s">
        <v>545</v>
      </c>
      <c r="I2293" t="s">
        <v>546</v>
      </c>
    </row>
    <row r="2294" spans="8:9" x14ac:dyDescent="0.25">
      <c r="H2294" t="s">
        <v>545</v>
      </c>
      <c r="I2294" t="s">
        <v>546</v>
      </c>
    </row>
    <row r="2295" spans="8:9" x14ac:dyDescent="0.25">
      <c r="H2295" t="s">
        <v>545</v>
      </c>
      <c r="I2295" t="s">
        <v>546</v>
      </c>
    </row>
    <row r="2296" spans="8:9" x14ac:dyDescent="0.25">
      <c r="H2296" t="s">
        <v>545</v>
      </c>
      <c r="I2296" t="s">
        <v>546</v>
      </c>
    </row>
    <row r="2297" spans="8:9" x14ac:dyDescent="0.25">
      <c r="H2297" t="s">
        <v>545</v>
      </c>
      <c r="I2297" t="s">
        <v>546</v>
      </c>
    </row>
    <row r="2298" spans="8:9" x14ac:dyDescent="0.25">
      <c r="H2298" t="s">
        <v>545</v>
      </c>
      <c r="I2298" t="s">
        <v>546</v>
      </c>
    </row>
    <row r="2299" spans="8:9" x14ac:dyDescent="0.25">
      <c r="H2299" t="s">
        <v>545</v>
      </c>
      <c r="I2299" t="s">
        <v>546</v>
      </c>
    </row>
    <row r="2300" spans="8:9" x14ac:dyDescent="0.25">
      <c r="H2300" t="s">
        <v>545</v>
      </c>
      <c r="I2300" t="s">
        <v>546</v>
      </c>
    </row>
    <row r="2301" spans="8:9" x14ac:dyDescent="0.25">
      <c r="H2301" t="s">
        <v>545</v>
      </c>
      <c r="I2301" t="s">
        <v>546</v>
      </c>
    </row>
    <row r="2302" spans="8:9" x14ac:dyDescent="0.25">
      <c r="H2302" t="s">
        <v>545</v>
      </c>
      <c r="I2302" t="s">
        <v>546</v>
      </c>
    </row>
    <row r="2303" spans="8:9" x14ac:dyDescent="0.25">
      <c r="H2303" t="s">
        <v>545</v>
      </c>
      <c r="I2303" t="s">
        <v>546</v>
      </c>
    </row>
    <row r="2304" spans="8:9" x14ac:dyDescent="0.25">
      <c r="H2304" t="s">
        <v>545</v>
      </c>
      <c r="I2304" t="s">
        <v>546</v>
      </c>
    </row>
    <row r="2305" spans="8:9" x14ac:dyDescent="0.25">
      <c r="H2305" t="s">
        <v>545</v>
      </c>
      <c r="I2305" t="s">
        <v>546</v>
      </c>
    </row>
    <row r="2306" spans="8:9" x14ac:dyDescent="0.25">
      <c r="H2306" t="s">
        <v>545</v>
      </c>
      <c r="I2306" t="s">
        <v>546</v>
      </c>
    </row>
    <row r="2307" spans="8:9" x14ac:dyDescent="0.25">
      <c r="H2307" t="s">
        <v>545</v>
      </c>
      <c r="I2307" t="s">
        <v>546</v>
      </c>
    </row>
    <row r="2308" spans="8:9" x14ac:dyDescent="0.25">
      <c r="H2308" t="s">
        <v>545</v>
      </c>
      <c r="I2308" t="s">
        <v>546</v>
      </c>
    </row>
    <row r="2309" spans="8:9" x14ac:dyDescent="0.25">
      <c r="H2309" t="s">
        <v>545</v>
      </c>
      <c r="I2309" t="s">
        <v>546</v>
      </c>
    </row>
    <row r="2310" spans="8:9" x14ac:dyDescent="0.25">
      <c r="H2310" t="s">
        <v>545</v>
      </c>
      <c r="I2310" t="s">
        <v>546</v>
      </c>
    </row>
    <row r="2311" spans="8:9" x14ac:dyDescent="0.25">
      <c r="H2311" t="s">
        <v>545</v>
      </c>
      <c r="I2311" t="s">
        <v>546</v>
      </c>
    </row>
    <row r="2312" spans="8:9" x14ac:dyDescent="0.25">
      <c r="H2312" t="s">
        <v>545</v>
      </c>
      <c r="I2312" t="s">
        <v>546</v>
      </c>
    </row>
    <row r="2313" spans="8:9" x14ac:dyDescent="0.25">
      <c r="H2313" t="s">
        <v>5958</v>
      </c>
      <c r="I2313" t="s">
        <v>546</v>
      </c>
    </row>
    <row r="2314" spans="8:9" x14ac:dyDescent="0.25">
      <c r="H2314" t="s">
        <v>346</v>
      </c>
      <c r="I2314" t="s">
        <v>520</v>
      </c>
    </row>
    <row r="2315" spans="8:9" x14ac:dyDescent="0.25">
      <c r="H2315" t="s">
        <v>346</v>
      </c>
      <c r="I2315" t="s">
        <v>520</v>
      </c>
    </row>
    <row r="2316" spans="8:9" x14ac:dyDescent="0.25">
      <c r="H2316" t="s">
        <v>346</v>
      </c>
      <c r="I2316" t="s">
        <v>520</v>
      </c>
    </row>
    <row r="2317" spans="8:9" x14ac:dyDescent="0.25">
      <c r="H2317" t="s">
        <v>346</v>
      </c>
      <c r="I2317" t="s">
        <v>520</v>
      </c>
    </row>
    <row r="2318" spans="8:9" x14ac:dyDescent="0.25">
      <c r="H2318" t="s">
        <v>346</v>
      </c>
      <c r="I2318" t="s">
        <v>520</v>
      </c>
    </row>
    <row r="2319" spans="8:9" x14ac:dyDescent="0.25">
      <c r="H2319" t="s">
        <v>346</v>
      </c>
      <c r="I2319" t="s">
        <v>520</v>
      </c>
    </row>
    <row r="2320" spans="8:9" x14ac:dyDescent="0.25">
      <c r="H2320" t="s">
        <v>346</v>
      </c>
      <c r="I2320" t="s">
        <v>520</v>
      </c>
    </row>
    <row r="2321" spans="8:11" x14ac:dyDescent="0.25">
      <c r="H2321" t="s">
        <v>6206</v>
      </c>
      <c r="I2321" t="s">
        <v>520</v>
      </c>
    </row>
    <row r="2322" spans="8:11" x14ac:dyDescent="0.25">
      <c r="H2322" t="s">
        <v>6113</v>
      </c>
      <c r="I2322" t="s">
        <v>520</v>
      </c>
    </row>
    <row r="2323" spans="8:11" x14ac:dyDescent="0.25">
      <c r="H2323" t="s">
        <v>5939</v>
      </c>
      <c r="I2323" t="s">
        <v>520</v>
      </c>
    </row>
    <row r="2324" spans="8:11" x14ac:dyDescent="0.25">
      <c r="H2324" t="s">
        <v>6841</v>
      </c>
      <c r="I2324" t="s">
        <v>520</v>
      </c>
    </row>
    <row r="2325" spans="8:11" x14ac:dyDescent="0.25">
      <c r="H2325" t="s">
        <v>5717</v>
      </c>
      <c r="I2325" t="s">
        <v>520</v>
      </c>
    </row>
    <row r="2326" spans="8:11" x14ac:dyDescent="0.25">
      <c r="H2326" t="s">
        <v>5871</v>
      </c>
      <c r="I2326" t="s">
        <v>520</v>
      </c>
    </row>
    <row r="2327" spans="8:11" x14ac:dyDescent="0.25">
      <c r="H2327" t="s">
        <v>4623</v>
      </c>
      <c r="I2327" t="s">
        <v>520</v>
      </c>
    </row>
    <row r="2328" spans="8:11" x14ac:dyDescent="0.25">
      <c r="H2328" t="s">
        <v>5800</v>
      </c>
      <c r="I2328" t="s">
        <v>520</v>
      </c>
    </row>
    <row r="2329" spans="8:11" x14ac:dyDescent="0.25">
      <c r="H2329" t="s">
        <v>4656</v>
      </c>
      <c r="I2329" t="s">
        <v>520</v>
      </c>
    </row>
    <row r="2330" spans="8:11" x14ac:dyDescent="0.25">
      <c r="H2330" t="s">
        <v>6812</v>
      </c>
      <c r="I2330" t="s">
        <v>520</v>
      </c>
    </row>
    <row r="2331" spans="8:11" x14ac:dyDescent="0.25">
      <c r="H2331" t="s">
        <v>6493</v>
      </c>
      <c r="I2331" t="s">
        <v>520</v>
      </c>
    </row>
    <row r="2332" spans="8:11" x14ac:dyDescent="0.25">
      <c r="H2332" t="s">
        <v>5925</v>
      </c>
      <c r="I2332" t="s">
        <v>520</v>
      </c>
    </row>
    <row r="2333" spans="8:11" x14ac:dyDescent="0.25">
      <c r="H2333" t="s">
        <v>5925</v>
      </c>
      <c r="I2333" t="s">
        <v>520</v>
      </c>
    </row>
    <row r="2334" spans="8:11" x14ac:dyDescent="0.25">
      <c r="H2334" t="s">
        <v>393</v>
      </c>
      <c r="I2334" t="s">
        <v>348</v>
      </c>
      <c r="J2334" t="s">
        <v>350</v>
      </c>
      <c r="K2334" t="s">
        <v>352</v>
      </c>
    </row>
    <row r="2335" spans="8:11" x14ac:dyDescent="0.25">
      <c r="H2335" t="s">
        <v>393</v>
      </c>
      <c r="I2335" t="s">
        <v>348</v>
      </c>
      <c r="J2335" t="s">
        <v>350</v>
      </c>
      <c r="K2335" t="s">
        <v>352</v>
      </c>
    </row>
    <row r="2336" spans="8:11" x14ac:dyDescent="0.25">
      <c r="H2336" t="s">
        <v>393</v>
      </c>
      <c r="I2336" t="s">
        <v>348</v>
      </c>
      <c r="J2336" t="s">
        <v>350</v>
      </c>
      <c r="K2336" t="s">
        <v>352</v>
      </c>
    </row>
    <row r="2337" spans="8:11" x14ac:dyDescent="0.25">
      <c r="H2337" t="s">
        <v>393</v>
      </c>
      <c r="I2337" t="s">
        <v>348</v>
      </c>
      <c r="J2337" t="s">
        <v>350</v>
      </c>
      <c r="K2337" t="s">
        <v>352</v>
      </c>
    </row>
    <row r="2338" spans="8:11" x14ac:dyDescent="0.25">
      <c r="H2338" t="s">
        <v>393</v>
      </c>
      <c r="I2338" t="s">
        <v>348</v>
      </c>
      <c r="J2338" t="s">
        <v>350</v>
      </c>
      <c r="K2338" t="s">
        <v>352</v>
      </c>
    </row>
    <row r="2339" spans="8:11" x14ac:dyDescent="0.25">
      <c r="H2339" t="s">
        <v>393</v>
      </c>
      <c r="I2339" t="s">
        <v>348</v>
      </c>
      <c r="J2339" t="s">
        <v>350</v>
      </c>
      <c r="K2339" t="s">
        <v>352</v>
      </c>
    </row>
    <row r="2340" spans="8:11" x14ac:dyDescent="0.25">
      <c r="H2340" t="s">
        <v>393</v>
      </c>
      <c r="I2340" t="s">
        <v>348</v>
      </c>
      <c r="J2340" t="s">
        <v>350</v>
      </c>
      <c r="K2340" t="s">
        <v>352</v>
      </c>
    </row>
    <row r="2341" spans="8:11" x14ac:dyDescent="0.25">
      <c r="H2341" t="s">
        <v>393</v>
      </c>
      <c r="I2341" t="s">
        <v>348</v>
      </c>
      <c r="J2341" t="s">
        <v>350</v>
      </c>
      <c r="K2341" t="s">
        <v>352</v>
      </c>
    </row>
    <row r="2342" spans="8:11" x14ac:dyDescent="0.25">
      <c r="H2342" t="s">
        <v>393</v>
      </c>
      <c r="I2342" t="s">
        <v>348</v>
      </c>
      <c r="J2342" t="s">
        <v>350</v>
      </c>
      <c r="K2342" t="s">
        <v>352</v>
      </c>
    </row>
    <row r="2343" spans="8:11" x14ac:dyDescent="0.25">
      <c r="H2343" t="s">
        <v>393</v>
      </c>
      <c r="I2343" t="s">
        <v>348</v>
      </c>
      <c r="J2343" t="s">
        <v>350</v>
      </c>
      <c r="K2343" t="s">
        <v>352</v>
      </c>
    </row>
    <row r="2344" spans="8:11" x14ac:dyDescent="0.25">
      <c r="H2344" t="s">
        <v>393</v>
      </c>
      <c r="I2344" t="s">
        <v>348</v>
      </c>
      <c r="J2344" t="s">
        <v>350</v>
      </c>
      <c r="K2344" t="s">
        <v>352</v>
      </c>
    </row>
    <row r="2345" spans="8:11" x14ac:dyDescent="0.25">
      <c r="H2345" t="s">
        <v>393</v>
      </c>
      <c r="I2345" t="s">
        <v>348</v>
      </c>
      <c r="J2345" t="s">
        <v>350</v>
      </c>
      <c r="K2345" t="s">
        <v>352</v>
      </c>
    </row>
    <row r="2346" spans="8:11" x14ac:dyDescent="0.25">
      <c r="H2346" t="s">
        <v>393</v>
      </c>
      <c r="I2346" t="s">
        <v>348</v>
      </c>
      <c r="J2346" t="s">
        <v>350</v>
      </c>
      <c r="K2346" t="s">
        <v>352</v>
      </c>
    </row>
    <row r="2347" spans="8:11" x14ac:dyDescent="0.25">
      <c r="H2347" t="s">
        <v>393</v>
      </c>
      <c r="I2347" t="s">
        <v>348</v>
      </c>
      <c r="J2347" t="s">
        <v>350</v>
      </c>
      <c r="K2347" t="s">
        <v>352</v>
      </c>
    </row>
    <row r="2348" spans="8:11" x14ac:dyDescent="0.25">
      <c r="H2348" t="s">
        <v>393</v>
      </c>
      <c r="I2348" t="s">
        <v>348</v>
      </c>
      <c r="J2348" t="s">
        <v>350</v>
      </c>
      <c r="K2348" t="s">
        <v>352</v>
      </c>
    </row>
    <row r="2349" spans="8:11" x14ac:dyDescent="0.25">
      <c r="H2349" t="s">
        <v>393</v>
      </c>
      <c r="I2349" t="s">
        <v>348</v>
      </c>
      <c r="J2349" t="s">
        <v>350</v>
      </c>
      <c r="K2349" t="s">
        <v>352</v>
      </c>
    </row>
    <row r="2350" spans="8:11" x14ac:dyDescent="0.25">
      <c r="H2350" t="s">
        <v>393</v>
      </c>
      <c r="I2350" t="s">
        <v>348</v>
      </c>
      <c r="J2350" t="s">
        <v>350</v>
      </c>
      <c r="K2350" t="s">
        <v>352</v>
      </c>
    </row>
    <row r="2351" spans="8:11" x14ac:dyDescent="0.25">
      <c r="H2351" t="s">
        <v>393</v>
      </c>
      <c r="I2351" t="s">
        <v>348</v>
      </c>
      <c r="J2351" t="s">
        <v>350</v>
      </c>
      <c r="K2351" t="s">
        <v>352</v>
      </c>
    </row>
    <row r="2352" spans="8:11" x14ac:dyDescent="0.25">
      <c r="H2352" t="s">
        <v>393</v>
      </c>
      <c r="I2352" t="s">
        <v>348</v>
      </c>
      <c r="J2352" t="s">
        <v>350</v>
      </c>
      <c r="K2352" t="s">
        <v>352</v>
      </c>
    </row>
    <row r="2353" spans="8:11" x14ac:dyDescent="0.25">
      <c r="H2353" t="s">
        <v>393</v>
      </c>
      <c r="I2353" t="s">
        <v>348</v>
      </c>
      <c r="J2353" t="s">
        <v>350</v>
      </c>
      <c r="K2353" t="s">
        <v>352</v>
      </c>
    </row>
    <row r="2354" spans="8:11" x14ac:dyDescent="0.25">
      <c r="H2354" t="s">
        <v>393</v>
      </c>
      <c r="I2354" t="s">
        <v>348</v>
      </c>
      <c r="J2354" t="s">
        <v>350</v>
      </c>
      <c r="K2354" t="s">
        <v>352</v>
      </c>
    </row>
    <row r="2355" spans="8:11" x14ac:dyDescent="0.25">
      <c r="H2355" t="s">
        <v>393</v>
      </c>
      <c r="I2355" t="s">
        <v>348</v>
      </c>
      <c r="J2355" t="s">
        <v>350</v>
      </c>
      <c r="K2355" t="s">
        <v>352</v>
      </c>
    </row>
    <row r="2356" spans="8:11" x14ac:dyDescent="0.25">
      <c r="H2356" t="s">
        <v>393</v>
      </c>
      <c r="I2356" t="s">
        <v>348</v>
      </c>
      <c r="J2356" t="s">
        <v>350</v>
      </c>
      <c r="K2356" t="s">
        <v>352</v>
      </c>
    </row>
    <row r="2357" spans="8:11" x14ac:dyDescent="0.25">
      <c r="H2357" t="s">
        <v>393</v>
      </c>
      <c r="I2357" t="s">
        <v>348</v>
      </c>
      <c r="J2357" t="s">
        <v>350</v>
      </c>
      <c r="K2357" t="s">
        <v>352</v>
      </c>
    </row>
    <row r="2358" spans="8:11" x14ac:dyDescent="0.25">
      <c r="H2358" t="s">
        <v>393</v>
      </c>
      <c r="I2358" t="s">
        <v>348</v>
      </c>
      <c r="J2358" t="s">
        <v>350</v>
      </c>
      <c r="K2358" t="s">
        <v>352</v>
      </c>
    </row>
    <row r="2359" spans="8:11" x14ac:dyDescent="0.25">
      <c r="H2359" t="s">
        <v>393</v>
      </c>
      <c r="I2359" t="s">
        <v>348</v>
      </c>
      <c r="J2359" t="s">
        <v>350</v>
      </c>
      <c r="K2359" t="s">
        <v>352</v>
      </c>
    </row>
    <row r="2360" spans="8:11" x14ac:dyDescent="0.25">
      <c r="H2360" t="s">
        <v>393</v>
      </c>
      <c r="I2360" t="s">
        <v>348</v>
      </c>
      <c r="J2360" t="s">
        <v>350</v>
      </c>
      <c r="K2360" t="s">
        <v>352</v>
      </c>
    </row>
    <row r="2361" spans="8:11" x14ac:dyDescent="0.25">
      <c r="H2361" t="s">
        <v>393</v>
      </c>
      <c r="I2361" t="s">
        <v>348</v>
      </c>
      <c r="J2361" t="s">
        <v>350</v>
      </c>
      <c r="K2361" t="s">
        <v>352</v>
      </c>
    </row>
    <row r="2362" spans="8:11" x14ac:dyDescent="0.25">
      <c r="H2362" t="s">
        <v>393</v>
      </c>
      <c r="I2362" t="s">
        <v>348</v>
      </c>
      <c r="J2362" t="s">
        <v>350</v>
      </c>
      <c r="K2362" t="s">
        <v>352</v>
      </c>
    </row>
    <row r="2363" spans="8:11" x14ac:dyDescent="0.25">
      <c r="H2363" t="s">
        <v>393</v>
      </c>
      <c r="I2363" t="s">
        <v>348</v>
      </c>
      <c r="J2363" t="s">
        <v>350</v>
      </c>
      <c r="K2363" t="s">
        <v>352</v>
      </c>
    </row>
    <row r="2364" spans="8:11" x14ac:dyDescent="0.25">
      <c r="H2364" t="s">
        <v>393</v>
      </c>
      <c r="I2364" t="s">
        <v>348</v>
      </c>
      <c r="J2364" t="s">
        <v>350</v>
      </c>
      <c r="K2364" t="s">
        <v>352</v>
      </c>
    </row>
    <row r="2365" spans="8:11" x14ac:dyDescent="0.25">
      <c r="H2365" t="s">
        <v>393</v>
      </c>
      <c r="I2365" t="s">
        <v>348</v>
      </c>
      <c r="J2365" t="s">
        <v>350</v>
      </c>
      <c r="K2365" t="s">
        <v>352</v>
      </c>
    </row>
    <row r="2366" spans="8:11" x14ac:dyDescent="0.25">
      <c r="H2366" t="s">
        <v>393</v>
      </c>
      <c r="I2366" t="s">
        <v>348</v>
      </c>
      <c r="J2366" t="s">
        <v>350</v>
      </c>
      <c r="K2366" t="s">
        <v>352</v>
      </c>
    </row>
    <row r="2367" spans="8:11" x14ac:dyDescent="0.25">
      <c r="H2367" t="s">
        <v>393</v>
      </c>
      <c r="I2367" t="s">
        <v>348</v>
      </c>
      <c r="J2367" t="s">
        <v>350</v>
      </c>
      <c r="K2367" t="s">
        <v>352</v>
      </c>
    </row>
    <row r="2368" spans="8:11" x14ac:dyDescent="0.25">
      <c r="H2368" t="s">
        <v>393</v>
      </c>
      <c r="I2368" t="s">
        <v>348</v>
      </c>
      <c r="J2368" t="s">
        <v>350</v>
      </c>
      <c r="K2368" t="s">
        <v>352</v>
      </c>
    </row>
    <row r="2369" spans="8:11" x14ac:dyDescent="0.25">
      <c r="H2369" t="s">
        <v>393</v>
      </c>
      <c r="I2369" t="s">
        <v>348</v>
      </c>
      <c r="J2369" t="s">
        <v>350</v>
      </c>
      <c r="K2369" t="s">
        <v>352</v>
      </c>
    </row>
    <row r="2370" spans="8:11" x14ac:dyDescent="0.25">
      <c r="H2370" t="s">
        <v>393</v>
      </c>
      <c r="I2370" t="s">
        <v>348</v>
      </c>
      <c r="J2370" t="s">
        <v>350</v>
      </c>
      <c r="K2370" t="s">
        <v>352</v>
      </c>
    </row>
    <row r="2371" spans="8:11" x14ac:dyDescent="0.25">
      <c r="H2371" t="s">
        <v>393</v>
      </c>
      <c r="I2371" t="s">
        <v>348</v>
      </c>
      <c r="J2371" t="s">
        <v>350</v>
      </c>
      <c r="K2371" t="s">
        <v>352</v>
      </c>
    </row>
    <row r="2372" spans="8:11" x14ac:dyDescent="0.25">
      <c r="H2372" t="s">
        <v>393</v>
      </c>
      <c r="I2372" t="s">
        <v>348</v>
      </c>
      <c r="J2372" t="s">
        <v>350</v>
      </c>
      <c r="K2372" t="s">
        <v>352</v>
      </c>
    </row>
    <row r="2373" spans="8:11" x14ac:dyDescent="0.25">
      <c r="H2373" t="s">
        <v>393</v>
      </c>
      <c r="I2373" t="s">
        <v>348</v>
      </c>
      <c r="J2373" t="s">
        <v>350</v>
      </c>
      <c r="K2373" t="s">
        <v>352</v>
      </c>
    </row>
    <row r="2374" spans="8:11" x14ac:dyDescent="0.25">
      <c r="H2374" t="s">
        <v>393</v>
      </c>
      <c r="I2374" t="s">
        <v>348</v>
      </c>
      <c r="J2374" t="s">
        <v>350</v>
      </c>
      <c r="K2374" t="s">
        <v>352</v>
      </c>
    </row>
    <row r="2375" spans="8:11" x14ac:dyDescent="0.25">
      <c r="H2375" t="s">
        <v>393</v>
      </c>
      <c r="I2375" t="s">
        <v>348</v>
      </c>
      <c r="J2375" t="s">
        <v>350</v>
      </c>
      <c r="K2375" t="s">
        <v>352</v>
      </c>
    </row>
    <row r="2376" spans="8:11" x14ac:dyDescent="0.25">
      <c r="H2376" t="s">
        <v>393</v>
      </c>
      <c r="I2376" t="s">
        <v>348</v>
      </c>
      <c r="J2376" t="s">
        <v>350</v>
      </c>
      <c r="K2376" t="s">
        <v>352</v>
      </c>
    </row>
    <row r="2377" spans="8:11" x14ac:dyDescent="0.25">
      <c r="H2377" t="s">
        <v>393</v>
      </c>
      <c r="I2377" t="s">
        <v>348</v>
      </c>
      <c r="J2377" t="s">
        <v>350</v>
      </c>
      <c r="K2377" t="s">
        <v>352</v>
      </c>
    </row>
    <row r="2378" spans="8:11" x14ac:dyDescent="0.25">
      <c r="H2378" t="s">
        <v>393</v>
      </c>
      <c r="I2378" t="s">
        <v>348</v>
      </c>
      <c r="J2378" t="s">
        <v>350</v>
      </c>
      <c r="K2378" t="s">
        <v>352</v>
      </c>
    </row>
    <row r="2379" spans="8:11" x14ac:dyDescent="0.25">
      <c r="H2379" t="s">
        <v>393</v>
      </c>
      <c r="I2379" t="s">
        <v>348</v>
      </c>
      <c r="J2379" t="s">
        <v>350</v>
      </c>
      <c r="K2379" t="s">
        <v>352</v>
      </c>
    </row>
    <row r="2380" spans="8:11" x14ac:dyDescent="0.25">
      <c r="H2380" t="s">
        <v>393</v>
      </c>
      <c r="I2380" t="s">
        <v>348</v>
      </c>
      <c r="J2380" t="s">
        <v>350</v>
      </c>
      <c r="K2380" t="s">
        <v>352</v>
      </c>
    </row>
    <row r="2381" spans="8:11" x14ac:dyDescent="0.25">
      <c r="H2381" t="s">
        <v>393</v>
      </c>
      <c r="I2381" t="s">
        <v>348</v>
      </c>
      <c r="J2381" t="s">
        <v>350</v>
      </c>
      <c r="K2381" t="s">
        <v>352</v>
      </c>
    </row>
    <row r="2382" spans="8:11" x14ac:dyDescent="0.25">
      <c r="H2382" t="s">
        <v>393</v>
      </c>
      <c r="I2382" t="s">
        <v>348</v>
      </c>
      <c r="J2382" t="s">
        <v>350</v>
      </c>
      <c r="K2382" t="s">
        <v>352</v>
      </c>
    </row>
    <row r="2383" spans="8:11" x14ac:dyDescent="0.25">
      <c r="H2383" t="s">
        <v>393</v>
      </c>
      <c r="I2383" t="s">
        <v>348</v>
      </c>
      <c r="J2383" t="s">
        <v>350</v>
      </c>
      <c r="K2383" t="s">
        <v>352</v>
      </c>
    </row>
    <row r="2384" spans="8:11" x14ac:dyDescent="0.25">
      <c r="H2384" t="s">
        <v>393</v>
      </c>
      <c r="I2384" t="s">
        <v>348</v>
      </c>
      <c r="J2384" t="s">
        <v>350</v>
      </c>
      <c r="K2384" t="s">
        <v>352</v>
      </c>
    </row>
    <row r="2385" spans="8:11" x14ac:dyDescent="0.25">
      <c r="H2385" t="s">
        <v>393</v>
      </c>
      <c r="I2385" t="s">
        <v>348</v>
      </c>
      <c r="J2385" t="s">
        <v>350</v>
      </c>
      <c r="K2385" t="s">
        <v>352</v>
      </c>
    </row>
    <row r="2386" spans="8:11" x14ac:dyDescent="0.25">
      <c r="H2386" t="s">
        <v>393</v>
      </c>
      <c r="I2386" t="s">
        <v>348</v>
      </c>
      <c r="J2386" t="s">
        <v>350</v>
      </c>
      <c r="K2386" t="s">
        <v>352</v>
      </c>
    </row>
    <row r="2387" spans="8:11" x14ac:dyDescent="0.25">
      <c r="H2387" t="s">
        <v>393</v>
      </c>
      <c r="I2387" t="s">
        <v>348</v>
      </c>
      <c r="J2387" t="s">
        <v>350</v>
      </c>
      <c r="K2387" t="s">
        <v>352</v>
      </c>
    </row>
    <row r="2388" spans="8:11" x14ac:dyDescent="0.25">
      <c r="H2388" t="s">
        <v>393</v>
      </c>
      <c r="I2388" t="s">
        <v>348</v>
      </c>
      <c r="J2388" t="s">
        <v>350</v>
      </c>
      <c r="K2388" t="s">
        <v>352</v>
      </c>
    </row>
    <row r="2389" spans="8:11" x14ac:dyDescent="0.25">
      <c r="H2389" t="s">
        <v>393</v>
      </c>
      <c r="I2389" t="s">
        <v>348</v>
      </c>
      <c r="J2389" t="s">
        <v>350</v>
      </c>
      <c r="K2389" t="s">
        <v>352</v>
      </c>
    </row>
    <row r="2390" spans="8:11" x14ac:dyDescent="0.25">
      <c r="H2390" t="s">
        <v>393</v>
      </c>
      <c r="I2390" t="s">
        <v>348</v>
      </c>
      <c r="J2390" t="s">
        <v>350</v>
      </c>
      <c r="K2390" t="s">
        <v>352</v>
      </c>
    </row>
    <row r="2391" spans="8:11" x14ac:dyDescent="0.25">
      <c r="H2391" t="s">
        <v>393</v>
      </c>
      <c r="I2391" t="s">
        <v>348</v>
      </c>
      <c r="J2391" t="s">
        <v>350</v>
      </c>
      <c r="K2391" t="s">
        <v>352</v>
      </c>
    </row>
    <row r="2392" spans="8:11" x14ac:dyDescent="0.25">
      <c r="H2392" t="s">
        <v>393</v>
      </c>
      <c r="I2392" t="s">
        <v>348</v>
      </c>
      <c r="J2392" t="s">
        <v>350</v>
      </c>
      <c r="K2392" t="s">
        <v>352</v>
      </c>
    </row>
    <row r="2393" spans="8:11" x14ac:dyDescent="0.25">
      <c r="H2393" t="s">
        <v>393</v>
      </c>
      <c r="I2393" t="s">
        <v>348</v>
      </c>
      <c r="J2393" t="s">
        <v>350</v>
      </c>
      <c r="K2393" t="s">
        <v>352</v>
      </c>
    </row>
    <row r="2394" spans="8:11" x14ac:dyDescent="0.25">
      <c r="H2394" t="s">
        <v>393</v>
      </c>
      <c r="I2394" t="s">
        <v>348</v>
      </c>
      <c r="J2394" t="s">
        <v>350</v>
      </c>
      <c r="K2394" t="s">
        <v>352</v>
      </c>
    </row>
    <row r="2395" spans="8:11" x14ac:dyDescent="0.25">
      <c r="H2395" t="s">
        <v>393</v>
      </c>
      <c r="I2395" t="s">
        <v>348</v>
      </c>
      <c r="J2395" t="s">
        <v>350</v>
      </c>
      <c r="K2395" t="s">
        <v>352</v>
      </c>
    </row>
    <row r="2396" spans="8:11" x14ac:dyDescent="0.25">
      <c r="H2396" t="s">
        <v>393</v>
      </c>
      <c r="I2396" t="s">
        <v>348</v>
      </c>
      <c r="J2396" t="s">
        <v>350</v>
      </c>
      <c r="K2396" t="s">
        <v>352</v>
      </c>
    </row>
    <row r="2397" spans="8:11" x14ac:dyDescent="0.25">
      <c r="H2397" t="s">
        <v>393</v>
      </c>
      <c r="I2397" t="s">
        <v>348</v>
      </c>
      <c r="J2397" t="s">
        <v>350</v>
      </c>
      <c r="K2397" t="s">
        <v>352</v>
      </c>
    </row>
    <row r="2398" spans="8:11" x14ac:dyDescent="0.25">
      <c r="H2398" t="s">
        <v>393</v>
      </c>
      <c r="I2398" t="s">
        <v>348</v>
      </c>
      <c r="J2398" t="s">
        <v>350</v>
      </c>
      <c r="K2398" t="s">
        <v>352</v>
      </c>
    </row>
    <row r="2399" spans="8:11" x14ac:dyDescent="0.25">
      <c r="H2399" t="s">
        <v>393</v>
      </c>
      <c r="I2399" t="s">
        <v>348</v>
      </c>
      <c r="J2399" t="s">
        <v>350</v>
      </c>
      <c r="K2399" t="s">
        <v>352</v>
      </c>
    </row>
    <row r="2400" spans="8:11" x14ac:dyDescent="0.25">
      <c r="H2400" t="s">
        <v>393</v>
      </c>
      <c r="I2400" t="s">
        <v>348</v>
      </c>
      <c r="J2400" t="s">
        <v>350</v>
      </c>
      <c r="K2400" t="s">
        <v>352</v>
      </c>
    </row>
    <row r="2401" spans="8:11" x14ac:dyDescent="0.25">
      <c r="H2401" t="s">
        <v>393</v>
      </c>
      <c r="I2401" t="s">
        <v>348</v>
      </c>
      <c r="J2401" t="s">
        <v>350</v>
      </c>
      <c r="K2401" t="s">
        <v>352</v>
      </c>
    </row>
    <row r="2402" spans="8:11" x14ac:dyDescent="0.25">
      <c r="H2402" t="s">
        <v>393</v>
      </c>
      <c r="I2402" t="s">
        <v>348</v>
      </c>
      <c r="J2402" t="s">
        <v>350</v>
      </c>
      <c r="K2402" t="s">
        <v>352</v>
      </c>
    </row>
    <row r="2403" spans="8:11" x14ac:dyDescent="0.25">
      <c r="H2403" t="s">
        <v>393</v>
      </c>
      <c r="I2403" t="s">
        <v>348</v>
      </c>
      <c r="J2403" t="s">
        <v>350</v>
      </c>
      <c r="K2403" t="s">
        <v>352</v>
      </c>
    </row>
    <row r="2404" spans="8:11" x14ac:dyDescent="0.25">
      <c r="H2404" t="s">
        <v>393</v>
      </c>
      <c r="I2404" t="s">
        <v>348</v>
      </c>
      <c r="J2404" t="s">
        <v>350</v>
      </c>
      <c r="K2404" t="s">
        <v>352</v>
      </c>
    </row>
    <row r="2405" spans="8:11" x14ac:dyDescent="0.25">
      <c r="H2405" t="s">
        <v>393</v>
      </c>
      <c r="I2405" t="s">
        <v>348</v>
      </c>
      <c r="J2405" t="s">
        <v>350</v>
      </c>
      <c r="K2405" t="s">
        <v>352</v>
      </c>
    </row>
    <row r="2406" spans="8:11" x14ac:dyDescent="0.25">
      <c r="H2406" t="s">
        <v>393</v>
      </c>
      <c r="I2406" t="s">
        <v>348</v>
      </c>
      <c r="J2406" t="s">
        <v>350</v>
      </c>
      <c r="K2406" t="s">
        <v>352</v>
      </c>
    </row>
    <row r="2407" spans="8:11" x14ac:dyDescent="0.25">
      <c r="H2407" t="s">
        <v>393</v>
      </c>
      <c r="I2407" t="s">
        <v>348</v>
      </c>
      <c r="J2407" t="s">
        <v>350</v>
      </c>
      <c r="K2407" t="s">
        <v>352</v>
      </c>
    </row>
    <row r="2408" spans="8:11" x14ac:dyDescent="0.25">
      <c r="H2408" t="s">
        <v>393</v>
      </c>
      <c r="I2408" t="s">
        <v>348</v>
      </c>
      <c r="J2408" t="s">
        <v>350</v>
      </c>
      <c r="K2408" t="s">
        <v>352</v>
      </c>
    </row>
    <row r="2409" spans="8:11" x14ac:dyDescent="0.25">
      <c r="H2409" t="s">
        <v>393</v>
      </c>
      <c r="I2409" t="s">
        <v>348</v>
      </c>
      <c r="J2409" t="s">
        <v>350</v>
      </c>
      <c r="K2409" t="s">
        <v>352</v>
      </c>
    </row>
    <row r="2410" spans="8:11" x14ac:dyDescent="0.25">
      <c r="H2410" t="s">
        <v>6740</v>
      </c>
      <c r="I2410" t="s">
        <v>348</v>
      </c>
      <c r="J2410" t="s">
        <v>350</v>
      </c>
      <c r="K2410" t="s">
        <v>352</v>
      </c>
    </row>
    <row r="2411" spans="8:11" x14ac:dyDescent="0.25">
      <c r="H2411" t="s">
        <v>6685</v>
      </c>
      <c r="I2411" t="s">
        <v>348</v>
      </c>
      <c r="J2411" t="s">
        <v>350</v>
      </c>
      <c r="K2411" t="s">
        <v>352</v>
      </c>
    </row>
    <row r="2412" spans="8:11" x14ac:dyDescent="0.25">
      <c r="H2412" t="s">
        <v>6463</v>
      </c>
      <c r="I2412" t="s">
        <v>348</v>
      </c>
      <c r="J2412" t="s">
        <v>350</v>
      </c>
      <c r="K2412" t="s">
        <v>352</v>
      </c>
    </row>
    <row r="2413" spans="8:11" x14ac:dyDescent="0.25">
      <c r="H2413" t="s">
        <v>347</v>
      </c>
      <c r="I2413" t="s">
        <v>348</v>
      </c>
    </row>
    <row r="2414" spans="8:11" x14ac:dyDescent="0.25">
      <c r="H2414" t="s">
        <v>347</v>
      </c>
      <c r="I2414" t="s">
        <v>348</v>
      </c>
    </row>
    <row r="2415" spans="8:11" x14ac:dyDescent="0.25">
      <c r="H2415" t="s">
        <v>347</v>
      </c>
      <c r="I2415" t="s">
        <v>348</v>
      </c>
    </row>
    <row r="2416" spans="8:11" x14ac:dyDescent="0.25">
      <c r="H2416" t="s">
        <v>5342</v>
      </c>
      <c r="I2416" t="s">
        <v>348</v>
      </c>
    </row>
    <row r="2417" spans="8:9" x14ac:dyDescent="0.25">
      <c r="H2417" t="s">
        <v>351</v>
      </c>
      <c r="I2417" t="s">
        <v>352</v>
      </c>
    </row>
  </sheetData>
  <pageMargins left="0.7" right="0.7" top="0.75" bottom="0.75" header="0.3" footer="0.3"/>
  <pageSetup paperSize="9"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C3:T51"/>
  <sheetViews>
    <sheetView workbookViewId="0">
      <selection activeCell="P22" sqref="P22"/>
    </sheetView>
  </sheetViews>
  <sheetFormatPr defaultRowHeight="15" x14ac:dyDescent="0.25"/>
  <cols>
    <col min="3" max="3" width="13.5703125" customWidth="1"/>
    <col min="8" max="8" width="17.28515625" customWidth="1"/>
    <col min="9" max="9" width="6.42578125" customWidth="1"/>
    <col min="10" max="10" width="5.28515625" customWidth="1"/>
    <col min="11" max="11" width="6.42578125" customWidth="1"/>
    <col min="13" max="13" width="15" customWidth="1"/>
    <col min="16" max="16" width="13.42578125" customWidth="1"/>
    <col min="17" max="17" width="20.5703125" customWidth="1"/>
    <col min="18" max="18" width="10.140625" customWidth="1"/>
    <col min="19" max="19" width="19.28515625" customWidth="1"/>
    <col min="20" max="20" width="29.42578125" customWidth="1"/>
  </cols>
  <sheetData>
    <row r="3" spans="3:20" x14ac:dyDescent="0.25">
      <c r="P3" t="s">
        <v>204</v>
      </c>
      <c r="R3" t="s">
        <v>196</v>
      </c>
      <c r="S3" t="s">
        <v>197</v>
      </c>
    </row>
    <row r="4" spans="3:20" x14ac:dyDescent="0.25">
      <c r="M4" s="64" t="s">
        <v>183</v>
      </c>
      <c r="N4" s="65" t="s">
        <v>181</v>
      </c>
      <c r="O4" s="65" t="s">
        <v>182</v>
      </c>
      <c r="P4" s="66" t="s">
        <v>185</v>
      </c>
      <c r="R4" s="33" t="s">
        <v>191</v>
      </c>
      <c r="S4" s="17" t="s">
        <v>194</v>
      </c>
      <c r="T4" s="17" t="s">
        <v>193</v>
      </c>
    </row>
    <row r="5" spans="3:20" x14ac:dyDescent="0.25">
      <c r="C5" s="40" t="s">
        <v>203</v>
      </c>
      <c r="D5" s="68">
        <v>20</v>
      </c>
      <c r="M5" s="44" t="s">
        <v>186</v>
      </c>
      <c r="N5" s="45">
        <f>MIN(I13:I17)</f>
        <v>35</v>
      </c>
      <c r="O5" s="45">
        <f>D5</f>
        <v>20</v>
      </c>
      <c r="P5" s="46">
        <f>ROUND(O5/N5,2)</f>
        <v>0.56999999999999995</v>
      </c>
      <c r="R5" s="59">
        <v>10</v>
      </c>
      <c r="S5">
        <v>10</v>
      </c>
      <c r="T5">
        <f>(R5+S5)*K13</f>
        <v>51.428571428571431</v>
      </c>
    </row>
    <row r="6" spans="3:20" x14ac:dyDescent="0.25">
      <c r="M6" s="47" t="s">
        <v>187</v>
      </c>
      <c r="N6" s="48">
        <f>MIN(I18:I23)</f>
        <v>50</v>
      </c>
      <c r="O6" s="48">
        <f>D5</f>
        <v>20</v>
      </c>
      <c r="P6" s="49">
        <f>ROUND(O6/N6,2)</f>
        <v>0.4</v>
      </c>
      <c r="R6" s="59">
        <v>0</v>
      </c>
      <c r="S6">
        <v>0</v>
      </c>
      <c r="T6">
        <f>(R6+S6)*K18</f>
        <v>0</v>
      </c>
    </row>
    <row r="7" spans="3:20" x14ac:dyDescent="0.25">
      <c r="M7" s="50" t="s">
        <v>188</v>
      </c>
      <c r="N7" s="51">
        <f>MIN(I24:I31)</f>
        <v>60</v>
      </c>
      <c r="O7" s="51">
        <f>D5</f>
        <v>20</v>
      </c>
      <c r="P7" s="52">
        <f>ROUND(O7/N7,2)</f>
        <v>0.33</v>
      </c>
      <c r="R7" s="59">
        <v>10</v>
      </c>
      <c r="S7">
        <v>0</v>
      </c>
      <c r="T7">
        <f>(R7+S7)*K24</f>
        <v>15</v>
      </c>
    </row>
    <row r="8" spans="3:20" x14ac:dyDescent="0.25">
      <c r="M8" s="53" t="s">
        <v>189</v>
      </c>
      <c r="N8" s="54">
        <f>MIN(I32:I40)</f>
        <v>70</v>
      </c>
      <c r="O8" s="54">
        <f>D5</f>
        <v>20</v>
      </c>
      <c r="P8" s="55">
        <f>ROUND(O8/N8,2)</f>
        <v>0.28999999999999998</v>
      </c>
      <c r="R8" s="59">
        <v>5</v>
      </c>
      <c r="S8">
        <v>0</v>
      </c>
      <c r="T8">
        <f>(R8+S8)*K32</f>
        <v>6.4285714285714288</v>
      </c>
    </row>
    <row r="9" spans="3:20" x14ac:dyDescent="0.25">
      <c r="M9" s="56" t="s">
        <v>190</v>
      </c>
      <c r="N9" s="57">
        <f>MIN(I41:I51)</f>
        <v>90</v>
      </c>
      <c r="O9" s="57">
        <f>D5</f>
        <v>20</v>
      </c>
      <c r="P9" s="58">
        <f>ROUND(O9/N9,2)</f>
        <v>0.22</v>
      </c>
      <c r="R9" s="60">
        <v>15</v>
      </c>
      <c r="S9">
        <v>0</v>
      </c>
      <c r="T9">
        <f>(R9+S9)*K41</f>
        <v>15</v>
      </c>
    </row>
    <row r="10" spans="3:20" x14ac:dyDescent="0.25">
      <c r="T10">
        <f>SUM(T5:T9)</f>
        <v>87.857142857142861</v>
      </c>
    </row>
    <row r="12" spans="3:20" ht="21" x14ac:dyDescent="0.35">
      <c r="H12" s="64" t="s">
        <v>192</v>
      </c>
      <c r="I12" s="65" t="s">
        <v>181</v>
      </c>
      <c r="J12" s="66" t="s">
        <v>182</v>
      </c>
      <c r="K12" s="66" t="s">
        <v>195</v>
      </c>
      <c r="Q12" s="40" t="s">
        <v>198</v>
      </c>
      <c r="R12" s="67">
        <f>(R5*P5)+(R6*P6)+(R7*P7)+(R8*P8)+(R9*P9)+(S9*P9)+(S8*P8)+(S7*P7)+(S6*P6)+(S5*P5)</f>
        <v>19.45</v>
      </c>
      <c r="T12" s="69">
        <f>(90*20)/T10</f>
        <v>20.487804878048781</v>
      </c>
    </row>
    <row r="13" spans="3:20" x14ac:dyDescent="0.25">
      <c r="H13" s="44" t="s">
        <v>66</v>
      </c>
      <c r="I13" s="45">
        <v>35</v>
      </c>
      <c r="J13" s="46">
        <f t="shared" ref="J13:J24" si="0">$D$5</f>
        <v>20</v>
      </c>
      <c r="K13" s="46">
        <f>$I$41/$I$13</f>
        <v>2.5714285714285716</v>
      </c>
      <c r="L13" t="s">
        <v>199</v>
      </c>
    </row>
    <row r="14" spans="3:20" x14ac:dyDescent="0.25">
      <c r="H14" s="44" t="s">
        <v>66</v>
      </c>
      <c r="I14" s="45">
        <v>35</v>
      </c>
      <c r="J14" s="46">
        <f t="shared" si="0"/>
        <v>20</v>
      </c>
      <c r="K14" s="46">
        <f>$I$41/$I$13</f>
        <v>2.5714285714285716</v>
      </c>
    </row>
    <row r="15" spans="3:20" x14ac:dyDescent="0.25">
      <c r="H15" s="44" t="s">
        <v>67</v>
      </c>
      <c r="I15" s="45">
        <v>35</v>
      </c>
      <c r="J15" s="46">
        <f t="shared" si="0"/>
        <v>20</v>
      </c>
      <c r="K15" s="46">
        <f>$I$41/$I$13</f>
        <v>2.5714285714285716</v>
      </c>
    </row>
    <row r="16" spans="3:20" x14ac:dyDescent="0.25">
      <c r="H16" s="44" t="s">
        <v>67</v>
      </c>
      <c r="I16" s="45">
        <v>35</v>
      </c>
      <c r="J16" s="46">
        <f t="shared" si="0"/>
        <v>20</v>
      </c>
      <c r="K16" s="46">
        <f>$I$41/$I$13</f>
        <v>2.5714285714285716</v>
      </c>
    </row>
    <row r="17" spans="8:12" x14ac:dyDescent="0.25">
      <c r="H17" s="44" t="s">
        <v>117</v>
      </c>
      <c r="I17" s="45">
        <v>40</v>
      </c>
      <c r="J17" s="46">
        <f t="shared" si="0"/>
        <v>20</v>
      </c>
      <c r="K17" s="46">
        <f>$I$41/$I$13</f>
        <v>2.5714285714285716</v>
      </c>
    </row>
    <row r="18" spans="8:12" x14ac:dyDescent="0.25">
      <c r="H18" s="47" t="s">
        <v>72</v>
      </c>
      <c r="I18" s="48">
        <v>50</v>
      </c>
      <c r="J18" s="49">
        <f t="shared" si="0"/>
        <v>20</v>
      </c>
      <c r="K18" s="49">
        <f t="shared" ref="K18:K23" si="1">$I$41/$I$18</f>
        <v>1.8</v>
      </c>
      <c r="L18" t="s">
        <v>200</v>
      </c>
    </row>
    <row r="19" spans="8:12" x14ac:dyDescent="0.25">
      <c r="H19" s="47" t="s">
        <v>72</v>
      </c>
      <c r="I19" s="48">
        <v>50</v>
      </c>
      <c r="J19" s="49">
        <f t="shared" si="0"/>
        <v>20</v>
      </c>
      <c r="K19" s="49">
        <f t="shared" si="1"/>
        <v>1.8</v>
      </c>
    </row>
    <row r="20" spans="8:12" x14ac:dyDescent="0.25">
      <c r="H20" s="47" t="s">
        <v>77</v>
      </c>
      <c r="I20" s="48">
        <v>50</v>
      </c>
      <c r="J20" s="49">
        <f t="shared" si="0"/>
        <v>20</v>
      </c>
      <c r="K20" s="49">
        <f t="shared" si="1"/>
        <v>1.8</v>
      </c>
    </row>
    <row r="21" spans="8:12" x14ac:dyDescent="0.25">
      <c r="H21" s="47" t="s">
        <v>77</v>
      </c>
      <c r="I21" s="48">
        <v>50</v>
      </c>
      <c r="J21" s="49">
        <f t="shared" si="0"/>
        <v>20</v>
      </c>
      <c r="K21" s="49">
        <f t="shared" si="1"/>
        <v>1.8</v>
      </c>
    </row>
    <row r="22" spans="8:12" x14ac:dyDescent="0.25">
      <c r="H22" s="47" t="s">
        <v>78</v>
      </c>
      <c r="I22" s="48">
        <v>50</v>
      </c>
      <c r="J22" s="49">
        <f t="shared" si="0"/>
        <v>20</v>
      </c>
      <c r="K22" s="49">
        <f t="shared" si="1"/>
        <v>1.8</v>
      </c>
    </row>
    <row r="23" spans="8:12" x14ac:dyDescent="0.25">
      <c r="H23" s="47" t="s">
        <v>78</v>
      </c>
      <c r="I23" s="48">
        <v>50</v>
      </c>
      <c r="J23" s="49">
        <f t="shared" si="0"/>
        <v>20</v>
      </c>
      <c r="K23" s="49">
        <f t="shared" si="1"/>
        <v>1.8</v>
      </c>
    </row>
    <row r="24" spans="8:12" x14ac:dyDescent="0.25">
      <c r="H24" s="50" t="s">
        <v>71</v>
      </c>
      <c r="I24" s="51">
        <v>60</v>
      </c>
      <c r="J24" s="52">
        <f t="shared" si="0"/>
        <v>20</v>
      </c>
      <c r="K24" s="52">
        <f>$I$41/$I$24</f>
        <v>1.5</v>
      </c>
      <c r="L24" t="s">
        <v>201</v>
      </c>
    </row>
    <row r="25" spans="8:12" x14ac:dyDescent="0.25">
      <c r="H25" s="50" t="s">
        <v>82</v>
      </c>
      <c r="I25" s="51">
        <v>60</v>
      </c>
      <c r="J25" s="52">
        <f t="shared" ref="J25:J31" si="2">$D$5</f>
        <v>20</v>
      </c>
      <c r="K25" s="52">
        <f t="shared" ref="K25:K31" si="3">$I$41/$I$24</f>
        <v>1.5</v>
      </c>
    </row>
    <row r="26" spans="8:12" x14ac:dyDescent="0.25">
      <c r="H26" s="50" t="s">
        <v>83</v>
      </c>
      <c r="I26" s="51">
        <v>60</v>
      </c>
      <c r="J26" s="52">
        <f t="shared" si="2"/>
        <v>20</v>
      </c>
      <c r="K26" s="52">
        <f t="shared" si="3"/>
        <v>1.5</v>
      </c>
    </row>
    <row r="27" spans="8:12" x14ac:dyDescent="0.25">
      <c r="H27" s="50" t="s">
        <v>83</v>
      </c>
      <c r="I27" s="51">
        <v>60</v>
      </c>
      <c r="J27" s="52">
        <f t="shared" si="2"/>
        <v>20</v>
      </c>
      <c r="K27" s="52">
        <f t="shared" si="3"/>
        <v>1.5</v>
      </c>
    </row>
    <row r="28" spans="8:12" x14ac:dyDescent="0.25">
      <c r="H28" s="50" t="s">
        <v>83</v>
      </c>
      <c r="I28" s="51">
        <v>60</v>
      </c>
      <c r="J28" s="52">
        <f t="shared" si="2"/>
        <v>20</v>
      </c>
      <c r="K28" s="52">
        <f t="shared" si="3"/>
        <v>1.5</v>
      </c>
    </row>
    <row r="29" spans="8:12" x14ac:dyDescent="0.25">
      <c r="H29" s="50" t="s">
        <v>74</v>
      </c>
      <c r="I29" s="51">
        <v>60</v>
      </c>
      <c r="J29" s="52">
        <f t="shared" si="2"/>
        <v>20</v>
      </c>
      <c r="K29" s="52">
        <f t="shared" si="3"/>
        <v>1.5</v>
      </c>
    </row>
    <row r="30" spans="8:12" x14ac:dyDescent="0.25">
      <c r="H30" s="50" t="s">
        <v>74</v>
      </c>
      <c r="I30" s="51">
        <v>60</v>
      </c>
      <c r="J30" s="52">
        <f t="shared" si="2"/>
        <v>20</v>
      </c>
      <c r="K30" s="52">
        <f t="shared" si="3"/>
        <v>1.5</v>
      </c>
    </row>
    <row r="31" spans="8:12" x14ac:dyDescent="0.25">
      <c r="H31" s="50" t="s">
        <v>74</v>
      </c>
      <c r="I31" s="51">
        <v>60</v>
      </c>
      <c r="J31" s="52">
        <f t="shared" si="2"/>
        <v>20</v>
      </c>
      <c r="K31" s="52">
        <f t="shared" si="3"/>
        <v>1.5</v>
      </c>
    </row>
    <row r="32" spans="8:12" x14ac:dyDescent="0.25">
      <c r="H32" s="53" t="s">
        <v>75</v>
      </c>
      <c r="I32" s="54">
        <v>70</v>
      </c>
      <c r="J32" s="55">
        <f>$D$5</f>
        <v>20</v>
      </c>
      <c r="K32" s="55">
        <f>$I$41/$I$32</f>
        <v>1.2857142857142858</v>
      </c>
      <c r="L32" t="s">
        <v>202</v>
      </c>
    </row>
    <row r="33" spans="8:11" x14ac:dyDescent="0.25">
      <c r="H33" s="53" t="s">
        <v>110</v>
      </c>
      <c r="I33" s="54">
        <v>70</v>
      </c>
      <c r="J33" s="55">
        <f t="shared" ref="J33:J40" si="4">$D$5</f>
        <v>20</v>
      </c>
      <c r="K33" s="55">
        <f t="shared" ref="K33:K40" si="5">$I$41/$I$32</f>
        <v>1.2857142857142858</v>
      </c>
    </row>
    <row r="34" spans="8:11" x14ac:dyDescent="0.25">
      <c r="H34" s="53" t="s">
        <v>109</v>
      </c>
      <c r="I34" s="54">
        <v>75</v>
      </c>
      <c r="J34" s="55">
        <f t="shared" si="4"/>
        <v>20</v>
      </c>
      <c r="K34" s="55">
        <f t="shared" si="5"/>
        <v>1.2857142857142858</v>
      </c>
    </row>
    <row r="35" spans="8:11" x14ac:dyDescent="0.25">
      <c r="H35" s="53" t="s">
        <v>108</v>
      </c>
      <c r="I35" s="54">
        <v>75</v>
      </c>
      <c r="J35" s="55">
        <f t="shared" si="4"/>
        <v>20</v>
      </c>
      <c r="K35" s="55">
        <f t="shared" si="5"/>
        <v>1.2857142857142858</v>
      </c>
    </row>
    <row r="36" spans="8:11" x14ac:dyDescent="0.25">
      <c r="H36" s="53" t="s">
        <v>107</v>
      </c>
      <c r="I36" s="54">
        <v>75</v>
      </c>
      <c r="J36" s="55">
        <f t="shared" si="4"/>
        <v>20</v>
      </c>
      <c r="K36" s="55">
        <f t="shared" si="5"/>
        <v>1.2857142857142858</v>
      </c>
    </row>
    <row r="37" spans="8:11" x14ac:dyDescent="0.25">
      <c r="H37" s="53" t="s">
        <v>106</v>
      </c>
      <c r="I37" s="54">
        <v>80</v>
      </c>
      <c r="J37" s="55">
        <f t="shared" si="4"/>
        <v>20</v>
      </c>
      <c r="K37" s="55">
        <f t="shared" si="5"/>
        <v>1.2857142857142858</v>
      </c>
    </row>
    <row r="38" spans="8:11" x14ac:dyDescent="0.25">
      <c r="H38" s="53" t="s">
        <v>70</v>
      </c>
      <c r="I38" s="54">
        <v>80</v>
      </c>
      <c r="J38" s="55">
        <f t="shared" si="4"/>
        <v>20</v>
      </c>
      <c r="K38" s="55">
        <f t="shared" si="5"/>
        <v>1.2857142857142858</v>
      </c>
    </row>
    <row r="39" spans="8:11" x14ac:dyDescent="0.25">
      <c r="H39" s="53" t="s">
        <v>84</v>
      </c>
      <c r="I39" s="54">
        <v>80</v>
      </c>
      <c r="J39" s="55">
        <f t="shared" si="4"/>
        <v>20</v>
      </c>
      <c r="K39" s="55">
        <f t="shared" si="5"/>
        <v>1.2857142857142858</v>
      </c>
    </row>
    <row r="40" spans="8:11" x14ac:dyDescent="0.25">
      <c r="H40" s="53" t="s">
        <v>73</v>
      </c>
      <c r="I40" s="54">
        <v>85</v>
      </c>
      <c r="J40" s="55">
        <f t="shared" si="4"/>
        <v>20</v>
      </c>
      <c r="K40" s="55">
        <f t="shared" si="5"/>
        <v>1.2857142857142858</v>
      </c>
    </row>
    <row r="41" spans="8:11" x14ac:dyDescent="0.25">
      <c r="H41" s="61" t="s">
        <v>100</v>
      </c>
      <c r="I41" s="62">
        <v>90</v>
      </c>
      <c r="J41" s="63">
        <f>$D$5</f>
        <v>20</v>
      </c>
      <c r="K41" s="63">
        <v>1</v>
      </c>
    </row>
    <row r="42" spans="8:11" x14ac:dyDescent="0.25">
      <c r="H42" s="61" t="s">
        <v>116</v>
      </c>
      <c r="I42" s="62">
        <v>90</v>
      </c>
      <c r="J42" s="63">
        <f t="shared" ref="J42:J51" si="6">$D$5</f>
        <v>20</v>
      </c>
      <c r="K42" s="63">
        <v>1</v>
      </c>
    </row>
    <row r="43" spans="8:11" x14ac:dyDescent="0.25">
      <c r="H43" s="61" t="s">
        <v>184</v>
      </c>
      <c r="I43" s="62">
        <v>90</v>
      </c>
      <c r="J43" s="63">
        <f t="shared" si="6"/>
        <v>20</v>
      </c>
      <c r="K43" s="63">
        <v>1</v>
      </c>
    </row>
    <row r="44" spans="8:11" x14ac:dyDescent="0.25">
      <c r="H44" s="61" t="s">
        <v>85</v>
      </c>
      <c r="I44" s="62">
        <v>90</v>
      </c>
      <c r="J44" s="63">
        <f t="shared" si="6"/>
        <v>20</v>
      </c>
      <c r="K44" s="63">
        <v>1</v>
      </c>
    </row>
    <row r="45" spans="8:11" x14ac:dyDescent="0.25">
      <c r="H45" s="61" t="s">
        <v>96</v>
      </c>
      <c r="I45" s="62">
        <v>90</v>
      </c>
      <c r="J45" s="63">
        <f t="shared" si="6"/>
        <v>20</v>
      </c>
      <c r="K45" s="63">
        <v>1</v>
      </c>
    </row>
    <row r="46" spans="8:11" x14ac:dyDescent="0.25">
      <c r="H46" s="61" t="s">
        <v>97</v>
      </c>
      <c r="I46" s="62">
        <v>90</v>
      </c>
      <c r="J46" s="63">
        <f t="shared" si="6"/>
        <v>20</v>
      </c>
      <c r="K46" s="63">
        <v>1</v>
      </c>
    </row>
    <row r="47" spans="8:11" x14ac:dyDescent="0.25">
      <c r="H47" s="61" t="s">
        <v>98</v>
      </c>
      <c r="I47" s="62">
        <v>90</v>
      </c>
      <c r="J47" s="63">
        <f t="shared" si="6"/>
        <v>20</v>
      </c>
      <c r="K47" s="63">
        <v>1</v>
      </c>
    </row>
    <row r="48" spans="8:11" x14ac:dyDescent="0.25">
      <c r="H48" s="61" t="s">
        <v>99</v>
      </c>
      <c r="I48" s="62">
        <v>90</v>
      </c>
      <c r="J48" s="63">
        <f t="shared" si="6"/>
        <v>20</v>
      </c>
      <c r="K48" s="63">
        <v>1</v>
      </c>
    </row>
    <row r="49" spans="8:11" x14ac:dyDescent="0.25">
      <c r="H49" s="61" t="s">
        <v>76</v>
      </c>
      <c r="I49" s="62">
        <v>90</v>
      </c>
      <c r="J49" s="63">
        <f t="shared" si="6"/>
        <v>20</v>
      </c>
      <c r="K49" s="63">
        <v>1</v>
      </c>
    </row>
    <row r="50" spans="8:11" x14ac:dyDescent="0.25">
      <c r="H50" s="61" t="s">
        <v>115</v>
      </c>
      <c r="I50" s="62">
        <v>100</v>
      </c>
      <c r="J50" s="63">
        <f t="shared" si="6"/>
        <v>20</v>
      </c>
      <c r="K50" s="63">
        <v>1</v>
      </c>
    </row>
    <row r="51" spans="8:11" x14ac:dyDescent="0.25">
      <c r="H51" s="56" t="s">
        <v>114</v>
      </c>
      <c r="I51" s="57">
        <v>100</v>
      </c>
      <c r="J51" s="58">
        <f t="shared" si="6"/>
        <v>20</v>
      </c>
      <c r="K51" s="58">
        <v>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Help</vt:lpstr>
      <vt:lpstr>Entities</vt:lpstr>
      <vt:lpstr>Dragons</vt:lpstr>
      <vt:lpstr>Prog.</vt:lpstr>
      <vt:lpstr>Prog. "Village"</vt:lpstr>
      <vt:lpstr>Prog. "Castle"</vt:lpstr>
      <vt:lpstr>Prog. "Dark"</vt:lpstr>
      <vt:lpstr>PROG. SPAWNERS</vt:lpstr>
      <vt:lpstr>DATA_DRAGONS_CONTENT</vt:lpstr>
      <vt:lpstr>DATA_SCENES_UNITY_1</vt:lpstr>
      <vt:lpstr>DATA_SCENES_UNITY_2</vt:lpstr>
      <vt:lpstr>CheckSpawnersDuplicity</vt:lpstr>
      <vt:lpstr>CheckSpawnersPrefabs</vt:lpstr>
      <vt:lpstr>Entities FPS</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Camacho</dc:creator>
  <cp:lastModifiedBy>Jose Camacho</cp:lastModifiedBy>
  <dcterms:created xsi:type="dcterms:W3CDTF">2017-03-02T15:19:08Z</dcterms:created>
  <dcterms:modified xsi:type="dcterms:W3CDTF">2020-04-08T14:03:31Z</dcterms:modified>
</cp:coreProperties>
</file>